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 codeName="{26A90621-87C4-6C01-FD6A-EE6E7C140903}"/>
  <workbookPr filterPrivacy="1" codeName="ThisWorkbook"/>
  <xr:revisionPtr revIDLastSave="0" documentId="13_ncr:1_{1CE409D1-667B-4DEE-A8C6-9134D388653D}" xr6:coauthVersionLast="47" xr6:coauthVersionMax="47" xr10:uidLastSave="{00000000-0000-0000-0000-000000000000}"/>
  <bookViews>
    <workbookView xWindow="-120" yWindow="-120" windowWidth="29040" windowHeight="15720" tabRatio="868" xr2:uid="{00000000-000D-0000-FFFF-FFFF00000000}"/>
  </bookViews>
  <sheets>
    <sheet name="Stock Rawmaterial" sheetId="2" r:id="rId1"/>
    <sheet name="usage" sheetId="4" state="hidden" r:id="rId2"/>
    <sheet name="Thuoc khang sinh" sheetId="6" r:id="rId3"/>
    <sheet name="Liquid" sheetId="7" r:id="rId4"/>
    <sheet name="Thuoc thi nghiem" sheetId="15" state="hidden" r:id="rId5"/>
    <sheet name="sdmixer" sheetId="8" state="hidden" r:id="rId6"/>
    <sheet name="INTAKE" sheetId="16" state="hidden" r:id="rId7"/>
    <sheet name="ETM" sheetId="12" state="hidden" r:id="rId8"/>
    <sheet name="391" sheetId="13" state="hidden" r:id="rId9"/>
    <sheet name="Tên NL" sheetId="11" state="hidden" r:id="rId10"/>
  </sheets>
  <definedNames>
    <definedName name="_xlnm._FilterDatabase" localSheetId="3" hidden="1">Liquid!$A$13:$DS$94</definedName>
    <definedName name="_xlnm._FilterDatabase" localSheetId="0" hidden="1">'Stock Rawmaterial'!$A$12:$DC$15</definedName>
    <definedName name="_xlnm._FilterDatabase" localSheetId="2" hidden="1">'Thuoc khang sinh'!$A$13:$DR$248</definedName>
    <definedName name="_xlnm._FilterDatabase" localSheetId="4" hidden="1">'Thuoc thi nghiem'!$A$12:$DL$13</definedName>
    <definedName name="_xleta.SUM" hidden="1" xlm="1">#NAME?</definedName>
    <definedName name="_xlnm.Print_Area" localSheetId="3">Liquid!$A$1:$P$102</definedName>
    <definedName name="_xlnm.Print_Area" localSheetId="0">'Stock Rawmaterial'!$A$1:$P$1966</definedName>
    <definedName name="_xlnm.Print_Area" localSheetId="2">'Thuoc khang sinh'!$A$1:$Q$256</definedName>
    <definedName name="_xlnm.Print_Area" localSheetId="4">'Thuoc thi nghiem'!$A$1:$AB$167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56" i="2" l="1"/>
  <c r="F455" i="2"/>
  <c r="G377" i="2"/>
  <c r="I1964" i="2"/>
  <c r="I234" i="2"/>
  <c r="K722" i="2"/>
  <c r="F501" i="2"/>
  <c r="F500" i="2"/>
  <c r="F499" i="2"/>
  <c r="F1947" i="2"/>
  <c r="F1946" i="2"/>
  <c r="F1945" i="2"/>
  <c r="F1944" i="2"/>
  <c r="F1943" i="2"/>
  <c r="F1942" i="2"/>
  <c r="G1532" i="2"/>
  <c r="F1268" i="2"/>
  <c r="G1254" i="2"/>
  <c r="G1253" i="2"/>
  <c r="F681" i="2"/>
  <c r="F680" i="2"/>
  <c r="G489" i="2"/>
  <c r="G488" i="2"/>
  <c r="G1564" i="2"/>
  <c r="G1563" i="2"/>
  <c r="G1209" i="2"/>
  <c r="G1208" i="2"/>
  <c r="G814" i="2"/>
  <c r="G1599" i="2" s="1"/>
  <c r="G813" i="2"/>
  <c r="F544" i="2"/>
  <c r="F543" i="2"/>
  <c r="F542" i="2"/>
  <c r="F541" i="2"/>
  <c r="G557" i="2"/>
  <c r="G556" i="2"/>
  <c r="F572" i="2"/>
  <c r="G575" i="2"/>
  <c r="G574" i="2"/>
  <c r="G610" i="2"/>
  <c r="G378" i="2"/>
  <c r="F345" i="2"/>
  <c r="F344" i="2"/>
  <c r="F343" i="2"/>
  <c r="F342" i="2"/>
  <c r="G246" i="2"/>
  <c r="G245" i="2"/>
  <c r="G37" i="2"/>
  <c r="G92" i="2"/>
  <c r="G89" i="2"/>
  <c r="G80" i="2"/>
  <c r="G38" i="2"/>
  <c r="G77" i="2"/>
  <c r="G27" i="2"/>
  <c r="O38" i="2"/>
  <c r="O80" i="2"/>
  <c r="I37" i="2"/>
  <c r="F449" i="2"/>
  <c r="F878" i="2"/>
  <c r="F877" i="2"/>
  <c r="F767" i="2"/>
  <c r="F672" i="2"/>
  <c r="F671" i="2"/>
  <c r="F670" i="2"/>
  <c r="F545" i="2"/>
  <c r="T472" i="2"/>
  <c r="F479" i="2"/>
  <c r="F478" i="2"/>
  <c r="F477" i="2"/>
  <c r="F476" i="2"/>
  <c r="F475" i="2"/>
  <c r="F474" i="2"/>
  <c r="F473" i="2"/>
  <c r="F472" i="2"/>
  <c r="F471" i="2"/>
  <c r="F457" i="2"/>
  <c r="F406" i="2"/>
  <c r="F405" i="2"/>
  <c r="F404" i="2"/>
  <c r="F403" i="2"/>
  <c r="T301" i="2"/>
  <c r="F1948" i="2"/>
  <c r="F839" i="2"/>
  <c r="F838" i="2"/>
  <c r="F837" i="2"/>
  <c r="F653" i="2"/>
  <c r="F652" i="2"/>
  <c r="F651" i="2"/>
  <c r="T473" i="2"/>
  <c r="F303" i="2"/>
  <c r="F1921" i="2"/>
  <c r="F1920" i="2"/>
  <c r="F1833" i="2"/>
  <c r="F1761" i="2"/>
  <c r="F1727" i="2"/>
  <c r="F1726" i="2"/>
  <c r="F1725" i="2"/>
  <c r="F1724" i="2"/>
  <c r="F1797" i="2"/>
  <c r="F1796" i="2"/>
  <c r="F1684" i="2"/>
  <c r="F1630" i="2"/>
  <c r="F1615" i="2"/>
  <c r="F1614" i="2"/>
  <c r="F1600" i="2"/>
  <c r="F679" i="2"/>
  <c r="F613" i="2"/>
  <c r="G611" i="2" l="1"/>
  <c r="G612" i="2" s="1"/>
  <c r="G88" i="2"/>
  <c r="G194" i="2" s="1"/>
  <c r="F1233" i="2"/>
  <c r="F1232" i="2"/>
  <c r="F722" i="2"/>
  <c r="F869" i="2"/>
  <c r="F868" i="2"/>
  <c r="F27" i="2"/>
  <c r="F1798" i="2"/>
  <c r="F833" i="2"/>
  <c r="F832" i="2"/>
  <c r="F546" i="2"/>
  <c r="W1561" i="2"/>
  <c r="X1561" i="2" s="1"/>
  <c r="T1561" i="2"/>
  <c r="R1561" i="2"/>
  <c r="F1561" i="2"/>
  <c r="F1863" i="2"/>
  <c r="F1862" i="2"/>
  <c r="F1870" i="2"/>
  <c r="F1396" i="2"/>
  <c r="F691" i="2"/>
  <c r="F690" i="2"/>
  <c r="F689" i="2"/>
  <c r="F481" i="2"/>
  <c r="F480" i="2"/>
  <c r="F1922" i="2"/>
  <c r="F1919" i="2"/>
  <c r="F1790" i="2"/>
  <c r="F1706" i="2"/>
  <c r="F1705" i="2"/>
  <c r="F1704" i="2"/>
  <c r="F1703" i="2"/>
  <c r="F1685" i="2"/>
  <c r="F1591" i="2"/>
  <c r="F1356" i="2"/>
  <c r="F1355" i="2"/>
  <c r="F892" i="2"/>
  <c r="F840" i="2"/>
  <c r="F759" i="2"/>
  <c r="F1949" i="2"/>
  <c r="F1941" i="2"/>
  <c r="F1543" i="2"/>
  <c r="F1196" i="2"/>
  <c r="F1140" i="2"/>
  <c r="F983" i="2"/>
  <c r="F870" i="2"/>
  <c r="F346" i="2"/>
  <c r="F426" i="2"/>
  <c r="F425" i="2"/>
  <c r="F424" i="2"/>
  <c r="F1548" i="2"/>
  <c r="F1424" i="2"/>
  <c r="F879" i="2"/>
  <c r="F880" i="2"/>
  <c r="F1871" i="2"/>
  <c r="F1707" i="2"/>
  <c r="F682" i="2"/>
  <c r="F304" i="2"/>
  <c r="F302" i="2"/>
  <c r="F301" i="2"/>
  <c r="F1883" i="2"/>
  <c r="F627" i="2"/>
  <c r="R568" i="2"/>
  <c r="F547" i="2"/>
  <c r="F407" i="2"/>
  <c r="F1950" i="2"/>
  <c r="F441" i="2"/>
  <c r="I217" i="2"/>
  <c r="I153" i="2"/>
  <c r="F1817" i="2"/>
  <c r="F1781" i="2"/>
  <c r="F1795" i="2"/>
  <c r="F1616" i="2"/>
  <c r="F1702" i="2"/>
  <c r="F1854" i="2"/>
  <c r="F1846" i="2"/>
  <c r="F1311" i="2"/>
  <c r="F1310" i="2"/>
  <c r="F1304" i="2"/>
  <c r="F1303" i="2"/>
  <c r="F1302" i="2"/>
  <c r="F1507" i="2"/>
  <c r="F1506" i="2"/>
  <c r="F1052" i="2"/>
  <c r="F33" i="2"/>
  <c r="T478" i="2"/>
  <c r="F1768" i="2"/>
  <c r="F1377" i="2"/>
  <c r="F1376" i="2"/>
  <c r="F1375" i="2"/>
  <c r="F1203" i="2"/>
  <c r="F1286" i="2"/>
  <c r="F1217" i="2"/>
  <c r="F1216" i="2"/>
  <c r="F996" i="2"/>
  <c r="F902" i="2"/>
  <c r="F901" i="2"/>
  <c r="F779" i="2"/>
  <c r="F778" i="2"/>
  <c r="F628" i="2"/>
  <c r="F1578" i="2"/>
  <c r="F976" i="2"/>
  <c r="F1513" i="2"/>
  <c r="F1512" i="2"/>
  <c r="T1430" i="2"/>
  <c r="T480" i="2"/>
  <c r="T479" i="2"/>
  <c r="T477" i="2"/>
  <c r="I7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F904" i="2"/>
  <c r="F903" i="2"/>
  <c r="F871" i="2"/>
  <c r="F947" i="2"/>
  <c r="F946" i="2"/>
  <c r="F945" i="2"/>
  <c r="F944" i="2"/>
  <c r="F943" i="2"/>
  <c r="F942" i="2"/>
  <c r="F966" i="2"/>
  <c r="F1539" i="2"/>
  <c r="F688" i="2"/>
  <c r="T471" i="2"/>
  <c r="F905" i="2"/>
  <c r="F565" i="2"/>
  <c r="F450" i="2"/>
  <c r="M568" i="2" l="1"/>
  <c r="R557" i="2"/>
  <c r="F1782" i="2"/>
  <c r="F1659" i="2"/>
  <c r="F1519" i="2"/>
  <c r="F1518" i="2"/>
  <c r="F1517" i="2"/>
  <c r="F1470" i="2"/>
  <c r="F959" i="2"/>
  <c r="F846" i="2"/>
  <c r="F614" i="2"/>
  <c r="F1378" i="2"/>
  <c r="F1141" i="2"/>
  <c r="F912" i="2"/>
  <c r="F911" i="2"/>
  <c r="F906" i="2"/>
  <c r="F629" i="2"/>
  <c r="T565" i="2"/>
  <c r="F548" i="2"/>
  <c r="F936" i="2"/>
  <c r="T566" i="2"/>
  <c r="T567" i="2"/>
  <c r="G69" i="4"/>
  <c r="H68" i="4"/>
  <c r="F1923" i="2"/>
  <c r="F1872" i="2"/>
  <c r="F1834" i="2"/>
  <c r="F1524" i="2"/>
  <c r="F1523" i="2"/>
  <c r="F1491" i="2"/>
  <c r="F872" i="2"/>
  <c r="F549" i="2"/>
  <c r="F1204" i="2" l="1"/>
  <c r="F990" i="2"/>
  <c r="F989" i="2"/>
  <c r="F768" i="2"/>
  <c r="F550" i="2"/>
  <c r="W872" i="2"/>
  <c r="X872" i="2" s="1"/>
  <c r="T872" i="2"/>
  <c r="R872" i="2"/>
  <c r="F108" i="2"/>
  <c r="F1549" i="2" l="1"/>
  <c r="F673" i="2"/>
  <c r="F780" i="2"/>
  <c r="T551" i="2"/>
  <c r="F502" i="2"/>
  <c r="F498" i="2"/>
  <c r="F1099" i="2"/>
  <c r="F769" i="2"/>
  <c r="F408" i="2"/>
  <c r="T550" i="2"/>
  <c r="F409" i="2"/>
  <c r="F470" i="2"/>
  <c r="T549" i="2"/>
  <c r="T619" i="2"/>
  <c r="F1218" i="2"/>
  <c r="F1197" i="2"/>
  <c r="F1035" i="2"/>
  <c r="F692" i="2"/>
  <c r="F687" i="2"/>
  <c r="F410" i="2"/>
  <c r="F1010" i="2"/>
  <c r="F1009" i="2"/>
  <c r="F145" i="2"/>
  <c r="F144" i="2"/>
  <c r="T1534" i="2"/>
  <c r="T1535" i="2"/>
  <c r="T1536" i="2"/>
  <c r="T1537" i="2"/>
  <c r="F1617" i="2"/>
  <c r="F1497" i="2"/>
  <c r="F1496" i="2"/>
  <c r="F1313" i="2"/>
  <c r="F1312" i="2"/>
  <c r="F1287" i="2"/>
  <c r="F804" i="2"/>
  <c r="F458" i="2"/>
  <c r="F143" i="2"/>
  <c r="F466" i="2"/>
  <c r="F467" i="2"/>
  <c r="F468" i="2"/>
  <c r="F469" i="2"/>
  <c r="W1313" i="2"/>
  <c r="X1313" i="2" s="1"/>
  <c r="T1313" i="2"/>
  <c r="R1313" i="2"/>
  <c r="W1508" i="2"/>
  <c r="X1508" i="2" s="1"/>
  <c r="T1508" i="2"/>
  <c r="R1508" i="2"/>
  <c r="F1508" i="2"/>
  <c r="W1560" i="2"/>
  <c r="X1560" i="2" s="1"/>
  <c r="T1560" i="2"/>
  <c r="R1560" i="2"/>
  <c r="F1560" i="2"/>
  <c r="W1555" i="2"/>
  <c r="X1555" i="2" s="1"/>
  <c r="T1555" i="2"/>
  <c r="R1555" i="2"/>
  <c r="F1555" i="2"/>
  <c r="W1535" i="2"/>
  <c r="X1535" i="2" s="1"/>
  <c r="R1535" i="2"/>
  <c r="F1535" i="2"/>
  <c r="F1292" i="2" l="1"/>
  <c r="W1312" i="2"/>
  <c r="X1312" i="2" s="1"/>
  <c r="T1312" i="2"/>
  <c r="R1312" i="2"/>
  <c r="F1884" i="2"/>
  <c r="F1669" i="2"/>
  <c r="T1559" i="2"/>
  <c r="F1191" i="2"/>
  <c r="F1190" i="2"/>
  <c r="T302" i="2"/>
  <c r="F937" i="2"/>
  <c r="T467" i="2"/>
  <c r="T468" i="2"/>
  <c r="T469" i="2"/>
  <c r="T470" i="2"/>
  <c r="T466" i="2"/>
  <c r="F1818" i="2"/>
  <c r="F1554" i="2"/>
  <c r="F1198" i="2"/>
  <c r="F1502" i="2"/>
  <c r="F1501" i="2"/>
  <c r="F1205" i="2"/>
  <c r="G1956" i="2"/>
  <c r="W1513" i="2"/>
  <c r="X1513" i="2" s="1"/>
  <c r="T1513" i="2"/>
  <c r="R1513" i="2"/>
  <c r="W1534" i="2"/>
  <c r="X1534" i="2" s="1"/>
  <c r="R1534" i="2"/>
  <c r="F1534" i="2"/>
  <c r="F503" i="2"/>
  <c r="F1877" i="2"/>
  <c r="F1841" i="2"/>
  <c r="T812" i="2"/>
  <c r="T811" i="2"/>
  <c r="J52" i="7"/>
  <c r="I52" i="7"/>
  <c r="H52" i="7"/>
  <c r="G52" i="7"/>
  <c r="E52" i="7"/>
  <c r="C52" i="7"/>
  <c r="L78" i="2"/>
  <c r="W1311" i="2"/>
  <c r="X1311" i="2" s="1"/>
  <c r="T1311" i="2"/>
  <c r="R1311" i="2"/>
  <c r="W1507" i="2"/>
  <c r="X1507" i="2" s="1"/>
  <c r="T1507" i="2"/>
  <c r="R1507" i="2"/>
  <c r="W78" i="2"/>
  <c r="F78" i="2"/>
  <c r="I134" i="2"/>
  <c r="F693" i="2"/>
  <c r="T360" i="2"/>
  <c r="I259" i="2"/>
  <c r="F1095" i="2"/>
  <c r="F1094" i="2"/>
  <c r="W947" i="2"/>
  <c r="X947" i="2" s="1"/>
  <c r="T947" i="2"/>
  <c r="R947" i="2"/>
  <c r="F52" i="7"/>
  <c r="F1269" i="2"/>
  <c r="F427" i="2"/>
  <c r="F1429" i="2"/>
  <c r="F510" i="2"/>
  <c r="F1631" i="2"/>
  <c r="F1251" i="2"/>
  <c r="F219" i="2"/>
  <c r="F777" i="2"/>
  <c r="F1670" i="2"/>
  <c r="F511" i="2"/>
  <c r="F459" i="2"/>
  <c r="F69" i="2"/>
  <c r="F70" i="2"/>
  <c r="F71" i="2"/>
  <c r="W1525" i="2"/>
  <c r="X1525" i="2" s="1"/>
  <c r="T1525" i="2"/>
  <c r="R1525" i="2"/>
  <c r="F1525" i="2"/>
  <c r="F360" i="2"/>
  <c r="F1601" i="2"/>
  <c r="F1338" i="2"/>
  <c r="F512" i="2"/>
  <c r="F654" i="2"/>
  <c r="F347" i="2"/>
  <c r="F1728" i="2"/>
  <c r="K30" i="8"/>
  <c r="F1951" i="2"/>
  <c r="F1799" i="2"/>
  <c r="F1632" i="2"/>
  <c r="F1305" i="2"/>
  <c r="F1729" i="2"/>
  <c r="I208" i="2"/>
  <c r="F1952" i="2"/>
  <c r="I89" i="2"/>
  <c r="T511" i="2"/>
  <c r="T512" i="2"/>
  <c r="T513" i="2"/>
  <c r="T510" i="2"/>
  <c r="W1952" i="2"/>
  <c r="X1952" i="2" s="1"/>
  <c r="T1952" i="2"/>
  <c r="R1952" i="2"/>
  <c r="W1951" i="2"/>
  <c r="X1951" i="2" s="1"/>
  <c r="T1951" i="2"/>
  <c r="R1951" i="2"/>
  <c r="F1206" i="2" l="1"/>
  <c r="F893" i="2"/>
  <c r="F1550" i="2"/>
  <c r="W682" i="2"/>
  <c r="X682" i="2" s="1"/>
  <c r="T682" i="2"/>
  <c r="R682" i="2"/>
  <c r="F1559" i="2"/>
  <c r="W1550" i="2"/>
  <c r="X1550" i="2" s="1"/>
  <c r="T1550" i="2"/>
  <c r="R1550" i="2"/>
  <c r="F428" i="2"/>
  <c r="F1762" i="2"/>
  <c r="H391" i="2"/>
  <c r="F1123" i="2"/>
  <c r="F655" i="2"/>
  <c r="T1938" i="2"/>
  <c r="T1939" i="2"/>
  <c r="T1937" i="2"/>
  <c r="W1940" i="2"/>
  <c r="X1940" i="2" s="1"/>
  <c r="R1940" i="2"/>
  <c r="M1940" i="2" s="1"/>
  <c r="H1940" i="2"/>
  <c r="W1939" i="2"/>
  <c r="X1939" i="2" s="1"/>
  <c r="R1939" i="2"/>
  <c r="F1939" i="2"/>
  <c r="W1938" i="2"/>
  <c r="X1938" i="2" s="1"/>
  <c r="R1938" i="2"/>
  <c r="F1938" i="2"/>
  <c r="W1937" i="2"/>
  <c r="X1937" i="2" s="1"/>
  <c r="R1937" i="2"/>
  <c r="F1937" i="2"/>
  <c r="F1498" i="2" l="1"/>
  <c r="L1498" i="2"/>
  <c r="F1533" i="2"/>
  <c r="F841" i="2"/>
  <c r="F647" i="2" l="1"/>
  <c r="F1924" i="2" l="1"/>
  <c r="F1544" i="2"/>
  <c r="F1492" i="2"/>
  <c r="F1296" i="2"/>
  <c r="F1124" i="2"/>
  <c r="F1878" i="2"/>
  <c r="F348" i="2"/>
  <c r="F842" i="2"/>
  <c r="F504" i="2"/>
  <c r="F1769" i="2"/>
  <c r="F1660" i="2"/>
  <c r="T1070" i="2"/>
  <c r="F1306" i="2"/>
  <c r="F949" i="2"/>
  <c r="F451" i="2"/>
  <c r="F75" i="2"/>
  <c r="F1327" i="2"/>
  <c r="W1519" i="2"/>
  <c r="X1519" i="2" s="1"/>
  <c r="T1519" i="2"/>
  <c r="R1519" i="2"/>
  <c r="W1549" i="2"/>
  <c r="X1549" i="2" s="1"/>
  <c r="T1549" i="2"/>
  <c r="R1549" i="2"/>
  <c r="W842" i="2"/>
  <c r="X842" i="2" s="1"/>
  <c r="T842" i="2"/>
  <c r="R842" i="2"/>
  <c r="F207" i="2"/>
  <c r="W1518" i="2"/>
  <c r="X1518" i="2" s="1"/>
  <c r="T1518" i="2"/>
  <c r="R1518" i="2"/>
  <c r="T548" i="2"/>
  <c r="E91" i="7"/>
  <c r="G91" i="7"/>
  <c r="H91" i="7"/>
  <c r="I91" i="7"/>
  <c r="J91" i="7"/>
  <c r="E92" i="7"/>
  <c r="G92" i="7"/>
  <c r="H92" i="7"/>
  <c r="G90" i="7"/>
  <c r="H90" i="7"/>
  <c r="I90" i="7"/>
  <c r="J90" i="7"/>
  <c r="D92" i="7"/>
  <c r="E90" i="7"/>
  <c r="D91" i="7"/>
  <c r="D90" i="7"/>
  <c r="C91" i="7"/>
  <c r="C92" i="7"/>
  <c r="C90" i="7"/>
  <c r="F1913" i="2"/>
  <c r="F1789" i="2"/>
  <c r="R1511" i="2"/>
  <c r="T1562" i="2"/>
  <c r="T1563" i="2"/>
  <c r="W1564" i="2"/>
  <c r="X1564" i="2" s="1"/>
  <c r="R1564" i="2"/>
  <c r="M1564" i="2" s="1"/>
  <c r="H1564" i="2"/>
  <c r="W1563" i="2"/>
  <c r="X1563" i="2" s="1"/>
  <c r="R1563" i="2"/>
  <c r="F1563" i="2"/>
  <c r="W1562" i="2"/>
  <c r="X1562" i="2" s="1"/>
  <c r="R1562" i="2"/>
  <c r="F1562" i="2"/>
  <c r="W1559" i="2"/>
  <c r="X1559" i="2" s="1"/>
  <c r="R1559" i="2"/>
  <c r="T1556" i="2"/>
  <c r="T1557" i="2"/>
  <c r="T1554" i="2"/>
  <c r="W1558" i="2"/>
  <c r="X1558" i="2" s="1"/>
  <c r="R1558" i="2"/>
  <c r="M1558" i="2" s="1"/>
  <c r="H1558" i="2"/>
  <c r="W1557" i="2"/>
  <c r="X1557" i="2" s="1"/>
  <c r="R1557" i="2"/>
  <c r="F1557" i="2"/>
  <c r="W1556" i="2"/>
  <c r="X1556" i="2" s="1"/>
  <c r="R1556" i="2"/>
  <c r="F1556" i="2"/>
  <c r="W1554" i="2"/>
  <c r="X1554" i="2" s="1"/>
  <c r="R1554" i="2"/>
  <c r="W1544" i="2"/>
  <c r="X1544" i="2" s="1"/>
  <c r="T1544" i="2"/>
  <c r="R1544" i="2"/>
  <c r="W1502" i="2"/>
  <c r="X1502" i="2" s="1"/>
  <c r="T1502" i="2"/>
  <c r="R1502" i="2"/>
  <c r="F623" i="2"/>
  <c r="F90" i="7" s="1"/>
  <c r="T481" i="2"/>
  <c r="T482" i="2"/>
  <c r="T483" i="2"/>
  <c r="T484" i="2"/>
  <c r="T485" i="2"/>
  <c r="T486" i="2"/>
  <c r="T487" i="2"/>
  <c r="T1506" i="2"/>
  <c r="F656" i="2"/>
  <c r="F349" i="2"/>
  <c r="F803" i="2"/>
  <c r="F1122" i="2"/>
  <c r="T476" i="2"/>
  <c r="F350" i="2"/>
  <c r="F1036" i="2"/>
  <c r="F1020" i="2"/>
  <c r="F1125" i="2"/>
  <c r="T474" i="2"/>
  <c r="F30" i="2"/>
  <c r="F31" i="2"/>
  <c r="F36" i="2"/>
  <c r="F206" i="2"/>
  <c r="F505" i="2"/>
  <c r="F497" i="2"/>
  <c r="F1661" i="2"/>
  <c r="W1492" i="2"/>
  <c r="T1492" i="2"/>
  <c r="R1492" i="2"/>
  <c r="T506" i="2"/>
  <c r="W1950" i="2"/>
  <c r="T1950" i="2"/>
  <c r="R1950" i="2"/>
  <c r="R662" i="2"/>
  <c r="F17" i="2"/>
  <c r="F18" i="2"/>
  <c r="F19" i="2"/>
  <c r="F20" i="2"/>
  <c r="F21" i="2"/>
  <c r="F22" i="2"/>
  <c r="F23" i="2"/>
  <c r="F24" i="2"/>
  <c r="F25" i="2"/>
  <c r="F26" i="2"/>
  <c r="F657" i="2"/>
  <c r="I232" i="2"/>
  <c r="I299" i="2"/>
  <c r="T1509" i="2"/>
  <c r="F351" i="2"/>
  <c r="F1783" i="2"/>
  <c r="F1326" i="2"/>
  <c r="W1510" i="2"/>
  <c r="F352" i="2"/>
  <c r="T543" i="2"/>
  <c r="T544" i="2"/>
  <c r="T545" i="2"/>
  <c r="T546" i="2"/>
  <c r="T547" i="2"/>
  <c r="F442" i="2"/>
  <c r="F353" i="2"/>
  <c r="I118" i="2"/>
  <c r="W657" i="2"/>
  <c r="T657" i="2"/>
  <c r="R657" i="2"/>
  <c r="T505" i="2"/>
  <c r="H93" i="7" l="1"/>
  <c r="G93" i="7"/>
  <c r="X1492" i="2"/>
  <c r="X1950" i="2"/>
  <c r="X657" i="2"/>
  <c r="T1592" i="2" l="1"/>
  <c r="T1593" i="2"/>
  <c r="T1591" i="2"/>
  <c r="W1594" i="2"/>
  <c r="X1594" i="2" s="1"/>
  <c r="R1594" i="2"/>
  <c r="M1594" i="2" s="1"/>
  <c r="H1594" i="2"/>
  <c r="W1593" i="2"/>
  <c r="X1593" i="2" s="1"/>
  <c r="R1593" i="2"/>
  <c r="F1593" i="2"/>
  <c r="W1592" i="2"/>
  <c r="X1592" i="2" s="1"/>
  <c r="R1592" i="2"/>
  <c r="F1592" i="2"/>
  <c r="W1591" i="2"/>
  <c r="X1591" i="2" s="1"/>
  <c r="R1591" i="2"/>
  <c r="F1885" i="2" l="1"/>
  <c r="F1886" i="2" l="1"/>
  <c r="T780" i="2" l="1"/>
  <c r="F760" i="2" l="1"/>
  <c r="F1231" i="2" l="1"/>
  <c r="F1142" i="2"/>
  <c r="F1887" i="2" l="1"/>
  <c r="F1301" i="2" l="1"/>
  <c r="L7" i="7" l="1"/>
  <c r="F1708" i="2"/>
  <c r="F1471" i="2"/>
  <c r="F295" i="2"/>
  <c r="F1889" i="2" l="1"/>
  <c r="F1888" i="2"/>
  <c r="F1864" i="2"/>
  <c r="F1819" i="2" l="1"/>
  <c r="F1709" i="2"/>
  <c r="F766" i="2" l="1"/>
  <c r="T846" i="2" l="1"/>
  <c r="W1142" i="2" l="1"/>
  <c r="X1142" i="2" s="1"/>
  <c r="T1142" i="2"/>
  <c r="R1142" i="2"/>
  <c r="F129" i="2" l="1"/>
  <c r="F131" i="2"/>
  <c r="F130" i="2"/>
  <c r="F1579" i="2" l="1"/>
  <c r="F1325" i="2"/>
  <c r="F496" i="2" l="1"/>
  <c r="F495" i="2"/>
  <c r="T624" i="2" l="1"/>
  <c r="T625" i="2"/>
  <c r="T623" i="2"/>
  <c r="W626" i="2"/>
  <c r="R626" i="2"/>
  <c r="M626" i="2" s="1"/>
  <c r="M93" i="7" s="1"/>
  <c r="H626" i="2"/>
  <c r="Z625" i="2"/>
  <c r="W625" i="2"/>
  <c r="X625" i="2" s="1"/>
  <c r="R625" i="2"/>
  <c r="F625" i="2"/>
  <c r="F92" i="7" s="1"/>
  <c r="Z624" i="2"/>
  <c r="W624" i="2"/>
  <c r="X624" i="2" s="1"/>
  <c r="R624" i="2"/>
  <c r="F624" i="2"/>
  <c r="F91" i="7" s="1"/>
  <c r="Z623" i="2"/>
  <c r="W623" i="2"/>
  <c r="X623" i="2" s="1"/>
  <c r="R623" i="2"/>
  <c r="T288" i="2"/>
  <c r="X626" i="2" l="1"/>
  <c r="Y624" i="2"/>
  <c r="F1855" i="2" l="1"/>
  <c r="F935" i="2" l="1"/>
  <c r="W1579" i="2"/>
  <c r="X1579" i="2" s="1"/>
  <c r="T1579" i="2"/>
  <c r="R1579" i="2"/>
  <c r="F1202" i="2"/>
  <c r="R1431" i="2" l="1"/>
  <c r="F354" i="2" l="1"/>
  <c r="F355" i="2" l="1"/>
  <c r="G222" i="4" l="1"/>
  <c r="I60" i="2"/>
  <c r="F494" i="2" l="1"/>
  <c r="F47" i="2"/>
  <c r="F754" i="2"/>
  <c r="T343" i="2" l="1"/>
  <c r="H359" i="2"/>
  <c r="N216" i="6" l="1"/>
  <c r="O216" i="6"/>
  <c r="P216" i="6"/>
  <c r="Q216" i="6"/>
  <c r="N217" i="6"/>
  <c r="O217" i="6"/>
  <c r="P217" i="6"/>
  <c r="Q217" i="6"/>
  <c r="N218" i="6"/>
  <c r="O218" i="6"/>
  <c r="P218" i="6"/>
  <c r="Q218" i="6"/>
  <c r="O215" i="6"/>
  <c r="P215" i="6"/>
  <c r="Q215" i="6"/>
  <c r="N215" i="6"/>
  <c r="F662" i="2"/>
  <c r="R814" i="2"/>
  <c r="R813" i="2"/>
  <c r="T810" i="2"/>
  <c r="S814" i="2" l="1"/>
  <c r="M814" i="2" s="1"/>
  <c r="F1848" i="2"/>
  <c r="F1847" i="2"/>
  <c r="F1618" i="2"/>
  <c r="F1337" i="2"/>
  <c r="F1246" i="2"/>
  <c r="F669" i="2"/>
  <c r="F765" i="2" l="1"/>
  <c r="T334" i="2"/>
  <c r="T573" i="2" l="1"/>
  <c r="T1429" i="2" l="1"/>
  <c r="F630" i="2" l="1"/>
  <c r="F810" i="2"/>
  <c r="F211" i="2" l="1"/>
  <c r="F212" i="2"/>
  <c r="F152" i="2" l="1"/>
  <c r="F210" i="2"/>
  <c r="T1141" i="2"/>
  <c r="T1143" i="2"/>
  <c r="T1144" i="2"/>
  <c r="T1140" i="2"/>
  <c r="W1145" i="2"/>
  <c r="R1145" i="2"/>
  <c r="M1145" i="2" s="1"/>
  <c r="H1145" i="2"/>
  <c r="W1144" i="2"/>
  <c r="X1144" i="2" s="1"/>
  <c r="R1144" i="2"/>
  <c r="F1144" i="2"/>
  <c r="W1143" i="2"/>
  <c r="X1143" i="2" s="1"/>
  <c r="R1143" i="2"/>
  <c r="F1143" i="2"/>
  <c r="W1141" i="2"/>
  <c r="X1141" i="2" s="1"/>
  <c r="R1141" i="2"/>
  <c r="W1140" i="2"/>
  <c r="X1140" i="2" s="1"/>
  <c r="R1140" i="2"/>
  <c r="F540" i="2" l="1"/>
  <c r="F597" i="2" l="1"/>
  <c r="F1374" i="2" l="1"/>
  <c r="T1551" i="2" l="1"/>
  <c r="T1552" i="2"/>
  <c r="T1548" i="2"/>
  <c r="T342" i="2" l="1"/>
  <c r="T344" i="2" l="1"/>
  <c r="F1423" i="2"/>
  <c r="F721" i="2"/>
  <c r="F402" i="2" l="1"/>
  <c r="F332" i="2"/>
  <c r="F333" i="2"/>
  <c r="T333" i="2" l="1"/>
  <c r="W1849" i="2" l="1"/>
  <c r="X1849" i="2" s="1"/>
  <c r="T1849" i="2"/>
  <c r="R1849" i="2"/>
  <c r="F1849" i="2"/>
  <c r="F214" i="6"/>
  <c r="T332" i="2" l="1"/>
  <c r="F571" i="2"/>
  <c r="F334" i="2"/>
  <c r="F460" i="2" l="1"/>
  <c r="F1835" i="2" l="1"/>
  <c r="F817" i="2"/>
  <c r="F461" i="2"/>
  <c r="W1524" i="2"/>
  <c r="X1524" i="2" s="1"/>
  <c r="T1524" i="2"/>
  <c r="R1524" i="2"/>
  <c r="W1553" i="2"/>
  <c r="X1553" i="2" s="1"/>
  <c r="R1553" i="2"/>
  <c r="M1553" i="2" s="1"/>
  <c r="H1553" i="2"/>
  <c r="W1552" i="2"/>
  <c r="X1552" i="2" s="1"/>
  <c r="R1552" i="2"/>
  <c r="F1552" i="2"/>
  <c r="W1551" i="2"/>
  <c r="X1551" i="2" s="1"/>
  <c r="R1551" i="2"/>
  <c r="F1551" i="2"/>
  <c r="W1548" i="2"/>
  <c r="X1548" i="2" s="1"/>
  <c r="R1548" i="2"/>
  <c r="F995" i="2" l="1"/>
  <c r="R268" i="2" l="1"/>
  <c r="M268" i="2" s="1"/>
  <c r="F1059" i="2" l="1"/>
  <c r="F811" i="2" l="1"/>
  <c r="W304" i="2" l="1"/>
  <c r="X304" i="2" s="1"/>
  <c r="T304" i="2"/>
  <c r="R304" i="2"/>
  <c r="F44" i="2"/>
  <c r="F45" i="2"/>
  <c r="F46" i="2"/>
  <c r="F482" i="2" l="1"/>
  <c r="T287" i="2" l="1"/>
  <c r="R293" i="2"/>
  <c r="F248" i="2"/>
  <c r="H66" i="4" l="1"/>
  <c r="F483" i="2"/>
  <c r="I91" i="2" l="1"/>
  <c r="W206" i="2"/>
  <c r="X206" i="2" s="1"/>
  <c r="R206" i="2"/>
  <c r="L206" i="2"/>
  <c r="W871" i="2"/>
  <c r="X871" i="2" s="1"/>
  <c r="T871" i="2"/>
  <c r="R871" i="2"/>
  <c r="T279" i="2"/>
  <c r="T280" i="2"/>
  <c r="T281" i="2"/>
  <c r="T282" i="2"/>
  <c r="T283" i="2"/>
  <c r="T284" i="2"/>
  <c r="T285" i="2"/>
  <c r="T286" i="2"/>
  <c r="T289" i="2"/>
  <c r="T290" i="2"/>
  <c r="T291" i="2"/>
  <c r="W1306" i="2" l="1"/>
  <c r="X1306" i="2" s="1"/>
  <c r="T1306" i="2"/>
  <c r="R1306" i="2"/>
  <c r="F805" i="2"/>
  <c r="W486" i="2"/>
  <c r="X486" i="2" s="1"/>
  <c r="R486" i="2"/>
  <c r="F486" i="2"/>
  <c r="T429" i="2"/>
  <c r="T428" i="2"/>
  <c r="W482" i="2" l="1"/>
  <c r="X482" i="2" s="1"/>
  <c r="R482" i="2"/>
  <c r="W484" i="2"/>
  <c r="X484" i="2" s="1"/>
  <c r="R484" i="2"/>
  <c r="F484" i="2"/>
  <c r="W485" i="2"/>
  <c r="X485" i="2" s="1"/>
  <c r="R485" i="2"/>
  <c r="F485" i="2"/>
  <c r="W483" i="2"/>
  <c r="X483" i="2" s="1"/>
  <c r="R483" i="2"/>
  <c r="F1281" i="2" l="1"/>
  <c r="W293" i="2" l="1"/>
  <c r="X293" i="2" s="1"/>
  <c r="M293" i="2"/>
  <c r="H293" i="2"/>
  <c r="W292" i="2"/>
  <c r="X292" i="2" s="1"/>
  <c r="R292" i="2"/>
  <c r="F292" i="2"/>
  <c r="W291" i="2"/>
  <c r="X291" i="2" s="1"/>
  <c r="R291" i="2"/>
  <c r="L291" i="2"/>
  <c r="F291" i="2"/>
  <c r="W290" i="2"/>
  <c r="X290" i="2" s="1"/>
  <c r="R290" i="2"/>
  <c r="L290" i="2"/>
  <c r="F290" i="2"/>
  <c r="W289" i="2"/>
  <c r="X289" i="2" s="1"/>
  <c r="R289" i="2"/>
  <c r="L289" i="2"/>
  <c r="F289" i="2"/>
  <c r="W288" i="2"/>
  <c r="X288" i="2" s="1"/>
  <c r="R288" i="2"/>
  <c r="F288" i="2"/>
  <c r="W287" i="2"/>
  <c r="X287" i="2" s="1"/>
  <c r="R287" i="2"/>
  <c r="F287" i="2"/>
  <c r="F1873" i="2" l="1"/>
  <c r="F151" i="2"/>
  <c r="W204" i="2"/>
  <c r="X204" i="2" s="1"/>
  <c r="R204" i="2"/>
  <c r="T425" i="2" l="1"/>
  <c r="T426" i="2"/>
  <c r="T427" i="2"/>
  <c r="W480" i="2"/>
  <c r="X480" i="2" s="1"/>
  <c r="R480" i="2"/>
  <c r="W481" i="2"/>
  <c r="X481" i="2" s="1"/>
  <c r="R481" i="2"/>
  <c r="W477" i="2"/>
  <c r="X477" i="2" s="1"/>
  <c r="R477" i="2"/>
  <c r="W476" i="2"/>
  <c r="X476" i="2" s="1"/>
  <c r="R476" i="2"/>
  <c r="T475" i="2"/>
  <c r="W478" i="2"/>
  <c r="X478" i="2" s="1"/>
  <c r="R478" i="2"/>
  <c r="W475" i="2"/>
  <c r="X475" i="2" s="1"/>
  <c r="R475" i="2"/>
  <c r="W474" i="2" l="1"/>
  <c r="X474" i="2" s="1"/>
  <c r="R474" i="2"/>
  <c r="W473" i="2"/>
  <c r="X473" i="2" s="1"/>
  <c r="R473" i="2"/>
  <c r="W479" i="2"/>
  <c r="X479" i="2" s="1"/>
  <c r="R479" i="2"/>
  <c r="W472" i="2"/>
  <c r="X472" i="2" s="1"/>
  <c r="R472" i="2"/>
  <c r="F1422" i="2" l="1"/>
  <c r="F65" i="2"/>
  <c r="F66" i="2"/>
  <c r="F67" i="2"/>
  <c r="F68" i="2"/>
  <c r="T1545" i="2" l="1"/>
  <c r="T1546" i="2"/>
  <c r="T1543" i="2"/>
  <c r="B2" i="8" a="1"/>
  <c r="F7" i="8" s="1"/>
  <c r="F181" i="8" l="1"/>
  <c r="D143" i="8"/>
  <c r="E185" i="8"/>
  <c r="G181" i="8"/>
  <c r="C178" i="8"/>
  <c r="F174" i="8"/>
  <c r="F171" i="8"/>
  <c r="B167" i="8"/>
  <c r="G161" i="8"/>
  <c r="C158" i="8"/>
  <c r="D153" i="8"/>
  <c r="F148" i="8"/>
  <c r="F143" i="8"/>
  <c r="F139" i="8"/>
  <c r="G134" i="8"/>
  <c r="C129" i="8"/>
  <c r="B125" i="8"/>
  <c r="D119" i="8"/>
  <c r="F113" i="8"/>
  <c r="G108" i="8"/>
  <c r="G103" i="8"/>
  <c r="G98" i="8"/>
  <c r="G92" i="8"/>
  <c r="G86" i="8"/>
  <c r="G80" i="8"/>
  <c r="G74" i="8"/>
  <c r="E67" i="8"/>
  <c r="B61" i="8"/>
  <c r="F53" i="8"/>
  <c r="C47" i="8"/>
  <c r="G39" i="8"/>
  <c r="B33" i="8"/>
  <c r="E21" i="8"/>
  <c r="E9" i="8"/>
  <c r="B2" i="8"/>
  <c r="G3" i="8"/>
  <c r="D11" i="8"/>
  <c r="D17" i="8"/>
  <c r="F21" i="8"/>
  <c r="B27" i="8"/>
  <c r="B31" i="8"/>
  <c r="G33" i="8"/>
  <c r="E37" i="8"/>
  <c r="C41" i="8"/>
  <c r="G44" i="8"/>
  <c r="F47" i="8"/>
  <c r="D51" i="8"/>
  <c r="B55" i="8"/>
  <c r="G57" i="8"/>
  <c r="E61" i="8"/>
  <c r="C65" i="8"/>
  <c r="G68" i="8"/>
  <c r="F71" i="8"/>
  <c r="D75" i="8"/>
  <c r="C78" i="8"/>
  <c r="D81" i="8"/>
  <c r="C84" i="8"/>
  <c r="D87" i="8"/>
  <c r="C90" i="8"/>
  <c r="D93" i="8"/>
  <c r="C96" i="8"/>
  <c r="D99" i="8"/>
  <c r="C102" i="8"/>
  <c r="D105" i="8"/>
  <c r="C108" i="8"/>
  <c r="D111" i="8"/>
  <c r="C114" i="8"/>
  <c r="D117" i="8"/>
  <c r="C120" i="8"/>
  <c r="D123" i="8"/>
  <c r="C126" i="8"/>
  <c r="D129" i="8"/>
  <c r="C132" i="8"/>
  <c r="D135" i="8"/>
  <c r="C138" i="8"/>
  <c r="B141" i="8"/>
  <c r="E143" i="8"/>
  <c r="C146" i="8"/>
  <c r="B149" i="8"/>
  <c r="E151" i="8"/>
  <c r="C154" i="8"/>
  <c r="B157" i="8"/>
  <c r="E159" i="8"/>
  <c r="C162" i="8"/>
  <c r="B165" i="8"/>
  <c r="E167" i="8"/>
  <c r="C170" i="8"/>
  <c r="E172" i="8"/>
  <c r="E174" i="8"/>
  <c r="E176" i="8"/>
  <c r="E178" i="8"/>
  <c r="E180" i="8"/>
  <c r="E182" i="8"/>
  <c r="E184" i="8"/>
  <c r="E186" i="8"/>
  <c r="E11" i="8"/>
  <c r="E17" i="8"/>
  <c r="G21" i="8"/>
  <c r="D27" i="8"/>
  <c r="C31" i="8"/>
  <c r="G34" i="8"/>
  <c r="F37" i="8"/>
  <c r="D41" i="8"/>
  <c r="B45" i="8"/>
  <c r="G47" i="8"/>
  <c r="E51" i="8"/>
  <c r="C55" i="8"/>
  <c r="G58" i="8"/>
  <c r="F61" i="8"/>
  <c r="D65" i="8"/>
  <c r="B69" i="8"/>
  <c r="G71" i="8"/>
  <c r="E75" i="8"/>
  <c r="G78" i="8"/>
  <c r="E81" i="8"/>
  <c r="G84" i="8"/>
  <c r="E87" i="8"/>
  <c r="G90" i="8"/>
  <c r="E93" i="8"/>
  <c r="G96" i="8"/>
  <c r="E5" i="8"/>
  <c r="F5" i="8"/>
  <c r="F11" i="8"/>
  <c r="F17" i="8"/>
  <c r="B23" i="8"/>
  <c r="E27" i="8"/>
  <c r="D31" i="8"/>
  <c r="B35" i="8"/>
  <c r="G37" i="8"/>
  <c r="E41" i="8"/>
  <c r="C45" i="8"/>
  <c r="G48" i="8"/>
  <c r="F51" i="8"/>
  <c r="D55" i="8"/>
  <c r="B59" i="8"/>
  <c r="G61" i="8"/>
  <c r="E65" i="8"/>
  <c r="C69" i="8"/>
  <c r="G72" i="8"/>
  <c r="F75" i="8"/>
  <c r="B79" i="8"/>
  <c r="F81" i="8"/>
  <c r="B85" i="8"/>
  <c r="F87" i="8"/>
  <c r="B91" i="8"/>
  <c r="F93" i="8"/>
  <c r="B97" i="8"/>
  <c r="F99" i="8"/>
  <c r="B103" i="8"/>
  <c r="F105" i="8"/>
  <c r="B109" i="8"/>
  <c r="F111" i="8"/>
  <c r="B115" i="8"/>
  <c r="F117" i="8"/>
  <c r="B121" i="8"/>
  <c r="F123" i="8"/>
  <c r="B127" i="8"/>
  <c r="F129" i="8"/>
  <c r="B133" i="8"/>
  <c r="F135" i="8"/>
  <c r="G138" i="8"/>
  <c r="D141" i="8"/>
  <c r="G143" i="8"/>
  <c r="G146" i="8"/>
  <c r="D149" i="8"/>
  <c r="G151" i="8"/>
  <c r="G154" i="8"/>
  <c r="D157" i="8"/>
  <c r="G159" i="8"/>
  <c r="G162" i="8"/>
  <c r="D165" i="8"/>
  <c r="G167" i="8"/>
  <c r="G170" i="8"/>
  <c r="G172" i="8"/>
  <c r="G174" i="8"/>
  <c r="G176" i="8"/>
  <c r="G178" i="8"/>
  <c r="G180" i="8"/>
  <c r="G182" i="8"/>
  <c r="G184" i="8"/>
  <c r="G186" i="8"/>
  <c r="B175" i="8"/>
  <c r="B179" i="8"/>
  <c r="B183" i="8"/>
  <c r="B185" i="8"/>
  <c r="E133" i="8"/>
  <c r="G152" i="8"/>
  <c r="G160" i="8"/>
  <c r="D171" i="8"/>
  <c r="D175" i="8"/>
  <c r="D181" i="8"/>
  <c r="F13" i="8"/>
  <c r="G5" i="8"/>
  <c r="G11" i="8"/>
  <c r="G17" i="8"/>
  <c r="D23" i="8"/>
  <c r="F27" i="8"/>
  <c r="E31" i="8"/>
  <c r="C35" i="8"/>
  <c r="G38" i="8"/>
  <c r="F41" i="8"/>
  <c r="D45" i="8"/>
  <c r="B49" i="8"/>
  <c r="G51" i="8"/>
  <c r="E55" i="8"/>
  <c r="C59" i="8"/>
  <c r="G62" i="8"/>
  <c r="F65" i="8"/>
  <c r="D69" i="8"/>
  <c r="B73" i="8"/>
  <c r="G75" i="8"/>
  <c r="C79" i="8"/>
  <c r="G81" i="8"/>
  <c r="C85" i="8"/>
  <c r="G87" i="8"/>
  <c r="C91" i="8"/>
  <c r="G93" i="8"/>
  <c r="C97" i="8"/>
  <c r="G99" i="8"/>
  <c r="C103" i="8"/>
  <c r="G105" i="8"/>
  <c r="C109" i="8"/>
  <c r="G111" i="8"/>
  <c r="C115" i="8"/>
  <c r="G117" i="8"/>
  <c r="C121" i="8"/>
  <c r="G123" i="8"/>
  <c r="C127" i="8"/>
  <c r="G129" i="8"/>
  <c r="C133" i="8"/>
  <c r="G135" i="8"/>
  <c r="B139" i="8"/>
  <c r="E141" i="8"/>
  <c r="C144" i="8"/>
  <c r="B147" i="8"/>
  <c r="E149" i="8"/>
  <c r="C152" i="8"/>
  <c r="B155" i="8"/>
  <c r="E157" i="8"/>
  <c r="C160" i="8"/>
  <c r="B163" i="8"/>
  <c r="E165" i="8"/>
  <c r="C168" i="8"/>
  <c r="B171" i="8"/>
  <c r="B173" i="8"/>
  <c r="B177" i="8"/>
  <c r="B181" i="8"/>
  <c r="G136" i="8"/>
  <c r="D155" i="8"/>
  <c r="D163" i="8"/>
  <c r="D173" i="8"/>
  <c r="D179" i="8"/>
  <c r="D7" i="8"/>
  <c r="D13" i="8"/>
  <c r="B19" i="8"/>
  <c r="E23" i="8"/>
  <c r="G27" i="8"/>
  <c r="F31" i="8"/>
  <c r="D35" i="8"/>
  <c r="B39" i="8"/>
  <c r="G41" i="8"/>
  <c r="E45" i="8"/>
  <c r="C49" i="8"/>
  <c r="G52" i="8"/>
  <c r="F55" i="8"/>
  <c r="D59" i="8"/>
  <c r="B63" i="8"/>
  <c r="G65" i="8"/>
  <c r="E69" i="8"/>
  <c r="C73" i="8"/>
  <c r="C76" i="8"/>
  <c r="D79" i="8"/>
  <c r="C82" i="8"/>
  <c r="D85" i="8"/>
  <c r="C88" i="8"/>
  <c r="D91" i="8"/>
  <c r="C94" i="8"/>
  <c r="D97" i="8"/>
  <c r="C100" i="8"/>
  <c r="D103" i="8"/>
  <c r="C106" i="8"/>
  <c r="D109" i="8"/>
  <c r="C112" i="8"/>
  <c r="D115" i="8"/>
  <c r="C118" i="8"/>
  <c r="D121" i="8"/>
  <c r="C124" i="8"/>
  <c r="D127" i="8"/>
  <c r="C130" i="8"/>
  <c r="D133" i="8"/>
  <c r="C136" i="8"/>
  <c r="C139" i="8"/>
  <c r="F141" i="8"/>
  <c r="F144" i="8"/>
  <c r="C147" i="8"/>
  <c r="F149" i="8"/>
  <c r="F152" i="8"/>
  <c r="C155" i="8"/>
  <c r="F157" i="8"/>
  <c r="F160" i="8"/>
  <c r="C163" i="8"/>
  <c r="F165" i="8"/>
  <c r="F168" i="8"/>
  <c r="C171" i="8"/>
  <c r="C173" i="8"/>
  <c r="C175" i="8"/>
  <c r="C177" i="8"/>
  <c r="C179" i="8"/>
  <c r="C181" i="8"/>
  <c r="C183" i="8"/>
  <c r="C185" i="8"/>
  <c r="G106" i="8"/>
  <c r="E121" i="8"/>
  <c r="E127" i="8"/>
  <c r="D139" i="8"/>
  <c r="G144" i="8"/>
  <c r="D147" i="8"/>
  <c r="G157" i="8"/>
  <c r="G168" i="8"/>
  <c r="D177" i="8"/>
  <c r="D185" i="8"/>
  <c r="E19" i="8"/>
  <c r="C29" i="8"/>
  <c r="G32" i="8"/>
  <c r="F35" i="8"/>
  <c r="D39" i="8"/>
  <c r="E7" i="8"/>
  <c r="E13" i="8"/>
  <c r="D19" i="8"/>
  <c r="F23" i="8"/>
  <c r="B29" i="8"/>
  <c r="G31" i="8"/>
  <c r="E35" i="8"/>
  <c r="C39" i="8"/>
  <c r="G42" i="8"/>
  <c r="F45" i="8"/>
  <c r="D49" i="8"/>
  <c r="B53" i="8"/>
  <c r="G55" i="8"/>
  <c r="E59" i="8"/>
  <c r="C63" i="8"/>
  <c r="G66" i="8"/>
  <c r="F69" i="8"/>
  <c r="D73" i="8"/>
  <c r="G76" i="8"/>
  <c r="E79" i="8"/>
  <c r="G82" i="8"/>
  <c r="E85" i="8"/>
  <c r="G88" i="8"/>
  <c r="E91" i="8"/>
  <c r="G94" i="8"/>
  <c r="E97" i="8"/>
  <c r="G100" i="8"/>
  <c r="E103" i="8"/>
  <c r="E109" i="8"/>
  <c r="G112" i="8"/>
  <c r="E115" i="8"/>
  <c r="G118" i="8"/>
  <c r="G124" i="8"/>
  <c r="G130" i="8"/>
  <c r="G141" i="8"/>
  <c r="G149" i="8"/>
  <c r="G165" i="8"/>
  <c r="D183" i="8"/>
  <c r="F161" i="8"/>
  <c r="C119" i="8"/>
  <c r="C86" i="8"/>
  <c r="B47" i="8"/>
  <c r="G156" i="8"/>
  <c r="F107" i="8"/>
  <c r="G29" i="8"/>
  <c r="F180" i="8"/>
  <c r="F151" i="8"/>
  <c r="D29" i="8"/>
  <c r="C153" i="8"/>
  <c r="F103" i="8"/>
  <c r="F39" i="8"/>
  <c r="C174" i="8"/>
  <c r="F138" i="8"/>
  <c r="G102" i="8"/>
  <c r="G46" i="8"/>
  <c r="F177" i="8"/>
  <c r="F147" i="8"/>
  <c r="E107" i="8"/>
  <c r="C53" i="8"/>
  <c r="F169" i="8"/>
  <c r="G132" i="8"/>
  <c r="G95" i="8"/>
  <c r="E29" i="8"/>
  <c r="B161" i="8"/>
  <c r="F89" i="8"/>
  <c r="C142" i="8"/>
  <c r="E95" i="8"/>
  <c r="C71" i="8"/>
  <c r="G36" i="8"/>
  <c r="G25" i="8"/>
  <c r="F15" i="8"/>
  <c r="F184" i="8"/>
  <c r="C157" i="8"/>
  <c r="E123" i="8"/>
  <c r="C92" i="8"/>
  <c r="G60" i="8"/>
  <c r="F166" i="8"/>
  <c r="C143" i="8"/>
  <c r="B119" i="8"/>
  <c r="G97" i="8"/>
  <c r="C67" i="8"/>
  <c r="G7" i="8"/>
  <c r="B174" i="8"/>
  <c r="F156" i="8"/>
  <c r="F133" i="8"/>
  <c r="C113" i="8"/>
  <c r="F91" i="8"/>
  <c r="E73" i="8"/>
  <c r="F59" i="8"/>
  <c r="F29" i="8"/>
  <c r="G173" i="8"/>
  <c r="C156" i="8"/>
  <c r="G142" i="8"/>
  <c r="G127" i="8"/>
  <c r="D107" i="8"/>
  <c r="G89" i="8"/>
  <c r="E71" i="8"/>
  <c r="F57" i="8"/>
  <c r="C37" i="8"/>
  <c r="G183" i="8"/>
  <c r="E169" i="8"/>
  <c r="C151" i="8"/>
  <c r="G131" i="8"/>
  <c r="B117" i="8"/>
  <c r="F95" i="8"/>
  <c r="G64" i="8"/>
  <c r="G15" i="8"/>
  <c r="F186" i="8"/>
  <c r="E173" i="8"/>
  <c r="B151" i="8"/>
  <c r="F131" i="8"/>
  <c r="B107" i="8"/>
  <c r="E83" i="8"/>
  <c r="G50" i="8"/>
  <c r="C176" i="8"/>
  <c r="C169" i="8"/>
  <c r="C164" i="8"/>
  <c r="D159" i="8"/>
  <c r="E155" i="8"/>
  <c r="G150" i="8"/>
  <c r="F145" i="8"/>
  <c r="C141" i="8"/>
  <c r="C137" i="8"/>
  <c r="E131" i="8"/>
  <c r="G125" i="8"/>
  <c r="F121" i="8"/>
  <c r="C116" i="8"/>
  <c r="B111" i="8"/>
  <c r="E105" i="8"/>
  <c r="C101" i="8"/>
  <c r="D95" i="8"/>
  <c r="D89" i="8"/>
  <c r="D83" i="8"/>
  <c r="D77" i="8"/>
  <c r="B71" i="8"/>
  <c r="F63" i="8"/>
  <c r="C57" i="8"/>
  <c r="G49" i="8"/>
  <c r="D43" i="8"/>
  <c r="G35" i="8"/>
  <c r="F25" i="8"/>
  <c r="E15" i="8"/>
  <c r="B178" i="8"/>
  <c r="C134" i="8"/>
  <c r="E53" i="8"/>
  <c r="E181" i="8"/>
  <c r="G133" i="8"/>
  <c r="F73" i="8"/>
  <c r="D176" i="8"/>
  <c r="F159" i="8"/>
  <c r="D137" i="8"/>
  <c r="C111" i="8"/>
  <c r="E77" i="8"/>
  <c r="G163" i="8"/>
  <c r="G120" i="8"/>
  <c r="C83" i="8"/>
  <c r="E63" i="8"/>
  <c r="B57" i="8"/>
  <c r="C43" i="8"/>
  <c r="D15" i="8"/>
  <c r="E171" i="8"/>
  <c r="E139" i="8"/>
  <c r="G107" i="8"/>
  <c r="G73" i="8"/>
  <c r="D21" i="8"/>
  <c r="G177" i="8"/>
  <c r="B153" i="8"/>
  <c r="C123" i="8"/>
  <c r="G91" i="8"/>
  <c r="D53" i="8"/>
  <c r="G169" i="8"/>
  <c r="C128" i="8"/>
  <c r="F97" i="8"/>
  <c r="G45" i="8"/>
  <c r="D180" i="8"/>
  <c r="D151" i="8"/>
  <c r="B113" i="8"/>
  <c r="C51" i="8"/>
  <c r="F173" i="8"/>
  <c r="F142" i="8"/>
  <c r="E111" i="8"/>
  <c r="F83" i="8"/>
  <c r="F43" i="8"/>
  <c r="F164" i="8"/>
  <c r="G121" i="8"/>
  <c r="G63" i="8"/>
  <c r="D186" i="8"/>
  <c r="F182" i="8"/>
  <c r="B169" i="8"/>
  <c r="E145" i="8"/>
  <c r="G115" i="8"/>
  <c r="F49" i="8"/>
  <c r="B186" i="8"/>
  <c r="F163" i="8"/>
  <c r="F140" i="8"/>
  <c r="E125" i="8"/>
  <c r="G119" i="8"/>
  <c r="C110" i="8"/>
  <c r="E99" i="8"/>
  <c r="B95" i="8"/>
  <c r="B89" i="8"/>
  <c r="B83" i="8"/>
  <c r="B77" i="8"/>
  <c r="G69" i="8"/>
  <c r="D63" i="8"/>
  <c r="G56" i="8"/>
  <c r="E49" i="8"/>
  <c r="B43" i="8"/>
  <c r="E33" i="8"/>
  <c r="D25" i="8"/>
  <c r="G13" i="8"/>
  <c r="D174" i="8"/>
  <c r="C148" i="8"/>
  <c r="E113" i="8"/>
  <c r="C80" i="8"/>
  <c r="G30" i="8"/>
  <c r="E161" i="8"/>
  <c r="G128" i="8"/>
  <c r="G85" i="8"/>
  <c r="E39" i="8"/>
  <c r="C184" i="8"/>
  <c r="D161" i="8"/>
  <c r="G137" i="8"/>
  <c r="E117" i="8"/>
  <c r="F85" i="8"/>
  <c r="D37" i="8"/>
  <c r="B184" i="8"/>
  <c r="C165" i="8"/>
  <c r="F137" i="8"/>
  <c r="C117" i="8"/>
  <c r="G83" i="8"/>
  <c r="G43" i="8"/>
  <c r="C180" i="8"/>
  <c r="G164" i="8"/>
  <c r="F146" i="8"/>
  <c r="F127" i="8"/>
  <c r="E101" i="8"/>
  <c r="B51" i="8"/>
  <c r="B180" i="8"/>
  <c r="G145" i="8"/>
  <c r="G116" i="8"/>
  <c r="E43" i="8"/>
  <c r="G179" i="8"/>
  <c r="C186" i="8"/>
  <c r="B176" i="8"/>
  <c r="F154" i="8"/>
  <c r="G140" i="8"/>
  <c r="D131" i="8"/>
  <c r="C105" i="8"/>
  <c r="C95" i="8"/>
  <c r="C77" i="8"/>
  <c r="E25" i="8"/>
  <c r="D182" i="8"/>
  <c r="G175" i="8"/>
  <c r="F167" i="8"/>
  <c r="G153" i="8"/>
  <c r="D145" i="8"/>
  <c r="C131" i="8"/>
  <c r="F115" i="8"/>
  <c r="G185" i="8"/>
  <c r="B172" i="8"/>
  <c r="G158" i="8"/>
  <c r="F153" i="8"/>
  <c r="C145" i="8"/>
  <c r="C140" i="8"/>
  <c r="C135" i="8"/>
  <c r="B131" i="8"/>
  <c r="D125" i="8"/>
  <c r="F119" i="8"/>
  <c r="G114" i="8"/>
  <c r="G109" i="8"/>
  <c r="G104" i="8"/>
  <c r="C99" i="8"/>
  <c r="C93" i="8"/>
  <c r="C87" i="8"/>
  <c r="C81" i="8"/>
  <c r="C75" i="8"/>
  <c r="G67" i="8"/>
  <c r="D61" i="8"/>
  <c r="G54" i="8"/>
  <c r="E47" i="8"/>
  <c r="B41" i="8"/>
  <c r="D33" i="8"/>
  <c r="B25" i="8"/>
  <c r="G9" i="8"/>
  <c r="G166" i="8"/>
  <c r="B129" i="8"/>
  <c r="C98" i="8"/>
  <c r="D67" i="8"/>
  <c r="D9" i="8"/>
  <c r="D184" i="8"/>
  <c r="F170" i="8"/>
  <c r="G147" i="8"/>
  <c r="D113" i="8"/>
  <c r="G79" i="8"/>
  <c r="G59" i="8"/>
  <c r="B21" i="8"/>
  <c r="C166" i="8"/>
  <c r="B143" i="8"/>
  <c r="B123" i="8"/>
  <c r="G101" i="8"/>
  <c r="F79" i="8"/>
  <c r="B67" i="8"/>
  <c r="G19" i="8"/>
  <c r="E177" i="8"/>
  <c r="C161" i="8"/>
  <c r="E147" i="8"/>
  <c r="G122" i="8"/>
  <c r="F101" i="8"/>
  <c r="G77" i="8"/>
  <c r="B65" i="8"/>
  <c r="F19" i="8"/>
  <c r="F176" i="8"/>
  <c r="G155" i="8"/>
  <c r="E137" i="8"/>
  <c r="C122" i="8"/>
  <c r="C107" i="8"/>
  <c r="F77" i="8"/>
  <c r="D71" i="8"/>
  <c r="E57" i="8"/>
  <c r="B37" i="8"/>
  <c r="F183" i="8"/>
  <c r="D169" i="8"/>
  <c r="F155" i="8"/>
  <c r="G126" i="8"/>
  <c r="D101" i="8"/>
  <c r="E89" i="8"/>
  <c r="D57" i="8"/>
  <c r="E183" i="8"/>
  <c r="F172" i="8"/>
  <c r="F179" i="8"/>
  <c r="D172" i="8"/>
  <c r="C159" i="8"/>
  <c r="F150" i="8"/>
  <c r="B137" i="8"/>
  <c r="F125" i="8"/>
  <c r="G110" i="8"/>
  <c r="B101" i="8"/>
  <c r="C89" i="8"/>
  <c r="G70" i="8"/>
  <c r="F33" i="8"/>
  <c r="E179" i="8"/>
  <c r="C172" i="8"/>
  <c r="B159" i="8"/>
  <c r="C150" i="8"/>
  <c r="E135" i="8"/>
  <c r="B105" i="8"/>
  <c r="C182" i="8"/>
  <c r="F178" i="8"/>
  <c r="F175" i="8"/>
  <c r="D167" i="8"/>
  <c r="E163" i="8"/>
  <c r="C149" i="8"/>
  <c r="F185" i="8"/>
  <c r="B182" i="8"/>
  <c r="D178" i="8"/>
  <c r="E175" i="8"/>
  <c r="G171" i="8"/>
  <c r="C167" i="8"/>
  <c r="F162" i="8"/>
  <c r="F158" i="8"/>
  <c r="E153" i="8"/>
  <c r="G148" i="8"/>
  <c r="B145" i="8"/>
  <c r="G139" i="8"/>
  <c r="B135" i="8"/>
  <c r="E129" i="8"/>
  <c r="C125" i="8"/>
  <c r="E119" i="8"/>
  <c r="G113" i="8"/>
  <c r="F109" i="8"/>
  <c r="C104" i="8"/>
  <c r="B99" i="8"/>
  <c r="B93" i="8"/>
  <c r="B87" i="8"/>
  <c r="B81" i="8"/>
  <c r="B75" i="8"/>
  <c r="F67" i="8"/>
  <c r="C61" i="8"/>
  <c r="G53" i="8"/>
  <c r="D47" i="8"/>
  <c r="G40" i="8"/>
  <c r="C33" i="8"/>
  <c r="G23" i="8"/>
  <c r="F9" i="8"/>
  <c r="F3" i="8"/>
  <c r="E3" i="8"/>
  <c r="D5" i="8"/>
  <c r="D3" i="8"/>
  <c r="C27" i="8"/>
  <c r="C25" i="8"/>
  <c r="C23" i="8"/>
  <c r="C21" i="8"/>
  <c r="C19" i="8"/>
  <c r="C17" i="8"/>
  <c r="C15" i="8"/>
  <c r="C13" i="8"/>
  <c r="C11" i="8"/>
  <c r="C9" i="8"/>
  <c r="C7" i="8"/>
  <c r="C5" i="8"/>
  <c r="C3" i="8"/>
  <c r="B17" i="8"/>
  <c r="B15" i="8"/>
  <c r="B13" i="8"/>
  <c r="B11" i="8"/>
  <c r="B9" i="8"/>
  <c r="B7" i="8"/>
  <c r="B5" i="8"/>
  <c r="B3" i="8"/>
  <c r="G28" i="8"/>
  <c r="G26" i="8"/>
  <c r="G24" i="8"/>
  <c r="G22" i="8"/>
  <c r="G20" i="8"/>
  <c r="G18" i="8"/>
  <c r="G16" i="8"/>
  <c r="G14" i="8"/>
  <c r="G12" i="8"/>
  <c r="G10" i="8"/>
  <c r="G8" i="8"/>
  <c r="G6" i="8"/>
  <c r="G4" i="8"/>
  <c r="G2" i="8"/>
  <c r="F136" i="8"/>
  <c r="F134" i="8"/>
  <c r="F132" i="8"/>
  <c r="F130" i="8"/>
  <c r="F128" i="8"/>
  <c r="F126" i="8"/>
  <c r="F124" i="8"/>
  <c r="F122" i="8"/>
  <c r="F120" i="8"/>
  <c r="F118" i="8"/>
  <c r="F116" i="8"/>
  <c r="F114" i="8"/>
  <c r="F112" i="8"/>
  <c r="F110" i="8"/>
  <c r="F108" i="8"/>
  <c r="F106" i="8"/>
  <c r="F104" i="8"/>
  <c r="F102" i="8"/>
  <c r="F100" i="8"/>
  <c r="F98" i="8"/>
  <c r="F96" i="8"/>
  <c r="F94" i="8"/>
  <c r="F92" i="8"/>
  <c r="F90" i="8"/>
  <c r="F88" i="8"/>
  <c r="F86" i="8"/>
  <c r="F84" i="8"/>
  <c r="F82" i="8"/>
  <c r="F80" i="8"/>
  <c r="F78" i="8"/>
  <c r="F76" i="8"/>
  <c r="F74" i="8"/>
  <c r="F72" i="8"/>
  <c r="F70" i="8"/>
  <c r="F68" i="8"/>
  <c r="F66" i="8"/>
  <c r="F64" i="8"/>
  <c r="F62" i="8"/>
  <c r="F60" i="8"/>
  <c r="F58" i="8"/>
  <c r="F56" i="8"/>
  <c r="F54" i="8"/>
  <c r="F52" i="8"/>
  <c r="F50" i="8"/>
  <c r="F48" i="8"/>
  <c r="F46" i="8"/>
  <c r="F44" i="8"/>
  <c r="F42" i="8"/>
  <c r="F40" i="8"/>
  <c r="F38" i="8"/>
  <c r="F36" i="8"/>
  <c r="F34" i="8"/>
  <c r="F32" i="8"/>
  <c r="F30" i="8"/>
  <c r="F28" i="8"/>
  <c r="F26" i="8"/>
  <c r="F24" i="8"/>
  <c r="F22" i="8"/>
  <c r="F20" i="8"/>
  <c r="F18" i="8"/>
  <c r="F16" i="8"/>
  <c r="F14" i="8"/>
  <c r="F12" i="8"/>
  <c r="F10" i="8"/>
  <c r="F8" i="8"/>
  <c r="F6" i="8"/>
  <c r="F4" i="8"/>
  <c r="F2" i="8"/>
  <c r="E170" i="8"/>
  <c r="E168" i="8"/>
  <c r="E166" i="8"/>
  <c r="E164" i="8"/>
  <c r="E162" i="8"/>
  <c r="E160" i="8"/>
  <c r="E158" i="8"/>
  <c r="E156" i="8"/>
  <c r="E154" i="8"/>
  <c r="E152" i="8"/>
  <c r="E150" i="8"/>
  <c r="E148" i="8"/>
  <c r="E146" i="8"/>
  <c r="E144" i="8"/>
  <c r="E142" i="8"/>
  <c r="E140" i="8"/>
  <c r="E138" i="8"/>
  <c r="E136" i="8"/>
  <c r="E134" i="8"/>
  <c r="E132" i="8"/>
  <c r="E130" i="8"/>
  <c r="E128" i="8"/>
  <c r="E126" i="8"/>
  <c r="E124" i="8"/>
  <c r="E122" i="8"/>
  <c r="E120" i="8"/>
  <c r="E118" i="8"/>
  <c r="E116" i="8"/>
  <c r="E114" i="8"/>
  <c r="E112" i="8"/>
  <c r="E110" i="8"/>
  <c r="E108" i="8"/>
  <c r="E106" i="8"/>
  <c r="E104" i="8"/>
  <c r="E102" i="8"/>
  <c r="E100" i="8"/>
  <c r="E98" i="8"/>
  <c r="E96" i="8"/>
  <c r="E94" i="8"/>
  <c r="E92" i="8"/>
  <c r="E90" i="8"/>
  <c r="E88" i="8"/>
  <c r="E86" i="8"/>
  <c r="E84" i="8"/>
  <c r="E82" i="8"/>
  <c r="E80" i="8"/>
  <c r="E78" i="8"/>
  <c r="E76" i="8"/>
  <c r="E74" i="8"/>
  <c r="E72" i="8"/>
  <c r="E70" i="8"/>
  <c r="E68" i="8"/>
  <c r="E66" i="8"/>
  <c r="E64" i="8"/>
  <c r="E62" i="8"/>
  <c r="E60" i="8"/>
  <c r="E58" i="8"/>
  <c r="E56" i="8"/>
  <c r="E54" i="8"/>
  <c r="E52" i="8"/>
  <c r="E50" i="8"/>
  <c r="E48" i="8"/>
  <c r="E46" i="8"/>
  <c r="E44" i="8"/>
  <c r="E42" i="8"/>
  <c r="E40" i="8"/>
  <c r="E38" i="8"/>
  <c r="E36" i="8"/>
  <c r="E34" i="8"/>
  <c r="E32" i="8"/>
  <c r="E30" i="8"/>
  <c r="E28" i="8"/>
  <c r="E26" i="8"/>
  <c r="E24" i="8"/>
  <c r="E22" i="8"/>
  <c r="E20" i="8"/>
  <c r="E18" i="8"/>
  <c r="E16" i="8"/>
  <c r="E14" i="8"/>
  <c r="E12" i="8"/>
  <c r="E10" i="8"/>
  <c r="E8" i="8"/>
  <c r="E6" i="8"/>
  <c r="E4" i="8"/>
  <c r="E2" i="8"/>
  <c r="D170" i="8"/>
  <c r="D168" i="8"/>
  <c r="D166" i="8"/>
  <c r="D164" i="8"/>
  <c r="D162" i="8"/>
  <c r="D160" i="8"/>
  <c r="D158" i="8"/>
  <c r="D156" i="8"/>
  <c r="D154" i="8"/>
  <c r="D152" i="8"/>
  <c r="D150" i="8"/>
  <c r="D148" i="8"/>
  <c r="D146" i="8"/>
  <c r="D144" i="8"/>
  <c r="D142" i="8"/>
  <c r="D140" i="8"/>
  <c r="D138" i="8"/>
  <c r="D136" i="8"/>
  <c r="D134" i="8"/>
  <c r="D132" i="8"/>
  <c r="D130" i="8"/>
  <c r="D128" i="8"/>
  <c r="D126" i="8"/>
  <c r="D124" i="8"/>
  <c r="D122" i="8"/>
  <c r="D120" i="8"/>
  <c r="D118" i="8"/>
  <c r="D116" i="8"/>
  <c r="D114" i="8"/>
  <c r="D112" i="8"/>
  <c r="D110" i="8"/>
  <c r="D108" i="8"/>
  <c r="D106" i="8"/>
  <c r="D104" i="8"/>
  <c r="D102" i="8"/>
  <c r="D100" i="8"/>
  <c r="D98" i="8"/>
  <c r="D96" i="8"/>
  <c r="D94" i="8"/>
  <c r="D92" i="8"/>
  <c r="D90" i="8"/>
  <c r="D88" i="8"/>
  <c r="D86" i="8"/>
  <c r="D84" i="8"/>
  <c r="D82" i="8"/>
  <c r="D80" i="8"/>
  <c r="D78" i="8"/>
  <c r="D76" i="8"/>
  <c r="D74" i="8"/>
  <c r="D72" i="8"/>
  <c r="D70" i="8"/>
  <c r="D68" i="8"/>
  <c r="D66" i="8"/>
  <c r="D64" i="8"/>
  <c r="D62" i="8"/>
  <c r="D60" i="8"/>
  <c r="D58" i="8"/>
  <c r="D56" i="8"/>
  <c r="D54" i="8"/>
  <c r="D52" i="8"/>
  <c r="D50" i="8"/>
  <c r="D48" i="8"/>
  <c r="D46" i="8"/>
  <c r="D44" i="8"/>
  <c r="D42" i="8"/>
  <c r="D40" i="8"/>
  <c r="D38" i="8"/>
  <c r="D36" i="8"/>
  <c r="D34" i="8"/>
  <c r="D32" i="8"/>
  <c r="D30" i="8"/>
  <c r="D28" i="8"/>
  <c r="D26" i="8"/>
  <c r="D24" i="8"/>
  <c r="D22" i="8"/>
  <c r="D20" i="8"/>
  <c r="D18" i="8"/>
  <c r="D16" i="8"/>
  <c r="D14" i="8"/>
  <c r="D12" i="8"/>
  <c r="D10" i="8"/>
  <c r="D8" i="8"/>
  <c r="D6" i="8"/>
  <c r="D4" i="8"/>
  <c r="D2" i="8"/>
  <c r="C74" i="8"/>
  <c r="C72" i="8"/>
  <c r="C70" i="8"/>
  <c r="C68" i="8"/>
  <c r="C66" i="8"/>
  <c r="C64" i="8"/>
  <c r="C62" i="8"/>
  <c r="C60" i="8"/>
  <c r="C58" i="8"/>
  <c r="C56" i="8"/>
  <c r="C54" i="8"/>
  <c r="C52" i="8"/>
  <c r="C50" i="8"/>
  <c r="C48" i="8"/>
  <c r="C46" i="8"/>
  <c r="C44" i="8"/>
  <c r="C42" i="8"/>
  <c r="C40" i="8"/>
  <c r="C38" i="8"/>
  <c r="C36" i="8"/>
  <c r="C34" i="8"/>
  <c r="C32" i="8"/>
  <c r="C30" i="8"/>
  <c r="C28" i="8"/>
  <c r="C26" i="8"/>
  <c r="C24" i="8"/>
  <c r="C22" i="8"/>
  <c r="C20" i="8"/>
  <c r="C18" i="8"/>
  <c r="C16" i="8"/>
  <c r="C14" i="8"/>
  <c r="C12" i="8"/>
  <c r="C10" i="8"/>
  <c r="C8" i="8"/>
  <c r="C6" i="8"/>
  <c r="C4" i="8"/>
  <c r="C2" i="8"/>
  <c r="B170" i="8"/>
  <c r="B168" i="8"/>
  <c r="B166" i="8"/>
  <c r="B164" i="8"/>
  <c r="B162" i="8"/>
  <c r="B160" i="8"/>
  <c r="B158" i="8"/>
  <c r="B156" i="8"/>
  <c r="B154" i="8"/>
  <c r="B152" i="8"/>
  <c r="B150" i="8"/>
  <c r="B148" i="8"/>
  <c r="B146" i="8"/>
  <c r="B144" i="8"/>
  <c r="B142" i="8"/>
  <c r="B140" i="8"/>
  <c r="B138" i="8"/>
  <c r="B136" i="8"/>
  <c r="B134" i="8"/>
  <c r="B132" i="8"/>
  <c r="B130" i="8"/>
  <c r="B128" i="8"/>
  <c r="B126" i="8"/>
  <c r="B124" i="8"/>
  <c r="B122" i="8"/>
  <c r="B120" i="8"/>
  <c r="B118" i="8"/>
  <c r="B116" i="8"/>
  <c r="B114" i="8"/>
  <c r="B112" i="8"/>
  <c r="B110" i="8"/>
  <c r="B108" i="8"/>
  <c r="B106" i="8"/>
  <c r="B104" i="8"/>
  <c r="B102" i="8"/>
  <c r="B100" i="8"/>
  <c r="B98" i="8"/>
  <c r="B96" i="8"/>
  <c r="B94" i="8"/>
  <c r="B92" i="8"/>
  <c r="B90" i="8"/>
  <c r="B88" i="8"/>
  <c r="B86" i="8"/>
  <c r="B84" i="8"/>
  <c r="B82" i="8"/>
  <c r="B80" i="8"/>
  <c r="B78" i="8"/>
  <c r="B76" i="8"/>
  <c r="B74" i="8"/>
  <c r="B72" i="8"/>
  <c r="B70" i="8"/>
  <c r="B68" i="8"/>
  <c r="B66" i="8"/>
  <c r="B64" i="8"/>
  <c r="B62" i="8"/>
  <c r="B60" i="8"/>
  <c r="B58" i="8"/>
  <c r="B56" i="8"/>
  <c r="B54" i="8"/>
  <c r="B52" i="8"/>
  <c r="B50" i="8"/>
  <c r="B48" i="8"/>
  <c r="B46" i="8"/>
  <c r="B44" i="8"/>
  <c r="B42" i="8"/>
  <c r="B40" i="8"/>
  <c r="B38" i="8"/>
  <c r="B36" i="8"/>
  <c r="B34" i="8"/>
  <c r="B32" i="8"/>
  <c r="B30" i="8"/>
  <c r="B28" i="8"/>
  <c r="B26" i="8"/>
  <c r="B24" i="8"/>
  <c r="B22" i="8"/>
  <c r="B20" i="8"/>
  <c r="B18" i="8"/>
  <c r="B16" i="8"/>
  <c r="B14" i="8"/>
  <c r="B12" i="8"/>
  <c r="B10" i="8"/>
  <c r="B8" i="8"/>
  <c r="B6" i="8"/>
  <c r="B4" i="8"/>
  <c r="C245" i="6"/>
  <c r="C246" i="6"/>
  <c r="D246" i="6"/>
  <c r="E245" i="6"/>
  <c r="E246" i="6"/>
  <c r="H246" i="6"/>
  <c r="I246" i="6"/>
  <c r="H245" i="6"/>
  <c r="I245" i="6"/>
  <c r="J245" i="6"/>
  <c r="K245" i="6"/>
  <c r="I244" i="6"/>
  <c r="J244" i="6"/>
  <c r="K244" i="6"/>
  <c r="H244" i="6"/>
  <c r="E244" i="6"/>
  <c r="C244" i="6"/>
  <c r="T247" i="6"/>
  <c r="R247" i="6"/>
  <c r="Q246" i="6"/>
  <c r="Q245" i="6"/>
  <c r="D245" i="6"/>
  <c r="D244" i="6"/>
  <c r="J18" i="8" l="1"/>
  <c r="K24" i="8"/>
  <c r="I247" i="6"/>
  <c r="H247" i="6"/>
  <c r="W1424" i="2"/>
  <c r="X1424" i="2" s="1"/>
  <c r="T1424" i="2"/>
  <c r="R1424" i="2"/>
  <c r="T827" i="2" l="1"/>
  <c r="T828" i="2"/>
  <c r="T829" i="2"/>
  <c r="T826" i="2"/>
  <c r="W830" i="2"/>
  <c r="X830" i="2" s="1"/>
  <c r="R830" i="2"/>
  <c r="M830" i="2" s="1"/>
  <c r="H830" i="2"/>
  <c r="W829" i="2"/>
  <c r="X829" i="2" s="1"/>
  <c r="R829" i="2"/>
  <c r="F829" i="2"/>
  <c r="W828" i="2"/>
  <c r="X828" i="2" s="1"/>
  <c r="R828" i="2"/>
  <c r="L828" i="2"/>
  <c r="F828" i="2"/>
  <c r="W827" i="2"/>
  <c r="X827" i="2" s="1"/>
  <c r="R827" i="2"/>
  <c r="L827" i="2"/>
  <c r="F827" i="2"/>
  <c r="W826" i="2"/>
  <c r="X826" i="2" s="1"/>
  <c r="R826" i="2"/>
  <c r="F826" i="2"/>
  <c r="F1008" i="2" l="1"/>
  <c r="T1584" i="2" l="1"/>
  <c r="T1585" i="2"/>
  <c r="T1583" i="2"/>
  <c r="W1586" i="2"/>
  <c r="X1586" i="2" s="1"/>
  <c r="R1586" i="2"/>
  <c r="M1586" i="2" s="1"/>
  <c r="N247" i="6" s="1"/>
  <c r="H1586" i="2"/>
  <c r="W1585" i="2"/>
  <c r="X1585" i="2" s="1"/>
  <c r="R1585" i="2"/>
  <c r="F1585" i="2"/>
  <c r="F246" i="6" s="1"/>
  <c r="W1584" i="2"/>
  <c r="X1584" i="2" s="1"/>
  <c r="R1584" i="2"/>
  <c r="F1584" i="2"/>
  <c r="F245" i="6" s="1"/>
  <c r="W1583" i="2"/>
  <c r="X1583" i="2" s="1"/>
  <c r="R1583" i="2"/>
  <c r="F1583" i="2"/>
  <c r="F244" i="6" s="1"/>
  <c r="T1422" i="2"/>
  <c r="T1533" i="2" l="1"/>
  <c r="T1530" i="2"/>
  <c r="T1531" i="2"/>
  <c r="T1529" i="2"/>
  <c r="F1267" i="2" l="1"/>
  <c r="T1540" i="2" l="1"/>
  <c r="T1541" i="2"/>
  <c r="T1539" i="2"/>
  <c r="T1510" i="2"/>
  <c r="T1314" i="2"/>
  <c r="T1315" i="2"/>
  <c r="T1310" i="2"/>
  <c r="F539" i="2"/>
  <c r="F429" i="2" l="1"/>
  <c r="F1925" i="2"/>
  <c r="F631" i="2"/>
  <c r="F1573" i="2" l="1"/>
  <c r="F864" i="2" l="1"/>
  <c r="F1926" i="2"/>
  <c r="F1472" i="2"/>
  <c r="T307" i="2"/>
  <c r="F356" i="2"/>
  <c r="F632" i="2"/>
  <c r="T356" i="2"/>
  <c r="L356" i="2"/>
  <c r="F430" i="2" l="1"/>
  <c r="F357" i="2"/>
  <c r="F331" i="2" l="1"/>
  <c r="T355" i="2"/>
  <c r="L355" i="2"/>
  <c r="T357" i="2"/>
  <c r="L357" i="2"/>
  <c r="F894" i="2" l="1"/>
  <c r="F994" i="2" l="1"/>
  <c r="F487" i="2"/>
  <c r="R471" i="2"/>
  <c r="W471" i="2"/>
  <c r="X471" i="2" s="1"/>
  <c r="R487" i="2"/>
  <c r="W487" i="2"/>
  <c r="X487" i="2" s="1"/>
  <c r="T353" i="2"/>
  <c r="L353" i="2"/>
  <c r="F720" i="2"/>
  <c r="F1416" i="2" l="1"/>
  <c r="F1395" i="2"/>
  <c r="T989" i="2" l="1"/>
  <c r="F462" i="2"/>
  <c r="W1949" i="2" l="1"/>
  <c r="X1949" i="2" s="1"/>
  <c r="T1949" i="2"/>
  <c r="R1949" i="2"/>
  <c r="F1189" i="2"/>
  <c r="F1147" i="2"/>
  <c r="W462" i="2"/>
  <c r="X462" i="2" s="1"/>
  <c r="T462" i="2"/>
  <c r="R462" i="2"/>
  <c r="F1230" i="2" l="1"/>
  <c r="F49" i="2" l="1"/>
  <c r="F150" i="2" l="1"/>
  <c r="F149" i="2"/>
  <c r="F148" i="2"/>
  <c r="R1432" i="2" l="1"/>
  <c r="W1547" i="2" l="1"/>
  <c r="X1547" i="2" s="1"/>
  <c r="R1547" i="2"/>
  <c r="M1547" i="2" s="1"/>
  <c r="H1547" i="2"/>
  <c r="W1546" i="2"/>
  <c r="X1546" i="2" s="1"/>
  <c r="R1546" i="2"/>
  <c r="F1546" i="2"/>
  <c r="W1545" i="2"/>
  <c r="X1545" i="2" s="1"/>
  <c r="R1545" i="2"/>
  <c r="F1545" i="2"/>
  <c r="W1543" i="2"/>
  <c r="X1543" i="2" s="1"/>
  <c r="R1543" i="2"/>
  <c r="F493" i="2"/>
  <c r="T443" i="2" l="1"/>
  <c r="R1290" i="2" l="1"/>
  <c r="F1915" i="2" l="1"/>
  <c r="F1914" i="2"/>
  <c r="W1542" i="2" l="1"/>
  <c r="X1542" i="2" s="1"/>
  <c r="R1542" i="2"/>
  <c r="M1542" i="2" s="1"/>
  <c r="H1542" i="2"/>
  <c r="W1541" i="2"/>
  <c r="X1541" i="2" s="1"/>
  <c r="R1541" i="2"/>
  <c r="F1541" i="2"/>
  <c r="W1540" i="2"/>
  <c r="X1540" i="2" s="1"/>
  <c r="R1540" i="2"/>
  <c r="F1540" i="2"/>
  <c r="W1539" i="2"/>
  <c r="X1539" i="2" s="1"/>
  <c r="R1539" i="2"/>
  <c r="I167" i="2" l="1"/>
  <c r="F758" i="2"/>
  <c r="W1511" i="2" l="1"/>
  <c r="X1511" i="2" s="1"/>
  <c r="H1511" i="2"/>
  <c r="X1510" i="2"/>
  <c r="R1510" i="2"/>
  <c r="F1510" i="2"/>
  <c r="W1509" i="2"/>
  <c r="X1509" i="2" s="1"/>
  <c r="R1509" i="2"/>
  <c r="F1509" i="2"/>
  <c r="W1506" i="2"/>
  <c r="X1506" i="2" s="1"/>
  <c r="R1506" i="2"/>
  <c r="W1538" i="2"/>
  <c r="X1538" i="2" s="1"/>
  <c r="R1538" i="2"/>
  <c r="M1538" i="2" s="1"/>
  <c r="H1538" i="2"/>
  <c r="W1537" i="2"/>
  <c r="X1537" i="2" s="1"/>
  <c r="R1537" i="2"/>
  <c r="F1537" i="2"/>
  <c r="W1536" i="2"/>
  <c r="X1536" i="2" s="1"/>
  <c r="R1536" i="2"/>
  <c r="F1536" i="2"/>
  <c r="W1533" i="2"/>
  <c r="X1533" i="2" s="1"/>
  <c r="R1533" i="2"/>
  <c r="W1532" i="2"/>
  <c r="X1532" i="2" s="1"/>
  <c r="R1532" i="2"/>
  <c r="M1532" i="2" s="1"/>
  <c r="H1532" i="2"/>
  <c r="W1531" i="2"/>
  <c r="X1531" i="2" s="1"/>
  <c r="R1531" i="2"/>
  <c r="F1531" i="2"/>
  <c r="W1530" i="2"/>
  <c r="X1530" i="2" s="1"/>
  <c r="R1530" i="2"/>
  <c r="F1530" i="2"/>
  <c r="W1529" i="2"/>
  <c r="X1529" i="2" s="1"/>
  <c r="R1529" i="2"/>
  <c r="F1529" i="2"/>
  <c r="S1511" i="2" l="1"/>
  <c r="M1511" i="2" s="1"/>
  <c r="T352" i="2" l="1"/>
  <c r="L352" i="2"/>
  <c r="T354" i="2"/>
  <c r="L354" i="2"/>
  <c r="H186" i="6" l="1"/>
  <c r="T358" i="2"/>
  <c r="F1417" i="2" l="1"/>
  <c r="T351" i="2" l="1"/>
  <c r="F668" i="2" l="1"/>
  <c r="F1890" i="2" l="1"/>
  <c r="F1671" i="2"/>
  <c r="F1587" i="2" l="1"/>
  <c r="T1286" i="2"/>
  <c r="F492" i="2" l="1"/>
  <c r="F1574" i="2" l="1"/>
  <c r="T1270" i="2"/>
  <c r="F1418" i="2"/>
  <c r="F1619" i="2" l="1"/>
  <c r="F910" i="2"/>
  <c r="F491" i="2" l="1"/>
  <c r="F335" i="2" l="1"/>
  <c r="F1146" i="2" l="1"/>
  <c r="F1051" i="2"/>
  <c r="W1418" i="2" l="1"/>
  <c r="X1418" i="2" s="1"/>
  <c r="T1418" i="2"/>
  <c r="R1418" i="2"/>
  <c r="F1891" i="2" l="1"/>
  <c r="F686" i="2"/>
  <c r="T1002" i="2" l="1"/>
  <c r="T1003" i="2"/>
  <c r="T1004" i="2"/>
  <c r="T1005" i="2"/>
  <c r="T1006" i="2"/>
  <c r="T1001" i="2"/>
  <c r="W1007" i="2" l="1"/>
  <c r="X1007" i="2" s="1"/>
  <c r="R1007" i="2"/>
  <c r="M1007" i="2" s="1"/>
  <c r="H1007" i="2"/>
  <c r="W1006" i="2"/>
  <c r="X1006" i="2" s="1"/>
  <c r="R1006" i="2"/>
  <c r="F1006" i="2"/>
  <c r="W1005" i="2"/>
  <c r="X1005" i="2" s="1"/>
  <c r="R1005" i="2"/>
  <c r="F1005" i="2"/>
  <c r="W1004" i="2"/>
  <c r="X1004" i="2" s="1"/>
  <c r="R1004" i="2"/>
  <c r="F1004" i="2"/>
  <c r="W1003" i="2"/>
  <c r="X1003" i="2" s="1"/>
  <c r="R1003" i="2"/>
  <c r="F1003" i="2"/>
  <c r="W1002" i="2"/>
  <c r="X1002" i="2" s="1"/>
  <c r="R1002" i="2"/>
  <c r="F1002" i="2"/>
  <c r="W1001" i="2"/>
  <c r="X1001" i="2" s="1"/>
  <c r="R1001" i="2"/>
  <c r="F1001" i="2"/>
  <c r="T994" i="2"/>
  <c r="T995" i="2"/>
  <c r="T996" i="2"/>
  <c r="T997" i="2"/>
  <c r="T998" i="2"/>
  <c r="T1287" i="2"/>
  <c r="F1379" i="2"/>
  <c r="F1291" i="2"/>
  <c r="K235" i="6" l="1"/>
  <c r="J235" i="6"/>
  <c r="I235" i="6"/>
  <c r="H235" i="6"/>
  <c r="E235" i="6"/>
  <c r="D235" i="6"/>
  <c r="C235" i="6"/>
  <c r="I49" i="6"/>
  <c r="O102" i="6"/>
  <c r="K102" i="6"/>
  <c r="J102" i="6"/>
  <c r="I102" i="6"/>
  <c r="H102" i="6"/>
  <c r="E102" i="6"/>
  <c r="D102" i="6"/>
  <c r="C102" i="6"/>
  <c r="I20" i="6"/>
  <c r="K22" i="6"/>
  <c r="J22" i="6"/>
  <c r="I22" i="6"/>
  <c r="H22" i="6"/>
  <c r="E22" i="6"/>
  <c r="C22" i="6"/>
  <c r="F1893" i="2"/>
  <c r="F1892" i="2"/>
  <c r="F913" i="2"/>
  <c r="L231" i="2" l="1"/>
  <c r="F1270" i="2" l="1"/>
  <c r="F235" i="6" s="1"/>
  <c r="F1126" i="2"/>
  <c r="F102" i="6" s="1"/>
  <c r="T1126" i="2"/>
  <c r="F22" i="6"/>
  <c r="F914" i="2" l="1"/>
  <c r="I223" i="2" l="1"/>
  <c r="F915" i="2" l="1"/>
  <c r="F916" i="2" l="1"/>
  <c r="F667" i="2"/>
  <c r="W1379" i="2" l="1"/>
  <c r="X1379" i="2" s="1"/>
  <c r="T1379" i="2"/>
  <c r="R1379" i="2"/>
  <c r="T449" i="2" l="1"/>
  <c r="F917" i="2" l="1"/>
  <c r="T1588" i="2"/>
  <c r="T1589" i="2"/>
  <c r="T1587" i="2"/>
  <c r="W1590" i="2"/>
  <c r="X1590" i="2" s="1"/>
  <c r="R1590" i="2"/>
  <c r="M1590" i="2" s="1"/>
  <c r="H1590" i="2"/>
  <c r="W1589" i="2"/>
  <c r="X1589" i="2" s="1"/>
  <c r="R1589" i="2"/>
  <c r="F1589" i="2"/>
  <c r="W1588" i="2"/>
  <c r="X1588" i="2" s="1"/>
  <c r="R1588" i="2"/>
  <c r="F1588" i="2"/>
  <c r="W1587" i="2"/>
  <c r="X1587" i="2" s="1"/>
  <c r="R1587" i="2"/>
  <c r="T1423" i="2"/>
  <c r="W1417" i="2"/>
  <c r="X1417" i="2" s="1"/>
  <c r="T1417" i="2"/>
  <c r="R1417" i="2"/>
  <c r="W1574" i="2"/>
  <c r="X1574" i="2" s="1"/>
  <c r="T1574" i="2"/>
  <c r="R1574" i="2"/>
  <c r="F918" i="2" l="1"/>
  <c r="F982" i="2" l="1"/>
  <c r="F919" i="2"/>
  <c r="F1842" i="2" l="1"/>
  <c r="F1058" i="2"/>
  <c r="F1428" i="2" l="1"/>
  <c r="T331" i="2"/>
  <c r="F920" i="2" l="1"/>
  <c r="T350" i="2"/>
  <c r="F1895" i="2" l="1"/>
  <c r="F1894" i="2"/>
  <c r="F1896" i="2" l="1"/>
  <c r="F921" i="2"/>
  <c r="T1580" i="2"/>
  <c r="T1581" i="2"/>
  <c r="T1578" i="2"/>
  <c r="W1582" i="2"/>
  <c r="X1582" i="2" s="1"/>
  <c r="R1582" i="2"/>
  <c r="M1582" i="2" s="1"/>
  <c r="H1582" i="2"/>
  <c r="W1581" i="2"/>
  <c r="X1581" i="2" s="1"/>
  <c r="R1581" i="2"/>
  <c r="F1581" i="2"/>
  <c r="W1580" i="2"/>
  <c r="X1580" i="2" s="1"/>
  <c r="R1580" i="2"/>
  <c r="F1580" i="2"/>
  <c r="W1578" i="2"/>
  <c r="X1578" i="2" s="1"/>
  <c r="R1578" i="2"/>
  <c r="T305" i="2" l="1"/>
  <c r="F922" i="2"/>
  <c r="F923" i="2" l="1"/>
  <c r="T540" i="2" l="1"/>
  <c r="T541" i="2"/>
  <c r="T542" i="2"/>
  <c r="T539" i="2"/>
  <c r="T910" i="2" l="1"/>
  <c r="F1683" i="2" l="1"/>
  <c r="F1602" i="2" l="1"/>
  <c r="F1603" i="2"/>
  <c r="F1604" i="2"/>
  <c r="F1605" i="2"/>
  <c r="F525" i="2" l="1"/>
  <c r="F924" i="2" l="1"/>
  <c r="F1092" i="2" l="1"/>
  <c r="F1897" i="2" l="1"/>
  <c r="W1895" i="2" l="1"/>
  <c r="X1895" i="2" s="1"/>
  <c r="T1895" i="2"/>
  <c r="R1895" i="2"/>
  <c r="F526" i="2" l="1"/>
  <c r="F40" i="2"/>
  <c r="L40" i="2"/>
  <c r="R40" i="2"/>
  <c r="W40" i="2"/>
  <c r="X40" i="2" s="1"/>
  <c r="F925" i="2"/>
  <c r="W921" i="2"/>
  <c r="X921" i="2" s="1"/>
  <c r="T921" i="2"/>
  <c r="R921" i="2"/>
  <c r="W920" i="2"/>
  <c r="X920" i="2" s="1"/>
  <c r="T920" i="2"/>
  <c r="R920" i="2"/>
  <c r="W919" i="2"/>
  <c r="X919" i="2" s="1"/>
  <c r="T919" i="2"/>
  <c r="R919" i="2"/>
  <c r="W918" i="2"/>
  <c r="X918" i="2" s="1"/>
  <c r="T918" i="2"/>
  <c r="R918" i="2"/>
  <c r="F77" i="2" l="1"/>
  <c r="F79" i="2"/>
  <c r="F59" i="2"/>
  <c r="F53" i="2"/>
  <c r="F132" i="2"/>
  <c r="T912" i="2" l="1"/>
  <c r="T913" i="2"/>
  <c r="T914" i="2"/>
  <c r="T915" i="2"/>
  <c r="T916" i="2"/>
  <c r="T917" i="2"/>
  <c r="T922" i="2"/>
  <c r="T923" i="2"/>
  <c r="T303" i="2" l="1"/>
  <c r="F63" i="2" l="1"/>
  <c r="F64" i="2"/>
  <c r="T991" i="2" l="1"/>
  <c r="T990" i="2"/>
  <c r="T982" i="2"/>
  <c r="T349" i="2"/>
  <c r="W1894" i="2" l="1"/>
  <c r="X1894" i="2" s="1"/>
  <c r="T1894" i="2"/>
  <c r="R1894" i="2"/>
  <c r="F235" i="2" l="1"/>
  <c r="F965" i="2" l="1"/>
  <c r="F527" i="2"/>
  <c r="F524" i="2"/>
  <c r="F411" i="2"/>
  <c r="T1025" i="2" l="1"/>
  <c r="T1026" i="2"/>
  <c r="T1027" i="2"/>
  <c r="T1028" i="2"/>
  <c r="T1024" i="2"/>
  <c r="F528" i="2" l="1"/>
  <c r="T529" i="2" l="1"/>
  <c r="F412" i="2" l="1"/>
  <c r="I109" i="2" l="1"/>
  <c r="W45" i="2" l="1"/>
  <c r="X45" i="2" s="1"/>
  <c r="L45" i="2"/>
  <c r="F413" i="2"/>
  <c r="W1893" i="2" l="1"/>
  <c r="X1893" i="2" s="1"/>
  <c r="T1893" i="2"/>
  <c r="R1893" i="2"/>
  <c r="W1892" i="2"/>
  <c r="X1892" i="2" s="1"/>
  <c r="T1892" i="2"/>
  <c r="R1892" i="2"/>
  <c r="W1891" i="2"/>
  <c r="X1891" i="2" s="1"/>
  <c r="T1891" i="2"/>
  <c r="R1891" i="2"/>
  <c r="W1896" i="2"/>
  <c r="X1896" i="2" s="1"/>
  <c r="T1896" i="2"/>
  <c r="R1896" i="2"/>
  <c r="W1897" i="2"/>
  <c r="X1897" i="2" s="1"/>
  <c r="T1897" i="2"/>
  <c r="R1897" i="2"/>
  <c r="F414" i="2" l="1"/>
  <c r="W1948" i="2"/>
  <c r="X1948" i="2" s="1"/>
  <c r="T1948" i="2"/>
  <c r="R1948" i="2"/>
  <c r="I250" i="2" l="1"/>
  <c r="F247" i="2"/>
  <c r="K61" i="2"/>
  <c r="K135" i="2" l="1"/>
  <c r="F646" i="2"/>
  <c r="W917" i="2"/>
  <c r="X917" i="2" s="1"/>
  <c r="R917" i="2"/>
  <c r="W916" i="2"/>
  <c r="X916" i="2" s="1"/>
  <c r="R916" i="2"/>
  <c r="W915" i="2"/>
  <c r="X915" i="2" s="1"/>
  <c r="R915" i="2"/>
  <c r="W914" i="2"/>
  <c r="X914" i="2" s="1"/>
  <c r="R914" i="2"/>
  <c r="N187" i="6" l="1"/>
  <c r="O187" i="6"/>
  <c r="P187" i="6"/>
  <c r="Q187" i="6"/>
  <c r="F415" i="2"/>
  <c r="W1888" i="2"/>
  <c r="X1888" i="2" s="1"/>
  <c r="T1888" i="2"/>
  <c r="R1888" i="2"/>
  <c r="W1887" i="2"/>
  <c r="X1887" i="2" s="1"/>
  <c r="T1887" i="2"/>
  <c r="R1887" i="2"/>
  <c r="W1889" i="2"/>
  <c r="X1889" i="2" s="1"/>
  <c r="T1889" i="2"/>
  <c r="R1889" i="2"/>
  <c r="W44" i="2" l="1"/>
  <c r="X44" i="2" s="1"/>
  <c r="L44" i="2"/>
  <c r="W46" i="2"/>
  <c r="X46" i="2" s="1"/>
  <c r="L46" i="2"/>
  <c r="F236" i="2" l="1"/>
  <c r="F1280" i="2" l="1"/>
  <c r="T834" i="2" l="1"/>
  <c r="T572" i="2"/>
  <c r="T524" i="2" l="1"/>
  <c r="T526" i="2"/>
  <c r="T527" i="2"/>
  <c r="T528" i="2"/>
  <c r="T525" i="2"/>
  <c r="T442" i="2"/>
  <c r="T441" i="2"/>
  <c r="T424" i="2"/>
  <c r="T403" i="2" l="1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02" i="2"/>
  <c r="T345" i="2"/>
  <c r="T346" i="2"/>
  <c r="T347" i="2"/>
  <c r="T348" i="2"/>
  <c r="T450" i="2"/>
  <c r="T45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491" i="2"/>
  <c r="T456" i="2"/>
  <c r="T457" i="2"/>
  <c r="T455" i="2"/>
  <c r="T458" i="2"/>
  <c r="T459" i="2"/>
  <c r="T460" i="2"/>
  <c r="T461" i="2"/>
  <c r="T463" i="2"/>
  <c r="T571" i="2"/>
  <c r="F416" i="2" l="1"/>
  <c r="W1945" i="2" l="1"/>
  <c r="X1945" i="2" s="1"/>
  <c r="T1945" i="2"/>
  <c r="R1945" i="2"/>
  <c r="W1944" i="2"/>
  <c r="X1944" i="2" s="1"/>
  <c r="T1944" i="2"/>
  <c r="R1944" i="2"/>
  <c r="F529" i="2" l="1"/>
  <c r="W47" i="2" l="1"/>
  <c r="X47" i="2" s="1"/>
  <c r="L47" i="2"/>
  <c r="F816" i="2" l="1"/>
  <c r="K268" i="2"/>
  <c r="F55" i="2" l="1"/>
  <c r="F54" i="2"/>
  <c r="F56" i="2"/>
  <c r="W1946" i="2" l="1"/>
  <c r="X1946" i="2" s="1"/>
  <c r="T1946" i="2"/>
  <c r="R1946" i="2"/>
  <c r="T1575" i="2" l="1"/>
  <c r="T1576" i="2"/>
  <c r="T1573" i="2"/>
  <c r="T1570" i="2"/>
  <c r="T1571" i="2"/>
  <c r="T1569" i="2"/>
  <c r="W1577" i="2"/>
  <c r="X1577" i="2" s="1"/>
  <c r="R1577" i="2"/>
  <c r="M1577" i="2" s="1"/>
  <c r="H1577" i="2"/>
  <c r="W1576" i="2"/>
  <c r="X1576" i="2" s="1"/>
  <c r="R1576" i="2"/>
  <c r="F1576" i="2"/>
  <c r="W1575" i="2"/>
  <c r="X1575" i="2" s="1"/>
  <c r="R1575" i="2"/>
  <c r="F1575" i="2"/>
  <c r="W1573" i="2"/>
  <c r="X1573" i="2" s="1"/>
  <c r="R1573" i="2"/>
  <c r="W1572" i="2"/>
  <c r="X1572" i="2" s="1"/>
  <c r="R1572" i="2"/>
  <c r="M1572" i="2" s="1"/>
  <c r="H1572" i="2"/>
  <c r="W1571" i="2"/>
  <c r="X1571" i="2" s="1"/>
  <c r="R1571" i="2"/>
  <c r="F1571" i="2"/>
  <c r="W1570" i="2"/>
  <c r="X1570" i="2" s="1"/>
  <c r="R1570" i="2"/>
  <c r="F1570" i="2"/>
  <c r="W1569" i="2"/>
  <c r="X1569" i="2" s="1"/>
  <c r="R1569" i="2"/>
  <c r="F1569" i="2"/>
  <c r="F997" i="2" l="1"/>
  <c r="Z1958" i="2" l="1"/>
  <c r="F506" i="2" l="1"/>
  <c r="K239" i="2"/>
  <c r="I239" i="2"/>
  <c r="H184" i="6"/>
  <c r="W506" i="2"/>
  <c r="X506" i="2" s="1"/>
  <c r="L506" i="2"/>
  <c r="W507" i="2" l="1"/>
  <c r="X507" i="2" s="1"/>
  <c r="L507" i="2"/>
  <c r="F507" i="2"/>
  <c r="I228" i="2" l="1"/>
  <c r="W61" i="2" l="1"/>
  <c r="F417" i="2" l="1"/>
  <c r="I183" i="2"/>
  <c r="T1942" i="2" l="1"/>
  <c r="T1943" i="2"/>
  <c r="T1947" i="2"/>
  <c r="T1953" i="2"/>
  <c r="T1954" i="2"/>
  <c r="T1941" i="2"/>
  <c r="W1954" i="2"/>
  <c r="X1954" i="2" s="1"/>
  <c r="R1954" i="2"/>
  <c r="F1954" i="2"/>
  <c r="W1953" i="2"/>
  <c r="X1953" i="2" s="1"/>
  <c r="R1953" i="2"/>
  <c r="F1953" i="2"/>
  <c r="W1947" i="2"/>
  <c r="X1947" i="2" s="1"/>
  <c r="R1947" i="2"/>
  <c r="W1943" i="2"/>
  <c r="X1943" i="2" s="1"/>
  <c r="R1943" i="2"/>
  <c r="W1942" i="2"/>
  <c r="X1942" i="2" s="1"/>
  <c r="R1942" i="2"/>
  <c r="W1941" i="2"/>
  <c r="X1941" i="2" s="1"/>
  <c r="R1941" i="2"/>
  <c r="R1936" i="2"/>
  <c r="R1955" i="2"/>
  <c r="M1955" i="2" s="1"/>
  <c r="F418" i="2" l="1"/>
  <c r="L30" i="2" l="1"/>
  <c r="T1252" i="2" l="1"/>
  <c r="T765" i="2"/>
  <c r="F570" i="2" l="1"/>
  <c r="I953" i="2" l="1"/>
  <c r="H953" i="2"/>
  <c r="F419" i="2" l="1"/>
  <c r="F1225" i="2" l="1"/>
  <c r="R1427" i="2" l="1"/>
  <c r="F420" i="2" l="1"/>
  <c r="F421" i="2"/>
  <c r="T977" i="2" l="1"/>
  <c r="T978" i="2"/>
  <c r="T979" i="2"/>
  <c r="T980" i="2"/>
  <c r="T976" i="2"/>
  <c r="F770" i="2"/>
  <c r="W421" i="2" l="1"/>
  <c r="X421" i="2" s="1"/>
  <c r="R421" i="2"/>
  <c r="F569" i="2" l="1"/>
  <c r="F1297" i="2" l="1"/>
  <c r="W419" i="2" l="1"/>
  <c r="X419" i="2" s="1"/>
  <c r="R419" i="2"/>
  <c r="W420" i="2"/>
  <c r="X420" i="2" s="1"/>
  <c r="R420" i="2"/>
  <c r="T1010" i="2" l="1"/>
  <c r="W35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9" i="2"/>
  <c r="R1420" i="2"/>
  <c r="R1421" i="2"/>
  <c r="R1422" i="2"/>
  <c r="R1423" i="2"/>
  <c r="R1425" i="2"/>
  <c r="R1426" i="2"/>
  <c r="S1427" i="2" s="1"/>
  <c r="W418" i="2"/>
  <c r="X418" i="2" s="1"/>
  <c r="R418" i="2"/>
  <c r="T1425" i="2" l="1"/>
  <c r="W981" i="2"/>
  <c r="X981" i="2" s="1"/>
  <c r="R981" i="2"/>
  <c r="M981" i="2" s="1"/>
  <c r="H981" i="2"/>
  <c r="W980" i="2"/>
  <c r="X980" i="2" s="1"/>
  <c r="R980" i="2"/>
  <c r="F980" i="2"/>
  <c r="W979" i="2"/>
  <c r="X979" i="2" s="1"/>
  <c r="R979" i="2"/>
  <c r="F979" i="2"/>
  <c r="W978" i="2"/>
  <c r="X978" i="2" s="1"/>
  <c r="R978" i="2"/>
  <c r="F978" i="2"/>
  <c r="W977" i="2"/>
  <c r="X977" i="2" s="1"/>
  <c r="R977" i="2"/>
  <c r="F977" i="2"/>
  <c r="W976" i="2"/>
  <c r="X976" i="2" s="1"/>
  <c r="R976" i="2"/>
  <c r="W417" i="2"/>
  <c r="X417" i="2" s="1"/>
  <c r="R417" i="2"/>
  <c r="F552" i="2" l="1"/>
  <c r="F551" i="2"/>
  <c r="F440" i="2"/>
  <c r="F553" i="2" l="1"/>
  <c r="F1710" i="2" l="1"/>
  <c r="F1711" i="2"/>
  <c r="W1307" i="2" l="1"/>
  <c r="X1307" i="2" s="1"/>
  <c r="T1307" i="2"/>
  <c r="R1307" i="2"/>
  <c r="F1307" i="2"/>
  <c r="T1565" i="2"/>
  <c r="W1568" i="2"/>
  <c r="X1568" i="2" s="1"/>
  <c r="R1568" i="2"/>
  <c r="M1568" i="2" s="1"/>
  <c r="H1568" i="2"/>
  <c r="W1567" i="2"/>
  <c r="X1567" i="2" s="1"/>
  <c r="T1567" i="2"/>
  <c r="R1567" i="2"/>
  <c r="F1567" i="2"/>
  <c r="W1566" i="2"/>
  <c r="X1566" i="2" s="1"/>
  <c r="T1566" i="2"/>
  <c r="R1566" i="2"/>
  <c r="F1566" i="2"/>
  <c r="W1565" i="2"/>
  <c r="X1565" i="2" s="1"/>
  <c r="R1565" i="2"/>
  <c r="F1565" i="2"/>
  <c r="W415" i="2"/>
  <c r="X415" i="2" s="1"/>
  <c r="R415" i="2"/>
  <c r="W416" i="2"/>
  <c r="X416" i="2" s="1"/>
  <c r="R416" i="2"/>
  <c r="T983" i="2" l="1"/>
  <c r="T984" i="2"/>
  <c r="T985" i="2"/>
  <c r="T986" i="2"/>
  <c r="F554" i="2" l="1"/>
  <c r="W412" i="2"/>
  <c r="X412" i="2" s="1"/>
  <c r="R412" i="2"/>
  <c r="F358" i="2" l="1"/>
  <c r="W1378" i="2"/>
  <c r="X1378" i="2" s="1"/>
  <c r="T1378" i="2"/>
  <c r="R1378" i="2"/>
  <c r="L358" i="2"/>
  <c r="I359" i="2"/>
  <c r="J359" i="2"/>
  <c r="T1251" i="2" l="1"/>
  <c r="I277" i="2" l="1"/>
  <c r="T769" i="2" l="1"/>
  <c r="T770" i="2"/>
  <c r="R36" i="2" l="1"/>
  <c r="R35" i="2"/>
  <c r="R61" i="2"/>
  <c r="M38" i="2" l="1"/>
  <c r="R38" i="2"/>
  <c r="T768" i="2" l="1"/>
  <c r="F876" i="2" l="1"/>
  <c r="W987" i="2" l="1"/>
  <c r="X987" i="2" s="1"/>
  <c r="R987" i="2"/>
  <c r="M987" i="2" s="1"/>
  <c r="H987" i="2"/>
  <c r="W986" i="2"/>
  <c r="X986" i="2" s="1"/>
  <c r="R986" i="2"/>
  <c r="F986" i="2"/>
  <c r="W985" i="2"/>
  <c r="X985" i="2" s="1"/>
  <c r="R985" i="2"/>
  <c r="F985" i="2"/>
  <c r="W984" i="2"/>
  <c r="X984" i="2" s="1"/>
  <c r="R984" i="2"/>
  <c r="F984" i="2"/>
  <c r="W983" i="2"/>
  <c r="X983" i="2" s="1"/>
  <c r="R983" i="2"/>
  <c r="W982" i="2"/>
  <c r="X982" i="2" s="1"/>
  <c r="R982" i="2"/>
  <c r="T1009" i="2" l="1"/>
  <c r="T971" i="2" l="1"/>
  <c r="T972" i="2"/>
  <c r="T973" i="2"/>
  <c r="T974" i="2"/>
  <c r="T970" i="2"/>
  <c r="W975" i="2"/>
  <c r="X975" i="2" s="1"/>
  <c r="R975" i="2"/>
  <c r="M975" i="2" s="1"/>
  <c r="H975" i="2"/>
  <c r="W974" i="2"/>
  <c r="X974" i="2" s="1"/>
  <c r="R974" i="2"/>
  <c r="F974" i="2"/>
  <c r="W973" i="2"/>
  <c r="X973" i="2" s="1"/>
  <c r="R973" i="2"/>
  <c r="F973" i="2"/>
  <c r="W972" i="2"/>
  <c r="X972" i="2" s="1"/>
  <c r="R972" i="2"/>
  <c r="F972" i="2"/>
  <c r="W971" i="2"/>
  <c r="X971" i="2" s="1"/>
  <c r="R971" i="2"/>
  <c r="F971" i="2"/>
  <c r="W970" i="2"/>
  <c r="X970" i="2" s="1"/>
  <c r="R970" i="2"/>
  <c r="F970" i="2"/>
  <c r="F214" i="2" l="1"/>
  <c r="I278" i="2" l="1"/>
  <c r="K278" i="2"/>
  <c r="H278" i="2"/>
  <c r="F272" i="2"/>
  <c r="F271" i="2"/>
  <c r="T1526" i="2" l="1"/>
  <c r="T1527" i="2"/>
  <c r="T1523" i="2"/>
  <c r="T1520" i="2"/>
  <c r="T1521" i="2"/>
  <c r="T1517" i="2"/>
  <c r="T1514" i="2"/>
  <c r="T1515" i="2"/>
  <c r="T1512" i="2"/>
  <c r="T1503" i="2"/>
  <c r="T1504" i="2"/>
  <c r="T1501" i="2"/>
  <c r="T1497" i="2"/>
  <c r="T1499" i="2"/>
  <c r="T1496" i="2"/>
  <c r="T1493" i="2"/>
  <c r="T1494" i="2"/>
  <c r="T1491" i="2"/>
  <c r="W1528" i="2" l="1"/>
  <c r="X1528" i="2" s="1"/>
  <c r="R1528" i="2"/>
  <c r="M1528" i="2" s="1"/>
  <c r="H1528" i="2"/>
  <c r="W1527" i="2"/>
  <c r="X1527" i="2" s="1"/>
  <c r="R1527" i="2"/>
  <c r="F1527" i="2"/>
  <c r="W1526" i="2"/>
  <c r="X1526" i="2" s="1"/>
  <c r="R1526" i="2"/>
  <c r="F1526" i="2"/>
  <c r="W1523" i="2"/>
  <c r="X1523" i="2" s="1"/>
  <c r="R1523" i="2"/>
  <c r="W1522" i="2"/>
  <c r="X1522" i="2" s="1"/>
  <c r="R1522" i="2"/>
  <c r="M1522" i="2" s="1"/>
  <c r="H1522" i="2"/>
  <c r="W1521" i="2"/>
  <c r="X1521" i="2" s="1"/>
  <c r="R1521" i="2"/>
  <c r="F1521" i="2"/>
  <c r="W1520" i="2"/>
  <c r="X1520" i="2" s="1"/>
  <c r="R1520" i="2"/>
  <c r="F1520" i="2"/>
  <c r="W1517" i="2"/>
  <c r="X1517" i="2" s="1"/>
  <c r="R1517" i="2"/>
  <c r="W1516" i="2"/>
  <c r="X1516" i="2" s="1"/>
  <c r="R1516" i="2"/>
  <c r="M1516" i="2" s="1"/>
  <c r="H1516" i="2"/>
  <c r="W1515" i="2"/>
  <c r="X1515" i="2" s="1"/>
  <c r="R1515" i="2"/>
  <c r="F1515" i="2"/>
  <c r="W1514" i="2"/>
  <c r="X1514" i="2" s="1"/>
  <c r="R1514" i="2"/>
  <c r="F1514" i="2"/>
  <c r="W1512" i="2"/>
  <c r="X1512" i="2" s="1"/>
  <c r="R1512" i="2"/>
  <c r="W1505" i="2"/>
  <c r="X1505" i="2" s="1"/>
  <c r="R1505" i="2"/>
  <c r="M1505" i="2" s="1"/>
  <c r="H1505" i="2"/>
  <c r="W1504" i="2"/>
  <c r="X1504" i="2" s="1"/>
  <c r="R1504" i="2"/>
  <c r="F1504" i="2"/>
  <c r="W1503" i="2"/>
  <c r="X1503" i="2" s="1"/>
  <c r="R1503" i="2"/>
  <c r="F1503" i="2"/>
  <c r="W1501" i="2"/>
  <c r="X1501" i="2" s="1"/>
  <c r="R1501" i="2"/>
  <c r="W1500" i="2"/>
  <c r="X1500" i="2" s="1"/>
  <c r="R1500" i="2"/>
  <c r="M1500" i="2" s="1"/>
  <c r="H1500" i="2"/>
  <c r="W1499" i="2"/>
  <c r="X1499" i="2" s="1"/>
  <c r="R1499" i="2"/>
  <c r="F1499" i="2"/>
  <c r="W1497" i="2"/>
  <c r="X1497" i="2" s="1"/>
  <c r="R1497" i="2"/>
  <c r="W1496" i="2"/>
  <c r="X1496" i="2" s="1"/>
  <c r="R1496" i="2"/>
  <c r="W1495" i="2"/>
  <c r="X1495" i="2" s="1"/>
  <c r="R1495" i="2"/>
  <c r="M1495" i="2" s="1"/>
  <c r="H1495" i="2"/>
  <c r="W1494" i="2"/>
  <c r="X1494" i="2" s="1"/>
  <c r="R1494" i="2"/>
  <c r="F1494" i="2"/>
  <c r="W1493" i="2"/>
  <c r="X1493" i="2" s="1"/>
  <c r="R1493" i="2"/>
  <c r="F1493" i="2"/>
  <c r="W1491" i="2"/>
  <c r="X1491" i="2" s="1"/>
  <c r="R1491" i="2"/>
  <c r="W251" i="2"/>
  <c r="X251" i="2" s="1"/>
  <c r="R251" i="2"/>
  <c r="M251" i="2" s="1"/>
  <c r="K251" i="2"/>
  <c r="H251" i="2"/>
  <c r="W250" i="2"/>
  <c r="X250" i="2" s="1"/>
  <c r="R250" i="2"/>
  <c r="I251" i="2"/>
  <c r="F250" i="2"/>
  <c r="W249" i="2"/>
  <c r="X249" i="2" s="1"/>
  <c r="R249" i="2"/>
  <c r="L249" i="2"/>
  <c r="F249" i="2"/>
  <c r="W248" i="2"/>
  <c r="X248" i="2" s="1"/>
  <c r="R248" i="2"/>
  <c r="L248" i="2"/>
  <c r="W247" i="2"/>
  <c r="X247" i="2" s="1"/>
  <c r="R247" i="2"/>
  <c r="L247" i="2"/>
  <c r="T645" i="2"/>
  <c r="T1239" i="2" l="1"/>
  <c r="T766" i="2"/>
  <c r="T833" i="2" l="1"/>
  <c r="F448" i="2" l="1"/>
  <c r="F447" i="2"/>
  <c r="K246" i="2" l="1"/>
  <c r="F958" i="2"/>
  <c r="F957" i="2"/>
  <c r="L554" i="2" l="1"/>
  <c r="L553" i="2"/>
  <c r="R772" i="2" l="1"/>
  <c r="L552" i="2" l="1"/>
  <c r="T779" i="2" l="1"/>
  <c r="L550" i="2" l="1"/>
  <c r="L551" i="2"/>
  <c r="H93" i="6" l="1"/>
  <c r="I93" i="6"/>
  <c r="J93" i="6"/>
  <c r="K93" i="6"/>
  <c r="L93" i="6"/>
  <c r="H94" i="6"/>
  <c r="I94" i="6"/>
  <c r="J94" i="6"/>
  <c r="K94" i="6"/>
  <c r="L94" i="6"/>
  <c r="H95" i="6"/>
  <c r="I95" i="6"/>
  <c r="L95" i="6"/>
  <c r="H91" i="6"/>
  <c r="I91" i="6"/>
  <c r="J91" i="6"/>
  <c r="K91" i="6"/>
  <c r="L91" i="6"/>
  <c r="H92" i="6"/>
  <c r="I92" i="6"/>
  <c r="J92" i="6"/>
  <c r="K92" i="6"/>
  <c r="L92" i="6"/>
  <c r="I90" i="6"/>
  <c r="J90" i="6"/>
  <c r="K90" i="6"/>
  <c r="H90" i="6"/>
  <c r="I96" i="6" l="1"/>
  <c r="H96" i="6"/>
  <c r="T771" i="2"/>
  <c r="F1057" i="2"/>
  <c r="F523" i="2" l="1"/>
  <c r="H168" i="2"/>
  <c r="W1304" i="2"/>
  <c r="X1304" i="2" s="1"/>
  <c r="T1304" i="2"/>
  <c r="R1304" i="2"/>
  <c r="F277" i="2" l="1"/>
  <c r="F831" i="2" l="1"/>
  <c r="F1093" i="2" l="1"/>
  <c r="W236" i="2" l="1"/>
  <c r="X236" i="2" s="1"/>
  <c r="R236" i="2"/>
  <c r="L236" i="2"/>
  <c r="F179" i="2" l="1"/>
  <c r="T778" i="2" l="1"/>
  <c r="W36" i="2" l="1"/>
  <c r="W37" i="2"/>
  <c r="W38" i="2"/>
  <c r="W39" i="2"/>
  <c r="W41" i="2"/>
  <c r="W42" i="2"/>
  <c r="W43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9" i="2"/>
  <c r="C215" i="6" l="1"/>
  <c r="E215" i="6"/>
  <c r="C216" i="6"/>
  <c r="E216" i="6"/>
  <c r="C217" i="6"/>
  <c r="E217" i="6"/>
  <c r="C218" i="6"/>
  <c r="E218" i="6"/>
  <c r="H215" i="6"/>
  <c r="I215" i="6"/>
  <c r="J215" i="6"/>
  <c r="K215" i="6"/>
  <c r="H216" i="6"/>
  <c r="I216" i="6"/>
  <c r="J216" i="6"/>
  <c r="K216" i="6"/>
  <c r="H217" i="6"/>
  <c r="I217" i="6"/>
  <c r="J217" i="6"/>
  <c r="K217" i="6"/>
  <c r="H218" i="6"/>
  <c r="I218" i="6"/>
  <c r="L218" i="6"/>
  <c r="I214" i="6"/>
  <c r="J214" i="6"/>
  <c r="K214" i="6"/>
  <c r="H214" i="6"/>
  <c r="L549" i="2"/>
  <c r="H219" i="6" l="1"/>
  <c r="W237" i="2" l="1"/>
  <c r="X237" i="2" s="1"/>
  <c r="R237" i="2"/>
  <c r="L237" i="2"/>
  <c r="F237" i="2"/>
  <c r="L548" i="2" l="1"/>
  <c r="L555" i="2"/>
  <c r="F555" i="2"/>
  <c r="L547" i="2"/>
  <c r="H49" i="6" l="1"/>
  <c r="J49" i="6"/>
  <c r="K49" i="6"/>
  <c r="H50" i="6"/>
  <c r="I50" i="6"/>
  <c r="J50" i="6"/>
  <c r="K50" i="6"/>
  <c r="H51" i="6"/>
  <c r="I51" i="6"/>
  <c r="J51" i="6"/>
  <c r="K51" i="6"/>
  <c r="H52" i="6"/>
  <c r="I52" i="6"/>
  <c r="I48" i="6"/>
  <c r="J48" i="6"/>
  <c r="K48" i="6"/>
  <c r="H48" i="6"/>
  <c r="L545" i="2"/>
  <c r="F178" i="2"/>
  <c r="I53" i="6" l="1"/>
  <c r="H53" i="6"/>
  <c r="L546" i="2" l="1"/>
  <c r="F361" i="2" l="1"/>
  <c r="F1053" i="2" l="1"/>
  <c r="F815" i="2"/>
  <c r="T1908" i="2" l="1"/>
  <c r="F362" i="2" l="1"/>
  <c r="F1902" i="2" l="1"/>
  <c r="F1901" i="2"/>
  <c r="F364" i="2" l="1"/>
  <c r="F363" i="2"/>
  <c r="F964" i="2" l="1"/>
  <c r="H773" i="2"/>
  <c r="F1879" i="2" l="1"/>
  <c r="T1253" i="2" l="1"/>
  <c r="T1250" i="2"/>
  <c r="T1246" i="2" l="1"/>
  <c r="T777" i="2"/>
  <c r="F1224" i="2" l="1"/>
  <c r="T1488" i="2" l="1"/>
  <c r="T1489" i="2"/>
  <c r="T1487" i="2"/>
  <c r="W1490" i="2"/>
  <c r="X1490" i="2" s="1"/>
  <c r="R1490" i="2"/>
  <c r="M1490" i="2" s="1"/>
  <c r="H1490" i="2"/>
  <c r="W1489" i="2"/>
  <c r="X1489" i="2" s="1"/>
  <c r="R1489" i="2"/>
  <c r="F1489" i="2"/>
  <c r="W1488" i="2"/>
  <c r="X1488" i="2" s="1"/>
  <c r="R1488" i="2"/>
  <c r="F1488" i="2"/>
  <c r="W1487" i="2"/>
  <c r="X1487" i="2" s="1"/>
  <c r="R1487" i="2"/>
  <c r="F1487" i="2"/>
  <c r="F431" i="2" l="1"/>
  <c r="F307" i="2" l="1"/>
  <c r="F1903" i="2" l="1"/>
  <c r="F432" i="2" l="1"/>
  <c r="F530" i="2"/>
  <c r="F57" i="2" l="1"/>
  <c r="F58" i="2"/>
  <c r="T776" i="2" l="1"/>
  <c r="F865" i="2" l="1"/>
  <c r="F866" i="2"/>
  <c r="F1629" i="2" l="1"/>
  <c r="F950" i="2"/>
  <c r="T1130" i="2" l="1"/>
  <c r="T1131" i="2"/>
  <c r="T1132" i="2"/>
  <c r="T1129" i="2"/>
  <c r="T1107" i="2" l="1"/>
  <c r="M7" i="6" l="1"/>
  <c r="F1723" i="2" l="1"/>
  <c r="F531" i="2" l="1"/>
  <c r="F308" i="2"/>
  <c r="F1476" i="2" l="1"/>
  <c r="F1465" i="2" l="1"/>
  <c r="L89" i="2" l="1"/>
  <c r="H105" i="6" l="1"/>
  <c r="X68" i="2" l="1"/>
  <c r="R68" i="2"/>
  <c r="L68" i="2"/>
  <c r="F1285" i="2" l="1"/>
  <c r="W216" i="2"/>
  <c r="X216" i="2" s="1"/>
  <c r="R216" i="2"/>
  <c r="L216" i="2"/>
  <c r="F216" i="2"/>
  <c r="X73" i="2"/>
  <c r="R73" i="2"/>
  <c r="L73" i="2"/>
  <c r="F275" i="2"/>
  <c r="F276" i="2"/>
  <c r="E109" i="6" l="1"/>
  <c r="Q108" i="6"/>
  <c r="L108" i="6"/>
  <c r="I108" i="6"/>
  <c r="H108" i="6"/>
  <c r="E108" i="6"/>
  <c r="D108" i="6"/>
  <c r="C108" i="6"/>
  <c r="Q107" i="6"/>
  <c r="O107" i="6"/>
  <c r="L107" i="6"/>
  <c r="K107" i="6"/>
  <c r="J107" i="6"/>
  <c r="I107" i="6"/>
  <c r="H107" i="6"/>
  <c r="E107" i="6"/>
  <c r="D107" i="6"/>
  <c r="C107" i="6"/>
  <c r="O106" i="6"/>
  <c r="K106" i="6"/>
  <c r="J106" i="6"/>
  <c r="I106" i="6"/>
  <c r="H106" i="6"/>
  <c r="E106" i="6"/>
  <c r="D106" i="6"/>
  <c r="C106" i="6"/>
  <c r="O105" i="6"/>
  <c r="N105" i="6"/>
  <c r="K105" i="6"/>
  <c r="J105" i="6"/>
  <c r="I105" i="6"/>
  <c r="E105" i="6"/>
  <c r="D105" i="6"/>
  <c r="C105" i="6"/>
  <c r="F1107" i="2"/>
  <c r="H1133" i="2"/>
  <c r="W1133" i="2"/>
  <c r="X1133" i="2" s="1"/>
  <c r="R1133" i="2"/>
  <c r="M1133" i="2" s="1"/>
  <c r="N109" i="6" s="1"/>
  <c r="W1132" i="2"/>
  <c r="X1132" i="2" s="1"/>
  <c r="R1132" i="2"/>
  <c r="F1132" i="2"/>
  <c r="F108" i="6" s="1"/>
  <c r="W1131" i="2"/>
  <c r="X1131" i="2" s="1"/>
  <c r="R1131" i="2"/>
  <c r="L1131" i="2"/>
  <c r="M107" i="6" s="1"/>
  <c r="F1131" i="2"/>
  <c r="F107" i="6" s="1"/>
  <c r="W1130" i="2"/>
  <c r="X1130" i="2" s="1"/>
  <c r="R1130" i="2"/>
  <c r="F1130" i="2"/>
  <c r="F106" i="6" s="1"/>
  <c r="W1129" i="2"/>
  <c r="X1129" i="2" s="1"/>
  <c r="R1129" i="2"/>
  <c r="F1129" i="2"/>
  <c r="F105" i="6" s="1"/>
  <c r="H109" i="6" l="1"/>
  <c r="I109" i="6"/>
  <c r="C62" i="6" l="1"/>
  <c r="E62" i="6"/>
  <c r="H62" i="6"/>
  <c r="I62" i="6"/>
  <c r="J62" i="6"/>
  <c r="K62" i="6"/>
  <c r="C63" i="6"/>
  <c r="E63" i="6"/>
  <c r="H63" i="6"/>
  <c r="I63" i="6"/>
  <c r="J63" i="6"/>
  <c r="K63" i="6"/>
  <c r="C64" i="6"/>
  <c r="E64" i="6"/>
  <c r="H64" i="6"/>
  <c r="I64" i="6"/>
  <c r="J64" i="6"/>
  <c r="K64" i="6"/>
  <c r="C65" i="6"/>
  <c r="E65" i="6"/>
  <c r="H65" i="6"/>
  <c r="I65" i="6"/>
  <c r="J65" i="6"/>
  <c r="K65" i="6"/>
  <c r="C66" i="6"/>
  <c r="E66" i="6"/>
  <c r="H66" i="6"/>
  <c r="I66" i="6"/>
  <c r="J66" i="6"/>
  <c r="K66" i="6"/>
  <c r="C67" i="6"/>
  <c r="E67" i="6"/>
  <c r="H67" i="6"/>
  <c r="I67" i="6"/>
  <c r="J67" i="6"/>
  <c r="K67" i="6"/>
  <c r="C68" i="6"/>
  <c r="E68" i="6"/>
  <c r="H68" i="6"/>
  <c r="I68" i="6"/>
  <c r="I61" i="6"/>
  <c r="J61" i="6"/>
  <c r="K61" i="6"/>
  <c r="H61" i="6"/>
  <c r="H181" i="6"/>
  <c r="C182" i="6"/>
  <c r="E182" i="6"/>
  <c r="H182" i="6"/>
  <c r="I182" i="6"/>
  <c r="J182" i="6"/>
  <c r="K182" i="6"/>
  <c r="C183" i="6"/>
  <c r="E183" i="6"/>
  <c r="H183" i="6"/>
  <c r="I183" i="6"/>
  <c r="J183" i="6"/>
  <c r="K183" i="6"/>
  <c r="C184" i="6"/>
  <c r="E184" i="6"/>
  <c r="I184" i="6"/>
  <c r="J184" i="6"/>
  <c r="K184" i="6"/>
  <c r="C185" i="6"/>
  <c r="E185" i="6"/>
  <c r="H185" i="6"/>
  <c r="I185" i="6"/>
  <c r="J185" i="6"/>
  <c r="K185" i="6"/>
  <c r="C186" i="6"/>
  <c r="E186" i="6"/>
  <c r="I186" i="6"/>
  <c r="J186" i="6"/>
  <c r="K186" i="6"/>
  <c r="C187" i="6"/>
  <c r="E187" i="6"/>
  <c r="H187" i="6"/>
  <c r="I187" i="6"/>
  <c r="J181" i="6"/>
  <c r="I181" i="6"/>
  <c r="K181" i="6"/>
  <c r="I188" i="6" l="1"/>
  <c r="H188" i="6"/>
  <c r="K80" i="2" l="1"/>
  <c r="H80" i="2"/>
  <c r="X62" i="2"/>
  <c r="R62" i="2"/>
  <c r="L62" i="2"/>
  <c r="F62" i="2"/>
  <c r="F1477" i="2" l="1"/>
  <c r="T775" i="2" l="1"/>
  <c r="F775" i="2"/>
  <c r="T781" i="2" l="1"/>
  <c r="F309" i="2" l="1"/>
  <c r="F60" i="2"/>
  <c r="F1335" i="2" l="1"/>
  <c r="X71" i="2" l="1"/>
  <c r="R71" i="2"/>
  <c r="L71" i="2"/>
  <c r="L351" i="2" l="1"/>
  <c r="L74" i="2"/>
  <c r="X67" i="2" l="1"/>
  <c r="R67" i="2"/>
  <c r="L67" i="2"/>
  <c r="L76" i="2" l="1"/>
  <c r="X72" i="2" l="1"/>
  <c r="R72" i="2"/>
  <c r="L72" i="2"/>
  <c r="F274" i="2"/>
  <c r="F1466" i="2" l="1"/>
  <c r="F433" i="2" l="1"/>
  <c r="I663" i="2"/>
  <c r="F490" i="2"/>
  <c r="F603" i="2" l="1"/>
  <c r="I80" i="2" l="1"/>
  <c r="W349" i="2"/>
  <c r="X349" i="2" s="1"/>
  <c r="R349" i="2"/>
  <c r="W348" i="2" l="1"/>
  <c r="X348" i="2" s="1"/>
  <c r="R348" i="2"/>
  <c r="W1477" i="2" l="1"/>
  <c r="X1477" i="2" s="1"/>
  <c r="T1477" i="2"/>
  <c r="R1477" i="2"/>
  <c r="F181" i="2"/>
  <c r="F180" i="2"/>
  <c r="F1336" i="2" l="1"/>
  <c r="W347" i="2" l="1"/>
  <c r="X347" i="2" s="1"/>
  <c r="R347" i="2"/>
  <c r="F434" i="2" l="1"/>
  <c r="F1050" i="2"/>
  <c r="W346" i="2" l="1"/>
  <c r="X346" i="2" s="1"/>
  <c r="R346" i="2"/>
  <c r="F365" i="2" l="1"/>
  <c r="R80" i="2" l="1"/>
  <c r="M80" i="2" s="1"/>
  <c r="F366" i="2" l="1"/>
  <c r="K45" i="6"/>
  <c r="J45" i="6"/>
  <c r="I45" i="6"/>
  <c r="H45" i="6"/>
  <c r="E45" i="6"/>
  <c r="D45" i="6"/>
  <c r="C45" i="6"/>
  <c r="W1054" i="2"/>
  <c r="X1054" i="2" s="1"/>
  <c r="T1054" i="2"/>
  <c r="R1054" i="2"/>
  <c r="F1054" i="2"/>
  <c r="F45" i="6" s="1"/>
  <c r="F755" i="2" l="1"/>
  <c r="F39" i="7" s="1"/>
  <c r="L64" i="2" l="1"/>
  <c r="W80" i="2"/>
  <c r="X79" i="2"/>
  <c r="R79" i="2"/>
  <c r="L77" i="2"/>
  <c r="X75" i="2"/>
  <c r="R75" i="2"/>
  <c r="L75" i="2"/>
  <c r="X70" i="2"/>
  <c r="R70" i="2"/>
  <c r="L70" i="2"/>
  <c r="X69" i="2"/>
  <c r="R69" i="2"/>
  <c r="L69" i="2"/>
  <c r="X66" i="2"/>
  <c r="R66" i="2"/>
  <c r="L66" i="2"/>
  <c r="X65" i="2"/>
  <c r="L65" i="2"/>
  <c r="X64" i="2"/>
  <c r="R64" i="2"/>
  <c r="X63" i="2"/>
  <c r="R63" i="2"/>
  <c r="L63" i="2"/>
  <c r="X80" i="2" l="1"/>
  <c r="F1784" i="2" l="1"/>
  <c r="F215" i="2" l="1"/>
  <c r="W164" i="2"/>
  <c r="X164" i="2" s="1"/>
  <c r="R164" i="2"/>
  <c r="L164" i="2"/>
  <c r="F164" i="2"/>
  <c r="F532" i="2" l="1"/>
  <c r="I267" i="2" l="1"/>
  <c r="F38" i="7" l="1"/>
  <c r="H330" i="2" l="1"/>
  <c r="I330" i="2"/>
  <c r="J330" i="2"/>
  <c r="K330" i="2"/>
  <c r="H339" i="2"/>
  <c r="I339" i="2"/>
  <c r="J339" i="2"/>
  <c r="L335" i="2"/>
  <c r="F336" i="2"/>
  <c r="L336" i="2"/>
  <c r="W370" i="2"/>
  <c r="X370" i="2" s="1"/>
  <c r="R370" i="2"/>
  <c r="L370" i="2"/>
  <c r="F370" i="2"/>
  <c r="W369" i="2"/>
  <c r="X369" i="2" s="1"/>
  <c r="R369" i="2"/>
  <c r="L369" i="2"/>
  <c r="F369" i="2"/>
  <c r="W344" i="2"/>
  <c r="X344" i="2" s="1"/>
  <c r="R344" i="2"/>
  <c r="W343" i="2"/>
  <c r="X343" i="2" s="1"/>
  <c r="R343" i="2"/>
  <c r="H375" i="2"/>
  <c r="I375" i="2"/>
  <c r="J375" i="2"/>
  <c r="F367" i="2"/>
  <c r="H312" i="2"/>
  <c r="I312" i="2"/>
  <c r="J312" i="2"/>
  <c r="H306" i="2"/>
  <c r="I306" i="2"/>
  <c r="J306" i="2"/>
  <c r="H377" i="2" l="1"/>
  <c r="H341" i="2"/>
  <c r="H314" i="2"/>
  <c r="F776" i="2" l="1"/>
  <c r="I201" i="2"/>
  <c r="F199" i="2"/>
  <c r="F198" i="2"/>
  <c r="F533" i="2" l="1"/>
  <c r="F863" i="2" l="1"/>
  <c r="F1192" i="2" l="1"/>
  <c r="F329" i="2" l="1"/>
  <c r="F1820" i="2"/>
  <c r="F273" i="2"/>
  <c r="F1481" i="2" l="1"/>
  <c r="F1800" i="2" l="1"/>
  <c r="W1466" i="2" l="1"/>
  <c r="X1466" i="2" s="1"/>
  <c r="T1466" i="2"/>
  <c r="R1466" i="2"/>
  <c r="J2" i="8" l="1"/>
  <c r="R218" i="2" l="1"/>
  <c r="M218" i="2" s="1"/>
  <c r="R39" i="2"/>
  <c r="F1801" i="2" l="1"/>
  <c r="K165" i="6" l="1"/>
  <c r="J165" i="6"/>
  <c r="I165" i="6"/>
  <c r="H165" i="6"/>
  <c r="E165" i="6"/>
  <c r="C165" i="6"/>
  <c r="W1192" i="2"/>
  <c r="X1192" i="2" s="1"/>
  <c r="T1192" i="2"/>
  <c r="R1192" i="2"/>
  <c r="F165" i="6"/>
  <c r="W461" i="2"/>
  <c r="X461" i="2" s="1"/>
  <c r="R461" i="2"/>
  <c r="F195" i="2" l="1"/>
  <c r="F257" i="2" l="1"/>
  <c r="F256" i="2"/>
  <c r="W165" i="2" l="1"/>
  <c r="X165" i="2" s="1"/>
  <c r="R165" i="2"/>
  <c r="L165" i="2"/>
  <c r="F165" i="2"/>
  <c r="F1620" i="2" l="1"/>
  <c r="K560" i="2"/>
  <c r="K564" i="2"/>
  <c r="F368" i="2" l="1"/>
  <c r="F1621" i="2" l="1"/>
  <c r="F1357" i="2"/>
  <c r="F1770" i="2" l="1"/>
  <c r="K184" i="2" l="1"/>
  <c r="H184" i="2"/>
  <c r="F1158" i="2" l="1"/>
  <c r="F1622" i="2" l="1"/>
  <c r="F1358" i="2" l="1"/>
  <c r="F1482" i="2" l="1"/>
  <c r="K168" i="2" l="1"/>
  <c r="I168" i="2"/>
  <c r="F162" i="2" l="1"/>
  <c r="F163" i="2" l="1"/>
  <c r="F938" i="2" l="1"/>
  <c r="F435" i="2" l="1"/>
  <c r="F436" i="2"/>
  <c r="F437" i="2"/>
  <c r="F771" i="2" l="1"/>
  <c r="L180" i="2" l="1"/>
  <c r="J53" i="7" l="1"/>
  <c r="I53" i="7"/>
  <c r="H53" i="7"/>
  <c r="G53" i="7"/>
  <c r="E53" i="7"/>
  <c r="C53" i="7"/>
  <c r="W948" i="2" l="1"/>
  <c r="X948" i="2" s="1"/>
  <c r="T948" i="2"/>
  <c r="R948" i="2"/>
  <c r="F948" i="2"/>
  <c r="F53" i="7" s="1"/>
  <c r="N50" i="7" l="1"/>
  <c r="J50" i="7"/>
  <c r="I50" i="7"/>
  <c r="H50" i="7"/>
  <c r="G50" i="7"/>
  <c r="E50" i="7"/>
  <c r="C50" i="7"/>
  <c r="W945" i="2"/>
  <c r="X945" i="2" s="1"/>
  <c r="T945" i="2"/>
  <c r="R945" i="2"/>
  <c r="F50" i="7"/>
  <c r="I285" i="2"/>
  <c r="L615" i="2" l="1"/>
  <c r="L616" i="2"/>
  <c r="F1159" i="2" l="1"/>
  <c r="F809" i="2"/>
  <c r="W1473" i="2" l="1"/>
  <c r="X1473" i="2" s="1"/>
  <c r="T1473" i="2"/>
  <c r="R1473" i="2"/>
  <c r="F1473" i="2"/>
  <c r="F1483" i="2" l="1"/>
  <c r="W1471" i="2" l="1"/>
  <c r="X1471" i="2" s="1"/>
  <c r="T1471" i="2"/>
  <c r="R1471" i="2"/>
  <c r="W1482" i="2" l="1"/>
  <c r="X1482" i="2" s="1"/>
  <c r="T1482" i="2"/>
  <c r="R1482" i="2"/>
  <c r="W1483" i="2"/>
  <c r="X1483" i="2" s="1"/>
  <c r="T1483" i="2"/>
  <c r="R1483" i="2"/>
  <c r="T1478" i="2" l="1"/>
  <c r="T1479" i="2"/>
  <c r="T1476" i="2"/>
  <c r="W1480" i="2" l="1"/>
  <c r="X1480" i="2" s="1"/>
  <c r="R1480" i="2"/>
  <c r="M1480" i="2" s="1"/>
  <c r="H1480" i="2"/>
  <c r="W1479" i="2"/>
  <c r="X1479" i="2" s="1"/>
  <c r="R1479" i="2"/>
  <c r="F1479" i="2"/>
  <c r="W1478" i="2"/>
  <c r="X1478" i="2" s="1"/>
  <c r="R1478" i="2"/>
  <c r="F1478" i="2"/>
  <c r="W1476" i="2"/>
  <c r="X1476" i="2" s="1"/>
  <c r="R1476" i="2"/>
  <c r="F41" i="2" l="1"/>
  <c r="F51" i="2"/>
  <c r="F52" i="2"/>
  <c r="F232" i="6" l="1"/>
  <c r="F1791" i="2" l="1"/>
  <c r="F371" i="2"/>
  <c r="L280" i="2" l="1"/>
  <c r="F280" i="2"/>
  <c r="T1470" i="2" l="1"/>
  <c r="T1472" i="2"/>
  <c r="T1474" i="2"/>
  <c r="W1475" i="2"/>
  <c r="X1475" i="2" s="1"/>
  <c r="R1475" i="2"/>
  <c r="M1475" i="2" s="1"/>
  <c r="H1475" i="2"/>
  <c r="W1474" i="2"/>
  <c r="X1474" i="2" s="1"/>
  <c r="R1474" i="2"/>
  <c r="F1474" i="2"/>
  <c r="W1472" i="2"/>
  <c r="X1472" i="2" s="1"/>
  <c r="R1472" i="2"/>
  <c r="W1470" i="2"/>
  <c r="X1470" i="2" s="1"/>
  <c r="R1470" i="2"/>
  <c r="F282" i="2" l="1"/>
  <c r="T1467" i="2" l="1"/>
  <c r="T1468" i="2"/>
  <c r="T1465" i="2"/>
  <c r="W1469" i="2"/>
  <c r="X1469" i="2" s="1"/>
  <c r="R1469" i="2"/>
  <c r="M1469" i="2" s="1"/>
  <c r="H1469" i="2"/>
  <c r="W1468" i="2"/>
  <c r="X1468" i="2" s="1"/>
  <c r="R1468" i="2"/>
  <c r="F1468" i="2"/>
  <c r="W1467" i="2"/>
  <c r="X1467" i="2" s="1"/>
  <c r="R1467" i="2"/>
  <c r="F1467" i="2"/>
  <c r="W1465" i="2"/>
  <c r="X1465" i="2" s="1"/>
  <c r="R1465" i="2"/>
  <c r="F281" i="2"/>
  <c r="F674" i="2" l="1"/>
  <c r="F373" i="2" l="1"/>
  <c r="F372" i="2"/>
  <c r="F374" i="2" l="1"/>
  <c r="E236" i="6"/>
  <c r="E233" i="6"/>
  <c r="E234" i="6"/>
  <c r="C233" i="6"/>
  <c r="C234" i="6"/>
  <c r="H233" i="6"/>
  <c r="I233" i="6"/>
  <c r="J233" i="6"/>
  <c r="K233" i="6"/>
  <c r="H234" i="6"/>
  <c r="I234" i="6"/>
  <c r="J234" i="6"/>
  <c r="K234" i="6"/>
  <c r="H236" i="6"/>
  <c r="I236" i="6"/>
  <c r="L236" i="6"/>
  <c r="J232" i="6"/>
  <c r="K232" i="6"/>
  <c r="I232" i="6"/>
  <c r="H232" i="6"/>
  <c r="E232" i="6"/>
  <c r="C232" i="6"/>
  <c r="T237" i="6"/>
  <c r="R237" i="6"/>
  <c r="Q236" i="6"/>
  <c r="D236" i="6"/>
  <c r="C236" i="6"/>
  <c r="D234" i="6"/>
  <c r="D233" i="6"/>
  <c r="D232" i="6"/>
  <c r="T1268" i="2"/>
  <c r="T1269" i="2"/>
  <c r="T1271" i="2"/>
  <c r="T1267" i="2"/>
  <c r="R1272" i="2"/>
  <c r="M1272" i="2" s="1"/>
  <c r="N237" i="6" s="1"/>
  <c r="W1272" i="2"/>
  <c r="W1425" i="2"/>
  <c r="X1425" i="2" s="1"/>
  <c r="F1425" i="2"/>
  <c r="H237" i="6" l="1"/>
  <c r="I237" i="6"/>
  <c r="Y233" i="2" l="1"/>
  <c r="E163" i="6" l="1"/>
  <c r="E164" i="6"/>
  <c r="E166" i="6"/>
  <c r="H163" i="6"/>
  <c r="I163" i="6"/>
  <c r="J163" i="6"/>
  <c r="K163" i="6"/>
  <c r="H164" i="6"/>
  <c r="I164" i="6"/>
  <c r="J164" i="6"/>
  <c r="K164" i="6"/>
  <c r="H166" i="6"/>
  <c r="I166" i="6"/>
  <c r="J166" i="6"/>
  <c r="K166" i="6"/>
  <c r="H167" i="6"/>
  <c r="I167" i="6"/>
  <c r="K162" i="6"/>
  <c r="J162" i="6"/>
  <c r="I162" i="6"/>
  <c r="H162" i="6"/>
  <c r="E162" i="6"/>
  <c r="I168" i="6" l="1"/>
  <c r="H168" i="6"/>
  <c r="W375" i="2"/>
  <c r="X375" i="2" s="1"/>
  <c r="R375" i="2"/>
  <c r="W374" i="2"/>
  <c r="X374" i="2" s="1"/>
  <c r="R374" i="2"/>
  <c r="L374" i="2"/>
  <c r="W373" i="2"/>
  <c r="X373" i="2" s="1"/>
  <c r="R373" i="2"/>
  <c r="L373" i="2"/>
  <c r="F238" i="2" l="1"/>
  <c r="R286" i="2" l="1"/>
  <c r="F753" i="2" l="1"/>
  <c r="W675" i="2" l="1"/>
  <c r="X675" i="2" s="1"/>
  <c r="T675" i="2"/>
  <c r="F675" i="2"/>
  <c r="W674" i="2" l="1"/>
  <c r="X674" i="2" s="1"/>
  <c r="T674" i="2"/>
  <c r="F1730" i="2" l="1"/>
  <c r="E35" i="7"/>
  <c r="G35" i="7"/>
  <c r="H35" i="7"/>
  <c r="I35" i="7"/>
  <c r="J35" i="7"/>
  <c r="C35" i="7"/>
  <c r="T1911" i="2" l="1"/>
  <c r="T1910" i="2"/>
  <c r="T1907" i="2"/>
  <c r="W1909" i="2" l="1"/>
  <c r="X1909" i="2" s="1"/>
  <c r="R1909" i="2"/>
  <c r="M1909" i="2" s="1"/>
  <c r="H1909" i="2"/>
  <c r="W1908" i="2"/>
  <c r="X1908" i="2" s="1"/>
  <c r="R1908" i="2"/>
  <c r="F1908" i="2"/>
  <c r="W1907" i="2"/>
  <c r="X1907" i="2" s="1"/>
  <c r="R1907" i="2"/>
  <c r="F1907" i="2"/>
  <c r="F283" i="2" l="1"/>
  <c r="W436" i="2" l="1"/>
  <c r="X436" i="2" s="1"/>
  <c r="R436" i="2"/>
  <c r="L436" i="2"/>
  <c r="W1886" i="2" l="1"/>
  <c r="X1886" i="2" s="1"/>
  <c r="T1886" i="2"/>
  <c r="R1886" i="2"/>
  <c r="W1890" i="2"/>
  <c r="X1890" i="2" s="1"/>
  <c r="T1890" i="2"/>
  <c r="R1890" i="2"/>
  <c r="T1008" i="2" l="1"/>
  <c r="R134" i="2" l="1"/>
  <c r="W673" i="2" l="1"/>
  <c r="X673" i="2" s="1"/>
  <c r="T673" i="2"/>
  <c r="W672" i="2" l="1"/>
  <c r="X672" i="2" s="1"/>
  <c r="T672" i="2"/>
  <c r="F1245" i="2" l="1"/>
  <c r="F752" i="2"/>
  <c r="F1869" i="2" l="1"/>
  <c r="F683" i="2" l="1"/>
  <c r="L361" i="2" l="1"/>
  <c r="L362" i="2"/>
  <c r="L363" i="2"/>
  <c r="L364" i="2"/>
  <c r="L365" i="2"/>
  <c r="L366" i="2"/>
  <c r="L367" i="2"/>
  <c r="L368" i="2"/>
  <c r="L371" i="2"/>
  <c r="R133" i="2" l="1"/>
  <c r="L133" i="2"/>
  <c r="F133" i="2"/>
  <c r="L282" i="2" l="1"/>
  <c r="R776" i="2" l="1"/>
  <c r="R778" i="2"/>
  <c r="F452" i="2" l="1"/>
  <c r="H63" i="4" l="1"/>
  <c r="H64" i="4"/>
  <c r="H65" i="4"/>
  <c r="H67" i="4"/>
  <c r="L281" i="2"/>
  <c r="I300" i="2" l="1"/>
  <c r="K300" i="2"/>
  <c r="H300" i="2"/>
  <c r="F39" i="2" l="1"/>
  <c r="F1157" i="2" l="1"/>
  <c r="F951" i="2" l="1"/>
  <c r="F1898" i="2" l="1"/>
  <c r="F1017" i="2" l="1"/>
  <c r="P4" i="7" l="1"/>
  <c r="N4" i="7"/>
  <c r="P3" i="7"/>
  <c r="N3" i="7"/>
  <c r="Q4" i="6"/>
  <c r="O4" i="6"/>
  <c r="Q3" i="6"/>
  <c r="O3" i="6"/>
  <c r="M60" i="8" l="1"/>
  <c r="F1927" i="2"/>
  <c r="F1928" i="2"/>
  <c r="F1929" i="2"/>
  <c r="F1930" i="2"/>
  <c r="F1731" i="2"/>
  <c r="F1732" i="2"/>
  <c r="L16" i="2" l="1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1" i="2"/>
  <c r="L32" i="2"/>
  <c r="L33" i="2"/>
  <c r="L34" i="2"/>
  <c r="L35" i="2"/>
  <c r="L36" i="2"/>
  <c r="I227" i="6" l="1"/>
  <c r="J197" i="6"/>
  <c r="R243" i="6" l="1"/>
  <c r="T243" i="6"/>
  <c r="C239" i="6"/>
  <c r="D239" i="6"/>
  <c r="E239" i="6"/>
  <c r="H239" i="6"/>
  <c r="I239" i="6"/>
  <c r="J239" i="6"/>
  <c r="K239" i="6"/>
  <c r="C240" i="6"/>
  <c r="D240" i="6"/>
  <c r="E240" i="6"/>
  <c r="H240" i="6"/>
  <c r="I240" i="6"/>
  <c r="J240" i="6"/>
  <c r="K240" i="6"/>
  <c r="C241" i="6"/>
  <c r="D241" i="6"/>
  <c r="E241" i="6"/>
  <c r="H241" i="6"/>
  <c r="I241" i="6"/>
  <c r="J241" i="6"/>
  <c r="K241" i="6"/>
  <c r="C242" i="6"/>
  <c r="D242" i="6"/>
  <c r="E242" i="6"/>
  <c r="H242" i="6"/>
  <c r="I242" i="6"/>
  <c r="L242" i="6"/>
  <c r="D238" i="6"/>
  <c r="E238" i="6"/>
  <c r="H238" i="6"/>
  <c r="I238" i="6"/>
  <c r="J238" i="6"/>
  <c r="K238" i="6"/>
  <c r="C227" i="6"/>
  <c r="D227" i="6"/>
  <c r="E227" i="6"/>
  <c r="H227" i="6"/>
  <c r="J227" i="6"/>
  <c r="K227" i="6"/>
  <c r="C228" i="6"/>
  <c r="D228" i="6"/>
  <c r="E228" i="6"/>
  <c r="H228" i="6"/>
  <c r="I228" i="6"/>
  <c r="J228" i="6"/>
  <c r="K228" i="6"/>
  <c r="C229" i="6"/>
  <c r="D229" i="6"/>
  <c r="E229" i="6"/>
  <c r="H229" i="6"/>
  <c r="I229" i="6"/>
  <c r="J229" i="6"/>
  <c r="K229" i="6"/>
  <c r="C230" i="6"/>
  <c r="D230" i="6"/>
  <c r="E230" i="6"/>
  <c r="H230" i="6"/>
  <c r="I230" i="6"/>
  <c r="L230" i="6"/>
  <c r="D226" i="6"/>
  <c r="E226" i="6"/>
  <c r="H226" i="6"/>
  <c r="I226" i="6"/>
  <c r="J226" i="6"/>
  <c r="K226" i="6"/>
  <c r="C196" i="6"/>
  <c r="D196" i="6"/>
  <c r="E196" i="6"/>
  <c r="H196" i="6"/>
  <c r="I196" i="6"/>
  <c r="J196" i="6"/>
  <c r="K196" i="6"/>
  <c r="C197" i="6"/>
  <c r="D197" i="6"/>
  <c r="E197" i="6"/>
  <c r="H197" i="6"/>
  <c r="I197" i="6"/>
  <c r="K197" i="6"/>
  <c r="C198" i="6"/>
  <c r="D198" i="6"/>
  <c r="E198" i="6"/>
  <c r="H198" i="6"/>
  <c r="I198" i="6"/>
  <c r="J198" i="6"/>
  <c r="K198" i="6"/>
  <c r="C199" i="6"/>
  <c r="D199" i="6"/>
  <c r="E199" i="6"/>
  <c r="H199" i="6"/>
  <c r="I199" i="6"/>
  <c r="J199" i="6"/>
  <c r="K199" i="6"/>
  <c r="C200" i="6"/>
  <c r="D200" i="6"/>
  <c r="E200" i="6"/>
  <c r="H200" i="6"/>
  <c r="I200" i="6"/>
  <c r="D195" i="6"/>
  <c r="E195" i="6"/>
  <c r="H195" i="6"/>
  <c r="I195" i="6"/>
  <c r="J195" i="6"/>
  <c r="K195" i="6"/>
  <c r="C170" i="6"/>
  <c r="D170" i="6"/>
  <c r="E170" i="6"/>
  <c r="H170" i="6"/>
  <c r="I170" i="6"/>
  <c r="J170" i="6"/>
  <c r="K170" i="6"/>
  <c r="C171" i="6"/>
  <c r="D171" i="6"/>
  <c r="E171" i="6"/>
  <c r="H171" i="6"/>
  <c r="I171" i="6"/>
  <c r="J171" i="6"/>
  <c r="K171" i="6"/>
  <c r="C172" i="6"/>
  <c r="D172" i="6"/>
  <c r="E172" i="6"/>
  <c r="H172" i="6"/>
  <c r="I172" i="6"/>
  <c r="J172" i="6"/>
  <c r="K172" i="6"/>
  <c r="C173" i="6"/>
  <c r="D173" i="6"/>
  <c r="E173" i="6"/>
  <c r="H173" i="6"/>
  <c r="I173" i="6"/>
  <c r="L173" i="6"/>
  <c r="D169" i="6"/>
  <c r="E169" i="6"/>
  <c r="H169" i="6"/>
  <c r="I169" i="6"/>
  <c r="J169" i="6"/>
  <c r="K169" i="6"/>
  <c r="C147" i="6"/>
  <c r="D147" i="6"/>
  <c r="E147" i="6"/>
  <c r="H147" i="6"/>
  <c r="I147" i="6"/>
  <c r="J147" i="6"/>
  <c r="K147" i="6"/>
  <c r="C148" i="6"/>
  <c r="D148" i="6"/>
  <c r="E148" i="6"/>
  <c r="H148" i="6"/>
  <c r="I148" i="6"/>
  <c r="J148" i="6"/>
  <c r="K148" i="6"/>
  <c r="C149" i="6"/>
  <c r="D149" i="6"/>
  <c r="E149" i="6"/>
  <c r="H149" i="6"/>
  <c r="I149" i="6"/>
  <c r="J149" i="6"/>
  <c r="K149" i="6"/>
  <c r="C150" i="6"/>
  <c r="D150" i="6"/>
  <c r="E150" i="6"/>
  <c r="H150" i="6"/>
  <c r="I150" i="6"/>
  <c r="J150" i="6"/>
  <c r="K150" i="6"/>
  <c r="C151" i="6"/>
  <c r="D151" i="6"/>
  <c r="E151" i="6"/>
  <c r="H151" i="6"/>
  <c r="I151" i="6"/>
  <c r="J151" i="6"/>
  <c r="K151" i="6"/>
  <c r="C152" i="6"/>
  <c r="D152" i="6"/>
  <c r="E152" i="6"/>
  <c r="H152" i="6"/>
  <c r="I152" i="6"/>
  <c r="D146" i="6"/>
  <c r="E146" i="6"/>
  <c r="H146" i="6"/>
  <c r="I146" i="6"/>
  <c r="J146" i="6"/>
  <c r="K146" i="6"/>
  <c r="C141" i="6"/>
  <c r="D141" i="6"/>
  <c r="E141" i="6"/>
  <c r="H141" i="6"/>
  <c r="I141" i="6"/>
  <c r="J141" i="6"/>
  <c r="K141" i="6"/>
  <c r="C142" i="6"/>
  <c r="D142" i="6"/>
  <c r="E142" i="6"/>
  <c r="H142" i="6"/>
  <c r="I142" i="6"/>
  <c r="J142" i="6"/>
  <c r="K142" i="6"/>
  <c r="C143" i="6"/>
  <c r="D143" i="6"/>
  <c r="E143" i="6"/>
  <c r="H143" i="6"/>
  <c r="I143" i="6"/>
  <c r="J143" i="6"/>
  <c r="K143" i="6"/>
  <c r="C144" i="6"/>
  <c r="D144" i="6"/>
  <c r="E144" i="6"/>
  <c r="H144" i="6"/>
  <c r="I144" i="6"/>
  <c r="D140" i="6"/>
  <c r="E140" i="6"/>
  <c r="H140" i="6"/>
  <c r="I140" i="6"/>
  <c r="J140" i="6"/>
  <c r="K140" i="6"/>
  <c r="C117" i="6"/>
  <c r="D117" i="6"/>
  <c r="E117" i="6"/>
  <c r="H117" i="6"/>
  <c r="I117" i="6"/>
  <c r="J117" i="6"/>
  <c r="K117" i="6"/>
  <c r="C118" i="6"/>
  <c r="D118" i="6"/>
  <c r="E118" i="6"/>
  <c r="H118" i="6"/>
  <c r="I118" i="6"/>
  <c r="J118" i="6"/>
  <c r="K118" i="6"/>
  <c r="C119" i="6"/>
  <c r="D119" i="6"/>
  <c r="E119" i="6"/>
  <c r="H119" i="6"/>
  <c r="I119" i="6"/>
  <c r="J119" i="6"/>
  <c r="K119" i="6"/>
  <c r="C120" i="6"/>
  <c r="D120" i="6"/>
  <c r="E120" i="6"/>
  <c r="H120" i="6"/>
  <c r="I120" i="6"/>
  <c r="J120" i="6"/>
  <c r="K120" i="6"/>
  <c r="C121" i="6"/>
  <c r="D121" i="6"/>
  <c r="E121" i="6"/>
  <c r="H121" i="6"/>
  <c r="I121" i="6"/>
  <c r="D116" i="6"/>
  <c r="E116" i="6"/>
  <c r="H116" i="6"/>
  <c r="I116" i="6"/>
  <c r="J116" i="6"/>
  <c r="K116" i="6"/>
  <c r="C98" i="6"/>
  <c r="D98" i="6"/>
  <c r="E98" i="6"/>
  <c r="H98" i="6"/>
  <c r="I98" i="6"/>
  <c r="J98" i="6"/>
  <c r="K98" i="6"/>
  <c r="C99" i="6"/>
  <c r="D99" i="6"/>
  <c r="E99" i="6"/>
  <c r="H99" i="6"/>
  <c r="I99" i="6"/>
  <c r="J99" i="6"/>
  <c r="K99" i="6"/>
  <c r="C100" i="6"/>
  <c r="D100" i="6"/>
  <c r="E100" i="6"/>
  <c r="H100" i="6"/>
  <c r="I100" i="6"/>
  <c r="J100" i="6"/>
  <c r="K100" i="6"/>
  <c r="C101" i="6"/>
  <c r="D101" i="6"/>
  <c r="E101" i="6"/>
  <c r="H101" i="6"/>
  <c r="I101" i="6"/>
  <c r="J101" i="6"/>
  <c r="K101" i="6"/>
  <c r="C103" i="6"/>
  <c r="D103" i="6"/>
  <c r="E103" i="6"/>
  <c r="H103" i="6"/>
  <c r="I103" i="6"/>
  <c r="L103" i="6"/>
  <c r="D97" i="6"/>
  <c r="E97" i="6"/>
  <c r="H97" i="6"/>
  <c r="I97" i="6"/>
  <c r="J97" i="6"/>
  <c r="K97" i="6"/>
  <c r="N97" i="6"/>
  <c r="C84" i="6"/>
  <c r="D84" i="6"/>
  <c r="E84" i="6"/>
  <c r="H84" i="6"/>
  <c r="I84" i="6"/>
  <c r="J84" i="6"/>
  <c r="K84" i="6"/>
  <c r="L84" i="6"/>
  <c r="C85" i="6"/>
  <c r="D85" i="6"/>
  <c r="E85" i="6"/>
  <c r="H85" i="6"/>
  <c r="I85" i="6"/>
  <c r="J85" i="6"/>
  <c r="K85" i="6"/>
  <c r="L85" i="6"/>
  <c r="C86" i="6"/>
  <c r="D86" i="6"/>
  <c r="E86" i="6"/>
  <c r="H86" i="6"/>
  <c r="I86" i="6"/>
  <c r="J86" i="6"/>
  <c r="K86" i="6"/>
  <c r="L86" i="6"/>
  <c r="C87" i="6"/>
  <c r="D87" i="6"/>
  <c r="E87" i="6"/>
  <c r="H87" i="6"/>
  <c r="I87" i="6"/>
  <c r="J87" i="6"/>
  <c r="K87" i="6"/>
  <c r="L87" i="6"/>
  <c r="C88" i="6"/>
  <c r="D88" i="6"/>
  <c r="E88" i="6"/>
  <c r="H88" i="6"/>
  <c r="I88" i="6"/>
  <c r="L88" i="6"/>
  <c r="D83" i="6"/>
  <c r="E83" i="6"/>
  <c r="H83" i="6"/>
  <c r="I83" i="6"/>
  <c r="J83" i="6"/>
  <c r="K83" i="6"/>
  <c r="C41" i="6"/>
  <c r="D41" i="6"/>
  <c r="E41" i="6"/>
  <c r="H41" i="6"/>
  <c r="I41" i="6"/>
  <c r="J41" i="6"/>
  <c r="K41" i="6"/>
  <c r="C42" i="6"/>
  <c r="D42" i="6"/>
  <c r="E42" i="6"/>
  <c r="H42" i="6"/>
  <c r="I42" i="6"/>
  <c r="J42" i="6"/>
  <c r="K42" i="6"/>
  <c r="C43" i="6"/>
  <c r="D43" i="6"/>
  <c r="E43" i="6"/>
  <c r="H43" i="6"/>
  <c r="I43" i="6"/>
  <c r="J43" i="6"/>
  <c r="K43" i="6"/>
  <c r="C44" i="6"/>
  <c r="D44" i="6"/>
  <c r="E44" i="6"/>
  <c r="H44" i="6"/>
  <c r="I44" i="6"/>
  <c r="J44" i="6"/>
  <c r="K44" i="6"/>
  <c r="C46" i="6"/>
  <c r="D46" i="6"/>
  <c r="E46" i="6"/>
  <c r="H46" i="6"/>
  <c r="I46" i="6"/>
  <c r="D40" i="6"/>
  <c r="E40" i="6"/>
  <c r="H40" i="6"/>
  <c r="I40" i="6"/>
  <c r="J40" i="6"/>
  <c r="K40" i="6"/>
  <c r="C34" i="6"/>
  <c r="D34" i="6"/>
  <c r="E34" i="6"/>
  <c r="H34" i="6"/>
  <c r="I34" i="6"/>
  <c r="J34" i="6"/>
  <c r="K34" i="6"/>
  <c r="C35" i="6"/>
  <c r="D35" i="6"/>
  <c r="E35" i="6"/>
  <c r="H35" i="6"/>
  <c r="I35" i="6"/>
  <c r="J35" i="6"/>
  <c r="K35" i="6"/>
  <c r="C36" i="6"/>
  <c r="D36" i="6"/>
  <c r="E36" i="6"/>
  <c r="H36" i="6"/>
  <c r="I36" i="6"/>
  <c r="J36" i="6"/>
  <c r="K36" i="6"/>
  <c r="C37" i="6"/>
  <c r="D37" i="6"/>
  <c r="E37" i="6"/>
  <c r="H37" i="6"/>
  <c r="I37" i="6"/>
  <c r="J37" i="6"/>
  <c r="K37" i="6"/>
  <c r="C38" i="6"/>
  <c r="D38" i="6"/>
  <c r="E38" i="6"/>
  <c r="H38" i="6"/>
  <c r="I38" i="6"/>
  <c r="D33" i="6"/>
  <c r="E33" i="6"/>
  <c r="H33" i="6"/>
  <c r="I33" i="6"/>
  <c r="J33" i="6"/>
  <c r="K33" i="6"/>
  <c r="C17" i="6"/>
  <c r="E17" i="6"/>
  <c r="H17" i="6"/>
  <c r="I17" i="6"/>
  <c r="J17" i="6"/>
  <c r="K17" i="6"/>
  <c r="C18" i="6"/>
  <c r="E18" i="6"/>
  <c r="H18" i="6"/>
  <c r="I18" i="6"/>
  <c r="J18" i="6"/>
  <c r="K18" i="6"/>
  <c r="C19" i="6"/>
  <c r="E19" i="6"/>
  <c r="H19" i="6"/>
  <c r="I19" i="6"/>
  <c r="J19" i="6"/>
  <c r="K19" i="6"/>
  <c r="C20" i="6"/>
  <c r="E20" i="6"/>
  <c r="H20" i="6"/>
  <c r="J20" i="6"/>
  <c r="K20" i="6"/>
  <c r="C21" i="6"/>
  <c r="E21" i="6"/>
  <c r="H21" i="6"/>
  <c r="I21" i="6"/>
  <c r="J21" i="6"/>
  <c r="K21" i="6"/>
  <c r="C23" i="6"/>
  <c r="E23" i="6"/>
  <c r="H23" i="6"/>
  <c r="I23" i="6"/>
  <c r="I16" i="6"/>
  <c r="J16" i="6"/>
  <c r="K16" i="6"/>
  <c r="C16" i="6"/>
  <c r="E16" i="6"/>
  <c r="C86" i="7"/>
  <c r="D86" i="7"/>
  <c r="E86" i="7"/>
  <c r="G86" i="7"/>
  <c r="H86" i="7"/>
  <c r="I86" i="7"/>
  <c r="J86" i="7"/>
  <c r="K86" i="7"/>
  <c r="C88" i="7"/>
  <c r="D88" i="7"/>
  <c r="E88" i="7"/>
  <c r="H88" i="7"/>
  <c r="I88" i="7"/>
  <c r="D87" i="7"/>
  <c r="E87" i="7"/>
  <c r="G87" i="7"/>
  <c r="H87" i="7"/>
  <c r="I87" i="7"/>
  <c r="K87" i="7"/>
  <c r="C82" i="7"/>
  <c r="E82" i="7"/>
  <c r="G82" i="7"/>
  <c r="H82" i="7"/>
  <c r="I82" i="7"/>
  <c r="J82" i="7"/>
  <c r="C83" i="7"/>
  <c r="E83" i="7"/>
  <c r="G83" i="7"/>
  <c r="H83" i="7"/>
  <c r="I83" i="7"/>
  <c r="J83" i="7"/>
  <c r="C84" i="7"/>
  <c r="E84" i="7"/>
  <c r="G84" i="7"/>
  <c r="H84" i="7"/>
  <c r="K84" i="7"/>
  <c r="G81" i="7"/>
  <c r="H81" i="7"/>
  <c r="I81" i="7"/>
  <c r="J81" i="7"/>
  <c r="C75" i="7"/>
  <c r="D75" i="7"/>
  <c r="E75" i="7"/>
  <c r="G75" i="7"/>
  <c r="H75" i="7"/>
  <c r="I75" i="7"/>
  <c r="J75" i="7"/>
  <c r="C76" i="7"/>
  <c r="D76" i="7"/>
  <c r="E76" i="7"/>
  <c r="G76" i="7"/>
  <c r="H76" i="7"/>
  <c r="I76" i="7"/>
  <c r="J76" i="7"/>
  <c r="C77" i="7"/>
  <c r="D77" i="7"/>
  <c r="E77" i="7"/>
  <c r="G77" i="7"/>
  <c r="H77" i="7"/>
  <c r="I77" i="7"/>
  <c r="J77" i="7"/>
  <c r="C78" i="7"/>
  <c r="D78" i="7"/>
  <c r="E78" i="7"/>
  <c r="G78" i="7"/>
  <c r="H78" i="7"/>
  <c r="I78" i="7"/>
  <c r="J78" i="7"/>
  <c r="C79" i="7"/>
  <c r="D79" i="7"/>
  <c r="E79" i="7"/>
  <c r="G79" i="7"/>
  <c r="H79" i="7"/>
  <c r="D74" i="7"/>
  <c r="E74" i="7"/>
  <c r="G74" i="7"/>
  <c r="H74" i="7"/>
  <c r="I74" i="7"/>
  <c r="J74" i="7"/>
  <c r="C69" i="7"/>
  <c r="D69" i="7"/>
  <c r="E69" i="7"/>
  <c r="G69" i="7"/>
  <c r="H69" i="7"/>
  <c r="I69" i="7"/>
  <c r="J69" i="7"/>
  <c r="C70" i="7"/>
  <c r="D70" i="7"/>
  <c r="E70" i="7"/>
  <c r="G70" i="7"/>
  <c r="H70" i="7"/>
  <c r="I70" i="7"/>
  <c r="J70" i="7"/>
  <c r="C71" i="7"/>
  <c r="D71" i="7"/>
  <c r="E71" i="7"/>
  <c r="G71" i="7"/>
  <c r="H71" i="7"/>
  <c r="I71" i="7"/>
  <c r="J71" i="7"/>
  <c r="C72" i="7"/>
  <c r="D72" i="7"/>
  <c r="E72" i="7"/>
  <c r="G72" i="7"/>
  <c r="H72" i="7"/>
  <c r="G68" i="7"/>
  <c r="H68" i="7"/>
  <c r="I68" i="7"/>
  <c r="J68" i="7"/>
  <c r="C68" i="7"/>
  <c r="D68" i="7"/>
  <c r="C62" i="7"/>
  <c r="E62" i="7"/>
  <c r="G62" i="7"/>
  <c r="H62" i="7"/>
  <c r="I62" i="7"/>
  <c r="J62" i="7"/>
  <c r="C63" i="7"/>
  <c r="E63" i="7"/>
  <c r="G63" i="7"/>
  <c r="H63" i="7"/>
  <c r="I63" i="7"/>
  <c r="J63" i="7"/>
  <c r="C64" i="7"/>
  <c r="E64" i="7"/>
  <c r="G64" i="7"/>
  <c r="H64" i="7"/>
  <c r="I64" i="7"/>
  <c r="J64" i="7"/>
  <c r="C65" i="7"/>
  <c r="E65" i="7"/>
  <c r="G65" i="7"/>
  <c r="H65" i="7"/>
  <c r="I65" i="7"/>
  <c r="J65" i="7"/>
  <c r="C66" i="7"/>
  <c r="E66" i="7"/>
  <c r="G66" i="7"/>
  <c r="H66" i="7"/>
  <c r="G61" i="7"/>
  <c r="H61" i="7"/>
  <c r="I61" i="7"/>
  <c r="J61" i="7"/>
  <c r="C48" i="7"/>
  <c r="E48" i="7"/>
  <c r="G48" i="7"/>
  <c r="H48" i="7"/>
  <c r="I48" i="7"/>
  <c r="J48" i="7"/>
  <c r="C49" i="7"/>
  <c r="E49" i="7"/>
  <c r="G49" i="7"/>
  <c r="H49" i="7"/>
  <c r="I49" i="7"/>
  <c r="J49" i="7"/>
  <c r="C51" i="7"/>
  <c r="E51" i="7"/>
  <c r="G51" i="7"/>
  <c r="H51" i="7"/>
  <c r="I51" i="7"/>
  <c r="J51" i="7"/>
  <c r="C54" i="7"/>
  <c r="E54" i="7"/>
  <c r="G54" i="7"/>
  <c r="H54" i="7"/>
  <c r="I54" i="7"/>
  <c r="K54" i="7"/>
  <c r="C55" i="7"/>
  <c r="E55" i="7"/>
  <c r="G55" i="7"/>
  <c r="H55" i="7"/>
  <c r="C56" i="7"/>
  <c r="E56" i="7"/>
  <c r="G56" i="7"/>
  <c r="H56" i="7"/>
  <c r="I56" i="7"/>
  <c r="K56" i="7"/>
  <c r="G47" i="7"/>
  <c r="H47" i="7"/>
  <c r="I47" i="7"/>
  <c r="J47" i="7"/>
  <c r="G42" i="7"/>
  <c r="H42" i="7"/>
  <c r="I42" i="7"/>
  <c r="G43" i="7"/>
  <c r="H43" i="7"/>
  <c r="I43" i="7"/>
  <c r="G44" i="7"/>
  <c r="H44" i="7"/>
  <c r="I44" i="7"/>
  <c r="J44" i="7"/>
  <c r="K44" i="7"/>
  <c r="G45" i="7"/>
  <c r="H45" i="7"/>
  <c r="I45" i="7"/>
  <c r="J45" i="7"/>
  <c r="K45" i="7"/>
  <c r="H41" i="7"/>
  <c r="I41" i="7"/>
  <c r="J41" i="7"/>
  <c r="G41" i="7"/>
  <c r="F41" i="7"/>
  <c r="E41" i="7"/>
  <c r="C41" i="7"/>
  <c r="H861" i="2"/>
  <c r="R861" i="2"/>
  <c r="M861" i="2" s="1"/>
  <c r="W861" i="2"/>
  <c r="X861" i="2" s="1"/>
  <c r="G37" i="7"/>
  <c r="H37" i="7"/>
  <c r="I37" i="7"/>
  <c r="K37" i="7"/>
  <c r="G38" i="7"/>
  <c r="H38" i="7"/>
  <c r="I38" i="7"/>
  <c r="K38" i="7"/>
  <c r="G39" i="7"/>
  <c r="H39" i="7"/>
  <c r="I39" i="7"/>
  <c r="J39" i="7"/>
  <c r="H36" i="7"/>
  <c r="I36" i="7"/>
  <c r="M36" i="7"/>
  <c r="G36" i="7"/>
  <c r="H30" i="7"/>
  <c r="H31" i="7" s="1"/>
  <c r="I30" i="7"/>
  <c r="I31" i="7" s="1"/>
  <c r="K30" i="7"/>
  <c r="K31" i="7" s="1"/>
  <c r="G30" i="7"/>
  <c r="G31" i="7" s="1"/>
  <c r="E23" i="7"/>
  <c r="G23" i="7"/>
  <c r="H23" i="7"/>
  <c r="I23" i="7"/>
  <c r="K23" i="7"/>
  <c r="H22" i="7"/>
  <c r="I22" i="7"/>
  <c r="K22" i="7"/>
  <c r="G22" i="7"/>
  <c r="H89" i="6" l="1"/>
  <c r="I89" i="6"/>
  <c r="H40" i="7"/>
  <c r="I40" i="7"/>
  <c r="G40" i="7"/>
  <c r="I243" i="6"/>
  <c r="I24" i="6"/>
  <c r="I174" i="6"/>
  <c r="H174" i="6"/>
  <c r="H231" i="6"/>
  <c r="H29" i="7"/>
  <c r="I122" i="6"/>
  <c r="I104" i="6"/>
  <c r="K27" i="7"/>
  <c r="I29" i="7"/>
  <c r="H201" i="6"/>
  <c r="H46" i="7"/>
  <c r="I89" i="7"/>
  <c r="G85" i="7"/>
  <c r="I231" i="6"/>
  <c r="H243" i="6"/>
  <c r="I153" i="6"/>
  <c r="I39" i="6"/>
  <c r="H122" i="6"/>
  <c r="H153" i="6"/>
  <c r="H39" i="6"/>
  <c r="I47" i="6"/>
  <c r="H47" i="6"/>
  <c r="I145" i="6"/>
  <c r="H89" i="7"/>
  <c r="H104" i="6"/>
  <c r="H145" i="6"/>
  <c r="H24" i="6"/>
  <c r="I201" i="6"/>
  <c r="I46" i="7"/>
  <c r="G29" i="7"/>
  <c r="H60" i="7"/>
  <c r="H85" i="7"/>
  <c r="G80" i="7"/>
  <c r="G67" i="7"/>
  <c r="H80" i="7"/>
  <c r="H73" i="7"/>
  <c r="G73" i="7"/>
  <c r="H67" i="7"/>
  <c r="G46" i="7"/>
  <c r="G60" i="7"/>
  <c r="K29" i="7"/>
  <c r="G21" i="7"/>
  <c r="H19" i="7"/>
  <c r="I19" i="7"/>
  <c r="K19" i="7"/>
  <c r="G19" i="7"/>
  <c r="E19" i="7"/>
  <c r="G18" i="7"/>
  <c r="G16" i="7"/>
  <c r="E16" i="7"/>
  <c r="H16" i="7"/>
  <c r="I16" i="7"/>
  <c r="K16" i="7"/>
  <c r="M16" i="7"/>
  <c r="N16" i="7"/>
  <c r="O16" i="7"/>
  <c r="P16" i="7"/>
  <c r="C16" i="7"/>
  <c r="I248" i="6" l="1"/>
  <c r="L39" i="2"/>
  <c r="L41" i="2"/>
  <c r="L42" i="2"/>
  <c r="L43" i="2"/>
  <c r="L48" i="2"/>
  <c r="L49" i="2"/>
  <c r="L50" i="2"/>
  <c r="L51" i="2"/>
  <c r="L52" i="2"/>
  <c r="L53" i="2"/>
  <c r="L54" i="2"/>
  <c r="L55" i="2"/>
  <c r="L56" i="2"/>
  <c r="L57" i="2"/>
  <c r="L58" i="2"/>
  <c r="L59" i="2"/>
  <c r="L81" i="2"/>
  <c r="L82" i="2"/>
  <c r="L83" i="2"/>
  <c r="L84" i="2"/>
  <c r="L85" i="2"/>
  <c r="L86" i="2"/>
  <c r="L90" i="2"/>
  <c r="L93" i="2"/>
  <c r="L94" i="2"/>
  <c r="L95" i="2"/>
  <c r="L98" i="2"/>
  <c r="L99" i="2"/>
  <c r="L100" i="2"/>
  <c r="L103" i="2"/>
  <c r="L104" i="2"/>
  <c r="L105" i="2"/>
  <c r="L106" i="2"/>
  <c r="L107" i="2"/>
  <c r="L108" i="2"/>
  <c r="L112" i="2"/>
  <c r="L113" i="2"/>
  <c r="L114" i="2"/>
  <c r="L115" i="2"/>
  <c r="L116" i="2"/>
  <c r="L117" i="2"/>
  <c r="L120" i="2"/>
  <c r="L121" i="2"/>
  <c r="L125" i="2"/>
  <c r="L126" i="2"/>
  <c r="L127" i="2"/>
  <c r="L128" i="2"/>
  <c r="L129" i="2"/>
  <c r="L130" i="2"/>
  <c r="L131" i="2"/>
  <c r="L132" i="2"/>
  <c r="L136" i="2"/>
  <c r="L137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5" i="2"/>
  <c r="L156" i="2"/>
  <c r="L157" i="2"/>
  <c r="L158" i="2"/>
  <c r="L162" i="2"/>
  <c r="L163" i="2"/>
  <c r="L166" i="2"/>
  <c r="L169" i="2"/>
  <c r="L170" i="2"/>
  <c r="L171" i="2"/>
  <c r="L172" i="2"/>
  <c r="L173" i="2"/>
  <c r="L174" i="2"/>
  <c r="L175" i="2"/>
  <c r="L178" i="2"/>
  <c r="L179" i="2"/>
  <c r="L181" i="2"/>
  <c r="L182" i="2"/>
  <c r="L185" i="2"/>
  <c r="L186" i="2"/>
  <c r="L189" i="2"/>
  <c r="L190" i="2"/>
  <c r="L191" i="2"/>
  <c r="L192" i="2"/>
  <c r="L205" i="2"/>
  <c r="L207" i="2"/>
  <c r="L210" i="2"/>
  <c r="L211" i="2"/>
  <c r="L212" i="2"/>
  <c r="L213" i="2"/>
  <c r="L214" i="2"/>
  <c r="L215" i="2"/>
  <c r="L219" i="2"/>
  <c r="L220" i="2"/>
  <c r="L221" i="2"/>
  <c r="L222" i="2"/>
  <c r="L226" i="2"/>
  <c r="L227" i="2"/>
  <c r="L230" i="2"/>
  <c r="L234" i="2"/>
  <c r="L235" i="2"/>
  <c r="L238" i="2"/>
  <c r="L240" i="2"/>
  <c r="L241" i="2"/>
  <c r="L242" i="2"/>
  <c r="L243" i="2"/>
  <c r="L244" i="2"/>
  <c r="L252" i="2"/>
  <c r="L253" i="2"/>
  <c r="L254" i="2"/>
  <c r="L255" i="2"/>
  <c r="L256" i="2"/>
  <c r="L257" i="2"/>
  <c r="L258" i="2"/>
  <c r="L260" i="2"/>
  <c r="L264" i="2"/>
  <c r="L265" i="2"/>
  <c r="L266" i="2"/>
  <c r="L269" i="2"/>
  <c r="L270" i="2"/>
  <c r="L271" i="2"/>
  <c r="L272" i="2"/>
  <c r="L273" i="2"/>
  <c r="L274" i="2"/>
  <c r="L275" i="2"/>
  <c r="L276" i="2"/>
  <c r="L279" i="2"/>
  <c r="L283" i="2"/>
  <c r="L284" i="2"/>
  <c r="L294" i="2"/>
  <c r="L295" i="2"/>
  <c r="L296" i="2"/>
  <c r="L297" i="2"/>
  <c r="L298" i="2"/>
  <c r="L308" i="2"/>
  <c r="L309" i="2"/>
  <c r="L310" i="2"/>
  <c r="L311" i="2"/>
  <c r="L315" i="2"/>
  <c r="L316" i="2"/>
  <c r="L319" i="2"/>
  <c r="L320" i="2"/>
  <c r="L321" i="2"/>
  <c r="L323" i="2"/>
  <c r="L324" i="2"/>
  <c r="L325" i="2"/>
  <c r="L326" i="2"/>
  <c r="L329" i="2"/>
  <c r="L330" i="2" s="1"/>
  <c r="L337" i="2"/>
  <c r="L338" i="2"/>
  <c r="L350" i="2"/>
  <c r="L372" i="2"/>
  <c r="L428" i="2"/>
  <c r="L429" i="2"/>
  <c r="L430" i="2"/>
  <c r="L431" i="2"/>
  <c r="L432" i="2"/>
  <c r="L433" i="2"/>
  <c r="L434" i="2"/>
  <c r="L435" i="2"/>
  <c r="L437" i="2"/>
  <c r="L440" i="2"/>
  <c r="L446" i="2"/>
  <c r="L447" i="2"/>
  <c r="L448" i="2"/>
  <c r="L490" i="2"/>
  <c r="L505" i="2"/>
  <c r="L511" i="2"/>
  <c r="L512" i="2"/>
  <c r="L513" i="2"/>
  <c r="L514" i="2"/>
  <c r="L515" i="2"/>
  <c r="L518" i="2"/>
  <c r="L519" i="2"/>
  <c r="L520" i="2"/>
  <c r="L523" i="2"/>
  <c r="L529" i="2"/>
  <c r="L530" i="2"/>
  <c r="L531" i="2"/>
  <c r="L532" i="2"/>
  <c r="L533" i="2"/>
  <c r="L534" i="2"/>
  <c r="L535" i="2"/>
  <c r="L536" i="2"/>
  <c r="L558" i="2"/>
  <c r="L561" i="2"/>
  <c r="L562" i="2"/>
  <c r="L569" i="2"/>
  <c r="L570" i="2"/>
  <c r="L577" i="2"/>
  <c r="L580" i="2"/>
  <c r="L581" i="2"/>
  <c r="L584" i="2"/>
  <c r="L585" i="2"/>
  <c r="L588" i="2"/>
  <c r="L589" i="2"/>
  <c r="L592" i="2"/>
  <c r="L593" i="2"/>
  <c r="L596" i="2"/>
  <c r="L598" i="2"/>
  <c r="L601" i="2"/>
  <c r="L605" i="2"/>
  <c r="L606" i="2"/>
  <c r="L607" i="2"/>
  <c r="L638" i="2"/>
  <c r="L639" i="2"/>
  <c r="L640" i="2"/>
  <c r="L641" i="2"/>
  <c r="L661" i="2"/>
  <c r="L86" i="7" s="1"/>
  <c r="L665" i="2"/>
  <c r="L666" i="2"/>
  <c r="L726" i="2"/>
  <c r="L727" i="2"/>
  <c r="L728" i="2"/>
  <c r="L731" i="2"/>
  <c r="L732" i="2"/>
  <c r="L733" i="2"/>
  <c r="L736" i="2"/>
  <c r="L739" i="2"/>
  <c r="L790" i="2"/>
  <c r="L791" i="2"/>
  <c r="L792" i="2"/>
  <c r="L793" i="2"/>
  <c r="L794" i="2"/>
  <c r="L798" i="2"/>
  <c r="L799" i="2"/>
  <c r="L800" i="2"/>
  <c r="L822" i="2"/>
  <c r="L823" i="2"/>
  <c r="L865" i="2"/>
  <c r="L44" i="7" s="1"/>
  <c r="L866" i="2"/>
  <c r="L45" i="7" s="1"/>
  <c r="L883" i="2"/>
  <c r="L889" i="2"/>
  <c r="L900" i="2"/>
  <c r="L928" i="2"/>
  <c r="L929" i="2"/>
  <c r="L930" i="2"/>
  <c r="L931" i="2"/>
  <c r="L933" i="2"/>
  <c r="L934" i="2"/>
  <c r="L952" i="2"/>
  <c r="L954" i="2"/>
  <c r="L955" i="2"/>
  <c r="L1025" i="2"/>
  <c r="L1026" i="2"/>
  <c r="L1027" i="2"/>
  <c r="L1030" i="2"/>
  <c r="L1031" i="2"/>
  <c r="L1032" i="2"/>
  <c r="L1079" i="2"/>
  <c r="L1080" i="2"/>
  <c r="L1081" i="2"/>
  <c r="L1082" i="2"/>
  <c r="L1108" i="2"/>
  <c r="L1109" i="2"/>
  <c r="M85" i="6" s="1"/>
  <c r="L1110" i="2"/>
  <c r="M86" i="6" s="1"/>
  <c r="L1111" i="2"/>
  <c r="M87" i="6" s="1"/>
  <c r="L1115" i="2"/>
  <c r="M91" i="6" s="1"/>
  <c r="L1116" i="2"/>
  <c r="M92" i="6" s="1"/>
  <c r="L1117" i="2"/>
  <c r="M93" i="6" s="1"/>
  <c r="L1118" i="2"/>
  <c r="M94" i="6" s="1"/>
  <c r="L1134" i="2"/>
  <c r="L1164" i="2"/>
  <c r="L1165" i="2"/>
  <c r="L1166" i="2"/>
  <c r="L1167" i="2"/>
  <c r="L1168" i="2"/>
  <c r="L1169" i="2"/>
  <c r="L1170" i="2"/>
  <c r="L1172" i="2"/>
  <c r="L1173" i="2"/>
  <c r="L1174" i="2"/>
  <c r="L1175" i="2"/>
  <c r="L1176" i="2"/>
  <c r="L1177" i="2"/>
  <c r="L1179" i="2"/>
  <c r="L1181" i="2"/>
  <c r="L1182" i="2"/>
  <c r="L1183" i="2"/>
  <c r="L1184" i="2"/>
  <c r="L1185" i="2"/>
  <c r="L1186" i="2"/>
  <c r="L1238" i="2"/>
  <c r="L1239" i="2"/>
  <c r="L1261" i="2"/>
  <c r="L1262" i="2"/>
  <c r="L1263" i="2"/>
  <c r="L1264" i="2"/>
  <c r="L1317" i="2"/>
  <c r="L1318" i="2"/>
  <c r="L1321" i="2"/>
  <c r="L1322" i="2"/>
  <c r="L1331" i="2"/>
  <c r="L1332" i="2"/>
  <c r="L1342" i="2"/>
  <c r="L1343" i="2"/>
  <c r="L1344" i="2"/>
  <c r="L1345" i="2"/>
  <c r="L1608" i="2"/>
  <c r="L1609" i="2"/>
  <c r="L1611" i="2"/>
  <c r="L1612" i="2"/>
  <c r="L1626" i="2"/>
  <c r="L1627" i="2"/>
  <c r="L1637" i="2"/>
  <c r="L1638" i="2"/>
  <c r="L1639" i="2"/>
  <c r="L1640" i="2"/>
  <c r="L1641" i="2"/>
  <c r="L1642" i="2"/>
  <c r="L1644" i="2"/>
  <c r="L1645" i="2"/>
  <c r="L1646" i="2"/>
  <c r="L1656" i="2"/>
  <c r="L1657" i="2"/>
  <c r="L1692" i="2"/>
  <c r="L1693" i="2"/>
  <c r="L1694" i="2"/>
  <c r="L1695" i="2"/>
  <c r="L1696" i="2"/>
  <c r="L1697" i="2"/>
  <c r="L1698" i="2"/>
  <c r="L1699" i="2"/>
  <c r="L1700" i="2"/>
  <c r="L1714" i="2"/>
  <c r="L1715" i="2"/>
  <c r="L1716" i="2"/>
  <c r="L1717" i="2"/>
  <c r="L1718" i="2"/>
  <c r="L1719" i="2"/>
  <c r="L1720" i="2"/>
  <c r="L1721" i="2"/>
  <c r="L1735" i="2"/>
  <c r="L1736" i="2"/>
  <c r="L1737" i="2"/>
  <c r="L1738" i="2"/>
  <c r="L1739" i="2"/>
  <c r="L1740" i="2"/>
  <c r="L1742" i="2"/>
  <c r="L1743" i="2"/>
  <c r="L1744" i="2"/>
  <c r="L1745" i="2"/>
  <c r="L1746" i="2"/>
  <c r="L1747" i="2"/>
  <c r="L1748" i="2"/>
  <c r="L1749" i="2"/>
  <c r="L1751" i="2"/>
  <c r="L1752" i="2"/>
  <c r="L1753" i="2"/>
  <c r="L1754" i="2"/>
  <c r="L1755" i="2"/>
  <c r="L1756" i="2"/>
  <c r="L1757" i="2"/>
  <c r="L1758" i="2"/>
  <c r="L1759" i="2"/>
  <c r="L1767" i="2"/>
  <c r="L1774" i="2"/>
  <c r="L1775" i="2"/>
  <c r="L1776" i="2"/>
  <c r="L1777" i="2"/>
  <c r="L1778" i="2"/>
  <c r="L1779" i="2"/>
  <c r="L1824" i="2"/>
  <c r="L1825" i="2"/>
  <c r="L1826" i="2"/>
  <c r="L1827" i="2"/>
  <c r="L1828" i="2"/>
  <c r="L1829" i="2"/>
  <c r="L1830" i="2"/>
  <c r="L1831" i="2"/>
  <c r="M84" i="6" l="1"/>
  <c r="L239" i="2"/>
  <c r="F141" i="2"/>
  <c r="F140" i="2"/>
  <c r="F604" i="2" l="1"/>
  <c r="F23" i="7" s="1"/>
  <c r="F37" i="2" l="1"/>
  <c r="F43" i="6"/>
  <c r="F42" i="6"/>
  <c r="F41" i="6"/>
  <c r="F63" i="7" l="1"/>
  <c r="F62" i="7"/>
  <c r="F61" i="7"/>
  <c r="F140" i="6" l="1"/>
  <c r="F196" i="6" l="1"/>
  <c r="F195" i="6"/>
  <c r="F34" i="6" l="1"/>
  <c r="F47" i="7" l="1"/>
  <c r="F35" i="6" l="1"/>
  <c r="F117" i="6" l="1"/>
  <c r="F116" i="6"/>
  <c r="H602" i="2" l="1"/>
  <c r="H21" i="7" s="1"/>
  <c r="I184" i="2"/>
  <c r="R135" i="2"/>
  <c r="S135" i="2" s="1"/>
  <c r="M135" i="2" s="1"/>
  <c r="F22" i="7" l="1"/>
  <c r="T1245" i="2" l="1"/>
  <c r="T1247" i="2"/>
  <c r="F149" i="6"/>
  <c r="F20" i="6"/>
  <c r="F19" i="6"/>
  <c r="F226" i="6"/>
  <c r="K38" i="2"/>
  <c r="H10" i="4" l="1"/>
  <c r="F48" i="7" l="1"/>
  <c r="R285" i="2" l="1"/>
  <c r="S286" i="2" s="1"/>
  <c r="W97" i="2" l="1"/>
  <c r="X97" i="2" s="1"/>
  <c r="R97" i="2"/>
  <c r="M97" i="2" s="1"/>
  <c r="K97" i="2"/>
  <c r="H97" i="2"/>
  <c r="W96" i="2"/>
  <c r="X96" i="2" s="1"/>
  <c r="R96" i="2"/>
  <c r="I96" i="2"/>
  <c r="F96" i="2"/>
  <c r="W95" i="2"/>
  <c r="X95" i="2" s="1"/>
  <c r="R95" i="2"/>
  <c r="F95" i="2"/>
  <c r="W94" i="2"/>
  <c r="X94" i="2" s="1"/>
  <c r="R94" i="2"/>
  <c r="F94" i="2"/>
  <c r="W93" i="2"/>
  <c r="X93" i="2" s="1"/>
  <c r="R93" i="2"/>
  <c r="F93" i="2"/>
  <c r="F99" i="2"/>
  <c r="R99" i="2"/>
  <c r="W99" i="2"/>
  <c r="X99" i="2" s="1"/>
  <c r="F100" i="2"/>
  <c r="R100" i="2"/>
  <c r="W100" i="2"/>
  <c r="X100" i="2" s="1"/>
  <c r="F1856" i="2"/>
  <c r="I97" i="2" l="1"/>
  <c r="R131" i="2"/>
  <c r="R132" i="2"/>
  <c r="F36" i="6"/>
  <c r="F81" i="7" l="1"/>
  <c r="F617" i="2"/>
  <c r="W998" i="2" l="1"/>
  <c r="X998" i="2" s="1"/>
  <c r="R998" i="2"/>
  <c r="F998" i="2"/>
  <c r="F37" i="6" s="1"/>
  <c r="I245" i="2" l="1"/>
  <c r="F960" i="2"/>
  <c r="F64" i="7" s="1"/>
  <c r="F69" i="7" l="1"/>
  <c r="W181" i="2" l="1"/>
  <c r="X181" i="2" s="1"/>
  <c r="R181" i="2"/>
  <c r="F141" i="6"/>
  <c r="W214" i="2" l="1"/>
  <c r="X214" i="2" s="1"/>
  <c r="R214" i="2"/>
  <c r="F238" i="6" l="1"/>
  <c r="F76" i="7" l="1"/>
  <c r="F75" i="7"/>
  <c r="F74" i="7"/>
  <c r="F77" i="7" l="1"/>
  <c r="F227" i="6" l="1"/>
  <c r="W961" i="2"/>
  <c r="X961" i="2" s="1"/>
  <c r="T961" i="2"/>
  <c r="R961" i="2"/>
  <c r="F961" i="2"/>
  <c r="F65" i="7" s="1"/>
  <c r="J949" i="2" l="1"/>
  <c r="F279" i="2"/>
  <c r="L949" i="2" l="1"/>
  <c r="L54" i="7" s="1"/>
  <c r="J54" i="7"/>
  <c r="F305" i="2"/>
  <c r="F1244" i="2"/>
  <c r="F148" i="6" s="1"/>
  <c r="F1041" i="2"/>
  <c r="R681" i="2" l="1"/>
  <c r="T1902" i="2" l="1"/>
  <c r="T1903" i="2"/>
  <c r="T1904" i="2"/>
  <c r="T1905" i="2"/>
  <c r="T1901" i="2"/>
  <c r="W1906" i="2"/>
  <c r="X1906" i="2" s="1"/>
  <c r="R1906" i="2"/>
  <c r="M1906" i="2" s="1"/>
  <c r="H1906" i="2"/>
  <c r="W1905" i="2"/>
  <c r="X1905" i="2" s="1"/>
  <c r="R1905" i="2"/>
  <c r="F1905" i="2"/>
  <c r="W1904" i="2"/>
  <c r="X1904" i="2" s="1"/>
  <c r="R1904" i="2"/>
  <c r="F1904" i="2"/>
  <c r="W1903" i="2"/>
  <c r="X1903" i="2" s="1"/>
  <c r="R1903" i="2"/>
  <c r="W1902" i="2"/>
  <c r="X1902" i="2" s="1"/>
  <c r="R1902" i="2"/>
  <c r="W1901" i="2"/>
  <c r="X1901" i="2" s="1"/>
  <c r="R1901" i="2"/>
  <c r="F104" i="2" l="1"/>
  <c r="R836" i="2" l="1"/>
  <c r="A189" i="16" l="1"/>
  <c r="A190" i="16"/>
  <c r="A191" i="16"/>
  <c r="A192" i="16"/>
  <c r="A193" i="16"/>
  <c r="A194" i="16"/>
  <c r="A195" i="16"/>
  <c r="A196" i="16"/>
  <c r="A197" i="16"/>
  <c r="A198" i="16"/>
  <c r="A199" i="16"/>
  <c r="A200" i="16"/>
  <c r="A201" i="16"/>
  <c r="A202" i="16"/>
  <c r="A203" i="16"/>
  <c r="A204" i="16"/>
  <c r="A205" i="16"/>
  <c r="A206" i="16"/>
  <c r="A207" i="16"/>
  <c r="A208" i="16"/>
  <c r="A209" i="16"/>
  <c r="A210" i="16"/>
  <c r="A211" i="16"/>
  <c r="A212" i="16"/>
  <c r="A213" i="16"/>
  <c r="A214" i="16"/>
  <c r="A215" i="16"/>
  <c r="A216" i="16"/>
  <c r="A217" i="16"/>
  <c r="A218" i="16"/>
  <c r="A219" i="16"/>
  <c r="A220" i="16"/>
  <c r="A221" i="16"/>
  <c r="A222" i="16"/>
  <c r="A223" i="16"/>
  <c r="A224" i="16"/>
  <c r="A225" i="16"/>
  <c r="A226" i="16"/>
  <c r="A227" i="16"/>
  <c r="A228" i="16"/>
  <c r="A229" i="16"/>
  <c r="A230" i="16"/>
  <c r="A231" i="16"/>
  <c r="A232" i="16"/>
  <c r="A233" i="16"/>
  <c r="A234" i="16"/>
  <c r="A235" i="16"/>
  <c r="A236" i="16"/>
  <c r="A237" i="16"/>
  <c r="A238" i="16"/>
  <c r="A239" i="16"/>
  <c r="A240" i="16"/>
  <c r="A241" i="16"/>
  <c r="A242" i="16"/>
  <c r="A243" i="16"/>
  <c r="A244" i="16"/>
  <c r="A245" i="16"/>
  <c r="A246" i="16"/>
  <c r="A247" i="16"/>
  <c r="A248" i="16"/>
  <c r="A249" i="16"/>
  <c r="A250" i="16"/>
  <c r="A251" i="16"/>
  <c r="A252" i="16"/>
  <c r="A253" i="16"/>
  <c r="A254" i="16"/>
  <c r="A255" i="16"/>
  <c r="A256" i="16"/>
  <c r="A257" i="16"/>
  <c r="A258" i="16"/>
  <c r="A259" i="16"/>
  <c r="A260" i="16"/>
  <c r="A261" i="16"/>
  <c r="A262" i="16"/>
  <c r="A263" i="16"/>
  <c r="A264" i="16"/>
  <c r="A265" i="16"/>
  <c r="T679" i="2" l="1"/>
  <c r="T832" i="2" l="1"/>
  <c r="T831" i="2"/>
  <c r="W215" i="2" l="1"/>
  <c r="X215" i="2" s="1"/>
  <c r="R215" i="2"/>
  <c r="W235" i="2" l="1"/>
  <c r="X235" i="2" s="1"/>
  <c r="R235" i="2"/>
  <c r="W211" i="2" l="1"/>
  <c r="X211" i="2" s="1"/>
  <c r="R211" i="2"/>
  <c r="F37" i="7" l="1"/>
  <c r="W218" i="2"/>
  <c r="X218" i="2" s="1"/>
  <c r="K218" i="2"/>
  <c r="I218" i="2"/>
  <c r="H218" i="2"/>
  <c r="W217" i="2"/>
  <c r="X217" i="2" s="1"/>
  <c r="F217" i="2"/>
  <c r="W213" i="2"/>
  <c r="X213" i="2" s="1"/>
  <c r="R213" i="2"/>
  <c r="W212" i="2"/>
  <c r="X212" i="2" s="1"/>
  <c r="R212" i="2"/>
  <c r="W210" i="2"/>
  <c r="X210" i="2" s="1"/>
  <c r="R210" i="2"/>
  <c r="F221" i="2"/>
  <c r="R221" i="2"/>
  <c r="W221" i="2"/>
  <c r="X221" i="2" s="1"/>
  <c r="H224" i="2"/>
  <c r="F222" i="2"/>
  <c r="R222" i="2"/>
  <c r="W222" i="2"/>
  <c r="X222" i="2" s="1"/>
  <c r="F105" i="2" l="1"/>
  <c r="F106" i="2"/>
  <c r="F1042" i="2" l="1"/>
  <c r="R219" i="2"/>
  <c r="R220" i="2"/>
  <c r="R223" i="2"/>
  <c r="R224" i="2"/>
  <c r="M224" i="2" s="1"/>
  <c r="W257" i="2" l="1"/>
  <c r="X257" i="2" s="1"/>
  <c r="R257" i="2"/>
  <c r="F82" i="7" l="1"/>
  <c r="F142" i="2" l="1"/>
  <c r="F17" i="6" l="1"/>
  <c r="F698" i="2" l="1"/>
  <c r="F697" i="2"/>
  <c r="T1426" i="2" l="1"/>
  <c r="T1395" i="2"/>
  <c r="W437" i="2"/>
  <c r="X437" i="2" s="1"/>
  <c r="R437" i="2"/>
  <c r="W873" i="2" l="1"/>
  <c r="X873" i="2" s="1"/>
  <c r="T873" i="2"/>
  <c r="R873" i="2"/>
  <c r="F873" i="2"/>
  <c r="W152" i="2"/>
  <c r="X152" i="2" s="1"/>
  <c r="W1929" i="2"/>
  <c r="X1929" i="2" s="1"/>
  <c r="T1929" i="2"/>
  <c r="R1929" i="2"/>
  <c r="W1400" i="2" l="1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9" i="2"/>
  <c r="W1420" i="2"/>
  <c r="W1421" i="2"/>
  <c r="W1422" i="2"/>
  <c r="W1423" i="2"/>
  <c r="W1426" i="2"/>
  <c r="W1427" i="2"/>
  <c r="X1427" i="2" l="1"/>
  <c r="W150" i="2"/>
  <c r="X150" i="2" s="1"/>
  <c r="T698" i="2"/>
  <c r="T699" i="2"/>
  <c r="T700" i="2"/>
  <c r="T701" i="2"/>
  <c r="T697" i="2"/>
  <c r="M1427" i="2" l="1"/>
  <c r="F534" i="2"/>
  <c r="W702" i="2"/>
  <c r="X702" i="2" s="1"/>
  <c r="R702" i="2"/>
  <c r="M702" i="2" s="1"/>
  <c r="H702" i="2"/>
  <c r="W701" i="2"/>
  <c r="X701" i="2" s="1"/>
  <c r="R701" i="2"/>
  <c r="F701" i="2"/>
  <c r="W700" i="2"/>
  <c r="X700" i="2" s="1"/>
  <c r="R700" i="2"/>
  <c r="F700" i="2"/>
  <c r="W699" i="2"/>
  <c r="X699" i="2" s="1"/>
  <c r="R699" i="2"/>
  <c r="F699" i="2"/>
  <c r="W698" i="2"/>
  <c r="X698" i="2" s="1"/>
  <c r="R698" i="2"/>
  <c r="W697" i="2"/>
  <c r="X697" i="2" s="1"/>
  <c r="R697" i="2"/>
  <c r="R203" i="2" l="1"/>
  <c r="R205" i="2"/>
  <c r="R207" i="2"/>
  <c r="F169" i="6" l="1"/>
  <c r="F634" i="2" l="1"/>
  <c r="F633" i="2"/>
  <c r="F703" i="2"/>
  <c r="T627" i="2" l="1"/>
  <c r="H1427" i="2" l="1"/>
  <c r="X1426" i="2"/>
  <c r="F1426" i="2"/>
  <c r="X1423" i="2"/>
  <c r="X1422" i="2"/>
  <c r="T704" i="2" l="1"/>
  <c r="T705" i="2"/>
  <c r="T706" i="2"/>
  <c r="T707" i="2"/>
  <c r="T703" i="2"/>
  <c r="W708" i="2"/>
  <c r="X708" i="2" s="1"/>
  <c r="R708" i="2"/>
  <c r="M708" i="2" s="1"/>
  <c r="H708" i="2"/>
  <c r="W707" i="2"/>
  <c r="X707" i="2" s="1"/>
  <c r="R707" i="2"/>
  <c r="F707" i="2"/>
  <c r="W706" i="2"/>
  <c r="X706" i="2" s="1"/>
  <c r="R706" i="2"/>
  <c r="F706" i="2"/>
  <c r="W705" i="2"/>
  <c r="X705" i="2" s="1"/>
  <c r="R705" i="2"/>
  <c r="F705" i="2"/>
  <c r="W704" i="2"/>
  <c r="X704" i="2" s="1"/>
  <c r="R704" i="2"/>
  <c r="F704" i="2"/>
  <c r="W703" i="2"/>
  <c r="X703" i="2" s="1"/>
  <c r="R703" i="2"/>
  <c r="W568" i="2" l="1"/>
  <c r="X568" i="2" s="1"/>
  <c r="H568" i="2"/>
  <c r="W567" i="2"/>
  <c r="X567" i="2" s="1"/>
  <c r="R567" i="2"/>
  <c r="F567" i="2"/>
  <c r="W566" i="2"/>
  <c r="X566" i="2" s="1"/>
  <c r="R566" i="2"/>
  <c r="F566" i="2"/>
  <c r="W565" i="2"/>
  <c r="X565" i="2" s="1"/>
  <c r="R565" i="2"/>
  <c r="N231" i="6" l="1"/>
  <c r="S237" i="6"/>
  <c r="F663" i="2"/>
  <c r="F88" i="7" s="1"/>
  <c r="H239" i="2" l="1"/>
  <c r="F1853" i="2" l="1"/>
  <c r="F1852" i="2"/>
  <c r="F170" i="6"/>
  <c r="W1801" i="2" l="1"/>
  <c r="X1801" i="2" s="1"/>
  <c r="T1801" i="2"/>
  <c r="R1801" i="2"/>
  <c r="W1430" i="2" l="1"/>
  <c r="X1430" i="2" s="1"/>
  <c r="R1430" i="2"/>
  <c r="F1430" i="2"/>
  <c r="F1255" i="2" l="1"/>
  <c r="W1710" i="2" l="1"/>
  <c r="X1710" i="2" s="1"/>
  <c r="T1710" i="2"/>
  <c r="R1710" i="2"/>
  <c r="F774" i="2" l="1"/>
  <c r="F16" i="6" s="1"/>
  <c r="W504" i="2" l="1"/>
  <c r="X504" i="2" s="1"/>
  <c r="W505" i="2" l="1"/>
  <c r="X505" i="2" s="1"/>
  <c r="R810" i="2" l="1"/>
  <c r="R811" i="2"/>
  <c r="R812" i="2"/>
  <c r="F1288" i="2" l="1"/>
  <c r="F783" i="2" l="1"/>
  <c r="F1043" i="2" l="1"/>
  <c r="F1072" i="2" l="1"/>
  <c r="F63" i="6" s="1"/>
  <c r="T835" i="2" l="1"/>
  <c r="F1037" i="2" l="1"/>
  <c r="W1038" i="2"/>
  <c r="X1038" i="2" s="1"/>
  <c r="T1038" i="2"/>
  <c r="R1038" i="2"/>
  <c r="F1038" i="2"/>
  <c r="F1298" i="2" l="1"/>
  <c r="F83" i="7" s="1"/>
  <c r="R105" i="2" l="1"/>
  <c r="F1073" i="2" l="1"/>
  <c r="F64" i="6" s="1"/>
  <c r="W836" i="2"/>
  <c r="H836" i="2"/>
  <c r="W835" i="2"/>
  <c r="R835" i="2"/>
  <c r="S836" i="2" s="1"/>
  <c r="M836" i="2" s="1"/>
  <c r="F835" i="2"/>
  <c r="W834" i="2"/>
  <c r="X834" i="2" s="1"/>
  <c r="R834" i="2"/>
  <c r="F834" i="2"/>
  <c r="W833" i="2"/>
  <c r="X833" i="2" s="1"/>
  <c r="R833" i="2"/>
  <c r="W832" i="2"/>
  <c r="X832" i="2" s="1"/>
  <c r="R832" i="2"/>
  <c r="W831" i="2"/>
  <c r="X831" i="2" s="1"/>
  <c r="R831" i="2"/>
  <c r="F615" i="2"/>
  <c r="X836" i="2" l="1"/>
  <c r="X835" i="2"/>
  <c r="AC429" i="2" l="1"/>
  <c r="R664" i="2" l="1"/>
  <c r="F821" i="2" l="1"/>
  <c r="F1074" i="2" l="1"/>
  <c r="F65" i="6" s="1"/>
  <c r="F1075" i="2" l="1"/>
  <c r="F66" i="6" s="1"/>
  <c r="E153" i="4" l="1"/>
  <c r="E86" i="4"/>
  <c r="E58" i="4"/>
  <c r="F376" i="2" l="1"/>
  <c r="F118" i="6" l="1"/>
  <c r="K119" i="2" l="1"/>
  <c r="K124" i="2"/>
  <c r="F1152" i="2" l="1"/>
  <c r="Q242" i="6" l="1"/>
  <c r="C238" i="6"/>
  <c r="T816" i="2" l="1"/>
  <c r="T817" i="2"/>
  <c r="T818" i="2"/>
  <c r="T819" i="2"/>
  <c r="T815" i="2"/>
  <c r="W820" i="2"/>
  <c r="R820" i="2"/>
  <c r="H820" i="2"/>
  <c r="W819" i="2"/>
  <c r="X819" i="2" s="1"/>
  <c r="R819" i="2"/>
  <c r="F819" i="2"/>
  <c r="F242" i="6" s="1"/>
  <c r="W818" i="2"/>
  <c r="X818" i="2" s="1"/>
  <c r="R818" i="2"/>
  <c r="F818" i="2"/>
  <c r="F241" i="6" s="1"/>
  <c r="W817" i="2"/>
  <c r="X817" i="2" s="1"/>
  <c r="R817" i="2"/>
  <c r="F240" i="6"/>
  <c r="W816" i="2"/>
  <c r="X816" i="2" s="1"/>
  <c r="R816" i="2"/>
  <c r="F239" i="6"/>
  <c r="W815" i="2"/>
  <c r="X815" i="2" s="1"/>
  <c r="R815" i="2"/>
  <c r="F884" i="2"/>
  <c r="M820" i="2" l="1"/>
  <c r="N243" i="6" s="1"/>
  <c r="S243" i="6"/>
  <c r="A159" i="16"/>
  <c r="A160" i="16"/>
  <c r="A161" i="16"/>
  <c r="A162" i="16"/>
  <c r="A163" i="16"/>
  <c r="A164" i="16"/>
  <c r="A165" i="16"/>
  <c r="A166" i="16"/>
  <c r="A167" i="16"/>
  <c r="A168" i="16"/>
  <c r="A169" i="16"/>
  <c r="A170" i="16"/>
  <c r="A171" i="16"/>
  <c r="A172" i="16"/>
  <c r="A173" i="16"/>
  <c r="A174" i="16"/>
  <c r="A175" i="16"/>
  <c r="A176" i="16"/>
  <c r="A177" i="16"/>
  <c r="A178" i="16"/>
  <c r="A179" i="16"/>
  <c r="A180" i="16"/>
  <c r="A181" i="16"/>
  <c r="A182" i="16"/>
  <c r="A183" i="16"/>
  <c r="A184" i="16"/>
  <c r="A185" i="16"/>
  <c r="A186" i="16"/>
  <c r="A187" i="16"/>
  <c r="A188" i="16"/>
  <c r="F189" i="2" l="1"/>
  <c r="R189" i="2"/>
  <c r="W189" i="2"/>
  <c r="X189" i="2" s="1"/>
  <c r="F190" i="2"/>
  <c r="R190" i="2"/>
  <c r="W190" i="2"/>
  <c r="X190" i="2" s="1"/>
  <c r="F191" i="2"/>
  <c r="R191" i="2"/>
  <c r="W191" i="2"/>
  <c r="X191" i="2" s="1"/>
  <c r="F192" i="2"/>
  <c r="R192" i="2"/>
  <c r="W192" i="2"/>
  <c r="X192" i="2" s="1"/>
  <c r="H188" i="2"/>
  <c r="H193" i="2" s="1"/>
  <c r="K188" i="2"/>
  <c r="H21" i="4"/>
  <c r="I187" i="2"/>
  <c r="L187" i="2" s="1"/>
  <c r="W186" i="2"/>
  <c r="X186" i="2" s="1"/>
  <c r="R186" i="2"/>
  <c r="F186" i="2"/>
  <c r="I188" i="2" l="1"/>
  <c r="I193" i="2" s="1"/>
  <c r="K193" i="2"/>
  <c r="F1153" i="2" l="1"/>
  <c r="F197" i="6" l="1"/>
  <c r="W1631" i="2" l="1"/>
  <c r="X1631" i="2" s="1"/>
  <c r="T1631" i="2"/>
  <c r="R1631" i="2"/>
  <c r="W1920" i="2" l="1"/>
  <c r="X1920" i="2" s="1"/>
  <c r="T1920" i="2"/>
  <c r="R1920" i="2"/>
  <c r="T1115" i="2"/>
  <c r="T1116" i="2"/>
  <c r="T1117" i="2"/>
  <c r="T1118" i="2"/>
  <c r="T1119" i="2"/>
  <c r="T1114" i="2"/>
  <c r="T629" i="2" l="1"/>
  <c r="T630" i="2"/>
  <c r="T631" i="2"/>
  <c r="R109" i="2"/>
  <c r="R106" i="2"/>
  <c r="R107" i="2"/>
  <c r="R108" i="2"/>
  <c r="R111" i="2"/>
  <c r="T822" i="2" l="1"/>
  <c r="T823" i="2"/>
  <c r="T824" i="2"/>
  <c r="T821" i="2"/>
  <c r="W825" i="2"/>
  <c r="X825" i="2" s="1"/>
  <c r="R825" i="2"/>
  <c r="M825" i="2" s="1"/>
  <c r="H825" i="2"/>
  <c r="W824" i="2"/>
  <c r="X824" i="2" s="1"/>
  <c r="R824" i="2"/>
  <c r="S247" i="6" s="1"/>
  <c r="F824" i="2"/>
  <c r="W823" i="2"/>
  <c r="X823" i="2" s="1"/>
  <c r="R823" i="2"/>
  <c r="F823" i="2"/>
  <c r="W822" i="2"/>
  <c r="X822" i="2" s="1"/>
  <c r="R822" i="2"/>
  <c r="F822" i="2"/>
  <c r="W821" i="2"/>
  <c r="X821" i="2" s="1"/>
  <c r="R821" i="2"/>
  <c r="F535" i="2" l="1"/>
  <c r="F16" i="2" l="1"/>
  <c r="F710" i="2" l="1"/>
  <c r="F709" i="2"/>
  <c r="W109" i="2" l="1"/>
  <c r="W535" i="2" l="1"/>
  <c r="X535" i="2" s="1"/>
  <c r="F711" i="2" l="1"/>
  <c r="Q95" i="6" l="1"/>
  <c r="E95" i="6"/>
  <c r="C95" i="6"/>
  <c r="Q94" i="6"/>
  <c r="E94" i="6"/>
  <c r="C94" i="6"/>
  <c r="Q93" i="6"/>
  <c r="E93" i="6"/>
  <c r="C93" i="6"/>
  <c r="Q92" i="6"/>
  <c r="E92" i="6"/>
  <c r="C92" i="6"/>
  <c r="Q91" i="6"/>
  <c r="E91" i="6"/>
  <c r="C91" i="6"/>
  <c r="E90" i="6"/>
  <c r="C90" i="6"/>
  <c r="R1120" i="2"/>
  <c r="M1120" i="2" s="1"/>
  <c r="W1120" i="2"/>
  <c r="X1120" i="2" s="1"/>
  <c r="H1120" i="2"/>
  <c r="W1119" i="2"/>
  <c r="X1119" i="2" s="1"/>
  <c r="R1119" i="2"/>
  <c r="F1119" i="2"/>
  <c r="F95" i="6" s="1"/>
  <c r="W1118" i="2"/>
  <c r="X1118" i="2" s="1"/>
  <c r="R1118" i="2"/>
  <c r="F1118" i="2"/>
  <c r="F94" i="6" s="1"/>
  <c r="W1117" i="2"/>
  <c r="X1117" i="2" s="1"/>
  <c r="R1117" i="2"/>
  <c r="F1117" i="2"/>
  <c r="F93" i="6" s="1"/>
  <c r="W1116" i="2"/>
  <c r="X1116" i="2" s="1"/>
  <c r="R1116" i="2"/>
  <c r="F1116" i="2"/>
  <c r="F92" i="6" s="1"/>
  <c r="W1115" i="2"/>
  <c r="X1115" i="2" s="1"/>
  <c r="R1115" i="2"/>
  <c r="F1115" i="2"/>
  <c r="F91" i="6" s="1"/>
  <c r="W1114" i="2"/>
  <c r="X1114" i="2" s="1"/>
  <c r="R1114" i="2"/>
  <c r="F1114" i="2"/>
  <c r="F90" i="6" s="1"/>
  <c r="W534" i="2"/>
  <c r="X534" i="2" s="1"/>
  <c r="R992" i="2" l="1"/>
  <c r="W536" i="2"/>
  <c r="X536" i="2" s="1"/>
  <c r="F536" i="2"/>
  <c r="W533" i="2"/>
  <c r="X533" i="2" s="1"/>
  <c r="W532" i="2"/>
  <c r="X532" i="2" s="1"/>
  <c r="R1015" i="2" l="1"/>
  <c r="F712" i="2" l="1"/>
  <c r="W530" i="2" l="1"/>
  <c r="X530" i="2" s="1"/>
  <c r="W1820" i="2" l="1"/>
  <c r="X1820" i="2" s="1"/>
  <c r="T1820" i="2"/>
  <c r="R1820" i="2"/>
  <c r="F713" i="2" l="1"/>
  <c r="F784" i="2" l="1"/>
  <c r="F714" i="2" l="1"/>
  <c r="Q88" i="6" l="1"/>
  <c r="Q87" i="6"/>
  <c r="O98" i="6"/>
  <c r="O99" i="6"/>
  <c r="O100" i="6"/>
  <c r="O101" i="6"/>
  <c r="O97" i="6"/>
  <c r="W1075" i="2" l="1"/>
  <c r="X1075" i="2" s="1"/>
  <c r="T1075" i="2"/>
  <c r="R1075" i="2"/>
  <c r="T1122" i="2" l="1"/>
  <c r="T1123" i="2"/>
  <c r="T1124" i="2"/>
  <c r="T1125" i="2"/>
  <c r="T1127" i="2"/>
  <c r="T1121" i="2"/>
  <c r="F715" i="2"/>
  <c r="F716" i="2" l="1"/>
  <c r="L112" i="6" l="1"/>
  <c r="Q103" i="6"/>
  <c r="E104" i="6"/>
  <c r="C97" i="6"/>
  <c r="F1816" i="2" l="1"/>
  <c r="W716" i="2" l="1"/>
  <c r="X716" i="2" s="1"/>
  <c r="T716" i="2"/>
  <c r="R716" i="2"/>
  <c r="W715" i="2"/>
  <c r="X715" i="2" s="1"/>
  <c r="T715" i="2"/>
  <c r="R715" i="2"/>
  <c r="W714" i="2" l="1"/>
  <c r="X714" i="2" s="1"/>
  <c r="T714" i="2"/>
  <c r="R714" i="2"/>
  <c r="F1667" i="2" l="1"/>
  <c r="W717" i="2" l="1"/>
  <c r="X717" i="2" s="1"/>
  <c r="T717" i="2"/>
  <c r="R717" i="2"/>
  <c r="F717" i="2"/>
  <c r="W713" i="2" l="1"/>
  <c r="X713" i="2" s="1"/>
  <c r="T713" i="2"/>
  <c r="R713" i="2"/>
  <c r="W712" i="2"/>
  <c r="X712" i="2" s="1"/>
  <c r="T712" i="2"/>
  <c r="R712" i="2"/>
  <c r="T1454" i="2" l="1"/>
  <c r="T1455" i="2"/>
  <c r="T1453" i="2"/>
  <c r="Z4" i="15" l="1"/>
  <c r="A160" i="12" l="1"/>
  <c r="T813" i="2" l="1"/>
  <c r="T809" i="2"/>
  <c r="I176" i="2" l="1"/>
  <c r="F171" i="6" l="1"/>
  <c r="T1011" i="2" l="1"/>
  <c r="T1012" i="2"/>
  <c r="T1013" i="2"/>
  <c r="T1014" i="2"/>
  <c r="F162" i="6" l="1"/>
  <c r="R993" i="2" l="1"/>
  <c r="I563" i="2" l="1"/>
  <c r="I38" i="2"/>
  <c r="AA112" i="15" l="1"/>
  <c r="Y112" i="15"/>
  <c r="V111" i="15"/>
  <c r="U111" i="15"/>
  <c r="S111" i="15"/>
  <c r="Q111" i="15"/>
  <c r="P111" i="15"/>
  <c r="O111" i="15"/>
  <c r="M111" i="15"/>
  <c r="L111" i="15"/>
  <c r="K111" i="15"/>
  <c r="J111" i="15"/>
  <c r="I111" i="15"/>
  <c r="H111" i="15"/>
  <c r="G111" i="15"/>
  <c r="E111" i="15"/>
  <c r="C111" i="15"/>
  <c r="V110" i="15"/>
  <c r="U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E110" i="15"/>
  <c r="C110" i="15"/>
  <c r="V109" i="15"/>
  <c r="U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E109" i="15"/>
  <c r="C109" i="15"/>
  <c r="W1456" i="2"/>
  <c r="X1456" i="2" s="1"/>
  <c r="R1456" i="2"/>
  <c r="M1456" i="2" s="1"/>
  <c r="H1456" i="2"/>
  <c r="W1455" i="2"/>
  <c r="X1455" i="2" s="1"/>
  <c r="R1455" i="2"/>
  <c r="W111" i="15"/>
  <c r="F1455" i="2"/>
  <c r="W1454" i="2"/>
  <c r="X1454" i="2" s="1"/>
  <c r="R1454" i="2"/>
  <c r="W110" i="15"/>
  <c r="F1454" i="2"/>
  <c r="W1453" i="2"/>
  <c r="X1453" i="2" s="1"/>
  <c r="R1453" i="2"/>
  <c r="W109" i="15"/>
  <c r="F1453" i="2"/>
  <c r="K112" i="15" l="1"/>
  <c r="W112" i="15"/>
  <c r="P112" i="15"/>
  <c r="Q112" i="15"/>
  <c r="L112" i="15"/>
  <c r="S112" i="15"/>
  <c r="U112" i="15"/>
  <c r="O112" i="15"/>
  <c r="V112" i="15"/>
  <c r="I112" i="15"/>
  <c r="J112" i="15"/>
  <c r="M112" i="15"/>
  <c r="H112" i="15"/>
  <c r="F163" i="6" l="1"/>
  <c r="F885" i="2" l="1"/>
  <c r="R202" i="2" l="1"/>
  <c r="M202" i="2" s="1"/>
  <c r="F1049" i="2" l="1"/>
  <c r="F40" i="6" s="1"/>
  <c r="F1256" i="2"/>
  <c r="T632" i="2" l="1"/>
  <c r="T633" i="2"/>
  <c r="T634" i="2"/>
  <c r="T628" i="2"/>
  <c r="R637" i="2"/>
  <c r="H69" i="15" l="1"/>
  <c r="H70" i="15"/>
  <c r="C157" i="15" l="1"/>
  <c r="D157" i="15"/>
  <c r="E157" i="15"/>
  <c r="G157" i="15"/>
  <c r="H157" i="15"/>
  <c r="I157" i="15"/>
  <c r="J157" i="15"/>
  <c r="K157" i="15"/>
  <c r="L157" i="15"/>
  <c r="M157" i="15"/>
  <c r="N157" i="15"/>
  <c r="O157" i="15"/>
  <c r="P157" i="15"/>
  <c r="Q157" i="15"/>
  <c r="S157" i="15"/>
  <c r="T157" i="15"/>
  <c r="U157" i="15"/>
  <c r="V157" i="15"/>
  <c r="O156" i="15"/>
  <c r="P156" i="15"/>
  <c r="Q156" i="15"/>
  <c r="R156" i="15"/>
  <c r="S156" i="15"/>
  <c r="T156" i="15"/>
  <c r="U156" i="15"/>
  <c r="V156" i="15"/>
  <c r="N156" i="15"/>
  <c r="J156" i="15"/>
  <c r="C156" i="15"/>
  <c r="D156" i="15"/>
  <c r="E156" i="15"/>
  <c r="G156" i="15"/>
  <c r="H156" i="15"/>
  <c r="I156" i="15"/>
  <c r="K156" i="15"/>
  <c r="L156" i="15"/>
  <c r="M156" i="15"/>
  <c r="G158" i="15"/>
  <c r="O155" i="15"/>
  <c r="P155" i="15"/>
  <c r="Q155" i="15"/>
  <c r="R155" i="15"/>
  <c r="S155" i="15"/>
  <c r="T155" i="15"/>
  <c r="U155" i="15"/>
  <c r="V155" i="15"/>
  <c r="N155" i="15"/>
  <c r="J155" i="15"/>
  <c r="W562" i="2"/>
  <c r="X562" i="2" s="1"/>
  <c r="R562" i="2"/>
  <c r="F562" i="2"/>
  <c r="F156" i="15" s="1"/>
  <c r="K155" i="15"/>
  <c r="L155" i="15"/>
  <c r="M155" i="15"/>
  <c r="H155" i="15"/>
  <c r="E155" i="15"/>
  <c r="C155" i="15"/>
  <c r="I155" i="15"/>
  <c r="G155" i="15"/>
  <c r="D155" i="15"/>
  <c r="J158" i="15" l="1"/>
  <c r="I158" i="15"/>
  <c r="U158" i="15"/>
  <c r="T158" i="15"/>
  <c r="S158" i="15"/>
  <c r="O158" i="15"/>
  <c r="K158" i="15"/>
  <c r="H158" i="15"/>
  <c r="V158" i="15"/>
  <c r="L158" i="15"/>
  <c r="P158" i="15"/>
  <c r="M158" i="15"/>
  <c r="Q158" i="15"/>
  <c r="N158" i="15"/>
  <c r="F563" i="2" l="1"/>
  <c r="F157" i="15" s="1"/>
  <c r="F561" i="2"/>
  <c r="F155" i="15" s="1"/>
  <c r="W564" i="2"/>
  <c r="X564" i="2" s="1"/>
  <c r="R564" i="2"/>
  <c r="I564" i="2"/>
  <c r="H564" i="2"/>
  <c r="W563" i="2"/>
  <c r="X563" i="2" s="1"/>
  <c r="R563" i="2"/>
  <c r="W561" i="2"/>
  <c r="X561" i="2" s="1"/>
  <c r="R561" i="2"/>
  <c r="W155" i="15" l="1"/>
  <c r="T942" i="2" l="1"/>
  <c r="C226" i="6" l="1"/>
  <c r="H610" i="2" l="1"/>
  <c r="I177" i="2" l="1"/>
  <c r="F220" i="2"/>
  <c r="T838" i="2" l="1"/>
  <c r="T839" i="2"/>
  <c r="T840" i="2"/>
  <c r="T841" i="2"/>
  <c r="T843" i="2"/>
  <c r="T844" i="2"/>
  <c r="T837" i="2"/>
  <c r="I224" i="2" l="1"/>
  <c r="T1074" i="2" l="1"/>
  <c r="T1076" i="2"/>
  <c r="F55" i="7" l="1"/>
  <c r="W1800" i="2" l="1"/>
  <c r="X1800" i="2" s="1"/>
  <c r="T1800" i="2"/>
  <c r="R1800" i="2"/>
  <c r="W1206" i="2"/>
  <c r="X1206" i="2" s="1"/>
  <c r="T1206" i="2"/>
  <c r="R1206" i="2"/>
  <c r="W997" i="2" l="1"/>
  <c r="X997" i="2" s="1"/>
  <c r="R997" i="2"/>
  <c r="F49" i="6" l="1"/>
  <c r="C87" i="7" l="1"/>
  <c r="W664" i="2" l="1"/>
  <c r="H664" i="2"/>
  <c r="W663" i="2"/>
  <c r="T663" i="2"/>
  <c r="R663" i="2"/>
  <c r="W662" i="2"/>
  <c r="X662" i="2" s="1"/>
  <c r="S664" i="2"/>
  <c r="M664" i="2" s="1"/>
  <c r="M89" i="7" s="1"/>
  <c r="F87" i="7"/>
  <c r="W661" i="2"/>
  <c r="X661" i="2" s="1"/>
  <c r="R661" i="2"/>
  <c r="F661" i="2"/>
  <c r="F86" i="7" s="1"/>
  <c r="I664" i="2" l="1"/>
  <c r="F266" i="2" l="1"/>
  <c r="F18" i="6" l="1"/>
  <c r="F854" i="2" l="1"/>
  <c r="F159" i="15" l="1"/>
  <c r="AA116" i="15"/>
  <c r="Y116" i="15"/>
  <c r="V115" i="15"/>
  <c r="U115" i="15"/>
  <c r="S115" i="15"/>
  <c r="Q115" i="15"/>
  <c r="P115" i="15"/>
  <c r="O115" i="15"/>
  <c r="M115" i="15"/>
  <c r="L115" i="15"/>
  <c r="K115" i="15"/>
  <c r="J115" i="15"/>
  <c r="I115" i="15"/>
  <c r="H115" i="15"/>
  <c r="G115" i="15"/>
  <c r="E115" i="15"/>
  <c r="C115" i="15"/>
  <c r="V114" i="15"/>
  <c r="U114" i="15"/>
  <c r="S114" i="15"/>
  <c r="R114" i="15"/>
  <c r="Q114" i="15"/>
  <c r="P114" i="15"/>
  <c r="O114" i="15"/>
  <c r="N114" i="15"/>
  <c r="M114" i="15"/>
  <c r="L114" i="15"/>
  <c r="K114" i="15"/>
  <c r="J114" i="15"/>
  <c r="I114" i="15"/>
  <c r="H114" i="15"/>
  <c r="G114" i="15"/>
  <c r="E114" i="15"/>
  <c r="C114" i="15"/>
  <c r="V113" i="15"/>
  <c r="U113" i="15"/>
  <c r="S113" i="15"/>
  <c r="R113" i="15"/>
  <c r="Q113" i="15"/>
  <c r="P113" i="15"/>
  <c r="O113" i="15"/>
  <c r="N113" i="15"/>
  <c r="M113" i="15"/>
  <c r="L113" i="15"/>
  <c r="K113" i="15"/>
  <c r="J113" i="15"/>
  <c r="I113" i="15"/>
  <c r="H113" i="15"/>
  <c r="G113" i="15"/>
  <c r="E113" i="15"/>
  <c r="C113" i="15"/>
  <c r="V116" i="15" l="1"/>
  <c r="J116" i="15"/>
  <c r="P116" i="15"/>
  <c r="O116" i="15"/>
  <c r="Q116" i="15"/>
  <c r="S116" i="15"/>
  <c r="M116" i="15"/>
  <c r="L116" i="15"/>
  <c r="I116" i="15"/>
  <c r="U116" i="15"/>
  <c r="K116" i="15"/>
  <c r="H116" i="15"/>
  <c r="V31" i="15" l="1"/>
  <c r="U31" i="15"/>
  <c r="W1359" i="2"/>
  <c r="X1359" i="2" s="1"/>
  <c r="T1359" i="2"/>
  <c r="R1359" i="2"/>
  <c r="W31" i="15"/>
  <c r="F1359" i="2"/>
  <c r="F988" i="2" l="1"/>
  <c r="F68" i="7" s="1"/>
  <c r="R102" i="2" l="1"/>
  <c r="M102" i="2" s="1"/>
  <c r="T1071" i="2" l="1"/>
  <c r="W1621" i="2" l="1"/>
  <c r="X1621" i="2" s="1"/>
  <c r="T1621" i="2"/>
  <c r="R1621" i="2"/>
  <c r="F265" i="2" l="1"/>
  <c r="V16" i="15" l="1"/>
  <c r="U16" i="15"/>
  <c r="W1303" i="2" l="1"/>
  <c r="X1303" i="2" s="1"/>
  <c r="T1303" i="2"/>
  <c r="R1303" i="2"/>
  <c r="W16" i="15"/>
  <c r="F855" i="2" l="1"/>
  <c r="W220" i="2" l="1"/>
  <c r="X220" i="2" s="1"/>
  <c r="V17" i="15" l="1"/>
  <c r="U17" i="15"/>
  <c r="W1305" i="2"/>
  <c r="X1305" i="2" s="1"/>
  <c r="T1305" i="2"/>
  <c r="R1305" i="2"/>
  <c r="W17" i="15"/>
  <c r="H608" i="2" l="1"/>
  <c r="X7" i="15" l="1"/>
  <c r="I101" i="2"/>
  <c r="L101" i="2" s="1"/>
  <c r="F110" i="15" l="1"/>
  <c r="F111" i="15"/>
  <c r="F109" i="15"/>
  <c r="F114" i="15"/>
  <c r="F115" i="15"/>
  <c r="F113" i="15"/>
  <c r="AA108" i="15"/>
  <c r="Y108" i="15"/>
  <c r="V107" i="15"/>
  <c r="U107" i="15"/>
  <c r="S107" i="15"/>
  <c r="Q107" i="15"/>
  <c r="P107" i="15"/>
  <c r="O107" i="15"/>
  <c r="M107" i="15"/>
  <c r="L107" i="15"/>
  <c r="K107" i="15"/>
  <c r="J107" i="15"/>
  <c r="I107" i="15"/>
  <c r="H107" i="15"/>
  <c r="G107" i="15"/>
  <c r="E107" i="15"/>
  <c r="C107" i="15"/>
  <c r="V106" i="15"/>
  <c r="U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E106" i="15"/>
  <c r="C106" i="15"/>
  <c r="V105" i="15"/>
  <c r="U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E105" i="15"/>
  <c r="C105" i="15"/>
  <c r="J101" i="15"/>
  <c r="W1452" i="2"/>
  <c r="X1452" i="2" s="1"/>
  <c r="R1452" i="2"/>
  <c r="M1452" i="2" s="1"/>
  <c r="H1452" i="2"/>
  <c r="W1451" i="2"/>
  <c r="X1451" i="2" s="1"/>
  <c r="T1451" i="2"/>
  <c r="R1451" i="2"/>
  <c r="W107" i="15"/>
  <c r="F1451" i="2"/>
  <c r="W1450" i="2"/>
  <c r="X1450" i="2" s="1"/>
  <c r="T1450" i="2"/>
  <c r="R1450" i="2"/>
  <c r="W106" i="15"/>
  <c r="F1450" i="2"/>
  <c r="W1449" i="2"/>
  <c r="X1449" i="2" s="1"/>
  <c r="T1449" i="2"/>
  <c r="R1449" i="2"/>
  <c r="F1449" i="2"/>
  <c r="U108" i="15" l="1"/>
  <c r="O108" i="15"/>
  <c r="I108" i="15"/>
  <c r="S108" i="15"/>
  <c r="V108" i="15"/>
  <c r="Q108" i="15"/>
  <c r="J108" i="15"/>
  <c r="W105" i="15"/>
  <c r="W108" i="15" s="1"/>
  <c r="P108" i="15"/>
  <c r="K108" i="15"/>
  <c r="L108" i="15"/>
  <c r="M108" i="15"/>
  <c r="H108" i="15"/>
  <c r="W470" i="2" l="1"/>
  <c r="X470" i="2" s="1"/>
  <c r="R470" i="2"/>
  <c r="H62" i="4" l="1"/>
  <c r="H61" i="4" l="1"/>
  <c r="F1274" i="2" l="1"/>
  <c r="R317" i="2"/>
  <c r="H60" i="4" l="1"/>
  <c r="G154" i="15" l="1"/>
  <c r="V153" i="15"/>
  <c r="U153" i="15"/>
  <c r="T153" i="15"/>
  <c r="S153" i="15"/>
  <c r="Q153" i="15"/>
  <c r="P153" i="15"/>
  <c r="O153" i="15"/>
  <c r="M153" i="15"/>
  <c r="L153" i="15"/>
  <c r="K153" i="15"/>
  <c r="J153" i="15"/>
  <c r="I153" i="15"/>
  <c r="H153" i="15"/>
  <c r="G153" i="15"/>
  <c r="E153" i="15"/>
  <c r="D153" i="15"/>
  <c r="C153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E152" i="15"/>
  <c r="D152" i="15"/>
  <c r="C152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E151" i="15"/>
  <c r="D151" i="15"/>
  <c r="C151" i="15"/>
  <c r="L154" i="15" l="1"/>
  <c r="S154" i="15"/>
  <c r="I154" i="15"/>
  <c r="O154" i="15"/>
  <c r="P154" i="15"/>
  <c r="Q154" i="15"/>
  <c r="H154" i="15"/>
  <c r="T154" i="15"/>
  <c r="M154" i="15"/>
  <c r="J154" i="15"/>
  <c r="U154" i="15"/>
  <c r="V154" i="15"/>
  <c r="K154" i="15"/>
  <c r="I590" i="2" l="1"/>
  <c r="W591" i="2"/>
  <c r="X591" i="2" s="1"/>
  <c r="R591" i="2"/>
  <c r="M591" i="2" s="1"/>
  <c r="Y154" i="15" s="1"/>
  <c r="H591" i="2"/>
  <c r="W590" i="2"/>
  <c r="X590" i="2" s="1"/>
  <c r="R590" i="2"/>
  <c r="W153" i="15"/>
  <c r="F590" i="2"/>
  <c r="F153" i="15" s="1"/>
  <c r="W589" i="2"/>
  <c r="X589" i="2" s="1"/>
  <c r="R589" i="2"/>
  <c r="F589" i="2"/>
  <c r="F152" i="15" s="1"/>
  <c r="W588" i="2"/>
  <c r="X588" i="2" s="1"/>
  <c r="R588" i="2"/>
  <c r="W151" i="15"/>
  <c r="F588" i="2"/>
  <c r="F151" i="15" s="1"/>
  <c r="I591" i="2" l="1"/>
  <c r="W152" i="15"/>
  <c r="W154" i="15" s="1"/>
  <c r="N153" i="15"/>
  <c r="N154" i="15" s="1"/>
  <c r="K591" i="2"/>
  <c r="X56" i="2" l="1"/>
  <c r="R56" i="2"/>
  <c r="X53" i="2"/>
  <c r="R53" i="2"/>
  <c r="W529" i="2"/>
  <c r="X529" i="2" s="1"/>
  <c r="W528" i="2" l="1"/>
  <c r="X528" i="2" s="1"/>
  <c r="W527" i="2"/>
  <c r="X527" i="2" s="1"/>
  <c r="I317" i="2" l="1"/>
  <c r="V30" i="15" l="1"/>
  <c r="U30" i="15"/>
  <c r="W1358" i="2"/>
  <c r="X1358" i="2" s="1"/>
  <c r="T1358" i="2"/>
  <c r="R1358" i="2"/>
  <c r="W30" i="15"/>
  <c r="AA150" i="15"/>
  <c r="Y150" i="15"/>
  <c r="G150" i="15"/>
  <c r="V149" i="15"/>
  <c r="U149" i="15"/>
  <c r="T149" i="15"/>
  <c r="S149" i="15"/>
  <c r="Q149" i="15"/>
  <c r="P149" i="15"/>
  <c r="O149" i="15"/>
  <c r="M149" i="15"/>
  <c r="L149" i="15"/>
  <c r="K149" i="15"/>
  <c r="J149" i="15"/>
  <c r="I149" i="15"/>
  <c r="H149" i="15"/>
  <c r="G149" i="15"/>
  <c r="E149" i="15"/>
  <c r="D149" i="15"/>
  <c r="C149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E148" i="15"/>
  <c r="D148" i="15"/>
  <c r="C148" i="15"/>
  <c r="V147" i="15"/>
  <c r="U147" i="15"/>
  <c r="T147" i="15"/>
  <c r="S147" i="15"/>
  <c r="R147" i="15"/>
  <c r="Q147" i="15"/>
  <c r="P147" i="15"/>
  <c r="O147" i="15"/>
  <c r="N147" i="15"/>
  <c r="M147" i="15"/>
  <c r="L147" i="15"/>
  <c r="K147" i="15"/>
  <c r="I147" i="15"/>
  <c r="H147" i="15"/>
  <c r="G147" i="15"/>
  <c r="E147" i="15"/>
  <c r="D147" i="15"/>
  <c r="C147" i="15"/>
  <c r="W587" i="2"/>
  <c r="X587" i="2" s="1"/>
  <c r="R587" i="2"/>
  <c r="M587" i="2" s="1"/>
  <c r="K587" i="2"/>
  <c r="H587" i="2"/>
  <c r="W586" i="2"/>
  <c r="X586" i="2" s="1"/>
  <c r="R586" i="2"/>
  <c r="W149" i="15"/>
  <c r="I586" i="2"/>
  <c r="F586" i="2"/>
  <c r="F149" i="15" s="1"/>
  <c r="W585" i="2"/>
  <c r="X585" i="2" s="1"/>
  <c r="R585" i="2"/>
  <c r="W148" i="15"/>
  <c r="F585" i="2"/>
  <c r="F148" i="15" s="1"/>
  <c r="W584" i="2"/>
  <c r="X584" i="2" s="1"/>
  <c r="R584" i="2"/>
  <c r="W147" i="15"/>
  <c r="F584" i="2"/>
  <c r="F147" i="15" s="1"/>
  <c r="W526" i="2"/>
  <c r="X526" i="2" s="1"/>
  <c r="H150" i="15" l="1"/>
  <c r="T150" i="15"/>
  <c r="W150" i="15"/>
  <c r="J147" i="15"/>
  <c r="J150" i="15" s="1"/>
  <c r="V150" i="15"/>
  <c r="L150" i="15"/>
  <c r="N149" i="15"/>
  <c r="N150" i="15" s="1"/>
  <c r="M150" i="15"/>
  <c r="O150" i="15"/>
  <c r="P150" i="15"/>
  <c r="Q150" i="15"/>
  <c r="S150" i="15"/>
  <c r="I150" i="15"/>
  <c r="U150" i="15"/>
  <c r="K150" i="15"/>
  <c r="I587" i="2"/>
  <c r="R81" i="2" l="1"/>
  <c r="R82" i="2"/>
  <c r="R83" i="2"/>
  <c r="R84" i="2"/>
  <c r="R85" i="2"/>
  <c r="R86" i="2"/>
  <c r="T617" i="2"/>
  <c r="T618" i="2"/>
  <c r="R621" i="2" l="1"/>
  <c r="F150" i="6"/>
  <c r="F1404" i="2" l="1"/>
  <c r="AA104" i="15" l="1"/>
  <c r="Y104" i="15"/>
  <c r="V103" i="15"/>
  <c r="U103" i="15"/>
  <c r="S103" i="15"/>
  <c r="Q103" i="15"/>
  <c r="P103" i="15"/>
  <c r="O103" i="15"/>
  <c r="M103" i="15"/>
  <c r="L103" i="15"/>
  <c r="K103" i="15"/>
  <c r="J103" i="15"/>
  <c r="I103" i="15"/>
  <c r="H103" i="15"/>
  <c r="G103" i="15"/>
  <c r="E103" i="15"/>
  <c r="C103" i="15"/>
  <c r="V102" i="15"/>
  <c r="U102" i="15"/>
  <c r="S102" i="15"/>
  <c r="R102" i="15"/>
  <c r="Q102" i="15"/>
  <c r="P102" i="15"/>
  <c r="O102" i="15"/>
  <c r="N102" i="15"/>
  <c r="M102" i="15"/>
  <c r="L102" i="15"/>
  <c r="K102" i="15"/>
  <c r="J102" i="15"/>
  <c r="I102" i="15"/>
  <c r="H102" i="15"/>
  <c r="G102" i="15"/>
  <c r="E102" i="15"/>
  <c r="C102" i="15"/>
  <c r="V101" i="15"/>
  <c r="U101" i="15"/>
  <c r="S101" i="15"/>
  <c r="R101" i="15"/>
  <c r="Q101" i="15"/>
  <c r="P101" i="15"/>
  <c r="O101" i="15"/>
  <c r="N101" i="15"/>
  <c r="M101" i="15"/>
  <c r="L101" i="15"/>
  <c r="K101" i="15"/>
  <c r="I101" i="15"/>
  <c r="H101" i="15"/>
  <c r="G101" i="15"/>
  <c r="E101" i="15"/>
  <c r="C101" i="15"/>
  <c r="P104" i="15" l="1"/>
  <c r="M104" i="15"/>
  <c r="S104" i="15"/>
  <c r="V104" i="15"/>
  <c r="L104" i="15"/>
  <c r="I104" i="15"/>
  <c r="O104" i="15"/>
  <c r="Q104" i="15"/>
  <c r="J104" i="15"/>
  <c r="U104" i="15"/>
  <c r="K104" i="15"/>
  <c r="H104" i="15"/>
  <c r="T1446" i="2" l="1"/>
  <c r="T1447" i="2"/>
  <c r="T1445" i="2"/>
  <c r="W1448" i="2"/>
  <c r="X1448" i="2" s="1"/>
  <c r="R1448" i="2"/>
  <c r="M1448" i="2" s="1"/>
  <c r="H1448" i="2"/>
  <c r="W1447" i="2"/>
  <c r="X1447" i="2" s="1"/>
  <c r="R1447" i="2"/>
  <c r="W103" i="15"/>
  <c r="F1447" i="2"/>
  <c r="W1446" i="2"/>
  <c r="X1446" i="2" s="1"/>
  <c r="R1446" i="2"/>
  <c r="W102" i="15"/>
  <c r="F1446" i="2"/>
  <c r="W1445" i="2"/>
  <c r="X1445" i="2" s="1"/>
  <c r="R1445" i="2"/>
  <c r="W101" i="15"/>
  <c r="F1445" i="2"/>
  <c r="W104" i="15" l="1"/>
  <c r="T1442" i="2"/>
  <c r="T1443" i="2"/>
  <c r="T1441" i="2"/>
  <c r="T1438" i="2"/>
  <c r="T1439" i="2"/>
  <c r="T1437" i="2"/>
  <c r="T1434" i="2"/>
  <c r="T1435" i="2"/>
  <c r="T1433" i="2"/>
  <c r="R1228" i="2" l="1"/>
  <c r="R755" i="2"/>
  <c r="R756" i="2"/>
  <c r="R193" i="2"/>
  <c r="AA100" i="15" l="1"/>
  <c r="Y100" i="15"/>
  <c r="V99" i="15"/>
  <c r="U99" i="15"/>
  <c r="S99" i="15"/>
  <c r="Q99" i="15"/>
  <c r="P99" i="15"/>
  <c r="O99" i="15"/>
  <c r="M99" i="15"/>
  <c r="L99" i="15"/>
  <c r="K99" i="15"/>
  <c r="J99" i="15"/>
  <c r="I99" i="15"/>
  <c r="H99" i="15"/>
  <c r="G99" i="15"/>
  <c r="E99" i="15"/>
  <c r="C99" i="15"/>
  <c r="V98" i="15"/>
  <c r="U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E98" i="15"/>
  <c r="C98" i="15"/>
  <c r="V97" i="15"/>
  <c r="U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E97" i="15"/>
  <c r="C97" i="15"/>
  <c r="AA96" i="15"/>
  <c r="Y96" i="15"/>
  <c r="V95" i="15"/>
  <c r="U95" i="15"/>
  <c r="S95" i="15"/>
  <c r="Q95" i="15"/>
  <c r="P95" i="15"/>
  <c r="O95" i="15"/>
  <c r="M95" i="15"/>
  <c r="L95" i="15"/>
  <c r="K95" i="15"/>
  <c r="J95" i="15"/>
  <c r="I95" i="15"/>
  <c r="H95" i="15"/>
  <c r="G95" i="15"/>
  <c r="E95" i="15"/>
  <c r="C95" i="15"/>
  <c r="V94" i="15"/>
  <c r="U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E94" i="15"/>
  <c r="C94" i="15"/>
  <c r="V93" i="15"/>
  <c r="U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E93" i="15"/>
  <c r="C93" i="15"/>
  <c r="W1444" i="2"/>
  <c r="X1444" i="2" s="1"/>
  <c r="R1444" i="2"/>
  <c r="M1444" i="2" s="1"/>
  <c r="H1444" i="2"/>
  <c r="W1443" i="2"/>
  <c r="X1443" i="2" s="1"/>
  <c r="R1443" i="2"/>
  <c r="W99" i="15"/>
  <c r="F1443" i="2"/>
  <c r="W1442" i="2"/>
  <c r="X1442" i="2" s="1"/>
  <c r="R1442" i="2"/>
  <c r="W98" i="15"/>
  <c r="F1442" i="2"/>
  <c r="W1441" i="2"/>
  <c r="X1441" i="2" s="1"/>
  <c r="R1441" i="2"/>
  <c r="F1441" i="2"/>
  <c r="W1440" i="2"/>
  <c r="X1440" i="2" s="1"/>
  <c r="R1440" i="2"/>
  <c r="M1440" i="2" s="1"/>
  <c r="H1440" i="2"/>
  <c r="W1439" i="2"/>
  <c r="X1439" i="2" s="1"/>
  <c r="R1439" i="2"/>
  <c r="W95" i="15"/>
  <c r="F1439" i="2"/>
  <c r="W1438" i="2"/>
  <c r="X1438" i="2" s="1"/>
  <c r="R1438" i="2"/>
  <c r="W94" i="15"/>
  <c r="F1438" i="2"/>
  <c r="W1437" i="2"/>
  <c r="X1437" i="2" s="1"/>
  <c r="R1437" i="2"/>
  <c r="W93" i="15"/>
  <c r="F1437" i="2"/>
  <c r="O96" i="15" l="1"/>
  <c r="K100" i="15"/>
  <c r="O100" i="15"/>
  <c r="Q96" i="15"/>
  <c r="V96" i="15"/>
  <c r="L100" i="15"/>
  <c r="J96" i="15"/>
  <c r="M100" i="15"/>
  <c r="S100" i="15"/>
  <c r="U100" i="15"/>
  <c r="H100" i="15"/>
  <c r="Q100" i="15"/>
  <c r="P96" i="15"/>
  <c r="P100" i="15"/>
  <c r="I100" i="15"/>
  <c r="V100" i="15"/>
  <c r="W97" i="15"/>
  <c r="W100" i="15" s="1"/>
  <c r="I96" i="15"/>
  <c r="U96" i="15"/>
  <c r="L96" i="15"/>
  <c r="M96" i="15"/>
  <c r="J100" i="15"/>
  <c r="K96" i="15"/>
  <c r="W96" i="15"/>
  <c r="S96" i="15"/>
  <c r="H96" i="15"/>
  <c r="F856" i="2" l="1"/>
  <c r="AA92" i="15" l="1"/>
  <c r="Y92" i="15"/>
  <c r="V91" i="15"/>
  <c r="U91" i="15"/>
  <c r="S91" i="15"/>
  <c r="Q91" i="15"/>
  <c r="P91" i="15"/>
  <c r="O91" i="15"/>
  <c r="M91" i="15"/>
  <c r="L91" i="15"/>
  <c r="K91" i="15"/>
  <c r="J91" i="15"/>
  <c r="I91" i="15"/>
  <c r="H91" i="15"/>
  <c r="G91" i="15"/>
  <c r="E91" i="15"/>
  <c r="C91" i="15"/>
  <c r="V90" i="15"/>
  <c r="U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E90" i="15"/>
  <c r="C90" i="15"/>
  <c r="V89" i="15"/>
  <c r="U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E89" i="15"/>
  <c r="C89" i="15"/>
  <c r="S92" i="15" l="1"/>
  <c r="O92" i="15"/>
  <c r="J92" i="15"/>
  <c r="U92" i="15"/>
  <c r="Q92" i="15"/>
  <c r="V92" i="15"/>
  <c r="P92" i="15"/>
  <c r="K92" i="15"/>
  <c r="L92" i="15"/>
  <c r="I92" i="15"/>
  <c r="M92" i="15"/>
  <c r="H92" i="15"/>
  <c r="X55" i="2" l="1"/>
  <c r="R55" i="2"/>
  <c r="W1436" i="2" l="1"/>
  <c r="X1436" i="2" s="1"/>
  <c r="R1436" i="2"/>
  <c r="M1436" i="2" s="1"/>
  <c r="H1436" i="2"/>
  <c r="W1435" i="2"/>
  <c r="X1435" i="2" s="1"/>
  <c r="R1435" i="2"/>
  <c r="W91" i="15"/>
  <c r="F1435" i="2"/>
  <c r="W1434" i="2"/>
  <c r="X1434" i="2" s="1"/>
  <c r="R1434" i="2"/>
  <c r="W90" i="15"/>
  <c r="F1434" i="2"/>
  <c r="W1433" i="2"/>
  <c r="X1433" i="2" s="1"/>
  <c r="R1433" i="2"/>
  <c r="W89" i="15"/>
  <c r="F1433" i="2"/>
  <c r="W525" i="2"/>
  <c r="X525" i="2" s="1"/>
  <c r="W92" i="15" l="1"/>
  <c r="W523" i="2" l="1"/>
  <c r="X523" i="2" s="1"/>
  <c r="W524" i="2"/>
  <c r="X524" i="2" s="1"/>
  <c r="T1301" i="2" l="1"/>
  <c r="F1815" i="2" l="1"/>
  <c r="H133" i="15" l="1"/>
  <c r="AA146" i="15"/>
  <c r="Y146" i="15"/>
  <c r="G146" i="15"/>
  <c r="V145" i="15"/>
  <c r="U145" i="15"/>
  <c r="T145" i="15"/>
  <c r="S145" i="15"/>
  <c r="Q145" i="15"/>
  <c r="P145" i="15"/>
  <c r="O145" i="15"/>
  <c r="M145" i="15"/>
  <c r="L145" i="15"/>
  <c r="K145" i="15"/>
  <c r="J145" i="15"/>
  <c r="I145" i="15"/>
  <c r="H145" i="15"/>
  <c r="G145" i="15"/>
  <c r="E145" i="15"/>
  <c r="D145" i="15"/>
  <c r="C145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E144" i="15"/>
  <c r="D144" i="15"/>
  <c r="C144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E143" i="15"/>
  <c r="D143" i="15"/>
  <c r="C143" i="15"/>
  <c r="C140" i="15"/>
  <c r="D140" i="15"/>
  <c r="E140" i="15"/>
  <c r="G140" i="15"/>
  <c r="H140" i="15"/>
  <c r="I140" i="15"/>
  <c r="J140" i="15"/>
  <c r="K140" i="15"/>
  <c r="L140" i="15"/>
  <c r="M140" i="15"/>
  <c r="N140" i="15"/>
  <c r="O140" i="15"/>
  <c r="P140" i="15"/>
  <c r="Q140" i="15"/>
  <c r="R140" i="15"/>
  <c r="S140" i="15"/>
  <c r="T140" i="15"/>
  <c r="U140" i="15"/>
  <c r="V140" i="15"/>
  <c r="C141" i="15"/>
  <c r="D141" i="15"/>
  <c r="E141" i="15"/>
  <c r="G141" i="15"/>
  <c r="H141" i="15"/>
  <c r="I141" i="15"/>
  <c r="J141" i="15"/>
  <c r="K141" i="15"/>
  <c r="L141" i="15"/>
  <c r="M141" i="15"/>
  <c r="O141" i="15"/>
  <c r="P141" i="15"/>
  <c r="Q141" i="15"/>
  <c r="S141" i="15"/>
  <c r="T141" i="15"/>
  <c r="U141" i="15"/>
  <c r="V141" i="15"/>
  <c r="G142" i="15"/>
  <c r="K139" i="15"/>
  <c r="L139" i="15"/>
  <c r="M139" i="15"/>
  <c r="N139" i="15"/>
  <c r="O139" i="15"/>
  <c r="P139" i="15"/>
  <c r="Q139" i="15"/>
  <c r="S139" i="15"/>
  <c r="T139" i="15"/>
  <c r="U139" i="15"/>
  <c r="V139" i="15"/>
  <c r="I139" i="15"/>
  <c r="J139" i="15"/>
  <c r="H139" i="15"/>
  <c r="G139" i="15"/>
  <c r="E139" i="15"/>
  <c r="C139" i="15"/>
  <c r="AA142" i="15"/>
  <c r="Y142" i="15"/>
  <c r="D139" i="15"/>
  <c r="P142" i="15" l="1"/>
  <c r="V142" i="15"/>
  <c r="J142" i="15"/>
  <c r="K142" i="15"/>
  <c r="J146" i="15"/>
  <c r="K146" i="15"/>
  <c r="L142" i="15"/>
  <c r="M146" i="15"/>
  <c r="I142" i="15"/>
  <c r="H146" i="15"/>
  <c r="T146" i="15"/>
  <c r="M142" i="15"/>
  <c r="V146" i="15"/>
  <c r="U142" i="15"/>
  <c r="O146" i="15"/>
  <c r="S146" i="15"/>
  <c r="L146" i="15"/>
  <c r="S142" i="15"/>
  <c r="Q146" i="15"/>
  <c r="P146" i="15"/>
  <c r="Q142" i="15"/>
  <c r="I146" i="15"/>
  <c r="U146" i="15"/>
  <c r="H142" i="15"/>
  <c r="T142" i="15"/>
  <c r="O142" i="15"/>
  <c r="W583" i="2"/>
  <c r="X583" i="2" s="1"/>
  <c r="R583" i="2"/>
  <c r="M583" i="2" s="1"/>
  <c r="K583" i="2"/>
  <c r="H583" i="2"/>
  <c r="W582" i="2"/>
  <c r="X582" i="2" s="1"/>
  <c r="R582" i="2"/>
  <c r="W145" i="15"/>
  <c r="I582" i="2"/>
  <c r="F582" i="2"/>
  <c r="F145" i="15" s="1"/>
  <c r="W581" i="2"/>
  <c r="X581" i="2" s="1"/>
  <c r="R581" i="2"/>
  <c r="W144" i="15"/>
  <c r="F581" i="2"/>
  <c r="F144" i="15" s="1"/>
  <c r="W580" i="2"/>
  <c r="X580" i="2" s="1"/>
  <c r="R580" i="2"/>
  <c r="F580" i="2"/>
  <c r="F143" i="15" s="1"/>
  <c r="W143" i="15" l="1"/>
  <c r="W146" i="15" s="1"/>
  <c r="I583" i="2"/>
  <c r="N145" i="15"/>
  <c r="N146" i="15" s="1"/>
  <c r="F1018" i="2" l="1"/>
  <c r="H233" i="2" l="1"/>
  <c r="K233" i="2"/>
  <c r="T892" i="2"/>
  <c r="E7" i="12" l="1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E350" i="12"/>
  <c r="E351" i="12"/>
  <c r="E352" i="12"/>
  <c r="E353" i="12"/>
  <c r="E354" i="12"/>
  <c r="E355" i="12"/>
  <c r="E356" i="12"/>
  <c r="E357" i="12"/>
  <c r="E358" i="12"/>
  <c r="E359" i="12"/>
  <c r="E360" i="12"/>
  <c r="E361" i="12"/>
  <c r="E362" i="12"/>
  <c r="E363" i="12"/>
  <c r="E364" i="12"/>
  <c r="E365" i="12"/>
  <c r="E366" i="12"/>
  <c r="E367" i="12"/>
  <c r="E368" i="12"/>
  <c r="E369" i="12"/>
  <c r="E370" i="12"/>
  <c r="E371" i="12"/>
  <c r="E372" i="12"/>
  <c r="E373" i="12"/>
  <c r="E374" i="12"/>
  <c r="E375" i="12"/>
  <c r="E376" i="12"/>
  <c r="E377" i="12"/>
  <c r="E378" i="12"/>
  <c r="E379" i="12"/>
  <c r="E380" i="12"/>
  <c r="E381" i="12"/>
  <c r="E382" i="12"/>
  <c r="E383" i="12"/>
  <c r="E384" i="12"/>
  <c r="E385" i="12"/>
  <c r="E386" i="12"/>
  <c r="E387" i="12"/>
  <c r="E388" i="12"/>
  <c r="E389" i="12"/>
  <c r="E390" i="12"/>
  <c r="E391" i="12"/>
  <c r="E392" i="12"/>
  <c r="E393" i="12"/>
  <c r="E394" i="12"/>
  <c r="E395" i="12"/>
  <c r="E396" i="12"/>
  <c r="E397" i="12"/>
  <c r="E398" i="12"/>
  <c r="E399" i="12"/>
  <c r="E400" i="12"/>
  <c r="E401" i="12"/>
  <c r="E402" i="12"/>
  <c r="E403" i="12"/>
  <c r="E404" i="12"/>
  <c r="E6" i="12"/>
  <c r="T1017" i="2" l="1"/>
  <c r="T1431" i="2"/>
  <c r="T1428" i="2"/>
  <c r="F1633" i="2"/>
  <c r="R1016" i="2" l="1"/>
  <c r="W693" i="2" l="1"/>
  <c r="X693" i="2" s="1"/>
  <c r="T693" i="2"/>
  <c r="R693" i="2"/>
  <c r="W1798" i="2" l="1"/>
  <c r="X1798" i="2" s="1"/>
  <c r="T1798" i="2"/>
  <c r="R1798" i="2"/>
  <c r="F750" i="2" l="1"/>
  <c r="F173" i="2" l="1"/>
  <c r="S193" i="2" l="1"/>
  <c r="M193" i="2" s="1"/>
  <c r="W541" i="2" l="1"/>
  <c r="X541" i="2" s="1"/>
  <c r="W157" i="15"/>
  <c r="F556" i="2" l="1"/>
  <c r="W1015" i="2" l="1"/>
  <c r="X1015" i="2" l="1"/>
  <c r="W178" i="2" l="1"/>
  <c r="W179" i="2"/>
  <c r="W180" i="2"/>
  <c r="W182" i="2"/>
  <c r="W183" i="2"/>
  <c r="W184" i="2"/>
  <c r="W185" i="2"/>
  <c r="W187" i="2"/>
  <c r="W188" i="2"/>
  <c r="R579" i="2"/>
  <c r="H579" i="2" l="1"/>
  <c r="K579" i="2"/>
  <c r="I578" i="2"/>
  <c r="F577" i="2"/>
  <c r="F140" i="15" s="1"/>
  <c r="F578" i="2"/>
  <c r="F141" i="15" s="1"/>
  <c r="I579" i="2" l="1"/>
  <c r="N141" i="15"/>
  <c r="N142" i="15" s="1"/>
  <c r="F576" i="2"/>
  <c r="F139" i="15" s="1"/>
  <c r="T615" i="2" l="1"/>
  <c r="T616" i="2"/>
  <c r="T614" i="2"/>
  <c r="R184" i="2" l="1"/>
  <c r="R185" i="2"/>
  <c r="R187" i="2"/>
  <c r="R188" i="2"/>
  <c r="W1730" i="2" l="1"/>
  <c r="X1730" i="2" s="1"/>
  <c r="T1730" i="2"/>
  <c r="R1730" i="2"/>
  <c r="T891" i="2" l="1"/>
  <c r="T893" i="2"/>
  <c r="T894" i="2"/>
  <c r="T895" i="2"/>
  <c r="T896" i="2"/>
  <c r="T897" i="2"/>
  <c r="T898" i="2"/>
  <c r="R899" i="2" l="1"/>
  <c r="R909" i="2"/>
  <c r="R927" i="2"/>
  <c r="F1686" i="2" l="1"/>
  <c r="W1731" i="2" l="1"/>
  <c r="X1731" i="2" s="1"/>
  <c r="T1731" i="2"/>
  <c r="R1731" i="2"/>
  <c r="F1100" i="2" l="1"/>
  <c r="T902" i="2" l="1"/>
  <c r="T903" i="2"/>
  <c r="T904" i="2"/>
  <c r="T901" i="2"/>
  <c r="W1928" i="2" l="1"/>
  <c r="X1928" i="2" s="1"/>
  <c r="T1928" i="2"/>
  <c r="R1928" i="2"/>
  <c r="T911" i="2" l="1"/>
  <c r="H1773" i="2"/>
  <c r="F891" i="2" l="1"/>
  <c r="F1792" i="2"/>
  <c r="T1458" i="2" l="1"/>
  <c r="T1459" i="2"/>
  <c r="T1457" i="2"/>
  <c r="I87" i="2" l="1"/>
  <c r="W372" i="2"/>
  <c r="X372" i="2" s="1"/>
  <c r="R372" i="2"/>
  <c r="W371" i="2"/>
  <c r="X371" i="2" s="1"/>
  <c r="R371" i="2"/>
  <c r="W368" i="2"/>
  <c r="X368" i="2" s="1"/>
  <c r="R368" i="2"/>
  <c r="F1243" i="2" l="1"/>
  <c r="F147" i="6" s="1"/>
  <c r="W367" i="2" l="1"/>
  <c r="X367" i="2" s="1"/>
  <c r="R367" i="2"/>
  <c r="R903" i="2" l="1"/>
  <c r="R1601" i="2" l="1"/>
  <c r="W366" i="2"/>
  <c r="X366" i="2" s="1"/>
  <c r="R366" i="2"/>
  <c r="W365" i="2"/>
  <c r="X365" i="2" s="1"/>
  <c r="R365" i="2"/>
  <c r="W364" i="2"/>
  <c r="X364" i="2" s="1"/>
  <c r="R364" i="2"/>
  <c r="T646" i="2" l="1"/>
  <c r="F519" i="2" l="1"/>
  <c r="F518" i="2"/>
  <c r="R318" i="2" l="1"/>
  <c r="R319" i="2"/>
  <c r="R320" i="2"/>
  <c r="R321" i="2"/>
  <c r="R322" i="2"/>
  <c r="R323" i="2"/>
  <c r="R324" i="2"/>
  <c r="R325" i="2"/>
  <c r="R326" i="2"/>
  <c r="R327" i="2"/>
  <c r="R328" i="2"/>
  <c r="F645" i="2" l="1"/>
  <c r="F183" i="6" s="1"/>
  <c r="R87" i="2" l="1"/>
  <c r="F84" i="2" l="1"/>
  <c r="F82" i="2"/>
  <c r="V132" i="15" l="1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E132" i="15"/>
  <c r="C132" i="15"/>
  <c r="W520" i="2"/>
  <c r="X520" i="2" s="1"/>
  <c r="W132" i="15"/>
  <c r="F520" i="2"/>
  <c r="H35" i="4" l="1"/>
  <c r="F1788" i="2" l="1"/>
  <c r="T1073" i="2" l="1"/>
  <c r="F1151" i="2" l="1"/>
  <c r="F1223" i="2"/>
  <c r="F1273" i="2"/>
  <c r="W1460" i="2" l="1"/>
  <c r="X1460" i="2" s="1"/>
  <c r="R1460" i="2"/>
  <c r="M1460" i="2" s="1"/>
  <c r="H1460" i="2"/>
  <c r="W1459" i="2"/>
  <c r="X1459" i="2" s="1"/>
  <c r="R1459" i="2"/>
  <c r="W115" i="15"/>
  <c r="F1459" i="2"/>
  <c r="W1458" i="2"/>
  <c r="X1458" i="2" s="1"/>
  <c r="R1458" i="2"/>
  <c r="W114" i="15"/>
  <c r="F1458" i="2"/>
  <c r="W1457" i="2"/>
  <c r="X1457" i="2" s="1"/>
  <c r="R1457" i="2"/>
  <c r="W113" i="15"/>
  <c r="F1457" i="2"/>
  <c r="W363" i="2"/>
  <c r="X363" i="2" s="1"/>
  <c r="R363" i="2"/>
  <c r="W116" i="15" l="1"/>
  <c r="C137" i="15" l="1"/>
  <c r="C136" i="15"/>
  <c r="D136" i="15"/>
  <c r="E136" i="15"/>
  <c r="G136" i="15"/>
  <c r="H136" i="15"/>
  <c r="I136" i="15"/>
  <c r="J136" i="15"/>
  <c r="K136" i="15"/>
  <c r="L136" i="15"/>
  <c r="M136" i="15"/>
  <c r="N136" i="15"/>
  <c r="O136" i="15"/>
  <c r="P136" i="15"/>
  <c r="Q136" i="15"/>
  <c r="R136" i="15"/>
  <c r="S136" i="15"/>
  <c r="T136" i="15"/>
  <c r="U136" i="15"/>
  <c r="V136" i="15"/>
  <c r="D137" i="15"/>
  <c r="E137" i="15"/>
  <c r="G137" i="15"/>
  <c r="H137" i="15"/>
  <c r="I137" i="15"/>
  <c r="J137" i="15"/>
  <c r="K137" i="15"/>
  <c r="L137" i="15"/>
  <c r="M137" i="15"/>
  <c r="N137" i="15"/>
  <c r="O137" i="15"/>
  <c r="P137" i="15"/>
  <c r="Q137" i="15"/>
  <c r="S137" i="15"/>
  <c r="T137" i="15"/>
  <c r="U137" i="15"/>
  <c r="V137" i="15"/>
  <c r="D135" i="15"/>
  <c r="E135" i="15"/>
  <c r="G135" i="15"/>
  <c r="H135" i="15"/>
  <c r="I135" i="15"/>
  <c r="J135" i="15"/>
  <c r="K135" i="15"/>
  <c r="L135" i="15"/>
  <c r="M135" i="15"/>
  <c r="N135" i="15"/>
  <c r="O135" i="15"/>
  <c r="P135" i="15"/>
  <c r="Q135" i="15"/>
  <c r="R135" i="15"/>
  <c r="S135" i="15"/>
  <c r="T135" i="15"/>
  <c r="U135" i="15"/>
  <c r="V135" i="15"/>
  <c r="C135" i="15"/>
  <c r="AA138" i="15"/>
  <c r="Y138" i="15"/>
  <c r="G138" i="15"/>
  <c r="H131" i="15"/>
  <c r="I131" i="15"/>
  <c r="J131" i="15"/>
  <c r="K131" i="15"/>
  <c r="L131" i="15"/>
  <c r="M131" i="15"/>
  <c r="N131" i="15"/>
  <c r="O131" i="15"/>
  <c r="P131" i="15"/>
  <c r="Q131" i="15"/>
  <c r="R131" i="15"/>
  <c r="S131" i="15"/>
  <c r="T131" i="15"/>
  <c r="U131" i="15"/>
  <c r="V131" i="15"/>
  <c r="I133" i="15"/>
  <c r="J133" i="15"/>
  <c r="K133" i="15"/>
  <c r="L133" i="15"/>
  <c r="M133" i="15"/>
  <c r="O133" i="15"/>
  <c r="P133" i="15"/>
  <c r="Q133" i="15"/>
  <c r="S133" i="15"/>
  <c r="T133" i="15"/>
  <c r="U133" i="15"/>
  <c r="V133" i="15"/>
  <c r="E133" i="15"/>
  <c r="C133" i="15"/>
  <c r="E131" i="15"/>
  <c r="C131" i="15"/>
  <c r="I130" i="15"/>
  <c r="J130" i="15"/>
  <c r="K130" i="15"/>
  <c r="L130" i="15"/>
  <c r="M130" i="15"/>
  <c r="N130" i="15"/>
  <c r="O130" i="15"/>
  <c r="P130" i="15"/>
  <c r="Q130" i="15"/>
  <c r="R130" i="15"/>
  <c r="S130" i="15"/>
  <c r="T130" i="15"/>
  <c r="U130" i="15"/>
  <c r="V130" i="15"/>
  <c r="H130" i="15"/>
  <c r="E130" i="15"/>
  <c r="C130" i="15"/>
  <c r="AA134" i="15"/>
  <c r="Y134" i="15"/>
  <c r="G134" i="15"/>
  <c r="G133" i="15"/>
  <c r="G131" i="15"/>
  <c r="G130" i="15"/>
  <c r="U138" i="15" l="1"/>
  <c r="I138" i="15"/>
  <c r="L138" i="15"/>
  <c r="L134" i="15"/>
  <c r="K134" i="15"/>
  <c r="O134" i="15"/>
  <c r="V134" i="15"/>
  <c r="J134" i="15"/>
  <c r="M138" i="15"/>
  <c r="P138" i="15"/>
  <c r="K138" i="15"/>
  <c r="N138" i="15"/>
  <c r="P134" i="15"/>
  <c r="S134" i="15"/>
  <c r="M134" i="15"/>
  <c r="U134" i="15"/>
  <c r="I134" i="15"/>
  <c r="O138" i="15"/>
  <c r="Q134" i="15"/>
  <c r="T134" i="15"/>
  <c r="T138" i="15"/>
  <c r="H138" i="15"/>
  <c r="S138" i="15"/>
  <c r="Q138" i="15"/>
  <c r="V138" i="15"/>
  <c r="J138" i="15"/>
  <c r="H134" i="15"/>
  <c r="H318" i="2" l="1"/>
  <c r="I318" i="2"/>
  <c r="K318" i="2"/>
  <c r="W318" i="2"/>
  <c r="X318" i="2" s="1"/>
  <c r="M318" i="2"/>
  <c r="W317" i="2"/>
  <c r="X317" i="2" s="1"/>
  <c r="W137" i="15"/>
  <c r="F317" i="2"/>
  <c r="F137" i="15" s="1"/>
  <c r="W316" i="2"/>
  <c r="X316" i="2" s="1"/>
  <c r="R316" i="2"/>
  <c r="X136" i="15"/>
  <c r="W136" i="15"/>
  <c r="F316" i="2"/>
  <c r="F136" i="15" s="1"/>
  <c r="W315" i="2"/>
  <c r="X315" i="2" s="1"/>
  <c r="R315" i="2"/>
  <c r="X135" i="15"/>
  <c r="W135" i="15"/>
  <c r="F315" i="2"/>
  <c r="F135" i="15" s="1"/>
  <c r="W138" i="15" l="1"/>
  <c r="H144" i="8" l="1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F1070" i="2" l="1"/>
  <c r="F61" i="6" s="1"/>
  <c r="W362" i="2"/>
  <c r="X362" i="2" s="1"/>
  <c r="R362" i="2"/>
  <c r="W361" i="2" l="1"/>
  <c r="X361" i="2" s="1"/>
  <c r="R361" i="2"/>
  <c r="W360" i="2"/>
  <c r="X360" i="2" s="1"/>
  <c r="R360" i="2"/>
  <c r="F1242" i="2" l="1"/>
  <c r="F146" i="6" s="1"/>
  <c r="R377" i="2" l="1"/>
  <c r="M377" i="2" s="1"/>
  <c r="R376" i="2"/>
  <c r="R359" i="2"/>
  <c r="R350" i="2"/>
  <c r="R345" i="2"/>
  <c r="R342" i="2"/>
  <c r="F48" i="6" l="1"/>
  <c r="F1071" i="2" l="1"/>
  <c r="F62" i="6" s="1"/>
  <c r="AA88" i="15" l="1"/>
  <c r="Y88" i="15"/>
  <c r="V87" i="15"/>
  <c r="U87" i="15"/>
  <c r="G87" i="15"/>
  <c r="E87" i="15"/>
  <c r="C87" i="15"/>
  <c r="V86" i="15"/>
  <c r="U86" i="15"/>
  <c r="G86" i="15"/>
  <c r="E86" i="15"/>
  <c r="C86" i="15"/>
  <c r="V85" i="15"/>
  <c r="U85" i="15"/>
  <c r="G85" i="15"/>
  <c r="E85" i="15"/>
  <c r="C85" i="15"/>
  <c r="W1432" i="2"/>
  <c r="H1432" i="2"/>
  <c r="W1431" i="2"/>
  <c r="X1431" i="2" s="1"/>
  <c r="W87" i="15"/>
  <c r="F1431" i="2"/>
  <c r="W1429" i="2"/>
  <c r="X1429" i="2" s="1"/>
  <c r="R1429" i="2"/>
  <c r="W86" i="15"/>
  <c r="W1428" i="2"/>
  <c r="X1428" i="2" s="1"/>
  <c r="R1428" i="2"/>
  <c r="S1432" i="2" l="1"/>
  <c r="M1432" i="2" s="1"/>
  <c r="X1432" i="2"/>
  <c r="P88" i="15"/>
  <c r="U88" i="15"/>
  <c r="Q88" i="15"/>
  <c r="V88" i="15"/>
  <c r="I88" i="15"/>
  <c r="J88" i="15"/>
  <c r="M88" i="15"/>
  <c r="O88" i="15"/>
  <c r="L88" i="15"/>
  <c r="S88" i="15"/>
  <c r="K88" i="15"/>
  <c r="W85" i="15"/>
  <c r="W88" i="15" s="1"/>
  <c r="H88" i="15"/>
  <c r="X132" i="15" l="1"/>
  <c r="F751" i="2"/>
  <c r="F35" i="7" s="1"/>
  <c r="F749" i="2"/>
  <c r="R1078" i="2" l="1"/>
  <c r="F785" i="2" l="1"/>
  <c r="T1419" i="2" l="1"/>
  <c r="T1420" i="2"/>
  <c r="T1416" i="2"/>
  <c r="F1767" i="2" l="1"/>
  <c r="AA84" i="15" l="1"/>
  <c r="Y84" i="15"/>
  <c r="V83" i="15"/>
  <c r="U83" i="15"/>
  <c r="G83" i="15"/>
  <c r="E83" i="15"/>
  <c r="C83" i="15"/>
  <c r="V82" i="15"/>
  <c r="U82" i="15"/>
  <c r="G82" i="15"/>
  <c r="E82" i="15"/>
  <c r="C82" i="15"/>
  <c r="V81" i="15"/>
  <c r="U81" i="15"/>
  <c r="G81" i="15"/>
  <c r="E81" i="15"/>
  <c r="C81" i="15"/>
  <c r="X1421" i="2"/>
  <c r="M1421" i="2"/>
  <c r="H1421" i="2"/>
  <c r="X1420" i="2"/>
  <c r="W83" i="15"/>
  <c r="F1420" i="2"/>
  <c r="X1419" i="2"/>
  <c r="W82" i="15"/>
  <c r="F1419" i="2"/>
  <c r="X1416" i="2"/>
  <c r="O84" i="15" l="1"/>
  <c r="S84" i="15"/>
  <c r="U84" i="15"/>
  <c r="W81" i="15"/>
  <c r="W84" i="15" s="1"/>
  <c r="M84" i="15"/>
  <c r="V84" i="15"/>
  <c r="K84" i="15"/>
  <c r="Q84" i="15"/>
  <c r="J84" i="15"/>
  <c r="P84" i="15"/>
  <c r="I84" i="15"/>
  <c r="H84" i="15"/>
  <c r="L84" i="15"/>
  <c r="H622" i="2" l="1"/>
  <c r="H637" i="2"/>
  <c r="H642" i="2"/>
  <c r="H650" i="2"/>
  <c r="H660" i="2"/>
  <c r="H678" i="2"/>
  <c r="H685" i="2"/>
  <c r="H696" i="2"/>
  <c r="H719" i="2"/>
  <c r="H725" i="2"/>
  <c r="H730" i="2"/>
  <c r="H735" i="2"/>
  <c r="H738" i="2"/>
  <c r="H741" i="2"/>
  <c r="H747" i="2"/>
  <c r="H756" i="2"/>
  <c r="H764" i="2"/>
  <c r="H782" i="2"/>
  <c r="H788" i="2"/>
  <c r="H796" i="2"/>
  <c r="H802" i="2"/>
  <c r="H808" i="2"/>
  <c r="H814" i="2"/>
  <c r="H845" i="2"/>
  <c r="H853" i="2"/>
  <c r="H867" i="2"/>
  <c r="H875" i="2"/>
  <c r="H882" i="2"/>
  <c r="H890" i="2"/>
  <c r="H899" i="2"/>
  <c r="H909" i="2"/>
  <c r="H927" i="2"/>
  <c r="H932" i="2"/>
  <c r="H941" i="2"/>
  <c r="H956" i="2"/>
  <c r="H963" i="2"/>
  <c r="H969" i="2"/>
  <c r="H993" i="2"/>
  <c r="H1000" i="2"/>
  <c r="H1016" i="2"/>
  <c r="H1023" i="2"/>
  <c r="H1029" i="2"/>
  <c r="H1034" i="2"/>
  <c r="H1040" i="2"/>
  <c r="H1048" i="2"/>
  <c r="H1056" i="2"/>
  <c r="H1062" i="2"/>
  <c r="H1069" i="2"/>
  <c r="H1078" i="2"/>
  <c r="H1084" i="2"/>
  <c r="H1091" i="2"/>
  <c r="H1098" i="2"/>
  <c r="H1106" i="2"/>
  <c r="H1113" i="2"/>
  <c r="H1128" i="2"/>
  <c r="H1139" i="2"/>
  <c r="H1150" i="2"/>
  <c r="H1156" i="2"/>
  <c r="H1163" i="2"/>
  <c r="H1171" i="2"/>
  <c r="H1180" i="2"/>
  <c r="H1188" i="2"/>
  <c r="H1195" i="2"/>
  <c r="H1201" i="2"/>
  <c r="H1209" i="2"/>
  <c r="H1215" i="2"/>
  <c r="H1222" i="2"/>
  <c r="H1229" i="2"/>
  <c r="H1237" i="2"/>
  <c r="H1241" i="2"/>
  <c r="H1249" i="2"/>
  <c r="H1254" i="2"/>
  <c r="H1260" i="2"/>
  <c r="H1266" i="2"/>
  <c r="H1272" i="2"/>
  <c r="H1279" i="2"/>
  <c r="H1284" i="2"/>
  <c r="H1290" i="2"/>
  <c r="H1295" i="2"/>
  <c r="H1300" i="2"/>
  <c r="H1309" i="2"/>
  <c r="H1316" i="2"/>
  <c r="H1320" i="2"/>
  <c r="H1324" i="2"/>
  <c r="H1330" i="2"/>
  <c r="H1334" i="2"/>
  <c r="H1341" i="2"/>
  <c r="H1347" i="2"/>
  <c r="H1353" i="2"/>
  <c r="H1361" i="2"/>
  <c r="H1367" i="2"/>
  <c r="H1373" i="2"/>
  <c r="H1382" i="2"/>
  <c r="H1388" i="2"/>
  <c r="H1394" i="2"/>
  <c r="H1399" i="2"/>
  <c r="H1403" i="2"/>
  <c r="H1407" i="2"/>
  <c r="H1411" i="2"/>
  <c r="H1415" i="2"/>
  <c r="H1464" i="2"/>
  <c r="H1486" i="2"/>
  <c r="F36" i="7" l="1"/>
  <c r="W531" i="2" l="1"/>
  <c r="X531" i="2" s="1"/>
  <c r="F264" i="2" l="1"/>
  <c r="AA80" i="15" l="1"/>
  <c r="Y80" i="15"/>
  <c r="V79" i="15"/>
  <c r="U79" i="15"/>
  <c r="S79" i="15"/>
  <c r="Q79" i="15"/>
  <c r="P79" i="15"/>
  <c r="O79" i="15"/>
  <c r="M79" i="15"/>
  <c r="L79" i="15"/>
  <c r="K79" i="15"/>
  <c r="J79" i="15"/>
  <c r="I79" i="15"/>
  <c r="H79" i="15"/>
  <c r="G79" i="15"/>
  <c r="E79" i="15"/>
  <c r="C79" i="15"/>
  <c r="V78" i="15"/>
  <c r="U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E78" i="15"/>
  <c r="C78" i="15"/>
  <c r="V77" i="15"/>
  <c r="U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E77" i="15"/>
  <c r="C77" i="15"/>
  <c r="T1413" i="2"/>
  <c r="T1414" i="2"/>
  <c r="T1412" i="2"/>
  <c r="X1415" i="2"/>
  <c r="M1415" i="2"/>
  <c r="X1414" i="2"/>
  <c r="W79" i="15"/>
  <c r="F1414" i="2"/>
  <c r="X1413" i="2"/>
  <c r="W78" i="15"/>
  <c r="F1413" i="2"/>
  <c r="X1412" i="2"/>
  <c r="W77" i="15"/>
  <c r="F1412" i="2"/>
  <c r="O80" i="15" l="1"/>
  <c r="W80" i="15"/>
  <c r="P80" i="15"/>
  <c r="Q80" i="15"/>
  <c r="I80" i="15"/>
  <c r="V80" i="15"/>
  <c r="S80" i="15"/>
  <c r="U80" i="15"/>
  <c r="J80" i="15"/>
  <c r="K80" i="15"/>
  <c r="M80" i="15"/>
  <c r="H80" i="15"/>
  <c r="L80" i="15"/>
  <c r="F1461" i="2" l="1"/>
  <c r="F215" i="6"/>
  <c r="W1226" i="2" l="1"/>
  <c r="X1226" i="2" s="1"/>
  <c r="T1226" i="2"/>
  <c r="R1226" i="2"/>
  <c r="F1226" i="2"/>
  <c r="F1275" i="2" l="1"/>
  <c r="F198" i="6"/>
  <c r="W1328" i="2" l="1"/>
  <c r="X1328" i="2" s="1"/>
  <c r="T1328" i="2"/>
  <c r="R1328" i="2"/>
  <c r="F1328" i="2"/>
  <c r="F172" i="6" s="1"/>
  <c r="R779" i="2" l="1"/>
  <c r="X155" i="15" l="1"/>
  <c r="F185" i="6"/>
  <c r="F184" i="6"/>
  <c r="X156" i="15" l="1"/>
  <c r="T1242" i="2"/>
  <c r="T1462" i="2" l="1"/>
  <c r="T1463" i="2"/>
  <c r="T1461" i="2"/>
  <c r="W1622" i="2" l="1"/>
  <c r="X1622" i="2" s="1"/>
  <c r="T1622" i="2"/>
  <c r="R1622" i="2"/>
  <c r="W1930" i="2"/>
  <c r="X1930" i="2" s="1"/>
  <c r="T1930" i="2"/>
  <c r="R1930" i="2"/>
  <c r="F164" i="6" l="1"/>
  <c r="W1339" i="2" l="1"/>
  <c r="X1339" i="2" s="1"/>
  <c r="T1339" i="2"/>
  <c r="R1339" i="2"/>
  <c r="F1339" i="2"/>
  <c r="F199" i="6" s="1"/>
  <c r="T1326" i="2" l="1"/>
  <c r="T1327" i="2"/>
  <c r="T1329" i="2"/>
  <c r="T1325" i="2"/>
  <c r="W1709" i="2" l="1"/>
  <c r="X1709" i="2" s="1"/>
  <c r="T1709" i="2"/>
  <c r="R1709" i="2"/>
  <c r="W1620" i="2"/>
  <c r="X1620" i="2" s="1"/>
  <c r="T1620" i="2"/>
  <c r="R1620" i="2"/>
  <c r="F1211" i="2" l="1"/>
  <c r="F1210" i="2"/>
  <c r="W1727" i="2" l="1"/>
  <c r="X1727" i="2" s="1"/>
  <c r="T1727" i="2"/>
  <c r="R1727" i="2"/>
  <c r="AA120" i="15" l="1"/>
  <c r="Y120" i="15"/>
  <c r="G119" i="15"/>
  <c r="C119" i="15"/>
  <c r="P120" i="15"/>
  <c r="G118" i="15"/>
  <c r="C118" i="15"/>
  <c r="G117" i="15"/>
  <c r="C117" i="15"/>
  <c r="L120" i="15" l="1"/>
  <c r="M120" i="15"/>
  <c r="K120" i="15"/>
  <c r="U120" i="15"/>
  <c r="S120" i="15"/>
  <c r="H120" i="15"/>
  <c r="I120" i="15"/>
  <c r="V120" i="15"/>
  <c r="O120" i="15"/>
  <c r="J120" i="15"/>
  <c r="Q120" i="15"/>
  <c r="W1464" i="2"/>
  <c r="X1464" i="2" s="1"/>
  <c r="R1464" i="2"/>
  <c r="M1464" i="2" s="1"/>
  <c r="W1463" i="2"/>
  <c r="X1463" i="2" s="1"/>
  <c r="R1463" i="2"/>
  <c r="F1463" i="2"/>
  <c r="W1462" i="2"/>
  <c r="X1462" i="2" s="1"/>
  <c r="R1462" i="2"/>
  <c r="F1462" i="2"/>
  <c r="W1461" i="2"/>
  <c r="X1461" i="2" s="1"/>
  <c r="R1461" i="2"/>
  <c r="F43" i="7"/>
  <c r="F42" i="7"/>
  <c r="W120" i="15" l="1"/>
  <c r="F1212" i="2" l="1"/>
  <c r="L189" i="6" l="1"/>
  <c r="O192" i="6"/>
  <c r="M192" i="6"/>
  <c r="L192" i="6"/>
  <c r="E192" i="6"/>
  <c r="C192" i="6"/>
  <c r="W1213" i="2" l="1"/>
  <c r="X1213" i="2" s="1"/>
  <c r="T1213" i="2"/>
  <c r="R1213" i="2"/>
  <c r="F1213" i="2"/>
  <c r="X143" i="15" l="1"/>
  <c r="F379" i="2"/>
  <c r="X144" i="15" l="1"/>
  <c r="F847" i="2"/>
  <c r="T1196" i="2" l="1"/>
  <c r="F381" i="2" l="1"/>
  <c r="F380" i="2"/>
  <c r="X147" i="15" l="1"/>
  <c r="W1724" i="2"/>
  <c r="X1724" i="2" s="1"/>
  <c r="T1724" i="2"/>
  <c r="R1724" i="2"/>
  <c r="X148" i="15" l="1"/>
  <c r="F142" i="6"/>
  <c r="F1861" i="2" l="1"/>
  <c r="F382" i="2"/>
  <c r="I122" i="2"/>
  <c r="F383" i="2" l="1"/>
  <c r="X151" i="15" l="1"/>
  <c r="R1279" i="2"/>
  <c r="R808" i="2"/>
  <c r="X152" i="15" l="1"/>
  <c r="E223" i="6"/>
  <c r="C223" i="6"/>
  <c r="W786" i="2" l="1"/>
  <c r="X786" i="2" s="1"/>
  <c r="T786" i="2"/>
  <c r="R786" i="2"/>
  <c r="F786" i="2"/>
  <c r="F385" i="2" l="1"/>
  <c r="F384" i="2"/>
  <c r="T790" i="2" l="1"/>
  <c r="T791" i="2"/>
  <c r="T792" i="2"/>
  <c r="T793" i="2"/>
  <c r="T794" i="2"/>
  <c r="T795" i="2"/>
  <c r="T789" i="2"/>
  <c r="W1623" i="2" l="1"/>
  <c r="X1623" i="2" s="1"/>
  <c r="T1623" i="2"/>
  <c r="R1623" i="2"/>
  <c r="F1623" i="2"/>
  <c r="T1211" i="2"/>
  <c r="T1212" i="2"/>
  <c r="T1214" i="2"/>
  <c r="T1210" i="2"/>
  <c r="W648" i="2" l="1"/>
  <c r="X648" i="2" s="1"/>
  <c r="T648" i="2"/>
  <c r="R648" i="2"/>
  <c r="F648" i="2"/>
  <c r="F186" i="6" s="1"/>
  <c r="T798" i="2" l="1"/>
  <c r="T799" i="2"/>
  <c r="T800" i="2"/>
  <c r="T801" i="2"/>
  <c r="T797" i="2"/>
  <c r="R844" i="2" l="1"/>
  <c r="F848" i="2"/>
  <c r="F644" i="2" l="1"/>
  <c r="F182" i="6" s="1"/>
  <c r="F643" i="2"/>
  <c r="F181" i="6" s="1"/>
  <c r="R1224" i="2" l="1"/>
  <c r="T1409" i="2"/>
  <c r="T1410" i="2"/>
  <c r="T1408" i="2"/>
  <c r="AA76" i="15" l="1"/>
  <c r="Y76" i="15"/>
  <c r="V75" i="15"/>
  <c r="U75" i="15"/>
  <c r="S75" i="15"/>
  <c r="Q75" i="15"/>
  <c r="P75" i="15"/>
  <c r="O75" i="15"/>
  <c r="M75" i="15"/>
  <c r="L75" i="15"/>
  <c r="K75" i="15"/>
  <c r="J75" i="15"/>
  <c r="I75" i="15"/>
  <c r="H75" i="15"/>
  <c r="G75" i="15"/>
  <c r="E75" i="15"/>
  <c r="C75" i="15"/>
  <c r="V74" i="15"/>
  <c r="U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E74" i="15"/>
  <c r="C74" i="15"/>
  <c r="V73" i="15"/>
  <c r="U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E73" i="15"/>
  <c r="C73" i="15"/>
  <c r="X1411" i="2"/>
  <c r="M1411" i="2"/>
  <c r="X1410" i="2"/>
  <c r="W75" i="15"/>
  <c r="F1410" i="2"/>
  <c r="X1409" i="2"/>
  <c r="W74" i="15"/>
  <c r="F1409" i="2"/>
  <c r="X1408" i="2"/>
  <c r="W73" i="15"/>
  <c r="F1408" i="2"/>
  <c r="F446" i="2"/>
  <c r="M76" i="15" l="1"/>
  <c r="W76" i="15"/>
  <c r="P76" i="15"/>
  <c r="K76" i="15"/>
  <c r="S76" i="15"/>
  <c r="U76" i="15"/>
  <c r="I76" i="15"/>
  <c r="V76" i="15"/>
  <c r="J76" i="15"/>
  <c r="H76" i="15"/>
  <c r="O76" i="15"/>
  <c r="Q76" i="15"/>
  <c r="L76" i="15"/>
  <c r="F1101" i="2" l="1"/>
  <c r="T1224" i="2" l="1"/>
  <c r="F1933" i="2" l="1"/>
  <c r="F1086" i="2" l="1"/>
  <c r="F1085" i="2"/>
  <c r="H177" i="2" l="1"/>
  <c r="K177" i="2"/>
  <c r="F106" i="15" l="1"/>
  <c r="F107" i="15"/>
  <c r="F105" i="15"/>
  <c r="F102" i="15"/>
  <c r="F103" i="15"/>
  <c r="F101" i="15"/>
  <c r="F98" i="15"/>
  <c r="F97" i="15"/>
  <c r="F99" i="15"/>
  <c r="F95" i="15"/>
  <c r="F93" i="15"/>
  <c r="F94" i="15"/>
  <c r="F132" i="15"/>
  <c r="F91" i="15"/>
  <c r="F89" i="15"/>
  <c r="F90" i="15"/>
  <c r="F133" i="15"/>
  <c r="F131" i="15"/>
  <c r="F130" i="15"/>
  <c r="F86" i="15"/>
  <c r="F87" i="15"/>
  <c r="F85" i="15"/>
  <c r="F82" i="15"/>
  <c r="F83" i="15"/>
  <c r="F81" i="15"/>
  <c r="F79" i="15"/>
  <c r="F77" i="15"/>
  <c r="F78" i="15"/>
  <c r="F75" i="15"/>
  <c r="F73" i="15"/>
  <c r="F74" i="15"/>
  <c r="W1711" i="2"/>
  <c r="X1711" i="2" s="1"/>
  <c r="T1711" i="2"/>
  <c r="R1711" i="2"/>
  <c r="W1708" i="2"/>
  <c r="X1708" i="2" s="1"/>
  <c r="T1708" i="2"/>
  <c r="R1708" i="2"/>
  <c r="F745" i="2"/>
  <c r="F117" i="2" l="1"/>
  <c r="T804" i="2" l="1"/>
  <c r="T805" i="2"/>
  <c r="T806" i="2"/>
  <c r="T807" i="2"/>
  <c r="T803" i="2"/>
  <c r="F849" i="2" l="1"/>
  <c r="L110" i="6" l="1"/>
  <c r="F757" i="2"/>
  <c r="W1076" i="2"/>
  <c r="X1076" i="2" s="1"/>
  <c r="R1076" i="2"/>
  <c r="F1076" i="2"/>
  <c r="F67" i="6" s="1"/>
  <c r="F1348" i="2" l="1"/>
  <c r="T686" i="2" l="1"/>
  <c r="W414" i="2" l="1"/>
  <c r="X414" i="2" s="1"/>
  <c r="R414" i="2"/>
  <c r="W413" i="2"/>
  <c r="X413" i="2" s="1"/>
  <c r="R413" i="2"/>
  <c r="T1072" i="2" l="1"/>
  <c r="A151" i="16" l="1"/>
  <c r="A152" i="16"/>
  <c r="A153" i="16"/>
  <c r="A154" i="16"/>
  <c r="A155" i="16"/>
  <c r="A156" i="16"/>
  <c r="A157" i="16"/>
  <c r="A158" i="16"/>
  <c r="F1276" i="2" l="1"/>
  <c r="W647" i="2"/>
  <c r="X647" i="2" s="1"/>
  <c r="T647" i="2"/>
  <c r="R647" i="2"/>
  <c r="R845" i="2" l="1"/>
  <c r="S845" i="2" s="1"/>
  <c r="T1405" i="2" l="1"/>
  <c r="T1406" i="2"/>
  <c r="T1404" i="2"/>
  <c r="AA72" i="15" l="1"/>
  <c r="Y72" i="15"/>
  <c r="V71" i="15"/>
  <c r="U71" i="15"/>
  <c r="S71" i="15"/>
  <c r="Q71" i="15"/>
  <c r="P71" i="15"/>
  <c r="O71" i="15"/>
  <c r="M71" i="15"/>
  <c r="L71" i="15"/>
  <c r="K71" i="15"/>
  <c r="J71" i="15"/>
  <c r="I71" i="15"/>
  <c r="H71" i="15"/>
  <c r="G71" i="15"/>
  <c r="E71" i="15"/>
  <c r="C71" i="15"/>
  <c r="V70" i="15"/>
  <c r="U70" i="15"/>
  <c r="S70" i="15"/>
  <c r="R70" i="15"/>
  <c r="Q70" i="15"/>
  <c r="P70" i="15"/>
  <c r="O70" i="15"/>
  <c r="N70" i="15"/>
  <c r="M70" i="15"/>
  <c r="L70" i="15"/>
  <c r="K70" i="15"/>
  <c r="J70" i="15"/>
  <c r="I70" i="15"/>
  <c r="G70" i="15"/>
  <c r="E70" i="15"/>
  <c r="C70" i="15"/>
  <c r="V69" i="15"/>
  <c r="U69" i="15"/>
  <c r="S69" i="15"/>
  <c r="R69" i="15"/>
  <c r="Q69" i="15"/>
  <c r="P69" i="15"/>
  <c r="O69" i="15"/>
  <c r="N69" i="15"/>
  <c r="M69" i="15"/>
  <c r="L69" i="15"/>
  <c r="K69" i="15"/>
  <c r="J69" i="15"/>
  <c r="I69" i="15"/>
  <c r="G69" i="15"/>
  <c r="E69" i="15"/>
  <c r="C69" i="15"/>
  <c r="X1407" i="2"/>
  <c r="M1407" i="2"/>
  <c r="X1406" i="2"/>
  <c r="W71" i="15"/>
  <c r="F1406" i="2"/>
  <c r="X1405" i="2"/>
  <c r="W70" i="15"/>
  <c r="F1405" i="2"/>
  <c r="X1404" i="2"/>
  <c r="W69" i="15"/>
  <c r="H72" i="15" l="1"/>
  <c r="K72" i="15"/>
  <c r="L72" i="15"/>
  <c r="O72" i="15"/>
  <c r="P72" i="15"/>
  <c r="S72" i="15"/>
  <c r="J72" i="15"/>
  <c r="V72" i="15"/>
  <c r="W72" i="15"/>
  <c r="I72" i="15"/>
  <c r="M72" i="15"/>
  <c r="Q72" i="15"/>
  <c r="U72" i="15"/>
  <c r="F6" i="12" l="1"/>
  <c r="W1396" i="2" l="1"/>
  <c r="X1396" i="2" s="1"/>
  <c r="T1396" i="2"/>
  <c r="R1396" i="2"/>
  <c r="L155" i="6" l="1"/>
  <c r="T869" i="2"/>
  <c r="T870" i="2"/>
  <c r="T874" i="2"/>
  <c r="T868" i="2"/>
  <c r="T1401" i="2" l="1"/>
  <c r="T1402" i="2"/>
  <c r="T1400" i="2"/>
  <c r="W410" i="2" l="1"/>
  <c r="X410" i="2" s="1"/>
  <c r="R410" i="2"/>
  <c r="F850" i="2" l="1"/>
  <c r="C66" i="15" l="1"/>
  <c r="E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U66" i="15"/>
  <c r="V66" i="15"/>
  <c r="C67" i="15"/>
  <c r="E67" i="15"/>
  <c r="G67" i="15"/>
  <c r="H67" i="15"/>
  <c r="I67" i="15"/>
  <c r="J67" i="15"/>
  <c r="K67" i="15"/>
  <c r="L67" i="15"/>
  <c r="M67" i="15"/>
  <c r="O67" i="15"/>
  <c r="P67" i="15"/>
  <c r="Q67" i="15"/>
  <c r="S67" i="15"/>
  <c r="U67" i="15"/>
  <c r="V67" i="15"/>
  <c r="I65" i="15"/>
  <c r="J65" i="15"/>
  <c r="K65" i="15"/>
  <c r="L65" i="15"/>
  <c r="M65" i="15"/>
  <c r="N65" i="15"/>
  <c r="O65" i="15"/>
  <c r="P65" i="15"/>
  <c r="Q65" i="15"/>
  <c r="R65" i="15"/>
  <c r="S65" i="15"/>
  <c r="U65" i="15"/>
  <c r="V65" i="15"/>
  <c r="H65" i="15"/>
  <c r="E65" i="15"/>
  <c r="C65" i="15"/>
  <c r="AA68" i="15"/>
  <c r="Y68" i="15"/>
  <c r="G65" i="15"/>
  <c r="J127" i="15"/>
  <c r="Q68" i="15" l="1"/>
  <c r="I68" i="15"/>
  <c r="H68" i="15"/>
  <c r="M68" i="15"/>
  <c r="V68" i="15"/>
  <c r="P68" i="15"/>
  <c r="L68" i="15"/>
  <c r="U68" i="15"/>
  <c r="J68" i="15"/>
  <c r="S68" i="15"/>
  <c r="O68" i="15"/>
  <c r="K68" i="15"/>
  <c r="X1403" i="2" l="1"/>
  <c r="M1403" i="2"/>
  <c r="X1402" i="2"/>
  <c r="W67" i="15"/>
  <c r="F1402" i="2"/>
  <c r="X1401" i="2"/>
  <c r="W66" i="15"/>
  <c r="F1401" i="2"/>
  <c r="X1400" i="2"/>
  <c r="W65" i="15"/>
  <c r="F1400" i="2"/>
  <c r="W68" i="15" l="1"/>
  <c r="W879" i="2" l="1"/>
  <c r="X879" i="2" s="1"/>
  <c r="T879" i="2"/>
  <c r="R879" i="2"/>
  <c r="R781" i="2" l="1"/>
  <c r="F182" i="2" l="1"/>
  <c r="F183" i="2"/>
  <c r="F187" i="2"/>
  <c r="W517" i="2" l="1"/>
  <c r="T784" i="2" l="1"/>
  <c r="T785" i="2"/>
  <c r="T787" i="2"/>
  <c r="T783" i="2"/>
  <c r="T1390" i="2" l="1"/>
  <c r="T1391" i="2"/>
  <c r="T1392" i="2"/>
  <c r="T1393" i="2"/>
  <c r="T1389" i="2"/>
  <c r="N59" i="15"/>
  <c r="V63" i="15"/>
  <c r="U63" i="15"/>
  <c r="S63" i="15"/>
  <c r="Q63" i="15"/>
  <c r="P63" i="15"/>
  <c r="O63" i="15"/>
  <c r="M63" i="15"/>
  <c r="L63" i="15"/>
  <c r="K63" i="15"/>
  <c r="J63" i="15"/>
  <c r="I63" i="15"/>
  <c r="H63" i="15"/>
  <c r="G63" i="15"/>
  <c r="E63" i="15"/>
  <c r="C63" i="15"/>
  <c r="V62" i="15"/>
  <c r="U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E62" i="15"/>
  <c r="C62" i="15"/>
  <c r="V61" i="15"/>
  <c r="U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E61" i="15"/>
  <c r="C61" i="15"/>
  <c r="V60" i="15"/>
  <c r="U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E60" i="15"/>
  <c r="C60" i="15"/>
  <c r="V59" i="15"/>
  <c r="U59" i="15"/>
  <c r="S59" i="15"/>
  <c r="R59" i="15"/>
  <c r="Q59" i="15"/>
  <c r="P59" i="15"/>
  <c r="O59" i="15"/>
  <c r="M59" i="15"/>
  <c r="L59" i="15"/>
  <c r="K59" i="15"/>
  <c r="J59" i="15"/>
  <c r="I59" i="15"/>
  <c r="H59" i="15"/>
  <c r="G59" i="15"/>
  <c r="E59" i="15"/>
  <c r="C59" i="15"/>
  <c r="K64" i="15" l="1"/>
  <c r="O64" i="15"/>
  <c r="S64" i="15"/>
  <c r="P64" i="15"/>
  <c r="Q64" i="15"/>
  <c r="H64" i="15"/>
  <c r="L64" i="15"/>
  <c r="I64" i="15"/>
  <c r="M64" i="15"/>
  <c r="U64" i="15"/>
  <c r="J64" i="15"/>
  <c r="V64" i="15"/>
  <c r="W1394" i="2"/>
  <c r="X1394" i="2" s="1"/>
  <c r="R1394" i="2"/>
  <c r="M1394" i="2" s="1"/>
  <c r="Y64" i="15" s="1"/>
  <c r="W1393" i="2"/>
  <c r="X1393" i="2" s="1"/>
  <c r="R1393" i="2"/>
  <c r="W63" i="15"/>
  <c r="F1393" i="2"/>
  <c r="W1392" i="2"/>
  <c r="X1392" i="2" s="1"/>
  <c r="R1392" i="2"/>
  <c r="W62" i="15"/>
  <c r="F1392" i="2"/>
  <c r="W1391" i="2"/>
  <c r="X1391" i="2" s="1"/>
  <c r="R1391" i="2"/>
  <c r="W61" i="15"/>
  <c r="F1391" i="2"/>
  <c r="W1390" i="2"/>
  <c r="X1390" i="2" s="1"/>
  <c r="R1390" i="2"/>
  <c r="W60" i="15"/>
  <c r="F1390" i="2"/>
  <c r="W1389" i="2"/>
  <c r="X1389" i="2" s="1"/>
  <c r="R1389" i="2"/>
  <c r="W59" i="15"/>
  <c r="F1389" i="2"/>
  <c r="W64" i="15" l="1"/>
  <c r="W518" i="2" l="1"/>
  <c r="W519" i="2"/>
  <c r="W521" i="2"/>
  <c r="W522" i="2"/>
  <c r="W537" i="2"/>
  <c r="M517" i="2"/>
  <c r="F513" i="2" l="1"/>
  <c r="T935" i="2" l="1"/>
  <c r="T1397" i="2" l="1"/>
  <c r="T1398" i="2"/>
  <c r="W1399" i="2"/>
  <c r="R1399" i="2"/>
  <c r="M1399" i="2" s="1"/>
  <c r="W1398" i="2"/>
  <c r="X1398" i="2" s="1"/>
  <c r="R1398" i="2"/>
  <c r="F1398" i="2"/>
  <c r="W1397" i="2"/>
  <c r="X1397" i="2" s="1"/>
  <c r="R1397" i="2"/>
  <c r="F1397" i="2"/>
  <c r="W1395" i="2"/>
  <c r="X1395" i="2" s="1"/>
  <c r="R1395" i="2"/>
  <c r="R1062" i="2" l="1"/>
  <c r="M1062" i="2" s="1"/>
  <c r="B2" i="13" l="1"/>
  <c r="D404" i="12"/>
  <c r="A404" i="12"/>
  <c r="D403" i="12"/>
  <c r="A403" i="12"/>
  <c r="D402" i="12"/>
  <c r="A402" i="12"/>
  <c r="D401" i="12"/>
  <c r="A401" i="12"/>
  <c r="D400" i="12"/>
  <c r="A400" i="12"/>
  <c r="D399" i="12"/>
  <c r="A399" i="12"/>
  <c r="D398" i="12"/>
  <c r="A398" i="12"/>
  <c r="D397" i="12"/>
  <c r="A397" i="12"/>
  <c r="D396" i="12"/>
  <c r="A396" i="12"/>
  <c r="D395" i="12"/>
  <c r="A395" i="12"/>
  <c r="D394" i="12"/>
  <c r="A394" i="12"/>
  <c r="D393" i="12"/>
  <c r="A393" i="12"/>
  <c r="D392" i="12"/>
  <c r="A392" i="12"/>
  <c r="D391" i="12"/>
  <c r="A391" i="12"/>
  <c r="D390" i="12"/>
  <c r="A390" i="12"/>
  <c r="D389" i="12"/>
  <c r="A389" i="12"/>
  <c r="D388" i="12"/>
  <c r="A388" i="12"/>
  <c r="D387" i="12"/>
  <c r="A387" i="12"/>
  <c r="D386" i="12"/>
  <c r="A386" i="12"/>
  <c r="D385" i="12"/>
  <c r="A385" i="12"/>
  <c r="D384" i="12"/>
  <c r="A384" i="12"/>
  <c r="D383" i="12"/>
  <c r="A383" i="12"/>
  <c r="D382" i="12"/>
  <c r="A382" i="12"/>
  <c r="D381" i="12"/>
  <c r="A381" i="12"/>
  <c r="D380" i="12"/>
  <c r="A380" i="12"/>
  <c r="D379" i="12"/>
  <c r="A379" i="12"/>
  <c r="D378" i="12"/>
  <c r="A378" i="12"/>
  <c r="D377" i="12"/>
  <c r="A377" i="12"/>
  <c r="D376" i="12"/>
  <c r="A376" i="12"/>
  <c r="D375" i="12"/>
  <c r="A375" i="12"/>
  <c r="D374" i="12"/>
  <c r="A374" i="12"/>
  <c r="D373" i="12"/>
  <c r="A373" i="12"/>
  <c r="D372" i="12"/>
  <c r="A372" i="12"/>
  <c r="D371" i="12"/>
  <c r="A371" i="12"/>
  <c r="D370" i="12"/>
  <c r="A370" i="12"/>
  <c r="D369" i="12"/>
  <c r="A369" i="12"/>
  <c r="D368" i="12"/>
  <c r="A368" i="12"/>
  <c r="D367" i="12"/>
  <c r="A367" i="12"/>
  <c r="D366" i="12"/>
  <c r="A366" i="12"/>
  <c r="D365" i="12"/>
  <c r="A365" i="12"/>
  <c r="D364" i="12"/>
  <c r="A364" i="12"/>
  <c r="D363" i="12"/>
  <c r="A363" i="12"/>
  <c r="D362" i="12"/>
  <c r="A362" i="12"/>
  <c r="D361" i="12"/>
  <c r="A361" i="12"/>
  <c r="D360" i="12"/>
  <c r="A360" i="12"/>
  <c r="D359" i="12"/>
  <c r="A359" i="12"/>
  <c r="D358" i="12"/>
  <c r="A358" i="12"/>
  <c r="D357" i="12"/>
  <c r="A357" i="12"/>
  <c r="D356" i="12"/>
  <c r="A356" i="12"/>
  <c r="D355" i="12"/>
  <c r="A355" i="12"/>
  <c r="D354" i="12"/>
  <c r="A354" i="12"/>
  <c r="D353" i="12"/>
  <c r="A353" i="12"/>
  <c r="D352" i="12"/>
  <c r="A352" i="12"/>
  <c r="D351" i="12"/>
  <c r="A351" i="12"/>
  <c r="D350" i="12"/>
  <c r="A350" i="12"/>
  <c r="D349" i="12"/>
  <c r="A349" i="12"/>
  <c r="D348" i="12"/>
  <c r="A348" i="12"/>
  <c r="D347" i="12"/>
  <c r="A347" i="12"/>
  <c r="D346" i="12"/>
  <c r="A346" i="12"/>
  <c r="D345" i="12"/>
  <c r="A345" i="12"/>
  <c r="D344" i="12"/>
  <c r="A344" i="12"/>
  <c r="D343" i="12"/>
  <c r="A343" i="12"/>
  <c r="D342" i="12"/>
  <c r="A342" i="12"/>
  <c r="D341" i="12"/>
  <c r="A341" i="12"/>
  <c r="D340" i="12"/>
  <c r="A340" i="12"/>
  <c r="D339" i="12"/>
  <c r="A339" i="12"/>
  <c r="D338" i="12"/>
  <c r="A338" i="12"/>
  <c r="D337" i="12"/>
  <c r="A337" i="12"/>
  <c r="D336" i="12"/>
  <c r="A336" i="12"/>
  <c r="D335" i="12"/>
  <c r="A335" i="12"/>
  <c r="D334" i="12"/>
  <c r="A334" i="12"/>
  <c r="D333" i="12"/>
  <c r="A333" i="12"/>
  <c r="D332" i="12"/>
  <c r="A332" i="12"/>
  <c r="D331" i="12"/>
  <c r="A331" i="12"/>
  <c r="D330" i="12"/>
  <c r="A330" i="12"/>
  <c r="D329" i="12"/>
  <c r="A329" i="12"/>
  <c r="D328" i="12"/>
  <c r="A328" i="12"/>
  <c r="D327" i="12"/>
  <c r="A327" i="12"/>
  <c r="D326" i="12"/>
  <c r="A326" i="12"/>
  <c r="D325" i="12"/>
  <c r="A325" i="12"/>
  <c r="D324" i="12"/>
  <c r="A324" i="12"/>
  <c r="D323" i="12"/>
  <c r="A323" i="12"/>
  <c r="D322" i="12"/>
  <c r="A322" i="12"/>
  <c r="D321" i="12"/>
  <c r="A321" i="12"/>
  <c r="D320" i="12"/>
  <c r="A320" i="12"/>
  <c r="D319" i="12"/>
  <c r="A319" i="12"/>
  <c r="D318" i="12"/>
  <c r="A318" i="12"/>
  <c r="D317" i="12"/>
  <c r="A317" i="12"/>
  <c r="D316" i="12"/>
  <c r="A316" i="12"/>
  <c r="D315" i="12"/>
  <c r="A315" i="12"/>
  <c r="D314" i="12"/>
  <c r="A314" i="12"/>
  <c r="D313" i="12"/>
  <c r="A313" i="12"/>
  <c r="D312" i="12"/>
  <c r="A312" i="12"/>
  <c r="D311" i="12"/>
  <c r="A311" i="12"/>
  <c r="D310" i="12"/>
  <c r="A310" i="12"/>
  <c r="D309" i="12"/>
  <c r="A309" i="12"/>
  <c r="D308" i="12"/>
  <c r="A308" i="12"/>
  <c r="D307" i="12"/>
  <c r="A307" i="12"/>
  <c r="D306" i="12"/>
  <c r="A306" i="12"/>
  <c r="D305" i="12"/>
  <c r="A305" i="12"/>
  <c r="D304" i="12"/>
  <c r="A304" i="12"/>
  <c r="D303" i="12"/>
  <c r="A303" i="12"/>
  <c r="D302" i="12"/>
  <c r="A302" i="12"/>
  <c r="D301" i="12"/>
  <c r="A301" i="12"/>
  <c r="D300" i="12"/>
  <c r="A300" i="12"/>
  <c r="D299" i="12"/>
  <c r="A299" i="12"/>
  <c r="D298" i="12"/>
  <c r="A298" i="12"/>
  <c r="D297" i="12"/>
  <c r="A297" i="12"/>
  <c r="D296" i="12"/>
  <c r="A296" i="12"/>
  <c r="D295" i="12"/>
  <c r="A295" i="12"/>
  <c r="D294" i="12"/>
  <c r="A294" i="12"/>
  <c r="D293" i="12"/>
  <c r="A293" i="12"/>
  <c r="D292" i="12"/>
  <c r="A292" i="12"/>
  <c r="D291" i="12"/>
  <c r="A291" i="12"/>
  <c r="D290" i="12"/>
  <c r="A290" i="12"/>
  <c r="D289" i="12"/>
  <c r="A289" i="12"/>
  <c r="D288" i="12"/>
  <c r="A288" i="12"/>
  <c r="D287" i="12"/>
  <c r="A287" i="12"/>
  <c r="D286" i="12"/>
  <c r="A286" i="12"/>
  <c r="D285" i="12"/>
  <c r="A285" i="12"/>
  <c r="D284" i="12"/>
  <c r="A284" i="12"/>
  <c r="D283" i="12"/>
  <c r="A283" i="12"/>
  <c r="D282" i="12"/>
  <c r="A282" i="12"/>
  <c r="D281" i="12"/>
  <c r="A281" i="12"/>
  <c r="D280" i="12"/>
  <c r="A280" i="12"/>
  <c r="D279" i="12"/>
  <c r="A279" i="12"/>
  <c r="D278" i="12"/>
  <c r="A278" i="12"/>
  <c r="D277" i="12"/>
  <c r="A277" i="12"/>
  <c r="D276" i="12"/>
  <c r="A276" i="12"/>
  <c r="D275" i="12"/>
  <c r="A275" i="12"/>
  <c r="D274" i="12"/>
  <c r="A274" i="12"/>
  <c r="D273" i="12"/>
  <c r="A273" i="12"/>
  <c r="D272" i="12"/>
  <c r="A272" i="12"/>
  <c r="D271" i="12"/>
  <c r="A271" i="12"/>
  <c r="D270" i="12"/>
  <c r="A270" i="12"/>
  <c r="D269" i="12"/>
  <c r="A269" i="12"/>
  <c r="D268" i="12"/>
  <c r="A268" i="12"/>
  <c r="D267" i="12"/>
  <c r="A267" i="12"/>
  <c r="D266" i="12"/>
  <c r="A266" i="12"/>
  <c r="D265" i="12"/>
  <c r="A265" i="12"/>
  <c r="D264" i="12"/>
  <c r="A264" i="12"/>
  <c r="D263" i="12"/>
  <c r="A263" i="12"/>
  <c r="D262" i="12"/>
  <c r="A262" i="12"/>
  <c r="D261" i="12"/>
  <c r="A261" i="12"/>
  <c r="D260" i="12"/>
  <c r="A260" i="12"/>
  <c r="D259" i="12"/>
  <c r="A259" i="12"/>
  <c r="D258" i="12"/>
  <c r="A258" i="12"/>
  <c r="D257" i="12"/>
  <c r="A257" i="12"/>
  <c r="D256" i="12"/>
  <c r="A256" i="12"/>
  <c r="D255" i="12"/>
  <c r="A255" i="12"/>
  <c r="D254" i="12"/>
  <c r="A254" i="12"/>
  <c r="D253" i="12"/>
  <c r="A253" i="12"/>
  <c r="D252" i="12"/>
  <c r="A252" i="12"/>
  <c r="D251" i="12"/>
  <c r="A251" i="12"/>
  <c r="D250" i="12"/>
  <c r="A250" i="12"/>
  <c r="D249" i="12"/>
  <c r="A249" i="12"/>
  <c r="D248" i="12"/>
  <c r="A248" i="12"/>
  <c r="D247" i="12"/>
  <c r="A247" i="12"/>
  <c r="D246" i="12"/>
  <c r="A246" i="12"/>
  <c r="D245" i="12"/>
  <c r="A245" i="12"/>
  <c r="D244" i="12"/>
  <c r="A244" i="12"/>
  <c r="D243" i="12"/>
  <c r="A243" i="12"/>
  <c r="D242" i="12"/>
  <c r="A242" i="12"/>
  <c r="D241" i="12"/>
  <c r="A241" i="12"/>
  <c r="D240" i="12"/>
  <c r="A240" i="12"/>
  <c r="D239" i="12"/>
  <c r="A239" i="12"/>
  <c r="D238" i="12"/>
  <c r="A238" i="12"/>
  <c r="D237" i="12"/>
  <c r="A237" i="12"/>
  <c r="D236" i="12"/>
  <c r="A236" i="12"/>
  <c r="D235" i="12"/>
  <c r="A235" i="12"/>
  <c r="D234" i="12"/>
  <c r="A234" i="12"/>
  <c r="D233" i="12"/>
  <c r="A233" i="12"/>
  <c r="D232" i="12"/>
  <c r="A232" i="12"/>
  <c r="D231" i="12"/>
  <c r="A231" i="12"/>
  <c r="D230" i="12"/>
  <c r="A230" i="12"/>
  <c r="D229" i="12"/>
  <c r="A229" i="12"/>
  <c r="D228" i="12"/>
  <c r="A228" i="12"/>
  <c r="D227" i="12"/>
  <c r="A227" i="12"/>
  <c r="D226" i="12"/>
  <c r="A226" i="12"/>
  <c r="D225" i="12"/>
  <c r="A225" i="12"/>
  <c r="D224" i="12"/>
  <c r="A224" i="12"/>
  <c r="D223" i="12"/>
  <c r="A223" i="12"/>
  <c r="D222" i="12"/>
  <c r="A222" i="12"/>
  <c r="D221" i="12"/>
  <c r="A221" i="12"/>
  <c r="D220" i="12"/>
  <c r="A220" i="12"/>
  <c r="D219" i="12"/>
  <c r="A219" i="12"/>
  <c r="D218" i="12"/>
  <c r="A218" i="12"/>
  <c r="D217" i="12"/>
  <c r="A217" i="12"/>
  <c r="D216" i="12"/>
  <c r="A216" i="12"/>
  <c r="D215" i="12"/>
  <c r="A215" i="12"/>
  <c r="D214" i="12"/>
  <c r="A214" i="12"/>
  <c r="D213" i="12"/>
  <c r="A213" i="12"/>
  <c r="D212" i="12"/>
  <c r="A212" i="12"/>
  <c r="D211" i="12"/>
  <c r="A211" i="12"/>
  <c r="D210" i="12"/>
  <c r="A210" i="12"/>
  <c r="D209" i="12"/>
  <c r="A209" i="12"/>
  <c r="D208" i="12"/>
  <c r="A208" i="12"/>
  <c r="D207" i="12"/>
  <c r="A207" i="12"/>
  <c r="D206" i="12"/>
  <c r="A206" i="12"/>
  <c r="D205" i="12"/>
  <c r="A205" i="12"/>
  <c r="D204" i="12"/>
  <c r="A204" i="12"/>
  <c r="D203" i="12"/>
  <c r="A203" i="12"/>
  <c r="D202" i="12"/>
  <c r="A202" i="12"/>
  <c r="D201" i="12"/>
  <c r="A201" i="12"/>
  <c r="D200" i="12"/>
  <c r="A200" i="12"/>
  <c r="D199" i="12"/>
  <c r="A199" i="12"/>
  <c r="D198" i="12"/>
  <c r="A198" i="12"/>
  <c r="D197" i="12"/>
  <c r="A197" i="12"/>
  <c r="D196" i="12"/>
  <c r="A196" i="12"/>
  <c r="D195" i="12"/>
  <c r="A195" i="12"/>
  <c r="D194" i="12"/>
  <c r="A194" i="12"/>
  <c r="D193" i="12"/>
  <c r="A193" i="12"/>
  <c r="D192" i="12"/>
  <c r="A192" i="12"/>
  <c r="D191" i="12"/>
  <c r="A191" i="12"/>
  <c r="D190" i="12"/>
  <c r="A190" i="12"/>
  <c r="D189" i="12"/>
  <c r="A189" i="12"/>
  <c r="D188" i="12"/>
  <c r="A188" i="12"/>
  <c r="D187" i="12"/>
  <c r="A187" i="12"/>
  <c r="D186" i="12"/>
  <c r="A186" i="12"/>
  <c r="D185" i="12"/>
  <c r="A185" i="12"/>
  <c r="D184" i="12"/>
  <c r="A184" i="12"/>
  <c r="D183" i="12"/>
  <c r="A183" i="12"/>
  <c r="D182" i="12"/>
  <c r="A182" i="12"/>
  <c r="D181" i="12"/>
  <c r="A181" i="12"/>
  <c r="D180" i="12"/>
  <c r="A180" i="12"/>
  <c r="D179" i="12"/>
  <c r="A179" i="12"/>
  <c r="D178" i="12"/>
  <c r="A178" i="12"/>
  <c r="D177" i="12"/>
  <c r="A177" i="12"/>
  <c r="D176" i="12"/>
  <c r="A176" i="12"/>
  <c r="D175" i="12"/>
  <c r="A175" i="12"/>
  <c r="D174" i="12"/>
  <c r="A174" i="12"/>
  <c r="D173" i="12"/>
  <c r="A173" i="12"/>
  <c r="D172" i="12"/>
  <c r="A172" i="12"/>
  <c r="D171" i="12"/>
  <c r="A171" i="12"/>
  <c r="D170" i="12"/>
  <c r="A170" i="12"/>
  <c r="D169" i="12"/>
  <c r="A169" i="12"/>
  <c r="D168" i="12"/>
  <c r="A168" i="12"/>
  <c r="D167" i="12"/>
  <c r="A167" i="12"/>
  <c r="D166" i="12"/>
  <c r="A166" i="12"/>
  <c r="D165" i="12"/>
  <c r="A165" i="12"/>
  <c r="D164" i="12"/>
  <c r="A164" i="12"/>
  <c r="D163" i="12"/>
  <c r="A163" i="12"/>
  <c r="D162" i="12"/>
  <c r="A162" i="12"/>
  <c r="D161" i="12"/>
  <c r="A161" i="12"/>
  <c r="D160" i="12"/>
  <c r="D159" i="12"/>
  <c r="A159" i="12"/>
  <c r="D158" i="12"/>
  <c r="A158" i="12"/>
  <c r="D157" i="12"/>
  <c r="A157" i="12"/>
  <c r="D156" i="12"/>
  <c r="A156" i="12"/>
  <c r="D155" i="12"/>
  <c r="A155" i="12"/>
  <c r="D154" i="12"/>
  <c r="A154" i="12"/>
  <c r="D153" i="12"/>
  <c r="A153" i="12"/>
  <c r="D152" i="12"/>
  <c r="A152" i="12"/>
  <c r="D151" i="12"/>
  <c r="A151" i="12"/>
  <c r="D150" i="12"/>
  <c r="A150" i="12"/>
  <c r="D149" i="12"/>
  <c r="A149" i="12"/>
  <c r="D148" i="12"/>
  <c r="A148" i="12"/>
  <c r="D147" i="12"/>
  <c r="A147" i="12"/>
  <c r="D146" i="12"/>
  <c r="A146" i="12"/>
  <c r="D145" i="12"/>
  <c r="A145" i="12"/>
  <c r="D144" i="12"/>
  <c r="A144" i="12"/>
  <c r="D143" i="12"/>
  <c r="A143" i="12"/>
  <c r="D142" i="12"/>
  <c r="A142" i="12"/>
  <c r="D141" i="12"/>
  <c r="A141" i="12"/>
  <c r="D140" i="12"/>
  <c r="A140" i="12"/>
  <c r="D139" i="12"/>
  <c r="A139" i="12"/>
  <c r="D138" i="12"/>
  <c r="A138" i="12"/>
  <c r="D137" i="12"/>
  <c r="A137" i="12"/>
  <c r="D136" i="12"/>
  <c r="A136" i="12"/>
  <c r="D135" i="12"/>
  <c r="A135" i="12"/>
  <c r="D134" i="12"/>
  <c r="A134" i="12"/>
  <c r="D133" i="12"/>
  <c r="A133" i="12"/>
  <c r="D132" i="12"/>
  <c r="A132" i="12"/>
  <c r="D131" i="12"/>
  <c r="A131" i="12"/>
  <c r="D130" i="12"/>
  <c r="A130" i="12"/>
  <c r="D129" i="12"/>
  <c r="A129" i="12"/>
  <c r="D128" i="12"/>
  <c r="A128" i="12"/>
  <c r="D127" i="12"/>
  <c r="A127" i="12"/>
  <c r="D126" i="12"/>
  <c r="A126" i="12"/>
  <c r="D125" i="12"/>
  <c r="A125" i="12"/>
  <c r="D124" i="12"/>
  <c r="A124" i="12"/>
  <c r="D123" i="12"/>
  <c r="A123" i="12"/>
  <c r="D122" i="12"/>
  <c r="A122" i="12"/>
  <c r="D121" i="12"/>
  <c r="A121" i="12"/>
  <c r="D120" i="12"/>
  <c r="A120" i="12"/>
  <c r="D119" i="12"/>
  <c r="A119" i="12"/>
  <c r="D118" i="12"/>
  <c r="A118" i="12"/>
  <c r="D117" i="12"/>
  <c r="A117" i="12"/>
  <c r="D116" i="12"/>
  <c r="A116" i="12"/>
  <c r="D115" i="12"/>
  <c r="A115" i="12"/>
  <c r="D114" i="12"/>
  <c r="A114" i="12"/>
  <c r="D113" i="12"/>
  <c r="A113" i="12"/>
  <c r="D112" i="12"/>
  <c r="A112" i="12"/>
  <c r="D111" i="12"/>
  <c r="A111" i="12"/>
  <c r="D110" i="12"/>
  <c r="A110" i="12"/>
  <c r="D109" i="12"/>
  <c r="A109" i="12"/>
  <c r="D108" i="12"/>
  <c r="A108" i="12"/>
  <c r="D107" i="12"/>
  <c r="A107" i="12"/>
  <c r="D106" i="12"/>
  <c r="A106" i="12"/>
  <c r="D105" i="12"/>
  <c r="A105" i="12"/>
  <c r="D104" i="12"/>
  <c r="A104" i="12"/>
  <c r="D103" i="12"/>
  <c r="A103" i="12"/>
  <c r="D102" i="12"/>
  <c r="A102" i="12"/>
  <c r="D101" i="12"/>
  <c r="A101" i="12"/>
  <c r="D100" i="12"/>
  <c r="A100" i="12"/>
  <c r="D99" i="12"/>
  <c r="A99" i="12"/>
  <c r="D98" i="12"/>
  <c r="A98" i="12"/>
  <c r="D97" i="12"/>
  <c r="A97" i="12"/>
  <c r="D96" i="12"/>
  <c r="A96" i="12"/>
  <c r="D95" i="12"/>
  <c r="A95" i="12"/>
  <c r="D94" i="12"/>
  <c r="A94" i="12"/>
  <c r="D93" i="12"/>
  <c r="A93" i="12"/>
  <c r="D92" i="12"/>
  <c r="A92" i="12"/>
  <c r="D91" i="12"/>
  <c r="A91" i="12"/>
  <c r="D90" i="12"/>
  <c r="A90" i="12"/>
  <c r="D89" i="12"/>
  <c r="A89" i="12"/>
  <c r="D88" i="12"/>
  <c r="A88" i="12"/>
  <c r="D87" i="12"/>
  <c r="A87" i="12"/>
  <c r="D86" i="12"/>
  <c r="A86" i="12"/>
  <c r="D85" i="12"/>
  <c r="A85" i="12"/>
  <c r="D84" i="12"/>
  <c r="A84" i="12"/>
  <c r="D83" i="12"/>
  <c r="A83" i="12"/>
  <c r="D82" i="12"/>
  <c r="A82" i="12"/>
  <c r="D81" i="12"/>
  <c r="A81" i="12"/>
  <c r="D80" i="12"/>
  <c r="A80" i="12"/>
  <c r="D79" i="12"/>
  <c r="A79" i="12"/>
  <c r="D78" i="12"/>
  <c r="A78" i="12"/>
  <c r="D77" i="12"/>
  <c r="A77" i="12"/>
  <c r="D76" i="12"/>
  <c r="A76" i="12"/>
  <c r="D75" i="12"/>
  <c r="A75" i="12"/>
  <c r="D74" i="12"/>
  <c r="A74" i="12"/>
  <c r="D73" i="12"/>
  <c r="A73" i="12"/>
  <c r="D72" i="12"/>
  <c r="A72" i="12"/>
  <c r="D71" i="12"/>
  <c r="A71" i="12"/>
  <c r="D70" i="12"/>
  <c r="A70" i="12"/>
  <c r="D69" i="12"/>
  <c r="A69" i="12"/>
  <c r="D68" i="12"/>
  <c r="A68" i="12"/>
  <c r="D67" i="12"/>
  <c r="A67" i="12"/>
  <c r="D66" i="12"/>
  <c r="A66" i="12"/>
  <c r="D65" i="12"/>
  <c r="A65" i="12"/>
  <c r="D64" i="12"/>
  <c r="A64" i="12"/>
  <c r="D63" i="12"/>
  <c r="A63" i="12"/>
  <c r="D62" i="12"/>
  <c r="A62" i="12"/>
  <c r="D61" i="12"/>
  <c r="A61" i="12"/>
  <c r="D60" i="12"/>
  <c r="A60" i="12"/>
  <c r="D59" i="12"/>
  <c r="A59" i="12"/>
  <c r="D58" i="12"/>
  <c r="A58" i="12"/>
  <c r="D57" i="12"/>
  <c r="A57" i="12"/>
  <c r="D56" i="12"/>
  <c r="A56" i="12"/>
  <c r="D55" i="12"/>
  <c r="A55" i="12"/>
  <c r="D54" i="12"/>
  <c r="A54" i="12"/>
  <c r="D53" i="12"/>
  <c r="A53" i="12"/>
  <c r="D52" i="12"/>
  <c r="A52" i="12"/>
  <c r="D51" i="12"/>
  <c r="A51" i="12"/>
  <c r="D50" i="12"/>
  <c r="A50" i="12"/>
  <c r="D49" i="12"/>
  <c r="A49" i="12"/>
  <c r="D48" i="12"/>
  <c r="A48" i="12"/>
  <c r="D47" i="12"/>
  <c r="A47" i="12"/>
  <c r="D46" i="12"/>
  <c r="A46" i="12"/>
  <c r="D45" i="12"/>
  <c r="A45" i="12"/>
  <c r="D44" i="12"/>
  <c r="A44" i="12"/>
  <c r="D43" i="12"/>
  <c r="A43" i="12"/>
  <c r="D42" i="12"/>
  <c r="A42" i="12"/>
  <c r="D41" i="12"/>
  <c r="A41" i="12"/>
  <c r="D40" i="12"/>
  <c r="A40" i="12"/>
  <c r="D39" i="12"/>
  <c r="A39" i="12"/>
  <c r="D38" i="12"/>
  <c r="A38" i="12"/>
  <c r="D37" i="12"/>
  <c r="A37" i="12"/>
  <c r="D36" i="12"/>
  <c r="A36" i="12"/>
  <c r="D35" i="12"/>
  <c r="A35" i="12"/>
  <c r="D34" i="12"/>
  <c r="A34" i="12"/>
  <c r="D33" i="12"/>
  <c r="A33" i="12"/>
  <c r="D32" i="12"/>
  <c r="A32" i="12"/>
  <c r="D31" i="12"/>
  <c r="A31" i="12"/>
  <c r="D30" i="12"/>
  <c r="A30" i="12"/>
  <c r="D29" i="12"/>
  <c r="A29" i="12"/>
  <c r="D28" i="12"/>
  <c r="A28" i="12"/>
  <c r="D27" i="12"/>
  <c r="A27" i="12"/>
  <c r="D26" i="12"/>
  <c r="A26" i="12"/>
  <c r="D25" i="12"/>
  <c r="A25" i="12"/>
  <c r="D24" i="12"/>
  <c r="A24" i="12"/>
  <c r="D23" i="12"/>
  <c r="A23" i="12"/>
  <c r="D22" i="12"/>
  <c r="A22" i="12"/>
  <c r="D21" i="12"/>
  <c r="A21" i="12"/>
  <c r="D20" i="12"/>
  <c r="A20" i="12"/>
  <c r="D19" i="12"/>
  <c r="A19" i="12"/>
  <c r="D18" i="12"/>
  <c r="A18" i="12"/>
  <c r="D17" i="12"/>
  <c r="A17" i="12"/>
  <c r="D16" i="12"/>
  <c r="A16" i="12"/>
  <c r="D15" i="12"/>
  <c r="A15" i="12"/>
  <c r="D14" i="12"/>
  <c r="A14" i="12"/>
  <c r="D13" i="12"/>
  <c r="A13" i="12"/>
  <c r="D12" i="12"/>
  <c r="A12" i="12"/>
  <c r="D11" i="12"/>
  <c r="A11" i="12"/>
  <c r="D10" i="12"/>
  <c r="A10" i="12"/>
  <c r="D9" i="12"/>
  <c r="A9" i="12"/>
  <c r="D8" i="12"/>
  <c r="A8" i="12"/>
  <c r="D7" i="12"/>
  <c r="A7" i="12"/>
  <c r="D6" i="12"/>
  <c r="A6" i="12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I257" i="8"/>
  <c r="A257" i="8"/>
  <c r="I256" i="8"/>
  <c r="A256" i="8"/>
  <c r="I255" i="8"/>
  <c r="A255" i="8"/>
  <c r="I254" i="8"/>
  <c r="A254" i="8"/>
  <c r="I253" i="8"/>
  <c r="A253" i="8"/>
  <c r="I252" i="8"/>
  <c r="A252" i="8"/>
  <c r="I251" i="8"/>
  <c r="A251" i="8"/>
  <c r="I250" i="8"/>
  <c r="A250" i="8"/>
  <c r="I249" i="8"/>
  <c r="A249" i="8"/>
  <c r="I248" i="8"/>
  <c r="A248" i="8"/>
  <c r="I247" i="8"/>
  <c r="A247" i="8"/>
  <c r="I246" i="8"/>
  <c r="A246" i="8"/>
  <c r="I245" i="8"/>
  <c r="A245" i="8"/>
  <c r="I244" i="8"/>
  <c r="A244" i="8"/>
  <c r="I243" i="8"/>
  <c r="A243" i="8"/>
  <c r="I242" i="8"/>
  <c r="A242" i="8"/>
  <c r="I241" i="8"/>
  <c r="A241" i="8"/>
  <c r="I240" i="8"/>
  <c r="A240" i="8"/>
  <c r="I239" i="8"/>
  <c r="A239" i="8"/>
  <c r="I238" i="8"/>
  <c r="A238" i="8"/>
  <c r="I237" i="8"/>
  <c r="A237" i="8"/>
  <c r="I236" i="8"/>
  <c r="A236" i="8"/>
  <c r="I235" i="8"/>
  <c r="A235" i="8"/>
  <c r="I234" i="8"/>
  <c r="A234" i="8"/>
  <c r="I233" i="8"/>
  <c r="A233" i="8"/>
  <c r="I232" i="8"/>
  <c r="A232" i="8"/>
  <c r="I231" i="8"/>
  <c r="A231" i="8"/>
  <c r="I230" i="8"/>
  <c r="A230" i="8"/>
  <c r="I229" i="8"/>
  <c r="A229" i="8"/>
  <c r="I228" i="8"/>
  <c r="A228" i="8"/>
  <c r="I227" i="8"/>
  <c r="A227" i="8"/>
  <c r="I226" i="8"/>
  <c r="A226" i="8"/>
  <c r="I225" i="8"/>
  <c r="A225" i="8"/>
  <c r="I224" i="8"/>
  <c r="A224" i="8"/>
  <c r="I223" i="8"/>
  <c r="A223" i="8"/>
  <c r="I222" i="8"/>
  <c r="A222" i="8"/>
  <c r="I221" i="8"/>
  <c r="A221" i="8"/>
  <c r="I220" i="8"/>
  <c r="A220" i="8"/>
  <c r="I219" i="8"/>
  <c r="A219" i="8"/>
  <c r="I218" i="8"/>
  <c r="A218" i="8"/>
  <c r="I217" i="8"/>
  <c r="A217" i="8"/>
  <c r="I216" i="8"/>
  <c r="A216" i="8"/>
  <c r="I215" i="8"/>
  <c r="A215" i="8"/>
  <c r="I214" i="8"/>
  <c r="A214" i="8"/>
  <c r="I213" i="8"/>
  <c r="A213" i="8"/>
  <c r="I212" i="8"/>
  <c r="A212" i="8"/>
  <c r="I211" i="8"/>
  <c r="A211" i="8"/>
  <c r="I210" i="8"/>
  <c r="A210" i="8"/>
  <c r="I209" i="8"/>
  <c r="A209" i="8"/>
  <c r="I208" i="8"/>
  <c r="A208" i="8"/>
  <c r="I207" i="8"/>
  <c r="A207" i="8"/>
  <c r="I206" i="8"/>
  <c r="A206" i="8"/>
  <c r="I205" i="8"/>
  <c r="A205" i="8"/>
  <c r="I204" i="8"/>
  <c r="A204" i="8"/>
  <c r="I203" i="8"/>
  <c r="A203" i="8"/>
  <c r="I202" i="8"/>
  <c r="A202" i="8"/>
  <c r="I201" i="8"/>
  <c r="A201" i="8"/>
  <c r="I200" i="8"/>
  <c r="A200" i="8"/>
  <c r="I199" i="8"/>
  <c r="A199" i="8"/>
  <c r="I198" i="8"/>
  <c r="A198" i="8"/>
  <c r="I197" i="8"/>
  <c r="A197" i="8"/>
  <c r="I196" i="8"/>
  <c r="A196" i="8"/>
  <c r="I195" i="8"/>
  <c r="A195" i="8"/>
  <c r="I194" i="8"/>
  <c r="A194" i="8"/>
  <c r="I193" i="8"/>
  <c r="A193" i="8"/>
  <c r="I192" i="8"/>
  <c r="A192" i="8"/>
  <c r="I191" i="8"/>
  <c r="A191" i="8"/>
  <c r="I190" i="8"/>
  <c r="A190" i="8"/>
  <c r="I189" i="8"/>
  <c r="A189" i="8"/>
  <c r="I188" i="8"/>
  <c r="A188" i="8"/>
  <c r="I187" i="8"/>
  <c r="A187" i="8"/>
  <c r="I186" i="8"/>
  <c r="A186" i="8"/>
  <c r="I185" i="8"/>
  <c r="A185" i="8"/>
  <c r="I184" i="8"/>
  <c r="A184" i="8"/>
  <c r="I183" i="8"/>
  <c r="A183" i="8"/>
  <c r="I182" i="8"/>
  <c r="A182" i="8"/>
  <c r="I181" i="8"/>
  <c r="A181" i="8"/>
  <c r="I180" i="8"/>
  <c r="A180" i="8"/>
  <c r="I179" i="8"/>
  <c r="A179" i="8"/>
  <c r="I178" i="8"/>
  <c r="A178" i="8"/>
  <c r="I177" i="8"/>
  <c r="A177" i="8"/>
  <c r="I176" i="8"/>
  <c r="A176" i="8"/>
  <c r="I175" i="8"/>
  <c r="A175" i="8"/>
  <c r="I174" i="8"/>
  <c r="A174" i="8"/>
  <c r="I173" i="8"/>
  <c r="A173" i="8"/>
  <c r="I172" i="8"/>
  <c r="A172" i="8"/>
  <c r="I171" i="8"/>
  <c r="A171" i="8"/>
  <c r="I170" i="8"/>
  <c r="A170" i="8"/>
  <c r="I169" i="8"/>
  <c r="A169" i="8"/>
  <c r="I168" i="8"/>
  <c r="A168" i="8"/>
  <c r="I167" i="8"/>
  <c r="A167" i="8"/>
  <c r="I166" i="8"/>
  <c r="A166" i="8"/>
  <c r="I165" i="8"/>
  <c r="A165" i="8"/>
  <c r="I164" i="8"/>
  <c r="A164" i="8"/>
  <c r="I163" i="8"/>
  <c r="A163" i="8"/>
  <c r="I162" i="8"/>
  <c r="A162" i="8"/>
  <c r="I161" i="8"/>
  <c r="A161" i="8"/>
  <c r="I160" i="8"/>
  <c r="A160" i="8"/>
  <c r="I159" i="8"/>
  <c r="A159" i="8"/>
  <c r="I158" i="8"/>
  <c r="A158" i="8"/>
  <c r="I157" i="8"/>
  <c r="A157" i="8"/>
  <c r="I156" i="8"/>
  <c r="A156" i="8"/>
  <c r="I155" i="8"/>
  <c r="A155" i="8"/>
  <c r="I154" i="8"/>
  <c r="A154" i="8"/>
  <c r="I153" i="8"/>
  <c r="A153" i="8"/>
  <c r="I152" i="8"/>
  <c r="A152" i="8"/>
  <c r="I151" i="8"/>
  <c r="A151" i="8"/>
  <c r="I150" i="8"/>
  <c r="A150" i="8"/>
  <c r="I149" i="8"/>
  <c r="A149" i="8"/>
  <c r="I148" i="8"/>
  <c r="A148" i="8"/>
  <c r="I147" i="8"/>
  <c r="A147" i="8"/>
  <c r="I146" i="8"/>
  <c r="A146" i="8"/>
  <c r="I145" i="8"/>
  <c r="A145" i="8"/>
  <c r="I144" i="8"/>
  <c r="A144" i="8"/>
  <c r="A1" i="8"/>
  <c r="N164" i="15"/>
  <c r="N163" i="15"/>
  <c r="AA129" i="15"/>
  <c r="Y129" i="15"/>
  <c r="G129" i="15"/>
  <c r="V128" i="15"/>
  <c r="U128" i="15"/>
  <c r="T128" i="15"/>
  <c r="S128" i="15"/>
  <c r="Q128" i="15"/>
  <c r="P128" i="15"/>
  <c r="O128" i="15"/>
  <c r="N128" i="15"/>
  <c r="M128" i="15"/>
  <c r="L128" i="15"/>
  <c r="K128" i="15"/>
  <c r="J128" i="15"/>
  <c r="I128" i="15"/>
  <c r="H128" i="15"/>
  <c r="G128" i="15"/>
  <c r="E128" i="15"/>
  <c r="C128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I127" i="15"/>
  <c r="H127" i="15"/>
  <c r="G127" i="15"/>
  <c r="E127" i="15"/>
  <c r="C127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E126" i="15"/>
  <c r="C126" i="15"/>
  <c r="G125" i="15"/>
  <c r="V124" i="15"/>
  <c r="U124" i="15"/>
  <c r="S124" i="15"/>
  <c r="Q124" i="15"/>
  <c r="P124" i="15"/>
  <c r="O124" i="15"/>
  <c r="M124" i="15"/>
  <c r="L124" i="15"/>
  <c r="K124" i="15"/>
  <c r="J124" i="15"/>
  <c r="I124" i="15"/>
  <c r="G124" i="15"/>
  <c r="E124" i="15"/>
  <c r="C124" i="15"/>
  <c r="G123" i="15"/>
  <c r="E123" i="15"/>
  <c r="C123" i="15"/>
  <c r="G122" i="15"/>
  <c r="E122" i="15"/>
  <c r="C122" i="15"/>
  <c r="G121" i="15"/>
  <c r="E121" i="15"/>
  <c r="C121" i="15"/>
  <c r="V57" i="15"/>
  <c r="U57" i="15"/>
  <c r="S57" i="15"/>
  <c r="Q57" i="15"/>
  <c r="P57" i="15"/>
  <c r="O57" i="15"/>
  <c r="M57" i="15"/>
  <c r="L57" i="15"/>
  <c r="K57" i="15"/>
  <c r="J57" i="15"/>
  <c r="I57" i="15"/>
  <c r="H57" i="15"/>
  <c r="G57" i="15"/>
  <c r="E57" i="15"/>
  <c r="C57" i="15"/>
  <c r="V56" i="15"/>
  <c r="U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E56" i="15"/>
  <c r="C56" i="15"/>
  <c r="V55" i="15"/>
  <c r="U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E55" i="15"/>
  <c r="C55" i="15"/>
  <c r="V54" i="15"/>
  <c r="U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E54" i="15"/>
  <c r="C54" i="15"/>
  <c r="V53" i="15"/>
  <c r="U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E53" i="15"/>
  <c r="C53" i="15"/>
  <c r="V51" i="15"/>
  <c r="U51" i="15"/>
  <c r="V50" i="15"/>
  <c r="U50" i="15"/>
  <c r="V49" i="15"/>
  <c r="U49" i="15"/>
  <c r="V48" i="15"/>
  <c r="U48" i="15"/>
  <c r="V47" i="15"/>
  <c r="U47" i="15"/>
  <c r="V46" i="15"/>
  <c r="U46" i="15"/>
  <c r="V44" i="15"/>
  <c r="U44" i="15"/>
  <c r="S44" i="15"/>
  <c r="Q44" i="15"/>
  <c r="P44" i="15"/>
  <c r="O44" i="15"/>
  <c r="M44" i="15"/>
  <c r="L44" i="15"/>
  <c r="K44" i="15"/>
  <c r="J44" i="15"/>
  <c r="I44" i="15"/>
  <c r="H44" i="15"/>
  <c r="G44" i="15"/>
  <c r="E44" i="15"/>
  <c r="C44" i="15"/>
  <c r="V43" i="15"/>
  <c r="U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E43" i="15"/>
  <c r="C43" i="15"/>
  <c r="V42" i="15"/>
  <c r="U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E42" i="15"/>
  <c r="C42" i="15"/>
  <c r="V41" i="15"/>
  <c r="U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E41" i="15"/>
  <c r="C41" i="15"/>
  <c r="V40" i="15"/>
  <c r="U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E40" i="15"/>
  <c r="C40" i="15"/>
  <c r="V38" i="15"/>
  <c r="U38" i="15"/>
  <c r="S38" i="15"/>
  <c r="Q38" i="15"/>
  <c r="P38" i="15"/>
  <c r="O38" i="15"/>
  <c r="M38" i="15"/>
  <c r="L38" i="15"/>
  <c r="K38" i="15"/>
  <c r="J38" i="15"/>
  <c r="I38" i="15"/>
  <c r="H38" i="15"/>
  <c r="G38" i="15"/>
  <c r="E38" i="15"/>
  <c r="C38" i="15"/>
  <c r="V37" i="15"/>
  <c r="U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E37" i="15"/>
  <c r="C37" i="15"/>
  <c r="V36" i="15"/>
  <c r="U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E36" i="15"/>
  <c r="C36" i="15"/>
  <c r="V35" i="15"/>
  <c r="U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E35" i="15"/>
  <c r="C35" i="15"/>
  <c r="V34" i="15"/>
  <c r="U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E34" i="15"/>
  <c r="C34" i="15"/>
  <c r="V32" i="15"/>
  <c r="U32" i="15"/>
  <c r="G32" i="15"/>
  <c r="V29" i="15"/>
  <c r="U29" i="15"/>
  <c r="V28" i="15"/>
  <c r="U28" i="15"/>
  <c r="V27" i="15"/>
  <c r="U27" i="15"/>
  <c r="V26" i="15"/>
  <c r="U26" i="15"/>
  <c r="V24" i="15"/>
  <c r="U24" i="15"/>
  <c r="S24" i="15"/>
  <c r="Q24" i="15"/>
  <c r="P24" i="15"/>
  <c r="O24" i="15"/>
  <c r="M24" i="15"/>
  <c r="L24" i="15"/>
  <c r="K24" i="15"/>
  <c r="J24" i="15"/>
  <c r="I24" i="15"/>
  <c r="H24" i="15"/>
  <c r="G24" i="15"/>
  <c r="E24" i="15"/>
  <c r="C24" i="15"/>
  <c r="V23" i="15"/>
  <c r="U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E23" i="15"/>
  <c r="C23" i="15"/>
  <c r="V22" i="15"/>
  <c r="U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E22" i="15"/>
  <c r="C22" i="15"/>
  <c r="V21" i="15"/>
  <c r="U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E21" i="15"/>
  <c r="C21" i="15"/>
  <c r="V20" i="15"/>
  <c r="U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E20" i="15"/>
  <c r="C20" i="15"/>
  <c r="V18" i="15"/>
  <c r="U18" i="15"/>
  <c r="S18" i="15"/>
  <c r="Q18" i="15"/>
  <c r="P18" i="15"/>
  <c r="O18" i="15"/>
  <c r="M18" i="15"/>
  <c r="L18" i="15"/>
  <c r="K18" i="15"/>
  <c r="J18" i="15"/>
  <c r="I18" i="15"/>
  <c r="G18" i="15"/>
  <c r="E18" i="15"/>
  <c r="C18" i="15"/>
  <c r="V15" i="15"/>
  <c r="U15" i="15"/>
  <c r="V14" i="15"/>
  <c r="U14" i="15"/>
  <c r="AB4" i="15"/>
  <c r="AB3" i="15"/>
  <c r="Z3" i="15"/>
  <c r="N83" i="7"/>
  <c r="N82" i="7"/>
  <c r="N81" i="7"/>
  <c r="E81" i="7"/>
  <c r="C81" i="7"/>
  <c r="N78" i="7"/>
  <c r="N77" i="7"/>
  <c r="N76" i="7"/>
  <c r="N75" i="7"/>
  <c r="N74" i="7"/>
  <c r="C74" i="7"/>
  <c r="N71" i="7"/>
  <c r="N70" i="7"/>
  <c r="N69" i="7"/>
  <c r="N68" i="7"/>
  <c r="E68" i="7"/>
  <c r="E61" i="7"/>
  <c r="C61" i="7"/>
  <c r="P58" i="7"/>
  <c r="O57" i="7"/>
  <c r="N57" i="7"/>
  <c r="L57" i="7"/>
  <c r="J57" i="7"/>
  <c r="I57" i="7"/>
  <c r="E57" i="7"/>
  <c r="C57" i="7"/>
  <c r="N49" i="7"/>
  <c r="N48" i="7"/>
  <c r="N47" i="7"/>
  <c r="E47" i="7"/>
  <c r="C47" i="7"/>
  <c r="O45" i="7"/>
  <c r="M45" i="7"/>
  <c r="E45" i="7"/>
  <c r="C45" i="7"/>
  <c r="O44" i="7"/>
  <c r="M44" i="7"/>
  <c r="E44" i="7"/>
  <c r="C44" i="7"/>
  <c r="E43" i="7"/>
  <c r="C43" i="7"/>
  <c r="E42" i="7"/>
  <c r="C42" i="7"/>
  <c r="E39" i="7"/>
  <c r="C39" i="7"/>
  <c r="E38" i="7"/>
  <c r="C38" i="7"/>
  <c r="E37" i="7"/>
  <c r="C37" i="7"/>
  <c r="E36" i="7"/>
  <c r="C36" i="7"/>
  <c r="N35" i="7"/>
  <c r="N34" i="7"/>
  <c r="N33" i="7"/>
  <c r="N32" i="7"/>
  <c r="O30" i="7"/>
  <c r="E30" i="7"/>
  <c r="P27" i="7"/>
  <c r="M27" i="7"/>
  <c r="E22" i="7"/>
  <c r="E224" i="6"/>
  <c r="C224" i="6"/>
  <c r="E222" i="6"/>
  <c r="C222" i="6"/>
  <c r="E221" i="6"/>
  <c r="C221" i="6"/>
  <c r="E220" i="6"/>
  <c r="C220" i="6"/>
  <c r="E214" i="6"/>
  <c r="C214" i="6"/>
  <c r="Q212" i="6"/>
  <c r="E212" i="6"/>
  <c r="C212" i="6"/>
  <c r="Q211" i="6"/>
  <c r="E211" i="6"/>
  <c r="C211" i="6"/>
  <c r="Q210" i="6"/>
  <c r="E210" i="6"/>
  <c r="C210" i="6"/>
  <c r="Q209" i="6"/>
  <c r="E209" i="6"/>
  <c r="C209" i="6"/>
  <c r="E208" i="6"/>
  <c r="C208" i="6"/>
  <c r="P207" i="6"/>
  <c r="N207" i="6"/>
  <c r="Q206" i="6"/>
  <c r="L206" i="6"/>
  <c r="K206" i="6"/>
  <c r="E206" i="6"/>
  <c r="C206" i="6"/>
  <c r="Q205" i="6"/>
  <c r="O205" i="6"/>
  <c r="M205" i="6"/>
  <c r="L205" i="6"/>
  <c r="K205" i="6"/>
  <c r="E205" i="6"/>
  <c r="C205" i="6"/>
  <c r="Q204" i="6"/>
  <c r="O204" i="6"/>
  <c r="M204" i="6"/>
  <c r="L204" i="6"/>
  <c r="K204" i="6"/>
  <c r="E204" i="6"/>
  <c r="C204" i="6"/>
  <c r="Q203" i="6"/>
  <c r="O203" i="6"/>
  <c r="M203" i="6"/>
  <c r="L203" i="6"/>
  <c r="K203" i="6"/>
  <c r="E203" i="6"/>
  <c r="C203" i="6"/>
  <c r="Q202" i="6"/>
  <c r="O202" i="6"/>
  <c r="M202" i="6"/>
  <c r="L202" i="6"/>
  <c r="K202" i="6"/>
  <c r="E202" i="6"/>
  <c r="C202" i="6"/>
  <c r="C195" i="6"/>
  <c r="P194" i="6"/>
  <c r="N194" i="6"/>
  <c r="Q193" i="6"/>
  <c r="L193" i="6"/>
  <c r="E193" i="6"/>
  <c r="C193" i="6"/>
  <c r="O191" i="6"/>
  <c r="M191" i="6"/>
  <c r="L191" i="6"/>
  <c r="E191" i="6"/>
  <c r="C191" i="6"/>
  <c r="O190" i="6"/>
  <c r="M190" i="6"/>
  <c r="L190" i="6"/>
  <c r="E190" i="6"/>
  <c r="C190" i="6"/>
  <c r="O189" i="6"/>
  <c r="M189" i="6"/>
  <c r="E189" i="6"/>
  <c r="C189" i="6"/>
  <c r="E181" i="6"/>
  <c r="C181" i="6"/>
  <c r="P180" i="6"/>
  <c r="N180" i="6"/>
  <c r="L179" i="6"/>
  <c r="K179" i="6"/>
  <c r="E179" i="6"/>
  <c r="D179" i="6"/>
  <c r="C179" i="6"/>
  <c r="O178" i="6"/>
  <c r="M178" i="6"/>
  <c r="L178" i="6"/>
  <c r="K178" i="6"/>
  <c r="E178" i="6"/>
  <c r="C178" i="6"/>
  <c r="O177" i="6"/>
  <c r="M177" i="6"/>
  <c r="L177" i="6"/>
  <c r="K177" i="6"/>
  <c r="E177" i="6"/>
  <c r="C177" i="6"/>
  <c r="O176" i="6"/>
  <c r="M176" i="6"/>
  <c r="L176" i="6"/>
  <c r="K176" i="6"/>
  <c r="E176" i="6"/>
  <c r="C176" i="6"/>
  <c r="Q175" i="6"/>
  <c r="O175" i="6"/>
  <c r="M175" i="6"/>
  <c r="L175" i="6"/>
  <c r="K175" i="6"/>
  <c r="E175" i="6"/>
  <c r="C175" i="6"/>
  <c r="C169" i="6"/>
  <c r="E167" i="6"/>
  <c r="C167" i="6"/>
  <c r="C166" i="6"/>
  <c r="C164" i="6"/>
  <c r="C163" i="6"/>
  <c r="C162" i="6"/>
  <c r="P161" i="6"/>
  <c r="Q159" i="6"/>
  <c r="L159" i="6"/>
  <c r="K159" i="6"/>
  <c r="E159" i="6"/>
  <c r="C159" i="6"/>
  <c r="M158" i="6"/>
  <c r="L158" i="6"/>
  <c r="K158" i="6"/>
  <c r="E158" i="6"/>
  <c r="C158" i="6"/>
  <c r="M157" i="6"/>
  <c r="L157" i="6"/>
  <c r="K157" i="6"/>
  <c r="E157" i="6"/>
  <c r="C157" i="6"/>
  <c r="M156" i="6"/>
  <c r="L156" i="6"/>
  <c r="K156" i="6"/>
  <c r="E156" i="6"/>
  <c r="C156" i="6"/>
  <c r="M155" i="6"/>
  <c r="K155" i="6"/>
  <c r="E155" i="6"/>
  <c r="C155" i="6"/>
  <c r="M154" i="6"/>
  <c r="L154" i="6"/>
  <c r="K154" i="6"/>
  <c r="E154" i="6"/>
  <c r="C154" i="6"/>
  <c r="C146" i="6"/>
  <c r="C140" i="6"/>
  <c r="P139" i="6"/>
  <c r="Q138" i="6"/>
  <c r="L138" i="6"/>
  <c r="K138" i="6"/>
  <c r="E138" i="6"/>
  <c r="Q137" i="6"/>
  <c r="M137" i="6"/>
  <c r="L137" i="6"/>
  <c r="K137" i="6"/>
  <c r="C137" i="6"/>
  <c r="Q136" i="6"/>
  <c r="M136" i="6"/>
  <c r="L136" i="6"/>
  <c r="K136" i="6"/>
  <c r="C136" i="6"/>
  <c r="Q135" i="6"/>
  <c r="M135" i="6"/>
  <c r="L135" i="6"/>
  <c r="K135" i="6"/>
  <c r="C135" i="6"/>
  <c r="Q134" i="6"/>
  <c r="M134" i="6"/>
  <c r="L134" i="6"/>
  <c r="K134" i="6"/>
  <c r="C134" i="6"/>
  <c r="Q133" i="6"/>
  <c r="M133" i="6"/>
  <c r="L133" i="6"/>
  <c r="K133" i="6"/>
  <c r="C133" i="6"/>
  <c r="Q132" i="6"/>
  <c r="M132" i="6"/>
  <c r="L132" i="6"/>
  <c r="K132" i="6"/>
  <c r="E132" i="6"/>
  <c r="C132" i="6"/>
  <c r="P131" i="6"/>
  <c r="Q130" i="6"/>
  <c r="M130" i="6"/>
  <c r="L130" i="6"/>
  <c r="E130" i="6"/>
  <c r="C130" i="6"/>
  <c r="Q129" i="6"/>
  <c r="L129" i="6"/>
  <c r="K129" i="6"/>
  <c r="E129" i="6"/>
  <c r="C129" i="6"/>
  <c r="Q128" i="6"/>
  <c r="M128" i="6"/>
  <c r="L128" i="6"/>
  <c r="K128" i="6"/>
  <c r="E128" i="6"/>
  <c r="C128" i="6"/>
  <c r="Q127" i="6"/>
  <c r="M127" i="6"/>
  <c r="L127" i="6"/>
  <c r="K127" i="6"/>
  <c r="E127" i="6"/>
  <c r="C127" i="6"/>
  <c r="Q126" i="6"/>
  <c r="M126" i="6"/>
  <c r="L126" i="6"/>
  <c r="K126" i="6"/>
  <c r="E126" i="6"/>
  <c r="C126" i="6"/>
  <c r="Q125" i="6"/>
  <c r="M125" i="6"/>
  <c r="L125" i="6"/>
  <c r="K125" i="6"/>
  <c r="E125" i="6"/>
  <c r="C125" i="6"/>
  <c r="Q124" i="6"/>
  <c r="M124" i="6"/>
  <c r="L124" i="6"/>
  <c r="K124" i="6"/>
  <c r="E124" i="6"/>
  <c r="C124" i="6"/>
  <c r="Q123" i="6"/>
  <c r="M123" i="6"/>
  <c r="L123" i="6"/>
  <c r="K123" i="6"/>
  <c r="E123" i="6"/>
  <c r="C123" i="6"/>
  <c r="C116" i="6"/>
  <c r="P115" i="6"/>
  <c r="L114" i="6"/>
  <c r="E114" i="6"/>
  <c r="C114" i="6"/>
  <c r="M113" i="6"/>
  <c r="L113" i="6"/>
  <c r="E113" i="6"/>
  <c r="C113" i="6"/>
  <c r="M112" i="6"/>
  <c r="E112" i="6"/>
  <c r="M111" i="6"/>
  <c r="L111" i="6"/>
  <c r="E111" i="6"/>
  <c r="C111" i="6"/>
  <c r="M110" i="6"/>
  <c r="E110" i="6"/>
  <c r="F110" i="6" s="1"/>
  <c r="C110" i="6"/>
  <c r="Q86" i="6"/>
  <c r="Q85" i="6"/>
  <c r="Q84" i="6"/>
  <c r="C83" i="6"/>
  <c r="L81" i="6"/>
  <c r="K81" i="6"/>
  <c r="E81" i="6"/>
  <c r="C81" i="6"/>
  <c r="E80" i="6"/>
  <c r="C80" i="6"/>
  <c r="E79" i="6"/>
  <c r="C79" i="6"/>
  <c r="E78" i="6"/>
  <c r="C78" i="6"/>
  <c r="E77" i="6"/>
  <c r="C77" i="6"/>
  <c r="E76" i="6"/>
  <c r="C76" i="6"/>
  <c r="P75" i="6"/>
  <c r="Q74" i="6"/>
  <c r="E74" i="6"/>
  <c r="C74" i="6"/>
  <c r="Q73" i="6"/>
  <c r="E73" i="6"/>
  <c r="C73" i="6"/>
  <c r="Q72" i="6"/>
  <c r="E72" i="6"/>
  <c r="C72" i="6"/>
  <c r="Q71" i="6"/>
  <c r="E71" i="6"/>
  <c r="C71" i="6"/>
  <c r="Q70" i="6"/>
  <c r="E70" i="6"/>
  <c r="C70" i="6"/>
  <c r="H69" i="6"/>
  <c r="E61" i="6"/>
  <c r="C61" i="6"/>
  <c r="P60" i="6"/>
  <c r="H60" i="6"/>
  <c r="Q59" i="6"/>
  <c r="E58" i="6"/>
  <c r="C58" i="6"/>
  <c r="E57" i="6"/>
  <c r="C57" i="6"/>
  <c r="E56" i="6"/>
  <c r="C56" i="6"/>
  <c r="E55" i="6"/>
  <c r="C55" i="6"/>
  <c r="E54" i="6"/>
  <c r="C54" i="6"/>
  <c r="E52" i="6"/>
  <c r="E51" i="6"/>
  <c r="C51" i="6"/>
  <c r="E50" i="6"/>
  <c r="C50" i="6"/>
  <c r="E49" i="6"/>
  <c r="C49" i="6"/>
  <c r="E48" i="6"/>
  <c r="C48" i="6"/>
  <c r="C40" i="6"/>
  <c r="C33" i="6"/>
  <c r="P32" i="6"/>
  <c r="Q31" i="6"/>
  <c r="Q30" i="6"/>
  <c r="Q29" i="6"/>
  <c r="Q28" i="6"/>
  <c r="Q27" i="6"/>
  <c r="C27" i="6"/>
  <c r="Q26" i="6"/>
  <c r="C26" i="6"/>
  <c r="C25" i="6"/>
  <c r="G255" i="4"/>
  <c r="A223" i="4"/>
  <c r="A71" i="4"/>
  <c r="H59" i="4"/>
  <c r="H58" i="4"/>
  <c r="H57" i="4"/>
  <c r="H56" i="4"/>
  <c r="H55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0" i="4"/>
  <c r="H19" i="4"/>
  <c r="H18" i="4"/>
  <c r="H17" i="4"/>
  <c r="H16" i="4"/>
  <c r="H15" i="4"/>
  <c r="H14" i="4"/>
  <c r="H12" i="4"/>
  <c r="H11" i="4"/>
  <c r="H9" i="4"/>
  <c r="H8" i="4"/>
  <c r="H7" i="4"/>
  <c r="H6" i="4"/>
  <c r="H5" i="4"/>
  <c r="H69" i="4" s="1"/>
  <c r="A5" i="4"/>
  <c r="I2" i="4"/>
  <c r="W1955" i="2"/>
  <c r="X1955" i="2" s="1"/>
  <c r="H1955" i="2"/>
  <c r="W1936" i="2"/>
  <c r="X1936" i="2" s="1"/>
  <c r="M1936" i="2"/>
  <c r="H1936" i="2"/>
  <c r="W1935" i="2"/>
  <c r="X1935" i="2" s="1"/>
  <c r="T1935" i="2"/>
  <c r="R1935" i="2"/>
  <c r="F1935" i="2"/>
  <c r="W1934" i="2"/>
  <c r="X1934" i="2" s="1"/>
  <c r="T1934" i="2"/>
  <c r="R1934" i="2"/>
  <c r="F1934" i="2"/>
  <c r="W1933" i="2"/>
  <c r="X1933" i="2" s="1"/>
  <c r="T1933" i="2"/>
  <c r="R1933" i="2"/>
  <c r="W1932" i="2"/>
  <c r="X1932" i="2" s="1"/>
  <c r="R1932" i="2"/>
  <c r="M1932" i="2" s="1"/>
  <c r="H1932" i="2"/>
  <c r="W1931" i="2"/>
  <c r="X1931" i="2" s="1"/>
  <c r="T1931" i="2"/>
  <c r="R1931" i="2"/>
  <c r="F1931" i="2"/>
  <c r="W1927" i="2"/>
  <c r="X1927" i="2" s="1"/>
  <c r="T1927" i="2"/>
  <c r="R1927" i="2"/>
  <c r="W1926" i="2"/>
  <c r="X1926" i="2" s="1"/>
  <c r="T1926" i="2"/>
  <c r="R1926" i="2"/>
  <c r="W1925" i="2"/>
  <c r="X1925" i="2" s="1"/>
  <c r="T1925" i="2"/>
  <c r="R1925" i="2"/>
  <c r="W1924" i="2"/>
  <c r="X1924" i="2" s="1"/>
  <c r="T1924" i="2"/>
  <c r="R1924" i="2"/>
  <c r="W1923" i="2"/>
  <c r="X1923" i="2" s="1"/>
  <c r="T1923" i="2"/>
  <c r="R1923" i="2"/>
  <c r="W1922" i="2"/>
  <c r="X1922" i="2" s="1"/>
  <c r="T1922" i="2"/>
  <c r="R1922" i="2"/>
  <c r="W1921" i="2"/>
  <c r="X1921" i="2" s="1"/>
  <c r="T1921" i="2"/>
  <c r="R1921" i="2"/>
  <c r="W1919" i="2"/>
  <c r="X1919" i="2" s="1"/>
  <c r="T1919" i="2"/>
  <c r="R1919" i="2"/>
  <c r="W1918" i="2"/>
  <c r="X1918" i="2" s="1"/>
  <c r="R1918" i="2"/>
  <c r="M1918" i="2" s="1"/>
  <c r="H1918" i="2"/>
  <c r="W1917" i="2"/>
  <c r="X1917" i="2" s="1"/>
  <c r="T1917" i="2"/>
  <c r="R1917" i="2"/>
  <c r="F1917" i="2"/>
  <c r="W1916" i="2"/>
  <c r="X1916" i="2" s="1"/>
  <c r="T1916" i="2"/>
  <c r="R1916" i="2"/>
  <c r="F1916" i="2"/>
  <c r="W1915" i="2"/>
  <c r="X1915" i="2" s="1"/>
  <c r="T1915" i="2"/>
  <c r="R1915" i="2"/>
  <c r="W1914" i="2"/>
  <c r="X1914" i="2" s="1"/>
  <c r="T1914" i="2"/>
  <c r="R1914" i="2"/>
  <c r="W1913" i="2"/>
  <c r="X1913" i="2" s="1"/>
  <c r="T1913" i="2"/>
  <c r="R1913" i="2"/>
  <c r="W1912" i="2"/>
  <c r="X1912" i="2" s="1"/>
  <c r="R1912" i="2"/>
  <c r="M1912" i="2" s="1"/>
  <c r="H1912" i="2"/>
  <c r="W1911" i="2"/>
  <c r="X1911" i="2" s="1"/>
  <c r="R1911" i="2"/>
  <c r="F1911" i="2"/>
  <c r="W1910" i="2"/>
  <c r="X1910" i="2" s="1"/>
  <c r="R1910" i="2"/>
  <c r="F1910" i="2"/>
  <c r="W1900" i="2"/>
  <c r="R1900" i="2"/>
  <c r="M1900" i="2" s="1"/>
  <c r="H1900" i="2"/>
  <c r="W1899" i="2"/>
  <c r="X1899" i="2" s="1"/>
  <c r="T1899" i="2"/>
  <c r="R1899" i="2"/>
  <c r="F1899" i="2"/>
  <c r="W1898" i="2"/>
  <c r="X1898" i="2" s="1"/>
  <c r="T1898" i="2"/>
  <c r="R1898" i="2"/>
  <c r="W1885" i="2"/>
  <c r="X1885" i="2" s="1"/>
  <c r="T1885" i="2"/>
  <c r="R1885" i="2"/>
  <c r="W1884" i="2"/>
  <c r="X1884" i="2" s="1"/>
  <c r="T1884" i="2"/>
  <c r="R1884" i="2"/>
  <c r="W1883" i="2"/>
  <c r="X1883" i="2" s="1"/>
  <c r="T1883" i="2"/>
  <c r="R1883" i="2"/>
  <c r="W1882" i="2"/>
  <c r="R1882" i="2"/>
  <c r="M1882" i="2" s="1"/>
  <c r="H1882" i="2"/>
  <c r="W1881" i="2"/>
  <c r="X1881" i="2" s="1"/>
  <c r="T1881" i="2"/>
  <c r="R1881" i="2"/>
  <c r="F1881" i="2"/>
  <c r="W1880" i="2"/>
  <c r="X1880" i="2" s="1"/>
  <c r="T1880" i="2"/>
  <c r="R1880" i="2"/>
  <c r="F1880" i="2"/>
  <c r="W1879" i="2"/>
  <c r="X1879" i="2" s="1"/>
  <c r="T1879" i="2"/>
  <c r="R1879" i="2"/>
  <c r="W1878" i="2"/>
  <c r="X1878" i="2" s="1"/>
  <c r="T1878" i="2"/>
  <c r="R1878" i="2"/>
  <c r="W1877" i="2"/>
  <c r="X1877" i="2" s="1"/>
  <c r="T1877" i="2"/>
  <c r="R1877" i="2"/>
  <c r="W1876" i="2"/>
  <c r="X1876" i="2" s="1"/>
  <c r="R1876" i="2"/>
  <c r="M1876" i="2" s="1"/>
  <c r="H1876" i="2"/>
  <c r="W1875" i="2"/>
  <c r="X1875" i="2" s="1"/>
  <c r="T1875" i="2"/>
  <c r="R1875" i="2"/>
  <c r="F1875" i="2"/>
  <c r="W1874" i="2"/>
  <c r="X1874" i="2" s="1"/>
  <c r="T1874" i="2"/>
  <c r="R1874" i="2"/>
  <c r="F1874" i="2"/>
  <c r="W1873" i="2"/>
  <c r="X1873" i="2" s="1"/>
  <c r="T1873" i="2"/>
  <c r="R1873" i="2"/>
  <c r="W1872" i="2"/>
  <c r="X1872" i="2" s="1"/>
  <c r="T1872" i="2"/>
  <c r="R1872" i="2"/>
  <c r="W1871" i="2"/>
  <c r="X1871" i="2" s="1"/>
  <c r="T1871" i="2"/>
  <c r="R1871" i="2"/>
  <c r="W1870" i="2"/>
  <c r="X1870" i="2" s="1"/>
  <c r="T1870" i="2"/>
  <c r="R1870" i="2"/>
  <c r="W1869" i="2"/>
  <c r="X1869" i="2" s="1"/>
  <c r="T1869" i="2"/>
  <c r="R1869" i="2"/>
  <c r="W1868" i="2"/>
  <c r="R1868" i="2"/>
  <c r="M1868" i="2" s="1"/>
  <c r="H1868" i="2"/>
  <c r="W1867" i="2"/>
  <c r="X1867" i="2" s="1"/>
  <c r="T1867" i="2"/>
  <c r="R1867" i="2"/>
  <c r="F1867" i="2"/>
  <c r="W1866" i="2"/>
  <c r="X1866" i="2" s="1"/>
  <c r="T1866" i="2"/>
  <c r="R1866" i="2"/>
  <c r="F1866" i="2"/>
  <c r="W1865" i="2"/>
  <c r="X1865" i="2" s="1"/>
  <c r="T1865" i="2"/>
  <c r="R1865" i="2"/>
  <c r="F1865" i="2"/>
  <c r="W1864" i="2"/>
  <c r="X1864" i="2" s="1"/>
  <c r="T1864" i="2"/>
  <c r="R1864" i="2"/>
  <c r="W1863" i="2"/>
  <c r="X1863" i="2" s="1"/>
  <c r="T1863" i="2"/>
  <c r="R1863" i="2"/>
  <c r="W1862" i="2"/>
  <c r="X1862" i="2" s="1"/>
  <c r="T1862" i="2"/>
  <c r="R1862" i="2"/>
  <c r="W1861" i="2"/>
  <c r="X1861" i="2" s="1"/>
  <c r="T1861" i="2"/>
  <c r="R1861" i="2"/>
  <c r="W1860" i="2"/>
  <c r="R1860" i="2"/>
  <c r="M1860" i="2" s="1"/>
  <c r="H1860" i="2"/>
  <c r="W1859" i="2"/>
  <c r="X1859" i="2" s="1"/>
  <c r="T1859" i="2"/>
  <c r="R1859" i="2"/>
  <c r="F1859" i="2"/>
  <c r="W1858" i="2"/>
  <c r="X1858" i="2" s="1"/>
  <c r="T1858" i="2"/>
  <c r="R1858" i="2"/>
  <c r="F1858" i="2"/>
  <c r="W1857" i="2"/>
  <c r="X1857" i="2" s="1"/>
  <c r="T1857" i="2"/>
  <c r="R1857" i="2"/>
  <c r="F1857" i="2"/>
  <c r="W1856" i="2"/>
  <c r="X1856" i="2" s="1"/>
  <c r="T1856" i="2"/>
  <c r="R1856" i="2"/>
  <c r="W1855" i="2"/>
  <c r="X1855" i="2" s="1"/>
  <c r="T1855" i="2"/>
  <c r="R1855" i="2"/>
  <c r="W1854" i="2"/>
  <c r="X1854" i="2" s="1"/>
  <c r="T1854" i="2"/>
  <c r="R1854" i="2"/>
  <c r="W1853" i="2"/>
  <c r="X1853" i="2" s="1"/>
  <c r="T1853" i="2"/>
  <c r="R1853" i="2"/>
  <c r="W1852" i="2"/>
  <c r="X1852" i="2" s="1"/>
  <c r="T1852" i="2"/>
  <c r="R1852" i="2"/>
  <c r="W1851" i="2"/>
  <c r="X1851" i="2" s="1"/>
  <c r="R1851" i="2"/>
  <c r="M1851" i="2" s="1"/>
  <c r="H1851" i="2"/>
  <c r="W1850" i="2"/>
  <c r="X1850" i="2" s="1"/>
  <c r="T1850" i="2"/>
  <c r="R1850" i="2"/>
  <c r="F1850" i="2"/>
  <c r="W1848" i="2"/>
  <c r="X1848" i="2" s="1"/>
  <c r="T1848" i="2"/>
  <c r="R1848" i="2"/>
  <c r="W1847" i="2"/>
  <c r="X1847" i="2" s="1"/>
  <c r="T1847" i="2"/>
  <c r="R1847" i="2"/>
  <c r="W1846" i="2"/>
  <c r="X1846" i="2" s="1"/>
  <c r="T1846" i="2"/>
  <c r="R1846" i="2"/>
  <c r="W1845" i="2"/>
  <c r="X1845" i="2" s="1"/>
  <c r="R1845" i="2"/>
  <c r="M1845" i="2" s="1"/>
  <c r="H1845" i="2"/>
  <c r="W1844" i="2"/>
  <c r="X1844" i="2" s="1"/>
  <c r="T1844" i="2"/>
  <c r="R1844" i="2"/>
  <c r="F1844" i="2"/>
  <c r="W1843" i="2"/>
  <c r="X1843" i="2" s="1"/>
  <c r="T1843" i="2"/>
  <c r="R1843" i="2"/>
  <c r="F1843" i="2"/>
  <c r="W1842" i="2"/>
  <c r="X1842" i="2" s="1"/>
  <c r="T1842" i="2"/>
  <c r="R1842" i="2"/>
  <c r="W1841" i="2"/>
  <c r="X1841" i="2" s="1"/>
  <c r="T1841" i="2"/>
  <c r="R1841" i="2"/>
  <c r="W1840" i="2"/>
  <c r="R1840" i="2"/>
  <c r="M1840" i="2" s="1"/>
  <c r="H1840" i="2"/>
  <c r="W1839" i="2"/>
  <c r="X1839" i="2" s="1"/>
  <c r="T1839" i="2"/>
  <c r="R1839" i="2"/>
  <c r="F1839" i="2"/>
  <c r="W1838" i="2"/>
  <c r="X1838" i="2" s="1"/>
  <c r="T1838" i="2"/>
  <c r="R1838" i="2"/>
  <c r="F1838" i="2"/>
  <c r="W1837" i="2"/>
  <c r="X1837" i="2" s="1"/>
  <c r="T1837" i="2"/>
  <c r="R1837" i="2"/>
  <c r="F1837" i="2"/>
  <c r="W1836" i="2"/>
  <c r="X1836" i="2" s="1"/>
  <c r="T1836" i="2"/>
  <c r="R1836" i="2"/>
  <c r="F1836" i="2"/>
  <c r="W1835" i="2"/>
  <c r="X1835" i="2" s="1"/>
  <c r="T1835" i="2"/>
  <c r="R1835" i="2"/>
  <c r="W1834" i="2"/>
  <c r="X1834" i="2" s="1"/>
  <c r="T1834" i="2"/>
  <c r="R1834" i="2"/>
  <c r="W1833" i="2"/>
  <c r="X1833" i="2" s="1"/>
  <c r="T1833" i="2"/>
  <c r="R1833" i="2"/>
  <c r="W1832" i="2"/>
  <c r="X1832" i="2" s="1"/>
  <c r="R1832" i="2"/>
  <c r="J1832" i="2"/>
  <c r="I1832" i="2"/>
  <c r="H1832" i="2"/>
  <c r="W1831" i="2"/>
  <c r="X1831" i="2" s="1"/>
  <c r="R1831" i="2"/>
  <c r="F1831" i="2"/>
  <c r="W1830" i="2"/>
  <c r="X1830" i="2" s="1"/>
  <c r="R1830" i="2"/>
  <c r="F1830" i="2"/>
  <c r="W1829" i="2"/>
  <c r="X1829" i="2" s="1"/>
  <c r="R1829" i="2"/>
  <c r="F1829" i="2"/>
  <c r="W1828" i="2"/>
  <c r="X1828" i="2" s="1"/>
  <c r="R1828" i="2"/>
  <c r="F1828" i="2"/>
  <c r="W1827" i="2"/>
  <c r="X1827" i="2" s="1"/>
  <c r="R1827" i="2"/>
  <c r="F1827" i="2"/>
  <c r="W1826" i="2"/>
  <c r="X1826" i="2" s="1"/>
  <c r="R1826" i="2"/>
  <c r="F1826" i="2"/>
  <c r="W1825" i="2"/>
  <c r="X1825" i="2" s="1"/>
  <c r="R1825" i="2"/>
  <c r="F1825" i="2"/>
  <c r="W1824" i="2"/>
  <c r="X1824" i="2" s="1"/>
  <c r="R1824" i="2"/>
  <c r="F1824" i="2"/>
  <c r="W1823" i="2"/>
  <c r="R1823" i="2"/>
  <c r="M1823" i="2" s="1"/>
  <c r="H1823" i="2"/>
  <c r="W1822" i="2"/>
  <c r="X1822" i="2" s="1"/>
  <c r="T1822" i="2"/>
  <c r="R1822" i="2"/>
  <c r="F1822" i="2"/>
  <c r="W1821" i="2"/>
  <c r="X1821" i="2" s="1"/>
  <c r="T1821" i="2"/>
  <c r="R1821" i="2"/>
  <c r="F1821" i="2"/>
  <c r="W1819" i="2"/>
  <c r="X1819" i="2" s="1"/>
  <c r="T1819" i="2"/>
  <c r="R1819" i="2"/>
  <c r="W1818" i="2"/>
  <c r="X1818" i="2" s="1"/>
  <c r="T1818" i="2"/>
  <c r="R1818" i="2"/>
  <c r="W1817" i="2"/>
  <c r="X1817" i="2" s="1"/>
  <c r="T1817" i="2"/>
  <c r="R1817" i="2"/>
  <c r="W1816" i="2"/>
  <c r="X1816" i="2" s="1"/>
  <c r="T1816" i="2"/>
  <c r="R1816" i="2"/>
  <c r="W1815" i="2"/>
  <c r="X1815" i="2" s="1"/>
  <c r="T1815" i="2"/>
  <c r="R1815" i="2"/>
  <c r="W1814" i="2"/>
  <c r="X1814" i="2" s="1"/>
  <c r="R1814" i="2"/>
  <c r="J1814" i="2"/>
  <c r="I1814" i="2"/>
  <c r="H1814" i="2"/>
  <c r="W1813" i="2"/>
  <c r="X1813" i="2" s="1"/>
  <c r="R1813" i="2"/>
  <c r="F1813" i="2"/>
  <c r="W1812" i="2"/>
  <c r="X1812" i="2" s="1"/>
  <c r="R1812" i="2"/>
  <c r="F1812" i="2"/>
  <c r="W1811" i="2"/>
  <c r="X1811" i="2" s="1"/>
  <c r="R1811" i="2"/>
  <c r="F1811" i="2"/>
  <c r="W1810" i="2"/>
  <c r="X1810" i="2" s="1"/>
  <c r="R1810" i="2"/>
  <c r="F1810" i="2"/>
  <c r="W1809" i="2"/>
  <c r="X1809" i="2" s="1"/>
  <c r="R1809" i="2"/>
  <c r="F1809" i="2"/>
  <c r="W1808" i="2"/>
  <c r="X1808" i="2" s="1"/>
  <c r="R1808" i="2"/>
  <c r="F1808" i="2"/>
  <c r="W1807" i="2"/>
  <c r="X1807" i="2" s="1"/>
  <c r="R1807" i="2"/>
  <c r="F1807" i="2"/>
  <c r="W1806" i="2"/>
  <c r="X1806" i="2" s="1"/>
  <c r="R1806" i="2"/>
  <c r="F1806" i="2"/>
  <c r="W1805" i="2"/>
  <c r="X1805" i="2" s="1"/>
  <c r="R1805" i="2"/>
  <c r="F1805" i="2"/>
  <c r="W1804" i="2"/>
  <c r="R1804" i="2"/>
  <c r="M1804" i="2" s="1"/>
  <c r="H1804" i="2"/>
  <c r="W1803" i="2"/>
  <c r="X1803" i="2" s="1"/>
  <c r="T1803" i="2"/>
  <c r="R1803" i="2"/>
  <c r="F1803" i="2"/>
  <c r="W1802" i="2"/>
  <c r="X1802" i="2" s="1"/>
  <c r="T1802" i="2"/>
  <c r="R1802" i="2"/>
  <c r="F1802" i="2"/>
  <c r="W1799" i="2"/>
  <c r="X1799" i="2" s="1"/>
  <c r="T1799" i="2"/>
  <c r="R1799" i="2"/>
  <c r="W1797" i="2"/>
  <c r="X1797" i="2" s="1"/>
  <c r="T1797" i="2"/>
  <c r="R1797" i="2"/>
  <c r="W1796" i="2"/>
  <c r="X1796" i="2" s="1"/>
  <c r="T1796" i="2"/>
  <c r="R1796" i="2"/>
  <c r="W1795" i="2"/>
  <c r="X1795" i="2" s="1"/>
  <c r="T1795" i="2"/>
  <c r="R1795" i="2"/>
  <c r="W1794" i="2"/>
  <c r="X1794" i="2" s="1"/>
  <c r="R1794" i="2"/>
  <c r="M1794" i="2" s="1"/>
  <c r="H1794" i="2"/>
  <c r="W1793" i="2"/>
  <c r="X1793" i="2" s="1"/>
  <c r="T1793" i="2"/>
  <c r="R1793" i="2"/>
  <c r="F1793" i="2"/>
  <c r="W1792" i="2"/>
  <c r="X1792" i="2" s="1"/>
  <c r="T1792" i="2"/>
  <c r="R1792" i="2"/>
  <c r="W1791" i="2"/>
  <c r="X1791" i="2" s="1"/>
  <c r="T1791" i="2"/>
  <c r="R1791" i="2"/>
  <c r="W1790" i="2"/>
  <c r="X1790" i="2" s="1"/>
  <c r="T1790" i="2"/>
  <c r="R1790" i="2"/>
  <c r="W1789" i="2"/>
  <c r="X1789" i="2" s="1"/>
  <c r="T1789" i="2"/>
  <c r="R1789" i="2"/>
  <c r="W1788" i="2"/>
  <c r="X1788" i="2" s="1"/>
  <c r="T1788" i="2"/>
  <c r="R1788" i="2"/>
  <c r="W1787" i="2"/>
  <c r="R1787" i="2"/>
  <c r="M1787" i="2" s="1"/>
  <c r="H1787" i="2"/>
  <c r="W1786" i="2"/>
  <c r="X1786" i="2" s="1"/>
  <c r="T1786" i="2"/>
  <c r="R1786" i="2"/>
  <c r="F1786" i="2"/>
  <c r="W1785" i="2"/>
  <c r="X1785" i="2" s="1"/>
  <c r="T1785" i="2"/>
  <c r="R1785" i="2"/>
  <c r="F1785" i="2"/>
  <c r="W1784" i="2"/>
  <c r="X1784" i="2" s="1"/>
  <c r="T1784" i="2"/>
  <c r="R1784" i="2"/>
  <c r="W1783" i="2"/>
  <c r="X1783" i="2" s="1"/>
  <c r="T1783" i="2"/>
  <c r="R1783" i="2"/>
  <c r="W1782" i="2"/>
  <c r="X1782" i="2" s="1"/>
  <c r="T1782" i="2"/>
  <c r="R1782" i="2"/>
  <c r="W1781" i="2"/>
  <c r="X1781" i="2" s="1"/>
  <c r="T1781" i="2"/>
  <c r="R1781" i="2"/>
  <c r="W1780" i="2"/>
  <c r="X1780" i="2" s="1"/>
  <c r="R1780" i="2"/>
  <c r="J1780" i="2"/>
  <c r="I1780" i="2"/>
  <c r="H1780" i="2"/>
  <c r="W1779" i="2"/>
  <c r="X1779" i="2" s="1"/>
  <c r="R1779" i="2"/>
  <c r="F1779" i="2"/>
  <c r="W1778" i="2"/>
  <c r="X1778" i="2" s="1"/>
  <c r="R1778" i="2"/>
  <c r="F1778" i="2"/>
  <c r="W1777" i="2"/>
  <c r="X1777" i="2" s="1"/>
  <c r="R1777" i="2"/>
  <c r="F1777" i="2"/>
  <c r="W1776" i="2"/>
  <c r="X1776" i="2" s="1"/>
  <c r="R1776" i="2"/>
  <c r="F1776" i="2"/>
  <c r="W1775" i="2"/>
  <c r="X1775" i="2" s="1"/>
  <c r="R1775" i="2"/>
  <c r="F1775" i="2"/>
  <c r="W1774" i="2"/>
  <c r="X1774" i="2" s="1"/>
  <c r="R1774" i="2"/>
  <c r="F1774" i="2"/>
  <c r="W1773" i="2"/>
  <c r="X1773" i="2" s="1"/>
  <c r="R1773" i="2"/>
  <c r="M1773" i="2" s="1"/>
  <c r="W1772" i="2"/>
  <c r="X1772" i="2" s="1"/>
  <c r="T1772" i="2"/>
  <c r="R1772" i="2"/>
  <c r="F1772" i="2"/>
  <c r="W1771" i="2"/>
  <c r="X1771" i="2" s="1"/>
  <c r="T1771" i="2"/>
  <c r="R1771" i="2"/>
  <c r="F1771" i="2"/>
  <c r="W1770" i="2"/>
  <c r="X1770" i="2" s="1"/>
  <c r="T1770" i="2"/>
  <c r="R1770" i="2"/>
  <c r="W1769" i="2"/>
  <c r="X1769" i="2" s="1"/>
  <c r="T1769" i="2"/>
  <c r="R1769" i="2"/>
  <c r="W1768" i="2"/>
  <c r="X1768" i="2" s="1"/>
  <c r="T1768" i="2"/>
  <c r="R1768" i="2"/>
  <c r="W1767" i="2"/>
  <c r="X1767" i="2" s="1"/>
  <c r="T1767" i="2"/>
  <c r="R1767" i="2"/>
  <c r="W1766" i="2"/>
  <c r="X1766" i="2" s="1"/>
  <c r="R1766" i="2"/>
  <c r="M1766" i="2" s="1"/>
  <c r="H1766" i="2"/>
  <c r="W1765" i="2"/>
  <c r="X1765" i="2" s="1"/>
  <c r="T1765" i="2"/>
  <c r="R1765" i="2"/>
  <c r="F1765" i="2"/>
  <c r="W1764" i="2"/>
  <c r="X1764" i="2" s="1"/>
  <c r="T1764" i="2"/>
  <c r="R1764" i="2"/>
  <c r="F1764" i="2"/>
  <c r="W1763" i="2"/>
  <c r="X1763" i="2" s="1"/>
  <c r="T1763" i="2"/>
  <c r="R1763" i="2"/>
  <c r="F1763" i="2"/>
  <c r="W1762" i="2"/>
  <c r="X1762" i="2" s="1"/>
  <c r="T1762" i="2"/>
  <c r="R1762" i="2"/>
  <c r="W1761" i="2"/>
  <c r="X1761" i="2" s="1"/>
  <c r="T1761" i="2"/>
  <c r="R1761" i="2"/>
  <c r="W1760" i="2"/>
  <c r="X1760" i="2" s="1"/>
  <c r="R1760" i="2"/>
  <c r="J1760" i="2"/>
  <c r="I1760" i="2"/>
  <c r="H1760" i="2"/>
  <c r="W1759" i="2"/>
  <c r="X1759" i="2" s="1"/>
  <c r="R1759" i="2"/>
  <c r="F1759" i="2"/>
  <c r="W1758" i="2"/>
  <c r="X1758" i="2" s="1"/>
  <c r="R1758" i="2"/>
  <c r="F1758" i="2"/>
  <c r="W1757" i="2"/>
  <c r="X1757" i="2" s="1"/>
  <c r="R1757" i="2"/>
  <c r="F1757" i="2"/>
  <c r="W1756" i="2"/>
  <c r="X1756" i="2" s="1"/>
  <c r="R1756" i="2"/>
  <c r="F1756" i="2"/>
  <c r="W1755" i="2"/>
  <c r="X1755" i="2" s="1"/>
  <c r="R1755" i="2"/>
  <c r="F1755" i="2"/>
  <c r="W1754" i="2"/>
  <c r="X1754" i="2" s="1"/>
  <c r="R1754" i="2"/>
  <c r="F1754" i="2"/>
  <c r="W1753" i="2"/>
  <c r="X1753" i="2" s="1"/>
  <c r="R1753" i="2"/>
  <c r="F1753" i="2"/>
  <c r="W1752" i="2"/>
  <c r="X1752" i="2" s="1"/>
  <c r="R1752" i="2"/>
  <c r="F1752" i="2"/>
  <c r="W1751" i="2"/>
  <c r="X1751" i="2" s="1"/>
  <c r="R1751" i="2"/>
  <c r="F1751" i="2"/>
  <c r="W1750" i="2"/>
  <c r="X1750" i="2" s="1"/>
  <c r="R1750" i="2"/>
  <c r="J1750" i="2"/>
  <c r="I1750" i="2"/>
  <c r="H1750" i="2"/>
  <c r="W1749" i="2"/>
  <c r="X1749" i="2" s="1"/>
  <c r="R1749" i="2"/>
  <c r="F1749" i="2"/>
  <c r="W1748" i="2"/>
  <c r="X1748" i="2" s="1"/>
  <c r="R1748" i="2"/>
  <c r="F1748" i="2"/>
  <c r="W1747" i="2"/>
  <c r="X1747" i="2" s="1"/>
  <c r="R1747" i="2"/>
  <c r="F1747" i="2"/>
  <c r="W1746" i="2"/>
  <c r="X1746" i="2" s="1"/>
  <c r="R1746" i="2"/>
  <c r="F1746" i="2"/>
  <c r="W1745" i="2"/>
  <c r="X1745" i="2" s="1"/>
  <c r="R1745" i="2"/>
  <c r="F1745" i="2"/>
  <c r="W1744" i="2"/>
  <c r="X1744" i="2" s="1"/>
  <c r="R1744" i="2"/>
  <c r="F1744" i="2"/>
  <c r="W1743" i="2"/>
  <c r="X1743" i="2" s="1"/>
  <c r="R1743" i="2"/>
  <c r="F1743" i="2"/>
  <c r="W1742" i="2"/>
  <c r="X1742" i="2" s="1"/>
  <c r="R1742" i="2"/>
  <c r="F1742" i="2"/>
  <c r="W1741" i="2"/>
  <c r="X1741" i="2" s="1"/>
  <c r="R1741" i="2"/>
  <c r="K1741" i="2"/>
  <c r="J1741" i="2"/>
  <c r="I1741" i="2"/>
  <c r="H1741" i="2"/>
  <c r="W1740" i="2"/>
  <c r="X1740" i="2" s="1"/>
  <c r="R1740" i="2"/>
  <c r="F1740" i="2"/>
  <c r="W1739" i="2"/>
  <c r="X1739" i="2" s="1"/>
  <c r="R1739" i="2"/>
  <c r="F1739" i="2"/>
  <c r="W1738" i="2"/>
  <c r="X1738" i="2" s="1"/>
  <c r="R1738" i="2"/>
  <c r="F1738" i="2"/>
  <c r="W1737" i="2"/>
  <c r="X1737" i="2" s="1"/>
  <c r="R1737" i="2"/>
  <c r="F1737" i="2"/>
  <c r="W1736" i="2"/>
  <c r="X1736" i="2" s="1"/>
  <c r="R1736" i="2"/>
  <c r="F1736" i="2"/>
  <c r="W1735" i="2"/>
  <c r="X1735" i="2" s="1"/>
  <c r="R1735" i="2"/>
  <c r="F1735" i="2"/>
  <c r="W1734" i="2"/>
  <c r="X1734" i="2" s="1"/>
  <c r="R1734" i="2"/>
  <c r="M1734" i="2" s="1"/>
  <c r="H1734" i="2"/>
  <c r="W1733" i="2"/>
  <c r="X1733" i="2" s="1"/>
  <c r="T1733" i="2"/>
  <c r="R1733" i="2"/>
  <c r="F1733" i="2"/>
  <c r="W1732" i="2"/>
  <c r="X1732" i="2" s="1"/>
  <c r="T1732" i="2"/>
  <c r="R1732" i="2"/>
  <c r="W1729" i="2"/>
  <c r="X1729" i="2" s="1"/>
  <c r="T1729" i="2"/>
  <c r="R1729" i="2"/>
  <c r="W1728" i="2"/>
  <c r="X1728" i="2" s="1"/>
  <c r="T1728" i="2"/>
  <c r="R1728" i="2"/>
  <c r="W1726" i="2"/>
  <c r="X1726" i="2" s="1"/>
  <c r="T1726" i="2"/>
  <c r="R1726" i="2"/>
  <c r="W1725" i="2"/>
  <c r="X1725" i="2" s="1"/>
  <c r="T1725" i="2"/>
  <c r="R1725" i="2"/>
  <c r="W1723" i="2"/>
  <c r="X1723" i="2" s="1"/>
  <c r="T1723" i="2"/>
  <c r="R1723" i="2"/>
  <c r="W1722" i="2"/>
  <c r="X1722" i="2" s="1"/>
  <c r="R1722" i="2"/>
  <c r="J1722" i="2"/>
  <c r="I1722" i="2"/>
  <c r="H1722" i="2"/>
  <c r="W1721" i="2"/>
  <c r="X1721" i="2" s="1"/>
  <c r="R1721" i="2"/>
  <c r="F1721" i="2"/>
  <c r="W1720" i="2"/>
  <c r="X1720" i="2" s="1"/>
  <c r="R1720" i="2"/>
  <c r="F1720" i="2"/>
  <c r="W1719" i="2"/>
  <c r="X1719" i="2" s="1"/>
  <c r="R1719" i="2"/>
  <c r="F1719" i="2"/>
  <c r="W1718" i="2"/>
  <c r="X1718" i="2" s="1"/>
  <c r="R1718" i="2"/>
  <c r="F1718" i="2"/>
  <c r="W1717" i="2"/>
  <c r="X1717" i="2" s="1"/>
  <c r="R1717" i="2"/>
  <c r="F1717" i="2"/>
  <c r="W1716" i="2"/>
  <c r="X1716" i="2" s="1"/>
  <c r="R1716" i="2"/>
  <c r="F1716" i="2"/>
  <c r="W1715" i="2"/>
  <c r="X1715" i="2" s="1"/>
  <c r="R1715" i="2"/>
  <c r="F1715" i="2"/>
  <c r="W1714" i="2"/>
  <c r="X1714" i="2" s="1"/>
  <c r="R1714" i="2"/>
  <c r="F1714" i="2"/>
  <c r="W1713" i="2"/>
  <c r="R1713" i="2"/>
  <c r="M1713" i="2" s="1"/>
  <c r="H1713" i="2"/>
  <c r="W1712" i="2"/>
  <c r="X1712" i="2" s="1"/>
  <c r="T1712" i="2"/>
  <c r="R1712" i="2"/>
  <c r="F1712" i="2"/>
  <c r="W1707" i="2"/>
  <c r="X1707" i="2" s="1"/>
  <c r="T1707" i="2"/>
  <c r="R1707" i="2"/>
  <c r="W1706" i="2"/>
  <c r="X1706" i="2" s="1"/>
  <c r="T1706" i="2"/>
  <c r="R1706" i="2"/>
  <c r="W1705" i="2"/>
  <c r="X1705" i="2" s="1"/>
  <c r="T1705" i="2"/>
  <c r="R1705" i="2"/>
  <c r="W1704" i="2"/>
  <c r="X1704" i="2" s="1"/>
  <c r="T1704" i="2"/>
  <c r="R1704" i="2"/>
  <c r="W1703" i="2"/>
  <c r="X1703" i="2" s="1"/>
  <c r="T1703" i="2"/>
  <c r="R1703" i="2"/>
  <c r="W1702" i="2"/>
  <c r="X1702" i="2" s="1"/>
  <c r="T1702" i="2"/>
  <c r="R1702" i="2"/>
  <c r="W1701" i="2"/>
  <c r="X1701" i="2" s="1"/>
  <c r="R1701" i="2"/>
  <c r="J1701" i="2"/>
  <c r="I1701" i="2"/>
  <c r="H1701" i="2"/>
  <c r="W1700" i="2"/>
  <c r="X1700" i="2" s="1"/>
  <c r="R1700" i="2"/>
  <c r="F1700" i="2"/>
  <c r="W1699" i="2"/>
  <c r="X1699" i="2" s="1"/>
  <c r="R1699" i="2"/>
  <c r="F1699" i="2"/>
  <c r="W1698" i="2"/>
  <c r="X1698" i="2" s="1"/>
  <c r="R1698" i="2"/>
  <c r="F1698" i="2"/>
  <c r="W1697" i="2"/>
  <c r="X1697" i="2" s="1"/>
  <c r="R1697" i="2"/>
  <c r="F1697" i="2"/>
  <c r="W1696" i="2"/>
  <c r="X1696" i="2" s="1"/>
  <c r="R1696" i="2"/>
  <c r="F1696" i="2"/>
  <c r="W1695" i="2"/>
  <c r="X1695" i="2" s="1"/>
  <c r="R1695" i="2"/>
  <c r="F1695" i="2"/>
  <c r="W1694" i="2"/>
  <c r="X1694" i="2" s="1"/>
  <c r="R1694" i="2"/>
  <c r="F1694" i="2"/>
  <c r="W1693" i="2"/>
  <c r="X1693" i="2" s="1"/>
  <c r="R1693" i="2"/>
  <c r="F1693" i="2"/>
  <c r="W1692" i="2"/>
  <c r="X1692" i="2" s="1"/>
  <c r="R1692" i="2"/>
  <c r="F1692" i="2"/>
  <c r="W1691" i="2"/>
  <c r="R1691" i="2"/>
  <c r="M1691" i="2" s="1"/>
  <c r="H1691" i="2"/>
  <c r="W1690" i="2"/>
  <c r="X1690" i="2" s="1"/>
  <c r="T1690" i="2"/>
  <c r="R1690" i="2"/>
  <c r="F1690" i="2"/>
  <c r="W1689" i="2"/>
  <c r="X1689" i="2" s="1"/>
  <c r="T1689" i="2"/>
  <c r="R1689" i="2"/>
  <c r="F1689" i="2"/>
  <c r="W1688" i="2"/>
  <c r="X1688" i="2" s="1"/>
  <c r="T1688" i="2"/>
  <c r="R1688" i="2"/>
  <c r="F1688" i="2"/>
  <c r="W1687" i="2"/>
  <c r="X1687" i="2" s="1"/>
  <c r="T1687" i="2"/>
  <c r="R1687" i="2"/>
  <c r="F1687" i="2"/>
  <c r="W1686" i="2"/>
  <c r="X1686" i="2" s="1"/>
  <c r="T1686" i="2"/>
  <c r="R1686" i="2"/>
  <c r="W1685" i="2"/>
  <c r="X1685" i="2" s="1"/>
  <c r="T1685" i="2"/>
  <c r="R1685" i="2"/>
  <c r="W1684" i="2"/>
  <c r="X1684" i="2" s="1"/>
  <c r="T1684" i="2"/>
  <c r="R1684" i="2"/>
  <c r="W1683" i="2"/>
  <c r="X1683" i="2" s="1"/>
  <c r="T1683" i="2"/>
  <c r="R1683" i="2"/>
  <c r="W1682" i="2"/>
  <c r="X1682" i="2" s="1"/>
  <c r="R1682" i="2"/>
  <c r="M1682" i="2" s="1"/>
  <c r="H1682" i="2"/>
  <c r="W1681" i="2"/>
  <c r="X1681" i="2" s="1"/>
  <c r="T1681" i="2"/>
  <c r="R1681" i="2"/>
  <c r="F1681" i="2"/>
  <c r="W1680" i="2"/>
  <c r="X1680" i="2" s="1"/>
  <c r="T1680" i="2"/>
  <c r="R1680" i="2"/>
  <c r="F1680" i="2"/>
  <c r="W1679" i="2"/>
  <c r="X1679" i="2" s="1"/>
  <c r="T1679" i="2"/>
  <c r="R1679" i="2"/>
  <c r="F1679" i="2"/>
  <c r="W1678" i="2"/>
  <c r="X1678" i="2" s="1"/>
  <c r="T1678" i="2"/>
  <c r="R1678" i="2"/>
  <c r="F1678" i="2"/>
  <c r="W1677" i="2"/>
  <c r="X1677" i="2" s="1"/>
  <c r="T1677" i="2"/>
  <c r="R1677" i="2"/>
  <c r="F1677" i="2"/>
  <c r="W1676" i="2"/>
  <c r="X1676" i="2" s="1"/>
  <c r="T1676" i="2"/>
  <c r="R1676" i="2"/>
  <c r="F1676" i="2"/>
  <c r="W1675" i="2"/>
  <c r="X1675" i="2" s="1"/>
  <c r="T1675" i="2"/>
  <c r="R1675" i="2"/>
  <c r="F1675" i="2"/>
  <c r="W1674" i="2"/>
  <c r="X1674" i="2" s="1"/>
  <c r="R1674" i="2"/>
  <c r="M1674" i="2" s="1"/>
  <c r="H1674" i="2"/>
  <c r="W1673" i="2"/>
  <c r="X1673" i="2" s="1"/>
  <c r="T1673" i="2"/>
  <c r="R1673" i="2"/>
  <c r="F1673" i="2"/>
  <c r="W1672" i="2"/>
  <c r="X1672" i="2" s="1"/>
  <c r="T1672" i="2"/>
  <c r="R1672" i="2"/>
  <c r="F1672" i="2"/>
  <c r="W1671" i="2"/>
  <c r="X1671" i="2" s="1"/>
  <c r="T1671" i="2"/>
  <c r="R1671" i="2"/>
  <c r="W1670" i="2"/>
  <c r="X1670" i="2" s="1"/>
  <c r="T1670" i="2"/>
  <c r="R1670" i="2"/>
  <c r="W1669" i="2"/>
  <c r="X1669" i="2" s="1"/>
  <c r="T1669" i="2"/>
  <c r="R1669" i="2"/>
  <c r="W1668" i="2"/>
  <c r="X1668" i="2" s="1"/>
  <c r="T1668" i="2"/>
  <c r="R1668" i="2"/>
  <c r="F1668" i="2"/>
  <c r="W1667" i="2"/>
  <c r="X1667" i="2" s="1"/>
  <c r="T1667" i="2"/>
  <c r="R1667" i="2"/>
  <c r="W1666" i="2"/>
  <c r="X1666" i="2" s="1"/>
  <c r="R1666" i="2"/>
  <c r="M1666" i="2" s="1"/>
  <c r="H1666" i="2"/>
  <c r="W1665" i="2"/>
  <c r="X1665" i="2" s="1"/>
  <c r="T1665" i="2"/>
  <c r="R1665" i="2"/>
  <c r="F1665" i="2"/>
  <c r="W1664" i="2"/>
  <c r="X1664" i="2" s="1"/>
  <c r="T1664" i="2"/>
  <c r="R1664" i="2"/>
  <c r="F1664" i="2"/>
  <c r="W1663" i="2"/>
  <c r="X1663" i="2" s="1"/>
  <c r="T1663" i="2"/>
  <c r="R1663" i="2"/>
  <c r="F1663" i="2"/>
  <c r="W1662" i="2"/>
  <c r="X1662" i="2" s="1"/>
  <c r="T1662" i="2"/>
  <c r="R1662" i="2"/>
  <c r="F1662" i="2"/>
  <c r="W1661" i="2"/>
  <c r="X1661" i="2" s="1"/>
  <c r="T1661" i="2"/>
  <c r="R1661" i="2"/>
  <c r="W1660" i="2"/>
  <c r="X1660" i="2" s="1"/>
  <c r="T1660" i="2"/>
  <c r="R1660" i="2"/>
  <c r="W1659" i="2"/>
  <c r="X1659" i="2" s="1"/>
  <c r="T1659" i="2"/>
  <c r="R1659" i="2"/>
  <c r="W1658" i="2"/>
  <c r="X1658" i="2" s="1"/>
  <c r="R1658" i="2"/>
  <c r="J1658" i="2"/>
  <c r="I1658" i="2"/>
  <c r="H1658" i="2"/>
  <c r="W1657" i="2"/>
  <c r="X1657" i="2" s="1"/>
  <c r="R1657" i="2"/>
  <c r="F1657" i="2"/>
  <c r="W1656" i="2"/>
  <c r="X1656" i="2" s="1"/>
  <c r="R1656" i="2"/>
  <c r="F1656" i="2"/>
  <c r="W1655" i="2"/>
  <c r="X1655" i="2" s="1"/>
  <c r="R1655" i="2"/>
  <c r="M1655" i="2" s="1"/>
  <c r="H1655" i="2"/>
  <c r="W1654" i="2"/>
  <c r="X1654" i="2" s="1"/>
  <c r="T1654" i="2"/>
  <c r="R1654" i="2"/>
  <c r="F1654" i="2"/>
  <c r="W1653" i="2"/>
  <c r="X1653" i="2" s="1"/>
  <c r="T1653" i="2"/>
  <c r="R1653" i="2"/>
  <c r="F1653" i="2"/>
  <c r="W1652" i="2"/>
  <c r="X1652" i="2" s="1"/>
  <c r="T1652" i="2"/>
  <c r="R1652" i="2"/>
  <c r="F1652" i="2"/>
  <c r="W1651" i="2"/>
  <c r="X1651" i="2" s="1"/>
  <c r="T1651" i="2"/>
  <c r="R1651" i="2"/>
  <c r="F1651" i="2"/>
  <c r="W1650" i="2"/>
  <c r="X1650" i="2" s="1"/>
  <c r="T1650" i="2"/>
  <c r="R1650" i="2"/>
  <c r="F1650" i="2"/>
  <c r="W1649" i="2"/>
  <c r="X1649" i="2" s="1"/>
  <c r="T1649" i="2"/>
  <c r="R1649" i="2"/>
  <c r="F1649" i="2"/>
  <c r="W1648" i="2"/>
  <c r="X1648" i="2" s="1"/>
  <c r="T1648" i="2"/>
  <c r="R1648" i="2"/>
  <c r="F1648" i="2"/>
  <c r="W1647" i="2"/>
  <c r="X1647" i="2" s="1"/>
  <c r="R1647" i="2"/>
  <c r="J1647" i="2"/>
  <c r="I1647" i="2"/>
  <c r="H1647" i="2"/>
  <c r="W1646" i="2"/>
  <c r="X1646" i="2" s="1"/>
  <c r="R1646" i="2"/>
  <c r="F1646" i="2"/>
  <c r="W1645" i="2"/>
  <c r="X1645" i="2" s="1"/>
  <c r="R1645" i="2"/>
  <c r="F1645" i="2"/>
  <c r="W1644" i="2"/>
  <c r="X1644" i="2" s="1"/>
  <c r="R1644" i="2"/>
  <c r="F1644" i="2"/>
  <c r="W1643" i="2"/>
  <c r="X1643" i="2" s="1"/>
  <c r="R1643" i="2"/>
  <c r="J1643" i="2"/>
  <c r="I1643" i="2"/>
  <c r="H1643" i="2"/>
  <c r="W1642" i="2"/>
  <c r="X1642" i="2" s="1"/>
  <c r="R1642" i="2"/>
  <c r="F1642" i="2"/>
  <c r="W1641" i="2"/>
  <c r="X1641" i="2" s="1"/>
  <c r="R1641" i="2"/>
  <c r="F1641" i="2"/>
  <c r="W1640" i="2"/>
  <c r="X1640" i="2" s="1"/>
  <c r="R1640" i="2"/>
  <c r="F1640" i="2"/>
  <c r="W1639" i="2"/>
  <c r="X1639" i="2" s="1"/>
  <c r="R1639" i="2"/>
  <c r="F1639" i="2"/>
  <c r="W1638" i="2"/>
  <c r="X1638" i="2" s="1"/>
  <c r="R1638" i="2"/>
  <c r="F1638" i="2"/>
  <c r="W1637" i="2"/>
  <c r="X1637" i="2" s="1"/>
  <c r="R1637" i="2"/>
  <c r="F1637" i="2"/>
  <c r="W1636" i="2"/>
  <c r="X1636" i="2" s="1"/>
  <c r="R1636" i="2"/>
  <c r="M1636" i="2" s="1"/>
  <c r="H1636" i="2"/>
  <c r="W1635" i="2"/>
  <c r="X1635" i="2" s="1"/>
  <c r="T1635" i="2"/>
  <c r="R1635" i="2"/>
  <c r="F1635" i="2"/>
  <c r="W1634" i="2"/>
  <c r="X1634" i="2" s="1"/>
  <c r="T1634" i="2"/>
  <c r="R1634" i="2"/>
  <c r="F1634" i="2"/>
  <c r="W1633" i="2"/>
  <c r="X1633" i="2" s="1"/>
  <c r="T1633" i="2"/>
  <c r="R1633" i="2"/>
  <c r="W1632" i="2"/>
  <c r="X1632" i="2" s="1"/>
  <c r="T1632" i="2"/>
  <c r="R1632" i="2"/>
  <c r="W1630" i="2"/>
  <c r="X1630" i="2" s="1"/>
  <c r="T1630" i="2"/>
  <c r="R1630" i="2"/>
  <c r="W1629" i="2"/>
  <c r="X1629" i="2" s="1"/>
  <c r="T1629" i="2"/>
  <c r="R1629" i="2"/>
  <c r="W1628" i="2"/>
  <c r="X1628" i="2" s="1"/>
  <c r="R1628" i="2"/>
  <c r="J1628" i="2"/>
  <c r="I1628" i="2"/>
  <c r="H1628" i="2"/>
  <c r="W1627" i="2"/>
  <c r="X1627" i="2" s="1"/>
  <c r="R1627" i="2"/>
  <c r="F1627" i="2"/>
  <c r="W1626" i="2"/>
  <c r="X1626" i="2" s="1"/>
  <c r="R1626" i="2"/>
  <c r="F1626" i="2"/>
  <c r="W1625" i="2"/>
  <c r="R1625" i="2"/>
  <c r="M1625" i="2" s="1"/>
  <c r="H1625" i="2"/>
  <c r="W1624" i="2"/>
  <c r="X1624" i="2" s="1"/>
  <c r="T1624" i="2"/>
  <c r="R1624" i="2"/>
  <c r="F1624" i="2"/>
  <c r="W1619" i="2"/>
  <c r="X1619" i="2" s="1"/>
  <c r="T1619" i="2"/>
  <c r="R1619" i="2"/>
  <c r="W1618" i="2"/>
  <c r="X1618" i="2" s="1"/>
  <c r="T1618" i="2"/>
  <c r="R1618" i="2"/>
  <c r="W1617" i="2"/>
  <c r="X1617" i="2" s="1"/>
  <c r="T1617" i="2"/>
  <c r="R1617" i="2"/>
  <c r="W1616" i="2"/>
  <c r="X1616" i="2" s="1"/>
  <c r="T1616" i="2"/>
  <c r="R1616" i="2"/>
  <c r="W1615" i="2"/>
  <c r="X1615" i="2" s="1"/>
  <c r="T1615" i="2"/>
  <c r="R1615" i="2"/>
  <c r="W1614" i="2"/>
  <c r="X1614" i="2" s="1"/>
  <c r="T1614" i="2"/>
  <c r="R1614" i="2"/>
  <c r="W1613" i="2"/>
  <c r="X1613" i="2" s="1"/>
  <c r="R1613" i="2"/>
  <c r="J1613" i="2"/>
  <c r="I1613" i="2"/>
  <c r="H1613" i="2"/>
  <c r="W1612" i="2"/>
  <c r="X1612" i="2" s="1"/>
  <c r="R1612" i="2"/>
  <c r="F1612" i="2"/>
  <c r="W1611" i="2"/>
  <c r="X1611" i="2" s="1"/>
  <c r="R1611" i="2"/>
  <c r="F1611" i="2"/>
  <c r="W1610" i="2"/>
  <c r="X1610" i="2" s="1"/>
  <c r="R1610" i="2"/>
  <c r="J1610" i="2"/>
  <c r="I1610" i="2"/>
  <c r="H1610" i="2"/>
  <c r="W1609" i="2"/>
  <c r="X1609" i="2" s="1"/>
  <c r="R1609" i="2"/>
  <c r="F1609" i="2"/>
  <c r="W1608" i="2"/>
  <c r="X1608" i="2" s="1"/>
  <c r="R1608" i="2"/>
  <c r="F1608" i="2"/>
  <c r="W1607" i="2"/>
  <c r="R1607" i="2"/>
  <c r="M1607" i="2" s="1"/>
  <c r="H1607" i="2"/>
  <c r="W1606" i="2"/>
  <c r="X1606" i="2" s="1"/>
  <c r="T1606" i="2"/>
  <c r="R1606" i="2"/>
  <c r="F1606" i="2"/>
  <c r="W1605" i="2"/>
  <c r="X1605" i="2" s="1"/>
  <c r="T1605" i="2"/>
  <c r="R1605" i="2"/>
  <c r="W1604" i="2"/>
  <c r="X1604" i="2" s="1"/>
  <c r="T1604" i="2"/>
  <c r="R1604" i="2"/>
  <c r="W1603" i="2"/>
  <c r="X1603" i="2" s="1"/>
  <c r="T1603" i="2"/>
  <c r="R1603" i="2"/>
  <c r="W1602" i="2"/>
  <c r="X1602" i="2" s="1"/>
  <c r="T1602" i="2"/>
  <c r="R1602" i="2"/>
  <c r="W1601" i="2"/>
  <c r="X1601" i="2" s="1"/>
  <c r="T1601" i="2"/>
  <c r="W1600" i="2"/>
  <c r="X1600" i="2" s="1"/>
  <c r="T1600" i="2"/>
  <c r="R1600" i="2"/>
  <c r="W1599" i="2"/>
  <c r="W1598" i="2"/>
  <c r="X1598" i="2" s="1"/>
  <c r="R1598" i="2"/>
  <c r="M1598" i="2" s="1"/>
  <c r="H1598" i="2"/>
  <c r="H1599" i="2" s="1"/>
  <c r="W1597" i="2"/>
  <c r="X1597" i="2" s="1"/>
  <c r="T1597" i="2"/>
  <c r="R1597" i="2"/>
  <c r="F1597" i="2"/>
  <c r="W1596" i="2"/>
  <c r="X1596" i="2" s="1"/>
  <c r="T1596" i="2"/>
  <c r="R1596" i="2"/>
  <c r="F1596" i="2"/>
  <c r="W1595" i="2"/>
  <c r="X1595" i="2" s="1"/>
  <c r="T1595" i="2"/>
  <c r="R1595" i="2"/>
  <c r="F1595" i="2"/>
  <c r="W1486" i="2"/>
  <c r="X1486" i="2" s="1"/>
  <c r="R1486" i="2"/>
  <c r="M1486" i="2" s="1"/>
  <c r="W1485" i="2"/>
  <c r="X1485" i="2" s="1"/>
  <c r="T1485" i="2"/>
  <c r="R1485" i="2"/>
  <c r="F1485" i="2"/>
  <c r="W1484" i="2"/>
  <c r="X1484" i="2" s="1"/>
  <c r="T1484" i="2"/>
  <c r="R1484" i="2"/>
  <c r="F1484" i="2"/>
  <c r="W1481" i="2"/>
  <c r="X1481" i="2" s="1"/>
  <c r="T1481" i="2"/>
  <c r="R1481" i="2"/>
  <c r="W1388" i="2"/>
  <c r="X1388" i="2" s="1"/>
  <c r="R1388" i="2"/>
  <c r="M1388" i="2" s="1"/>
  <c r="Y58" i="15" s="1"/>
  <c r="W1387" i="2"/>
  <c r="X1387" i="2" s="1"/>
  <c r="T1387" i="2"/>
  <c r="R1387" i="2"/>
  <c r="W57" i="15"/>
  <c r="F1387" i="2"/>
  <c r="W1386" i="2"/>
  <c r="X1386" i="2" s="1"/>
  <c r="T1386" i="2"/>
  <c r="R1386" i="2"/>
  <c r="W56" i="15"/>
  <c r="F1386" i="2"/>
  <c r="W1385" i="2"/>
  <c r="X1385" i="2" s="1"/>
  <c r="T1385" i="2"/>
  <c r="R1385" i="2"/>
  <c r="W55" i="15"/>
  <c r="F1385" i="2"/>
  <c r="W1384" i="2"/>
  <c r="X1384" i="2" s="1"/>
  <c r="T1384" i="2"/>
  <c r="R1384" i="2"/>
  <c r="W54" i="15"/>
  <c r="F1384" i="2"/>
  <c r="W1383" i="2"/>
  <c r="X1383" i="2" s="1"/>
  <c r="T1383" i="2"/>
  <c r="R1383" i="2"/>
  <c r="F1383" i="2"/>
  <c r="W1382" i="2"/>
  <c r="X1382" i="2" s="1"/>
  <c r="R1382" i="2"/>
  <c r="M1382" i="2" s="1"/>
  <c r="W1381" i="2"/>
  <c r="X1381" i="2" s="1"/>
  <c r="T1381" i="2"/>
  <c r="R1381" i="2"/>
  <c r="W51" i="15"/>
  <c r="F1381" i="2"/>
  <c r="W1380" i="2"/>
  <c r="X1380" i="2" s="1"/>
  <c r="T1380" i="2"/>
  <c r="R1380" i="2"/>
  <c r="W50" i="15"/>
  <c r="F1380" i="2"/>
  <c r="W1377" i="2"/>
  <c r="X1377" i="2" s="1"/>
  <c r="T1377" i="2"/>
  <c r="R1377" i="2"/>
  <c r="W49" i="15"/>
  <c r="W1376" i="2"/>
  <c r="X1376" i="2" s="1"/>
  <c r="T1376" i="2"/>
  <c r="R1376" i="2"/>
  <c r="W48" i="15"/>
  <c r="W1375" i="2"/>
  <c r="X1375" i="2" s="1"/>
  <c r="T1375" i="2"/>
  <c r="R1375" i="2"/>
  <c r="W47" i="15"/>
  <c r="W1374" i="2"/>
  <c r="X1374" i="2" s="1"/>
  <c r="T1374" i="2"/>
  <c r="R1374" i="2"/>
  <c r="W46" i="15"/>
  <c r="W1373" i="2"/>
  <c r="X1373" i="2" s="1"/>
  <c r="R1373" i="2"/>
  <c r="M1373" i="2" s="1"/>
  <c r="Y45" i="15" s="1"/>
  <c r="W1372" i="2"/>
  <c r="X1372" i="2" s="1"/>
  <c r="T1372" i="2"/>
  <c r="R1372" i="2"/>
  <c r="W44" i="15"/>
  <c r="F1372" i="2"/>
  <c r="W1371" i="2"/>
  <c r="X1371" i="2" s="1"/>
  <c r="T1371" i="2"/>
  <c r="R1371" i="2"/>
  <c r="W43" i="15"/>
  <c r="F1371" i="2"/>
  <c r="W1370" i="2"/>
  <c r="X1370" i="2" s="1"/>
  <c r="T1370" i="2"/>
  <c r="R1370" i="2"/>
  <c r="W42" i="15"/>
  <c r="F1370" i="2"/>
  <c r="W1369" i="2"/>
  <c r="X1369" i="2" s="1"/>
  <c r="T1369" i="2"/>
  <c r="R1369" i="2"/>
  <c r="W41" i="15"/>
  <c r="F1369" i="2"/>
  <c r="W1368" i="2"/>
  <c r="X1368" i="2" s="1"/>
  <c r="T1368" i="2"/>
  <c r="R1368" i="2"/>
  <c r="W40" i="15"/>
  <c r="F1368" i="2"/>
  <c r="W1367" i="2"/>
  <c r="X1367" i="2" s="1"/>
  <c r="R1367" i="2"/>
  <c r="M1367" i="2" s="1"/>
  <c r="Y39" i="15" s="1"/>
  <c r="W1366" i="2"/>
  <c r="X1366" i="2" s="1"/>
  <c r="T1366" i="2"/>
  <c r="R1366" i="2"/>
  <c r="W38" i="15"/>
  <c r="F1366" i="2"/>
  <c r="W1365" i="2"/>
  <c r="X1365" i="2" s="1"/>
  <c r="T1365" i="2"/>
  <c r="R1365" i="2"/>
  <c r="W37" i="15"/>
  <c r="F1365" i="2"/>
  <c r="W1364" i="2"/>
  <c r="X1364" i="2" s="1"/>
  <c r="T1364" i="2"/>
  <c r="R1364" i="2"/>
  <c r="W36" i="15"/>
  <c r="F1364" i="2"/>
  <c r="W1363" i="2"/>
  <c r="X1363" i="2" s="1"/>
  <c r="T1363" i="2"/>
  <c r="R1363" i="2"/>
  <c r="W35" i="15"/>
  <c r="F1363" i="2"/>
  <c r="W1362" i="2"/>
  <c r="X1362" i="2" s="1"/>
  <c r="T1362" i="2"/>
  <c r="R1362" i="2"/>
  <c r="F1362" i="2"/>
  <c r="W1361" i="2"/>
  <c r="R1361" i="2"/>
  <c r="M1361" i="2" s="1"/>
  <c r="W1360" i="2"/>
  <c r="X1360" i="2" s="1"/>
  <c r="T1360" i="2"/>
  <c r="R1360" i="2"/>
  <c r="W32" i="15"/>
  <c r="F1360" i="2"/>
  <c r="W1357" i="2"/>
  <c r="X1357" i="2" s="1"/>
  <c r="T1357" i="2"/>
  <c r="R1357" i="2"/>
  <c r="W29" i="15"/>
  <c r="W1356" i="2"/>
  <c r="X1356" i="2" s="1"/>
  <c r="T1356" i="2"/>
  <c r="R1356" i="2"/>
  <c r="W28" i="15"/>
  <c r="W1355" i="2"/>
  <c r="X1355" i="2" s="1"/>
  <c r="T1355" i="2"/>
  <c r="R1355" i="2"/>
  <c r="W27" i="15"/>
  <c r="W1354" i="2"/>
  <c r="X1354" i="2" s="1"/>
  <c r="T1354" i="2"/>
  <c r="R1354" i="2"/>
  <c r="W26" i="15"/>
  <c r="F1354" i="2"/>
  <c r="W1353" i="2"/>
  <c r="X1353" i="2" s="1"/>
  <c r="R1353" i="2"/>
  <c r="M1353" i="2" s="1"/>
  <c r="Y25" i="15" s="1"/>
  <c r="W1352" i="2"/>
  <c r="X1352" i="2" s="1"/>
  <c r="T1352" i="2"/>
  <c r="R1352" i="2"/>
  <c r="W24" i="15"/>
  <c r="F1352" i="2"/>
  <c r="W1351" i="2"/>
  <c r="X1351" i="2" s="1"/>
  <c r="T1351" i="2"/>
  <c r="R1351" i="2"/>
  <c r="W23" i="15"/>
  <c r="F1351" i="2"/>
  <c r="W1350" i="2"/>
  <c r="X1350" i="2" s="1"/>
  <c r="T1350" i="2"/>
  <c r="R1350" i="2"/>
  <c r="W22" i="15"/>
  <c r="F1350" i="2"/>
  <c r="W1349" i="2"/>
  <c r="X1349" i="2" s="1"/>
  <c r="T1349" i="2"/>
  <c r="R1349" i="2"/>
  <c r="W21" i="15"/>
  <c r="F1349" i="2"/>
  <c r="W1348" i="2"/>
  <c r="X1348" i="2" s="1"/>
  <c r="T1348" i="2"/>
  <c r="R1348" i="2"/>
  <c r="W1347" i="2"/>
  <c r="X1347" i="2" s="1"/>
  <c r="R1347" i="2"/>
  <c r="M1347" i="2" s="1"/>
  <c r="K1347" i="2"/>
  <c r="W1346" i="2"/>
  <c r="X1346" i="2" s="1"/>
  <c r="R1346" i="2"/>
  <c r="I1346" i="2"/>
  <c r="F1346" i="2"/>
  <c r="W1345" i="2"/>
  <c r="X1345" i="2" s="1"/>
  <c r="R1345" i="2"/>
  <c r="F1345" i="2"/>
  <c r="W1344" i="2"/>
  <c r="X1344" i="2" s="1"/>
  <c r="R1344" i="2"/>
  <c r="F1344" i="2"/>
  <c r="W1343" i="2"/>
  <c r="X1343" i="2" s="1"/>
  <c r="R1343" i="2"/>
  <c r="F1343" i="2"/>
  <c r="W1342" i="2"/>
  <c r="X1342" i="2" s="1"/>
  <c r="R1342" i="2"/>
  <c r="F1342" i="2"/>
  <c r="W1341" i="2"/>
  <c r="X1341" i="2" s="1"/>
  <c r="R1341" i="2"/>
  <c r="W1340" i="2"/>
  <c r="X1340" i="2" s="1"/>
  <c r="T1340" i="2"/>
  <c r="R1340" i="2"/>
  <c r="F1340" i="2"/>
  <c r="F200" i="6" s="1"/>
  <c r="W1338" i="2"/>
  <c r="X1338" i="2" s="1"/>
  <c r="T1338" i="2"/>
  <c r="R1338" i="2"/>
  <c r="W1337" i="2"/>
  <c r="X1337" i="2" s="1"/>
  <c r="T1337" i="2"/>
  <c r="R1337" i="2"/>
  <c r="W1336" i="2"/>
  <c r="X1336" i="2" s="1"/>
  <c r="T1336" i="2"/>
  <c r="R1336" i="2"/>
  <c r="W1335" i="2"/>
  <c r="X1335" i="2" s="1"/>
  <c r="T1335" i="2"/>
  <c r="R1335" i="2"/>
  <c r="W1334" i="2"/>
  <c r="X1334" i="2" s="1"/>
  <c r="R1334" i="2"/>
  <c r="M1334" i="2" s="1"/>
  <c r="K1334" i="2"/>
  <c r="W1333" i="2"/>
  <c r="X1333" i="2" s="1"/>
  <c r="R1333" i="2"/>
  <c r="I1333" i="2"/>
  <c r="F1333" i="2"/>
  <c r="W1332" i="2"/>
  <c r="X1332" i="2" s="1"/>
  <c r="R1332" i="2"/>
  <c r="F1332" i="2"/>
  <c r="W1331" i="2"/>
  <c r="X1331" i="2" s="1"/>
  <c r="R1331" i="2"/>
  <c r="F1331" i="2"/>
  <c r="W1330" i="2"/>
  <c r="X1330" i="2" s="1"/>
  <c r="R1330" i="2"/>
  <c r="M1330" i="2" s="1"/>
  <c r="N174" i="6" s="1"/>
  <c r="W1329" i="2"/>
  <c r="X1329" i="2" s="1"/>
  <c r="R1329" i="2"/>
  <c r="F1329" i="2"/>
  <c r="F173" i="6" s="1"/>
  <c r="W1327" i="2"/>
  <c r="X1327" i="2" s="1"/>
  <c r="R1327" i="2"/>
  <c r="W1326" i="2"/>
  <c r="X1326" i="2" s="1"/>
  <c r="R1326" i="2"/>
  <c r="W1325" i="2"/>
  <c r="X1325" i="2" s="1"/>
  <c r="R1325" i="2"/>
  <c r="W1324" i="2"/>
  <c r="X1324" i="2" s="1"/>
  <c r="R1324" i="2"/>
  <c r="K1324" i="2"/>
  <c r="I1324" i="2"/>
  <c r="W1323" i="2"/>
  <c r="X1323" i="2" s="1"/>
  <c r="R1323" i="2"/>
  <c r="F1323" i="2"/>
  <c r="W1322" i="2"/>
  <c r="X1322" i="2" s="1"/>
  <c r="R1322" i="2"/>
  <c r="F1322" i="2"/>
  <c r="W1321" i="2"/>
  <c r="X1321" i="2" s="1"/>
  <c r="R1321" i="2"/>
  <c r="F1321" i="2"/>
  <c r="W1320" i="2"/>
  <c r="X1320" i="2" s="1"/>
  <c r="R1320" i="2"/>
  <c r="M1320" i="2" s="1"/>
  <c r="K1320" i="2"/>
  <c r="W1319" i="2"/>
  <c r="X1319" i="2" s="1"/>
  <c r="R1319" i="2"/>
  <c r="I1319" i="2"/>
  <c r="F1319" i="2"/>
  <c r="W1318" i="2"/>
  <c r="X1318" i="2" s="1"/>
  <c r="R1318" i="2"/>
  <c r="F1318" i="2"/>
  <c r="W1317" i="2"/>
  <c r="X1317" i="2" s="1"/>
  <c r="R1317" i="2"/>
  <c r="F1317" i="2"/>
  <c r="W1316" i="2"/>
  <c r="X1316" i="2" s="1"/>
  <c r="R1316" i="2"/>
  <c r="M1316" i="2" s="1"/>
  <c r="W1315" i="2"/>
  <c r="X1315" i="2" s="1"/>
  <c r="R1315" i="2"/>
  <c r="F1315" i="2"/>
  <c r="W1314" i="2"/>
  <c r="X1314" i="2" s="1"/>
  <c r="R1314" i="2"/>
  <c r="F1314" i="2"/>
  <c r="W1310" i="2"/>
  <c r="X1310" i="2" s="1"/>
  <c r="R1310" i="2"/>
  <c r="W1309" i="2"/>
  <c r="R1309" i="2"/>
  <c r="M1309" i="2" s="1"/>
  <c r="W1308" i="2"/>
  <c r="X1308" i="2" s="1"/>
  <c r="T1308" i="2"/>
  <c r="R1308" i="2"/>
  <c r="W18" i="15"/>
  <c r="F1308" i="2"/>
  <c r="W1302" i="2"/>
  <c r="X1302" i="2" s="1"/>
  <c r="T1302" i="2"/>
  <c r="R1302" i="2"/>
  <c r="W15" i="15"/>
  <c r="W1301" i="2"/>
  <c r="X1301" i="2" s="1"/>
  <c r="R1301" i="2"/>
  <c r="W1300" i="2"/>
  <c r="X1300" i="2" s="1"/>
  <c r="R1300" i="2"/>
  <c r="M1300" i="2" s="1"/>
  <c r="M85" i="7" s="1"/>
  <c r="W1299" i="2"/>
  <c r="X1299" i="2" s="1"/>
  <c r="T1299" i="2"/>
  <c r="R1299" i="2"/>
  <c r="F1299" i="2"/>
  <c r="F84" i="7" s="1"/>
  <c r="W1298" i="2"/>
  <c r="X1298" i="2" s="1"/>
  <c r="T1298" i="2"/>
  <c r="R1298" i="2"/>
  <c r="W1297" i="2"/>
  <c r="X1297" i="2" s="1"/>
  <c r="T1297" i="2"/>
  <c r="R1297" i="2"/>
  <c r="W1296" i="2"/>
  <c r="X1296" i="2" s="1"/>
  <c r="T1296" i="2"/>
  <c r="R1296" i="2"/>
  <c r="W1295" i="2"/>
  <c r="R1295" i="2"/>
  <c r="M1295" i="2" s="1"/>
  <c r="W1294" i="2"/>
  <c r="X1294" i="2" s="1"/>
  <c r="T1294" i="2"/>
  <c r="R1294" i="2"/>
  <c r="F1294" i="2"/>
  <c r="W1293" i="2"/>
  <c r="X1293" i="2" s="1"/>
  <c r="T1293" i="2"/>
  <c r="R1293" i="2"/>
  <c r="F1293" i="2"/>
  <c r="W1292" i="2"/>
  <c r="X1292" i="2" s="1"/>
  <c r="T1292" i="2"/>
  <c r="R1292" i="2"/>
  <c r="W1291" i="2"/>
  <c r="X1291" i="2" s="1"/>
  <c r="T1291" i="2"/>
  <c r="R1291" i="2"/>
  <c r="W1290" i="2"/>
  <c r="W1289" i="2"/>
  <c r="T1289" i="2"/>
  <c r="R1289" i="2"/>
  <c r="F1289" i="2"/>
  <c r="W1288" i="2"/>
  <c r="X1288" i="2" s="1"/>
  <c r="T1288" i="2"/>
  <c r="R1288" i="2"/>
  <c r="W1287" i="2"/>
  <c r="R1287" i="2"/>
  <c r="W1286" i="2"/>
  <c r="X1286" i="2" s="1"/>
  <c r="R1286" i="2"/>
  <c r="W1285" i="2"/>
  <c r="X1285" i="2" s="1"/>
  <c r="T1285" i="2"/>
  <c r="R1285" i="2"/>
  <c r="W1284" i="2"/>
  <c r="X1284" i="2" s="1"/>
  <c r="R1284" i="2"/>
  <c r="M1284" i="2" s="1"/>
  <c r="W1283" i="2"/>
  <c r="X1283" i="2" s="1"/>
  <c r="T1283" i="2"/>
  <c r="R1283" i="2"/>
  <c r="F1283" i="2"/>
  <c r="W1282" i="2"/>
  <c r="X1282" i="2" s="1"/>
  <c r="T1282" i="2"/>
  <c r="R1282" i="2"/>
  <c r="F1282" i="2"/>
  <c r="W1281" i="2"/>
  <c r="X1281" i="2" s="1"/>
  <c r="T1281" i="2"/>
  <c r="R1281" i="2"/>
  <c r="W1280" i="2"/>
  <c r="X1280" i="2" s="1"/>
  <c r="T1280" i="2"/>
  <c r="R1280" i="2"/>
  <c r="W1279" i="2"/>
  <c r="M1279" i="2"/>
  <c r="W1278" i="2"/>
  <c r="X1278" i="2" s="1"/>
  <c r="T1278" i="2"/>
  <c r="R1278" i="2"/>
  <c r="F1278" i="2"/>
  <c r="W1277" i="2"/>
  <c r="X1277" i="2" s="1"/>
  <c r="T1277" i="2"/>
  <c r="R1277" i="2"/>
  <c r="F1277" i="2"/>
  <c r="W1276" i="2"/>
  <c r="X1276" i="2" s="1"/>
  <c r="T1276" i="2"/>
  <c r="R1276" i="2"/>
  <c r="W1275" i="2"/>
  <c r="X1275" i="2" s="1"/>
  <c r="T1275" i="2"/>
  <c r="R1275" i="2"/>
  <c r="W1274" i="2"/>
  <c r="X1274" i="2" s="1"/>
  <c r="T1274" i="2"/>
  <c r="R1274" i="2"/>
  <c r="W1273" i="2"/>
  <c r="X1273" i="2" s="1"/>
  <c r="T1273" i="2"/>
  <c r="R1273" i="2"/>
  <c r="W1271" i="2"/>
  <c r="X1271" i="2" s="1"/>
  <c r="R1271" i="2"/>
  <c r="F1271" i="2"/>
  <c r="F236" i="6" s="1"/>
  <c r="W1269" i="2"/>
  <c r="X1269" i="2" s="1"/>
  <c r="R1269" i="2"/>
  <c r="F234" i="6"/>
  <c r="W1268" i="2"/>
  <c r="X1268" i="2" s="1"/>
  <c r="R1268" i="2"/>
  <c r="F233" i="6"/>
  <c r="W1267" i="2"/>
  <c r="X1267" i="2" s="1"/>
  <c r="R1267" i="2"/>
  <c r="W1266" i="2"/>
  <c r="X1266" i="2" s="1"/>
  <c r="R1266" i="2"/>
  <c r="K1266" i="2"/>
  <c r="I1266" i="2"/>
  <c r="W1265" i="2"/>
  <c r="X1265" i="2" s="1"/>
  <c r="R1265" i="2"/>
  <c r="F1265" i="2"/>
  <c r="W1264" i="2"/>
  <c r="X1264" i="2" s="1"/>
  <c r="R1264" i="2"/>
  <c r="F1264" i="2"/>
  <c r="W1263" i="2"/>
  <c r="X1263" i="2" s="1"/>
  <c r="R1263" i="2"/>
  <c r="F1263" i="2"/>
  <c r="W1262" i="2"/>
  <c r="X1262" i="2" s="1"/>
  <c r="R1262" i="2"/>
  <c r="F1262" i="2"/>
  <c r="W1261" i="2"/>
  <c r="X1261" i="2" s="1"/>
  <c r="R1261" i="2"/>
  <c r="F1261" i="2"/>
  <c r="W1260" i="2"/>
  <c r="X1260" i="2" s="1"/>
  <c r="R1260" i="2"/>
  <c r="M1260" i="2" s="1"/>
  <c r="W1259" i="2"/>
  <c r="X1259" i="2" s="1"/>
  <c r="T1259" i="2"/>
  <c r="R1259" i="2"/>
  <c r="F1259" i="2"/>
  <c r="W1258" i="2"/>
  <c r="X1258" i="2" s="1"/>
  <c r="T1258" i="2"/>
  <c r="R1258" i="2"/>
  <c r="F1258" i="2"/>
  <c r="W1257" i="2"/>
  <c r="X1257" i="2" s="1"/>
  <c r="T1257" i="2"/>
  <c r="R1257" i="2"/>
  <c r="F1257" i="2"/>
  <c r="W1256" i="2"/>
  <c r="X1256" i="2" s="1"/>
  <c r="T1256" i="2"/>
  <c r="R1256" i="2"/>
  <c r="W1255" i="2"/>
  <c r="X1255" i="2" s="1"/>
  <c r="T1255" i="2"/>
  <c r="R1255" i="2"/>
  <c r="W1254" i="2"/>
  <c r="X1254" i="2" s="1"/>
  <c r="R1254" i="2"/>
  <c r="M1254" i="2" s="1"/>
  <c r="W1253" i="2"/>
  <c r="X1253" i="2" s="1"/>
  <c r="R1253" i="2"/>
  <c r="F1253" i="2"/>
  <c r="W1252" i="2"/>
  <c r="X1252" i="2" s="1"/>
  <c r="R1252" i="2"/>
  <c r="F1252" i="2"/>
  <c r="W1251" i="2"/>
  <c r="X1251" i="2" s="1"/>
  <c r="R1251" i="2"/>
  <c r="W1250" i="2"/>
  <c r="X1250" i="2" s="1"/>
  <c r="R1250" i="2"/>
  <c r="F1250" i="2"/>
  <c r="W1249" i="2"/>
  <c r="R1249" i="2"/>
  <c r="W1248" i="2"/>
  <c r="T1248" i="2"/>
  <c r="R1248" i="2"/>
  <c r="F1248" i="2"/>
  <c r="F152" i="6" s="1"/>
  <c r="W1247" i="2"/>
  <c r="X1247" i="2" s="1"/>
  <c r="R1247" i="2"/>
  <c r="F1247" i="2"/>
  <c r="F151" i="6" s="1"/>
  <c r="W1246" i="2"/>
  <c r="X1246" i="2" s="1"/>
  <c r="R1246" i="2"/>
  <c r="W1245" i="2"/>
  <c r="X1245" i="2" s="1"/>
  <c r="R1245" i="2"/>
  <c r="W1244" i="2"/>
  <c r="X1244" i="2" s="1"/>
  <c r="T1244" i="2"/>
  <c r="R1244" i="2"/>
  <c r="W1243" i="2"/>
  <c r="X1243" i="2" s="1"/>
  <c r="T1243" i="2"/>
  <c r="R1243" i="2"/>
  <c r="W1242" i="2"/>
  <c r="X1242" i="2" s="1"/>
  <c r="R1242" i="2"/>
  <c r="W1241" i="2"/>
  <c r="X1241" i="2" s="1"/>
  <c r="R1241" i="2"/>
  <c r="M1241" i="2" s="1"/>
  <c r="K1241" i="2"/>
  <c r="W1240" i="2"/>
  <c r="X1240" i="2" s="1"/>
  <c r="R1240" i="2"/>
  <c r="I1240" i="2"/>
  <c r="F1240" i="2"/>
  <c r="W1239" i="2"/>
  <c r="X1239" i="2" s="1"/>
  <c r="R1239" i="2"/>
  <c r="F1239" i="2"/>
  <c r="W1238" i="2"/>
  <c r="X1238" i="2" s="1"/>
  <c r="R1238" i="2"/>
  <c r="F1238" i="2"/>
  <c r="W1237" i="2"/>
  <c r="R1237" i="2"/>
  <c r="M1237" i="2" s="1"/>
  <c r="W1236" i="2"/>
  <c r="X1236" i="2" s="1"/>
  <c r="T1236" i="2"/>
  <c r="R1236" i="2"/>
  <c r="F1236" i="2"/>
  <c r="W1235" i="2"/>
  <c r="X1235" i="2" s="1"/>
  <c r="T1235" i="2"/>
  <c r="R1235" i="2"/>
  <c r="F1235" i="2"/>
  <c r="W1234" i="2"/>
  <c r="X1234" i="2" s="1"/>
  <c r="T1234" i="2"/>
  <c r="R1234" i="2"/>
  <c r="F1234" i="2"/>
  <c r="W1233" i="2"/>
  <c r="X1233" i="2" s="1"/>
  <c r="T1233" i="2"/>
  <c r="R1233" i="2"/>
  <c r="W1232" i="2"/>
  <c r="X1232" i="2" s="1"/>
  <c r="T1232" i="2"/>
  <c r="R1232" i="2"/>
  <c r="W1231" i="2"/>
  <c r="X1231" i="2" s="1"/>
  <c r="T1231" i="2"/>
  <c r="R1231" i="2"/>
  <c r="W1230" i="2"/>
  <c r="X1230" i="2" s="1"/>
  <c r="T1230" i="2"/>
  <c r="R1230" i="2"/>
  <c r="W1229" i="2"/>
  <c r="R1229" i="2"/>
  <c r="S1229" i="2" s="1"/>
  <c r="M1229" i="2" s="1"/>
  <c r="W1228" i="2"/>
  <c r="T1228" i="2"/>
  <c r="F1228" i="2"/>
  <c r="W1227" i="2"/>
  <c r="X1227" i="2" s="1"/>
  <c r="T1227" i="2"/>
  <c r="R1227" i="2"/>
  <c r="F1227" i="2"/>
  <c r="W1225" i="2"/>
  <c r="X1225" i="2" s="1"/>
  <c r="T1225" i="2"/>
  <c r="R1225" i="2"/>
  <c r="W1224" i="2"/>
  <c r="X1224" i="2" s="1"/>
  <c r="W1223" i="2"/>
  <c r="X1223" i="2" s="1"/>
  <c r="T1223" i="2"/>
  <c r="R1223" i="2"/>
  <c r="W1222" i="2"/>
  <c r="R1222" i="2"/>
  <c r="M1222" i="2" s="1"/>
  <c r="W1221" i="2"/>
  <c r="X1221" i="2" s="1"/>
  <c r="T1221" i="2"/>
  <c r="R1221" i="2"/>
  <c r="F1221" i="2"/>
  <c r="W1220" i="2"/>
  <c r="X1220" i="2" s="1"/>
  <c r="T1220" i="2"/>
  <c r="R1220" i="2"/>
  <c r="F1220" i="2"/>
  <c r="W1219" i="2"/>
  <c r="X1219" i="2" s="1"/>
  <c r="T1219" i="2"/>
  <c r="R1219" i="2"/>
  <c r="F1219" i="2"/>
  <c r="W1218" i="2"/>
  <c r="X1218" i="2" s="1"/>
  <c r="T1218" i="2"/>
  <c r="R1218" i="2"/>
  <c r="W1217" i="2"/>
  <c r="X1217" i="2" s="1"/>
  <c r="T1217" i="2"/>
  <c r="R1217" i="2"/>
  <c r="W1216" i="2"/>
  <c r="X1216" i="2" s="1"/>
  <c r="T1216" i="2"/>
  <c r="R1216" i="2"/>
  <c r="W1215" i="2"/>
  <c r="X1215" i="2" s="1"/>
  <c r="R1215" i="2"/>
  <c r="M1215" i="2" s="1"/>
  <c r="W1214" i="2"/>
  <c r="X1214" i="2" s="1"/>
  <c r="R1214" i="2"/>
  <c r="F1214" i="2"/>
  <c r="W1212" i="2"/>
  <c r="X1212" i="2" s="1"/>
  <c r="R1212" i="2"/>
  <c r="W1211" i="2"/>
  <c r="X1211" i="2" s="1"/>
  <c r="R1211" i="2"/>
  <c r="W1210" i="2"/>
  <c r="X1210" i="2" s="1"/>
  <c r="R1210" i="2"/>
  <c r="W1209" i="2"/>
  <c r="R1209" i="2"/>
  <c r="M1209" i="2" s="1"/>
  <c r="W1208" i="2"/>
  <c r="X1208" i="2" s="1"/>
  <c r="T1208" i="2"/>
  <c r="R1208" i="2"/>
  <c r="F1208" i="2"/>
  <c r="W1207" i="2"/>
  <c r="X1207" i="2" s="1"/>
  <c r="T1207" i="2"/>
  <c r="R1207" i="2"/>
  <c r="F1207" i="2"/>
  <c r="W1205" i="2"/>
  <c r="X1205" i="2" s="1"/>
  <c r="T1205" i="2"/>
  <c r="R1205" i="2"/>
  <c r="W1204" i="2"/>
  <c r="X1204" i="2" s="1"/>
  <c r="T1204" i="2"/>
  <c r="R1204" i="2"/>
  <c r="W1203" i="2"/>
  <c r="X1203" i="2" s="1"/>
  <c r="T1203" i="2"/>
  <c r="R1203" i="2"/>
  <c r="W1202" i="2"/>
  <c r="X1202" i="2" s="1"/>
  <c r="T1202" i="2"/>
  <c r="R1202" i="2"/>
  <c r="W1201" i="2"/>
  <c r="R1201" i="2"/>
  <c r="W1200" i="2"/>
  <c r="X1200" i="2" s="1"/>
  <c r="T1200" i="2"/>
  <c r="R1200" i="2"/>
  <c r="F1200" i="2"/>
  <c r="F144" i="6" s="1"/>
  <c r="W1199" i="2"/>
  <c r="X1199" i="2" s="1"/>
  <c r="T1199" i="2"/>
  <c r="R1199" i="2"/>
  <c r="F1199" i="2"/>
  <c r="F143" i="6" s="1"/>
  <c r="W1198" i="2"/>
  <c r="X1198" i="2" s="1"/>
  <c r="T1198" i="2"/>
  <c r="R1198" i="2"/>
  <c r="W1197" i="2"/>
  <c r="X1197" i="2" s="1"/>
  <c r="T1197" i="2"/>
  <c r="R1197" i="2"/>
  <c r="W1196" i="2"/>
  <c r="X1196" i="2" s="1"/>
  <c r="R1196" i="2"/>
  <c r="W1195" i="2"/>
  <c r="X1195" i="2" s="1"/>
  <c r="R1195" i="2"/>
  <c r="M1195" i="2" s="1"/>
  <c r="N168" i="6" s="1"/>
  <c r="W1194" i="2"/>
  <c r="X1194" i="2" s="1"/>
  <c r="T1194" i="2"/>
  <c r="R1194" i="2"/>
  <c r="F1194" i="2"/>
  <c r="F167" i="6" s="1"/>
  <c r="W1193" i="2"/>
  <c r="X1193" i="2" s="1"/>
  <c r="T1193" i="2"/>
  <c r="R1193" i="2"/>
  <c r="F1193" i="2"/>
  <c r="F166" i="6" s="1"/>
  <c r="W1191" i="2"/>
  <c r="X1191" i="2" s="1"/>
  <c r="T1191" i="2"/>
  <c r="R1191" i="2"/>
  <c r="W1190" i="2"/>
  <c r="X1190" i="2" s="1"/>
  <c r="T1190" i="2"/>
  <c r="R1190" i="2"/>
  <c r="W1189" i="2"/>
  <c r="X1189" i="2" s="1"/>
  <c r="T1189" i="2"/>
  <c r="R1189" i="2"/>
  <c r="W1188" i="2"/>
  <c r="X1188" i="2" s="1"/>
  <c r="R1188" i="2"/>
  <c r="K1188" i="2"/>
  <c r="W1187" i="2"/>
  <c r="X1187" i="2" s="1"/>
  <c r="R1187" i="2"/>
  <c r="I1187" i="2"/>
  <c r="F1187" i="2"/>
  <c r="W1186" i="2"/>
  <c r="X1186" i="2" s="1"/>
  <c r="R1186" i="2"/>
  <c r="F1186" i="2"/>
  <c r="W1185" i="2"/>
  <c r="X1185" i="2" s="1"/>
  <c r="R1185" i="2"/>
  <c r="F1185" i="2"/>
  <c r="W1184" i="2"/>
  <c r="X1184" i="2" s="1"/>
  <c r="R1184" i="2"/>
  <c r="F1184" i="2"/>
  <c r="W1183" i="2"/>
  <c r="X1183" i="2" s="1"/>
  <c r="R1183" i="2"/>
  <c r="F1183" i="2"/>
  <c r="W1182" i="2"/>
  <c r="X1182" i="2" s="1"/>
  <c r="R1182" i="2"/>
  <c r="F1182" i="2"/>
  <c r="W1181" i="2"/>
  <c r="X1181" i="2" s="1"/>
  <c r="R1181" i="2"/>
  <c r="F1181" i="2"/>
  <c r="W1180" i="2"/>
  <c r="X1180" i="2" s="1"/>
  <c r="R1180" i="2"/>
  <c r="K1180" i="2"/>
  <c r="W1179" i="2"/>
  <c r="X1179" i="2" s="1"/>
  <c r="R1179" i="2"/>
  <c r="F1179" i="2"/>
  <c r="W1178" i="2"/>
  <c r="X1178" i="2" s="1"/>
  <c r="R1178" i="2"/>
  <c r="I1178" i="2"/>
  <c r="F1178" i="2"/>
  <c r="W1177" i="2"/>
  <c r="X1177" i="2" s="1"/>
  <c r="R1177" i="2"/>
  <c r="F1177" i="2"/>
  <c r="W1176" i="2"/>
  <c r="X1176" i="2" s="1"/>
  <c r="R1176" i="2"/>
  <c r="F1176" i="2"/>
  <c r="W1175" i="2"/>
  <c r="X1175" i="2" s="1"/>
  <c r="R1175" i="2"/>
  <c r="F1175" i="2"/>
  <c r="W1174" i="2"/>
  <c r="X1174" i="2" s="1"/>
  <c r="R1174" i="2"/>
  <c r="F1174" i="2"/>
  <c r="W1173" i="2"/>
  <c r="X1173" i="2" s="1"/>
  <c r="R1173" i="2"/>
  <c r="F1173" i="2"/>
  <c r="W1172" i="2"/>
  <c r="X1172" i="2" s="1"/>
  <c r="R1172" i="2"/>
  <c r="F1172" i="2"/>
  <c r="W1171" i="2"/>
  <c r="X1171" i="2" s="1"/>
  <c r="R1171" i="2"/>
  <c r="K1171" i="2"/>
  <c r="J1171" i="2"/>
  <c r="I1171" i="2"/>
  <c r="W1170" i="2"/>
  <c r="X1170" i="2" s="1"/>
  <c r="R1170" i="2"/>
  <c r="F1170" i="2"/>
  <c r="W1169" i="2"/>
  <c r="X1169" i="2" s="1"/>
  <c r="R1169" i="2"/>
  <c r="F1169" i="2"/>
  <c r="W1168" i="2"/>
  <c r="X1168" i="2" s="1"/>
  <c r="R1168" i="2"/>
  <c r="F1168" i="2"/>
  <c r="W1167" i="2"/>
  <c r="X1167" i="2" s="1"/>
  <c r="R1167" i="2"/>
  <c r="F1167" i="2"/>
  <c r="W1166" i="2"/>
  <c r="X1166" i="2" s="1"/>
  <c r="R1166" i="2"/>
  <c r="F1166" i="2"/>
  <c r="W1165" i="2"/>
  <c r="X1165" i="2" s="1"/>
  <c r="R1165" i="2"/>
  <c r="F1165" i="2"/>
  <c r="W1164" i="2"/>
  <c r="X1164" i="2" s="1"/>
  <c r="R1164" i="2"/>
  <c r="F1164" i="2"/>
  <c r="W1163" i="2"/>
  <c r="X1163" i="2" s="1"/>
  <c r="R1163" i="2"/>
  <c r="M1163" i="2" s="1"/>
  <c r="N122" i="6" s="1"/>
  <c r="W1162" i="2"/>
  <c r="X1162" i="2" s="1"/>
  <c r="T1162" i="2"/>
  <c r="R1162" i="2"/>
  <c r="F1162" i="2"/>
  <c r="F121" i="6" s="1"/>
  <c r="W1161" i="2"/>
  <c r="X1161" i="2" s="1"/>
  <c r="T1161" i="2"/>
  <c r="R1161" i="2"/>
  <c r="F1161" i="2"/>
  <c r="F120" i="6" s="1"/>
  <c r="W1160" i="2"/>
  <c r="X1160" i="2" s="1"/>
  <c r="T1160" i="2"/>
  <c r="R1160" i="2"/>
  <c r="F1160" i="2"/>
  <c r="F119" i="6" s="1"/>
  <c r="W1159" i="2"/>
  <c r="X1159" i="2" s="1"/>
  <c r="T1159" i="2"/>
  <c r="R1159" i="2"/>
  <c r="W1158" i="2"/>
  <c r="X1158" i="2" s="1"/>
  <c r="T1158" i="2"/>
  <c r="R1158" i="2"/>
  <c r="W1157" i="2"/>
  <c r="X1157" i="2" s="1"/>
  <c r="T1157" i="2"/>
  <c r="R1157" i="2"/>
  <c r="W1156" i="2"/>
  <c r="X1156" i="2" s="1"/>
  <c r="R1156" i="2"/>
  <c r="W1155" i="2"/>
  <c r="X1155" i="2" s="1"/>
  <c r="T1155" i="2"/>
  <c r="R1155" i="2"/>
  <c r="F1155" i="2"/>
  <c r="W1154" i="2"/>
  <c r="X1154" i="2" s="1"/>
  <c r="T1154" i="2"/>
  <c r="R1154" i="2"/>
  <c r="F1154" i="2"/>
  <c r="W1153" i="2"/>
  <c r="X1153" i="2" s="1"/>
  <c r="T1153" i="2"/>
  <c r="R1153" i="2"/>
  <c r="W1152" i="2"/>
  <c r="X1152" i="2" s="1"/>
  <c r="T1152" i="2"/>
  <c r="R1152" i="2"/>
  <c r="W1151" i="2"/>
  <c r="X1151" i="2" s="1"/>
  <c r="T1151" i="2"/>
  <c r="R1151" i="2"/>
  <c r="W1150" i="2"/>
  <c r="X1150" i="2" s="1"/>
  <c r="R1150" i="2"/>
  <c r="M1150" i="2" s="1"/>
  <c r="W1149" i="2"/>
  <c r="X1149" i="2" s="1"/>
  <c r="T1149" i="2"/>
  <c r="R1149" i="2"/>
  <c r="F1149" i="2"/>
  <c r="W1148" i="2"/>
  <c r="X1148" i="2" s="1"/>
  <c r="T1148" i="2"/>
  <c r="R1148" i="2"/>
  <c r="F1148" i="2"/>
  <c r="W1147" i="2"/>
  <c r="X1147" i="2" s="1"/>
  <c r="T1147" i="2"/>
  <c r="R1147" i="2"/>
  <c r="W1146" i="2"/>
  <c r="X1146" i="2" s="1"/>
  <c r="T1146" i="2"/>
  <c r="R1146" i="2"/>
  <c r="W1139" i="2"/>
  <c r="X1139" i="2" s="1"/>
  <c r="R1139" i="2"/>
  <c r="M1139" i="2" s="1"/>
  <c r="W1138" i="2"/>
  <c r="X1138" i="2" s="1"/>
  <c r="T1138" i="2"/>
  <c r="R1138" i="2"/>
  <c r="F1138" i="2"/>
  <c r="W1137" i="2"/>
  <c r="X1137" i="2" s="1"/>
  <c r="T1137" i="2"/>
  <c r="R1137" i="2"/>
  <c r="F1137" i="2"/>
  <c r="W1136" i="2"/>
  <c r="X1136" i="2" s="1"/>
  <c r="T1136" i="2"/>
  <c r="R1136" i="2"/>
  <c r="F1136" i="2"/>
  <c r="W1135" i="2"/>
  <c r="X1135" i="2" s="1"/>
  <c r="T1135" i="2"/>
  <c r="R1135" i="2"/>
  <c r="F1135" i="2"/>
  <c r="W1134" i="2"/>
  <c r="X1134" i="2" s="1"/>
  <c r="R1134" i="2"/>
  <c r="F1134" i="2"/>
  <c r="W1128" i="2"/>
  <c r="X1128" i="2" s="1"/>
  <c r="R1128" i="2"/>
  <c r="M1128" i="2" s="1"/>
  <c r="N104" i="6" s="1"/>
  <c r="W1127" i="2"/>
  <c r="X1127" i="2" s="1"/>
  <c r="R1127" i="2"/>
  <c r="F1127" i="2"/>
  <c r="F103" i="6" s="1"/>
  <c r="W1125" i="2"/>
  <c r="X1125" i="2" s="1"/>
  <c r="R1125" i="2"/>
  <c r="F101" i="6"/>
  <c r="W1124" i="2"/>
  <c r="X1124" i="2" s="1"/>
  <c r="R1124" i="2"/>
  <c r="F100" i="6"/>
  <c r="W1123" i="2"/>
  <c r="X1123" i="2" s="1"/>
  <c r="R1123" i="2"/>
  <c r="F99" i="6"/>
  <c r="W1122" i="2"/>
  <c r="X1122" i="2" s="1"/>
  <c r="R1122" i="2"/>
  <c r="F98" i="6"/>
  <c r="W1121" i="2"/>
  <c r="X1121" i="2" s="1"/>
  <c r="R1121" i="2"/>
  <c r="F1121" i="2"/>
  <c r="F97" i="6" s="1"/>
  <c r="W1113" i="2"/>
  <c r="X1113" i="2" s="1"/>
  <c r="R1113" i="2"/>
  <c r="M1113" i="2" s="1"/>
  <c r="N89" i="6" s="1"/>
  <c r="W1112" i="2"/>
  <c r="X1112" i="2" s="1"/>
  <c r="R1112" i="2"/>
  <c r="F1112" i="2"/>
  <c r="F88" i="6" s="1"/>
  <c r="W1111" i="2"/>
  <c r="X1111" i="2" s="1"/>
  <c r="R1111" i="2"/>
  <c r="F1111" i="2"/>
  <c r="F87" i="6" s="1"/>
  <c r="W1110" i="2"/>
  <c r="X1110" i="2" s="1"/>
  <c r="R1110" i="2"/>
  <c r="F1110" i="2"/>
  <c r="F86" i="6" s="1"/>
  <c r="W1109" i="2"/>
  <c r="X1109" i="2" s="1"/>
  <c r="R1109" i="2"/>
  <c r="F1109" i="2"/>
  <c r="F85" i="6" s="1"/>
  <c r="W1108" i="2"/>
  <c r="X1108" i="2" s="1"/>
  <c r="R1108" i="2"/>
  <c r="F1108" i="2"/>
  <c r="F84" i="6" s="1"/>
  <c r="W1107" i="2"/>
  <c r="X1107" i="2" s="1"/>
  <c r="R1107" i="2"/>
  <c r="F83" i="6"/>
  <c r="W1106" i="2"/>
  <c r="X1106" i="2" s="1"/>
  <c r="R1106" i="2"/>
  <c r="M1106" i="2" s="1"/>
  <c r="W1105" i="2"/>
  <c r="X1105" i="2" s="1"/>
  <c r="T1105" i="2"/>
  <c r="R1105" i="2"/>
  <c r="F1105" i="2"/>
  <c r="W1104" i="2"/>
  <c r="X1104" i="2" s="1"/>
  <c r="T1104" i="2"/>
  <c r="R1104" i="2"/>
  <c r="F1104" i="2"/>
  <c r="W1103" i="2"/>
  <c r="X1103" i="2" s="1"/>
  <c r="T1103" i="2"/>
  <c r="R1103" i="2"/>
  <c r="F1103" i="2"/>
  <c r="W1102" i="2"/>
  <c r="X1102" i="2" s="1"/>
  <c r="T1102" i="2"/>
  <c r="R1102" i="2"/>
  <c r="F1102" i="2"/>
  <c r="W1101" i="2"/>
  <c r="X1101" i="2" s="1"/>
  <c r="T1101" i="2"/>
  <c r="R1101" i="2"/>
  <c r="W1100" i="2"/>
  <c r="X1100" i="2" s="1"/>
  <c r="T1100" i="2"/>
  <c r="R1100" i="2"/>
  <c r="W1099" i="2"/>
  <c r="X1099" i="2" s="1"/>
  <c r="T1099" i="2"/>
  <c r="R1099" i="2"/>
  <c r="W1098" i="2"/>
  <c r="R1098" i="2"/>
  <c r="M1098" i="2" s="1"/>
  <c r="M80" i="7" s="1"/>
  <c r="W1097" i="2"/>
  <c r="X1097" i="2" s="1"/>
  <c r="T1097" i="2"/>
  <c r="R1097" i="2"/>
  <c r="F1097" i="2"/>
  <c r="F79" i="7" s="1"/>
  <c r="W1096" i="2"/>
  <c r="X1096" i="2" s="1"/>
  <c r="T1096" i="2"/>
  <c r="R1096" i="2"/>
  <c r="F1096" i="2"/>
  <c r="F78" i="7" s="1"/>
  <c r="W1095" i="2"/>
  <c r="X1095" i="2" s="1"/>
  <c r="T1095" i="2"/>
  <c r="R1095" i="2"/>
  <c r="W1094" i="2"/>
  <c r="X1094" i="2" s="1"/>
  <c r="T1094" i="2"/>
  <c r="R1094" i="2"/>
  <c r="W1093" i="2"/>
  <c r="X1093" i="2" s="1"/>
  <c r="T1093" i="2"/>
  <c r="R1093" i="2"/>
  <c r="W1092" i="2"/>
  <c r="X1092" i="2" s="1"/>
  <c r="T1092" i="2"/>
  <c r="R1092" i="2"/>
  <c r="W1091" i="2"/>
  <c r="X1091" i="2" s="1"/>
  <c r="R1091" i="2"/>
  <c r="W1090" i="2"/>
  <c r="X1090" i="2" s="1"/>
  <c r="T1090" i="2"/>
  <c r="R1090" i="2"/>
  <c r="F1090" i="2"/>
  <c r="W1089" i="2"/>
  <c r="X1089" i="2" s="1"/>
  <c r="T1089" i="2"/>
  <c r="R1089" i="2"/>
  <c r="F1089" i="2"/>
  <c r="W1088" i="2"/>
  <c r="X1088" i="2" s="1"/>
  <c r="T1088" i="2"/>
  <c r="R1088" i="2"/>
  <c r="F1088" i="2"/>
  <c r="W1087" i="2"/>
  <c r="X1087" i="2" s="1"/>
  <c r="T1087" i="2"/>
  <c r="R1087" i="2"/>
  <c r="F1087" i="2"/>
  <c r="W1086" i="2"/>
  <c r="X1086" i="2" s="1"/>
  <c r="T1086" i="2"/>
  <c r="R1086" i="2"/>
  <c r="W1085" i="2"/>
  <c r="X1085" i="2" s="1"/>
  <c r="T1085" i="2"/>
  <c r="R1085" i="2"/>
  <c r="W1084" i="2"/>
  <c r="X1084" i="2" s="1"/>
  <c r="R1084" i="2"/>
  <c r="K1084" i="2"/>
  <c r="I1084" i="2"/>
  <c r="W1083" i="2"/>
  <c r="X1083" i="2" s="1"/>
  <c r="R1083" i="2"/>
  <c r="F1083" i="2"/>
  <c r="W1082" i="2"/>
  <c r="X1082" i="2" s="1"/>
  <c r="R1082" i="2"/>
  <c r="F1082" i="2"/>
  <c r="W1081" i="2"/>
  <c r="X1081" i="2" s="1"/>
  <c r="R1081" i="2"/>
  <c r="F1081" i="2"/>
  <c r="W1080" i="2"/>
  <c r="X1080" i="2" s="1"/>
  <c r="R1080" i="2"/>
  <c r="F1080" i="2"/>
  <c r="W1079" i="2"/>
  <c r="X1079" i="2" s="1"/>
  <c r="R1079" i="2"/>
  <c r="F1079" i="2"/>
  <c r="W1078" i="2"/>
  <c r="W1077" i="2"/>
  <c r="X1077" i="2" s="1"/>
  <c r="T1077" i="2"/>
  <c r="R1077" i="2"/>
  <c r="F1077" i="2"/>
  <c r="F68" i="6" s="1"/>
  <c r="W1074" i="2"/>
  <c r="X1074" i="2" s="1"/>
  <c r="R1074" i="2"/>
  <c r="W1073" i="2"/>
  <c r="X1073" i="2" s="1"/>
  <c r="R1073" i="2"/>
  <c r="W1072" i="2"/>
  <c r="X1072" i="2" s="1"/>
  <c r="R1072" i="2"/>
  <c r="W1071" i="2"/>
  <c r="X1071" i="2" s="1"/>
  <c r="R1071" i="2"/>
  <c r="W1070" i="2"/>
  <c r="X1070" i="2" s="1"/>
  <c r="R1070" i="2"/>
  <c r="W1069" i="2"/>
  <c r="X1069" i="2" s="1"/>
  <c r="R1069" i="2"/>
  <c r="W1068" i="2"/>
  <c r="T1068" i="2"/>
  <c r="R1068" i="2"/>
  <c r="F1068" i="2"/>
  <c r="W1067" i="2"/>
  <c r="X1067" i="2" s="1"/>
  <c r="T1067" i="2"/>
  <c r="R1067" i="2"/>
  <c r="F1067" i="2"/>
  <c r="W1066" i="2"/>
  <c r="X1066" i="2" s="1"/>
  <c r="T1066" i="2"/>
  <c r="R1066" i="2"/>
  <c r="F1066" i="2"/>
  <c r="W1065" i="2"/>
  <c r="X1065" i="2" s="1"/>
  <c r="T1065" i="2"/>
  <c r="R1065" i="2"/>
  <c r="F1065" i="2"/>
  <c r="W1064" i="2"/>
  <c r="X1064" i="2" s="1"/>
  <c r="T1064" i="2"/>
  <c r="R1064" i="2"/>
  <c r="F1064" i="2"/>
  <c r="W1063" i="2"/>
  <c r="X1063" i="2" s="1"/>
  <c r="T1063" i="2"/>
  <c r="R1063" i="2"/>
  <c r="F1063" i="2"/>
  <c r="W1062" i="2"/>
  <c r="X1062" i="2" s="1"/>
  <c r="W1061" i="2"/>
  <c r="X1061" i="2" s="1"/>
  <c r="T1061" i="2"/>
  <c r="R1061" i="2"/>
  <c r="F1061" i="2"/>
  <c r="F52" i="6" s="1"/>
  <c r="W1060" i="2"/>
  <c r="X1060" i="2" s="1"/>
  <c r="T1060" i="2"/>
  <c r="R1060" i="2"/>
  <c r="F1060" i="2"/>
  <c r="F51" i="6" s="1"/>
  <c r="W1059" i="2"/>
  <c r="X1059" i="2" s="1"/>
  <c r="T1059" i="2"/>
  <c r="R1059" i="2"/>
  <c r="F50" i="6"/>
  <c r="W1058" i="2"/>
  <c r="X1058" i="2" s="1"/>
  <c r="T1058" i="2"/>
  <c r="R1058" i="2"/>
  <c r="W1057" i="2"/>
  <c r="X1057" i="2" s="1"/>
  <c r="T1057" i="2"/>
  <c r="R1057" i="2"/>
  <c r="W1056" i="2"/>
  <c r="X1056" i="2" s="1"/>
  <c r="R1056" i="2"/>
  <c r="W1055" i="2"/>
  <c r="X1055" i="2" s="1"/>
  <c r="T1055" i="2"/>
  <c r="R1055" i="2"/>
  <c r="F1055" i="2"/>
  <c r="F46" i="6" s="1"/>
  <c r="W1053" i="2"/>
  <c r="X1053" i="2" s="1"/>
  <c r="T1053" i="2"/>
  <c r="R1053" i="2"/>
  <c r="F44" i="6"/>
  <c r="W1052" i="2"/>
  <c r="X1052" i="2" s="1"/>
  <c r="T1052" i="2"/>
  <c r="R1052" i="2"/>
  <c r="W1051" i="2"/>
  <c r="X1051" i="2" s="1"/>
  <c r="T1051" i="2"/>
  <c r="R1051" i="2"/>
  <c r="W1050" i="2"/>
  <c r="X1050" i="2" s="1"/>
  <c r="T1050" i="2"/>
  <c r="R1050" i="2"/>
  <c r="W1049" i="2"/>
  <c r="X1049" i="2" s="1"/>
  <c r="T1049" i="2"/>
  <c r="R1049" i="2"/>
  <c r="W1048" i="2"/>
  <c r="R1048" i="2"/>
  <c r="M1048" i="2" s="1"/>
  <c r="W1047" i="2"/>
  <c r="X1047" i="2" s="1"/>
  <c r="T1047" i="2"/>
  <c r="R1047" i="2"/>
  <c r="F1047" i="2"/>
  <c r="W1046" i="2"/>
  <c r="X1046" i="2" s="1"/>
  <c r="T1046" i="2"/>
  <c r="R1046" i="2"/>
  <c r="F1046" i="2"/>
  <c r="W1045" i="2"/>
  <c r="X1045" i="2" s="1"/>
  <c r="T1045" i="2"/>
  <c r="R1045" i="2"/>
  <c r="F1045" i="2"/>
  <c r="W1044" i="2"/>
  <c r="X1044" i="2" s="1"/>
  <c r="T1044" i="2"/>
  <c r="R1044" i="2"/>
  <c r="F1044" i="2"/>
  <c r="W1043" i="2"/>
  <c r="X1043" i="2" s="1"/>
  <c r="T1043" i="2"/>
  <c r="R1043" i="2"/>
  <c r="W1042" i="2"/>
  <c r="X1042" i="2" s="1"/>
  <c r="T1042" i="2"/>
  <c r="R1042" i="2"/>
  <c r="W1041" i="2"/>
  <c r="X1041" i="2" s="1"/>
  <c r="T1041" i="2"/>
  <c r="R1041" i="2"/>
  <c r="W1040" i="2"/>
  <c r="X1040" i="2" s="1"/>
  <c r="R1040" i="2"/>
  <c r="M1040" i="2" s="1"/>
  <c r="W1039" i="2"/>
  <c r="X1039" i="2" s="1"/>
  <c r="T1039" i="2"/>
  <c r="R1039" i="2"/>
  <c r="F1039" i="2"/>
  <c r="W1037" i="2"/>
  <c r="X1037" i="2" s="1"/>
  <c r="T1037" i="2"/>
  <c r="R1037" i="2"/>
  <c r="W1036" i="2"/>
  <c r="X1036" i="2" s="1"/>
  <c r="T1036" i="2"/>
  <c r="R1036" i="2"/>
  <c r="W1035" i="2"/>
  <c r="X1035" i="2" s="1"/>
  <c r="T1035" i="2"/>
  <c r="R1035" i="2"/>
  <c r="W1034" i="2"/>
  <c r="X1034" i="2" s="1"/>
  <c r="R1034" i="2"/>
  <c r="K1034" i="2"/>
  <c r="W1033" i="2"/>
  <c r="X1033" i="2" s="1"/>
  <c r="R1033" i="2"/>
  <c r="I1033" i="2"/>
  <c r="F1033" i="2"/>
  <c r="W1032" i="2"/>
  <c r="X1032" i="2" s="1"/>
  <c r="R1032" i="2"/>
  <c r="F1032" i="2"/>
  <c r="W1031" i="2"/>
  <c r="X1031" i="2" s="1"/>
  <c r="R1031" i="2"/>
  <c r="W1030" i="2"/>
  <c r="X1030" i="2" s="1"/>
  <c r="R1030" i="2"/>
  <c r="F1030" i="2"/>
  <c r="W1029" i="2"/>
  <c r="X1029" i="2" s="1"/>
  <c r="R1029" i="2"/>
  <c r="W1028" i="2"/>
  <c r="X1028" i="2" s="1"/>
  <c r="R1028" i="2"/>
  <c r="F1028" i="2"/>
  <c r="W1027" i="2"/>
  <c r="X1027" i="2" s="1"/>
  <c r="R1027" i="2"/>
  <c r="F1027" i="2"/>
  <c r="W1026" i="2"/>
  <c r="X1026" i="2" s="1"/>
  <c r="R1026" i="2"/>
  <c r="F1026" i="2"/>
  <c r="W1025" i="2"/>
  <c r="X1025" i="2" s="1"/>
  <c r="R1025" i="2"/>
  <c r="F1025" i="2"/>
  <c r="W1024" i="2"/>
  <c r="X1024" i="2" s="1"/>
  <c r="R1024" i="2"/>
  <c r="F1024" i="2"/>
  <c r="W1023" i="2"/>
  <c r="X1023" i="2" s="1"/>
  <c r="R1023" i="2"/>
  <c r="M1023" i="2" s="1"/>
  <c r="W1022" i="2"/>
  <c r="X1022" i="2" s="1"/>
  <c r="T1022" i="2"/>
  <c r="R1022" i="2"/>
  <c r="F1022" i="2"/>
  <c r="W1021" i="2"/>
  <c r="X1021" i="2" s="1"/>
  <c r="T1021" i="2"/>
  <c r="R1021" i="2"/>
  <c r="F1021" i="2"/>
  <c r="W1020" i="2"/>
  <c r="X1020" i="2" s="1"/>
  <c r="T1020" i="2"/>
  <c r="R1020" i="2"/>
  <c r="W1019" i="2"/>
  <c r="X1019" i="2" s="1"/>
  <c r="T1019" i="2"/>
  <c r="R1019" i="2"/>
  <c r="F1019" i="2"/>
  <c r="W1018" i="2"/>
  <c r="X1018" i="2" s="1"/>
  <c r="T1018" i="2"/>
  <c r="R1018" i="2"/>
  <c r="W1017" i="2"/>
  <c r="X1017" i="2" s="1"/>
  <c r="R1017" i="2"/>
  <c r="W1016" i="2"/>
  <c r="X1016" i="2" s="1"/>
  <c r="T1015" i="2"/>
  <c r="S1016" i="2"/>
  <c r="M1016" i="2" s="1"/>
  <c r="F1015" i="2"/>
  <c r="W1014" i="2"/>
  <c r="X1014" i="2" s="1"/>
  <c r="R1014" i="2"/>
  <c r="F1014" i="2"/>
  <c r="W1013" i="2"/>
  <c r="X1013" i="2" s="1"/>
  <c r="R1013" i="2"/>
  <c r="F1013" i="2"/>
  <c r="W1012" i="2"/>
  <c r="X1012" i="2" s="1"/>
  <c r="R1012" i="2"/>
  <c r="F1012" i="2"/>
  <c r="W1011" i="2"/>
  <c r="X1011" i="2" s="1"/>
  <c r="R1011" i="2"/>
  <c r="F1011" i="2"/>
  <c r="W1010" i="2"/>
  <c r="X1010" i="2" s="1"/>
  <c r="R1010" i="2"/>
  <c r="W1009" i="2"/>
  <c r="X1009" i="2" s="1"/>
  <c r="R1009" i="2"/>
  <c r="W1008" i="2"/>
  <c r="X1008" i="2" s="1"/>
  <c r="R1008" i="2"/>
  <c r="W1000" i="2"/>
  <c r="X1000" i="2" s="1"/>
  <c r="R1000" i="2"/>
  <c r="M1000" i="2" s="1"/>
  <c r="W999" i="2"/>
  <c r="X999" i="2" s="1"/>
  <c r="T999" i="2"/>
  <c r="R999" i="2"/>
  <c r="F999" i="2"/>
  <c r="F38" i="6" s="1"/>
  <c r="W996" i="2"/>
  <c r="X996" i="2" s="1"/>
  <c r="R996" i="2"/>
  <c r="W995" i="2"/>
  <c r="X995" i="2" s="1"/>
  <c r="R995" i="2"/>
  <c r="W994" i="2"/>
  <c r="X994" i="2" s="1"/>
  <c r="R994" i="2"/>
  <c r="F33" i="6"/>
  <c r="W993" i="2"/>
  <c r="W992" i="2"/>
  <c r="X992" i="2" s="1"/>
  <c r="T992" i="2"/>
  <c r="S993" i="2"/>
  <c r="F992" i="2"/>
  <c r="F72" i="7" s="1"/>
  <c r="W991" i="2"/>
  <c r="X991" i="2" s="1"/>
  <c r="R991" i="2"/>
  <c r="F991" i="2"/>
  <c r="F71" i="7" s="1"/>
  <c r="W990" i="2"/>
  <c r="X990" i="2" s="1"/>
  <c r="R990" i="2"/>
  <c r="F70" i="7"/>
  <c r="W989" i="2"/>
  <c r="X989" i="2" s="1"/>
  <c r="R989" i="2"/>
  <c r="W988" i="2"/>
  <c r="X988" i="2" s="1"/>
  <c r="T988" i="2"/>
  <c r="R988" i="2"/>
  <c r="W969" i="2"/>
  <c r="X969" i="2" s="1"/>
  <c r="R969" i="2"/>
  <c r="M969" i="2" s="1"/>
  <c r="W968" i="2"/>
  <c r="X968" i="2" s="1"/>
  <c r="T968" i="2"/>
  <c r="R968" i="2"/>
  <c r="F968" i="2"/>
  <c r="W967" i="2"/>
  <c r="X967" i="2" s="1"/>
  <c r="T967" i="2"/>
  <c r="R967" i="2"/>
  <c r="F967" i="2"/>
  <c r="W966" i="2"/>
  <c r="X966" i="2" s="1"/>
  <c r="T966" i="2"/>
  <c r="R966" i="2"/>
  <c r="W965" i="2"/>
  <c r="X965" i="2" s="1"/>
  <c r="T965" i="2"/>
  <c r="R965" i="2"/>
  <c r="W964" i="2"/>
  <c r="X964" i="2" s="1"/>
  <c r="T964" i="2"/>
  <c r="R964" i="2"/>
  <c r="W963" i="2"/>
  <c r="R963" i="2"/>
  <c r="M963" i="2" s="1"/>
  <c r="M67" i="7" s="1"/>
  <c r="W962" i="2"/>
  <c r="X962" i="2" s="1"/>
  <c r="T962" i="2"/>
  <c r="R962" i="2"/>
  <c r="F962" i="2"/>
  <c r="F66" i="7" s="1"/>
  <c r="W960" i="2"/>
  <c r="X960" i="2" s="1"/>
  <c r="T960" i="2"/>
  <c r="R960" i="2"/>
  <c r="W959" i="2"/>
  <c r="X959" i="2" s="1"/>
  <c r="T959" i="2"/>
  <c r="R959" i="2"/>
  <c r="W958" i="2"/>
  <c r="X958" i="2" s="1"/>
  <c r="T958" i="2"/>
  <c r="R958" i="2"/>
  <c r="W957" i="2"/>
  <c r="X957" i="2" s="1"/>
  <c r="T957" i="2"/>
  <c r="R957" i="2"/>
  <c r="W956" i="2"/>
  <c r="X956" i="2" s="1"/>
  <c r="R956" i="2"/>
  <c r="J956" i="2"/>
  <c r="I956" i="2"/>
  <c r="W955" i="2"/>
  <c r="X955" i="2" s="1"/>
  <c r="R955" i="2"/>
  <c r="F955" i="2"/>
  <c r="W954" i="2"/>
  <c r="X954" i="2" s="1"/>
  <c r="R954" i="2"/>
  <c r="F954" i="2"/>
  <c r="W953" i="2"/>
  <c r="X953" i="2" s="1"/>
  <c r="R953" i="2"/>
  <c r="M953" i="2" s="1"/>
  <c r="M60" i="7" s="1"/>
  <c r="W952" i="2"/>
  <c r="X952" i="2" s="1"/>
  <c r="R952" i="2"/>
  <c r="F952" i="2"/>
  <c r="W951" i="2"/>
  <c r="X951" i="2" s="1"/>
  <c r="R951" i="2"/>
  <c r="F56" i="7"/>
  <c r="W950" i="2"/>
  <c r="X950" i="2" s="1"/>
  <c r="T950" i="2"/>
  <c r="R950" i="2"/>
  <c r="W949" i="2"/>
  <c r="X949" i="2" s="1"/>
  <c r="T949" i="2"/>
  <c r="R949" i="2"/>
  <c r="F54" i="7"/>
  <c r="W946" i="2"/>
  <c r="X946" i="2" s="1"/>
  <c r="T946" i="2"/>
  <c r="R946" i="2"/>
  <c r="F51" i="7"/>
  <c r="W944" i="2"/>
  <c r="X944" i="2" s="1"/>
  <c r="T944" i="2"/>
  <c r="R944" i="2"/>
  <c r="F49" i="7"/>
  <c r="W943" i="2"/>
  <c r="X943" i="2" s="1"/>
  <c r="T943" i="2"/>
  <c r="R943" i="2"/>
  <c r="W942" i="2"/>
  <c r="X942" i="2" s="1"/>
  <c r="R942" i="2"/>
  <c r="W941" i="2"/>
  <c r="X941" i="2" s="1"/>
  <c r="R941" i="2"/>
  <c r="M941" i="2" s="1"/>
  <c r="W940" i="2"/>
  <c r="X940" i="2" s="1"/>
  <c r="T940" i="2"/>
  <c r="R940" i="2"/>
  <c r="F940" i="2"/>
  <c r="W939" i="2"/>
  <c r="X939" i="2" s="1"/>
  <c r="T939" i="2"/>
  <c r="R939" i="2"/>
  <c r="F939" i="2"/>
  <c r="W938" i="2"/>
  <c r="X938" i="2" s="1"/>
  <c r="T938" i="2"/>
  <c r="R938" i="2"/>
  <c r="W937" i="2"/>
  <c r="X937" i="2" s="1"/>
  <c r="T937" i="2"/>
  <c r="R937" i="2"/>
  <c r="W936" i="2"/>
  <c r="X936" i="2" s="1"/>
  <c r="T936" i="2"/>
  <c r="R936" i="2"/>
  <c r="W935" i="2"/>
  <c r="X935" i="2" s="1"/>
  <c r="R935" i="2"/>
  <c r="W934" i="2"/>
  <c r="X934" i="2" s="1"/>
  <c r="T934" i="2"/>
  <c r="R934" i="2"/>
  <c r="F934" i="2"/>
  <c r="W933" i="2"/>
  <c r="X933" i="2" s="1"/>
  <c r="T933" i="2"/>
  <c r="R933" i="2"/>
  <c r="F933" i="2"/>
  <c r="W932" i="2"/>
  <c r="X932" i="2" s="1"/>
  <c r="T932" i="2"/>
  <c r="R932" i="2"/>
  <c r="J932" i="2"/>
  <c r="I932" i="2"/>
  <c r="W931" i="2"/>
  <c r="X931" i="2" s="1"/>
  <c r="T931" i="2"/>
  <c r="R931" i="2"/>
  <c r="F931" i="2"/>
  <c r="W930" i="2"/>
  <c r="X930" i="2" s="1"/>
  <c r="T930" i="2"/>
  <c r="R930" i="2"/>
  <c r="F930" i="2"/>
  <c r="W929" i="2"/>
  <c r="X929" i="2" s="1"/>
  <c r="T929" i="2"/>
  <c r="R929" i="2"/>
  <c r="F929" i="2"/>
  <c r="W928" i="2"/>
  <c r="X928" i="2" s="1"/>
  <c r="T928" i="2"/>
  <c r="R928" i="2"/>
  <c r="F928" i="2"/>
  <c r="W927" i="2"/>
  <c r="W926" i="2"/>
  <c r="T926" i="2"/>
  <c r="R926" i="2"/>
  <c r="M927" i="2" s="1"/>
  <c r="F926" i="2"/>
  <c r="W925" i="2"/>
  <c r="X925" i="2" s="1"/>
  <c r="T925" i="2"/>
  <c r="R925" i="2"/>
  <c r="W924" i="2"/>
  <c r="X924" i="2" s="1"/>
  <c r="T924" i="2"/>
  <c r="R924" i="2"/>
  <c r="W923" i="2"/>
  <c r="X923" i="2" s="1"/>
  <c r="R923" i="2"/>
  <c r="W922" i="2"/>
  <c r="X922" i="2" s="1"/>
  <c r="R922" i="2"/>
  <c r="W913" i="2"/>
  <c r="X913" i="2" s="1"/>
  <c r="R913" i="2"/>
  <c r="W912" i="2"/>
  <c r="X912" i="2" s="1"/>
  <c r="R912" i="2"/>
  <c r="W911" i="2"/>
  <c r="X911" i="2" s="1"/>
  <c r="R911" i="2"/>
  <c r="W910" i="2"/>
  <c r="X910" i="2" s="1"/>
  <c r="R910" i="2"/>
  <c r="W909" i="2"/>
  <c r="W908" i="2"/>
  <c r="X908" i="2" s="1"/>
  <c r="T908" i="2"/>
  <c r="R908" i="2"/>
  <c r="M909" i="2" s="1"/>
  <c r="F908" i="2"/>
  <c r="W907" i="2"/>
  <c r="X907" i="2" s="1"/>
  <c r="T907" i="2"/>
  <c r="R907" i="2"/>
  <c r="F907" i="2"/>
  <c r="W906" i="2"/>
  <c r="X906" i="2" s="1"/>
  <c r="T906" i="2"/>
  <c r="R906" i="2"/>
  <c r="W905" i="2"/>
  <c r="X905" i="2" s="1"/>
  <c r="T905" i="2"/>
  <c r="R905" i="2"/>
  <c r="W904" i="2"/>
  <c r="X904" i="2" s="1"/>
  <c r="R904" i="2"/>
  <c r="W903" i="2"/>
  <c r="X903" i="2" s="1"/>
  <c r="W902" i="2"/>
  <c r="X902" i="2" s="1"/>
  <c r="R902" i="2"/>
  <c r="W901" i="2"/>
  <c r="X901" i="2" s="1"/>
  <c r="R901" i="2"/>
  <c r="W900" i="2"/>
  <c r="X900" i="2" s="1"/>
  <c r="R900" i="2"/>
  <c r="F900" i="2"/>
  <c r="W899" i="2"/>
  <c r="W898" i="2"/>
  <c r="X898" i="2" s="1"/>
  <c r="R898" i="2"/>
  <c r="M899" i="2" s="1"/>
  <c r="F898" i="2"/>
  <c r="W897" i="2"/>
  <c r="X897" i="2" s="1"/>
  <c r="R897" i="2"/>
  <c r="F897" i="2"/>
  <c r="W896" i="2"/>
  <c r="X896" i="2" s="1"/>
  <c r="R896" i="2"/>
  <c r="F896" i="2"/>
  <c r="W895" i="2"/>
  <c r="X895" i="2" s="1"/>
  <c r="R895" i="2"/>
  <c r="F895" i="2"/>
  <c r="W894" i="2"/>
  <c r="X894" i="2" s="1"/>
  <c r="R894" i="2"/>
  <c r="W893" i="2"/>
  <c r="X893" i="2" s="1"/>
  <c r="R893" i="2"/>
  <c r="W892" i="2"/>
  <c r="X892" i="2" s="1"/>
  <c r="R892" i="2"/>
  <c r="W891" i="2"/>
  <c r="X891" i="2" s="1"/>
  <c r="R891" i="2"/>
  <c r="W890" i="2"/>
  <c r="X890" i="2" s="1"/>
  <c r="R890" i="2"/>
  <c r="M890" i="2" s="1"/>
  <c r="W889" i="2"/>
  <c r="X889" i="2" s="1"/>
  <c r="T889" i="2"/>
  <c r="R889" i="2"/>
  <c r="F889" i="2"/>
  <c r="W888" i="2"/>
  <c r="X888" i="2" s="1"/>
  <c r="T888" i="2"/>
  <c r="R888" i="2"/>
  <c r="F888" i="2"/>
  <c r="W887" i="2"/>
  <c r="X887" i="2" s="1"/>
  <c r="T887" i="2"/>
  <c r="R887" i="2"/>
  <c r="F887" i="2"/>
  <c r="W886" i="2"/>
  <c r="X886" i="2" s="1"/>
  <c r="T886" i="2"/>
  <c r="R886" i="2"/>
  <c r="F886" i="2"/>
  <c r="W885" i="2"/>
  <c r="X885" i="2" s="1"/>
  <c r="T885" i="2"/>
  <c r="R885" i="2"/>
  <c r="W884" i="2"/>
  <c r="X884" i="2" s="1"/>
  <c r="T884" i="2"/>
  <c r="R884" i="2"/>
  <c r="W883" i="2"/>
  <c r="X883" i="2" s="1"/>
  <c r="R883" i="2"/>
  <c r="F883" i="2"/>
  <c r="W882" i="2"/>
  <c r="X882" i="2" s="1"/>
  <c r="R882" i="2"/>
  <c r="M882" i="2" s="1"/>
  <c r="W881" i="2"/>
  <c r="X881" i="2" s="1"/>
  <c r="T881" i="2"/>
  <c r="R881" i="2"/>
  <c r="F881" i="2"/>
  <c r="W880" i="2"/>
  <c r="X880" i="2" s="1"/>
  <c r="T880" i="2"/>
  <c r="R880" i="2"/>
  <c r="W878" i="2"/>
  <c r="X878" i="2" s="1"/>
  <c r="T878" i="2"/>
  <c r="R878" i="2"/>
  <c r="W877" i="2"/>
  <c r="X877" i="2" s="1"/>
  <c r="T877" i="2"/>
  <c r="R877" i="2"/>
  <c r="W876" i="2"/>
  <c r="X876" i="2" s="1"/>
  <c r="T876" i="2"/>
  <c r="R876" i="2"/>
  <c r="W875" i="2"/>
  <c r="X875" i="2" s="1"/>
  <c r="R875" i="2"/>
  <c r="M875" i="2" s="1"/>
  <c r="W874" i="2"/>
  <c r="X874" i="2" s="1"/>
  <c r="R874" i="2"/>
  <c r="F874" i="2"/>
  <c r="W870" i="2"/>
  <c r="X870" i="2" s="1"/>
  <c r="R870" i="2"/>
  <c r="W869" i="2"/>
  <c r="X869" i="2" s="1"/>
  <c r="R869" i="2"/>
  <c r="W868" i="2"/>
  <c r="X868" i="2" s="1"/>
  <c r="R868" i="2"/>
  <c r="W867" i="2"/>
  <c r="X867" i="2" s="1"/>
  <c r="R867" i="2"/>
  <c r="M867" i="2" s="1"/>
  <c r="M46" i="7" s="1"/>
  <c r="I867" i="2"/>
  <c r="W866" i="2"/>
  <c r="X866" i="2" s="1"/>
  <c r="R866" i="2"/>
  <c r="W865" i="2"/>
  <c r="X865" i="2" s="1"/>
  <c r="R865" i="2"/>
  <c r="W864" i="2"/>
  <c r="X864" i="2" s="1"/>
  <c r="T864" i="2"/>
  <c r="R864" i="2"/>
  <c r="W863" i="2"/>
  <c r="X863" i="2" s="1"/>
  <c r="T863" i="2"/>
  <c r="R863" i="2"/>
  <c r="W862" i="2"/>
  <c r="X862" i="2" s="1"/>
  <c r="T862" i="2"/>
  <c r="R862" i="2"/>
  <c r="W860" i="2"/>
  <c r="X860" i="2" s="1"/>
  <c r="T860" i="2"/>
  <c r="R860" i="2"/>
  <c r="F860" i="2"/>
  <c r="W859" i="2"/>
  <c r="X859" i="2" s="1"/>
  <c r="T859" i="2"/>
  <c r="R859" i="2"/>
  <c r="F859" i="2"/>
  <c r="W858" i="2"/>
  <c r="X858" i="2" s="1"/>
  <c r="T858" i="2"/>
  <c r="R858" i="2"/>
  <c r="F858" i="2"/>
  <c r="W857" i="2"/>
  <c r="X857" i="2" s="1"/>
  <c r="T857" i="2"/>
  <c r="R857" i="2"/>
  <c r="F857" i="2"/>
  <c r="W856" i="2"/>
  <c r="X856" i="2" s="1"/>
  <c r="T856" i="2"/>
  <c r="R856" i="2"/>
  <c r="W855" i="2"/>
  <c r="X855" i="2" s="1"/>
  <c r="T855" i="2"/>
  <c r="R855" i="2"/>
  <c r="W854" i="2"/>
  <c r="X854" i="2" s="1"/>
  <c r="T854" i="2"/>
  <c r="R854" i="2"/>
  <c r="W853" i="2"/>
  <c r="X853" i="2" s="1"/>
  <c r="R853" i="2"/>
  <c r="M853" i="2" s="1"/>
  <c r="W852" i="2"/>
  <c r="X852" i="2" s="1"/>
  <c r="T852" i="2"/>
  <c r="R852" i="2"/>
  <c r="F852" i="2"/>
  <c r="W851" i="2"/>
  <c r="X851" i="2" s="1"/>
  <c r="T851" i="2"/>
  <c r="R851" i="2"/>
  <c r="F851" i="2"/>
  <c r="W850" i="2"/>
  <c r="X850" i="2" s="1"/>
  <c r="T850" i="2"/>
  <c r="R850" i="2"/>
  <c r="W849" i="2"/>
  <c r="X849" i="2" s="1"/>
  <c r="T849" i="2"/>
  <c r="R849" i="2"/>
  <c r="W848" i="2"/>
  <c r="X848" i="2" s="1"/>
  <c r="T848" i="2"/>
  <c r="R848" i="2"/>
  <c r="W847" i="2"/>
  <c r="X847" i="2" s="1"/>
  <c r="T847" i="2"/>
  <c r="R847" i="2"/>
  <c r="W846" i="2"/>
  <c r="X846" i="2" s="1"/>
  <c r="R846" i="2"/>
  <c r="W845" i="2"/>
  <c r="W844" i="2"/>
  <c r="M845" i="2"/>
  <c r="F844" i="2"/>
  <c r="W843" i="2"/>
  <c r="X843" i="2" s="1"/>
  <c r="R843" i="2"/>
  <c r="F843" i="2"/>
  <c r="W841" i="2"/>
  <c r="X841" i="2" s="1"/>
  <c r="R841" i="2"/>
  <c r="W840" i="2"/>
  <c r="X840" i="2" s="1"/>
  <c r="R840" i="2"/>
  <c r="W839" i="2"/>
  <c r="X839" i="2" s="1"/>
  <c r="R839" i="2"/>
  <c r="W838" i="2"/>
  <c r="X838" i="2" s="1"/>
  <c r="R838" i="2"/>
  <c r="W837" i="2"/>
  <c r="X837" i="2" s="1"/>
  <c r="R837" i="2"/>
  <c r="W814" i="2"/>
  <c r="W813" i="2"/>
  <c r="F813" i="2"/>
  <c r="W812" i="2"/>
  <c r="X812" i="2" s="1"/>
  <c r="F812" i="2"/>
  <c r="F229" i="6" s="1"/>
  <c r="W811" i="2"/>
  <c r="X811" i="2" s="1"/>
  <c r="W810" i="2"/>
  <c r="X810" i="2" s="1"/>
  <c r="W809" i="2"/>
  <c r="X809" i="2" s="1"/>
  <c r="R809" i="2"/>
  <c r="W808" i="2"/>
  <c r="X808" i="2" s="1"/>
  <c r="W807" i="2"/>
  <c r="X807" i="2" s="1"/>
  <c r="R807" i="2"/>
  <c r="F807" i="2"/>
  <c r="F218" i="6" s="1"/>
  <c r="W806" i="2"/>
  <c r="X806" i="2" s="1"/>
  <c r="R806" i="2"/>
  <c r="F806" i="2"/>
  <c r="F217" i="6" s="1"/>
  <c r="W805" i="2"/>
  <c r="X805" i="2" s="1"/>
  <c r="R805" i="2"/>
  <c r="F216" i="6"/>
  <c r="W804" i="2"/>
  <c r="X804" i="2" s="1"/>
  <c r="R804" i="2"/>
  <c r="W803" i="2"/>
  <c r="X803" i="2" s="1"/>
  <c r="R803" i="2"/>
  <c r="W802" i="2"/>
  <c r="X802" i="2" s="1"/>
  <c r="R802" i="2"/>
  <c r="W801" i="2"/>
  <c r="X801" i="2" s="1"/>
  <c r="R801" i="2"/>
  <c r="F801" i="2"/>
  <c r="W800" i="2"/>
  <c r="X800" i="2" s="1"/>
  <c r="R800" i="2"/>
  <c r="F800" i="2"/>
  <c r="W799" i="2"/>
  <c r="X799" i="2" s="1"/>
  <c r="R799" i="2"/>
  <c r="F799" i="2"/>
  <c r="W798" i="2"/>
  <c r="X798" i="2" s="1"/>
  <c r="R798" i="2"/>
  <c r="F798" i="2"/>
  <c r="W797" i="2"/>
  <c r="X797" i="2" s="1"/>
  <c r="R797" i="2"/>
  <c r="F797" i="2"/>
  <c r="W796" i="2"/>
  <c r="X796" i="2" s="1"/>
  <c r="R796" i="2"/>
  <c r="W795" i="2"/>
  <c r="X795" i="2" s="1"/>
  <c r="R795" i="2"/>
  <c r="F795" i="2"/>
  <c r="W794" i="2"/>
  <c r="X794" i="2" s="1"/>
  <c r="R794" i="2"/>
  <c r="F794" i="2"/>
  <c r="W793" i="2"/>
  <c r="X793" i="2" s="1"/>
  <c r="R793" i="2"/>
  <c r="F793" i="2"/>
  <c r="W792" i="2"/>
  <c r="X792" i="2" s="1"/>
  <c r="R792" i="2"/>
  <c r="F792" i="2"/>
  <c r="W791" i="2"/>
  <c r="X791" i="2" s="1"/>
  <c r="R791" i="2"/>
  <c r="F791" i="2"/>
  <c r="W790" i="2"/>
  <c r="X790" i="2" s="1"/>
  <c r="R790" i="2"/>
  <c r="F790" i="2"/>
  <c r="W789" i="2"/>
  <c r="X789" i="2" s="1"/>
  <c r="R789" i="2"/>
  <c r="F789" i="2"/>
  <c r="W788" i="2"/>
  <c r="X788" i="2" s="1"/>
  <c r="R788" i="2"/>
  <c r="W787" i="2"/>
  <c r="X787" i="2" s="1"/>
  <c r="R787" i="2"/>
  <c r="F787" i="2"/>
  <c r="W785" i="2"/>
  <c r="X785" i="2" s="1"/>
  <c r="R785" i="2"/>
  <c r="W784" i="2"/>
  <c r="X784" i="2" s="1"/>
  <c r="R784" i="2"/>
  <c r="W783" i="2"/>
  <c r="X783" i="2" s="1"/>
  <c r="R783" i="2"/>
  <c r="W782" i="2"/>
  <c r="X782" i="2" s="1"/>
  <c r="R782" i="2"/>
  <c r="S782" i="2" s="1"/>
  <c r="M782" i="2" s="1"/>
  <c r="W781" i="2"/>
  <c r="F781" i="2"/>
  <c r="F23" i="6" s="1"/>
  <c r="W779" i="2"/>
  <c r="X779" i="2" s="1"/>
  <c r="F21" i="6"/>
  <c r="W778" i="2"/>
  <c r="W777" i="2"/>
  <c r="X777" i="2" s="1"/>
  <c r="R777" i="2"/>
  <c r="W776" i="2"/>
  <c r="X776" i="2" s="1"/>
  <c r="W775" i="2"/>
  <c r="X775" i="2" s="1"/>
  <c r="R775" i="2"/>
  <c r="W774" i="2"/>
  <c r="X774" i="2" s="1"/>
  <c r="T774" i="2"/>
  <c r="R774" i="2"/>
  <c r="W773" i="2"/>
  <c r="R773" i="2"/>
  <c r="W772" i="2"/>
  <c r="X772" i="2" s="1"/>
  <c r="T772" i="2"/>
  <c r="F772" i="2"/>
  <c r="W767" i="2"/>
  <c r="X767" i="2" s="1"/>
  <c r="T767" i="2"/>
  <c r="R767" i="2"/>
  <c r="W766" i="2"/>
  <c r="X766" i="2" s="1"/>
  <c r="R766" i="2"/>
  <c r="W765" i="2"/>
  <c r="X765" i="2" s="1"/>
  <c r="R765" i="2"/>
  <c r="W764" i="2"/>
  <c r="X764" i="2" s="1"/>
  <c r="R764" i="2"/>
  <c r="M764" i="2" s="1"/>
  <c r="W763" i="2"/>
  <c r="X763" i="2" s="1"/>
  <c r="T763" i="2"/>
  <c r="R763" i="2"/>
  <c r="F763" i="2"/>
  <c r="W762" i="2"/>
  <c r="X762" i="2" s="1"/>
  <c r="T762" i="2"/>
  <c r="R762" i="2"/>
  <c r="F762" i="2"/>
  <c r="W761" i="2"/>
  <c r="X761" i="2" s="1"/>
  <c r="T761" i="2"/>
  <c r="R761" i="2"/>
  <c r="F761" i="2"/>
  <c r="W760" i="2"/>
  <c r="X760" i="2" s="1"/>
  <c r="T760" i="2"/>
  <c r="R760" i="2"/>
  <c r="W759" i="2"/>
  <c r="X759" i="2" s="1"/>
  <c r="T759" i="2"/>
  <c r="R759" i="2"/>
  <c r="W758" i="2"/>
  <c r="X758" i="2" s="1"/>
  <c r="T758" i="2"/>
  <c r="R758" i="2"/>
  <c r="W757" i="2"/>
  <c r="X757" i="2" s="1"/>
  <c r="T757" i="2"/>
  <c r="R757" i="2"/>
  <c r="W756" i="2"/>
  <c r="W755" i="2"/>
  <c r="X755" i="2" s="1"/>
  <c r="T755" i="2"/>
  <c r="W754" i="2"/>
  <c r="X754" i="2" s="1"/>
  <c r="T754" i="2"/>
  <c r="R754" i="2"/>
  <c r="W753" i="2"/>
  <c r="X753" i="2" s="1"/>
  <c r="T753" i="2"/>
  <c r="R753" i="2"/>
  <c r="W752" i="2"/>
  <c r="X752" i="2" s="1"/>
  <c r="T752" i="2"/>
  <c r="R752" i="2"/>
  <c r="W751" i="2"/>
  <c r="X751" i="2" s="1"/>
  <c r="T751" i="2"/>
  <c r="R751" i="2"/>
  <c r="W750" i="2"/>
  <c r="X750" i="2" s="1"/>
  <c r="T750" i="2"/>
  <c r="R750" i="2"/>
  <c r="W749" i="2"/>
  <c r="X749" i="2" s="1"/>
  <c r="T749" i="2"/>
  <c r="R749" i="2"/>
  <c r="W748" i="2"/>
  <c r="X748" i="2" s="1"/>
  <c r="R748" i="2"/>
  <c r="F748" i="2"/>
  <c r="W747" i="2"/>
  <c r="X747" i="2" s="1"/>
  <c r="R747" i="2"/>
  <c r="M747" i="2" s="1"/>
  <c r="W746" i="2"/>
  <c r="X746" i="2" s="1"/>
  <c r="T746" i="2"/>
  <c r="R746" i="2"/>
  <c r="F746" i="2"/>
  <c r="W745" i="2"/>
  <c r="X745" i="2" s="1"/>
  <c r="T745" i="2"/>
  <c r="R745" i="2"/>
  <c r="W744" i="2"/>
  <c r="X744" i="2" s="1"/>
  <c r="T744" i="2"/>
  <c r="R744" i="2"/>
  <c r="F744" i="2"/>
  <c r="W743" i="2"/>
  <c r="X743" i="2" s="1"/>
  <c r="T743" i="2"/>
  <c r="R743" i="2"/>
  <c r="F743" i="2"/>
  <c r="W742" i="2"/>
  <c r="X742" i="2" s="1"/>
  <c r="T742" i="2"/>
  <c r="R742" i="2"/>
  <c r="F742" i="2"/>
  <c r="W741" i="2"/>
  <c r="X741" i="2" s="1"/>
  <c r="R741" i="2"/>
  <c r="M741" i="2" s="1"/>
  <c r="K741" i="2"/>
  <c r="W740" i="2"/>
  <c r="X740" i="2" s="1"/>
  <c r="R740" i="2"/>
  <c r="I740" i="2"/>
  <c r="F740" i="2"/>
  <c r="W739" i="2"/>
  <c r="X739" i="2" s="1"/>
  <c r="R739" i="2"/>
  <c r="F739" i="2"/>
  <c r="W738" i="2"/>
  <c r="X738" i="2" s="1"/>
  <c r="R738" i="2"/>
  <c r="K738" i="2"/>
  <c r="W737" i="2"/>
  <c r="X737" i="2" s="1"/>
  <c r="R737" i="2"/>
  <c r="I737" i="2"/>
  <c r="F737" i="2"/>
  <c r="W736" i="2"/>
  <c r="X736" i="2" s="1"/>
  <c r="R736" i="2"/>
  <c r="F736" i="2"/>
  <c r="W735" i="2"/>
  <c r="X735" i="2" s="1"/>
  <c r="R735" i="2"/>
  <c r="K735" i="2"/>
  <c r="W734" i="2"/>
  <c r="X734" i="2" s="1"/>
  <c r="R734" i="2"/>
  <c r="I734" i="2"/>
  <c r="F734" i="2"/>
  <c r="W733" i="2"/>
  <c r="X733" i="2" s="1"/>
  <c r="R733" i="2"/>
  <c r="F733" i="2"/>
  <c r="W732" i="2"/>
  <c r="X732" i="2" s="1"/>
  <c r="R732" i="2"/>
  <c r="F732" i="2"/>
  <c r="W731" i="2"/>
  <c r="X731" i="2" s="1"/>
  <c r="R731" i="2"/>
  <c r="F731" i="2"/>
  <c r="W730" i="2"/>
  <c r="X730" i="2" s="1"/>
  <c r="R730" i="2"/>
  <c r="K730" i="2"/>
  <c r="W729" i="2"/>
  <c r="X729" i="2" s="1"/>
  <c r="R729" i="2"/>
  <c r="I729" i="2"/>
  <c r="F729" i="2"/>
  <c r="W728" i="2"/>
  <c r="X728" i="2" s="1"/>
  <c r="R728" i="2"/>
  <c r="F728" i="2"/>
  <c r="W727" i="2"/>
  <c r="X727" i="2" s="1"/>
  <c r="R727" i="2"/>
  <c r="F727" i="2"/>
  <c r="W726" i="2"/>
  <c r="X726" i="2" s="1"/>
  <c r="R726" i="2"/>
  <c r="F726" i="2"/>
  <c r="W725" i="2"/>
  <c r="X725" i="2" s="1"/>
  <c r="R725" i="2"/>
  <c r="M725" i="2" s="1"/>
  <c r="W724" i="2"/>
  <c r="X724" i="2" s="1"/>
  <c r="T724" i="2"/>
  <c r="R724" i="2"/>
  <c r="F724" i="2"/>
  <c r="W723" i="2"/>
  <c r="X723" i="2" s="1"/>
  <c r="T723" i="2"/>
  <c r="R723" i="2"/>
  <c r="F723" i="2"/>
  <c r="W722" i="2"/>
  <c r="X722" i="2" s="1"/>
  <c r="T722" i="2"/>
  <c r="R722" i="2"/>
  <c r="W721" i="2"/>
  <c r="X721" i="2" s="1"/>
  <c r="T721" i="2"/>
  <c r="R721" i="2"/>
  <c r="W720" i="2"/>
  <c r="X720" i="2" s="1"/>
  <c r="T720" i="2"/>
  <c r="R720" i="2"/>
  <c r="W719" i="2"/>
  <c r="X719" i="2" s="1"/>
  <c r="R719" i="2"/>
  <c r="W718" i="2"/>
  <c r="X718" i="2" s="1"/>
  <c r="T718" i="2"/>
  <c r="R718" i="2"/>
  <c r="W124" i="15"/>
  <c r="F718" i="2"/>
  <c r="W711" i="2"/>
  <c r="X711" i="2" s="1"/>
  <c r="T711" i="2"/>
  <c r="R711" i="2"/>
  <c r="W710" i="2"/>
  <c r="X710" i="2" s="1"/>
  <c r="T710" i="2"/>
  <c r="R710" i="2"/>
  <c r="W709" i="2"/>
  <c r="X709" i="2" s="1"/>
  <c r="T709" i="2"/>
  <c r="R709" i="2"/>
  <c r="W696" i="2"/>
  <c r="R696" i="2"/>
  <c r="M696" i="2" s="1"/>
  <c r="W695" i="2"/>
  <c r="X695" i="2" s="1"/>
  <c r="T695" i="2"/>
  <c r="R695" i="2"/>
  <c r="F695" i="2"/>
  <c r="W694" i="2"/>
  <c r="X694" i="2" s="1"/>
  <c r="T694" i="2"/>
  <c r="R694" i="2"/>
  <c r="F694" i="2"/>
  <c r="W692" i="2"/>
  <c r="X692" i="2" s="1"/>
  <c r="T692" i="2"/>
  <c r="R692" i="2"/>
  <c r="W691" i="2"/>
  <c r="X691" i="2" s="1"/>
  <c r="T691" i="2"/>
  <c r="R691" i="2"/>
  <c r="W690" i="2"/>
  <c r="X690" i="2" s="1"/>
  <c r="T690" i="2"/>
  <c r="R690" i="2"/>
  <c r="W689" i="2"/>
  <c r="X689" i="2" s="1"/>
  <c r="T689" i="2"/>
  <c r="R689" i="2"/>
  <c r="W688" i="2"/>
  <c r="X688" i="2" s="1"/>
  <c r="T688" i="2"/>
  <c r="R688" i="2"/>
  <c r="W687" i="2"/>
  <c r="X687" i="2" s="1"/>
  <c r="T687" i="2"/>
  <c r="R687" i="2"/>
  <c r="W686" i="2"/>
  <c r="X686" i="2" s="1"/>
  <c r="R686" i="2"/>
  <c r="W685" i="2"/>
  <c r="R685" i="2"/>
  <c r="W684" i="2"/>
  <c r="X684" i="2" s="1"/>
  <c r="T684" i="2"/>
  <c r="R684" i="2"/>
  <c r="F684" i="2"/>
  <c r="W683" i="2"/>
  <c r="X683" i="2" s="1"/>
  <c r="T683" i="2"/>
  <c r="R683" i="2"/>
  <c r="W681" i="2"/>
  <c r="T681" i="2"/>
  <c r="W680" i="2"/>
  <c r="X680" i="2" s="1"/>
  <c r="T680" i="2"/>
  <c r="R680" i="2"/>
  <c r="W679" i="2"/>
  <c r="X679" i="2" s="1"/>
  <c r="R679" i="2"/>
  <c r="W678" i="2"/>
  <c r="R678" i="2"/>
  <c r="M678" i="2" s="1"/>
  <c r="W677" i="2"/>
  <c r="X677" i="2" s="1"/>
  <c r="T677" i="2"/>
  <c r="R677" i="2"/>
  <c r="F677" i="2"/>
  <c r="W676" i="2"/>
  <c r="X676" i="2" s="1"/>
  <c r="T676" i="2"/>
  <c r="F676" i="2"/>
  <c r="W671" i="2"/>
  <c r="X671" i="2" s="1"/>
  <c r="T671" i="2"/>
  <c r="W670" i="2"/>
  <c r="X670" i="2" s="1"/>
  <c r="T670" i="2"/>
  <c r="R670" i="2"/>
  <c r="W669" i="2"/>
  <c r="X669" i="2" s="1"/>
  <c r="T669" i="2"/>
  <c r="R669" i="2"/>
  <c r="W668" i="2"/>
  <c r="X668" i="2" s="1"/>
  <c r="T668" i="2"/>
  <c r="R668" i="2"/>
  <c r="W667" i="2"/>
  <c r="X667" i="2" s="1"/>
  <c r="T667" i="2"/>
  <c r="R667" i="2"/>
  <c r="W666" i="2"/>
  <c r="X666" i="2" s="1"/>
  <c r="R666" i="2"/>
  <c r="F666" i="2"/>
  <c r="W665" i="2"/>
  <c r="X665" i="2" s="1"/>
  <c r="R665" i="2"/>
  <c r="F665" i="2"/>
  <c r="W660" i="2"/>
  <c r="X660" i="2" s="1"/>
  <c r="R660" i="2"/>
  <c r="M660" i="2" s="1"/>
  <c r="W659" i="2"/>
  <c r="X659" i="2" s="1"/>
  <c r="T659" i="2"/>
  <c r="R659" i="2"/>
  <c r="F659" i="2"/>
  <c r="W658" i="2"/>
  <c r="X658" i="2" s="1"/>
  <c r="T658" i="2"/>
  <c r="R658" i="2"/>
  <c r="F658" i="2"/>
  <c r="W656" i="2"/>
  <c r="X656" i="2" s="1"/>
  <c r="T656" i="2"/>
  <c r="R656" i="2"/>
  <c r="W655" i="2"/>
  <c r="X655" i="2" s="1"/>
  <c r="T655" i="2"/>
  <c r="R655" i="2"/>
  <c r="W654" i="2"/>
  <c r="X654" i="2" s="1"/>
  <c r="T654" i="2"/>
  <c r="R654" i="2"/>
  <c r="W653" i="2"/>
  <c r="X653" i="2" s="1"/>
  <c r="T653" i="2"/>
  <c r="R653" i="2"/>
  <c r="W652" i="2"/>
  <c r="X652" i="2" s="1"/>
  <c r="T652" i="2"/>
  <c r="R652" i="2"/>
  <c r="W651" i="2"/>
  <c r="X651" i="2" s="1"/>
  <c r="T651" i="2"/>
  <c r="R651" i="2"/>
  <c r="W650" i="2"/>
  <c r="X650" i="2" s="1"/>
  <c r="R650" i="2"/>
  <c r="M650" i="2" s="1"/>
  <c r="N188" i="6" s="1"/>
  <c r="W649" i="2"/>
  <c r="X649" i="2" s="1"/>
  <c r="T649" i="2"/>
  <c r="R649" i="2"/>
  <c r="F649" i="2"/>
  <c r="F187" i="6" s="1"/>
  <c r="W646" i="2"/>
  <c r="X646" i="2" s="1"/>
  <c r="R646" i="2"/>
  <c r="W645" i="2"/>
  <c r="X645" i="2" s="1"/>
  <c r="R645" i="2"/>
  <c r="W644" i="2"/>
  <c r="X644" i="2" s="1"/>
  <c r="T644" i="2"/>
  <c r="R644" i="2"/>
  <c r="W643" i="2"/>
  <c r="X643" i="2" s="1"/>
  <c r="T643" i="2"/>
  <c r="R643" i="2"/>
  <c r="W642" i="2"/>
  <c r="X642" i="2" s="1"/>
  <c r="R642" i="2"/>
  <c r="J642" i="2"/>
  <c r="I642" i="2"/>
  <c r="W641" i="2"/>
  <c r="X641" i="2" s="1"/>
  <c r="R641" i="2"/>
  <c r="F641" i="2"/>
  <c r="W640" i="2"/>
  <c r="X640" i="2" s="1"/>
  <c r="R640" i="2"/>
  <c r="F640" i="2"/>
  <c r="W639" i="2"/>
  <c r="X639" i="2" s="1"/>
  <c r="R639" i="2"/>
  <c r="F639" i="2"/>
  <c r="W638" i="2"/>
  <c r="X638" i="2" s="1"/>
  <c r="R638" i="2"/>
  <c r="F638" i="2"/>
  <c r="W637" i="2"/>
  <c r="W636" i="2"/>
  <c r="X636" i="2" s="1"/>
  <c r="T636" i="2"/>
  <c r="R636" i="2"/>
  <c r="S637" i="2" s="1"/>
  <c r="F636" i="2"/>
  <c r="W635" i="2"/>
  <c r="X635" i="2" s="1"/>
  <c r="T635" i="2"/>
  <c r="R635" i="2"/>
  <c r="F635" i="2"/>
  <c r="W634" i="2"/>
  <c r="X634" i="2" s="1"/>
  <c r="R634" i="2"/>
  <c r="W633" i="2"/>
  <c r="X633" i="2" s="1"/>
  <c r="R633" i="2"/>
  <c r="W632" i="2"/>
  <c r="R632" i="2"/>
  <c r="W631" i="2"/>
  <c r="R631" i="2"/>
  <c r="W630" i="2"/>
  <c r="X630" i="2" s="1"/>
  <c r="R630" i="2"/>
  <c r="W629" i="2"/>
  <c r="X629" i="2" s="1"/>
  <c r="R629" i="2"/>
  <c r="W628" i="2"/>
  <c r="X628" i="2" s="1"/>
  <c r="R628" i="2"/>
  <c r="W627" i="2"/>
  <c r="X627" i="2" s="1"/>
  <c r="R627" i="2"/>
  <c r="W622" i="2"/>
  <c r="R622" i="2"/>
  <c r="M622" i="2" s="1"/>
  <c r="Z621" i="2"/>
  <c r="W621" i="2"/>
  <c r="T621" i="2"/>
  <c r="F621" i="2"/>
  <c r="Z620" i="2"/>
  <c r="W620" i="2"/>
  <c r="X620" i="2" s="1"/>
  <c r="T620" i="2"/>
  <c r="R620" i="2"/>
  <c r="F620" i="2"/>
  <c r="Z619" i="2"/>
  <c r="W619" i="2"/>
  <c r="X619" i="2" s="1"/>
  <c r="R619" i="2"/>
  <c r="F619" i="2"/>
  <c r="Z618" i="2"/>
  <c r="W618" i="2"/>
  <c r="R618" i="2"/>
  <c r="F618" i="2"/>
  <c r="Z617" i="2"/>
  <c r="W617" i="2"/>
  <c r="X617" i="2" s="1"/>
  <c r="R617" i="2"/>
  <c r="Z616" i="2"/>
  <c r="W616" i="2"/>
  <c r="X616" i="2" s="1"/>
  <c r="R616" i="2"/>
  <c r="F616" i="2"/>
  <c r="Z615" i="2"/>
  <c r="W615" i="2"/>
  <c r="X615" i="2" s="1"/>
  <c r="R615" i="2"/>
  <c r="P616" i="2"/>
  <c r="Z614" i="2"/>
  <c r="W614" i="2"/>
  <c r="X614" i="2" s="1"/>
  <c r="R614" i="2"/>
  <c r="Z613" i="2"/>
  <c r="W613" i="2"/>
  <c r="X613" i="2" s="1"/>
  <c r="T613" i="2"/>
  <c r="R613" i="2"/>
  <c r="R612" i="2"/>
  <c r="W611" i="2"/>
  <c r="W610" i="2"/>
  <c r="X610" i="2" s="1"/>
  <c r="R610" i="2"/>
  <c r="M610" i="2" s="1"/>
  <c r="M31" i="7" s="1"/>
  <c r="K610" i="2"/>
  <c r="I610" i="2"/>
  <c r="W609" i="2"/>
  <c r="X609" i="2" s="1"/>
  <c r="R609" i="2"/>
  <c r="F609" i="2"/>
  <c r="F30" i="7" s="1"/>
  <c r="W608" i="2"/>
  <c r="R608" i="2"/>
  <c r="M608" i="2" s="1"/>
  <c r="M29" i="7" s="1"/>
  <c r="K608" i="2"/>
  <c r="I608" i="2"/>
  <c r="W607" i="2"/>
  <c r="X607" i="2" s="1"/>
  <c r="R607" i="2"/>
  <c r="F607" i="2"/>
  <c r="W606" i="2"/>
  <c r="X606" i="2" s="1"/>
  <c r="R606" i="2"/>
  <c r="F606" i="2"/>
  <c r="W605" i="2"/>
  <c r="X605" i="2" s="1"/>
  <c r="R605" i="2"/>
  <c r="F605" i="2"/>
  <c r="W604" i="2"/>
  <c r="X604" i="2" s="1"/>
  <c r="R604" i="2"/>
  <c r="W603" i="2"/>
  <c r="X603" i="2" s="1"/>
  <c r="R603" i="2"/>
  <c r="W602" i="2"/>
  <c r="X602" i="2" s="1"/>
  <c r="R602" i="2"/>
  <c r="M602" i="2" s="1"/>
  <c r="M21" i="7" s="1"/>
  <c r="K602" i="2"/>
  <c r="K21" i="7" s="1"/>
  <c r="I602" i="2"/>
  <c r="I21" i="7" s="1"/>
  <c r="W601" i="2"/>
  <c r="X601" i="2" s="1"/>
  <c r="R601" i="2"/>
  <c r="F601" i="2"/>
  <c r="W600" i="2"/>
  <c r="X600" i="2" s="1"/>
  <c r="R600" i="2"/>
  <c r="F600" i="2"/>
  <c r="F19" i="7" s="1"/>
  <c r="W599" i="2"/>
  <c r="X599" i="2" s="1"/>
  <c r="R599" i="2"/>
  <c r="M599" i="2" s="1"/>
  <c r="M18" i="7" s="1"/>
  <c r="K599" i="2"/>
  <c r="K18" i="7" s="1"/>
  <c r="I599" i="2"/>
  <c r="I18" i="7" s="1"/>
  <c r="H599" i="2"/>
  <c r="H18" i="7" s="1"/>
  <c r="W598" i="2"/>
  <c r="X598" i="2" s="1"/>
  <c r="R598" i="2"/>
  <c r="W597" i="2"/>
  <c r="X597" i="2" s="1"/>
  <c r="R597" i="2"/>
  <c r="F16" i="7"/>
  <c r="W596" i="2"/>
  <c r="X596" i="2" s="1"/>
  <c r="R596" i="2"/>
  <c r="W595" i="2"/>
  <c r="X595" i="2" s="1"/>
  <c r="R595" i="2"/>
  <c r="M595" i="2" s="1"/>
  <c r="Y158" i="15" s="1"/>
  <c r="K595" i="2"/>
  <c r="I595" i="2"/>
  <c r="H595" i="2"/>
  <c r="W594" i="2"/>
  <c r="X594" i="2" s="1"/>
  <c r="R594" i="2"/>
  <c r="W128" i="15"/>
  <c r="F594" i="2"/>
  <c r="W593" i="2"/>
  <c r="X593" i="2" s="1"/>
  <c r="R593" i="2"/>
  <c r="W127" i="15"/>
  <c r="F593" i="2"/>
  <c r="W592" i="2"/>
  <c r="X592" i="2" s="1"/>
  <c r="R592" i="2"/>
  <c r="W126" i="15"/>
  <c r="F592" i="2"/>
  <c r="W579" i="2"/>
  <c r="X579" i="2" s="1"/>
  <c r="M579" i="2"/>
  <c r="W578" i="2"/>
  <c r="X578" i="2" s="1"/>
  <c r="R578" i="2"/>
  <c r="W141" i="15"/>
  <c r="W577" i="2"/>
  <c r="X577" i="2" s="1"/>
  <c r="R577" i="2"/>
  <c r="X140" i="15"/>
  <c r="W140" i="15"/>
  <c r="W576" i="2"/>
  <c r="X576" i="2" s="1"/>
  <c r="R576" i="2"/>
  <c r="W139" i="15"/>
  <c r="W575" i="2"/>
  <c r="X575" i="2" s="1"/>
  <c r="R575" i="2"/>
  <c r="M575" i="2" s="1"/>
  <c r="H575" i="2"/>
  <c r="W574" i="2"/>
  <c r="X574" i="2" s="1"/>
  <c r="R574" i="2"/>
  <c r="F574" i="2"/>
  <c r="W573" i="2"/>
  <c r="X573" i="2" s="1"/>
  <c r="R573" i="2"/>
  <c r="F573" i="2"/>
  <c r="W572" i="2"/>
  <c r="X572" i="2" s="1"/>
  <c r="R572" i="2"/>
  <c r="W571" i="2"/>
  <c r="X571" i="2" s="1"/>
  <c r="R571" i="2"/>
  <c r="W570" i="2"/>
  <c r="X570" i="2" s="1"/>
  <c r="R570" i="2"/>
  <c r="W569" i="2"/>
  <c r="X569" i="2" s="1"/>
  <c r="R569" i="2"/>
  <c r="W560" i="2"/>
  <c r="X560" i="2" s="1"/>
  <c r="R560" i="2"/>
  <c r="I560" i="2"/>
  <c r="H560" i="2"/>
  <c r="W559" i="2"/>
  <c r="X559" i="2" s="1"/>
  <c r="R559" i="2"/>
  <c r="W558" i="2"/>
  <c r="X558" i="2" s="1"/>
  <c r="R558" i="2"/>
  <c r="W557" i="2"/>
  <c r="X557" i="2" s="1"/>
  <c r="M557" i="2"/>
  <c r="H557" i="2"/>
  <c r="W556" i="2"/>
  <c r="X556" i="2" s="1"/>
  <c r="R556" i="2"/>
  <c r="W540" i="2"/>
  <c r="X540" i="2" s="1"/>
  <c r="W156" i="15"/>
  <c r="W158" i="15" s="1"/>
  <c r="W539" i="2"/>
  <c r="X539" i="2" s="1"/>
  <c r="W538" i="2"/>
  <c r="M538" i="2"/>
  <c r="X537" i="2"/>
  <c r="F537" i="2"/>
  <c r="X522" i="2"/>
  <c r="M522" i="2"/>
  <c r="K522" i="2"/>
  <c r="H522" i="2"/>
  <c r="X521" i="2"/>
  <c r="W133" i="15"/>
  <c r="I521" i="2"/>
  <c r="F521" i="2"/>
  <c r="X519" i="2"/>
  <c r="X131" i="15"/>
  <c r="W131" i="15"/>
  <c r="X518" i="2"/>
  <c r="X130" i="15"/>
  <c r="W130" i="15"/>
  <c r="X517" i="2"/>
  <c r="H517" i="2"/>
  <c r="W516" i="2"/>
  <c r="X516" i="2" s="1"/>
  <c r="F516" i="2"/>
  <c r="W515" i="2"/>
  <c r="X515" i="2" s="1"/>
  <c r="F515" i="2"/>
  <c r="W514" i="2"/>
  <c r="X514" i="2" s="1"/>
  <c r="F514" i="2"/>
  <c r="W513" i="2"/>
  <c r="X513" i="2" s="1"/>
  <c r="W512" i="2"/>
  <c r="X512" i="2" s="1"/>
  <c r="W511" i="2"/>
  <c r="X511" i="2" s="1"/>
  <c r="W510" i="2"/>
  <c r="X510" i="2" s="1"/>
  <c r="W509" i="2"/>
  <c r="R509" i="2"/>
  <c r="M509" i="2" s="1"/>
  <c r="H509" i="2"/>
  <c r="W508" i="2"/>
  <c r="X508" i="2" s="1"/>
  <c r="R508" i="2"/>
  <c r="F508" i="2"/>
  <c r="W503" i="2"/>
  <c r="X503" i="2" s="1"/>
  <c r="R503" i="2"/>
  <c r="W502" i="2"/>
  <c r="X502" i="2" s="1"/>
  <c r="W501" i="2"/>
  <c r="X501" i="2" s="1"/>
  <c r="W500" i="2"/>
  <c r="X500" i="2" s="1"/>
  <c r="W499" i="2"/>
  <c r="X499" i="2" s="1"/>
  <c r="R499" i="2"/>
  <c r="W498" i="2"/>
  <c r="X498" i="2" s="1"/>
  <c r="R498" i="2"/>
  <c r="W497" i="2"/>
  <c r="X497" i="2" s="1"/>
  <c r="R497" i="2"/>
  <c r="W496" i="2"/>
  <c r="X496" i="2" s="1"/>
  <c r="R496" i="2"/>
  <c r="W495" i="2"/>
  <c r="X495" i="2" s="1"/>
  <c r="R495" i="2"/>
  <c r="W494" i="2"/>
  <c r="X494" i="2" s="1"/>
  <c r="R494" i="2"/>
  <c r="W493" i="2"/>
  <c r="X493" i="2" s="1"/>
  <c r="R493" i="2"/>
  <c r="W492" i="2"/>
  <c r="X492" i="2" s="1"/>
  <c r="R492" i="2"/>
  <c r="W491" i="2"/>
  <c r="X491" i="2" s="1"/>
  <c r="R491" i="2"/>
  <c r="W490" i="2"/>
  <c r="X490" i="2" s="1"/>
  <c r="R490" i="2"/>
  <c r="W489" i="2"/>
  <c r="R489" i="2"/>
  <c r="S489" i="2" s="1"/>
  <c r="M489" i="2" s="1"/>
  <c r="H489" i="2"/>
  <c r="W488" i="2"/>
  <c r="X488" i="2" s="1"/>
  <c r="R488" i="2"/>
  <c r="F488" i="2"/>
  <c r="W469" i="2"/>
  <c r="X469" i="2" s="1"/>
  <c r="R469" i="2"/>
  <c r="W468" i="2"/>
  <c r="X468" i="2" s="1"/>
  <c r="R468" i="2"/>
  <c r="W467" i="2"/>
  <c r="X467" i="2" s="1"/>
  <c r="R467" i="2"/>
  <c r="W466" i="2"/>
  <c r="X466" i="2" s="1"/>
  <c r="R466" i="2"/>
  <c r="W465" i="2"/>
  <c r="R465" i="2"/>
  <c r="M465" i="2" s="1"/>
  <c r="H465" i="2"/>
  <c r="W464" i="2"/>
  <c r="X464" i="2" s="1"/>
  <c r="R464" i="2"/>
  <c r="F464" i="2"/>
  <c r="W463" i="2"/>
  <c r="X463" i="2" s="1"/>
  <c r="R463" i="2"/>
  <c r="F463" i="2"/>
  <c r="W460" i="2"/>
  <c r="X460" i="2" s="1"/>
  <c r="R460" i="2"/>
  <c r="W459" i="2"/>
  <c r="X459" i="2" s="1"/>
  <c r="R459" i="2"/>
  <c r="W458" i="2"/>
  <c r="X458" i="2" s="1"/>
  <c r="R458" i="2"/>
  <c r="W457" i="2"/>
  <c r="X457" i="2" s="1"/>
  <c r="R457" i="2"/>
  <c r="W456" i="2"/>
  <c r="X456" i="2" s="1"/>
  <c r="R456" i="2"/>
  <c r="W455" i="2"/>
  <c r="X455" i="2" s="1"/>
  <c r="R455" i="2"/>
  <c r="W454" i="2"/>
  <c r="X454" i="2" s="1"/>
  <c r="R454" i="2"/>
  <c r="M454" i="2" s="1"/>
  <c r="H454" i="2"/>
  <c r="W453" i="2"/>
  <c r="X453" i="2" s="1"/>
  <c r="F453" i="2"/>
  <c r="W452" i="2"/>
  <c r="X452" i="2" s="1"/>
  <c r="W451" i="2"/>
  <c r="X451" i="2" s="1"/>
  <c r="W450" i="2"/>
  <c r="X450" i="2" s="1"/>
  <c r="W449" i="2"/>
  <c r="X449" i="2" s="1"/>
  <c r="W448" i="2"/>
  <c r="X448" i="2" s="1"/>
  <c r="W447" i="2"/>
  <c r="X447" i="2" s="1"/>
  <c r="W446" i="2"/>
  <c r="X446" i="2" s="1"/>
  <c r="W445" i="2"/>
  <c r="X445" i="2" s="1"/>
  <c r="R445" i="2"/>
  <c r="M445" i="2" s="1"/>
  <c r="H445" i="2"/>
  <c r="W444" i="2"/>
  <c r="X444" i="2" s="1"/>
  <c r="R444" i="2"/>
  <c r="F444" i="2"/>
  <c r="W443" i="2"/>
  <c r="X443" i="2" s="1"/>
  <c r="R443" i="2"/>
  <c r="F443" i="2"/>
  <c r="W442" i="2"/>
  <c r="X442" i="2" s="1"/>
  <c r="R442" i="2"/>
  <c r="W441" i="2"/>
  <c r="X441" i="2" s="1"/>
  <c r="R441" i="2"/>
  <c r="W440" i="2"/>
  <c r="X440" i="2" s="1"/>
  <c r="R440" i="2"/>
  <c r="W439" i="2"/>
  <c r="X439" i="2" s="1"/>
  <c r="R439" i="2"/>
  <c r="M439" i="2" s="1"/>
  <c r="H439" i="2"/>
  <c r="W438" i="2"/>
  <c r="X438" i="2" s="1"/>
  <c r="R438" i="2"/>
  <c r="F438" i="2"/>
  <c r="W435" i="2"/>
  <c r="X435" i="2" s="1"/>
  <c r="R435" i="2"/>
  <c r="W434" i="2"/>
  <c r="X434" i="2" s="1"/>
  <c r="R434" i="2"/>
  <c r="W433" i="2"/>
  <c r="X433" i="2" s="1"/>
  <c r="R433" i="2"/>
  <c r="W432" i="2"/>
  <c r="X432" i="2" s="1"/>
  <c r="R432" i="2"/>
  <c r="W431" i="2"/>
  <c r="X431" i="2" s="1"/>
  <c r="R431" i="2"/>
  <c r="W430" i="2"/>
  <c r="X430" i="2" s="1"/>
  <c r="R430" i="2"/>
  <c r="W429" i="2"/>
  <c r="X429" i="2" s="1"/>
  <c r="R429" i="2"/>
  <c r="W428" i="2"/>
  <c r="X428" i="2" s="1"/>
  <c r="R428" i="2"/>
  <c r="W427" i="2"/>
  <c r="X427" i="2" s="1"/>
  <c r="R427" i="2"/>
  <c r="W426" i="2"/>
  <c r="X426" i="2" s="1"/>
  <c r="R426" i="2"/>
  <c r="W425" i="2"/>
  <c r="X425" i="2" s="1"/>
  <c r="R425" i="2"/>
  <c r="W424" i="2"/>
  <c r="X424" i="2" s="1"/>
  <c r="R424" i="2"/>
  <c r="W423" i="2"/>
  <c r="R423" i="2"/>
  <c r="M423" i="2" s="1"/>
  <c r="W422" i="2"/>
  <c r="X422" i="2" s="1"/>
  <c r="R422" i="2"/>
  <c r="F422" i="2"/>
  <c r="W411" i="2"/>
  <c r="X411" i="2" s="1"/>
  <c r="R411" i="2"/>
  <c r="W409" i="2"/>
  <c r="X409" i="2" s="1"/>
  <c r="R409" i="2"/>
  <c r="W408" i="2"/>
  <c r="X408" i="2" s="1"/>
  <c r="W407" i="2"/>
  <c r="X407" i="2" s="1"/>
  <c r="W406" i="2"/>
  <c r="X406" i="2" s="1"/>
  <c r="R406" i="2"/>
  <c r="W405" i="2"/>
  <c r="X405" i="2" s="1"/>
  <c r="R405" i="2"/>
  <c r="W404" i="2"/>
  <c r="X404" i="2" s="1"/>
  <c r="R404" i="2"/>
  <c r="W403" i="2"/>
  <c r="X403" i="2" s="1"/>
  <c r="R403" i="2"/>
  <c r="W402" i="2"/>
  <c r="X402" i="2" s="1"/>
  <c r="R402" i="2"/>
  <c r="W401" i="2"/>
  <c r="X401" i="2" s="1"/>
  <c r="R401" i="2"/>
  <c r="K401" i="2"/>
  <c r="W400" i="2"/>
  <c r="X400" i="2" s="1"/>
  <c r="R400" i="2"/>
  <c r="I400" i="2"/>
  <c r="F400" i="2"/>
  <c r="W399" i="2"/>
  <c r="X399" i="2" s="1"/>
  <c r="R399" i="2"/>
  <c r="F399" i="2"/>
  <c r="W398" i="2"/>
  <c r="X398" i="2" s="1"/>
  <c r="R398" i="2"/>
  <c r="F398" i="2"/>
  <c r="W397" i="2"/>
  <c r="X397" i="2" s="1"/>
  <c r="R397" i="2"/>
  <c r="F397" i="2"/>
  <c r="W396" i="2"/>
  <c r="X396" i="2" s="1"/>
  <c r="R396" i="2"/>
  <c r="F396" i="2"/>
  <c r="W395" i="2"/>
  <c r="X395" i="2" s="1"/>
  <c r="R395" i="2"/>
  <c r="F395" i="2"/>
  <c r="W394" i="2"/>
  <c r="X394" i="2" s="1"/>
  <c r="R394" i="2"/>
  <c r="F394" i="2"/>
  <c r="W393" i="2"/>
  <c r="X393" i="2" s="1"/>
  <c r="R393" i="2"/>
  <c r="F393" i="2"/>
  <c r="W392" i="2"/>
  <c r="X392" i="2" s="1"/>
  <c r="R392" i="2"/>
  <c r="F392" i="2"/>
  <c r="W391" i="2"/>
  <c r="X391" i="2" s="1"/>
  <c r="R391" i="2"/>
  <c r="K391" i="2"/>
  <c r="W390" i="2"/>
  <c r="X390" i="2" s="1"/>
  <c r="I390" i="2"/>
  <c r="F390" i="2"/>
  <c r="W389" i="2"/>
  <c r="X389" i="2" s="1"/>
  <c r="F389" i="2"/>
  <c r="W388" i="2"/>
  <c r="X388" i="2" s="1"/>
  <c r="F388" i="2"/>
  <c r="W387" i="2"/>
  <c r="X387" i="2" s="1"/>
  <c r="F387" i="2"/>
  <c r="W386" i="2"/>
  <c r="X386" i="2" s="1"/>
  <c r="F386" i="2"/>
  <c r="W385" i="2"/>
  <c r="X385" i="2" s="1"/>
  <c r="W384" i="2"/>
  <c r="X384" i="2" s="1"/>
  <c r="W383" i="2"/>
  <c r="X383" i="2" s="1"/>
  <c r="W382" i="2"/>
  <c r="X382" i="2" s="1"/>
  <c r="W381" i="2"/>
  <c r="X381" i="2" s="1"/>
  <c r="W380" i="2"/>
  <c r="X380" i="2" s="1"/>
  <c r="W379" i="2"/>
  <c r="X379" i="2" s="1"/>
  <c r="W378" i="2"/>
  <c r="W377" i="2"/>
  <c r="W376" i="2"/>
  <c r="X376" i="2" s="1"/>
  <c r="W359" i="2"/>
  <c r="X359" i="2" s="1"/>
  <c r="W350" i="2"/>
  <c r="X350" i="2" s="1"/>
  <c r="W345" i="2"/>
  <c r="X345" i="2" s="1"/>
  <c r="W342" i="2"/>
  <c r="X342" i="2" s="1"/>
  <c r="W341" i="2"/>
  <c r="R341" i="2"/>
  <c r="S341" i="2" s="1"/>
  <c r="W340" i="2"/>
  <c r="R340" i="2"/>
  <c r="F340" i="2"/>
  <c r="W339" i="2"/>
  <c r="X339" i="2" s="1"/>
  <c r="R339" i="2"/>
  <c r="W338" i="2"/>
  <c r="X338" i="2" s="1"/>
  <c r="R338" i="2"/>
  <c r="F338" i="2"/>
  <c r="W337" i="2"/>
  <c r="X337" i="2" s="1"/>
  <c r="R337" i="2"/>
  <c r="F337" i="2"/>
  <c r="W336" i="2"/>
  <c r="X336" i="2" s="1"/>
  <c r="R336" i="2"/>
  <c r="W335" i="2"/>
  <c r="X335" i="2" s="1"/>
  <c r="R335" i="2"/>
  <c r="W334" i="2"/>
  <c r="X334" i="2" s="1"/>
  <c r="R334" i="2"/>
  <c r="W333" i="2"/>
  <c r="X333" i="2" s="1"/>
  <c r="R333" i="2"/>
  <c r="W332" i="2"/>
  <c r="X332" i="2" s="1"/>
  <c r="R332" i="2"/>
  <c r="W331" i="2"/>
  <c r="X331" i="2" s="1"/>
  <c r="R331" i="2"/>
  <c r="W330" i="2"/>
  <c r="X330" i="2" s="1"/>
  <c r="R330" i="2"/>
  <c r="W329" i="2"/>
  <c r="X329" i="2" s="1"/>
  <c r="R329" i="2"/>
  <c r="W328" i="2"/>
  <c r="X328" i="2" s="1"/>
  <c r="M328" i="2"/>
  <c r="K328" i="2"/>
  <c r="H328" i="2"/>
  <c r="W327" i="2"/>
  <c r="X327" i="2" s="1"/>
  <c r="I327" i="2"/>
  <c r="F327" i="2"/>
  <c r="W326" i="2"/>
  <c r="X326" i="2" s="1"/>
  <c r="F326" i="2"/>
  <c r="W325" i="2"/>
  <c r="X325" i="2" s="1"/>
  <c r="F325" i="2"/>
  <c r="W324" i="2"/>
  <c r="X324" i="2" s="1"/>
  <c r="F324" i="2"/>
  <c r="W323" i="2"/>
  <c r="X323" i="2" s="1"/>
  <c r="F323" i="2"/>
  <c r="W322" i="2"/>
  <c r="X322" i="2" s="1"/>
  <c r="J322" i="2"/>
  <c r="I322" i="2"/>
  <c r="H322" i="2"/>
  <c r="W321" i="2"/>
  <c r="X321" i="2" s="1"/>
  <c r="F321" i="2"/>
  <c r="W320" i="2"/>
  <c r="X320" i="2" s="1"/>
  <c r="F320" i="2"/>
  <c r="W319" i="2"/>
  <c r="X319" i="2" s="1"/>
  <c r="F319" i="2"/>
  <c r="W314" i="2"/>
  <c r="X314" i="2" s="1"/>
  <c r="R314" i="2"/>
  <c r="M314" i="2" s="1"/>
  <c r="W313" i="2"/>
  <c r="X313" i="2" s="1"/>
  <c r="R313" i="2"/>
  <c r="F313" i="2"/>
  <c r="W312" i="2"/>
  <c r="X312" i="2" s="1"/>
  <c r="R312" i="2"/>
  <c r="W311" i="2"/>
  <c r="X311" i="2" s="1"/>
  <c r="R311" i="2"/>
  <c r="F311" i="2"/>
  <c r="W310" i="2"/>
  <c r="X310" i="2" s="1"/>
  <c r="R310" i="2"/>
  <c r="F310" i="2"/>
  <c r="W309" i="2"/>
  <c r="X309" i="2" s="1"/>
  <c r="R309" i="2"/>
  <c r="W308" i="2"/>
  <c r="X308" i="2" s="1"/>
  <c r="R308" i="2"/>
  <c r="W307" i="2"/>
  <c r="X307" i="2" s="1"/>
  <c r="R307" i="2"/>
  <c r="W306" i="2"/>
  <c r="X306" i="2" s="1"/>
  <c r="R306" i="2"/>
  <c r="W305" i="2"/>
  <c r="X305" i="2" s="1"/>
  <c r="R305" i="2"/>
  <c r="W303" i="2"/>
  <c r="X303" i="2" s="1"/>
  <c r="R303" i="2"/>
  <c r="W302" i="2"/>
  <c r="X302" i="2" s="1"/>
  <c r="R302" i="2"/>
  <c r="W301" i="2"/>
  <c r="X301" i="2" s="1"/>
  <c r="R301" i="2"/>
  <c r="W300" i="2"/>
  <c r="X300" i="2" s="1"/>
  <c r="R300" i="2"/>
  <c r="M300" i="2" s="1"/>
  <c r="W299" i="2"/>
  <c r="X299" i="2" s="1"/>
  <c r="R299" i="2"/>
  <c r="F299" i="2"/>
  <c r="W298" i="2"/>
  <c r="X298" i="2" s="1"/>
  <c r="R298" i="2"/>
  <c r="F298" i="2"/>
  <c r="W297" i="2"/>
  <c r="X297" i="2" s="1"/>
  <c r="R297" i="2"/>
  <c r="F297" i="2"/>
  <c r="W296" i="2"/>
  <c r="X296" i="2" s="1"/>
  <c r="R296" i="2"/>
  <c r="F296" i="2"/>
  <c r="W295" i="2"/>
  <c r="X295" i="2" s="1"/>
  <c r="R295" i="2"/>
  <c r="W294" i="2"/>
  <c r="X294" i="2" s="1"/>
  <c r="R294" i="2"/>
  <c r="F294" i="2"/>
  <c r="W286" i="2"/>
  <c r="K286" i="2"/>
  <c r="I286" i="2"/>
  <c r="H286" i="2"/>
  <c r="W285" i="2"/>
  <c r="X285" i="2" s="1"/>
  <c r="F285" i="2"/>
  <c r="W284" i="2"/>
  <c r="X284" i="2" s="1"/>
  <c r="R284" i="2"/>
  <c r="F284" i="2"/>
  <c r="W283" i="2"/>
  <c r="X283" i="2" s="1"/>
  <c r="R283" i="2"/>
  <c r="W279" i="2"/>
  <c r="X279" i="2" s="1"/>
  <c r="R279" i="2"/>
  <c r="W278" i="2"/>
  <c r="R278" i="2"/>
  <c r="M278" i="2" s="1"/>
  <c r="W277" i="2"/>
  <c r="X277" i="2" s="1"/>
  <c r="R277" i="2"/>
  <c r="W276" i="2"/>
  <c r="X276" i="2" s="1"/>
  <c r="R276" i="2"/>
  <c r="W275" i="2"/>
  <c r="X275" i="2" s="1"/>
  <c r="R275" i="2"/>
  <c r="W274" i="2"/>
  <c r="X274" i="2" s="1"/>
  <c r="R274" i="2"/>
  <c r="W273" i="2"/>
  <c r="X273" i="2" s="1"/>
  <c r="R273" i="2"/>
  <c r="W272" i="2"/>
  <c r="X272" i="2" s="1"/>
  <c r="R272" i="2"/>
  <c r="W271" i="2"/>
  <c r="X271" i="2" s="1"/>
  <c r="R271" i="2"/>
  <c r="W270" i="2"/>
  <c r="X270" i="2" s="1"/>
  <c r="R270" i="2"/>
  <c r="F270" i="2"/>
  <c r="W269" i="2"/>
  <c r="X269" i="2" s="1"/>
  <c r="R269" i="2"/>
  <c r="F269" i="2"/>
  <c r="W268" i="2"/>
  <c r="X268" i="2" s="1"/>
  <c r="I268" i="2"/>
  <c r="H268" i="2"/>
  <c r="W267" i="2"/>
  <c r="X267" i="2" s="1"/>
  <c r="R267" i="2"/>
  <c r="F267" i="2"/>
  <c r="W266" i="2"/>
  <c r="X266" i="2" s="1"/>
  <c r="R266" i="2"/>
  <c r="W265" i="2"/>
  <c r="X265" i="2" s="1"/>
  <c r="R265" i="2"/>
  <c r="W264" i="2"/>
  <c r="X264" i="2" s="1"/>
  <c r="R264" i="2"/>
  <c r="W263" i="2"/>
  <c r="X263" i="2" s="1"/>
  <c r="R263" i="2"/>
  <c r="M263" i="2" s="1"/>
  <c r="K263" i="2"/>
  <c r="H263" i="2"/>
  <c r="W262" i="2"/>
  <c r="X262" i="2" s="1"/>
  <c r="R262" i="2"/>
  <c r="I262" i="2"/>
  <c r="L262" i="2" s="1"/>
  <c r="W261" i="2"/>
  <c r="X261" i="2" s="1"/>
  <c r="R261" i="2"/>
  <c r="J261" i="2"/>
  <c r="I261" i="2"/>
  <c r="H261" i="2"/>
  <c r="W260" i="2"/>
  <c r="X260" i="2" s="1"/>
  <c r="R260" i="2"/>
  <c r="F260" i="2"/>
  <c r="W259" i="2"/>
  <c r="X259" i="2" s="1"/>
  <c r="R259" i="2"/>
  <c r="I263" i="2"/>
  <c r="F259" i="2"/>
  <c r="W258" i="2"/>
  <c r="X258" i="2" s="1"/>
  <c r="R258" i="2"/>
  <c r="F258" i="2"/>
  <c r="W256" i="2"/>
  <c r="X256" i="2" s="1"/>
  <c r="R256" i="2"/>
  <c r="W255" i="2"/>
  <c r="X255" i="2" s="1"/>
  <c r="R255" i="2"/>
  <c r="F255" i="2"/>
  <c r="W254" i="2"/>
  <c r="X254" i="2" s="1"/>
  <c r="R254" i="2"/>
  <c r="F254" i="2"/>
  <c r="W253" i="2"/>
  <c r="X253" i="2" s="1"/>
  <c r="R253" i="2"/>
  <c r="F253" i="2"/>
  <c r="W252" i="2"/>
  <c r="X252" i="2" s="1"/>
  <c r="R252" i="2"/>
  <c r="F252" i="2"/>
  <c r="W246" i="2"/>
  <c r="X246" i="2" s="1"/>
  <c r="R246" i="2"/>
  <c r="M246" i="2" s="1"/>
  <c r="H246" i="2"/>
  <c r="W245" i="2"/>
  <c r="X245" i="2" s="1"/>
  <c r="R245" i="2"/>
  <c r="I246" i="2"/>
  <c r="F245" i="2"/>
  <c r="W244" i="2"/>
  <c r="X244" i="2" s="1"/>
  <c r="R244" i="2"/>
  <c r="F244" i="2"/>
  <c r="W243" i="2"/>
  <c r="X243" i="2" s="1"/>
  <c r="R243" i="2"/>
  <c r="F243" i="2"/>
  <c r="W242" i="2"/>
  <c r="X242" i="2" s="1"/>
  <c r="R242" i="2"/>
  <c r="F242" i="2"/>
  <c r="W241" i="2"/>
  <c r="X241" i="2" s="1"/>
  <c r="R241" i="2"/>
  <c r="F241" i="2"/>
  <c r="W240" i="2"/>
  <c r="X240" i="2" s="1"/>
  <c r="R240" i="2"/>
  <c r="F240" i="2"/>
  <c r="W239" i="2"/>
  <c r="X239" i="2" s="1"/>
  <c r="R239" i="2"/>
  <c r="J239" i="2"/>
  <c r="W238" i="2"/>
  <c r="X238" i="2" s="1"/>
  <c r="R238" i="2"/>
  <c r="W234" i="2"/>
  <c r="X234" i="2" s="1"/>
  <c r="R234" i="2"/>
  <c r="F234" i="2"/>
  <c r="W233" i="2"/>
  <c r="Z233" i="2" s="1"/>
  <c r="R233" i="2"/>
  <c r="M233" i="2" s="1"/>
  <c r="W232" i="2"/>
  <c r="X232" i="2" s="1"/>
  <c r="R232" i="2"/>
  <c r="I233" i="2"/>
  <c r="F232" i="2"/>
  <c r="W231" i="2"/>
  <c r="X231" i="2" s="1"/>
  <c r="R231" i="2"/>
  <c r="F231" i="2"/>
  <c r="W230" i="2"/>
  <c r="X230" i="2" s="1"/>
  <c r="R230" i="2"/>
  <c r="F230" i="2"/>
  <c r="W229" i="2"/>
  <c r="X229" i="2" s="1"/>
  <c r="R229" i="2"/>
  <c r="M229" i="2" s="1"/>
  <c r="K229" i="2"/>
  <c r="I229" i="2"/>
  <c r="H229" i="2"/>
  <c r="W228" i="2"/>
  <c r="X228" i="2" s="1"/>
  <c r="R228" i="2"/>
  <c r="F228" i="2"/>
  <c r="W227" i="2"/>
  <c r="X227" i="2" s="1"/>
  <c r="R227" i="2"/>
  <c r="F227" i="2"/>
  <c r="W226" i="2"/>
  <c r="X226" i="2" s="1"/>
  <c r="R226" i="2"/>
  <c r="F226" i="2"/>
  <c r="W225" i="2"/>
  <c r="X225" i="2" s="1"/>
  <c r="R225" i="2"/>
  <c r="W224" i="2"/>
  <c r="X224" i="2" s="1"/>
  <c r="K224" i="2"/>
  <c r="W223" i="2"/>
  <c r="X223" i="2" s="1"/>
  <c r="F223" i="2"/>
  <c r="W219" i="2"/>
  <c r="X219" i="2" s="1"/>
  <c r="W209" i="2"/>
  <c r="X209" i="2" s="1"/>
  <c r="R209" i="2"/>
  <c r="K209" i="2"/>
  <c r="W208" i="2"/>
  <c r="X208" i="2" s="1"/>
  <c r="I209" i="2"/>
  <c r="F208" i="2"/>
  <c r="W207" i="2"/>
  <c r="X207" i="2" s="1"/>
  <c r="W205" i="2"/>
  <c r="X205" i="2" s="1"/>
  <c r="W203" i="2"/>
  <c r="X203" i="2" s="1"/>
  <c r="W202" i="2"/>
  <c r="X202" i="2" s="1"/>
  <c r="K202" i="2"/>
  <c r="W201" i="2"/>
  <c r="X201" i="2" s="1"/>
  <c r="I202" i="2"/>
  <c r="F201" i="2"/>
  <c r="W200" i="2"/>
  <c r="X200" i="2" s="1"/>
  <c r="F200" i="2"/>
  <c r="W199" i="2"/>
  <c r="X199" i="2" s="1"/>
  <c r="W198" i="2"/>
  <c r="X198" i="2" s="1"/>
  <c r="W197" i="2"/>
  <c r="X197" i="2" s="1"/>
  <c r="W196" i="2"/>
  <c r="X196" i="2" s="1"/>
  <c r="W195" i="2"/>
  <c r="X195" i="2" s="1"/>
  <c r="W194" i="2"/>
  <c r="W193" i="2"/>
  <c r="Y193" i="2" s="1"/>
  <c r="Z193" i="2" s="1"/>
  <c r="X188" i="2"/>
  <c r="X187" i="2"/>
  <c r="X185" i="2"/>
  <c r="X184" i="2"/>
  <c r="X183" i="2"/>
  <c r="R183" i="2"/>
  <c r="X182" i="2"/>
  <c r="R182" i="2"/>
  <c r="X180" i="2"/>
  <c r="R180" i="2"/>
  <c r="X179" i="2"/>
  <c r="R179" i="2"/>
  <c r="X178" i="2"/>
  <c r="R178" i="2"/>
  <c r="W177" i="2"/>
  <c r="X177" i="2" s="1"/>
  <c r="R177" i="2"/>
  <c r="M177" i="2" s="1"/>
  <c r="W176" i="2"/>
  <c r="X176" i="2" s="1"/>
  <c r="R176" i="2"/>
  <c r="F176" i="2"/>
  <c r="W175" i="2"/>
  <c r="X175" i="2" s="1"/>
  <c r="R175" i="2"/>
  <c r="F175" i="2"/>
  <c r="W174" i="2"/>
  <c r="X174" i="2" s="1"/>
  <c r="R174" i="2"/>
  <c r="F174" i="2"/>
  <c r="W173" i="2"/>
  <c r="X173" i="2" s="1"/>
  <c r="R173" i="2"/>
  <c r="W172" i="2"/>
  <c r="X172" i="2" s="1"/>
  <c r="R172" i="2"/>
  <c r="F172" i="2"/>
  <c r="W171" i="2"/>
  <c r="X171" i="2" s="1"/>
  <c r="R171" i="2"/>
  <c r="F171" i="2"/>
  <c r="W170" i="2"/>
  <c r="X170" i="2" s="1"/>
  <c r="R170" i="2"/>
  <c r="F170" i="2"/>
  <c r="W169" i="2"/>
  <c r="X169" i="2" s="1"/>
  <c r="R169" i="2"/>
  <c r="F169" i="2"/>
  <c r="W168" i="2"/>
  <c r="X168" i="2" s="1"/>
  <c r="R168" i="2"/>
  <c r="M168" i="2" s="1"/>
  <c r="W167" i="2"/>
  <c r="X167" i="2" s="1"/>
  <c r="R167" i="2"/>
  <c r="F167" i="2"/>
  <c r="W166" i="2"/>
  <c r="X166" i="2" s="1"/>
  <c r="R166" i="2"/>
  <c r="F166" i="2"/>
  <c r="W163" i="2"/>
  <c r="X163" i="2" s="1"/>
  <c r="R163" i="2"/>
  <c r="W162" i="2"/>
  <c r="X162" i="2" s="1"/>
  <c r="R162" i="2"/>
  <c r="W161" i="2"/>
  <c r="X161" i="2" s="1"/>
  <c r="R161" i="2"/>
  <c r="M161" i="2" s="1"/>
  <c r="W160" i="2"/>
  <c r="X160" i="2" s="1"/>
  <c r="R160" i="2"/>
  <c r="K160" i="2"/>
  <c r="J160" i="2"/>
  <c r="H160" i="2"/>
  <c r="W159" i="2"/>
  <c r="X159" i="2" s="1"/>
  <c r="R159" i="2"/>
  <c r="I159" i="2"/>
  <c r="L159" i="2" s="1"/>
  <c r="L160" i="2" s="1"/>
  <c r="F159" i="2"/>
  <c r="W158" i="2"/>
  <c r="X158" i="2" s="1"/>
  <c r="R158" i="2"/>
  <c r="W157" i="2"/>
  <c r="X157" i="2" s="1"/>
  <c r="R157" i="2"/>
  <c r="F157" i="2"/>
  <c r="W156" i="2"/>
  <c r="X156" i="2" s="1"/>
  <c r="R156" i="2"/>
  <c r="F156" i="2"/>
  <c r="W155" i="2"/>
  <c r="X155" i="2" s="1"/>
  <c r="R155" i="2"/>
  <c r="F155" i="2"/>
  <c r="W154" i="2"/>
  <c r="X154" i="2" s="1"/>
  <c r="R154" i="2"/>
  <c r="K154" i="2"/>
  <c r="H154" i="2"/>
  <c r="W153" i="2"/>
  <c r="X153" i="2" s="1"/>
  <c r="R153" i="2"/>
  <c r="I154" i="2"/>
  <c r="F153" i="2"/>
  <c r="W151" i="2"/>
  <c r="X151" i="2" s="1"/>
  <c r="X149" i="2"/>
  <c r="W148" i="2"/>
  <c r="X148" i="2" s="1"/>
  <c r="R148" i="2"/>
  <c r="W147" i="2"/>
  <c r="X147" i="2" s="1"/>
  <c r="R147" i="2"/>
  <c r="F147" i="2"/>
  <c r="W146" i="2"/>
  <c r="X146" i="2" s="1"/>
  <c r="R146" i="2"/>
  <c r="F146" i="2"/>
  <c r="W145" i="2"/>
  <c r="X145" i="2" s="1"/>
  <c r="R145" i="2"/>
  <c r="W144" i="2"/>
  <c r="X144" i="2" s="1"/>
  <c r="R144" i="2"/>
  <c r="W143" i="2"/>
  <c r="X143" i="2" s="1"/>
  <c r="R143" i="2"/>
  <c r="W142" i="2"/>
  <c r="X142" i="2" s="1"/>
  <c r="R142" i="2"/>
  <c r="W141" i="2"/>
  <c r="X141" i="2" s="1"/>
  <c r="R141" i="2"/>
  <c r="W140" i="2"/>
  <c r="X140" i="2" s="1"/>
  <c r="R140" i="2"/>
  <c r="W139" i="2"/>
  <c r="X139" i="2" s="1"/>
  <c r="R139" i="2"/>
  <c r="M139" i="2" s="1"/>
  <c r="K139" i="2"/>
  <c r="H139" i="2"/>
  <c r="W138" i="2"/>
  <c r="X138" i="2" s="1"/>
  <c r="R138" i="2"/>
  <c r="I138" i="2"/>
  <c r="F138" i="2"/>
  <c r="W137" i="2"/>
  <c r="X137" i="2" s="1"/>
  <c r="R137" i="2"/>
  <c r="W136" i="2"/>
  <c r="X136" i="2" s="1"/>
  <c r="R136" i="2"/>
  <c r="F136" i="2"/>
  <c r="W135" i="2"/>
  <c r="H135" i="2"/>
  <c r="W134" i="2"/>
  <c r="I135" i="2"/>
  <c r="F134" i="2"/>
  <c r="W130" i="2"/>
  <c r="X130" i="2" s="1"/>
  <c r="R130" i="2"/>
  <c r="W129" i="2"/>
  <c r="X129" i="2" s="1"/>
  <c r="R129" i="2"/>
  <c r="W128" i="2"/>
  <c r="X128" i="2" s="1"/>
  <c r="R128" i="2"/>
  <c r="F128" i="2"/>
  <c r="W127" i="2"/>
  <c r="X127" i="2" s="1"/>
  <c r="R127" i="2"/>
  <c r="F127" i="2"/>
  <c r="W126" i="2"/>
  <c r="X126" i="2" s="1"/>
  <c r="R126" i="2"/>
  <c r="F126" i="2"/>
  <c r="W125" i="2"/>
  <c r="X125" i="2" s="1"/>
  <c r="R125" i="2"/>
  <c r="F125" i="2"/>
  <c r="W124" i="2"/>
  <c r="X124" i="2" s="1"/>
  <c r="R124" i="2"/>
  <c r="M124" i="2" s="1"/>
  <c r="I124" i="2"/>
  <c r="H124" i="2"/>
  <c r="W123" i="2"/>
  <c r="X123" i="2" s="1"/>
  <c r="R123" i="2"/>
  <c r="F123" i="2"/>
  <c r="W122" i="2"/>
  <c r="X122" i="2" s="1"/>
  <c r="R122" i="2"/>
  <c r="F122" i="2"/>
  <c r="W121" i="2"/>
  <c r="X121" i="2" s="1"/>
  <c r="R121" i="2"/>
  <c r="F121" i="2"/>
  <c r="W120" i="2"/>
  <c r="X120" i="2" s="1"/>
  <c r="R120" i="2"/>
  <c r="F120" i="2"/>
  <c r="W119" i="2"/>
  <c r="X119" i="2" s="1"/>
  <c r="R119" i="2"/>
  <c r="M119" i="2" s="1"/>
  <c r="H119" i="2"/>
  <c r="W118" i="2"/>
  <c r="X118" i="2" s="1"/>
  <c r="I119" i="2"/>
  <c r="F118" i="2"/>
  <c r="W117" i="2"/>
  <c r="X117" i="2" s="1"/>
  <c r="R117" i="2"/>
  <c r="W116" i="2"/>
  <c r="X116" i="2" s="1"/>
  <c r="R116" i="2"/>
  <c r="F116" i="2"/>
  <c r="W115" i="2"/>
  <c r="X115" i="2" s="1"/>
  <c r="R115" i="2"/>
  <c r="F115" i="2"/>
  <c r="W114" i="2"/>
  <c r="X114" i="2" s="1"/>
  <c r="R114" i="2"/>
  <c r="F114" i="2"/>
  <c r="W113" i="2"/>
  <c r="X113" i="2" s="1"/>
  <c r="R113" i="2"/>
  <c r="F113" i="2"/>
  <c r="W112" i="2"/>
  <c r="X112" i="2" s="1"/>
  <c r="R112" i="2"/>
  <c r="F112" i="2"/>
  <c r="W111" i="2"/>
  <c r="W110" i="2"/>
  <c r="X110" i="2" s="1"/>
  <c r="K110" i="2"/>
  <c r="H110" i="2"/>
  <c r="X109" i="2"/>
  <c r="I110" i="2"/>
  <c r="F109" i="2"/>
  <c r="W108" i="2"/>
  <c r="X108" i="2" s="1"/>
  <c r="W107" i="2"/>
  <c r="X107" i="2" s="1"/>
  <c r="W106" i="2"/>
  <c r="X106" i="2" s="1"/>
  <c r="W105" i="2"/>
  <c r="S111" i="2"/>
  <c r="W104" i="2"/>
  <c r="X104" i="2" s="1"/>
  <c r="R104" i="2"/>
  <c r="W103" i="2"/>
  <c r="X103" i="2" s="1"/>
  <c r="R103" i="2"/>
  <c r="W102" i="2"/>
  <c r="X102" i="2" s="1"/>
  <c r="K102" i="2"/>
  <c r="I102" i="2"/>
  <c r="H102" i="2"/>
  <c r="W101" i="2"/>
  <c r="X101" i="2" s="1"/>
  <c r="R101" i="2"/>
  <c r="F101" i="2"/>
  <c r="W98" i="2"/>
  <c r="X98" i="2" s="1"/>
  <c r="R98" i="2"/>
  <c r="F98" i="2"/>
  <c r="W92" i="2"/>
  <c r="Z38" i="2" s="1"/>
  <c r="R92" i="2"/>
  <c r="S61" i="2" s="1"/>
  <c r="K92" i="2"/>
  <c r="H92" i="2"/>
  <c r="W91" i="2"/>
  <c r="X91" i="2" s="1"/>
  <c r="R91" i="2"/>
  <c r="I92" i="2"/>
  <c r="F91" i="2"/>
  <c r="W90" i="2"/>
  <c r="X90" i="2" s="1"/>
  <c r="R90" i="2"/>
  <c r="F90" i="2"/>
  <c r="W89" i="2"/>
  <c r="X89" i="2" s="1"/>
  <c r="R89" i="2"/>
  <c r="F89" i="2"/>
  <c r="W88" i="2"/>
  <c r="X88" i="2" s="1"/>
  <c r="R88" i="2"/>
  <c r="W87" i="2"/>
  <c r="X87" i="2" s="1"/>
  <c r="M87" i="2"/>
  <c r="K87" i="2"/>
  <c r="H87" i="2"/>
  <c r="W86" i="2"/>
  <c r="X86" i="2" s="1"/>
  <c r="F86" i="2"/>
  <c r="W85" i="2"/>
  <c r="X85" i="2" s="1"/>
  <c r="F85" i="2"/>
  <c r="W84" i="2"/>
  <c r="X84" i="2" s="1"/>
  <c r="W83" i="2"/>
  <c r="X83" i="2" s="1"/>
  <c r="F83" i="2"/>
  <c r="W82" i="2"/>
  <c r="X82" i="2" s="1"/>
  <c r="W81" i="2"/>
  <c r="X81" i="2" s="1"/>
  <c r="F81" i="2"/>
  <c r="X61" i="2"/>
  <c r="I61" i="2"/>
  <c r="I88" i="2" s="1"/>
  <c r="H61" i="2"/>
  <c r="X60" i="2"/>
  <c r="R60" i="2"/>
  <c r="X58" i="2"/>
  <c r="R58" i="2"/>
  <c r="X57" i="2"/>
  <c r="R57" i="2"/>
  <c r="X54" i="2"/>
  <c r="R54" i="2"/>
  <c r="X52" i="2"/>
  <c r="R52" i="2"/>
  <c r="X51" i="2"/>
  <c r="R51" i="2"/>
  <c r="X50" i="2"/>
  <c r="R50" i="2"/>
  <c r="X49" i="2"/>
  <c r="R49" i="2"/>
  <c r="X48" i="2"/>
  <c r="X43" i="2"/>
  <c r="X42" i="2"/>
  <c r="X41" i="2"/>
  <c r="H38" i="2"/>
  <c r="K1071" i="2" l="1"/>
  <c r="K1569" i="2"/>
  <c r="K877" i="2"/>
  <c r="K878" i="2"/>
  <c r="K767" i="2"/>
  <c r="K671" i="2"/>
  <c r="K670" i="2"/>
  <c r="K542" i="2"/>
  <c r="K541" i="2"/>
  <c r="K1948" i="2"/>
  <c r="K405" i="2"/>
  <c r="K403" i="2"/>
  <c r="K456" i="2"/>
  <c r="K457" i="2"/>
  <c r="K406" i="2"/>
  <c r="K455" i="2"/>
  <c r="K404" i="2"/>
  <c r="K1945" i="2"/>
  <c r="K1944" i="2"/>
  <c r="K1946" i="2"/>
  <c r="K1943" i="2"/>
  <c r="K1942" i="2"/>
  <c r="K1947" i="2"/>
  <c r="K672" i="2"/>
  <c r="K473" i="2"/>
  <c r="K472" i="2"/>
  <c r="K651" i="2"/>
  <c r="K652" i="2"/>
  <c r="K653" i="2"/>
  <c r="X814" i="2"/>
  <c r="K343" i="2"/>
  <c r="K942" i="2"/>
  <c r="K1863" i="2"/>
  <c r="K1862" i="2"/>
  <c r="K342" i="2"/>
  <c r="K833" i="2"/>
  <c r="K832" i="2"/>
  <c r="K1870" i="2"/>
  <c r="L1870" i="2" s="1"/>
  <c r="K1561" i="2"/>
  <c r="L1561" i="2" s="1"/>
  <c r="K478" i="2"/>
  <c r="L478" i="2" s="1"/>
  <c r="K477" i="2"/>
  <c r="K480" i="2"/>
  <c r="L480" i="2" s="1"/>
  <c r="K471" i="2"/>
  <c r="K479" i="2"/>
  <c r="L479" i="2" s="1"/>
  <c r="K476" i="2"/>
  <c r="L476" i="2" s="1"/>
  <c r="K474" i="2"/>
  <c r="K481" i="2"/>
  <c r="L481" i="2" s="1"/>
  <c r="K475" i="2"/>
  <c r="L475" i="2" s="1"/>
  <c r="K572" i="2"/>
  <c r="K1396" i="2"/>
  <c r="K1356" i="2"/>
  <c r="K1355" i="2"/>
  <c r="K1949" i="2"/>
  <c r="K1941" i="2"/>
  <c r="K983" i="2"/>
  <c r="K1196" i="2"/>
  <c r="K870" i="2"/>
  <c r="L870" i="2" s="1"/>
  <c r="K868" i="2"/>
  <c r="L868" i="2" s="1"/>
  <c r="K869" i="2"/>
  <c r="L869" i="2" s="1"/>
  <c r="O218" i="2"/>
  <c r="O209" i="2"/>
  <c r="K1424" i="2"/>
  <c r="K1883" i="2"/>
  <c r="K1871" i="2"/>
  <c r="L1871" i="2" s="1"/>
  <c r="K880" i="2"/>
  <c r="L880" i="2" s="1"/>
  <c r="K681" i="2"/>
  <c r="L681" i="2" s="1"/>
  <c r="K680" i="2"/>
  <c r="K682" i="2"/>
  <c r="L682" i="2" s="1"/>
  <c r="K499" i="2"/>
  <c r="L499" i="2" s="1"/>
  <c r="K407" i="2"/>
  <c r="K679" i="2"/>
  <c r="K627" i="2"/>
  <c r="K879" i="2"/>
  <c r="K302" i="2"/>
  <c r="L302" i="2" s="1"/>
  <c r="K301" i="2"/>
  <c r="L301" i="2" s="1"/>
  <c r="K304" i="2"/>
  <c r="L304" i="2" s="1"/>
  <c r="K303" i="2"/>
  <c r="K1216" i="2"/>
  <c r="K1217" i="2"/>
  <c r="L670" i="2"/>
  <c r="K976" i="2"/>
  <c r="K779" i="2"/>
  <c r="K778" i="2"/>
  <c r="K628" i="2"/>
  <c r="K997" i="2"/>
  <c r="K565" i="2"/>
  <c r="K905" i="2"/>
  <c r="K449" i="2"/>
  <c r="K450" i="2"/>
  <c r="K904" i="2"/>
  <c r="L904" i="2" s="1"/>
  <c r="K903" i="2"/>
  <c r="L903" i="2" s="1"/>
  <c r="K629" i="2"/>
  <c r="K566" i="2"/>
  <c r="L566" i="2" s="1"/>
  <c r="K1204" i="2"/>
  <c r="L1204" i="2" s="1"/>
  <c r="O224" i="2"/>
  <c r="K1203" i="2"/>
  <c r="L1203" i="2" s="1"/>
  <c r="K288" i="2"/>
  <c r="K1094" i="2"/>
  <c r="K872" i="2"/>
  <c r="L872" i="2" s="1"/>
  <c r="K989" i="2"/>
  <c r="K424" i="2"/>
  <c r="K425" i="2"/>
  <c r="K1549" i="2"/>
  <c r="L1549" i="2" s="1"/>
  <c r="K1548" i="2"/>
  <c r="K498" i="2"/>
  <c r="L498" i="2" s="1"/>
  <c r="K759" i="2"/>
  <c r="K1781" i="2"/>
  <c r="K1630" i="2"/>
  <c r="L1630" i="2" s="1"/>
  <c r="K1782" i="2"/>
  <c r="L877" i="2"/>
  <c r="K408" i="2"/>
  <c r="L408" i="2" s="1"/>
  <c r="K409" i="2"/>
  <c r="L409" i="2" s="1"/>
  <c r="K687" i="2"/>
  <c r="L687" i="2" s="1"/>
  <c r="K1218" i="2"/>
  <c r="K1197" i="2"/>
  <c r="K1035" i="2"/>
  <c r="L1035" i="2" s="1"/>
  <c r="K692" i="2"/>
  <c r="L692" i="2" s="1"/>
  <c r="K691" i="2"/>
  <c r="K690" i="2"/>
  <c r="L690" i="2" s="1"/>
  <c r="K689" i="2"/>
  <c r="L689" i="2" s="1"/>
  <c r="K688" i="2"/>
  <c r="L688" i="2" s="1"/>
  <c r="K470" i="2"/>
  <c r="K410" i="2"/>
  <c r="L410" i="2" s="1"/>
  <c r="K1921" i="2"/>
  <c r="L1356" i="2"/>
  <c r="K1922" i="2"/>
  <c r="K1919" i="2"/>
  <c r="K1313" i="2"/>
  <c r="K1312" i="2"/>
  <c r="L1312" i="2" s="1"/>
  <c r="K1311" i="2"/>
  <c r="L1311" i="2" s="1"/>
  <c r="K1310" i="2"/>
  <c r="K1286" i="2"/>
  <c r="K1287" i="2"/>
  <c r="K1920" i="2"/>
  <c r="K804" i="2"/>
  <c r="K468" i="2"/>
  <c r="K466" i="2"/>
  <c r="K467" i="2"/>
  <c r="K469" i="2"/>
  <c r="K1508" i="2"/>
  <c r="L1508" i="2" s="1"/>
  <c r="K1560" i="2"/>
  <c r="L1560" i="2" s="1"/>
  <c r="K1555" i="2"/>
  <c r="L1555" i="2" s="1"/>
  <c r="K1535" i="2"/>
  <c r="L1535" i="2" s="1"/>
  <c r="K1884" i="2"/>
  <c r="L1863" i="2"/>
  <c r="K1559" i="2"/>
  <c r="L1424" i="2"/>
  <c r="K1923" i="2"/>
  <c r="L1923" i="2" s="1"/>
  <c r="K1616" i="2"/>
  <c r="K1615" i="2"/>
  <c r="K1614" i="2"/>
  <c r="K937" i="2"/>
  <c r="L937" i="2" s="1"/>
  <c r="K936" i="2"/>
  <c r="K1052" i="2"/>
  <c r="K1198" i="2"/>
  <c r="K1502" i="2"/>
  <c r="L1502" i="2" s="1"/>
  <c r="K1501" i="2"/>
  <c r="K1205" i="2"/>
  <c r="H1956" i="2"/>
  <c r="K1524" i="2"/>
  <c r="L1524" i="2" s="1"/>
  <c r="K1523" i="2"/>
  <c r="K1513" i="2"/>
  <c r="L1513" i="2" s="1"/>
  <c r="K1534" i="2"/>
  <c r="L1534" i="2" s="1"/>
  <c r="Y781" i="2"/>
  <c r="Z781" i="2" s="1"/>
  <c r="K1543" i="2"/>
  <c r="K1796" i="2"/>
  <c r="K1797" i="2"/>
  <c r="K1795" i="2"/>
  <c r="K1507" i="2"/>
  <c r="L1507" i="2" s="1"/>
  <c r="K360" i="2"/>
  <c r="K693" i="2"/>
  <c r="L693" i="2" s="1"/>
  <c r="K947" i="2"/>
  <c r="K1232" i="2"/>
  <c r="L1232" i="2" s="1"/>
  <c r="K1141" i="2"/>
  <c r="L1141" i="2" s="1"/>
  <c r="K1140" i="2"/>
  <c r="K1578" i="2"/>
  <c r="K458" i="2"/>
  <c r="K1525" i="2"/>
  <c r="L1525" i="2" s="1"/>
  <c r="K1617" i="2"/>
  <c r="L1617" i="2" s="1"/>
  <c r="K1506" i="2"/>
  <c r="K1491" i="2"/>
  <c r="K654" i="2"/>
  <c r="K1725" i="2"/>
  <c r="L1725" i="2" s="1"/>
  <c r="K1728" i="2"/>
  <c r="L1728" i="2" s="1"/>
  <c r="K1726" i="2"/>
  <c r="L1726" i="2" s="1"/>
  <c r="K1729" i="2"/>
  <c r="L1729" i="2" s="1"/>
  <c r="K1727" i="2"/>
  <c r="K1724" i="2"/>
  <c r="L1724" i="2" s="1"/>
  <c r="K510" i="2"/>
  <c r="K1951" i="2"/>
  <c r="L1951" i="2" s="1"/>
  <c r="K1952" i="2"/>
  <c r="L1952" i="2" s="1"/>
  <c r="K1375" i="2"/>
  <c r="K1550" i="2"/>
  <c r="L1550" i="2" s="1"/>
  <c r="K892" i="2"/>
  <c r="L892" i="2" s="1"/>
  <c r="K893" i="2"/>
  <c r="L893" i="2" s="1"/>
  <c r="K1496" i="2"/>
  <c r="K1302" i="2"/>
  <c r="K1304" i="2"/>
  <c r="K1303" i="2"/>
  <c r="K1305" i="2"/>
  <c r="O1940" i="2"/>
  <c r="K655" i="2"/>
  <c r="K1123" i="2"/>
  <c r="K1206" i="2"/>
  <c r="K1939" i="2"/>
  <c r="K1938" i="2"/>
  <c r="L1938" i="2" s="1"/>
  <c r="K1937" i="2"/>
  <c r="L1518" i="2"/>
  <c r="K1517" i="2"/>
  <c r="K1924" i="2"/>
  <c r="L1924" i="2" s="1"/>
  <c r="K1492" i="2"/>
  <c r="L1492" i="2" s="1"/>
  <c r="K1519" i="2"/>
  <c r="L1519" i="2" s="1"/>
  <c r="K1544" i="2"/>
  <c r="L1544" i="2" s="1"/>
  <c r="K777" i="2"/>
  <c r="K647" i="2"/>
  <c r="H111" i="2"/>
  <c r="K1124" i="2"/>
  <c r="K1631" i="2"/>
  <c r="K1768" i="2"/>
  <c r="L1768" i="2" s="1"/>
  <c r="K1769" i="2"/>
  <c r="L1769" i="2" s="1"/>
  <c r="O1564" i="2"/>
  <c r="O1558" i="2"/>
  <c r="K1306" i="2"/>
  <c r="L1306" i="2" s="1"/>
  <c r="K451" i="2"/>
  <c r="L451" i="2" s="1"/>
  <c r="K842" i="2"/>
  <c r="L842" i="2" s="1"/>
  <c r="K768" i="2"/>
  <c r="K1563" i="2"/>
  <c r="K1562" i="2"/>
  <c r="K1554" i="2"/>
  <c r="K1557" i="2"/>
  <c r="K1556" i="2"/>
  <c r="K623" i="2"/>
  <c r="K90" i="7" s="1"/>
  <c r="K656" i="2"/>
  <c r="K1703" i="2"/>
  <c r="K1702" i="2"/>
  <c r="K1669" i="2"/>
  <c r="L1669" i="2" s="1"/>
  <c r="K1591" i="2"/>
  <c r="K441" i="2"/>
  <c r="K673" i="2"/>
  <c r="K1122" i="2"/>
  <c r="O314" i="2"/>
  <c r="K1125" i="2"/>
  <c r="L983" i="2"/>
  <c r="K497" i="2"/>
  <c r="K1950" i="2"/>
  <c r="K912" i="2"/>
  <c r="L912" i="2" s="1"/>
  <c r="K911" i="2"/>
  <c r="L911" i="2" s="1"/>
  <c r="K1704" i="2"/>
  <c r="K657" i="2"/>
  <c r="K1783" i="2"/>
  <c r="K1326" i="2"/>
  <c r="K1789" i="2"/>
  <c r="L543" i="2"/>
  <c r="K769" i="2"/>
  <c r="K1327" i="2"/>
  <c r="O1594" i="2"/>
  <c r="K1593" i="2"/>
  <c r="K1592" i="2"/>
  <c r="K1009" i="2"/>
  <c r="K1885" i="2"/>
  <c r="K1659" i="2"/>
  <c r="L1659" i="2" s="1"/>
  <c r="K1059" i="2"/>
  <c r="K780" i="2"/>
  <c r="K1886" i="2"/>
  <c r="L1886" i="2" s="1"/>
  <c r="K1706" i="2"/>
  <c r="L1706" i="2" s="1"/>
  <c r="K1707" i="2"/>
  <c r="K1705" i="2"/>
  <c r="L1705" i="2" s="1"/>
  <c r="K624" i="2"/>
  <c r="K91" i="7" s="1"/>
  <c r="K111" i="2"/>
  <c r="K1632" i="2"/>
  <c r="L1632" i="2" s="1"/>
  <c r="O61" i="2"/>
  <c r="K1301" i="2"/>
  <c r="L1301" i="2" s="1"/>
  <c r="L502" i="2"/>
  <c r="L501" i="2"/>
  <c r="K1817" i="2"/>
  <c r="K1864" i="2"/>
  <c r="L1864" i="2" s="1"/>
  <c r="K1819" i="2"/>
  <c r="L1819" i="2" s="1"/>
  <c r="K1818" i="2"/>
  <c r="K1887" i="2"/>
  <c r="L1887" i="2" s="1"/>
  <c r="K1888" i="2"/>
  <c r="L1888" i="2" s="1"/>
  <c r="K1889" i="2"/>
  <c r="L1889" i="2" s="1"/>
  <c r="K1709" i="2"/>
  <c r="L1709" i="2" s="1"/>
  <c r="K1708" i="2"/>
  <c r="L1708" i="2" s="1"/>
  <c r="K766" i="2"/>
  <c r="L766" i="2" s="1"/>
  <c r="K846" i="2"/>
  <c r="L846" i="2" s="1"/>
  <c r="K1142" i="2"/>
  <c r="L1142" i="2" s="1"/>
  <c r="K442" i="2"/>
  <c r="L442" i="2" s="1"/>
  <c r="K906" i="2"/>
  <c r="L906" i="2" s="1"/>
  <c r="K1798" i="2"/>
  <c r="K1325" i="2"/>
  <c r="K496" i="2"/>
  <c r="L496" i="2" s="1"/>
  <c r="K495" i="2"/>
  <c r="L495" i="2" s="1"/>
  <c r="O626" i="2"/>
  <c r="O93" i="7" s="1"/>
  <c r="K1314" i="2"/>
  <c r="L1314" i="2" s="1"/>
  <c r="K625" i="2"/>
  <c r="K92" i="7" s="1"/>
  <c r="K1579" i="2"/>
  <c r="L1579" i="2" s="1"/>
  <c r="K494" i="2"/>
  <c r="L494" i="2" s="1"/>
  <c r="K1799" i="2"/>
  <c r="K1231" i="2"/>
  <c r="L1231" i="2" s="1"/>
  <c r="L426" i="2"/>
  <c r="H248" i="6"/>
  <c r="K459" i="2"/>
  <c r="L459" i="2" s="1"/>
  <c r="K1600" i="2"/>
  <c r="L1600" i="2" s="1"/>
  <c r="K966" i="2"/>
  <c r="L966" i="2" s="1"/>
  <c r="K334" i="2"/>
  <c r="L334" i="2" s="1"/>
  <c r="K573" i="2"/>
  <c r="L573" i="2" s="1"/>
  <c r="K765" i="2"/>
  <c r="K760" i="2"/>
  <c r="L760" i="2" s="1"/>
  <c r="K1202" i="2"/>
  <c r="L1202" i="2" s="1"/>
  <c r="K630" i="2"/>
  <c r="L630" i="2" s="1"/>
  <c r="O1145" i="2"/>
  <c r="K1143" i="2"/>
  <c r="L1143" i="2" s="1"/>
  <c r="K1144" i="2"/>
  <c r="K333" i="2"/>
  <c r="L333" i="2" s="1"/>
  <c r="K332" i="2"/>
  <c r="K402" i="2"/>
  <c r="O1553" i="2"/>
  <c r="K1849" i="2"/>
  <c r="L1849" i="2" s="1"/>
  <c r="K571" i="2"/>
  <c r="K803" i="2"/>
  <c r="K1552" i="2"/>
  <c r="K1551" i="2"/>
  <c r="K460" i="2"/>
  <c r="L460" i="2" s="1"/>
  <c r="K461" i="2"/>
  <c r="L461" i="2" s="1"/>
  <c r="K935" i="2"/>
  <c r="L935" i="2" s="1"/>
  <c r="K1337" i="2"/>
  <c r="K540" i="2"/>
  <c r="L540" i="2" s="1"/>
  <c r="K811" i="2"/>
  <c r="K669" i="2"/>
  <c r="L669" i="2" s="1"/>
  <c r="K1660" i="2"/>
  <c r="L1660" i="2" s="1"/>
  <c r="K946" i="2"/>
  <c r="K943" i="2"/>
  <c r="K287" i="2"/>
  <c r="K871" i="2"/>
  <c r="L871" i="2" s="1"/>
  <c r="K945" i="2"/>
  <c r="L945" i="2" s="1"/>
  <c r="L50" i="7" s="1"/>
  <c r="K944" i="2"/>
  <c r="K486" i="2"/>
  <c r="L486" i="2" s="1"/>
  <c r="K484" i="2"/>
  <c r="L484" i="2" s="1"/>
  <c r="K485" i="2"/>
  <c r="L485" i="2" s="1"/>
  <c r="K483" i="2"/>
  <c r="L483" i="2" s="1"/>
  <c r="K482" i="2"/>
  <c r="L482" i="2" s="1"/>
  <c r="O293" i="2"/>
  <c r="K1873" i="2"/>
  <c r="L1873" i="2" s="1"/>
  <c r="K902" i="2"/>
  <c r="L902" i="2" s="1"/>
  <c r="K1872" i="2"/>
  <c r="L1872" i="2" s="1"/>
  <c r="L427" i="2"/>
  <c r="K1292" i="2"/>
  <c r="L1292" i="2" s="1"/>
  <c r="O830" i="2"/>
  <c r="K826" i="2"/>
  <c r="O1586" i="2"/>
  <c r="P247" i="6" s="1"/>
  <c r="O981" i="2"/>
  <c r="O702" i="2"/>
  <c r="K1583" i="2"/>
  <c r="L244" i="6" s="1"/>
  <c r="K1584" i="2"/>
  <c r="L245" i="6" s="1"/>
  <c r="K1585" i="2"/>
  <c r="L246" i="6" s="1"/>
  <c r="K1422" i="2"/>
  <c r="L1422" i="2" s="1"/>
  <c r="K539" i="2"/>
  <c r="K631" i="2"/>
  <c r="L631" i="2" s="1"/>
  <c r="K894" i="2"/>
  <c r="L894" i="2" s="1"/>
  <c r="K720" i="2"/>
  <c r="L720" i="2" s="1"/>
  <c r="K1471" i="2"/>
  <c r="L1471" i="2" s="1"/>
  <c r="K1472" i="2"/>
  <c r="K1470" i="2"/>
  <c r="K810" i="2"/>
  <c r="K487" i="2"/>
  <c r="L487" i="2" s="1"/>
  <c r="K1423" i="2"/>
  <c r="L1423" i="2" s="1"/>
  <c r="K462" i="2"/>
  <c r="L462" i="2" s="1"/>
  <c r="K1914" i="2"/>
  <c r="L1914" i="2" s="1"/>
  <c r="K1147" i="2"/>
  <c r="L1147" i="2" s="1"/>
  <c r="K1877" i="2"/>
  <c r="L1877" i="2" s="1"/>
  <c r="K1338" i="2"/>
  <c r="K331" i="2"/>
  <c r="L331" i="2" s="1"/>
  <c r="K805" i="2"/>
  <c r="O1547" i="2"/>
  <c r="K1126" i="2"/>
  <c r="K1269" i="2"/>
  <c r="K1268" i="2"/>
  <c r="K1546" i="2"/>
  <c r="K1545" i="2"/>
  <c r="K493" i="2"/>
  <c r="L493" i="2" s="1"/>
  <c r="K1670" i="2"/>
  <c r="L1670" i="2" s="1"/>
  <c r="K443" i="2"/>
  <c r="L443" i="2" s="1"/>
  <c r="O1590" i="2"/>
  <c r="O1542" i="2"/>
  <c r="K1913" i="2"/>
  <c r="L1913" i="2" s="1"/>
  <c r="K1429" i="2"/>
  <c r="K1915" i="2"/>
  <c r="L1915" i="2" s="1"/>
  <c r="K1541" i="2"/>
  <c r="K1539" i="2"/>
  <c r="K1540" i="2"/>
  <c r="S1290" i="2"/>
  <c r="M1290" i="2" s="1"/>
  <c r="O1511" i="2"/>
  <c r="O1538" i="2"/>
  <c r="O1532" i="2"/>
  <c r="K1846" i="2"/>
  <c r="L1846" i="2" s="1"/>
  <c r="K1509" i="2"/>
  <c r="K1531" i="2"/>
  <c r="K1529" i="2"/>
  <c r="K1530" i="2"/>
  <c r="K1510" i="2"/>
  <c r="K1537" i="2"/>
  <c r="K1536" i="2"/>
  <c r="K1533" i="2"/>
  <c r="K1762" i="2"/>
  <c r="L1762" i="2" s="1"/>
  <c r="K970" i="2"/>
  <c r="K668" i="2"/>
  <c r="L668" i="2" s="1"/>
  <c r="K1376" i="2"/>
  <c r="L1376" i="2" s="1"/>
  <c r="K1374" i="2"/>
  <c r="K1377" i="2"/>
  <c r="L1377" i="2" s="1"/>
  <c r="K1378" i="2"/>
  <c r="L1378" i="2" s="1"/>
  <c r="X1287" i="2"/>
  <c r="X1290" i="2"/>
  <c r="K492" i="2"/>
  <c r="L492" i="2" s="1"/>
  <c r="K686" i="2"/>
  <c r="L686" i="2" s="1"/>
  <c r="K1270" i="2"/>
  <c r="K1619" i="2"/>
  <c r="L1619" i="2" s="1"/>
  <c r="K1618" i="2"/>
  <c r="L1618" i="2" s="1"/>
  <c r="K910" i="2"/>
  <c r="L910" i="2" s="1"/>
  <c r="K491" i="2"/>
  <c r="O1007" i="2"/>
  <c r="K1051" i="2"/>
  <c r="K1146" i="2"/>
  <c r="K1036" i="2"/>
  <c r="L1036" i="2" s="1"/>
  <c r="K1418" i="2"/>
  <c r="L1418" i="2" s="1"/>
  <c r="K1417" i="2"/>
  <c r="L1417" i="2" s="1"/>
  <c r="K1416" i="2"/>
  <c r="L1416" i="2" s="1"/>
  <c r="K960" i="2"/>
  <c r="K961" i="2"/>
  <c r="K1891" i="2"/>
  <c r="L1891" i="2" s="1"/>
  <c r="K1890" i="2"/>
  <c r="L1890" i="2" s="1"/>
  <c r="K1001" i="2"/>
  <c r="K1006" i="2"/>
  <c r="K1002" i="2"/>
  <c r="L1002" i="2" s="1"/>
  <c r="K1004" i="2"/>
  <c r="L1004" i="2" s="1"/>
  <c r="K1005" i="2"/>
  <c r="L1005" i="2" s="1"/>
  <c r="K1003" i="2"/>
  <c r="L1003" i="2" s="1"/>
  <c r="K994" i="2"/>
  <c r="K1419" i="2"/>
  <c r="L1419" i="2" s="1"/>
  <c r="K1892" i="2"/>
  <c r="L1892" i="2" s="1"/>
  <c r="K1893" i="2"/>
  <c r="L1893" i="2" s="1"/>
  <c r="K307" i="2"/>
  <c r="K463" i="2"/>
  <c r="L463" i="2" s="1"/>
  <c r="K1672" i="2"/>
  <c r="L1672" i="2" s="1"/>
  <c r="K916" i="2"/>
  <c r="L916" i="2" s="1"/>
  <c r="K915" i="2"/>
  <c r="L915" i="2" s="1"/>
  <c r="K914" i="2"/>
  <c r="L914" i="2" s="1"/>
  <c r="K913" i="2"/>
  <c r="L913" i="2" s="1"/>
  <c r="K1662" i="2"/>
  <c r="L1662" i="2" s="1"/>
  <c r="K1663" i="2"/>
  <c r="L1663" i="2" s="1"/>
  <c r="K1661" i="2"/>
  <c r="L1661" i="2" s="1"/>
  <c r="K1664" i="2"/>
  <c r="L1664" i="2" s="1"/>
  <c r="K1379" i="2"/>
  <c r="L1379" i="2" s="1"/>
  <c r="M209" i="2"/>
  <c r="M225" i="2" s="1"/>
  <c r="K1587" i="2"/>
  <c r="K1588" i="2"/>
  <c r="K1574" i="2"/>
  <c r="L1574" i="2" s="1"/>
  <c r="K1589" i="2"/>
  <c r="K1058" i="2"/>
  <c r="K1878" i="2"/>
  <c r="L1878" i="2" s="1"/>
  <c r="L348" i="2"/>
  <c r="K982" i="2"/>
  <c r="K1428" i="2"/>
  <c r="L1428" i="2" s="1"/>
  <c r="K667" i="2"/>
  <c r="L667" i="2" s="1"/>
  <c r="K1895" i="2"/>
  <c r="L1895" i="2" s="1"/>
  <c r="K1894" i="2"/>
  <c r="L1894" i="2" s="1"/>
  <c r="O1582" i="2"/>
  <c r="K1580" i="2"/>
  <c r="K1581" i="2"/>
  <c r="K305" i="2"/>
  <c r="L305" i="2" s="1"/>
  <c r="K918" i="2"/>
  <c r="L918" i="2" s="1"/>
  <c r="K919" i="2"/>
  <c r="L919" i="2" s="1"/>
  <c r="K920" i="2"/>
  <c r="L920" i="2" s="1"/>
  <c r="K921" i="2"/>
  <c r="L921" i="2" s="1"/>
  <c r="K923" i="2"/>
  <c r="L923" i="2" s="1"/>
  <c r="K922" i="2"/>
  <c r="L922" i="2" s="1"/>
  <c r="K917" i="2"/>
  <c r="L917" i="2" s="1"/>
  <c r="K1896" i="2"/>
  <c r="L1896" i="2" s="1"/>
  <c r="K1897" i="2"/>
  <c r="L1897" i="2" s="1"/>
  <c r="K1230" i="2"/>
  <c r="L1230" i="2" s="1"/>
  <c r="K758" i="2"/>
  <c r="L758" i="2" s="1"/>
  <c r="K1024" i="2"/>
  <c r="K525" i="2"/>
  <c r="K527" i="2"/>
  <c r="L527" i="2" s="1"/>
  <c r="K526" i="2"/>
  <c r="K524" i="2"/>
  <c r="K411" i="2"/>
  <c r="K412" i="2"/>
  <c r="L412" i="2" s="1"/>
  <c r="K413" i="2"/>
  <c r="L413" i="2" s="1"/>
  <c r="K414" i="2"/>
  <c r="L414" i="2" s="1"/>
  <c r="K1395" i="2"/>
  <c r="L1395" i="2" s="1"/>
  <c r="K415" i="2"/>
  <c r="L415" i="2" s="1"/>
  <c r="K996" i="2"/>
  <c r="K646" i="2"/>
  <c r="K1833" i="2"/>
  <c r="L1833" i="2" s="1"/>
  <c r="L528" i="2"/>
  <c r="K417" i="2"/>
  <c r="L417" i="2" s="1"/>
  <c r="K418" i="2"/>
  <c r="L418" i="2" s="1"/>
  <c r="K419" i="2"/>
  <c r="L419" i="2" s="1"/>
  <c r="K420" i="2"/>
  <c r="L420" i="2" s="1"/>
  <c r="K421" i="2"/>
  <c r="L421" i="2" s="1"/>
  <c r="L504" i="2"/>
  <c r="K416" i="2"/>
  <c r="L416" i="2" s="1"/>
  <c r="K452" i="2"/>
  <c r="L452" i="2" s="1"/>
  <c r="L349" i="2"/>
  <c r="K818" i="2"/>
  <c r="K817" i="2"/>
  <c r="K816" i="2"/>
  <c r="K1291" i="2"/>
  <c r="L1291" i="2" s="1"/>
  <c r="O1577" i="2"/>
  <c r="O1572" i="2"/>
  <c r="K1251" i="2"/>
  <c r="L1251" i="2" s="1"/>
  <c r="K1576" i="2"/>
  <c r="K1575" i="2"/>
  <c r="K1573" i="2"/>
  <c r="K1570" i="2"/>
  <c r="I1571" i="2" s="1"/>
  <c r="K1571" i="2"/>
  <c r="K834" i="2"/>
  <c r="R1956" i="2"/>
  <c r="X1" i="2" s="1"/>
  <c r="R611" i="2"/>
  <c r="X2" i="2" s="1"/>
  <c r="O229" i="2"/>
  <c r="K1092" i="2"/>
  <c r="M239" i="2"/>
  <c r="O1955" i="2"/>
  <c r="K1954" i="2"/>
  <c r="K1953" i="2"/>
  <c r="L1953" i="2" s="1"/>
  <c r="K1601" i="2"/>
  <c r="L1601" i="2" s="1"/>
  <c r="K1252" i="2"/>
  <c r="L1252" i="2" s="1"/>
  <c r="K770" i="2"/>
  <c r="L770" i="2" s="1"/>
  <c r="K1854" i="2"/>
  <c r="L1854" i="2" s="1"/>
  <c r="R1599" i="2"/>
  <c r="X3" i="2" s="1"/>
  <c r="K977" i="2"/>
  <c r="L977" i="2" s="1"/>
  <c r="K979" i="2"/>
  <c r="L979" i="2" s="1"/>
  <c r="K980" i="2"/>
  <c r="K978" i="2"/>
  <c r="L978" i="2" s="1"/>
  <c r="K812" i="2"/>
  <c r="O1568" i="2"/>
  <c r="K1566" i="2"/>
  <c r="K1567" i="2"/>
  <c r="K1307" i="2"/>
  <c r="L1307" i="2" s="1"/>
  <c r="K1565" i="2"/>
  <c r="M61" i="2"/>
  <c r="M88" i="2" s="1"/>
  <c r="O987" i="2"/>
  <c r="K876" i="2"/>
  <c r="K984" i="2"/>
  <c r="L984" i="2" s="1"/>
  <c r="K985" i="2"/>
  <c r="L985" i="2" s="1"/>
  <c r="K986" i="2"/>
  <c r="O975" i="2"/>
  <c r="O1516" i="2"/>
  <c r="O1505" i="2"/>
  <c r="O1495" i="2"/>
  <c r="O1500" i="2"/>
  <c r="O1528" i="2"/>
  <c r="O251" i="2"/>
  <c r="O1522" i="2"/>
  <c r="K971" i="2"/>
  <c r="L971" i="2" s="1"/>
  <c r="K974" i="2"/>
  <c r="K973" i="2"/>
  <c r="L973" i="2" s="1"/>
  <c r="K972" i="2"/>
  <c r="L972" i="2" s="1"/>
  <c r="K1503" i="2"/>
  <c r="K1521" i="2"/>
  <c r="K1493" i="2"/>
  <c r="K1526" i="2"/>
  <c r="K1494" i="2"/>
  <c r="K1514" i="2"/>
  <c r="K1527" i="2"/>
  <c r="K1520" i="2"/>
  <c r="K1499" i="2"/>
  <c r="K1512" i="2"/>
  <c r="K1504" i="2"/>
  <c r="K1515" i="2"/>
  <c r="O1241" i="2"/>
  <c r="K1380" i="2"/>
  <c r="L1380" i="2" s="1"/>
  <c r="S772" i="2"/>
  <c r="M773" i="2" s="1"/>
  <c r="K771" i="2"/>
  <c r="L771" i="2" s="1"/>
  <c r="K1057" i="2"/>
  <c r="K1803" i="2"/>
  <c r="O1062" i="2"/>
  <c r="S1056" i="2"/>
  <c r="M1056" i="2"/>
  <c r="K1841" i="2"/>
  <c r="K809" i="2"/>
  <c r="K1250" i="2"/>
  <c r="X92" i="2"/>
  <c r="K1053" i="2"/>
  <c r="K815" i="2"/>
  <c r="K1070" i="2"/>
  <c r="O1490" i="2"/>
  <c r="K1488" i="2"/>
  <c r="K1487" i="2"/>
  <c r="K1489" i="2"/>
  <c r="Y1249" i="2"/>
  <c r="Z1249" i="2" s="1"/>
  <c r="K964" i="2"/>
  <c r="O1254" i="2"/>
  <c r="K831" i="2"/>
  <c r="L831" i="2" s="1"/>
  <c r="K1901" i="2"/>
  <c r="L1901" i="2" s="1"/>
  <c r="K1267" i="2"/>
  <c r="K1629" i="2"/>
  <c r="L1629" i="2" s="1"/>
  <c r="K1107" i="2"/>
  <c r="K1129" i="2"/>
  <c r="K1130" i="2"/>
  <c r="K1285" i="2"/>
  <c r="L1285" i="2" s="1"/>
  <c r="K775" i="2"/>
  <c r="K1723" i="2"/>
  <c r="K1335" i="2"/>
  <c r="K995" i="2"/>
  <c r="K925" i="2"/>
  <c r="L925" i="2" s="1"/>
  <c r="K926" i="2"/>
  <c r="K924" i="2"/>
  <c r="L924" i="2" s="1"/>
  <c r="K1477" i="2"/>
  <c r="L1477" i="2" s="1"/>
  <c r="K1834" i="2"/>
  <c r="L1834" i="2" s="1"/>
  <c r="M92" i="2"/>
  <c r="K1054" i="2"/>
  <c r="N145" i="6"/>
  <c r="X111" i="2"/>
  <c r="K1050" i="2"/>
  <c r="X105" i="2"/>
  <c r="K88" i="2"/>
  <c r="H88" i="2"/>
  <c r="K1191" i="2"/>
  <c r="K1784" i="2"/>
  <c r="L1784" i="2" s="1"/>
  <c r="K1189" i="2"/>
  <c r="K1190" i="2"/>
  <c r="O202" i="2"/>
  <c r="O1918" i="2"/>
  <c r="K776" i="2"/>
  <c r="K1192" i="2"/>
  <c r="L1192" i="2" s="1"/>
  <c r="M165" i="6" s="1"/>
  <c r="K1020" i="2"/>
  <c r="L1020" i="2" s="1"/>
  <c r="K1021" i="2"/>
  <c r="L1021" i="2" s="1"/>
  <c r="K1481" i="2"/>
  <c r="K1466" i="2"/>
  <c r="L1466" i="2" s="1"/>
  <c r="K1336" i="2"/>
  <c r="K1357" i="2"/>
  <c r="L1357" i="2" s="1"/>
  <c r="X286" i="2"/>
  <c r="K1358" i="2"/>
  <c r="L1358" i="2" s="1"/>
  <c r="K938" i="2"/>
  <c r="L938" i="2" s="1"/>
  <c r="K1158" i="2"/>
  <c r="K1620" i="2"/>
  <c r="L1620" i="2" s="1"/>
  <c r="K948" i="2"/>
  <c r="K1473" i="2"/>
  <c r="L1473" i="2" s="1"/>
  <c r="K1482" i="2"/>
  <c r="L1482" i="2" s="1"/>
  <c r="K1483" i="2"/>
  <c r="L1483" i="2" s="1"/>
  <c r="K1478" i="2"/>
  <c r="K1476" i="2"/>
  <c r="K1479" i="2"/>
  <c r="O1480" i="2"/>
  <c r="K1790" i="2"/>
  <c r="L1790" i="2" s="1"/>
  <c r="K1296" i="2"/>
  <c r="K1621" i="2"/>
  <c r="L1621" i="2" s="1"/>
  <c r="O1475" i="2"/>
  <c r="K1474" i="2"/>
  <c r="O1469" i="2"/>
  <c r="K1468" i="2"/>
  <c r="K1467" i="2"/>
  <c r="K1465" i="2"/>
  <c r="K674" i="2"/>
  <c r="L674" i="2" s="1"/>
  <c r="O1272" i="2"/>
  <c r="P237" i="6" s="1"/>
  <c r="K1425" i="2"/>
  <c r="F230" i="6"/>
  <c r="F228" i="6"/>
  <c r="K1245" i="2"/>
  <c r="K751" i="2"/>
  <c r="K675" i="2"/>
  <c r="L675" i="2" s="1"/>
  <c r="K1730" i="2"/>
  <c r="L1730" i="2" s="1"/>
  <c r="O1909" i="2"/>
  <c r="O1912" i="2"/>
  <c r="K1910" i="2"/>
  <c r="K1907" i="2"/>
  <c r="K683" i="2"/>
  <c r="L683" i="2" s="1"/>
  <c r="O300" i="2"/>
  <c r="K1683" i="2"/>
  <c r="L1683" i="2" s="1"/>
  <c r="K1925" i="2"/>
  <c r="L1925" i="2" s="1"/>
  <c r="K1926" i="2"/>
  <c r="L1926" i="2" s="1"/>
  <c r="K1927" i="2"/>
  <c r="L1927" i="2" s="1"/>
  <c r="K1928" i="2"/>
  <c r="L1928" i="2" s="1"/>
  <c r="K1929" i="2"/>
  <c r="L1929" i="2" s="1"/>
  <c r="K1930" i="2"/>
  <c r="L1930" i="2" s="1"/>
  <c r="K1931" i="2"/>
  <c r="L932" i="2"/>
  <c r="A928" i="2" s="1"/>
  <c r="O861" i="2"/>
  <c r="L1643" i="2"/>
  <c r="A1637" i="2" s="1"/>
  <c r="L261" i="2"/>
  <c r="N261" i="2" s="1"/>
  <c r="L1628" i="2"/>
  <c r="A1626" i="2" s="1"/>
  <c r="L1647" i="2"/>
  <c r="A1644" i="2" s="1"/>
  <c r="L1701" i="2"/>
  <c r="P1701" i="2" s="1"/>
  <c r="L1171" i="2"/>
  <c r="N1171" i="2" s="1"/>
  <c r="L1658" i="2"/>
  <c r="A1656" i="2" s="1"/>
  <c r="L1741" i="2"/>
  <c r="P1741" i="2" s="1"/>
  <c r="I328" i="2"/>
  <c r="I401" i="2"/>
  <c r="L1610" i="2"/>
  <c r="N1610" i="2" s="1"/>
  <c r="L1613" i="2"/>
  <c r="A1611" i="2" s="1"/>
  <c r="I1034" i="2"/>
  <c r="I1334" i="2"/>
  <c r="I741" i="2"/>
  <c r="L956" i="2"/>
  <c r="N956" i="2" s="1"/>
  <c r="M129" i="6"/>
  <c r="M131" i="6" s="1"/>
  <c r="A123" i="6" s="1"/>
  <c r="L1780" i="2"/>
  <c r="N1780" i="2" s="1"/>
  <c r="I391" i="2"/>
  <c r="I738" i="2"/>
  <c r="L1760" i="2"/>
  <c r="P1760" i="2" s="1"/>
  <c r="I735" i="2"/>
  <c r="M206" i="6"/>
  <c r="M207" i="6" s="1"/>
  <c r="A202" i="6" s="1"/>
  <c r="I1241" i="2"/>
  <c r="L1750" i="2"/>
  <c r="P1750" i="2" s="1"/>
  <c r="I1188" i="2"/>
  <c r="L642" i="2"/>
  <c r="N642" i="2" s="1"/>
  <c r="I1320" i="2"/>
  <c r="I730" i="2"/>
  <c r="I139" i="2"/>
  <c r="L322" i="2"/>
  <c r="N322" i="2" s="1"/>
  <c r="L1722" i="2"/>
  <c r="P1722" i="2" s="1"/>
  <c r="L1832" i="2"/>
  <c r="P1832" i="2" s="1"/>
  <c r="S1091" i="2"/>
  <c r="M1091" i="2" s="1"/>
  <c r="M1341" i="2" s="1"/>
  <c r="N201" i="6" s="1"/>
  <c r="K697" i="2"/>
  <c r="L697" i="2" s="1"/>
  <c r="K617" i="2"/>
  <c r="K1684" i="2"/>
  <c r="L1684" i="2" s="1"/>
  <c r="K1685" i="2"/>
  <c r="L1685" i="2" s="1"/>
  <c r="O97" i="2"/>
  <c r="Y618" i="2"/>
  <c r="X622" i="2"/>
  <c r="X134" i="2"/>
  <c r="X135" i="2"/>
  <c r="K1297" i="2"/>
  <c r="K998" i="2"/>
  <c r="K1093" i="2"/>
  <c r="M286" i="2"/>
  <c r="K619" i="2"/>
  <c r="O1906" i="2"/>
  <c r="K1902" i="2"/>
  <c r="L1902" i="2" s="1"/>
  <c r="K1903" i="2"/>
  <c r="L1903" i="2" s="1"/>
  <c r="K1904" i="2"/>
  <c r="L1904" i="2" s="1"/>
  <c r="K1905" i="2"/>
  <c r="K643" i="2"/>
  <c r="K649" i="2"/>
  <c r="K644" i="2"/>
  <c r="K1244" i="2"/>
  <c r="S685" i="2"/>
  <c r="M685" i="2" s="1"/>
  <c r="K1041" i="2"/>
  <c r="L1041" i="2" s="1"/>
  <c r="K1157" i="2"/>
  <c r="I225" i="2"/>
  <c r="K225" i="2"/>
  <c r="K1869" i="2"/>
  <c r="L1869" i="2" s="1"/>
  <c r="X681" i="2"/>
  <c r="X685" i="2"/>
  <c r="K698" i="2"/>
  <c r="L698" i="2" s="1"/>
  <c r="K873" i="2"/>
  <c r="L873" i="2" s="1"/>
  <c r="K699" i="2"/>
  <c r="L699" i="2" s="1"/>
  <c r="K701" i="2"/>
  <c r="K700" i="2"/>
  <c r="L700" i="2" s="1"/>
  <c r="K632" i="2"/>
  <c r="L632" i="2" s="1"/>
  <c r="K1280" i="2"/>
  <c r="L1280" i="2" s="1"/>
  <c r="K1042" i="2"/>
  <c r="L1042" i="2" s="1"/>
  <c r="K634" i="2"/>
  <c r="L634" i="2" s="1"/>
  <c r="K633" i="2"/>
  <c r="L633" i="2" s="1"/>
  <c r="K703" i="2"/>
  <c r="L703" i="2" s="1"/>
  <c r="O1427" i="2"/>
  <c r="O708" i="2"/>
  <c r="O568" i="2"/>
  <c r="K707" i="2"/>
  <c r="K705" i="2"/>
  <c r="L705" i="2" s="1"/>
  <c r="K706" i="2"/>
  <c r="L706" i="2" s="1"/>
  <c r="K704" i="2"/>
  <c r="L704" i="2" s="1"/>
  <c r="O286" i="2"/>
  <c r="M341" i="2"/>
  <c r="O538" i="2"/>
  <c r="K1731" i="2"/>
  <c r="L1731" i="2" s="1"/>
  <c r="K1255" i="2"/>
  <c r="L1255" i="2" s="1"/>
  <c r="K1008" i="2"/>
  <c r="L1008" i="2" s="1"/>
  <c r="K1801" i="2"/>
  <c r="X340" i="2"/>
  <c r="K1430" i="2"/>
  <c r="L1430" i="2" s="1"/>
  <c r="K1710" i="2"/>
  <c r="L1710" i="2" s="1"/>
  <c r="K1622" i="2"/>
  <c r="L1622" i="2" s="1"/>
  <c r="K774" i="2"/>
  <c r="X813" i="2"/>
  <c r="K837" i="2"/>
  <c r="L837" i="2" s="1"/>
  <c r="N24" i="6"/>
  <c r="K783" i="2"/>
  <c r="L783" i="2" s="1"/>
  <c r="K1038" i="2"/>
  <c r="L1038" i="2" s="1"/>
  <c r="K676" i="2"/>
  <c r="L676" i="2" s="1"/>
  <c r="K1017" i="2"/>
  <c r="X781" i="2"/>
  <c r="K1451" i="2"/>
  <c r="T107" i="15" s="1"/>
  <c r="K618" i="2"/>
  <c r="L618" i="2" s="1"/>
  <c r="O820" i="2"/>
  <c r="P243" i="6" s="1"/>
  <c r="O184" i="2"/>
  <c r="K1453" i="2"/>
  <c r="L1453" i="2" s="1"/>
  <c r="K1455" i="2"/>
  <c r="T111" i="15" s="1"/>
  <c r="K1114" i="2"/>
  <c r="O825" i="2"/>
  <c r="O836" i="2" s="1"/>
  <c r="O719" i="2"/>
  <c r="K821" i="2"/>
  <c r="L821" i="2" s="1"/>
  <c r="X15" i="15"/>
  <c r="K710" i="2"/>
  <c r="L710" i="2" s="1"/>
  <c r="K1224" i="2"/>
  <c r="L1224" i="2" s="1"/>
  <c r="O1128" i="2"/>
  <c r="P104" i="6" s="1"/>
  <c r="K1121" i="2"/>
  <c r="K1820" i="2"/>
  <c r="L1820" i="2" s="1"/>
  <c r="K709" i="2"/>
  <c r="L709" i="2" s="1"/>
  <c r="K711" i="2"/>
  <c r="L711" i="2" s="1"/>
  <c r="K784" i="2"/>
  <c r="L784" i="2" s="1"/>
  <c r="K714" i="2"/>
  <c r="L714" i="2" s="1"/>
  <c r="K712" i="2"/>
  <c r="L712" i="2" s="1"/>
  <c r="K713" i="2"/>
  <c r="L713" i="2" s="1"/>
  <c r="K1075" i="2"/>
  <c r="K715" i="2"/>
  <c r="L715" i="2" s="1"/>
  <c r="K716" i="2"/>
  <c r="L716" i="2" s="1"/>
  <c r="K1852" i="2"/>
  <c r="L1852" i="2" s="1"/>
  <c r="K1853" i="2"/>
  <c r="L1853" i="2" s="1"/>
  <c r="K717" i="2"/>
  <c r="L717" i="2" s="1"/>
  <c r="X29" i="15"/>
  <c r="K1049" i="2"/>
  <c r="O814" i="2"/>
  <c r="P231" i="6" s="1"/>
  <c r="X28" i="15"/>
  <c r="X993" i="2"/>
  <c r="O1456" i="2"/>
  <c r="K1454" i="2"/>
  <c r="L1454" i="2" s="1"/>
  <c r="M993" i="2"/>
  <c r="M73" i="7" s="1"/>
  <c r="M637" i="2"/>
  <c r="O564" i="2"/>
  <c r="K988" i="2"/>
  <c r="X926" i="2"/>
  <c r="K1074" i="2"/>
  <c r="X631" i="2"/>
  <c r="X632" i="2"/>
  <c r="K1274" i="2"/>
  <c r="L1274" i="2" s="1"/>
  <c r="K884" i="2"/>
  <c r="L884" i="2" s="1"/>
  <c r="G70" i="4"/>
  <c r="G256" i="4" s="1"/>
  <c r="K1800" i="2"/>
  <c r="K957" i="2"/>
  <c r="K1073" i="2"/>
  <c r="K1072" i="2"/>
  <c r="O664" i="2"/>
  <c r="O89" i="7" s="1"/>
  <c r="K1256" i="2"/>
  <c r="L1256" i="2" s="1"/>
  <c r="K88" i="7"/>
  <c r="K89" i="7" s="1"/>
  <c r="G159" i="15"/>
  <c r="M1156" i="2"/>
  <c r="K1225" i="2"/>
  <c r="L1225" i="2" s="1"/>
  <c r="K1018" i="2"/>
  <c r="L1018" i="2" s="1"/>
  <c r="K1933" i="2"/>
  <c r="L1933" i="2" s="1"/>
  <c r="K1153" i="2"/>
  <c r="L1153" i="2" s="1"/>
  <c r="K1667" i="2"/>
  <c r="L1667" i="2" s="1"/>
  <c r="K1359" i="2"/>
  <c r="L1359" i="2" s="1"/>
  <c r="X233" i="2"/>
  <c r="K1761" i="2"/>
  <c r="L1761" i="2" s="1"/>
  <c r="K1449" i="2"/>
  <c r="L1449" i="2" s="1"/>
  <c r="O102" i="2"/>
  <c r="O111" i="2" s="1"/>
  <c r="O1452" i="2"/>
  <c r="K1603" i="2"/>
  <c r="L1603" i="2" s="1"/>
  <c r="K1450" i="2"/>
  <c r="L1450" i="2" s="1"/>
  <c r="X621" i="2"/>
  <c r="K885" i="2"/>
  <c r="L885" i="2" s="1"/>
  <c r="K1257" i="2"/>
  <c r="L1257" i="2" s="1"/>
  <c r="K1258" i="2"/>
  <c r="L1258" i="2" s="1"/>
  <c r="O591" i="2"/>
  <c r="AA154" i="15" s="1"/>
  <c r="O587" i="2"/>
  <c r="K621" i="2"/>
  <c r="K854" i="2"/>
  <c r="O1448" i="2"/>
  <c r="K1446" i="2"/>
  <c r="L1446" i="2" s="1"/>
  <c r="K1447" i="2"/>
  <c r="T103" i="15" s="1"/>
  <c r="K1445" i="2"/>
  <c r="L1445" i="2" s="1"/>
  <c r="S756" i="2"/>
  <c r="M756" i="2" s="1"/>
  <c r="M40" i="7" s="1"/>
  <c r="O1440" i="2"/>
  <c r="O1444" i="2"/>
  <c r="K1438" i="2"/>
  <c r="L1438" i="2" s="1"/>
  <c r="K1441" i="2"/>
  <c r="L1441" i="2" s="1"/>
  <c r="K1442" i="2"/>
  <c r="L1442" i="2" s="1"/>
  <c r="K1443" i="2"/>
  <c r="T99" i="15" s="1"/>
  <c r="K1437" i="2"/>
  <c r="L1437" i="2" s="1"/>
  <c r="K1439" i="2"/>
  <c r="T95" i="15" s="1"/>
  <c r="O1436" i="2"/>
  <c r="K1435" i="2"/>
  <c r="T91" i="15" s="1"/>
  <c r="K1433" i="2"/>
  <c r="L1433" i="2" s="1"/>
  <c r="K1434" i="2"/>
  <c r="L1434" i="2" s="1"/>
  <c r="X778" i="2"/>
  <c r="K1246" i="2"/>
  <c r="X756" i="2"/>
  <c r="W142" i="15"/>
  <c r="O583" i="2"/>
  <c r="O557" i="2"/>
  <c r="M184" i="2"/>
  <c r="K838" i="2"/>
  <c r="K839" i="2"/>
  <c r="L839" i="2" s="1"/>
  <c r="K750" i="2"/>
  <c r="L750" i="2" s="1"/>
  <c r="K749" i="2"/>
  <c r="L749" i="2" s="1"/>
  <c r="X193" i="2"/>
  <c r="O796" i="2"/>
  <c r="K901" i="2"/>
  <c r="L901" i="2" s="1"/>
  <c r="X618" i="2"/>
  <c r="K1243" i="2"/>
  <c r="O1353" i="2"/>
  <c r="AA25" i="15" s="1"/>
  <c r="K1842" i="2"/>
  <c r="L1842" i="2" s="1"/>
  <c r="A6" i="4"/>
  <c r="O1460" i="2"/>
  <c r="K1668" i="2"/>
  <c r="L1668" i="2" s="1"/>
  <c r="K1671" i="2"/>
  <c r="L1671" i="2" s="1"/>
  <c r="K1459" i="2"/>
  <c r="T115" i="15" s="1"/>
  <c r="K1458" i="2"/>
  <c r="L1458" i="2" s="1"/>
  <c r="K1457" i="2"/>
  <c r="L1457" i="2" s="1"/>
  <c r="W134" i="15"/>
  <c r="I522" i="2"/>
  <c r="N133" i="15"/>
  <c r="N134" i="15" s="1"/>
  <c r="O318" i="2"/>
  <c r="K1898" i="2"/>
  <c r="L1898" i="2" s="1"/>
  <c r="X899" i="2"/>
  <c r="X39" i="2"/>
  <c r="O377" i="2"/>
  <c r="K1934" i="2"/>
  <c r="L1934" i="2" s="1"/>
  <c r="O1432" i="2"/>
  <c r="K1431" i="2"/>
  <c r="K1099" i="2"/>
  <c r="L1099" i="2" s="1"/>
  <c r="K1100" i="2"/>
  <c r="L1100" i="2" s="1"/>
  <c r="K1273" i="2"/>
  <c r="L1273" i="2" s="1"/>
  <c r="K1242" i="2"/>
  <c r="K1461" i="2"/>
  <c r="L1461" i="2" s="1"/>
  <c r="K1019" i="2"/>
  <c r="L1019" i="2" s="1"/>
  <c r="K721" i="2"/>
  <c r="L721" i="2" s="1"/>
  <c r="K785" i="2"/>
  <c r="L785" i="2" s="1"/>
  <c r="O1421" i="2"/>
  <c r="K1420" i="2"/>
  <c r="O1415" i="2"/>
  <c r="K806" i="2"/>
  <c r="K1412" i="2"/>
  <c r="L1412" i="2" s="1"/>
  <c r="K1413" i="2"/>
  <c r="L1413" i="2" s="1"/>
  <c r="K1414" i="2"/>
  <c r="T79" i="15" s="1"/>
  <c r="O802" i="2"/>
  <c r="K1275" i="2"/>
  <c r="L1275" i="2" s="1"/>
  <c r="K1226" i="2"/>
  <c r="L1226" i="2" s="1"/>
  <c r="K1328" i="2"/>
  <c r="K786" i="2"/>
  <c r="L786" i="2" s="1"/>
  <c r="K1151" i="2"/>
  <c r="L1151" i="2" s="1"/>
  <c r="K1339" i="2"/>
  <c r="F192" i="6"/>
  <c r="O1330" i="2"/>
  <c r="P174" i="6" s="1"/>
  <c r="K1732" i="2"/>
  <c r="L1732" i="2" s="1"/>
  <c r="O1464" i="2"/>
  <c r="K1463" i="2"/>
  <c r="K1462" i="2"/>
  <c r="L1462" i="2" s="1"/>
  <c r="K1348" i="2"/>
  <c r="L1348" i="2" s="1"/>
  <c r="K1193" i="2"/>
  <c r="K645" i="2"/>
  <c r="K1210" i="2"/>
  <c r="L1210" i="2" s="1"/>
  <c r="K1212" i="2"/>
  <c r="L1212" i="2" s="1"/>
  <c r="K1211" i="2"/>
  <c r="L1211" i="2" s="1"/>
  <c r="K1213" i="2"/>
  <c r="L1213" i="2" s="1"/>
  <c r="K1602" i="2"/>
  <c r="L1602" i="2" s="1"/>
  <c r="O139" i="2"/>
  <c r="K1788" i="2"/>
  <c r="L1788" i="2" s="1"/>
  <c r="S796" i="2"/>
  <c r="M796" i="2" s="1"/>
  <c r="F223" i="6"/>
  <c r="X1248" i="2"/>
  <c r="K789" i="2"/>
  <c r="L789" i="2" s="1"/>
  <c r="K1623" i="2"/>
  <c r="L1623" i="2" s="1"/>
  <c r="Y1229" i="2"/>
  <c r="Z1229" i="2" s="1"/>
  <c r="K648" i="2"/>
  <c r="K797" i="2"/>
  <c r="L797" i="2" s="1"/>
  <c r="O1411" i="2"/>
  <c r="K1408" i="2"/>
  <c r="L1408" i="2" s="1"/>
  <c r="K1409" i="2"/>
  <c r="L1409" i="2" s="1"/>
  <c r="K1410" i="2"/>
  <c r="T75" i="15" s="1"/>
  <c r="K1086" i="2"/>
  <c r="L1086" i="2" s="1"/>
  <c r="O177" i="2"/>
  <c r="O808" i="2"/>
  <c r="K1711" i="2"/>
  <c r="L1711" i="2" s="1"/>
  <c r="K1076" i="2"/>
  <c r="S1077" i="2"/>
  <c r="K635" i="2"/>
  <c r="L635" i="2" s="1"/>
  <c r="X1228" i="2"/>
  <c r="Y1078" i="2"/>
  <c r="S1068" i="2"/>
  <c r="M1069" i="2" s="1"/>
  <c r="M1078" i="2" s="1"/>
  <c r="N69" i="6" s="1"/>
  <c r="K161" i="2"/>
  <c r="O1407" i="2"/>
  <c r="K1406" i="2"/>
  <c r="T71" i="15" s="1"/>
  <c r="K1404" i="2"/>
  <c r="L1404" i="2" s="1"/>
  <c r="K1405" i="2"/>
  <c r="L1405" i="2" s="1"/>
  <c r="F69" i="15"/>
  <c r="F71" i="15"/>
  <c r="F70" i="15"/>
  <c r="X844" i="2"/>
  <c r="Y844" i="2"/>
  <c r="K1223" i="2"/>
  <c r="L1223" i="2" s="1"/>
  <c r="K1383" i="2"/>
  <c r="L1383" i="2" s="1"/>
  <c r="O268" i="2"/>
  <c r="N39" i="6"/>
  <c r="K958" i="2"/>
  <c r="O1403" i="2"/>
  <c r="F67" i="15"/>
  <c r="F66" i="15"/>
  <c r="F65" i="15"/>
  <c r="K1401" i="2"/>
  <c r="L1401" i="2" s="1"/>
  <c r="K1400" i="2"/>
  <c r="L1400" i="2" s="1"/>
  <c r="K1402" i="2"/>
  <c r="T67" i="15" s="1"/>
  <c r="P45" i="15"/>
  <c r="I111" i="2"/>
  <c r="O27" i="7"/>
  <c r="I160" i="2"/>
  <c r="I161" i="2" s="1"/>
  <c r="I1347" i="2"/>
  <c r="U125" i="15"/>
  <c r="I33" i="15"/>
  <c r="V33" i="15"/>
  <c r="H58" i="15"/>
  <c r="U58" i="15"/>
  <c r="I1180" i="2"/>
  <c r="A224" i="4"/>
  <c r="L213" i="6"/>
  <c r="L39" i="15"/>
  <c r="L60" i="6"/>
  <c r="Q75" i="6"/>
  <c r="F222" i="6"/>
  <c r="P125" i="15"/>
  <c r="M39" i="15"/>
  <c r="L125" i="15"/>
  <c r="Q129" i="15"/>
  <c r="A72" i="4"/>
  <c r="L180" i="6"/>
  <c r="M33" i="15"/>
  <c r="U39" i="15"/>
  <c r="L58" i="15"/>
  <c r="W34" i="15"/>
  <c r="W39" i="15" s="1"/>
  <c r="W53" i="15"/>
  <c r="W58" i="15" s="1"/>
  <c r="W14" i="15"/>
  <c r="W19" i="15" s="1"/>
  <c r="H161" i="2"/>
  <c r="M138" i="6"/>
  <c r="M139" i="6" s="1"/>
  <c r="A132" i="6" s="1"/>
  <c r="W20" i="15"/>
  <c r="W25" i="15" s="1"/>
  <c r="P82" i="6"/>
  <c r="Q207" i="6"/>
  <c r="M719" i="2"/>
  <c r="Y125" i="15" s="1"/>
  <c r="K33" i="15"/>
  <c r="F7" i="12"/>
  <c r="O1394" i="2"/>
  <c r="AA64" i="15" s="1"/>
  <c r="K787" i="2"/>
  <c r="Q224" i="6" s="1"/>
  <c r="H125" i="15"/>
  <c r="W125" i="15"/>
  <c r="K1390" i="2"/>
  <c r="L1390" i="2" s="1"/>
  <c r="K1389" i="2"/>
  <c r="L1389" i="2" s="1"/>
  <c r="K1392" i="2"/>
  <c r="L1392" i="2" s="1"/>
  <c r="K1393" i="2"/>
  <c r="T63" i="15" s="1"/>
  <c r="K1391" i="2"/>
  <c r="L1391" i="2" s="1"/>
  <c r="K52" i="15"/>
  <c r="I129" i="15"/>
  <c r="Q33" i="15"/>
  <c r="L52" i="15"/>
  <c r="U52" i="15"/>
  <c r="P58" i="15"/>
  <c r="K19" i="15"/>
  <c r="O19" i="15"/>
  <c r="S19" i="15"/>
  <c r="J25" i="15"/>
  <c r="U25" i="15"/>
  <c r="O25" i="15"/>
  <c r="J45" i="15"/>
  <c r="W45" i="15"/>
  <c r="I58" i="15"/>
  <c r="M58" i="15"/>
  <c r="V58" i="15"/>
  <c r="S58" i="15"/>
  <c r="F127" i="15"/>
  <c r="F62" i="15"/>
  <c r="F61" i="15"/>
  <c r="F60" i="15"/>
  <c r="F63" i="15"/>
  <c r="F59" i="15"/>
  <c r="K25" i="15"/>
  <c r="S25" i="15"/>
  <c r="K39" i="15"/>
  <c r="O39" i="15"/>
  <c r="S39" i="15"/>
  <c r="X127" i="15"/>
  <c r="M129" i="15"/>
  <c r="L139" i="6"/>
  <c r="P52" i="15"/>
  <c r="L32" i="6"/>
  <c r="N82" i="6"/>
  <c r="Q131" i="6"/>
  <c r="L194" i="6"/>
  <c r="L207" i="6"/>
  <c r="P213" i="6"/>
  <c r="P19" i="15"/>
  <c r="P39" i="15"/>
  <c r="Q58" i="15"/>
  <c r="T129" i="15"/>
  <c r="L82" i="6"/>
  <c r="Q139" i="6"/>
  <c r="I19" i="15"/>
  <c r="M19" i="15"/>
  <c r="Q19" i="15"/>
  <c r="U19" i="15"/>
  <c r="L19" i="15"/>
  <c r="L25" i="15"/>
  <c r="P25" i="15"/>
  <c r="O33" i="15"/>
  <c r="S33" i="15"/>
  <c r="I39" i="15"/>
  <c r="Q39" i="15"/>
  <c r="V39" i="15"/>
  <c r="K45" i="15"/>
  <c r="O45" i="15"/>
  <c r="S45" i="15"/>
  <c r="V45" i="15"/>
  <c r="J52" i="15"/>
  <c r="J58" i="15"/>
  <c r="J125" i="15"/>
  <c r="M75" i="6"/>
  <c r="A70" i="6" s="1"/>
  <c r="L131" i="6"/>
  <c r="N213" i="6"/>
  <c r="N225" i="6"/>
  <c r="P225" i="6"/>
  <c r="V19" i="15"/>
  <c r="I25" i="15"/>
  <c r="M25" i="15"/>
  <c r="Q25" i="15"/>
  <c r="V25" i="15"/>
  <c r="L33" i="15"/>
  <c r="P33" i="15"/>
  <c r="U33" i="15"/>
  <c r="J39" i="15"/>
  <c r="L45" i="15"/>
  <c r="U45" i="15"/>
  <c r="O52" i="15"/>
  <c r="S52" i="15"/>
  <c r="V52" i="15"/>
  <c r="K58" i="15"/>
  <c r="O58" i="15"/>
  <c r="K125" i="15"/>
  <c r="O125" i="15"/>
  <c r="S125" i="15"/>
  <c r="Q125" i="15"/>
  <c r="J129" i="15"/>
  <c r="N129" i="15"/>
  <c r="V129" i="15"/>
  <c r="K694" i="2"/>
  <c r="L694" i="2" s="1"/>
  <c r="K718" i="2"/>
  <c r="T124" i="15" s="1"/>
  <c r="K940" i="2"/>
  <c r="K860" i="2"/>
  <c r="K723" i="2"/>
  <c r="L723" i="2" s="1"/>
  <c r="O1882" i="2"/>
  <c r="O1804" i="2"/>
  <c r="O1794" i="2"/>
  <c r="O1868" i="2"/>
  <c r="S391" i="2"/>
  <c r="M391" i="2" s="1"/>
  <c r="Y1353" i="2"/>
  <c r="M111" i="2"/>
  <c r="M110" i="2" s="1"/>
  <c r="X1229" i="2"/>
  <c r="S1249" i="2"/>
  <c r="M1249" i="2" s="1"/>
  <c r="N153" i="6" s="1"/>
  <c r="O87" i="2"/>
  <c r="O161" i="2"/>
  <c r="O522" i="2"/>
  <c r="O747" i="2"/>
  <c r="O764" i="2"/>
  <c r="O882" i="2"/>
  <c r="O963" i="2"/>
  <c r="O67" i="7" s="1"/>
  <c r="O1195" i="2"/>
  <c r="P168" i="6" s="1"/>
  <c r="O1598" i="2"/>
  <c r="O1823" i="2"/>
  <c r="O92" i="2"/>
  <c r="O391" i="2"/>
  <c r="O445" i="2"/>
  <c r="O696" i="2"/>
  <c r="O782" i="2"/>
  <c r="P24" i="6" s="1"/>
  <c r="O853" i="2"/>
  <c r="O1000" i="2"/>
  <c r="P39" i="6" s="1"/>
  <c r="O1163" i="2"/>
  <c r="P122" i="6" s="1"/>
  <c r="O1334" i="2"/>
  <c r="O1851" i="2"/>
  <c r="O341" i="2"/>
  <c r="O465" i="2"/>
  <c r="O927" i="2"/>
  <c r="O993" i="2"/>
  <c r="O73" i="7" s="1"/>
  <c r="O1106" i="2"/>
  <c r="O1237" i="2"/>
  <c r="O1260" i="2"/>
  <c r="O1295" i="2"/>
  <c r="O1347" i="2"/>
  <c r="O1682" i="2"/>
  <c r="O1734" i="2"/>
  <c r="O1840" i="2"/>
  <c r="O1845" i="2"/>
  <c r="O1876" i="2"/>
  <c r="O1900" i="2"/>
  <c r="O1932" i="2"/>
  <c r="O1936" i="2"/>
  <c r="O124" i="2"/>
  <c r="O278" i="2"/>
  <c r="O328" i="2"/>
  <c r="O509" i="2"/>
  <c r="O517" i="2" s="1"/>
  <c r="O579" i="2"/>
  <c r="O599" i="2"/>
  <c r="O18" i="7" s="1"/>
  <c r="O602" i="2"/>
  <c r="O21" i="7" s="1"/>
  <c r="O610" i="2"/>
  <c r="O31" i="7" s="1"/>
  <c r="O650" i="2"/>
  <c r="P188" i="6" s="1"/>
  <c r="O685" i="2"/>
  <c r="O741" i="2"/>
  <c r="O773" i="2"/>
  <c r="O867" i="2"/>
  <c r="O46" i="7" s="1"/>
  <c r="O969" i="2"/>
  <c r="O1016" i="2"/>
  <c r="O1091" i="2"/>
  <c r="O1098" i="2"/>
  <c r="O80" i="7" s="1"/>
  <c r="O1139" i="2"/>
  <c r="O1150" i="2"/>
  <c r="O1222" i="2"/>
  <c r="O1284" i="2"/>
  <c r="O1316" i="2"/>
  <c r="O1373" i="2"/>
  <c r="AA45" i="15" s="1"/>
  <c r="O1388" i="2"/>
  <c r="AA58" i="15" s="1"/>
  <c r="O1666" i="2"/>
  <c r="O1674" i="2"/>
  <c r="O1691" i="2"/>
  <c r="O1713" i="2"/>
  <c r="O119" i="2"/>
  <c r="O439" i="2"/>
  <c r="O622" i="2"/>
  <c r="O756" i="2"/>
  <c r="O40" i="7" s="1"/>
  <c r="O845" i="2"/>
  <c r="O953" i="2"/>
  <c r="O60" i="7" s="1"/>
  <c r="O1040" i="2"/>
  <c r="O1201" i="2"/>
  <c r="P145" i="6" s="1"/>
  <c r="O1766" i="2"/>
  <c r="O1860" i="2"/>
  <c r="O233" i="2"/>
  <c r="O239" i="2" s="1"/>
  <c r="O246" i="2"/>
  <c r="O454" i="2"/>
  <c r="O489" i="2"/>
  <c r="O575" i="2"/>
  <c r="O725" i="2"/>
  <c r="O909" i="2"/>
  <c r="O941" i="2"/>
  <c r="O1056" i="2"/>
  <c r="P47" i="6" s="1"/>
  <c r="O1156" i="2"/>
  <c r="O1229" i="2"/>
  <c r="O1249" i="2"/>
  <c r="P153" i="6" s="1"/>
  <c r="O1279" i="2"/>
  <c r="O1320" i="2"/>
  <c r="O1361" i="2"/>
  <c r="O135" i="2"/>
  <c r="O168" i="2"/>
  <c r="O263" i="2"/>
  <c r="O595" i="2"/>
  <c r="AA158" i="15" s="1"/>
  <c r="O608" i="2"/>
  <c r="O29" i="7" s="1"/>
  <c r="O637" i="2"/>
  <c r="O660" i="2"/>
  <c r="O678" i="2"/>
  <c r="O875" i="2"/>
  <c r="O890" i="2"/>
  <c r="O899" i="2"/>
  <c r="O1023" i="2"/>
  <c r="O1048" i="2"/>
  <c r="O1069" i="2"/>
  <c r="O1113" i="2"/>
  <c r="O1209" i="2"/>
  <c r="O1290" i="2"/>
  <c r="O1300" i="2"/>
  <c r="O85" i="7" s="1"/>
  <c r="O1309" i="2"/>
  <c r="O1367" i="2"/>
  <c r="AA39" i="15" s="1"/>
  <c r="O1382" i="2"/>
  <c r="O1607" i="2"/>
  <c r="O1625" i="2"/>
  <c r="O1636" i="2"/>
  <c r="O1655" i="2"/>
  <c r="O1773" i="2"/>
  <c r="O1787" i="2"/>
  <c r="O1399" i="2"/>
  <c r="K658" i="2"/>
  <c r="L658" i="2" s="1"/>
  <c r="K848" i="2"/>
  <c r="L848" i="2" s="1"/>
  <c r="K939" i="2"/>
  <c r="L939" i="2" s="1"/>
  <c r="K1234" i="2"/>
  <c r="L1234" i="2" s="1"/>
  <c r="K1247" i="2"/>
  <c r="K745" i="2"/>
  <c r="L745" i="2" s="1"/>
  <c r="K858" i="2"/>
  <c r="L858" i="2" s="1"/>
  <c r="K1037" i="2"/>
  <c r="L1037" i="2" s="1"/>
  <c r="K1077" i="2"/>
  <c r="L68" i="6" s="1"/>
  <c r="K1085" i="2"/>
  <c r="L1085" i="2" s="1"/>
  <c r="K1087" i="2"/>
  <c r="L1087" i="2" s="1"/>
  <c r="K1088" i="2"/>
  <c r="L1088" i="2" s="1"/>
  <c r="K1089" i="2"/>
  <c r="L1089" i="2" s="1"/>
  <c r="K1090" i="2"/>
  <c r="K1138" i="2"/>
  <c r="Q179" i="6" s="1"/>
  <c r="K1148" i="2"/>
  <c r="L1148" i="2" s="1"/>
  <c r="K1149" i="2"/>
  <c r="K620" i="2"/>
  <c r="L620" i="2" s="1"/>
  <c r="K762" i="2"/>
  <c r="L762" i="2" s="1"/>
  <c r="K859" i="2"/>
  <c r="L859" i="2" s="1"/>
  <c r="K968" i="2"/>
  <c r="K992" i="2"/>
  <c r="K1011" i="2"/>
  <c r="L1011" i="2" s="1"/>
  <c r="K1012" i="2"/>
  <c r="L1012" i="2" s="1"/>
  <c r="K1013" i="2"/>
  <c r="L1013" i="2" s="1"/>
  <c r="K1014" i="2"/>
  <c r="L1014" i="2" s="1"/>
  <c r="K1015" i="2"/>
  <c r="K1101" i="2"/>
  <c r="L1101" i="2" s="1"/>
  <c r="K1102" i="2"/>
  <c r="L1102" i="2" s="1"/>
  <c r="K1103" i="2"/>
  <c r="L1103" i="2" s="1"/>
  <c r="K1104" i="2"/>
  <c r="L1104" i="2" s="1"/>
  <c r="K1105" i="2"/>
  <c r="K1136" i="2"/>
  <c r="L1136" i="2" s="1"/>
  <c r="L161" i="6"/>
  <c r="M58" i="7"/>
  <c r="K1288" i="2"/>
  <c r="L1288" i="2" s="1"/>
  <c r="K1384" i="2"/>
  <c r="L1384" i="2" s="1"/>
  <c r="K1386" i="2"/>
  <c r="L1386" i="2" s="1"/>
  <c r="K161" i="6"/>
  <c r="L225" i="6"/>
  <c r="L115" i="6"/>
  <c r="K1650" i="2"/>
  <c r="L1650" i="2" s="1"/>
  <c r="K1233" i="2"/>
  <c r="L1233" i="2" s="1"/>
  <c r="K1199" i="2"/>
  <c r="K1060" i="2"/>
  <c r="K1039" i="2"/>
  <c r="K896" i="2"/>
  <c r="L896" i="2" s="1"/>
  <c r="K881" i="2"/>
  <c r="K857" i="2"/>
  <c r="L857" i="2" s="1"/>
  <c r="K763" i="2"/>
  <c r="K757" i="2"/>
  <c r="K748" i="2"/>
  <c r="L748" i="2" s="1"/>
  <c r="K965" i="2"/>
  <c r="L965" i="2" s="1"/>
  <c r="K888" i="2"/>
  <c r="K742" i="2"/>
  <c r="L742" i="2" s="1"/>
  <c r="K1687" i="2"/>
  <c r="L1687" i="2" s="1"/>
  <c r="K1679" i="2"/>
  <c r="L1679" i="2" s="1"/>
  <c r="K1227" i="2"/>
  <c r="L1227" i="2" s="1"/>
  <c r="K1194" i="2"/>
  <c r="K1162" i="2"/>
  <c r="K1160" i="2"/>
  <c r="K1154" i="2"/>
  <c r="L1154" i="2" s="1"/>
  <c r="K1137" i="2"/>
  <c r="L1137" i="2" s="1"/>
  <c r="K1046" i="2"/>
  <c r="L1046" i="2" s="1"/>
  <c r="K1044" i="2"/>
  <c r="L1044" i="2" s="1"/>
  <c r="K1022" i="2"/>
  <c r="K962" i="2"/>
  <c r="K886" i="2"/>
  <c r="L886" i="2" s="1"/>
  <c r="K862" i="2"/>
  <c r="K36" i="7"/>
  <c r="K724" i="2"/>
  <c r="K1366" i="2"/>
  <c r="T38" i="15" s="1"/>
  <c r="K1350" i="2"/>
  <c r="L1350" i="2" s="1"/>
  <c r="K1228" i="2"/>
  <c r="K1220" i="2"/>
  <c r="L1220" i="2" s="1"/>
  <c r="K1155" i="2"/>
  <c r="Q114" i="6" s="1"/>
  <c r="K1152" i="2"/>
  <c r="L1152" i="2" s="1"/>
  <c r="K1095" i="2"/>
  <c r="K1065" i="2"/>
  <c r="L1065" i="2" s="1"/>
  <c r="K999" i="2"/>
  <c r="K959" i="2"/>
  <c r="K55" i="7"/>
  <c r="K42" i="7"/>
  <c r="K856" i="2"/>
  <c r="L856" i="2" s="1"/>
  <c r="K851" i="2"/>
  <c r="L851" i="2" s="1"/>
  <c r="K841" i="2"/>
  <c r="L841" i="2" s="1"/>
  <c r="K659" i="2"/>
  <c r="K677" i="2"/>
  <c r="K684" i="2"/>
  <c r="K744" i="2"/>
  <c r="L744" i="2" s="1"/>
  <c r="K840" i="2"/>
  <c r="K843" i="2"/>
  <c r="L843" i="2" s="1"/>
  <c r="K850" i="2"/>
  <c r="L850" i="2" s="1"/>
  <c r="K852" i="2"/>
  <c r="K43" i="7"/>
  <c r="K898" i="2"/>
  <c r="K1055" i="2"/>
  <c r="K1063" i="2"/>
  <c r="L1063" i="2" s="1"/>
  <c r="K1066" i="2"/>
  <c r="L1066" i="2" s="1"/>
  <c r="K1097" i="2"/>
  <c r="K1135" i="2"/>
  <c r="L1135" i="2" s="1"/>
  <c r="K1208" i="2"/>
  <c r="K1221" i="2"/>
  <c r="K761" i="2"/>
  <c r="L761" i="2" s="1"/>
  <c r="K847" i="2"/>
  <c r="L847" i="2" s="1"/>
  <c r="K1043" i="2"/>
  <c r="L1043" i="2" s="1"/>
  <c r="K1047" i="2"/>
  <c r="K1064" i="2"/>
  <c r="L1064" i="2" s="1"/>
  <c r="K1067" i="2"/>
  <c r="L1067" i="2" s="1"/>
  <c r="K1161" i="2"/>
  <c r="K1219" i="2"/>
  <c r="L1219" i="2" s="1"/>
  <c r="K1235" i="2"/>
  <c r="L1235" i="2" s="1"/>
  <c r="K746" i="2"/>
  <c r="K781" i="2"/>
  <c r="K855" i="2"/>
  <c r="L855" i="2" s="1"/>
  <c r="K887" i="2"/>
  <c r="L887" i="2" s="1"/>
  <c r="K907" i="2"/>
  <c r="L907" i="2" s="1"/>
  <c r="K1045" i="2"/>
  <c r="L1045" i="2" s="1"/>
  <c r="K636" i="2"/>
  <c r="K695" i="2"/>
  <c r="K743" i="2"/>
  <c r="L743" i="2" s="1"/>
  <c r="K772" i="2"/>
  <c r="K844" i="2"/>
  <c r="K849" i="2"/>
  <c r="L849" i="2" s="1"/>
  <c r="K891" i="2"/>
  <c r="L891" i="2" s="1"/>
  <c r="K895" i="2"/>
  <c r="L895" i="2" s="1"/>
  <c r="K897" i="2"/>
  <c r="L897" i="2" s="1"/>
  <c r="K908" i="2"/>
  <c r="K967" i="2"/>
  <c r="L967" i="2" s="1"/>
  <c r="K1010" i="2"/>
  <c r="L1010" i="2" s="1"/>
  <c r="K1061" i="2"/>
  <c r="K1096" i="2"/>
  <c r="K1159" i="2"/>
  <c r="K1207" i="2"/>
  <c r="L1207" i="2" s="1"/>
  <c r="K1259" i="2"/>
  <c r="H33" i="15"/>
  <c r="K1298" i="2"/>
  <c r="K1635" i="2"/>
  <c r="K1648" i="2"/>
  <c r="L1648" i="2" s="1"/>
  <c r="K1793" i="2"/>
  <c r="K1200" i="2"/>
  <c r="K1236" i="2"/>
  <c r="K1281" i="2"/>
  <c r="L1281" i="2" s="1"/>
  <c r="K1293" i="2"/>
  <c r="L1293" i="2" s="1"/>
  <c r="K1354" i="2"/>
  <c r="L1354" i="2" s="1"/>
  <c r="K1372" i="2"/>
  <c r="T44" i="15" s="1"/>
  <c r="K1653" i="2"/>
  <c r="L1653" i="2" s="1"/>
  <c r="K1676" i="2"/>
  <c r="L1676" i="2" s="1"/>
  <c r="K1733" i="2"/>
  <c r="K1838" i="2"/>
  <c r="L1838" i="2" s="1"/>
  <c r="K1844" i="2"/>
  <c r="K1867" i="2"/>
  <c r="K1880" i="2"/>
  <c r="L1880" i="2" s="1"/>
  <c r="K1276" i="2"/>
  <c r="L1276" i="2" s="1"/>
  <c r="K1277" i="2"/>
  <c r="L1277" i="2" s="1"/>
  <c r="K1289" i="2"/>
  <c r="K1308" i="2"/>
  <c r="T18" i="15" s="1"/>
  <c r="K1351" i="2"/>
  <c r="L1351" i="2" s="1"/>
  <c r="K1363" i="2"/>
  <c r="L1363" i="2" s="1"/>
  <c r="K1369" i="2"/>
  <c r="L1369" i="2" s="1"/>
  <c r="K1371" i="2"/>
  <c r="L1371" i="2" s="1"/>
  <c r="K1484" i="2"/>
  <c r="L1484" i="2" s="1"/>
  <c r="K1595" i="2"/>
  <c r="L1595" i="2" s="1"/>
  <c r="K1606" i="2"/>
  <c r="K1771" i="2"/>
  <c r="L1771" i="2" s="1"/>
  <c r="K1822" i="2"/>
  <c r="K1935" i="2"/>
  <c r="H45" i="15"/>
  <c r="K207" i="6"/>
  <c r="H52" i="15"/>
  <c r="K32" i="6"/>
  <c r="K115" i="6"/>
  <c r="H39" i="15"/>
  <c r="K1634" i="2"/>
  <c r="L1634" i="2" s="1"/>
  <c r="K1675" i="2"/>
  <c r="L1675" i="2" s="1"/>
  <c r="K1678" i="2"/>
  <c r="L1678" i="2" s="1"/>
  <c r="K1770" i="2"/>
  <c r="L1770" i="2" s="1"/>
  <c r="K1786" i="2"/>
  <c r="K1792" i="2"/>
  <c r="L1792" i="2" s="1"/>
  <c r="K1821" i="2"/>
  <c r="L1821" i="2" s="1"/>
  <c r="K1835" i="2"/>
  <c r="L1835" i="2" s="1"/>
  <c r="K1843" i="2"/>
  <c r="L1843" i="2" s="1"/>
  <c r="K1847" i="2"/>
  <c r="L1847" i="2" s="1"/>
  <c r="K1850" i="2"/>
  <c r="K1857" i="2"/>
  <c r="L1857" i="2" s="1"/>
  <c r="K1861" i="2"/>
  <c r="L1861" i="2" s="1"/>
  <c r="K1875" i="2"/>
  <c r="K1879" i="2"/>
  <c r="L1879" i="2" s="1"/>
  <c r="K1899" i="2"/>
  <c r="K1917" i="2"/>
  <c r="K1283" i="2"/>
  <c r="K1294" i="2"/>
  <c r="K1340" i="2"/>
  <c r="K1360" i="2"/>
  <c r="K1362" i="2"/>
  <c r="L1362" i="2" s="1"/>
  <c r="K1365" i="2"/>
  <c r="L1365" i="2" s="1"/>
  <c r="K1368" i="2"/>
  <c r="L1368" i="2" s="1"/>
  <c r="K1381" i="2"/>
  <c r="K1596" i="2"/>
  <c r="L1596" i="2" s="1"/>
  <c r="K1605" i="2"/>
  <c r="L1605" i="2" s="1"/>
  <c r="K1633" i="2"/>
  <c r="L1633" i="2" s="1"/>
  <c r="K1649" i="2"/>
  <c r="L1649" i="2" s="1"/>
  <c r="K1652" i="2"/>
  <c r="L1652" i="2" s="1"/>
  <c r="K1654" i="2"/>
  <c r="K1673" i="2"/>
  <c r="K1681" i="2"/>
  <c r="K1686" i="2"/>
  <c r="L1686" i="2" s="1"/>
  <c r="K1712" i="2"/>
  <c r="K1764" i="2"/>
  <c r="L1764" i="2" s="1"/>
  <c r="K1772" i="2"/>
  <c r="K1785" i="2"/>
  <c r="L1785" i="2" s="1"/>
  <c r="K1802" i="2"/>
  <c r="K1837" i="2"/>
  <c r="L1837" i="2" s="1"/>
  <c r="K1856" i="2"/>
  <c r="L1856" i="2" s="1"/>
  <c r="K1859" i="2"/>
  <c r="K1866" i="2"/>
  <c r="L1866" i="2" s="1"/>
  <c r="K1874" i="2"/>
  <c r="L1874" i="2" s="1"/>
  <c r="K1881" i="2"/>
  <c r="K1248" i="2"/>
  <c r="K1282" i="2"/>
  <c r="L1282" i="2" s="1"/>
  <c r="K1349" i="2"/>
  <c r="L1349" i="2" s="1"/>
  <c r="K1352" i="2"/>
  <c r="T24" i="15" s="1"/>
  <c r="K1364" i="2"/>
  <c r="L1364" i="2" s="1"/>
  <c r="K1370" i="2"/>
  <c r="L1370" i="2" s="1"/>
  <c r="K1385" i="2"/>
  <c r="L1385" i="2" s="1"/>
  <c r="K1387" i="2"/>
  <c r="T57" i="15" s="1"/>
  <c r="K1485" i="2"/>
  <c r="K1597" i="2"/>
  <c r="K1604" i="2"/>
  <c r="L1604" i="2" s="1"/>
  <c r="K1624" i="2"/>
  <c r="K1651" i="2"/>
  <c r="L1651" i="2" s="1"/>
  <c r="K1665" i="2"/>
  <c r="K1677" i="2"/>
  <c r="L1677" i="2" s="1"/>
  <c r="K1680" i="2"/>
  <c r="L1680" i="2" s="1"/>
  <c r="K1688" i="2"/>
  <c r="L1688" i="2" s="1"/>
  <c r="K1689" i="2"/>
  <c r="L1689" i="2" s="1"/>
  <c r="K1690" i="2"/>
  <c r="K1763" i="2"/>
  <c r="L1763" i="2" s="1"/>
  <c r="K1765" i="2"/>
  <c r="K1791" i="2"/>
  <c r="L1791" i="2" s="1"/>
  <c r="K1836" i="2"/>
  <c r="L1836" i="2" s="1"/>
  <c r="K1839" i="2"/>
  <c r="K1848" i="2"/>
  <c r="L1848" i="2" s="1"/>
  <c r="K1855" i="2"/>
  <c r="L1855" i="2" s="1"/>
  <c r="K1858" i="2"/>
  <c r="L1858" i="2" s="1"/>
  <c r="K1865" i="2"/>
  <c r="L1865" i="2" s="1"/>
  <c r="K1916" i="2"/>
  <c r="L1916" i="2" s="1"/>
  <c r="K1398" i="2"/>
  <c r="K1397" i="2"/>
  <c r="L1397" i="2" s="1"/>
  <c r="K213" i="6"/>
  <c r="X1068" i="2"/>
  <c r="Y1069" i="2"/>
  <c r="W52" i="15"/>
  <c r="L75" i="6"/>
  <c r="K82" i="6"/>
  <c r="K180" i="6"/>
  <c r="K225" i="6"/>
  <c r="J19" i="15"/>
  <c r="J33" i="15"/>
  <c r="W33" i="15"/>
  <c r="I125" i="15"/>
  <c r="M125" i="15"/>
  <c r="V125" i="15"/>
  <c r="K129" i="15"/>
  <c r="O129" i="15"/>
  <c r="S129" i="15"/>
  <c r="W129" i="15"/>
  <c r="K75" i="6"/>
  <c r="K139" i="6"/>
  <c r="I52" i="15"/>
  <c r="M52" i="15"/>
  <c r="Q52" i="15"/>
  <c r="L129" i="15"/>
  <c r="P129" i="15"/>
  <c r="I45" i="15"/>
  <c r="M45" i="15"/>
  <c r="Q45" i="15"/>
  <c r="U129" i="15"/>
  <c r="H25" i="15"/>
  <c r="H129" i="15"/>
  <c r="K131" i="6"/>
  <c r="K194" i="6"/>
  <c r="H19" i="15"/>
  <c r="X126" i="15"/>
  <c r="K60" i="6"/>
  <c r="N53" i="6"/>
  <c r="H142" i="8"/>
  <c r="H140" i="8"/>
  <c r="H138" i="8"/>
  <c r="H136" i="8"/>
  <c r="H134" i="8"/>
  <c r="H132" i="8"/>
  <c r="H130" i="8"/>
  <c r="H128" i="8"/>
  <c r="H126" i="8"/>
  <c r="H124" i="8"/>
  <c r="H122" i="8"/>
  <c r="H120" i="8"/>
  <c r="H118" i="8"/>
  <c r="H116" i="8"/>
  <c r="H114" i="8"/>
  <c r="H112" i="8"/>
  <c r="H110" i="8"/>
  <c r="H108" i="8"/>
  <c r="H106" i="8"/>
  <c r="H104" i="8"/>
  <c r="H102" i="8"/>
  <c r="H100" i="8"/>
  <c r="H98" i="8"/>
  <c r="H96" i="8"/>
  <c r="H94" i="8"/>
  <c r="H92" i="8"/>
  <c r="H143" i="8"/>
  <c r="H141" i="8"/>
  <c r="H139" i="8"/>
  <c r="H137" i="8"/>
  <c r="H135" i="8"/>
  <c r="H133" i="8"/>
  <c r="H131" i="8"/>
  <c r="H129" i="8"/>
  <c r="H127" i="8"/>
  <c r="H125" i="8"/>
  <c r="H123" i="8"/>
  <c r="H121" i="8"/>
  <c r="H119" i="8"/>
  <c r="H117" i="8"/>
  <c r="H115" i="8"/>
  <c r="H107" i="8"/>
  <c r="H99" i="8"/>
  <c r="H91" i="8"/>
  <c r="H89" i="8"/>
  <c r="H87" i="8"/>
  <c r="H85" i="8"/>
  <c r="H83" i="8"/>
  <c r="H81" i="8"/>
  <c r="H79" i="8"/>
  <c r="H77" i="8"/>
  <c r="H75" i="8"/>
  <c r="H73" i="8"/>
  <c r="H71" i="8"/>
  <c r="H69" i="8"/>
  <c r="H67" i="8"/>
  <c r="H65" i="8"/>
  <c r="H63" i="8"/>
  <c r="H113" i="8"/>
  <c r="H105" i="8"/>
  <c r="H97" i="8"/>
  <c r="H111" i="8"/>
  <c r="H103" i="8"/>
  <c r="H95" i="8"/>
  <c r="H90" i="8"/>
  <c r="H88" i="8"/>
  <c r="H86" i="8"/>
  <c r="H84" i="8"/>
  <c r="H82" i="8"/>
  <c r="H80" i="8"/>
  <c r="H78" i="8"/>
  <c r="H76" i="8"/>
  <c r="H74" i="8"/>
  <c r="H72" i="8"/>
  <c r="H70" i="8"/>
  <c r="H68" i="8"/>
  <c r="H66" i="8"/>
  <c r="H64" i="8"/>
  <c r="H62" i="8"/>
  <c r="H60" i="8"/>
  <c r="H58" i="8"/>
  <c r="H109" i="8"/>
  <c r="H101" i="8"/>
  <c r="H93" i="8"/>
  <c r="H4" i="8"/>
  <c r="H6" i="8"/>
  <c r="H8" i="8"/>
  <c r="H10" i="8"/>
  <c r="H12" i="8"/>
  <c r="H14" i="8"/>
  <c r="H16" i="8"/>
  <c r="H18" i="8"/>
  <c r="H20" i="8"/>
  <c r="H22" i="8"/>
  <c r="H24" i="8"/>
  <c r="H26" i="8"/>
  <c r="H28" i="8"/>
  <c r="H30" i="8"/>
  <c r="H32" i="8"/>
  <c r="H34" i="8"/>
  <c r="H36" i="8"/>
  <c r="H38" i="8"/>
  <c r="H40" i="8"/>
  <c r="H42" i="8"/>
  <c r="H44" i="8"/>
  <c r="H46" i="8"/>
  <c r="H48" i="8"/>
  <c r="H50" i="8"/>
  <c r="H52" i="8"/>
  <c r="H54" i="8"/>
  <c r="H56" i="8"/>
  <c r="H57" i="8"/>
  <c r="H61" i="8"/>
  <c r="H3" i="8"/>
  <c r="H5" i="8"/>
  <c r="H7" i="8"/>
  <c r="H9" i="8"/>
  <c r="H11" i="8"/>
  <c r="H13" i="8"/>
  <c r="H15" i="8"/>
  <c r="H17" i="8"/>
  <c r="H19" i="8"/>
  <c r="H21" i="8"/>
  <c r="H23" i="8"/>
  <c r="H25" i="8"/>
  <c r="H27" i="8"/>
  <c r="H29" i="8"/>
  <c r="H31" i="8"/>
  <c r="H33" i="8"/>
  <c r="H35" i="8"/>
  <c r="H37" i="8"/>
  <c r="H39" i="8"/>
  <c r="H41" i="8"/>
  <c r="H43" i="8"/>
  <c r="H45" i="8"/>
  <c r="H47" i="8"/>
  <c r="H49" i="8"/>
  <c r="H51" i="8"/>
  <c r="H53" i="8"/>
  <c r="H55" i="8"/>
  <c r="H59" i="8"/>
  <c r="F54" i="6"/>
  <c r="F58" i="6"/>
  <c r="F59" i="6"/>
  <c r="F72" i="6"/>
  <c r="F76" i="6"/>
  <c r="F77" i="6"/>
  <c r="F78" i="6"/>
  <c r="F79" i="6"/>
  <c r="F80" i="6"/>
  <c r="F81" i="6"/>
  <c r="F111" i="6"/>
  <c r="F124" i="6"/>
  <c r="F128" i="6"/>
  <c r="F156" i="6"/>
  <c r="F177" i="6"/>
  <c r="F191" i="6"/>
  <c r="F202" i="6"/>
  <c r="F206" i="6"/>
  <c r="F224" i="6"/>
  <c r="F45" i="7"/>
  <c r="F20" i="15"/>
  <c r="F24" i="15"/>
  <c r="F36" i="15"/>
  <c r="F43" i="15"/>
  <c r="F53" i="15"/>
  <c r="F57" i="15"/>
  <c r="F122" i="15"/>
  <c r="F128" i="15"/>
  <c r="F55" i="6"/>
  <c r="F73" i="6"/>
  <c r="F112" i="6"/>
  <c r="F125" i="6"/>
  <c r="F129" i="6"/>
  <c r="F132" i="6"/>
  <c r="F133" i="6"/>
  <c r="F134" i="6"/>
  <c r="F135" i="6"/>
  <c r="F136" i="6"/>
  <c r="F137" i="6"/>
  <c r="F138" i="6"/>
  <c r="F157" i="6"/>
  <c r="F178" i="6"/>
  <c r="F193" i="6"/>
  <c r="F203" i="6"/>
  <c r="F18" i="15"/>
  <c r="F21" i="15"/>
  <c r="F37" i="15"/>
  <c r="F40" i="15"/>
  <c r="F44" i="15"/>
  <c r="F54" i="15"/>
  <c r="F123" i="15"/>
  <c r="F56" i="6"/>
  <c r="F74" i="6"/>
  <c r="F113" i="6"/>
  <c r="F126" i="6"/>
  <c r="F154" i="6"/>
  <c r="F158" i="6"/>
  <c r="F175" i="6"/>
  <c r="F189" i="6"/>
  <c r="F204" i="6"/>
  <c r="F44" i="7"/>
  <c r="F57" i="7"/>
  <c r="F22" i="15"/>
  <c r="F34" i="15"/>
  <c r="F38" i="15"/>
  <c r="F41" i="15"/>
  <c r="F55" i="15"/>
  <c r="F124" i="15"/>
  <c r="F126" i="15"/>
  <c r="F57" i="6"/>
  <c r="F70" i="6"/>
  <c r="F71" i="6"/>
  <c r="F114" i="6"/>
  <c r="F123" i="6"/>
  <c r="F127" i="6"/>
  <c r="F130" i="6"/>
  <c r="F155" i="6"/>
  <c r="F159" i="6"/>
  <c r="F160" i="6"/>
  <c r="F176" i="6"/>
  <c r="F179" i="6"/>
  <c r="F190" i="6"/>
  <c r="F205" i="6"/>
  <c r="F208" i="6"/>
  <c r="F209" i="6"/>
  <c r="F210" i="6"/>
  <c r="F211" i="6"/>
  <c r="F212" i="6"/>
  <c r="F220" i="6"/>
  <c r="F221" i="6"/>
  <c r="F23" i="15"/>
  <c r="F32" i="15"/>
  <c r="F35" i="15"/>
  <c r="F42" i="15"/>
  <c r="F56" i="15"/>
  <c r="F121" i="15"/>
  <c r="X608" i="2"/>
  <c r="I1563" i="2" l="1"/>
  <c r="I1510" i="2"/>
  <c r="I1515" i="2"/>
  <c r="I1315" i="2"/>
  <c r="I567" i="2"/>
  <c r="I568" i="2" s="1"/>
  <c r="L565" i="2"/>
  <c r="K568" i="2"/>
  <c r="I1271" i="2"/>
  <c r="L619" i="2"/>
  <c r="I621" i="2"/>
  <c r="I622" i="2" s="1"/>
  <c r="L1313" i="2"/>
  <c r="A225" i="4"/>
  <c r="A226" i="4" s="1"/>
  <c r="A227" i="4" s="1"/>
  <c r="I1954" i="2"/>
  <c r="L947" i="2"/>
  <c r="L52" i="7" s="1"/>
  <c r="K52" i="7"/>
  <c r="L360" i="2"/>
  <c r="L375" i="2" s="1"/>
  <c r="K375" i="2"/>
  <c r="I516" i="2"/>
  <c r="K517" i="2"/>
  <c r="L510" i="2"/>
  <c r="I1316" i="2"/>
  <c r="L876" i="2"/>
  <c r="I881" i="2"/>
  <c r="W1" i="2"/>
  <c r="K1940" i="2"/>
  <c r="L1937" i="2"/>
  <c r="I1939" i="2"/>
  <c r="I1940" i="2" s="1"/>
  <c r="I1504" i="2"/>
  <c r="I1521" i="2"/>
  <c r="I1546" i="2"/>
  <c r="I1552" i="2"/>
  <c r="K93" i="7"/>
  <c r="L1562" i="2"/>
  <c r="L1559" i="2"/>
  <c r="K1564" i="2"/>
  <c r="L1554" i="2"/>
  <c r="K1558" i="2"/>
  <c r="I1557" i="2"/>
  <c r="L1556" i="2"/>
  <c r="L477" i="2"/>
  <c r="L1922" i="2"/>
  <c r="L1921" i="2"/>
  <c r="I940" i="2"/>
  <c r="L407" i="2"/>
  <c r="L1287" i="2"/>
  <c r="L497" i="2"/>
  <c r="L1205" i="2"/>
  <c r="L759" i="2"/>
  <c r="I1494" i="2"/>
  <c r="L672" i="2"/>
  <c r="L673" i="2"/>
  <c r="K489" i="2"/>
  <c r="L405" i="2"/>
  <c r="L406" i="2"/>
  <c r="L474" i="2"/>
  <c r="L473" i="2"/>
  <c r="L458" i="2"/>
  <c r="L1305" i="2"/>
  <c r="L833" i="2"/>
  <c r="L1950" i="2"/>
  <c r="L1948" i="2"/>
  <c r="L1949" i="2"/>
  <c r="L1796" i="2"/>
  <c r="L1286" i="2"/>
  <c r="L1704" i="2"/>
  <c r="L1702" i="2"/>
  <c r="L1703" i="2"/>
  <c r="L503" i="2"/>
  <c r="L1302" i="2"/>
  <c r="L1303" i="2"/>
  <c r="L680" i="2"/>
  <c r="L1355" i="2"/>
  <c r="L1217" i="2"/>
  <c r="L654" i="2"/>
  <c r="L653" i="2"/>
  <c r="L655" i="2"/>
  <c r="L470" i="2"/>
  <c r="L691" i="2"/>
  <c r="L472" i="2"/>
  <c r="L471" i="2"/>
  <c r="L679" i="2"/>
  <c r="L1206" i="2"/>
  <c r="L1218" i="2"/>
  <c r="L1789" i="2"/>
  <c r="L722" i="2"/>
  <c r="L457" i="2"/>
  <c r="L656" i="2"/>
  <c r="L542" i="2"/>
  <c r="L347" i="2"/>
  <c r="L346" i="2"/>
  <c r="L1615" i="2"/>
  <c r="L1707" i="2"/>
  <c r="L467" i="2"/>
  <c r="L466" i="2"/>
  <c r="L936" i="2"/>
  <c r="L671" i="2"/>
  <c r="L572" i="2"/>
  <c r="L344" i="2"/>
  <c r="L345" i="2"/>
  <c r="L1781" i="2"/>
  <c r="L1782" i="2"/>
  <c r="L1783" i="2"/>
  <c r="L652" i="2"/>
  <c r="L1396" i="2"/>
  <c r="L657" i="2"/>
  <c r="L541" i="2"/>
  <c r="L769" i="2"/>
  <c r="L768" i="2"/>
  <c r="I194" i="2"/>
  <c r="H194" i="2"/>
  <c r="L544" i="2"/>
  <c r="L767" i="2"/>
  <c r="L1631" i="2"/>
  <c r="L1616" i="2"/>
  <c r="L879" i="2"/>
  <c r="L627" i="2"/>
  <c r="L1884" i="2"/>
  <c r="L1009" i="2"/>
  <c r="L1216" i="2"/>
  <c r="L628" i="2"/>
  <c r="L1947" i="2"/>
  <c r="L1944" i="2"/>
  <c r="L1942" i="2"/>
  <c r="L1943" i="2"/>
  <c r="L1945" i="2"/>
  <c r="L1946" i="2"/>
  <c r="L905" i="2"/>
  <c r="L403" i="2"/>
  <c r="I1593" i="2"/>
  <c r="L1592" i="2"/>
  <c r="K1594" i="2"/>
  <c r="L1591" i="2"/>
  <c r="I1581" i="2"/>
  <c r="L1614" i="2"/>
  <c r="L651" i="2"/>
  <c r="I781" i="2"/>
  <c r="L425" i="2"/>
  <c r="L456" i="2"/>
  <c r="L1920" i="2"/>
  <c r="L1919" i="2"/>
  <c r="L1885" i="2"/>
  <c r="L629" i="2"/>
  <c r="L342" i="2"/>
  <c r="L1304" i="2"/>
  <c r="L500" i="2"/>
  <c r="L878" i="2"/>
  <c r="L1862" i="2"/>
  <c r="L450" i="2"/>
  <c r="L22" i="6"/>
  <c r="L780" i="2"/>
  <c r="M22" i="6" s="1"/>
  <c r="I625" i="2"/>
  <c r="L623" i="2"/>
  <c r="L90" i="7" s="1"/>
  <c r="P219" i="6"/>
  <c r="O1133" i="2"/>
  <c r="P109" i="6" s="1"/>
  <c r="O88" i="2"/>
  <c r="L1429" i="2"/>
  <c r="I1431" i="2"/>
  <c r="I292" i="2"/>
  <c r="L288" i="2"/>
  <c r="L624" i="2"/>
  <c r="L91" i="7" s="1"/>
  <c r="K626" i="2"/>
  <c r="I1426" i="2"/>
  <c r="I1427" i="2" s="1"/>
  <c r="L838" i="2"/>
  <c r="L840" i="2"/>
  <c r="I1144" i="2"/>
  <c r="I1145" i="2" s="1"/>
  <c r="L1140" i="2"/>
  <c r="K1145" i="2"/>
  <c r="I1527" i="2"/>
  <c r="L1551" i="2"/>
  <c r="L1548" i="2"/>
  <c r="K1553" i="2"/>
  <c r="I813" i="2"/>
  <c r="J230" i="6" s="1"/>
  <c r="J231" i="6" s="1"/>
  <c r="I1061" i="2"/>
  <c r="J52" i="6" s="1"/>
  <c r="J53" i="6" s="1"/>
  <c r="K293" i="2"/>
  <c r="L287" i="2"/>
  <c r="L247" i="6"/>
  <c r="I829" i="2"/>
  <c r="K830" i="2"/>
  <c r="L826" i="2"/>
  <c r="I1585" i="2"/>
  <c r="J246" i="6" s="1"/>
  <c r="J247" i="6" s="1"/>
  <c r="L1584" i="2"/>
  <c r="M245" i="6" s="1"/>
  <c r="L1583" i="2"/>
  <c r="M244" i="6" s="1"/>
  <c r="K1586" i="2"/>
  <c r="I986" i="2"/>
  <c r="I968" i="2"/>
  <c r="L1310" i="2"/>
  <c r="K1316" i="2"/>
  <c r="L757" i="2"/>
  <c r="I763" i="2"/>
  <c r="I1576" i="2"/>
  <c r="K465" i="2"/>
  <c r="L1841" i="2"/>
  <c r="I1844" i="2"/>
  <c r="L1545" i="2"/>
  <c r="L1543" i="2"/>
  <c r="K1547" i="2"/>
  <c r="I444" i="2"/>
  <c r="I445" i="2" s="1"/>
  <c r="I962" i="2"/>
  <c r="I66" i="7" s="1"/>
  <c r="I67" i="7" s="1"/>
  <c r="I1541" i="2"/>
  <c r="L1540" i="2"/>
  <c r="K1542" i="2"/>
  <c r="L1539" i="2"/>
  <c r="O225" i="2"/>
  <c r="L964" i="2"/>
  <c r="L1533" i="2"/>
  <c r="K1538" i="2"/>
  <c r="L1536" i="2"/>
  <c r="I1537" i="2"/>
  <c r="L1530" i="2"/>
  <c r="I1531" i="2"/>
  <c r="L1506" i="2"/>
  <c r="K1511" i="2"/>
  <c r="K1532" i="2"/>
  <c r="L1529" i="2"/>
  <c r="L1509" i="2"/>
  <c r="I1340" i="2"/>
  <c r="J200" i="6" s="1"/>
  <c r="J201" i="6" s="1"/>
  <c r="I313" i="2"/>
  <c r="I314" i="2" s="1"/>
  <c r="I453" i="2"/>
  <c r="I454" i="2" s="1"/>
  <c r="I974" i="2"/>
  <c r="I975" i="2" s="1"/>
  <c r="I1127" i="2"/>
  <c r="J103" i="6" s="1"/>
  <c r="J104" i="6" s="1"/>
  <c r="L102" i="6"/>
  <c r="L1126" i="2"/>
  <c r="M102" i="6" s="1"/>
  <c r="I1200" i="2"/>
  <c r="J144" i="6" s="1"/>
  <c r="J145" i="6" s="1"/>
  <c r="I695" i="2"/>
  <c r="L235" i="6"/>
  <c r="L1270" i="2"/>
  <c r="M235" i="6" s="1"/>
  <c r="I1420" i="2"/>
  <c r="L33" i="6"/>
  <c r="L994" i="2"/>
  <c r="M33" i="6" s="1"/>
  <c r="K1007" i="2"/>
  <c r="I1006" i="2"/>
  <c r="I1007" i="2" s="1"/>
  <c r="L1001" i="2"/>
  <c r="L468" i="2"/>
  <c r="L469" i="2"/>
  <c r="K312" i="2"/>
  <c r="L307" i="2"/>
  <c r="L312" i="2" s="1"/>
  <c r="L1374" i="2"/>
  <c r="I1381" i="2"/>
  <c r="L1588" i="2"/>
  <c r="I1589" i="2"/>
  <c r="K1590" i="2"/>
  <c r="L1587" i="2"/>
  <c r="L1727" i="2"/>
  <c r="I1733" i="2"/>
  <c r="I1734" i="2" s="1"/>
  <c r="I508" i="2"/>
  <c r="I509" i="2" s="1"/>
  <c r="K1582" i="2"/>
  <c r="L1578" i="2"/>
  <c r="L1580" i="2"/>
  <c r="K557" i="2"/>
  <c r="L539" i="2"/>
  <c r="I556" i="2"/>
  <c r="I557" i="2" s="1"/>
  <c r="L411" i="2"/>
  <c r="K423" i="2"/>
  <c r="L1024" i="2"/>
  <c r="I1028" i="2"/>
  <c r="I1029" i="2" s="1"/>
  <c r="K1029" i="2"/>
  <c r="K10" i="8"/>
  <c r="I819" i="2"/>
  <c r="J242" i="6" s="1"/>
  <c r="L834" i="2"/>
  <c r="I835" i="2"/>
  <c r="I649" i="2"/>
  <c r="J187" i="6" s="1"/>
  <c r="J188" i="6" s="1"/>
  <c r="L424" i="2"/>
  <c r="I438" i="2"/>
  <c r="L571" i="2"/>
  <c r="K575" i="2"/>
  <c r="L441" i="2"/>
  <c r="K445" i="2"/>
  <c r="L524" i="2"/>
  <c r="K538" i="2"/>
  <c r="I537" i="2"/>
  <c r="I538" i="2" s="1"/>
  <c r="I574" i="2"/>
  <c r="I575" i="2" s="1"/>
  <c r="L455" i="2"/>
  <c r="I464" i="2"/>
  <c r="I465" i="2" s="1"/>
  <c r="I422" i="2"/>
  <c r="I423" i="2" s="1"/>
  <c r="L404" i="2"/>
  <c r="L449" i="2"/>
  <c r="K454" i="2"/>
  <c r="K306" i="2"/>
  <c r="L303" i="2"/>
  <c r="L306" i="2" s="1"/>
  <c r="L491" i="2"/>
  <c r="K509" i="2"/>
  <c r="K359" i="2"/>
  <c r="L343" i="2"/>
  <c r="L332" i="2"/>
  <c r="L339" i="2" s="1"/>
  <c r="K339" i="2"/>
  <c r="L240" i="6"/>
  <c r="L817" i="2"/>
  <c r="M240" i="6" s="1"/>
  <c r="L241" i="6"/>
  <c r="L818" i="2"/>
  <c r="M241" i="6" s="1"/>
  <c r="Q241" i="6"/>
  <c r="L1570" i="2"/>
  <c r="K1577" i="2"/>
  <c r="L1573" i="2"/>
  <c r="L1569" i="2"/>
  <c r="K1572" i="2"/>
  <c r="L1575" i="2"/>
  <c r="L1375" i="2"/>
  <c r="L1425" i="2"/>
  <c r="L1941" i="2"/>
  <c r="K1955" i="2"/>
  <c r="I1253" i="2"/>
  <c r="I1254" i="2" s="1"/>
  <c r="K953" i="2"/>
  <c r="I980" i="2"/>
  <c r="L976" i="2"/>
  <c r="K981" i="2"/>
  <c r="L228" i="6"/>
  <c r="L811" i="2"/>
  <c r="M228" i="6" s="1"/>
  <c r="L101" i="6"/>
  <c r="L1125" i="2"/>
  <c r="M101" i="6" s="1"/>
  <c r="L99" i="6"/>
  <c r="L1123" i="2"/>
  <c r="M99" i="6" s="1"/>
  <c r="L229" i="6"/>
  <c r="L812" i="2"/>
  <c r="M229" i="6" s="1"/>
  <c r="L100" i="6"/>
  <c r="L1124" i="2"/>
  <c r="M100" i="6" s="1"/>
  <c r="L1565" i="2"/>
  <c r="K1568" i="2"/>
  <c r="L1566" i="2"/>
  <c r="I1567" i="2"/>
  <c r="P89" i="6"/>
  <c r="O1120" i="2"/>
  <c r="W3" i="2" s="1"/>
  <c r="L982" i="2"/>
  <c r="K987" i="2"/>
  <c r="L970" i="2"/>
  <c r="K975" i="2"/>
  <c r="L1491" i="2"/>
  <c r="K1495" i="2"/>
  <c r="L1501" i="2"/>
  <c r="K1505" i="2"/>
  <c r="K1522" i="2"/>
  <c r="L1517" i="2"/>
  <c r="L1514" i="2"/>
  <c r="K1516" i="2"/>
  <c r="L1512" i="2"/>
  <c r="L1526" i="2"/>
  <c r="L1493" i="2"/>
  <c r="L1520" i="2"/>
  <c r="L1496" i="2"/>
  <c r="K1500" i="2"/>
  <c r="L1503" i="2"/>
  <c r="L1497" i="2"/>
  <c r="I1499" i="2"/>
  <c r="L1523" i="2"/>
  <c r="K1528" i="2"/>
  <c r="L832" i="2"/>
  <c r="L1114" i="2"/>
  <c r="M90" i="6" s="1"/>
  <c r="L90" i="6"/>
  <c r="L96" i="6" s="1"/>
  <c r="L765" i="2"/>
  <c r="I772" i="2"/>
  <c r="N47" i="6"/>
  <c r="L1250" i="2"/>
  <c r="K1254" i="2"/>
  <c r="L804" i="2"/>
  <c r="M215" i="6" s="1"/>
  <c r="L215" i="6"/>
  <c r="L805" i="2"/>
  <c r="M216" i="6" s="1"/>
  <c r="L216" i="6"/>
  <c r="L806" i="2"/>
  <c r="M217" i="6" s="1"/>
  <c r="L217" i="6"/>
  <c r="L803" i="2"/>
  <c r="M214" i="6" s="1"/>
  <c r="L214" i="6"/>
  <c r="L1057" i="2"/>
  <c r="M48" i="6" s="1"/>
  <c r="L48" i="6"/>
  <c r="Q52" i="6"/>
  <c r="L52" i="6"/>
  <c r="L1059" i="2"/>
  <c r="M50" i="6" s="1"/>
  <c r="L50" i="6"/>
  <c r="L1058" i="2"/>
  <c r="L49" i="6"/>
  <c r="L1060" i="2"/>
  <c r="M51" i="6" s="1"/>
  <c r="L51" i="6"/>
  <c r="L61" i="6"/>
  <c r="L1070" i="2"/>
  <c r="M61" i="6" s="1"/>
  <c r="L1487" i="2"/>
  <c r="K1490" i="2"/>
  <c r="L1488" i="2"/>
  <c r="I1489" i="2"/>
  <c r="I999" i="2"/>
  <c r="J38" i="6" s="1"/>
  <c r="J39" i="6" s="1"/>
  <c r="L83" i="6"/>
  <c r="L89" i="6" s="1"/>
  <c r="L1107" i="2"/>
  <c r="M83" i="6" s="1"/>
  <c r="K1113" i="2"/>
  <c r="I1112" i="2"/>
  <c r="I1468" i="2"/>
  <c r="L1130" i="2"/>
  <c r="M106" i="6" s="1"/>
  <c r="Q106" i="6"/>
  <c r="L106" i="6"/>
  <c r="L105" i="6"/>
  <c r="I1132" i="2"/>
  <c r="K1133" i="2"/>
  <c r="L1129" i="2"/>
  <c r="L1076" i="2"/>
  <c r="M67" i="6" s="1"/>
  <c r="L67" i="6"/>
  <c r="L1072" i="2"/>
  <c r="M63" i="6" s="1"/>
  <c r="L63" i="6"/>
  <c r="L1074" i="2"/>
  <c r="M65" i="6" s="1"/>
  <c r="L65" i="6"/>
  <c r="L1071" i="2"/>
  <c r="M62" i="6" s="1"/>
  <c r="L62" i="6"/>
  <c r="L1073" i="2"/>
  <c r="M64" i="6" s="1"/>
  <c r="L64" i="6"/>
  <c r="L647" i="2"/>
  <c r="M185" i="6" s="1"/>
  <c r="L185" i="6"/>
  <c r="L646" i="2"/>
  <c r="M184" i="6" s="1"/>
  <c r="L184" i="6"/>
  <c r="L1075" i="2"/>
  <c r="M66" i="6" s="1"/>
  <c r="L66" i="6"/>
  <c r="L648" i="2"/>
  <c r="M186" i="6" s="1"/>
  <c r="L186" i="6"/>
  <c r="L644" i="2"/>
  <c r="M182" i="6" s="1"/>
  <c r="L182" i="6"/>
  <c r="L187" i="6"/>
  <c r="L643" i="2"/>
  <c r="M181" i="6" s="1"/>
  <c r="L181" i="6"/>
  <c r="L1146" i="2"/>
  <c r="I1149" i="2"/>
  <c r="L645" i="2"/>
  <c r="M183" i="6" s="1"/>
  <c r="L183" i="6"/>
  <c r="I1329" i="2"/>
  <c r="L45" i="6"/>
  <c r="Q45" i="6"/>
  <c r="L1054" i="2"/>
  <c r="M45" i="6" s="1"/>
  <c r="I1850" i="2"/>
  <c r="I1097" i="2"/>
  <c r="I79" i="7" s="1"/>
  <c r="I80" i="7" s="1"/>
  <c r="L165" i="6"/>
  <c r="L1017" i="2"/>
  <c r="I1022" i="2"/>
  <c r="L1481" i="2"/>
  <c r="I1485" i="2"/>
  <c r="I1486" i="2" s="1"/>
  <c r="I55" i="7"/>
  <c r="I60" i="7" s="1"/>
  <c r="L948" i="2"/>
  <c r="L53" i="7" s="1"/>
  <c r="K53" i="7"/>
  <c r="K50" i="7"/>
  <c r="I1474" i="2"/>
  <c r="I1299" i="2"/>
  <c r="I84" i="7" s="1"/>
  <c r="I85" i="7" s="1"/>
  <c r="L1476" i="2"/>
  <c r="K1480" i="2"/>
  <c r="L1478" i="2"/>
  <c r="I1479" i="2"/>
  <c r="L1817" i="2"/>
  <c r="I1822" i="2"/>
  <c r="L1472" i="2"/>
  <c r="L1470" i="2"/>
  <c r="K1475" i="2"/>
  <c r="K1469" i="2"/>
  <c r="L1465" i="2"/>
  <c r="L1467" i="2"/>
  <c r="I677" i="2"/>
  <c r="L234" i="6"/>
  <c r="L1269" i="2"/>
  <c r="M234" i="6" s="1"/>
  <c r="L233" i="6"/>
  <c r="L1268" i="2"/>
  <c r="M233" i="6" s="1"/>
  <c r="L232" i="6"/>
  <c r="L1267" i="2"/>
  <c r="K1272" i="2"/>
  <c r="L1190" i="2"/>
  <c r="M163" i="6" s="1"/>
  <c r="L163" i="6"/>
  <c r="L1191" i="2"/>
  <c r="M164" i="6" s="1"/>
  <c r="L164" i="6"/>
  <c r="L167" i="6"/>
  <c r="L1189" i="2"/>
  <c r="M162" i="6" s="1"/>
  <c r="L162" i="6"/>
  <c r="L1193" i="2"/>
  <c r="M166" i="6" s="1"/>
  <c r="L166" i="6"/>
  <c r="L751" i="2"/>
  <c r="L35" i="7" s="1"/>
  <c r="K35" i="7"/>
  <c r="I1289" i="2"/>
  <c r="I1908" i="2"/>
  <c r="L1907" i="2"/>
  <c r="K1909" i="2"/>
  <c r="I1911" i="2"/>
  <c r="L1910" i="2"/>
  <c r="K1912" i="2"/>
  <c r="L1883" i="2"/>
  <c r="I1899" i="2"/>
  <c r="L1723" i="2"/>
  <c r="K194" i="2"/>
  <c r="L1818" i="2"/>
  <c r="L1159" i="2"/>
  <c r="M118" i="6" s="1"/>
  <c r="L118" i="6"/>
  <c r="L1198" i="2"/>
  <c r="M142" i="6" s="1"/>
  <c r="L142" i="6"/>
  <c r="L1337" i="2"/>
  <c r="M197" i="6" s="1"/>
  <c r="L197" i="6"/>
  <c r="L1296" i="2"/>
  <c r="L81" i="7" s="1"/>
  <c r="K81" i="7"/>
  <c r="Q144" i="6"/>
  <c r="L144" i="6"/>
  <c r="L1096" i="2"/>
  <c r="L78" i="7" s="1"/>
  <c r="K78" i="7"/>
  <c r="L1247" i="2"/>
  <c r="M151" i="6" s="1"/>
  <c r="L151" i="6"/>
  <c r="L1094" i="2"/>
  <c r="L76" i="7" s="1"/>
  <c r="K76" i="7"/>
  <c r="L1335" i="2"/>
  <c r="M195" i="6" s="1"/>
  <c r="L195" i="6"/>
  <c r="L1326" i="2"/>
  <c r="M170" i="6" s="1"/>
  <c r="L170" i="6"/>
  <c r="L1049" i="2"/>
  <c r="M40" i="6" s="1"/>
  <c r="L40" i="6"/>
  <c r="L816" i="2"/>
  <c r="M239" i="6" s="1"/>
  <c r="L239" i="6"/>
  <c r="L774" i="2"/>
  <c r="L16" i="6"/>
  <c r="Q16" i="6"/>
  <c r="L1092" i="2"/>
  <c r="K74" i="7"/>
  <c r="L1053" i="2"/>
  <c r="M44" i="6" s="1"/>
  <c r="L44" i="6"/>
  <c r="L1161" i="2"/>
  <c r="M120" i="6" s="1"/>
  <c r="L120" i="6"/>
  <c r="L1199" i="2"/>
  <c r="M143" i="6" s="1"/>
  <c r="L143" i="6"/>
  <c r="L1328" i="2"/>
  <c r="M172" i="6" s="1"/>
  <c r="L172" i="6"/>
  <c r="L1242" i="2"/>
  <c r="M146" i="6" s="1"/>
  <c r="L146" i="6"/>
  <c r="L1327" i="2"/>
  <c r="M171" i="6" s="1"/>
  <c r="L171" i="6"/>
  <c r="L1052" i="2"/>
  <c r="M43" i="6" s="1"/>
  <c r="L43" i="6"/>
  <c r="L1051" i="2"/>
  <c r="M42" i="6" s="1"/>
  <c r="L42" i="6"/>
  <c r="L995" i="2"/>
  <c r="M34" i="6" s="1"/>
  <c r="L34" i="6"/>
  <c r="L942" i="2"/>
  <c r="K47" i="7"/>
  <c r="O79" i="7"/>
  <c r="K79" i="7"/>
  <c r="L779" i="2"/>
  <c r="M21" i="6" s="1"/>
  <c r="L21" i="6"/>
  <c r="L1160" i="2"/>
  <c r="M119" i="6" s="1"/>
  <c r="L119" i="6"/>
  <c r="L1246" i="2"/>
  <c r="M150" i="6" s="1"/>
  <c r="L150" i="6"/>
  <c r="L809" i="2"/>
  <c r="M226" i="6" s="1"/>
  <c r="L226" i="6"/>
  <c r="L1244" i="2"/>
  <c r="M148" i="6" s="1"/>
  <c r="L148" i="6"/>
  <c r="Q152" i="6"/>
  <c r="L152" i="6"/>
  <c r="L959" i="2"/>
  <c r="L63" i="7" s="1"/>
  <c r="K63" i="7"/>
  <c r="L121" i="6"/>
  <c r="L810" i="2"/>
  <c r="M227" i="6" s="1"/>
  <c r="L227" i="6"/>
  <c r="L775" i="2"/>
  <c r="M17" i="6" s="1"/>
  <c r="L17" i="6"/>
  <c r="L1245" i="2"/>
  <c r="M149" i="6" s="1"/>
  <c r="L149" i="6"/>
  <c r="L1298" i="2"/>
  <c r="L83" i="7" s="1"/>
  <c r="K83" i="7"/>
  <c r="L862" i="2"/>
  <c r="L41" i="7" s="1"/>
  <c r="K41" i="7"/>
  <c r="K46" i="7" s="1"/>
  <c r="L1243" i="2"/>
  <c r="M147" i="6" s="1"/>
  <c r="L147" i="6"/>
  <c r="L776" i="2"/>
  <c r="M18" i="6" s="1"/>
  <c r="L18" i="6"/>
  <c r="L946" i="2"/>
  <c r="L51" i="7" s="1"/>
  <c r="K51" i="7"/>
  <c r="Q46" i="6"/>
  <c r="L46" i="6"/>
  <c r="Q38" i="6"/>
  <c r="L38" i="6"/>
  <c r="L960" i="2"/>
  <c r="L64" i="7" s="1"/>
  <c r="K64" i="7"/>
  <c r="L958" i="2"/>
  <c r="L62" i="7" s="1"/>
  <c r="K62" i="7"/>
  <c r="L1339" i="2"/>
  <c r="M199" i="6" s="1"/>
  <c r="L199" i="6"/>
  <c r="L1325" i="2"/>
  <c r="M169" i="6" s="1"/>
  <c r="L169" i="6"/>
  <c r="L1158" i="2"/>
  <c r="M117" i="6" s="1"/>
  <c r="L117" i="6"/>
  <c r="L961" i="2"/>
  <c r="L65" i="7" s="1"/>
  <c r="K65" i="7"/>
  <c r="L778" i="2"/>
  <c r="M20" i="6" s="1"/>
  <c r="L20" i="6"/>
  <c r="L944" i="2"/>
  <c r="L49" i="7" s="1"/>
  <c r="K49" i="7"/>
  <c r="L957" i="2"/>
  <c r="L61" i="7" s="1"/>
  <c r="K61" i="7"/>
  <c r="L815" i="2"/>
  <c r="M238" i="6" s="1"/>
  <c r="L238" i="6"/>
  <c r="L1050" i="2"/>
  <c r="M41" i="6" s="1"/>
  <c r="L41" i="6"/>
  <c r="L943" i="2"/>
  <c r="L48" i="7" s="1"/>
  <c r="K48" i="7"/>
  <c r="L1196" i="2"/>
  <c r="M140" i="6" s="1"/>
  <c r="L140" i="6"/>
  <c r="L200" i="6"/>
  <c r="Q23" i="6"/>
  <c r="L23" i="6"/>
  <c r="L1095" i="2"/>
  <c r="L77" i="7" s="1"/>
  <c r="K77" i="7"/>
  <c r="L1197" i="2"/>
  <c r="M141" i="6" s="1"/>
  <c r="L141" i="6"/>
  <c r="L1336" i="2"/>
  <c r="M196" i="6" s="1"/>
  <c r="L196" i="6"/>
  <c r="L997" i="2"/>
  <c r="M36" i="6" s="1"/>
  <c r="L36" i="6"/>
  <c r="L1122" i="2"/>
  <c r="M98" i="6" s="1"/>
  <c r="L98" i="6"/>
  <c r="L1157" i="2"/>
  <c r="M116" i="6" s="1"/>
  <c r="L116" i="6"/>
  <c r="L998" i="2"/>
  <c r="M37" i="6" s="1"/>
  <c r="L37" i="6"/>
  <c r="L1338" i="2"/>
  <c r="M198" i="6" s="1"/>
  <c r="L198" i="6"/>
  <c r="O66" i="7"/>
  <c r="K66" i="7"/>
  <c r="L996" i="2"/>
  <c r="M35" i="6" s="1"/>
  <c r="L35" i="6"/>
  <c r="L1121" i="2"/>
  <c r="M97" i="6" s="1"/>
  <c r="L97" i="6"/>
  <c r="L777" i="2"/>
  <c r="M19" i="6" s="1"/>
  <c r="L19" i="6"/>
  <c r="L1093" i="2"/>
  <c r="L75" i="7" s="1"/>
  <c r="K75" i="7"/>
  <c r="L1297" i="2"/>
  <c r="L82" i="7" s="1"/>
  <c r="K82" i="7"/>
  <c r="L988" i="2"/>
  <c r="L68" i="7" s="1"/>
  <c r="K68" i="7"/>
  <c r="L989" i="2"/>
  <c r="L69" i="7" s="1"/>
  <c r="K69" i="7"/>
  <c r="O72" i="7"/>
  <c r="K72" i="7"/>
  <c r="L991" i="2"/>
  <c r="L71" i="7" s="1"/>
  <c r="K71" i="7"/>
  <c r="L990" i="2"/>
  <c r="L70" i="7" s="1"/>
  <c r="K70" i="7"/>
  <c r="L854" i="2"/>
  <c r="K861" i="2"/>
  <c r="L755" i="2"/>
  <c r="L39" i="7" s="1"/>
  <c r="K39" i="7"/>
  <c r="L1801" i="2"/>
  <c r="L1798" i="2"/>
  <c r="L1795" i="2"/>
  <c r="K1804" i="2"/>
  <c r="L1797" i="2"/>
  <c r="L1800" i="2"/>
  <c r="L1799" i="2"/>
  <c r="L1802" i="2"/>
  <c r="L617" i="2"/>
  <c r="Q182" i="6"/>
  <c r="T43" i="15"/>
  <c r="X43" i="15" s="1"/>
  <c r="Q111" i="6"/>
  <c r="T54" i="15"/>
  <c r="X54" i="15" s="1"/>
  <c r="Q76" i="6"/>
  <c r="O34" i="7"/>
  <c r="T41" i="15"/>
  <c r="X41" i="15" s="1"/>
  <c r="O78" i="7"/>
  <c r="Q155" i="6"/>
  <c r="Q40" i="6"/>
  <c r="T35" i="15"/>
  <c r="X35" i="15" s="1"/>
  <c r="T23" i="15"/>
  <c r="X23" i="15" s="1"/>
  <c r="Q156" i="6"/>
  <c r="X50" i="15"/>
  <c r="X49" i="15"/>
  <c r="X48" i="15"/>
  <c r="Q58" i="6"/>
  <c r="Q176" i="6"/>
  <c r="T22" i="15"/>
  <c r="X22" i="15" s="1"/>
  <c r="T90" i="15"/>
  <c r="X90" i="15" s="1"/>
  <c r="T42" i="15"/>
  <c r="X42" i="15" s="1"/>
  <c r="O83" i="7"/>
  <c r="Q55" i="6"/>
  <c r="Q178" i="6"/>
  <c r="Q51" i="6"/>
  <c r="T65" i="15"/>
  <c r="X65" i="15" s="1"/>
  <c r="T89" i="15"/>
  <c r="X89" i="15" s="1"/>
  <c r="T101" i="15"/>
  <c r="Q158" i="6"/>
  <c r="Q57" i="6"/>
  <c r="Q113" i="6"/>
  <c r="Q183" i="6"/>
  <c r="Q110" i="6"/>
  <c r="Q157" i="6"/>
  <c r="T102" i="15"/>
  <c r="X102" i="15" s="1"/>
  <c r="Q112" i="6"/>
  <c r="O68" i="7"/>
  <c r="T21" i="15"/>
  <c r="X21" i="15" s="1"/>
  <c r="O41" i="7"/>
  <c r="T20" i="15"/>
  <c r="X20" i="15" s="1"/>
  <c r="Q80" i="6"/>
  <c r="Q77" i="6"/>
  <c r="T40" i="15"/>
  <c r="X40" i="15" s="1"/>
  <c r="Q56" i="6"/>
  <c r="Q177" i="6"/>
  <c r="Q79" i="6"/>
  <c r="T113" i="15"/>
  <c r="X113" i="15" s="1"/>
  <c r="T37" i="15"/>
  <c r="X37" i="15" s="1"/>
  <c r="O39" i="7"/>
  <c r="Q78" i="6"/>
  <c r="T114" i="15"/>
  <c r="X114" i="15" s="1"/>
  <c r="K1906" i="2"/>
  <c r="I1905" i="2"/>
  <c r="K1427" i="2"/>
  <c r="I1931" i="2"/>
  <c r="I701" i="2"/>
  <c r="I1859" i="2"/>
  <c r="I1860" i="2" s="1"/>
  <c r="K702" i="2"/>
  <c r="K708" i="2"/>
  <c r="I707" i="2"/>
  <c r="L707" i="2" s="1"/>
  <c r="I1793" i="2"/>
  <c r="I926" i="2"/>
  <c r="K836" i="2"/>
  <c r="I1690" i="2"/>
  <c r="I1635" i="2"/>
  <c r="I746" i="2"/>
  <c r="I1606" i="2"/>
  <c r="A7" i="4"/>
  <c r="O193" i="2"/>
  <c r="W2" i="2" s="1"/>
  <c r="K820" i="2"/>
  <c r="I1455" i="2"/>
  <c r="I1867" i="2"/>
  <c r="K1120" i="2"/>
  <c r="I1119" i="2"/>
  <c r="J95" i="6" s="1"/>
  <c r="J96" i="6" s="1"/>
  <c r="I824" i="2"/>
  <c r="L824" i="2" s="1"/>
  <c r="K825" i="2"/>
  <c r="I852" i="2"/>
  <c r="O110" i="2"/>
  <c r="I718" i="2"/>
  <c r="K1128" i="2"/>
  <c r="K814" i="2"/>
  <c r="J159" i="15"/>
  <c r="L159" i="15"/>
  <c r="S159" i="15"/>
  <c r="P159" i="15"/>
  <c r="V159" i="15"/>
  <c r="W159" i="15"/>
  <c r="O159" i="15"/>
  <c r="M159" i="15"/>
  <c r="K159" i="15"/>
  <c r="I159" i="15"/>
  <c r="Q159" i="15"/>
  <c r="U159" i="15"/>
  <c r="T110" i="15"/>
  <c r="X110" i="15" s="1"/>
  <c r="T109" i="15"/>
  <c r="K1456" i="2"/>
  <c r="H159" i="15"/>
  <c r="I1283" i="2"/>
  <c r="I1284" i="2" s="1"/>
  <c r="I1803" i="2"/>
  <c r="I1308" i="2"/>
  <c r="I1712" i="2"/>
  <c r="I1713" i="2" s="1"/>
  <c r="I1624" i="2"/>
  <c r="I1625" i="2" s="1"/>
  <c r="I1077" i="2"/>
  <c r="J68" i="6" s="1"/>
  <c r="K664" i="2"/>
  <c r="X31" i="15"/>
  <c r="I1039" i="2"/>
  <c r="X16" i="15"/>
  <c r="I1162" i="2"/>
  <c r="J121" i="6" s="1"/>
  <c r="J122" i="6" s="1"/>
  <c r="X17" i="15"/>
  <c r="T105" i="15"/>
  <c r="X105" i="15" s="1"/>
  <c r="K1452" i="2"/>
  <c r="T106" i="15"/>
  <c r="I1451" i="2"/>
  <c r="K31" i="8"/>
  <c r="K32" i="8" s="1"/>
  <c r="I1259" i="2"/>
  <c r="X30" i="15"/>
  <c r="E77" i="4"/>
  <c r="K1448" i="2"/>
  <c r="I1447" i="2"/>
  <c r="T93" i="15"/>
  <c r="K1440" i="2"/>
  <c r="T98" i="15"/>
  <c r="X98" i="15" s="1"/>
  <c r="I1443" i="2"/>
  <c r="T97" i="15"/>
  <c r="K1444" i="2"/>
  <c r="T94" i="15"/>
  <c r="X94" i="15" s="1"/>
  <c r="I1439" i="2"/>
  <c r="I1435" i="2"/>
  <c r="K1436" i="2"/>
  <c r="X14" i="15"/>
  <c r="Q146" i="6"/>
  <c r="I1248" i="2"/>
  <c r="J152" i="6" s="1"/>
  <c r="J153" i="6" s="1"/>
  <c r="O401" i="2"/>
  <c r="I1398" i="2"/>
  <c r="I1875" i="2"/>
  <c r="I659" i="2"/>
  <c r="K1460" i="2"/>
  <c r="I1459" i="2"/>
  <c r="X85" i="15"/>
  <c r="K1432" i="2"/>
  <c r="K1421" i="2"/>
  <c r="X82" i="15"/>
  <c r="I807" i="2"/>
  <c r="J218" i="6" s="1"/>
  <c r="T78" i="15"/>
  <c r="X78" i="15" s="1"/>
  <c r="I1414" i="2"/>
  <c r="T77" i="15"/>
  <c r="K1415" i="2"/>
  <c r="I1228" i="2"/>
  <c r="T1599" i="2"/>
  <c r="O1486" i="2"/>
  <c r="I787" i="2"/>
  <c r="L787" i="2" s="1"/>
  <c r="K1330" i="2"/>
  <c r="J13" i="8"/>
  <c r="T120" i="15"/>
  <c r="I1463" i="2"/>
  <c r="K1464" i="2"/>
  <c r="I874" i="2"/>
  <c r="Q192" i="6"/>
  <c r="I756" i="2"/>
  <c r="Q223" i="6"/>
  <c r="X47" i="15"/>
  <c r="I724" i="2"/>
  <c r="I1360" i="2"/>
  <c r="K796" i="2"/>
  <c r="I795" i="2"/>
  <c r="Q25" i="6"/>
  <c r="I888" i="2"/>
  <c r="I1214" i="2"/>
  <c r="Q189" i="6"/>
  <c r="K1215" i="2"/>
  <c r="Q191" i="6"/>
  <c r="Q190" i="6"/>
  <c r="O1215" i="2"/>
  <c r="K802" i="2"/>
  <c r="I801" i="2"/>
  <c r="Q208" i="6"/>
  <c r="T73" i="15"/>
  <c r="K1411" i="2"/>
  <c r="T74" i="15"/>
  <c r="X74" i="15" s="1"/>
  <c r="I1410" i="2"/>
  <c r="X27" i="15"/>
  <c r="K808" i="2"/>
  <c r="AA125" i="15"/>
  <c r="O423" i="2"/>
  <c r="T70" i="15"/>
  <c r="I1406" i="2"/>
  <c r="T69" i="15"/>
  <c r="X69" i="15" s="1"/>
  <c r="K1407" i="2"/>
  <c r="I1278" i="2"/>
  <c r="I3" i="8"/>
  <c r="O1341" i="2"/>
  <c r="P201" i="6" s="1"/>
  <c r="N1760" i="2"/>
  <c r="A1742" i="2"/>
  <c r="M802" i="2"/>
  <c r="M808" i="2" s="1"/>
  <c r="N219" i="6" s="1"/>
  <c r="N1750" i="2"/>
  <c r="A1714" i="2"/>
  <c r="N1722" i="2"/>
  <c r="A319" i="2"/>
  <c r="K875" i="2"/>
  <c r="M788" i="2"/>
  <c r="T66" i="15"/>
  <c r="X66" i="15" s="1"/>
  <c r="I1402" i="2"/>
  <c r="P956" i="2"/>
  <c r="A954" i="2"/>
  <c r="P261" i="2"/>
  <c r="A1774" i="2"/>
  <c r="P642" i="2"/>
  <c r="A638" i="2"/>
  <c r="K1403" i="2"/>
  <c r="A1692" i="2"/>
  <c r="N1701" i="2"/>
  <c r="P1780" i="2"/>
  <c r="A1824" i="2"/>
  <c r="A1751" i="2"/>
  <c r="N1832" i="2"/>
  <c r="T56" i="15"/>
  <c r="X56" i="15" s="1"/>
  <c r="A73" i="4"/>
  <c r="O33" i="7"/>
  <c r="P53" i="6"/>
  <c r="M401" i="2"/>
  <c r="I1765" i="2"/>
  <c r="I1047" i="2"/>
  <c r="P239" i="2"/>
  <c r="O1078" i="2"/>
  <c r="P69" i="6" s="1"/>
  <c r="F8" i="12"/>
  <c r="Q220" i="6"/>
  <c r="K788" i="2"/>
  <c r="Q222" i="6"/>
  <c r="Q221" i="6"/>
  <c r="Q147" i="6"/>
  <c r="O38" i="7"/>
  <c r="A1608" i="2"/>
  <c r="I1068" i="2"/>
  <c r="T62" i="15"/>
  <c r="X62" i="15" s="1"/>
  <c r="T59" i="15"/>
  <c r="K1394" i="2"/>
  <c r="T61" i="15"/>
  <c r="X61" i="15" s="1"/>
  <c r="T60" i="15"/>
  <c r="X60" i="15" s="1"/>
  <c r="I1393" i="2"/>
  <c r="A1164" i="2"/>
  <c r="Q143" i="6"/>
  <c r="Q54" i="6"/>
  <c r="O32" i="7"/>
  <c r="K1091" i="2"/>
  <c r="I1387" i="2"/>
  <c r="K747" i="2"/>
  <c r="K963" i="2"/>
  <c r="Q151" i="6"/>
  <c r="I1090" i="2"/>
  <c r="K1023" i="2"/>
  <c r="K650" i="2"/>
  <c r="K622" i="2"/>
  <c r="O788" i="2"/>
  <c r="K1309" i="2"/>
  <c r="K1106" i="2"/>
  <c r="I844" i="2"/>
  <c r="N125" i="15"/>
  <c r="K1163" i="2"/>
  <c r="I1105" i="2"/>
  <c r="P1171" i="2"/>
  <c r="K1279" i="2"/>
  <c r="T55" i="15"/>
  <c r="X55" i="15" s="1"/>
  <c r="I684" i="2"/>
  <c r="N239" i="2"/>
  <c r="Q154" i="6"/>
  <c r="I1597" i="2"/>
  <c r="K882" i="2"/>
  <c r="I1366" i="2"/>
  <c r="X26" i="15"/>
  <c r="K685" i="2"/>
  <c r="A1735" i="2"/>
  <c r="N1741" i="2"/>
  <c r="K1201" i="2"/>
  <c r="T34" i="15"/>
  <c r="X34" i="15" s="1"/>
  <c r="K1098" i="2"/>
  <c r="K1486" i="2"/>
  <c r="K1295" i="2"/>
  <c r="I1352" i="2"/>
  <c r="N1613" i="2"/>
  <c r="K899" i="2"/>
  <c r="K773" i="2"/>
  <c r="K660" i="2"/>
  <c r="K1040" i="2"/>
  <c r="K678" i="2"/>
  <c r="K845" i="2"/>
  <c r="Q148" i="6"/>
  <c r="K969" i="2"/>
  <c r="K1353" i="2"/>
  <c r="K1300" i="2"/>
  <c r="K1373" i="2"/>
  <c r="K764" i="2"/>
  <c r="K1000" i="2"/>
  <c r="I1208" i="2"/>
  <c r="K1139" i="2"/>
  <c r="K756" i="2"/>
  <c r="O36" i="7"/>
  <c r="K941" i="2"/>
  <c r="I898" i="2"/>
  <c r="K1388" i="2"/>
  <c r="T36" i="15"/>
  <c r="X36" i="15" s="1"/>
  <c r="K993" i="2"/>
  <c r="K1195" i="2"/>
  <c r="I1138" i="2"/>
  <c r="K1150" i="2"/>
  <c r="I1015" i="2"/>
  <c r="I992" i="2"/>
  <c r="I72" i="7" s="1"/>
  <c r="I73" i="7" s="1"/>
  <c r="K1069" i="2"/>
  <c r="K867" i="2"/>
  <c r="K637" i="2"/>
  <c r="T53" i="15"/>
  <c r="X53" i="15" s="1"/>
  <c r="K1260" i="2"/>
  <c r="I1194" i="2"/>
  <c r="K725" i="2"/>
  <c r="K890" i="2"/>
  <c r="K1284" i="2"/>
  <c r="K1078" i="2"/>
  <c r="K1062" i="2"/>
  <c r="K853" i="2"/>
  <c r="K719" i="2"/>
  <c r="I636" i="2"/>
  <c r="K1048" i="2"/>
  <c r="K1016" i="2"/>
  <c r="K1229" i="2"/>
  <c r="K1209" i="2"/>
  <c r="K1766" i="2"/>
  <c r="K1607" i="2"/>
  <c r="H1957" i="2"/>
  <c r="I1236" i="2"/>
  <c r="K1237" i="2"/>
  <c r="I860" i="2"/>
  <c r="I861" i="2" s="1"/>
  <c r="K1056" i="2"/>
  <c r="I1055" i="2"/>
  <c r="J46" i="6" s="1"/>
  <c r="J47" i="6" s="1"/>
  <c r="I1155" i="2"/>
  <c r="K1156" i="2"/>
  <c r="K782" i="2"/>
  <c r="K696" i="2"/>
  <c r="K1936" i="2"/>
  <c r="K1845" i="2"/>
  <c r="K1249" i="2"/>
  <c r="K1851" i="2"/>
  <c r="K1290" i="2"/>
  <c r="K1787" i="2"/>
  <c r="K1682" i="2"/>
  <c r="I1294" i="2"/>
  <c r="I1295" i="2" s="1"/>
  <c r="I1372" i="2"/>
  <c r="K909" i="2"/>
  <c r="K1876" i="2"/>
  <c r="I1681" i="2"/>
  <c r="I1786" i="2"/>
  <c r="K1382" i="2"/>
  <c r="Q150" i="6"/>
  <c r="I908" i="2"/>
  <c r="K1666" i="2"/>
  <c r="I1665" i="2"/>
  <c r="K1361" i="2"/>
  <c r="I1917" i="2"/>
  <c r="K1918" i="2"/>
  <c r="K927" i="2"/>
  <c r="K1900" i="2"/>
  <c r="K1367" i="2"/>
  <c r="X46" i="15"/>
  <c r="K1655" i="2"/>
  <c r="K1691" i="2"/>
  <c r="I1839" i="2"/>
  <c r="K1882" i="2"/>
  <c r="I1654" i="2"/>
  <c r="I1881" i="2"/>
  <c r="K1868" i="2"/>
  <c r="K1794" i="2"/>
  <c r="I1673" i="2"/>
  <c r="K1598" i="2"/>
  <c r="K1734" i="2"/>
  <c r="K1625" i="2"/>
  <c r="K1399" i="2"/>
  <c r="K1932" i="2"/>
  <c r="K1840" i="2"/>
  <c r="I1935" i="2"/>
  <c r="K1860" i="2"/>
  <c r="K1341" i="2"/>
  <c r="K1773" i="2"/>
  <c r="K1636" i="2"/>
  <c r="K1713" i="2"/>
  <c r="K1674" i="2"/>
  <c r="I1772" i="2"/>
  <c r="K1222" i="2"/>
  <c r="I1221" i="2"/>
  <c r="X4" i="2"/>
  <c r="I59" i="8"/>
  <c r="A59" i="8"/>
  <c r="I55" i="8"/>
  <c r="A55" i="8"/>
  <c r="I47" i="8"/>
  <c r="A47" i="8"/>
  <c r="I39" i="8"/>
  <c r="A39" i="8"/>
  <c r="I31" i="8"/>
  <c r="A31" i="8"/>
  <c r="I23" i="8"/>
  <c r="A23" i="8"/>
  <c r="A15" i="8"/>
  <c r="I15" i="8"/>
  <c r="A7" i="8"/>
  <c r="I7" i="8"/>
  <c r="I61" i="8"/>
  <c r="A61" i="8"/>
  <c r="I56" i="8"/>
  <c r="A56" i="8"/>
  <c r="I48" i="8"/>
  <c r="A48" i="8"/>
  <c r="A40" i="8"/>
  <c r="I40" i="8"/>
  <c r="I32" i="8"/>
  <c r="A32" i="8"/>
  <c r="A24" i="8"/>
  <c r="I24" i="8"/>
  <c r="A16" i="8"/>
  <c r="I16" i="8"/>
  <c r="A8" i="8"/>
  <c r="I8" i="8"/>
  <c r="I101" i="8"/>
  <c r="A101" i="8"/>
  <c r="I62" i="8"/>
  <c r="A62" i="8"/>
  <c r="I70" i="8"/>
  <c r="A70" i="8"/>
  <c r="I78" i="8"/>
  <c r="A78" i="8"/>
  <c r="I86" i="8"/>
  <c r="A86" i="8"/>
  <c r="I95" i="8"/>
  <c r="A95" i="8"/>
  <c r="I97" i="8"/>
  <c r="A97" i="8"/>
  <c r="I63" i="8"/>
  <c r="A63" i="8"/>
  <c r="I71" i="8"/>
  <c r="A71" i="8"/>
  <c r="I79" i="8"/>
  <c r="A79" i="8"/>
  <c r="I87" i="8"/>
  <c r="A87" i="8"/>
  <c r="I107" i="8"/>
  <c r="A107" i="8"/>
  <c r="I117" i="8"/>
  <c r="A117" i="8"/>
  <c r="I125" i="8"/>
  <c r="A125" i="8"/>
  <c r="I133" i="8"/>
  <c r="A133" i="8"/>
  <c r="I141" i="8"/>
  <c r="A141" i="8"/>
  <c r="I96" i="8"/>
  <c r="A96" i="8"/>
  <c r="I104" i="8"/>
  <c r="A104" i="8"/>
  <c r="I112" i="8"/>
  <c r="A112" i="8"/>
  <c r="I120" i="8"/>
  <c r="A120" i="8"/>
  <c r="I128" i="8"/>
  <c r="A128" i="8"/>
  <c r="I136" i="8"/>
  <c r="A136" i="8"/>
  <c r="I49" i="8"/>
  <c r="A49" i="8"/>
  <c r="I41" i="8"/>
  <c r="A41" i="8"/>
  <c r="I33" i="8"/>
  <c r="A33" i="8"/>
  <c r="I25" i="8"/>
  <c r="A25" i="8"/>
  <c r="A17" i="8"/>
  <c r="I17" i="8"/>
  <c r="A9" i="8"/>
  <c r="I9" i="8"/>
  <c r="I50" i="8"/>
  <c r="A50" i="8"/>
  <c r="A42" i="8"/>
  <c r="I42" i="8"/>
  <c r="I34" i="8"/>
  <c r="A34" i="8"/>
  <c r="I26" i="8"/>
  <c r="A26" i="8"/>
  <c r="A18" i="8"/>
  <c r="I18" i="8"/>
  <c r="A10" i="8"/>
  <c r="I10" i="8"/>
  <c r="A2" i="8"/>
  <c r="I109" i="8"/>
  <c r="A109" i="8"/>
  <c r="I60" i="8"/>
  <c r="A60" i="8"/>
  <c r="I68" i="8"/>
  <c r="A68" i="8"/>
  <c r="I76" i="8"/>
  <c r="A76" i="8"/>
  <c r="I84" i="8"/>
  <c r="A84" i="8"/>
  <c r="I103" i="8"/>
  <c r="A103" i="8"/>
  <c r="I105" i="8"/>
  <c r="A105" i="8"/>
  <c r="I69" i="8"/>
  <c r="A69" i="8"/>
  <c r="I77" i="8"/>
  <c r="A77" i="8"/>
  <c r="I85" i="8"/>
  <c r="A85" i="8"/>
  <c r="I115" i="8"/>
  <c r="A115" i="8"/>
  <c r="I123" i="8"/>
  <c r="A123" i="8"/>
  <c r="I131" i="8"/>
  <c r="A131" i="8"/>
  <c r="I139" i="8"/>
  <c r="A139" i="8"/>
  <c r="I94" i="8"/>
  <c r="A94" i="8"/>
  <c r="I102" i="8"/>
  <c r="A102" i="8"/>
  <c r="I110" i="8"/>
  <c r="A110" i="8"/>
  <c r="I118" i="8"/>
  <c r="A118" i="8"/>
  <c r="I126" i="8"/>
  <c r="A126" i="8"/>
  <c r="I134" i="8"/>
  <c r="A134" i="8"/>
  <c r="I142" i="8"/>
  <c r="A142" i="8"/>
  <c r="I51" i="8"/>
  <c r="A51" i="8"/>
  <c r="I43" i="8"/>
  <c r="A43" i="8"/>
  <c r="I35" i="8"/>
  <c r="A35" i="8"/>
  <c r="I27" i="8"/>
  <c r="A27" i="8"/>
  <c r="I19" i="8"/>
  <c r="A19" i="8"/>
  <c r="A11" i="8"/>
  <c r="I11" i="8"/>
  <c r="A3" i="8"/>
  <c r="I52" i="8"/>
  <c r="A52" i="8"/>
  <c r="A44" i="8"/>
  <c r="I44" i="8"/>
  <c r="A36" i="8"/>
  <c r="I36" i="8"/>
  <c r="I28" i="8"/>
  <c r="A28" i="8"/>
  <c r="I20" i="8"/>
  <c r="A20" i="8"/>
  <c r="A12" i="8"/>
  <c r="I12" i="8"/>
  <c r="A4" i="8"/>
  <c r="I4" i="8"/>
  <c r="I58" i="8"/>
  <c r="A58" i="8"/>
  <c r="I66" i="8"/>
  <c r="A66" i="8"/>
  <c r="I74" i="8"/>
  <c r="A74" i="8"/>
  <c r="I82" i="8"/>
  <c r="A82" i="8"/>
  <c r="I90" i="8"/>
  <c r="A90" i="8"/>
  <c r="I111" i="8"/>
  <c r="A111" i="8"/>
  <c r="I113" i="8"/>
  <c r="A113" i="8"/>
  <c r="I67" i="8"/>
  <c r="A67" i="8"/>
  <c r="I75" i="8"/>
  <c r="A75" i="8"/>
  <c r="I83" i="8"/>
  <c r="A83" i="8"/>
  <c r="I91" i="8"/>
  <c r="A91" i="8"/>
  <c r="I121" i="8"/>
  <c r="A121" i="8"/>
  <c r="I129" i="8"/>
  <c r="A129" i="8"/>
  <c r="I137" i="8"/>
  <c r="A137" i="8"/>
  <c r="I92" i="8"/>
  <c r="A92" i="8"/>
  <c r="I100" i="8"/>
  <c r="A100" i="8"/>
  <c r="I108" i="8"/>
  <c r="A108" i="8"/>
  <c r="I116" i="8"/>
  <c r="A116" i="8"/>
  <c r="I124" i="8"/>
  <c r="A124" i="8"/>
  <c r="I132" i="8"/>
  <c r="A132" i="8"/>
  <c r="I140" i="8"/>
  <c r="A140" i="8"/>
  <c r="I53" i="8"/>
  <c r="A53" i="8"/>
  <c r="I45" i="8"/>
  <c r="A45" i="8"/>
  <c r="I37" i="8"/>
  <c r="A37" i="8"/>
  <c r="I29" i="8"/>
  <c r="A29" i="8"/>
  <c r="I21" i="8"/>
  <c r="A21" i="8"/>
  <c r="A13" i="8"/>
  <c r="I13" i="8"/>
  <c r="A5" i="8"/>
  <c r="I5" i="8"/>
  <c r="I57" i="8"/>
  <c r="A57" i="8"/>
  <c r="I54" i="8"/>
  <c r="A54" i="8"/>
  <c r="I46" i="8"/>
  <c r="A46" i="8"/>
  <c r="I38" i="8"/>
  <c r="A38" i="8"/>
  <c r="I30" i="8"/>
  <c r="A30" i="8"/>
  <c r="I22" i="8"/>
  <c r="A22" i="8"/>
  <c r="A14" i="8"/>
  <c r="I14" i="8"/>
  <c r="A6" i="8"/>
  <c r="I6" i="8"/>
  <c r="I93" i="8"/>
  <c r="A93" i="8"/>
  <c r="I64" i="8"/>
  <c r="A64" i="8"/>
  <c r="I72" i="8"/>
  <c r="A72" i="8"/>
  <c r="I80" i="8"/>
  <c r="A80" i="8"/>
  <c r="I88" i="8"/>
  <c r="A88" i="8"/>
  <c r="I65" i="8"/>
  <c r="A65" i="8"/>
  <c r="I73" i="8"/>
  <c r="A73" i="8"/>
  <c r="I81" i="8"/>
  <c r="A81" i="8"/>
  <c r="I89" i="8"/>
  <c r="A89" i="8"/>
  <c r="I99" i="8"/>
  <c r="A99" i="8"/>
  <c r="I119" i="8"/>
  <c r="A119" i="8"/>
  <c r="I127" i="8"/>
  <c r="A127" i="8"/>
  <c r="I135" i="8"/>
  <c r="A135" i="8"/>
  <c r="I143" i="8"/>
  <c r="A143" i="8"/>
  <c r="I98" i="8"/>
  <c r="A98" i="8"/>
  <c r="I106" i="8"/>
  <c r="A106" i="8"/>
  <c r="I114" i="8"/>
  <c r="A114" i="8"/>
  <c r="I122" i="8"/>
  <c r="A122" i="8"/>
  <c r="I130" i="8"/>
  <c r="A130" i="8"/>
  <c r="I138" i="8"/>
  <c r="A138" i="8"/>
  <c r="T611" i="2"/>
  <c r="E68" i="4" l="1"/>
  <c r="A8" i="4"/>
  <c r="I376" i="2"/>
  <c r="I377" i="2" s="1"/>
  <c r="E251" i="4"/>
  <c r="I251" i="4" s="1"/>
  <c r="E32" i="4"/>
  <c r="E5" i="4"/>
  <c r="I1955" i="2"/>
  <c r="E66" i="4"/>
  <c r="E141" i="4"/>
  <c r="E223" i="4"/>
  <c r="I517" i="2"/>
  <c r="E201" i="4"/>
  <c r="I201" i="4" s="1"/>
  <c r="J1527" i="2" s="1"/>
  <c r="J1528" i="2" s="1"/>
  <c r="E219" i="4"/>
  <c r="I219" i="4" s="1"/>
  <c r="J1563" i="2" s="1"/>
  <c r="J1564" i="2" s="1"/>
  <c r="E220" i="4"/>
  <c r="I220" i="4" s="1"/>
  <c r="J1557" i="2" s="1"/>
  <c r="J1558" i="2" s="1"/>
  <c r="I1564" i="2"/>
  <c r="I1558" i="2"/>
  <c r="I626" i="2"/>
  <c r="I92" i="7"/>
  <c r="I93" i="7" s="1"/>
  <c r="I94" i="7" s="1"/>
  <c r="K1599" i="2"/>
  <c r="L359" i="2"/>
  <c r="J23" i="6"/>
  <c r="J24" i="6" s="1"/>
  <c r="I1594" i="2"/>
  <c r="E217" i="4"/>
  <c r="I217" i="4" s="1"/>
  <c r="J625" i="2" s="1"/>
  <c r="J92" i="7" s="1"/>
  <c r="J93" i="7" s="1"/>
  <c r="L195" i="2"/>
  <c r="E93" i="4"/>
  <c r="E221" i="4"/>
  <c r="I221" i="4" s="1"/>
  <c r="J1144" i="2" s="1"/>
  <c r="E216" i="4"/>
  <c r="I216" i="4" s="1"/>
  <c r="J1552" i="2" s="1"/>
  <c r="J1553" i="2" s="1"/>
  <c r="A74" i="4"/>
  <c r="E7" i="4"/>
  <c r="I1553" i="2"/>
  <c r="I293" i="2"/>
  <c r="E133" i="4"/>
  <c r="E129" i="4"/>
  <c r="E37" i="4"/>
  <c r="E203" i="4"/>
  <c r="I203" i="4" s="1"/>
  <c r="J980" i="2" s="1"/>
  <c r="J981" i="2" s="1"/>
  <c r="E192" i="4"/>
  <c r="E50" i="4"/>
  <c r="E214" i="4"/>
  <c r="I214" i="4" s="1"/>
  <c r="J1537" i="2" s="1"/>
  <c r="J1538" i="2" s="1"/>
  <c r="E215" i="4"/>
  <c r="I215" i="4" s="1"/>
  <c r="J1546" i="2" s="1"/>
  <c r="J1547" i="2" s="1"/>
  <c r="J243" i="6"/>
  <c r="I830" i="2"/>
  <c r="E211" i="4"/>
  <c r="I211" i="4" s="1"/>
  <c r="J1585" i="2" s="1"/>
  <c r="I1586" i="2"/>
  <c r="E212" i="4"/>
  <c r="I212" i="4" s="1"/>
  <c r="J1531" i="2" s="1"/>
  <c r="J1532" i="2" s="1"/>
  <c r="E236" i="4"/>
  <c r="E213" i="4"/>
  <c r="I213" i="4" s="1"/>
  <c r="J1510" i="2" s="1"/>
  <c r="J1511" i="2" s="1"/>
  <c r="E218" i="4"/>
  <c r="I218" i="4" s="1"/>
  <c r="J1541" i="2" s="1"/>
  <c r="J1542" i="2" s="1"/>
  <c r="E16" i="4"/>
  <c r="I1547" i="2"/>
  <c r="E147" i="4"/>
  <c r="I147" i="4" s="1"/>
  <c r="J1340" i="2" s="1"/>
  <c r="I1542" i="2"/>
  <c r="I1511" i="2"/>
  <c r="I1532" i="2"/>
  <c r="I1538" i="2"/>
  <c r="E207" i="4"/>
  <c r="I207" i="4" s="1"/>
  <c r="J1006" i="2" s="1"/>
  <c r="E208" i="4"/>
  <c r="I208" i="4" s="1"/>
  <c r="J974" i="2" s="1"/>
  <c r="E100" i="4"/>
  <c r="I488" i="2"/>
  <c r="I489" i="2" s="1"/>
  <c r="K314" i="2"/>
  <c r="E209" i="4"/>
  <c r="I209" i="4" s="1"/>
  <c r="I1590" i="2"/>
  <c r="E206" i="4"/>
  <c r="I206" i="4" s="1"/>
  <c r="J1581" i="2" s="1"/>
  <c r="J1582" i="2" s="1"/>
  <c r="I1582" i="2"/>
  <c r="E204" i="4"/>
  <c r="I204" i="4" s="1"/>
  <c r="J1576" i="2" s="1"/>
  <c r="J1577" i="2" s="1"/>
  <c r="E139" i="4"/>
  <c r="E22" i="4"/>
  <c r="E200" i="4"/>
  <c r="I200" i="4" s="1"/>
  <c r="J1521" i="2" s="1"/>
  <c r="M49" i="8"/>
  <c r="E171" i="4"/>
  <c r="I171" i="4" s="1"/>
  <c r="J1398" i="2" s="1"/>
  <c r="J1399" i="2" s="1"/>
  <c r="K341" i="2"/>
  <c r="I340" i="2"/>
  <c r="I341" i="2" s="1"/>
  <c r="K377" i="2"/>
  <c r="E228" i="4"/>
  <c r="E79" i="4"/>
  <c r="E205" i="4"/>
  <c r="I205" i="4" s="1"/>
  <c r="J1571" i="2" s="1"/>
  <c r="J1572" i="2" s="1"/>
  <c r="E82" i="4"/>
  <c r="I82" i="4" s="1"/>
  <c r="E202" i="4"/>
  <c r="I202" i="4" s="1"/>
  <c r="J986" i="2" s="1"/>
  <c r="E91" i="4"/>
  <c r="E85" i="4"/>
  <c r="I85" i="4" s="1"/>
  <c r="J863" i="2" s="1"/>
  <c r="E83" i="4"/>
  <c r="I83" i="4" s="1"/>
  <c r="J754" i="2" s="1"/>
  <c r="I1577" i="2"/>
  <c r="I1572" i="2"/>
  <c r="E135" i="4"/>
  <c r="E253" i="4"/>
  <c r="M16" i="6"/>
  <c r="L47" i="7"/>
  <c r="E210" i="4"/>
  <c r="I210" i="4" s="1"/>
  <c r="J1567" i="2" s="1"/>
  <c r="J1568" i="2" s="1"/>
  <c r="I981" i="2"/>
  <c r="I1568" i="2"/>
  <c r="I987" i="2"/>
  <c r="X5" i="2"/>
  <c r="X6" i="2"/>
  <c r="E198" i="4"/>
  <c r="I198" i="4" s="1"/>
  <c r="J1504" i="2" s="1"/>
  <c r="J1505" i="2" s="1"/>
  <c r="E197" i="4"/>
  <c r="I197" i="4" s="1"/>
  <c r="J1499" i="2" s="1"/>
  <c r="J1500" i="2" s="1"/>
  <c r="E196" i="4"/>
  <c r="I196" i="4" s="1"/>
  <c r="J1494" i="2" s="1"/>
  <c r="J1495" i="2" s="1"/>
  <c r="E199" i="4"/>
  <c r="I199" i="4" s="1"/>
  <c r="J1515" i="2" s="1"/>
  <c r="J1516" i="2" s="1"/>
  <c r="I1528" i="2"/>
  <c r="I1500" i="2"/>
  <c r="I1505" i="2"/>
  <c r="I1516" i="2"/>
  <c r="I1522" i="2"/>
  <c r="I1495" i="2"/>
  <c r="E138" i="4"/>
  <c r="E193" i="4"/>
  <c r="I193" i="4" s="1"/>
  <c r="J1489" i="2" s="1"/>
  <c r="J1490" i="2" s="1"/>
  <c r="L219" i="6"/>
  <c r="L53" i="6"/>
  <c r="M49" i="6"/>
  <c r="I1490" i="2"/>
  <c r="E48" i="4"/>
  <c r="E47" i="4"/>
  <c r="E151" i="4"/>
  <c r="I1113" i="2"/>
  <c r="J88" i="6"/>
  <c r="J89" i="6" s="1"/>
  <c r="M105" i="6"/>
  <c r="J108" i="6"/>
  <c r="J109" i="6" s="1"/>
  <c r="I1133" i="2"/>
  <c r="L109" i="6"/>
  <c r="L188" i="6"/>
  <c r="L69" i="6"/>
  <c r="W4" i="2"/>
  <c r="E24" i="4"/>
  <c r="E23" i="4"/>
  <c r="K40" i="7"/>
  <c r="E63" i="4"/>
  <c r="E195" i="4"/>
  <c r="I195" i="4" s="1"/>
  <c r="J1479" i="2" s="1"/>
  <c r="I1480" i="2"/>
  <c r="E194" i="4"/>
  <c r="E191" i="4"/>
  <c r="I191" i="4" s="1"/>
  <c r="J1271" i="2" s="1"/>
  <c r="L1271" i="2" s="1"/>
  <c r="M236" i="6" s="1"/>
  <c r="J236" i="6"/>
  <c r="J237" i="6" s="1"/>
  <c r="I1272" i="2"/>
  <c r="I1475" i="2"/>
  <c r="E189" i="4"/>
  <c r="I1469" i="2"/>
  <c r="L237" i="6"/>
  <c r="E134" i="4"/>
  <c r="M232" i="6"/>
  <c r="J167" i="6"/>
  <c r="J168" i="6" s="1"/>
  <c r="L168" i="6"/>
  <c r="E249" i="4"/>
  <c r="E250" i="4"/>
  <c r="J173" i="6"/>
  <c r="J174" i="6" s="1"/>
  <c r="I1330" i="2"/>
  <c r="I1912" i="2"/>
  <c r="I1909" i="2"/>
  <c r="E237" i="4"/>
  <c r="E127" i="4"/>
  <c r="E87" i="4"/>
  <c r="E65" i="4"/>
  <c r="E64" i="4"/>
  <c r="E67" i="4"/>
  <c r="E29" i="4"/>
  <c r="E106" i="4"/>
  <c r="L104" i="6"/>
  <c r="L174" i="6"/>
  <c r="L145" i="6"/>
  <c r="L243" i="6"/>
  <c r="L231" i="6"/>
  <c r="E76" i="4"/>
  <c r="L39" i="6"/>
  <c r="L47" i="6"/>
  <c r="K85" i="7"/>
  <c r="L201" i="6"/>
  <c r="K80" i="7"/>
  <c r="L74" i="7"/>
  <c r="L122" i="6"/>
  <c r="K67" i="7"/>
  <c r="L153" i="6"/>
  <c r="K60" i="7"/>
  <c r="K58" i="7"/>
  <c r="L24" i="6"/>
  <c r="K73" i="7"/>
  <c r="P160" i="2"/>
  <c r="N160" i="2"/>
  <c r="I1936" i="2"/>
  <c r="L1805" i="2"/>
  <c r="E44" i="4"/>
  <c r="E10" i="4"/>
  <c r="E252" i="4"/>
  <c r="I252" i="4" s="1"/>
  <c r="E188" i="4"/>
  <c r="M47" i="8"/>
  <c r="T92" i="15"/>
  <c r="T45" i="15"/>
  <c r="Q180" i="6"/>
  <c r="Q82" i="6"/>
  <c r="T104" i="15"/>
  <c r="I1691" i="2"/>
  <c r="I1773" i="2"/>
  <c r="I1851" i="2"/>
  <c r="I1766" i="2"/>
  <c r="I1882" i="2"/>
  <c r="I764" i="2"/>
  <c r="I1078" i="2"/>
  <c r="I1900" i="2"/>
  <c r="I1598" i="2"/>
  <c r="I1655" i="2"/>
  <c r="I1787" i="2"/>
  <c r="I882" i="2"/>
  <c r="I1279" i="2"/>
  <c r="I1040" i="2"/>
  <c r="I1607" i="2"/>
  <c r="I927" i="2"/>
  <c r="I941" i="2"/>
  <c r="I1918" i="2"/>
  <c r="I1845" i="2"/>
  <c r="I1106" i="2"/>
  <c r="I1023" i="2"/>
  <c r="I963" i="2"/>
  <c r="I1840" i="2"/>
  <c r="I969" i="2"/>
  <c r="N24" i="15"/>
  <c r="N25" i="15" s="1"/>
  <c r="I1361" i="2"/>
  <c r="I1150" i="2"/>
  <c r="I747" i="2"/>
  <c r="I696" i="2"/>
  <c r="I845" i="2"/>
  <c r="I1682" i="2"/>
  <c r="M60" i="6"/>
  <c r="I875" i="2"/>
  <c r="I1804" i="2"/>
  <c r="I1222" i="2"/>
  <c r="I1016" i="2"/>
  <c r="I1201" i="2"/>
  <c r="N38" i="15"/>
  <c r="N39" i="15" s="1"/>
  <c r="M81" i="6"/>
  <c r="M82" i="6" s="1"/>
  <c r="A76" i="6" s="1"/>
  <c r="I725" i="2"/>
  <c r="I1636" i="2"/>
  <c r="I1932" i="2"/>
  <c r="I678" i="2"/>
  <c r="I1209" i="2"/>
  <c r="I1048" i="2"/>
  <c r="N115" i="15"/>
  <c r="N116" i="15" s="1"/>
  <c r="T116" i="15"/>
  <c r="I1794" i="2"/>
  <c r="I1666" i="2"/>
  <c r="N44" i="15"/>
  <c r="N45" i="15" s="1"/>
  <c r="I782" i="2"/>
  <c r="N91" i="15"/>
  <c r="N92" i="15" s="1"/>
  <c r="N103" i="15"/>
  <c r="N104" i="15" s="1"/>
  <c r="M179" i="6"/>
  <c r="M180" i="6" s="1"/>
  <c r="A175" i="6" s="1"/>
  <c r="I1674" i="2"/>
  <c r="N67" i="15"/>
  <c r="N68" i="15" s="1"/>
  <c r="I660" i="2"/>
  <c r="X101" i="15"/>
  <c r="I1309" i="2"/>
  <c r="I1868" i="2"/>
  <c r="I836" i="2"/>
  <c r="I909" i="2"/>
  <c r="Q115" i="6"/>
  <c r="T25" i="15"/>
  <c r="I685" i="2"/>
  <c r="I1388" i="2"/>
  <c r="I1229" i="2"/>
  <c r="I1876" i="2"/>
  <c r="I1163" i="2"/>
  <c r="I853" i="2"/>
  <c r="I1290" i="2"/>
  <c r="I773" i="2"/>
  <c r="I1237" i="2"/>
  <c r="I1156" i="2"/>
  <c r="I899" i="2"/>
  <c r="I890" i="2"/>
  <c r="I1399" i="2"/>
  <c r="I1260" i="2"/>
  <c r="I650" i="2"/>
  <c r="I1906" i="2"/>
  <c r="M39" i="8"/>
  <c r="I637" i="2"/>
  <c r="E190" i="4"/>
  <c r="I190" i="4" s="1"/>
  <c r="J1468" i="2" s="1"/>
  <c r="E104" i="4"/>
  <c r="I702" i="2"/>
  <c r="I708" i="2"/>
  <c r="E36" i="4"/>
  <c r="E11" i="4"/>
  <c r="E9" i="4"/>
  <c r="E107" i="4"/>
  <c r="E74" i="4"/>
  <c r="I74" i="4" s="1"/>
  <c r="J695" i="2" s="1"/>
  <c r="I1128" i="2"/>
  <c r="E12" i="4"/>
  <c r="E42" i="4"/>
  <c r="E30" i="4"/>
  <c r="E244" i="4"/>
  <c r="E232" i="4"/>
  <c r="I232" i="4" s="1"/>
  <c r="J1606" i="2" s="1"/>
  <c r="L1606" i="2" s="1"/>
  <c r="L1607" i="2" s="1"/>
  <c r="E130" i="4"/>
  <c r="I130" i="4" s="1"/>
  <c r="J1294" i="2" s="1"/>
  <c r="L1294" i="2" s="1"/>
  <c r="L1295" i="2" s="1"/>
  <c r="E120" i="4"/>
  <c r="E102" i="4"/>
  <c r="I102" i="4" s="1"/>
  <c r="J1097" i="2" s="1"/>
  <c r="E34" i="4"/>
  <c r="E17" i="4"/>
  <c r="F17" i="4" s="1"/>
  <c r="E231" i="4"/>
  <c r="E155" i="4"/>
  <c r="I155" i="4" s="1"/>
  <c r="J968" i="2" s="1"/>
  <c r="L968" i="2" s="1"/>
  <c r="L969" i="2" s="1"/>
  <c r="E113" i="4"/>
  <c r="E243" i="4"/>
  <c r="E238" i="4"/>
  <c r="E227" i="4"/>
  <c r="I227" i="4" s="1"/>
  <c r="E154" i="4"/>
  <c r="E110" i="4"/>
  <c r="E96" i="4"/>
  <c r="I96" i="4" s="1"/>
  <c r="J962" i="2" s="1"/>
  <c r="E15" i="4"/>
  <c r="E73" i="4"/>
  <c r="E57" i="4"/>
  <c r="F57" i="4" s="1"/>
  <c r="E226" i="4"/>
  <c r="E146" i="4"/>
  <c r="E126" i="4"/>
  <c r="E109" i="4"/>
  <c r="E94" i="4"/>
  <c r="E43" i="4"/>
  <c r="E92" i="4"/>
  <c r="E25" i="4"/>
  <c r="E224" i="4"/>
  <c r="E125" i="4"/>
  <c r="E108" i="4"/>
  <c r="E81" i="4"/>
  <c r="I81" i="4" s="1"/>
  <c r="J677" i="2" s="1"/>
  <c r="L677" i="2" s="1"/>
  <c r="L678" i="2" s="1"/>
  <c r="E26" i="4"/>
  <c r="E8" i="4"/>
  <c r="E123" i="4"/>
  <c r="E80" i="4"/>
  <c r="E235" i="4"/>
  <c r="E41" i="4"/>
  <c r="E254" i="4"/>
  <c r="I254" i="4" s="1"/>
  <c r="J1859" i="2" s="1"/>
  <c r="L1859" i="2" s="1"/>
  <c r="L1860" i="2" s="1"/>
  <c r="E234" i="4"/>
  <c r="E185" i="4"/>
  <c r="E136" i="4"/>
  <c r="E122" i="4"/>
  <c r="E105" i="4"/>
  <c r="E55" i="4"/>
  <c r="F55" i="4" s="1"/>
  <c r="E88" i="4"/>
  <c r="E53" i="4"/>
  <c r="F53" i="4" s="1"/>
  <c r="E20" i="4"/>
  <c r="F20" i="4" s="1"/>
  <c r="E31" i="4"/>
  <c r="E246" i="4"/>
  <c r="E233" i="4"/>
  <c r="E163" i="4"/>
  <c r="I163" i="4" s="1"/>
  <c r="J1360" i="2" s="1"/>
  <c r="L1360" i="2" s="1"/>
  <c r="L1361" i="2" s="1"/>
  <c r="E121" i="4"/>
  <c r="E78" i="4"/>
  <c r="I78" i="4" s="1"/>
  <c r="J636" i="2" s="1"/>
  <c r="L636" i="2" s="1"/>
  <c r="L637" i="2" s="1"/>
  <c r="E128" i="4"/>
  <c r="E21" i="4"/>
  <c r="E118" i="4"/>
  <c r="E241" i="4"/>
  <c r="E112" i="4"/>
  <c r="E132" i="4"/>
  <c r="E239" i="4"/>
  <c r="I239" i="4" s="1"/>
  <c r="J1786" i="2" s="1"/>
  <c r="L1786" i="2" s="1"/>
  <c r="L1787" i="2" s="1"/>
  <c r="E187" i="4"/>
  <c r="I820" i="2"/>
  <c r="E247" i="4"/>
  <c r="E95" i="4"/>
  <c r="I95" i="4" s="1"/>
  <c r="E144" i="4"/>
  <c r="E158" i="4"/>
  <c r="I158" i="4" s="1"/>
  <c r="E170" i="4"/>
  <c r="I170" i="4" s="1"/>
  <c r="E182" i="4"/>
  <c r="E51" i="4"/>
  <c r="F51" i="4" s="1"/>
  <c r="E248" i="4"/>
  <c r="E145" i="4"/>
  <c r="E159" i="4"/>
  <c r="E183" i="4"/>
  <c r="I183" i="4" s="1"/>
  <c r="J1459" i="2" s="1"/>
  <c r="L1459" i="2" s="1"/>
  <c r="E38" i="4"/>
  <c r="E148" i="4"/>
  <c r="I148" i="4" s="1"/>
  <c r="J1187" i="2" s="1"/>
  <c r="L1187" i="2" s="1"/>
  <c r="E225" i="4"/>
  <c r="E84" i="4"/>
  <c r="I84" i="4" s="1"/>
  <c r="J860" i="2" s="1"/>
  <c r="E97" i="4"/>
  <c r="E160" i="4"/>
  <c r="I160" i="4" s="1"/>
  <c r="J1315" i="2" s="1"/>
  <c r="E172" i="4"/>
  <c r="I172" i="4" s="1"/>
  <c r="J1406" i="2" s="1"/>
  <c r="L1406" i="2" s="1"/>
  <c r="E98" i="4"/>
  <c r="I98" i="4" s="1"/>
  <c r="L729" i="2" s="1"/>
  <c r="E111" i="4"/>
  <c r="I111" i="4" s="1"/>
  <c r="J1597" i="2" s="1"/>
  <c r="L1597" i="2" s="1"/>
  <c r="L1598" i="2" s="1"/>
  <c r="A1595" i="2" s="1"/>
  <c r="E161" i="4"/>
  <c r="I161" i="4" s="1"/>
  <c r="E173" i="4"/>
  <c r="E39" i="4"/>
  <c r="E52" i="4"/>
  <c r="E72" i="4"/>
  <c r="I72" i="4" s="1"/>
  <c r="E99" i="4"/>
  <c r="I99" i="4" s="1"/>
  <c r="L734" i="2" s="1"/>
  <c r="E240" i="4"/>
  <c r="E137" i="4"/>
  <c r="E149" i="4"/>
  <c r="E175" i="4"/>
  <c r="E27" i="4"/>
  <c r="F27" i="4" s="1"/>
  <c r="E54" i="4"/>
  <c r="E124" i="4"/>
  <c r="I124" i="4" s="1"/>
  <c r="E229" i="4"/>
  <c r="I229" i="4" s="1"/>
  <c r="E89" i="4"/>
  <c r="E101" i="4"/>
  <c r="I101" i="4" s="1"/>
  <c r="E114" i="4"/>
  <c r="E150" i="4"/>
  <c r="I150" i="4" s="1"/>
  <c r="J801" i="2" s="1"/>
  <c r="E164" i="4"/>
  <c r="I164" i="4" s="1"/>
  <c r="J1352" i="2" s="1"/>
  <c r="L1352" i="2" s="1"/>
  <c r="E176" i="4"/>
  <c r="I176" i="4" s="1"/>
  <c r="J1463" i="2" s="1"/>
  <c r="L1463" i="2" s="1"/>
  <c r="E28" i="4"/>
  <c r="F28" i="4" s="1"/>
  <c r="E59" i="4"/>
  <c r="F59" i="4" s="1"/>
  <c r="E18" i="4"/>
  <c r="E40" i="4"/>
  <c r="E230" i="4"/>
  <c r="I230" i="4" s="1"/>
  <c r="J1681" i="2" s="1"/>
  <c r="L1681" i="2" s="1"/>
  <c r="E242" i="4"/>
  <c r="E75" i="4"/>
  <c r="E90" i="4"/>
  <c r="I90" i="4" s="1"/>
  <c r="J1033" i="2" s="1"/>
  <c r="L1033" i="2" s="1"/>
  <c r="E115" i="4"/>
  <c r="E152" i="4"/>
  <c r="E165" i="4"/>
  <c r="I165" i="4" s="1"/>
  <c r="J1366" i="2" s="1"/>
  <c r="L1366" i="2" s="1"/>
  <c r="E177" i="4"/>
  <c r="E71" i="4"/>
  <c r="E13" i="4"/>
  <c r="F13" i="4" s="1"/>
  <c r="E56" i="4"/>
  <c r="F56" i="4" s="1"/>
  <c r="E169" i="4"/>
  <c r="E62" i="4"/>
  <c r="E184" i="4"/>
  <c r="E162" i="4"/>
  <c r="E103" i="4"/>
  <c r="E116" i="4"/>
  <c r="E140" i="4"/>
  <c r="I140" i="4" s="1"/>
  <c r="E166" i="4"/>
  <c r="E178" i="4"/>
  <c r="E14" i="4"/>
  <c r="F14" i="4" s="1"/>
  <c r="E45" i="4"/>
  <c r="E49" i="4"/>
  <c r="E117" i="4"/>
  <c r="E167" i="4"/>
  <c r="I167" i="4" s="1"/>
  <c r="J1381" i="2" s="1"/>
  <c r="E179" i="4"/>
  <c r="E33" i="4"/>
  <c r="E46" i="4"/>
  <c r="E60" i="4"/>
  <c r="E35" i="4"/>
  <c r="E245" i="4"/>
  <c r="E142" i="4"/>
  <c r="E156" i="4"/>
  <c r="E168" i="4"/>
  <c r="E180" i="4"/>
  <c r="E61" i="4"/>
  <c r="E181" i="4"/>
  <c r="I181" i="4" s="1"/>
  <c r="E186" i="4"/>
  <c r="I186" i="4" s="1"/>
  <c r="J1455" i="2" s="1"/>
  <c r="R111" i="15" s="1"/>
  <c r="R112" i="15" s="1"/>
  <c r="E119" i="4"/>
  <c r="E131" i="4"/>
  <c r="E143" i="4"/>
  <c r="E157" i="4"/>
  <c r="E19" i="4"/>
  <c r="E174" i="4"/>
  <c r="I1120" i="2"/>
  <c r="Q96" i="6"/>
  <c r="I825" i="2"/>
  <c r="I814" i="2"/>
  <c r="T112" i="15"/>
  <c r="X109" i="15"/>
  <c r="N111" i="15"/>
  <c r="I1456" i="2"/>
  <c r="N107" i="15"/>
  <c r="I1452" i="2"/>
  <c r="T108" i="15"/>
  <c r="X106" i="15"/>
  <c r="I1448" i="2"/>
  <c r="N95" i="15"/>
  <c r="I1440" i="2"/>
  <c r="T100" i="15"/>
  <c r="X97" i="15"/>
  <c r="N99" i="15"/>
  <c r="I1444" i="2"/>
  <c r="X93" i="15"/>
  <c r="T96" i="15"/>
  <c r="T19" i="15"/>
  <c r="I1436" i="2"/>
  <c r="M48" i="8"/>
  <c r="M46" i="8"/>
  <c r="I1460" i="2"/>
  <c r="I1432" i="2"/>
  <c r="T88" i="15"/>
  <c r="X86" i="15"/>
  <c r="I1421" i="2"/>
  <c r="T84" i="15"/>
  <c r="X81" i="15"/>
  <c r="T80" i="15"/>
  <c r="X77" i="15"/>
  <c r="N79" i="15"/>
  <c r="I1415" i="2"/>
  <c r="N120" i="15"/>
  <c r="I1464" i="2"/>
  <c r="Q32" i="6"/>
  <c r="M32" i="6"/>
  <c r="A25" i="6" s="1"/>
  <c r="I796" i="2"/>
  <c r="Q194" i="6"/>
  <c r="I1215" i="2"/>
  <c r="M193" i="6"/>
  <c r="M194" i="6" s="1"/>
  <c r="A189" i="6" s="1"/>
  <c r="Q213" i="6"/>
  <c r="M213" i="6"/>
  <c r="A208" i="6" s="1"/>
  <c r="I802" i="2"/>
  <c r="N75" i="15"/>
  <c r="I1411" i="2"/>
  <c r="X73" i="15"/>
  <c r="T76" i="15"/>
  <c r="I808" i="2"/>
  <c r="I2" i="8"/>
  <c r="K2" i="8" s="1"/>
  <c r="N71" i="15"/>
  <c r="I1407" i="2"/>
  <c r="T72" i="15"/>
  <c r="X70" i="15"/>
  <c r="T68" i="15"/>
  <c r="I1403" i="2"/>
  <c r="A228" i="4"/>
  <c r="I1069" i="2"/>
  <c r="Q60" i="6"/>
  <c r="N19" i="15"/>
  <c r="I788" i="2"/>
  <c r="M225" i="6"/>
  <c r="A220" i="6" s="1"/>
  <c r="Q225" i="6"/>
  <c r="O58" i="7"/>
  <c r="I1000" i="2"/>
  <c r="X59" i="15"/>
  <c r="T64" i="15"/>
  <c r="N63" i="15"/>
  <c r="I1394" i="2"/>
  <c r="T33" i="15"/>
  <c r="I1341" i="2"/>
  <c r="I1353" i="2"/>
  <c r="I1091" i="2"/>
  <c r="M114" i="6"/>
  <c r="M115" i="6" s="1"/>
  <c r="N57" i="15"/>
  <c r="N58" i="15" s="1"/>
  <c r="I1249" i="2"/>
  <c r="I1062" i="2"/>
  <c r="I1367" i="2"/>
  <c r="I1300" i="2"/>
  <c r="I1373" i="2"/>
  <c r="I1139" i="2"/>
  <c r="T52" i="15"/>
  <c r="T125" i="15"/>
  <c r="T39" i="15"/>
  <c r="T58" i="15"/>
  <c r="I719" i="2"/>
  <c r="Q161" i="6"/>
  <c r="M159" i="6"/>
  <c r="M161" i="6" s="1"/>
  <c r="A154" i="6" s="1"/>
  <c r="I993" i="2"/>
  <c r="I1056" i="2"/>
  <c r="I1195" i="2"/>
  <c r="N33" i="15"/>
  <c r="I1382" i="2"/>
  <c r="I1098" i="2"/>
  <c r="M43" i="8"/>
  <c r="M50" i="8"/>
  <c r="M45" i="8"/>
  <c r="M44" i="8"/>
  <c r="M38" i="8"/>
  <c r="M34" i="8"/>
  <c r="M37" i="8"/>
  <c r="M33" i="8"/>
  <c r="M31" i="8"/>
  <c r="M42" i="8"/>
  <c r="M41" i="8"/>
  <c r="M36" i="8"/>
  <c r="M35" i="8"/>
  <c r="M32" i="8"/>
  <c r="M30" i="8"/>
  <c r="I77" i="4"/>
  <c r="N52" i="15"/>
  <c r="A9" i="4" l="1"/>
  <c r="A10" i="4" s="1"/>
  <c r="A11" i="4" s="1"/>
  <c r="F68" i="4"/>
  <c r="I68" i="4" s="1"/>
  <c r="J567" i="2" s="1"/>
  <c r="L567" i="2" s="1"/>
  <c r="L568" i="2" s="1"/>
  <c r="J68" i="4"/>
  <c r="E255" i="4"/>
  <c r="I255" i="4" s="1"/>
  <c r="J1912" i="2"/>
  <c r="J1939" i="2"/>
  <c r="A229" i="4"/>
  <c r="A230" i="4" s="1"/>
  <c r="A231" i="4" s="1"/>
  <c r="E6" i="4"/>
  <c r="E69" i="4" s="1"/>
  <c r="J1654" i="2"/>
  <c r="L1557" i="2"/>
  <c r="L1558" i="2" s="1"/>
  <c r="P1558" i="2" s="1"/>
  <c r="L1563" i="2"/>
  <c r="L1564" i="2" s="1"/>
  <c r="P1564" i="2" s="1"/>
  <c r="I1599" i="2"/>
  <c r="A75" i="4"/>
  <c r="L196" i="2"/>
  <c r="E222" i="4"/>
  <c r="I222" i="4" s="1"/>
  <c r="L746" i="2"/>
  <c r="L747" i="2" s="1"/>
  <c r="L1552" i="2"/>
  <c r="L1553" i="2" s="1"/>
  <c r="N1553" i="2" s="1"/>
  <c r="A76" i="4"/>
  <c r="J66" i="4"/>
  <c r="F66" i="4"/>
  <c r="I66" i="4" s="1"/>
  <c r="J292" i="2" s="1"/>
  <c r="I378" i="2"/>
  <c r="K378" i="2"/>
  <c r="L1546" i="2"/>
  <c r="L1547" i="2" s="1"/>
  <c r="L1537" i="2"/>
  <c r="L1538" i="2" s="1"/>
  <c r="P1538" i="2" s="1"/>
  <c r="L248" i="6"/>
  <c r="J248" i="6"/>
  <c r="J1586" i="2"/>
  <c r="K246" i="6"/>
  <c r="K247" i="6" s="1"/>
  <c r="A54" i="6"/>
  <c r="L1585" i="2"/>
  <c r="L1531" i="2"/>
  <c r="L1532" i="2" s="1"/>
  <c r="P1532" i="2" s="1"/>
  <c r="L695" i="2"/>
  <c r="L696" i="2" s="1"/>
  <c r="L1510" i="2"/>
  <c r="L1511" i="2" s="1"/>
  <c r="P1511" i="2" s="1"/>
  <c r="L1541" i="2"/>
  <c r="L1542" i="2" s="1"/>
  <c r="P1542" i="2" s="1"/>
  <c r="J1590" i="2"/>
  <c r="L1581" i="2"/>
  <c r="L1582" i="2" s="1"/>
  <c r="P1582" i="2" s="1"/>
  <c r="L1576" i="2"/>
  <c r="L1577" i="2" s="1"/>
  <c r="P1577" i="2" s="1"/>
  <c r="J1522" i="2"/>
  <c r="L1571" i="2"/>
  <c r="L1572" i="2" s="1"/>
  <c r="N1572" i="2" s="1"/>
  <c r="I253" i="4"/>
  <c r="J1954" i="2" s="1"/>
  <c r="L980" i="2"/>
  <c r="L981" i="2" s="1"/>
  <c r="P981" i="2" s="1"/>
  <c r="L1567" i="2"/>
  <c r="L1568" i="2" s="1"/>
  <c r="L1381" i="2"/>
  <c r="L1382" i="2" s="1"/>
  <c r="J1346" i="2"/>
  <c r="L1346" i="2" s="1"/>
  <c r="L1521" i="2"/>
  <c r="L1522" i="2" s="1"/>
  <c r="N1522" i="2" s="1"/>
  <c r="L1494" i="2"/>
  <c r="L1495" i="2" s="1"/>
  <c r="N1495" i="2" s="1"/>
  <c r="L1504" i="2"/>
  <c r="L1505" i="2" s="1"/>
  <c r="P1505" i="2" s="1"/>
  <c r="L1499" i="2"/>
  <c r="L1500" i="2" s="1"/>
  <c r="N1500" i="2" s="1"/>
  <c r="L1527" i="2"/>
  <c r="L1528" i="2" s="1"/>
  <c r="P1528" i="2" s="1"/>
  <c r="L1315" i="2"/>
  <c r="L1316" i="2" s="1"/>
  <c r="L1240" i="2"/>
  <c r="L1241" i="2" s="1"/>
  <c r="L1515" i="2"/>
  <c r="L1516" i="2" s="1"/>
  <c r="P1516" i="2" s="1"/>
  <c r="L1489" i="2"/>
  <c r="L1490" i="2" s="1"/>
  <c r="N1490" i="2" s="1"/>
  <c r="L801" i="2"/>
  <c r="L802" i="2" s="1"/>
  <c r="I151" i="4"/>
  <c r="J807" i="2" s="1"/>
  <c r="J1265" i="2"/>
  <c r="L1265" i="2" s="1"/>
  <c r="A110" i="6"/>
  <c r="J38" i="7"/>
  <c r="L754" i="2"/>
  <c r="L38" i="7" s="1"/>
  <c r="W5" i="2"/>
  <c r="W6" i="2"/>
  <c r="J1480" i="2"/>
  <c r="L1479" i="2"/>
  <c r="L1480" i="2" s="1"/>
  <c r="N1480" i="2" s="1"/>
  <c r="I194" i="4"/>
  <c r="J1474" i="2" s="1"/>
  <c r="L1272" i="2"/>
  <c r="P1272" i="2" s="1"/>
  <c r="Q237" i="6" s="1"/>
  <c r="M237" i="6"/>
  <c r="K236" i="6"/>
  <c r="K237" i="6" s="1"/>
  <c r="J1272" i="2"/>
  <c r="I189" i="4"/>
  <c r="J1426" i="2"/>
  <c r="L1426" i="2" s="1"/>
  <c r="L1427" i="2" s="1"/>
  <c r="L1468" i="2"/>
  <c r="L1911" i="2"/>
  <c r="L1912" i="2" s="1"/>
  <c r="I250" i="4"/>
  <c r="J1908" i="2" s="1"/>
  <c r="I249" i="4"/>
  <c r="J1905" i="2" s="1"/>
  <c r="L1905" i="2" s="1"/>
  <c r="L1906" i="2" s="1"/>
  <c r="J67" i="4"/>
  <c r="F67" i="4"/>
  <c r="I67" i="4" s="1"/>
  <c r="J563" i="2" s="1"/>
  <c r="L563" i="2" s="1"/>
  <c r="F64" i="4"/>
  <c r="I64" i="4" s="1"/>
  <c r="J559" i="2" s="1"/>
  <c r="L559" i="2" s="1"/>
  <c r="J64" i="4"/>
  <c r="F65" i="4"/>
  <c r="I65" i="4" s="1"/>
  <c r="J65" i="4"/>
  <c r="F63" i="4"/>
  <c r="I63" i="4" s="1"/>
  <c r="J299" i="2" s="1"/>
  <c r="J37" i="7"/>
  <c r="L753" i="2"/>
  <c r="L37" i="7" s="1"/>
  <c r="L701" i="2"/>
  <c r="L702" i="2" s="1"/>
  <c r="J43" i="7"/>
  <c r="J621" i="2"/>
  <c r="L621" i="2" s="1"/>
  <c r="K94" i="7"/>
  <c r="L1097" i="2"/>
  <c r="J79" i="7"/>
  <c r="J80" i="7" s="1"/>
  <c r="L1340" i="2"/>
  <c r="K200" i="6"/>
  <c r="K201" i="6" s="1"/>
  <c r="L962" i="2"/>
  <c r="J66" i="7"/>
  <c r="J67" i="7" s="1"/>
  <c r="L860" i="2"/>
  <c r="J861" i="2"/>
  <c r="L861" i="2" s="1"/>
  <c r="L752" i="2"/>
  <c r="J36" i="7"/>
  <c r="L1806" i="2"/>
  <c r="L1398" i="2"/>
  <c r="L1399" i="2" s="1"/>
  <c r="N1399" i="2" s="1"/>
  <c r="L1455" i="2"/>
  <c r="L864" i="2"/>
  <c r="L43" i="7" s="1"/>
  <c r="J10" i="4"/>
  <c r="F10" i="4"/>
  <c r="I10" i="4" s="1"/>
  <c r="J96" i="2" s="1"/>
  <c r="L96" i="2" s="1"/>
  <c r="L97" i="2" s="1"/>
  <c r="I185" i="4"/>
  <c r="J662" i="2" s="1"/>
  <c r="J708" i="2"/>
  <c r="L708" i="2" s="1"/>
  <c r="N708" i="2" s="1"/>
  <c r="J1105" i="2"/>
  <c r="L1105" i="2" s="1"/>
  <c r="L1106" i="2" s="1"/>
  <c r="N1106" i="2" s="1"/>
  <c r="I132" i="4"/>
  <c r="J1077" i="2" s="1"/>
  <c r="F26" i="4"/>
  <c r="I26" i="4" s="1"/>
  <c r="J245" i="2" s="1"/>
  <c r="L245" i="2" s="1"/>
  <c r="L246" i="2" s="1"/>
  <c r="J1665" i="2"/>
  <c r="L1665" i="2" s="1"/>
  <c r="L1666" i="2" s="1"/>
  <c r="I144" i="4"/>
  <c r="I109" i="4"/>
  <c r="J763" i="2" s="1"/>
  <c r="L763" i="2" s="1"/>
  <c r="L764" i="2" s="1"/>
  <c r="I133" i="4"/>
  <c r="J1127" i="2" s="1"/>
  <c r="F11" i="4"/>
  <c r="I11" i="4" s="1"/>
  <c r="I242" i="4"/>
  <c r="J1793" i="2" s="1"/>
  <c r="L1793" i="2" s="1"/>
  <c r="L1794" i="2" s="1"/>
  <c r="I97" i="4"/>
  <c r="L737" i="2" s="1"/>
  <c r="F22" i="4"/>
  <c r="I22" i="4" s="1"/>
  <c r="J223" i="2" s="1"/>
  <c r="I114" i="4"/>
  <c r="J1194" i="2" s="1"/>
  <c r="I88" i="4"/>
  <c r="J1047" i="2" s="1"/>
  <c r="L1047" i="2" s="1"/>
  <c r="I162" i="4"/>
  <c r="J1333" i="2" s="1"/>
  <c r="L1333" i="2" s="1"/>
  <c r="I225" i="4"/>
  <c r="J1935" i="2" s="1"/>
  <c r="I128" i="4"/>
  <c r="J1236" i="2" s="1"/>
  <c r="L1236" i="2" s="1"/>
  <c r="L1237" i="2" s="1"/>
  <c r="F39" i="4"/>
  <c r="I39" i="4" s="1"/>
  <c r="J390" i="2" s="1"/>
  <c r="I137" i="4"/>
  <c r="F9" i="4"/>
  <c r="I9" i="4" s="1"/>
  <c r="I152" i="4"/>
  <c r="F18" i="4"/>
  <c r="I18" i="4" s="1"/>
  <c r="J122" i="2" s="1"/>
  <c r="L122" i="2" s="1"/>
  <c r="I139" i="4"/>
  <c r="J1061" i="2" s="1"/>
  <c r="I240" i="4"/>
  <c r="J1765" i="2" s="1"/>
  <c r="I173" i="4"/>
  <c r="J1402" i="2" s="1"/>
  <c r="L1402" i="2" s="1"/>
  <c r="I235" i="4"/>
  <c r="J1875" i="2" s="1"/>
  <c r="L1875" i="2" s="1"/>
  <c r="L1876" i="2" s="1"/>
  <c r="F29" i="4"/>
  <c r="I29" i="4" s="1"/>
  <c r="J259" i="2" s="1"/>
  <c r="L259" i="2" s="1"/>
  <c r="L263" i="2" s="1"/>
  <c r="F36" i="4"/>
  <c r="I36" i="4" s="1"/>
  <c r="J340" i="2" s="1"/>
  <c r="L340" i="2" s="1"/>
  <c r="L341" i="2" s="1"/>
  <c r="I110" i="4"/>
  <c r="J1259" i="2" s="1"/>
  <c r="L1259" i="2" s="1"/>
  <c r="I117" i="4"/>
  <c r="J1200" i="2" s="1"/>
  <c r="I177" i="4"/>
  <c r="J1420" i="2" s="1"/>
  <c r="L1420" i="2" s="1"/>
  <c r="L1421" i="2" s="1"/>
  <c r="I238" i="4"/>
  <c r="J1733" i="2" s="1"/>
  <c r="L1733" i="2" s="1"/>
  <c r="L1734" i="2" s="1"/>
  <c r="I131" i="4"/>
  <c r="J1068" i="2" s="1"/>
  <c r="L1068" i="2" s="1"/>
  <c r="F25" i="4"/>
  <c r="I25" i="4" s="1"/>
  <c r="F44" i="4"/>
  <c r="I44" i="4" s="1"/>
  <c r="J453" i="2" s="1"/>
  <c r="L453" i="2" s="1"/>
  <c r="L454" i="2" s="1"/>
  <c r="I87" i="4"/>
  <c r="F32" i="4"/>
  <c r="I32" i="4" s="1"/>
  <c r="J285" i="2" s="1"/>
  <c r="L285" i="2" s="1"/>
  <c r="L286" i="2" s="1"/>
  <c r="F34" i="4"/>
  <c r="I34" i="4" s="1"/>
  <c r="J313" i="2" s="1"/>
  <c r="L313" i="2" s="1"/>
  <c r="L314" i="2" s="1"/>
  <c r="F54" i="4"/>
  <c r="I54" i="4" s="1"/>
  <c r="J576" i="2" s="1"/>
  <c r="L576" i="2" s="1"/>
  <c r="F12" i="4"/>
  <c r="I12" i="4" s="1"/>
  <c r="J109" i="2" s="1"/>
  <c r="L109" i="2" s="1"/>
  <c r="L111" i="2" s="1"/>
  <c r="I91" i="4"/>
  <c r="J1039" i="2" s="1"/>
  <c r="F24" i="4"/>
  <c r="I24" i="4" s="1"/>
  <c r="J217" i="2" s="1"/>
  <c r="I80" i="4"/>
  <c r="J684" i="2" s="1"/>
  <c r="L684" i="2" s="1"/>
  <c r="L685" i="2" s="1"/>
  <c r="F46" i="4"/>
  <c r="I46" i="4" s="1"/>
  <c r="I179" i="4"/>
  <c r="J1439" i="2" s="1"/>
  <c r="L1439" i="2" s="1"/>
  <c r="I79" i="4"/>
  <c r="J659" i="2" s="1"/>
  <c r="L659" i="2" s="1"/>
  <c r="L660" i="2" s="1"/>
  <c r="I112" i="4"/>
  <c r="J1485" i="2" s="1"/>
  <c r="L1485" i="2" s="1"/>
  <c r="L1486" i="2" s="1"/>
  <c r="I184" i="4"/>
  <c r="J1393" i="2" s="1"/>
  <c r="L1393" i="2" s="1"/>
  <c r="I168" i="4"/>
  <c r="J1387" i="2" s="1"/>
  <c r="L1387" i="2" s="1"/>
  <c r="I187" i="4"/>
  <c r="J1119" i="2" s="1"/>
  <c r="K95" i="6" s="1"/>
  <c r="K96" i="6" s="1"/>
  <c r="F38" i="4"/>
  <c r="I38" i="4" s="1"/>
  <c r="J327" i="2" s="1"/>
  <c r="L327" i="2" s="1"/>
  <c r="I89" i="4"/>
  <c r="J1028" i="2" s="1"/>
  <c r="F50" i="4"/>
  <c r="I50" i="4" s="1"/>
  <c r="J556" i="2" s="1"/>
  <c r="L556" i="2" s="1"/>
  <c r="L557" i="2" s="1"/>
  <c r="I127" i="4"/>
  <c r="J908" i="2" s="1"/>
  <c r="L908" i="2" s="1"/>
  <c r="L909" i="2" s="1"/>
  <c r="F41" i="4"/>
  <c r="I41" i="4" s="1"/>
  <c r="J422" i="2" s="1"/>
  <c r="L422" i="2" s="1"/>
  <c r="F48" i="4"/>
  <c r="I48" i="4" s="1"/>
  <c r="J508" i="2" s="1"/>
  <c r="I141" i="4"/>
  <c r="J781" i="2" s="1"/>
  <c r="I107" i="4"/>
  <c r="J1022" i="2" s="1"/>
  <c r="L1022" i="2" s="1"/>
  <c r="L1023" i="2" s="1"/>
  <c r="I115" i="4"/>
  <c r="O114" i="6" s="1"/>
  <c r="I129" i="4"/>
  <c r="J772" i="2" s="1"/>
  <c r="L772" i="2" s="1"/>
  <c r="L773" i="2" s="1"/>
  <c r="I248" i="4"/>
  <c r="J1844" i="2" s="1"/>
  <c r="L1844" i="2" s="1"/>
  <c r="L1845" i="2" s="1"/>
  <c r="I166" i="4"/>
  <c r="J1372" i="2" s="1"/>
  <c r="L1372" i="2" s="1"/>
  <c r="I175" i="4"/>
  <c r="J1414" i="2" s="1"/>
  <c r="L1414" i="2" s="1"/>
  <c r="I105" i="4"/>
  <c r="J888" i="2" s="1"/>
  <c r="L888" i="2" s="1"/>
  <c r="I154" i="4"/>
  <c r="J1308" i="2" s="1"/>
  <c r="L1308" i="2" s="1"/>
  <c r="L1309" i="2" s="1"/>
  <c r="I245" i="4"/>
  <c r="J1850" i="2" s="1"/>
  <c r="L1850" i="2" s="1"/>
  <c r="L1851" i="2" s="1"/>
  <c r="I146" i="4"/>
  <c r="J1090" i="2" s="1"/>
  <c r="L1090" i="2" s="1"/>
  <c r="I188" i="4"/>
  <c r="J819" i="2" s="1"/>
  <c r="I145" i="4"/>
  <c r="O74" i="6" s="1"/>
  <c r="F23" i="4"/>
  <c r="I23" i="4" s="1"/>
  <c r="J201" i="2" s="1"/>
  <c r="I143" i="4"/>
  <c r="F7" i="4"/>
  <c r="I7" i="4" s="1"/>
  <c r="I182" i="4"/>
  <c r="J1447" i="2" s="1"/>
  <c r="L1447" i="2" s="1"/>
  <c r="F15" i="4"/>
  <c r="I15" i="4" s="1"/>
  <c r="J134" i="2" s="1"/>
  <c r="L134" i="2" s="1"/>
  <c r="L135" i="2" s="1"/>
  <c r="F19" i="4"/>
  <c r="I19" i="4" s="1"/>
  <c r="I92" i="4"/>
  <c r="J940" i="2" s="1"/>
  <c r="L940" i="2" s="1"/>
  <c r="L941" i="2" s="1"/>
  <c r="I135" i="4"/>
  <c r="J649" i="2" s="1"/>
  <c r="I241" i="4"/>
  <c r="J1772" i="2" s="1"/>
  <c r="L1772" i="2" s="1"/>
  <c r="L1773" i="2" s="1"/>
  <c r="I169" i="4"/>
  <c r="I236" i="4"/>
  <c r="J1712" i="2" s="1"/>
  <c r="L1712" i="2" s="1"/>
  <c r="L1713" i="2" s="1"/>
  <c r="I142" i="4"/>
  <c r="J1278" i="2" s="1"/>
  <c r="L1278" i="2" s="1"/>
  <c r="I233" i="4"/>
  <c r="J1624" i="2" s="1"/>
  <c r="L1624" i="2" s="1"/>
  <c r="L1625" i="2" s="1"/>
  <c r="F42" i="4"/>
  <c r="I42" i="4" s="1"/>
  <c r="J438" i="2" s="1"/>
  <c r="L438" i="2" s="1"/>
  <c r="L439" i="2" s="1"/>
  <c r="I246" i="4"/>
  <c r="J1839" i="2" s="1"/>
  <c r="L1839" i="2" s="1"/>
  <c r="L1840" i="2" s="1"/>
  <c r="I119" i="4"/>
  <c r="J1178" i="2" s="1"/>
  <c r="L1178" i="2" s="1"/>
  <c r="I73" i="4"/>
  <c r="J874" i="2" s="1"/>
  <c r="L874" i="2" s="1"/>
  <c r="L875" i="2" s="1"/>
  <c r="F45" i="4"/>
  <c r="I45" i="4" s="1"/>
  <c r="J464" i="2" s="1"/>
  <c r="L464" i="2" s="1"/>
  <c r="L465" i="2" s="1"/>
  <c r="I121" i="4"/>
  <c r="I237" i="4"/>
  <c r="J1803" i="2" s="1"/>
  <c r="L1803" i="2" s="1"/>
  <c r="L1804" i="2" s="1"/>
  <c r="I156" i="4"/>
  <c r="L740" i="2" s="1"/>
  <c r="I94" i="4"/>
  <c r="J1283" i="2" s="1"/>
  <c r="L1283" i="2" s="1"/>
  <c r="L1284" i="2" s="1"/>
  <c r="F30" i="4"/>
  <c r="I30" i="4" s="1"/>
  <c r="J267" i="2" s="1"/>
  <c r="L267" i="2" s="1"/>
  <c r="L268" i="2" s="1"/>
  <c r="I136" i="4"/>
  <c r="J999" i="2" s="1"/>
  <c r="I93" i="4"/>
  <c r="J1289" i="2" s="1"/>
  <c r="L1289" i="2" s="1"/>
  <c r="L1290" i="2" s="1"/>
  <c r="N1290" i="2" s="1"/>
  <c r="I103" i="4"/>
  <c r="J852" i="2" s="1"/>
  <c r="L852" i="2" s="1"/>
  <c r="I159" i="4"/>
  <c r="J1323" i="2" s="1"/>
  <c r="L1323" i="2" s="1"/>
  <c r="I174" i="4"/>
  <c r="J1410" i="2" s="1"/>
  <c r="L1410" i="2" s="1"/>
  <c r="I180" i="4"/>
  <c r="I157" i="4"/>
  <c r="J1319" i="2" s="1"/>
  <c r="L1319" i="2" s="1"/>
  <c r="F16" i="4"/>
  <c r="I16" i="4" s="1"/>
  <c r="J153" i="2" s="1"/>
  <c r="L153" i="2" s="1"/>
  <c r="L154" i="2" s="1"/>
  <c r="F8" i="4"/>
  <c r="I8" i="4" s="1"/>
  <c r="J91" i="2" s="1"/>
  <c r="L91" i="2" s="1"/>
  <c r="L92" i="2" s="1"/>
  <c r="I228" i="4"/>
  <c r="J1673" i="2" s="1"/>
  <c r="L1673" i="2" s="1"/>
  <c r="L1674" i="2" s="1"/>
  <c r="I247" i="4"/>
  <c r="J1881" i="2" s="1"/>
  <c r="L1881" i="2" s="1"/>
  <c r="L1882" i="2" s="1"/>
  <c r="I120" i="4"/>
  <c r="I122" i="4"/>
  <c r="J724" i="2" s="1"/>
  <c r="J725" i="2" s="1"/>
  <c r="F37" i="4"/>
  <c r="I37" i="4" s="1"/>
  <c r="J376" i="2" s="1"/>
  <c r="L376" i="2" s="1"/>
  <c r="L377" i="2" s="1"/>
  <c r="I118" i="4"/>
  <c r="J1228" i="2" s="1"/>
  <c r="L1228" i="2" s="1"/>
  <c r="L1229" i="2" s="1"/>
  <c r="F47" i="4"/>
  <c r="I47" i="4" s="1"/>
  <c r="J488" i="2" s="1"/>
  <c r="L488" i="2" s="1"/>
  <c r="L489" i="2" s="1"/>
  <c r="I231" i="4"/>
  <c r="J1690" i="2" s="1"/>
  <c r="L1690" i="2" s="1"/>
  <c r="L1691" i="2" s="1"/>
  <c r="I234" i="4"/>
  <c r="J1867" i="2" s="1"/>
  <c r="L1867" i="2" s="1"/>
  <c r="L1868" i="2" s="1"/>
  <c r="I178" i="4"/>
  <c r="J1435" i="2" s="1"/>
  <c r="L1435" i="2" s="1"/>
  <c r="I125" i="4"/>
  <c r="J898" i="2" s="1"/>
  <c r="L898" i="2" s="1"/>
  <c r="L899" i="2" s="1"/>
  <c r="I243" i="4"/>
  <c r="J1822" i="2" s="1"/>
  <c r="F31" i="4"/>
  <c r="I31" i="4" s="1"/>
  <c r="J277" i="2" s="1"/>
  <c r="J278" i="2" s="1"/>
  <c r="I86" i="4"/>
  <c r="J992" i="2" s="1"/>
  <c r="F58" i="4"/>
  <c r="J58" i="4"/>
  <c r="I100" i="4"/>
  <c r="J1431" i="2" s="1"/>
  <c r="I224" i="4"/>
  <c r="J1931" i="2" s="1"/>
  <c r="L1931" i="2" s="1"/>
  <c r="L1932" i="2" s="1"/>
  <c r="F43" i="4"/>
  <c r="I43" i="4" s="1"/>
  <c r="J444" i="2" s="1"/>
  <c r="L444" i="2" s="1"/>
  <c r="L445" i="2" s="1"/>
  <c r="F40" i="4"/>
  <c r="I40" i="4" s="1"/>
  <c r="J400" i="2" s="1"/>
  <c r="F33" i="4"/>
  <c r="I33" i="4" s="1"/>
  <c r="J250" i="2" s="1"/>
  <c r="I108" i="4"/>
  <c r="J844" i="2" s="1"/>
  <c r="L844" i="2" s="1"/>
  <c r="L845" i="2" s="1"/>
  <c r="I123" i="4"/>
  <c r="J1208" i="2" s="1"/>
  <c r="L1208" i="2" s="1"/>
  <c r="L1209" i="2" s="1"/>
  <c r="I113" i="4"/>
  <c r="J881" i="2" s="1"/>
  <c r="L881" i="2" s="1"/>
  <c r="L882" i="2" s="1"/>
  <c r="I153" i="4"/>
  <c r="J1299" i="2" s="1"/>
  <c r="F49" i="4"/>
  <c r="I49" i="4" s="1"/>
  <c r="J521" i="2" s="1"/>
  <c r="L521" i="2" s="1"/>
  <c r="F61" i="4"/>
  <c r="I61" i="4" s="1"/>
  <c r="J586" i="2" s="1"/>
  <c r="L586" i="2" s="1"/>
  <c r="F60" i="4"/>
  <c r="I60" i="4" s="1"/>
  <c r="J590" i="2" s="1"/>
  <c r="L590" i="2" s="1"/>
  <c r="F52" i="4"/>
  <c r="I52" i="4" s="1"/>
  <c r="J578" i="2" s="1"/>
  <c r="L578" i="2" s="1"/>
  <c r="I104" i="4"/>
  <c r="J951" i="2" s="1"/>
  <c r="I138" i="4"/>
  <c r="J1055" i="2" s="1"/>
  <c r="I106" i="4"/>
  <c r="J1015" i="2" s="1"/>
  <c r="L1015" i="2" s="1"/>
  <c r="L1016" i="2" s="1"/>
  <c r="I149" i="4"/>
  <c r="J795" i="2" s="1"/>
  <c r="L795" i="2" s="1"/>
  <c r="I116" i="4"/>
  <c r="J813" i="2" s="1"/>
  <c r="I226" i="4"/>
  <c r="J1635" i="2" s="1"/>
  <c r="L1635" i="2" s="1"/>
  <c r="L1636" i="2" s="1"/>
  <c r="I244" i="4"/>
  <c r="J1899" i="2" s="1"/>
  <c r="L1899" i="2" s="1"/>
  <c r="L1900" i="2" s="1"/>
  <c r="I126" i="4"/>
  <c r="J926" i="2" s="1"/>
  <c r="L926" i="2" s="1"/>
  <c r="L927" i="2" s="1"/>
  <c r="I134" i="4"/>
  <c r="J1248" i="2" s="1"/>
  <c r="I192" i="4"/>
  <c r="J835" i="2" s="1"/>
  <c r="J21" i="4"/>
  <c r="F21" i="4"/>
  <c r="I21" i="4" s="1"/>
  <c r="J1456" i="2"/>
  <c r="L1456" i="2" s="1"/>
  <c r="P1456" i="2" s="1"/>
  <c r="X111" i="15"/>
  <c r="X112" i="15" s="1"/>
  <c r="N112" i="15"/>
  <c r="T159" i="15"/>
  <c r="F62" i="4"/>
  <c r="I62" i="4" s="1"/>
  <c r="J582" i="2" s="1"/>
  <c r="L582" i="2" s="1"/>
  <c r="F35" i="4"/>
  <c r="I35" i="4" s="1"/>
  <c r="J317" i="2" s="1"/>
  <c r="L317" i="2" s="1"/>
  <c r="J1460" i="2"/>
  <c r="L1460" i="2" s="1"/>
  <c r="R115" i="15"/>
  <c r="J1451" i="2"/>
  <c r="L1451" i="2" s="1"/>
  <c r="N108" i="15"/>
  <c r="J61" i="4"/>
  <c r="N100" i="15"/>
  <c r="N96" i="15"/>
  <c r="R88" i="15"/>
  <c r="J35" i="4"/>
  <c r="N88" i="15"/>
  <c r="N84" i="15"/>
  <c r="N45" i="7"/>
  <c r="N80" i="15"/>
  <c r="N44" i="7"/>
  <c r="J1464" i="2"/>
  <c r="L1464" i="2" s="1"/>
  <c r="N39" i="8"/>
  <c r="N76" i="15"/>
  <c r="R71" i="15"/>
  <c r="R72" i="15" s="1"/>
  <c r="J1407" i="2"/>
  <c r="L1407" i="2" s="1"/>
  <c r="N72" i="15"/>
  <c r="I75" i="4"/>
  <c r="J718" i="2" s="1"/>
  <c r="L718" i="2" s="1"/>
  <c r="N64" i="15"/>
  <c r="J8" i="4"/>
  <c r="J678" i="2"/>
  <c r="J16" i="4"/>
  <c r="J25" i="4"/>
  <c r="J33" i="4"/>
  <c r="J42" i="4"/>
  <c r="J50" i="4"/>
  <c r="J9" i="4"/>
  <c r="I59" i="4"/>
  <c r="J594" i="2" s="1"/>
  <c r="L594" i="2" s="1"/>
  <c r="J19" i="4"/>
  <c r="J28" i="4"/>
  <c r="I28" i="4"/>
  <c r="J123" i="2" s="1"/>
  <c r="L123" i="2" s="1"/>
  <c r="J37" i="4"/>
  <c r="J45" i="4"/>
  <c r="J53" i="4"/>
  <c r="I53" i="4"/>
  <c r="J574" i="2" s="1"/>
  <c r="L574" i="2" s="1"/>
  <c r="L575" i="2" s="1"/>
  <c r="I223" i="4"/>
  <c r="J1917" i="2" s="1"/>
  <c r="L1917" i="2" s="1"/>
  <c r="J1787" i="2"/>
  <c r="J802" i="2"/>
  <c r="I56" i="4"/>
  <c r="J600" i="2" s="1"/>
  <c r="J56" i="4"/>
  <c r="J11" i="4"/>
  <c r="N41" i="7"/>
  <c r="J1329" i="2"/>
  <c r="J18" i="4"/>
  <c r="I27" i="4"/>
  <c r="J27" i="4"/>
  <c r="J36" i="4"/>
  <c r="J44" i="4"/>
  <c r="J52" i="4"/>
  <c r="J12" i="4"/>
  <c r="J22" i="4"/>
  <c r="J30" i="4"/>
  <c r="J39" i="4"/>
  <c r="J47" i="4"/>
  <c r="I71" i="4"/>
  <c r="J637" i="2"/>
  <c r="L730" i="2"/>
  <c r="R38" i="15"/>
  <c r="J1367" i="2"/>
  <c r="L1367" i="2" s="1"/>
  <c r="J1607" i="2"/>
  <c r="J1316" i="2"/>
  <c r="J969" i="2"/>
  <c r="I76" i="4"/>
  <c r="J613" i="2" s="1"/>
  <c r="J13" i="4"/>
  <c r="I13" i="4"/>
  <c r="J138" i="2" s="1"/>
  <c r="L138" i="2" s="1"/>
  <c r="J1860" i="2"/>
  <c r="I20" i="4"/>
  <c r="J20" i="4"/>
  <c r="J29" i="4"/>
  <c r="J38" i="4"/>
  <c r="J46" i="4"/>
  <c r="J54" i="4"/>
  <c r="I55" i="4"/>
  <c r="J597" i="2" s="1"/>
  <c r="J55" i="4"/>
  <c r="J1598" i="2"/>
  <c r="J15" i="4"/>
  <c r="J24" i="4"/>
  <c r="J32" i="4"/>
  <c r="J41" i="4"/>
  <c r="J49" i="4"/>
  <c r="J1098" i="2"/>
  <c r="O138" i="6"/>
  <c r="J1188" i="2"/>
  <c r="L1188" i="2" s="1"/>
  <c r="J1341" i="2"/>
  <c r="R24" i="15"/>
  <c r="J1353" i="2"/>
  <c r="L1353" i="2" s="1"/>
  <c r="J1682" i="2"/>
  <c r="L1682" i="2" s="1"/>
  <c r="I14" i="4"/>
  <c r="J14" i="4"/>
  <c r="J23" i="4"/>
  <c r="J31" i="4"/>
  <c r="J40" i="4"/>
  <c r="J48" i="4"/>
  <c r="J963" i="2"/>
  <c r="J7" i="4"/>
  <c r="I57" i="4"/>
  <c r="J604" i="2" s="1"/>
  <c r="J57" i="4"/>
  <c r="N39" i="7"/>
  <c r="L735" i="2"/>
  <c r="J17" i="4"/>
  <c r="I17" i="4"/>
  <c r="J167" i="2" s="1"/>
  <c r="J168" i="2" s="1"/>
  <c r="J26" i="4"/>
  <c r="J34" i="4"/>
  <c r="J43" i="4"/>
  <c r="J51" i="4"/>
  <c r="I51" i="4"/>
  <c r="J537" i="2" s="1"/>
  <c r="L537" i="2" s="1"/>
  <c r="J1034" i="2"/>
  <c r="L1034" i="2" s="1"/>
  <c r="A1030" i="2" s="1"/>
  <c r="J1295" i="2"/>
  <c r="J1361" i="2"/>
  <c r="I58" i="4" l="1"/>
  <c r="L508" i="2"/>
  <c r="L509" i="2" s="1"/>
  <c r="L1654" i="2"/>
  <c r="J1655" i="2"/>
  <c r="L1655" i="2" s="1"/>
  <c r="L1939" i="2"/>
  <c r="L1940" i="2" s="1"/>
  <c r="J1940" i="2"/>
  <c r="N1558" i="2"/>
  <c r="N1564" i="2"/>
  <c r="P1547" i="2"/>
  <c r="L1138" i="2"/>
  <c r="J1593" i="2"/>
  <c r="A77" i="4"/>
  <c r="A78" i="4" s="1"/>
  <c r="L197" i="2"/>
  <c r="J1149" i="2"/>
  <c r="L1149" i="2" s="1"/>
  <c r="L1150" i="2" s="1"/>
  <c r="A1146" i="2" s="1"/>
  <c r="J1145" i="2"/>
  <c r="L1144" i="2"/>
  <c r="L1145" i="2" s="1"/>
  <c r="P1553" i="2"/>
  <c r="P1568" i="2"/>
  <c r="A1565" i="2"/>
  <c r="P268" i="2"/>
  <c r="N268" i="2"/>
  <c r="J293" i="2"/>
  <c r="L292" i="2"/>
  <c r="L293" i="2" s="1"/>
  <c r="N1547" i="2"/>
  <c r="N1538" i="2"/>
  <c r="J830" i="2"/>
  <c r="L830" i="2" s="1"/>
  <c r="L829" i="2"/>
  <c r="L835" i="2"/>
  <c r="L836" i="2" s="1"/>
  <c r="L1586" i="2"/>
  <c r="M246" i="6"/>
  <c r="M247" i="6" s="1"/>
  <c r="N1532" i="2"/>
  <c r="N1542" i="2"/>
  <c r="N1511" i="2"/>
  <c r="J1221" i="2"/>
  <c r="L1221" i="2" s="1"/>
  <c r="L1222" i="2" s="1"/>
  <c r="N1222" i="2" s="1"/>
  <c r="J1214" i="2"/>
  <c r="L1214" i="2" s="1"/>
  <c r="L1589" i="2"/>
  <c r="L1590" i="2" s="1"/>
  <c r="L1431" i="2"/>
  <c r="L1432" i="2" s="1"/>
  <c r="L208" i="2"/>
  <c r="N1577" i="2"/>
  <c r="N1582" i="2"/>
  <c r="L724" i="2"/>
  <c r="L725" i="2" s="1"/>
  <c r="P725" i="2" s="1"/>
  <c r="L1028" i="2"/>
  <c r="L1029" i="2" s="1"/>
  <c r="L1039" i="2"/>
  <c r="L1040" i="2" s="1"/>
  <c r="P1572" i="2"/>
  <c r="J953" i="2"/>
  <c r="L223" i="2"/>
  <c r="L224" i="2" s="1"/>
  <c r="J1382" i="2"/>
  <c r="J1955" i="2"/>
  <c r="L1954" i="2"/>
  <c r="J228" i="2"/>
  <c r="L228" i="2" s="1"/>
  <c r="L229" i="2" s="1"/>
  <c r="N1568" i="2"/>
  <c r="N981" i="2"/>
  <c r="J1347" i="2"/>
  <c r="L1347" i="2" s="1"/>
  <c r="A1342" i="2" s="1"/>
  <c r="L1765" i="2"/>
  <c r="L1766" i="2" s="1"/>
  <c r="J1241" i="2"/>
  <c r="O206" i="6"/>
  <c r="O207" i="6" s="1"/>
  <c r="J987" i="2"/>
  <c r="L986" i="2"/>
  <c r="L987" i="2" s="1"/>
  <c r="P1500" i="2"/>
  <c r="N1505" i="2"/>
  <c r="J975" i="2"/>
  <c r="L974" i="2"/>
  <c r="L975" i="2" s="1"/>
  <c r="P1522" i="2"/>
  <c r="P1495" i="2"/>
  <c r="N1528" i="2"/>
  <c r="N1516" i="2"/>
  <c r="J251" i="2"/>
  <c r="L250" i="2"/>
  <c r="L251" i="2" s="1"/>
  <c r="P1598" i="2"/>
  <c r="P1490" i="2"/>
  <c r="K218" i="6"/>
  <c r="K219" i="6" s="1"/>
  <c r="J1253" i="2"/>
  <c r="L1253" i="2" s="1"/>
  <c r="L1254" i="2" s="1"/>
  <c r="N1254" i="2" s="1"/>
  <c r="L1061" i="2"/>
  <c r="L1062" i="2" s="1"/>
  <c r="K52" i="6"/>
  <c r="K53" i="6" s="1"/>
  <c r="J1266" i="2"/>
  <c r="L1266" i="2" s="1"/>
  <c r="A1261" i="2" s="1"/>
  <c r="L807" i="2"/>
  <c r="J1133" i="2"/>
  <c r="L1119" i="2"/>
  <c r="J1113" i="2"/>
  <c r="K108" i="6"/>
  <c r="K109" i="6" s="1"/>
  <c r="L649" i="2"/>
  <c r="L650" i="2" s="1"/>
  <c r="K187" i="6"/>
  <c r="K188" i="6" s="1"/>
  <c r="L1077" i="2"/>
  <c r="M68" i="6" s="1"/>
  <c r="M69" i="6" s="1"/>
  <c r="K68" i="6"/>
  <c r="K69" i="6" s="1"/>
  <c r="J232" i="2"/>
  <c r="L232" i="2" s="1"/>
  <c r="L233" i="2" s="1"/>
  <c r="N233" i="2" s="1"/>
  <c r="J40" i="7"/>
  <c r="L277" i="2"/>
  <c r="L278" i="2" s="1"/>
  <c r="P1480" i="2"/>
  <c r="L1474" i="2"/>
  <c r="L1475" i="2" s="1"/>
  <c r="J1475" i="2"/>
  <c r="N1272" i="2"/>
  <c r="O237" i="6" s="1"/>
  <c r="N1912" i="2"/>
  <c r="P1912" i="2"/>
  <c r="J1427" i="2"/>
  <c r="J1443" i="2"/>
  <c r="L1443" i="2" s="1"/>
  <c r="L1194" i="2"/>
  <c r="K167" i="6"/>
  <c r="K168" i="6" s="1"/>
  <c r="J87" i="7"/>
  <c r="L662" i="2"/>
  <c r="L87" i="7" s="1"/>
  <c r="J1909" i="2"/>
  <c r="L1908" i="2"/>
  <c r="L1909" i="2" s="1"/>
  <c r="L167" i="2"/>
  <c r="L168" i="2" s="1"/>
  <c r="L299" i="2"/>
  <c r="L300" i="2" s="1"/>
  <c r="J300" i="2"/>
  <c r="L217" i="2"/>
  <c r="L218" i="2" s="1"/>
  <c r="P218" i="2" s="1"/>
  <c r="L781" i="2"/>
  <c r="L782" i="2" s="1"/>
  <c r="K23" i="6"/>
  <c r="K24" i="6" s="1"/>
  <c r="L999" i="2"/>
  <c r="K38" i="6"/>
  <c r="K39" i="6" s="1"/>
  <c r="L1299" i="2"/>
  <c r="J84" i="7"/>
  <c r="J85" i="7" s="1"/>
  <c r="L1200" i="2"/>
  <c r="K144" i="6"/>
  <c r="K145" i="6" s="1"/>
  <c r="L863" i="2"/>
  <c r="L42" i="7" s="1"/>
  <c r="L46" i="7" s="1"/>
  <c r="J42" i="7"/>
  <c r="J46" i="7" s="1"/>
  <c r="L963" i="2"/>
  <c r="N963" i="2" s="1"/>
  <c r="N67" i="7" s="1"/>
  <c r="L66" i="7"/>
  <c r="L67" i="7" s="1"/>
  <c r="L1329" i="2"/>
  <c r="K173" i="6"/>
  <c r="K174" i="6" s="1"/>
  <c r="L813" i="2"/>
  <c r="K230" i="6"/>
  <c r="K231" i="6" s="1"/>
  <c r="L819" i="2"/>
  <c r="K242" i="6"/>
  <c r="L1127" i="2"/>
  <c r="K103" i="6"/>
  <c r="K104" i="6" s="1"/>
  <c r="L992" i="2"/>
  <c r="L72" i="7" s="1"/>
  <c r="L73" i="7" s="1"/>
  <c r="J72" i="7"/>
  <c r="J73" i="7" s="1"/>
  <c r="L1055" i="2"/>
  <c r="K46" i="6"/>
  <c r="K47" i="6" s="1"/>
  <c r="L1341" i="2"/>
  <c r="P1341" i="2" s="1"/>
  <c r="Q201" i="6" s="1"/>
  <c r="M200" i="6"/>
  <c r="M201" i="6" s="1"/>
  <c r="L79" i="7"/>
  <c r="L80" i="7" s="1"/>
  <c r="L1098" i="2"/>
  <c r="L1248" i="2"/>
  <c r="K152" i="6"/>
  <c r="K153" i="6" s="1"/>
  <c r="P861" i="2"/>
  <c r="N861" i="2"/>
  <c r="L600" i="2"/>
  <c r="J19" i="7"/>
  <c r="J1936" i="2"/>
  <c r="L1935" i="2"/>
  <c r="L1936" i="2" s="1"/>
  <c r="L597" i="2"/>
  <c r="J16" i="7"/>
  <c r="L36" i="7"/>
  <c r="L40" i="7" s="1"/>
  <c r="L756" i="2"/>
  <c r="L1807" i="2"/>
  <c r="P1464" i="2"/>
  <c r="N1464" i="2"/>
  <c r="P1407" i="2"/>
  <c r="N1407" i="2"/>
  <c r="A12" i="4"/>
  <c r="A13" i="4" s="1"/>
  <c r="J1906" i="2"/>
  <c r="J118" i="2"/>
  <c r="L118" i="2" s="1"/>
  <c r="L119" i="2" s="1"/>
  <c r="J1713" i="2"/>
  <c r="P1713" i="2" s="1"/>
  <c r="R57" i="15"/>
  <c r="X57" i="15" s="1"/>
  <c r="X58" i="15" s="1"/>
  <c r="J1840" i="2"/>
  <c r="N1840" i="2" s="1"/>
  <c r="J890" i="2"/>
  <c r="L890" i="2" s="1"/>
  <c r="P890" i="2" s="1"/>
  <c r="J1040" i="2"/>
  <c r="J1876" i="2"/>
  <c r="N1876" i="2"/>
  <c r="J1195" i="2"/>
  <c r="R133" i="15"/>
  <c r="R134" i="15" s="1"/>
  <c r="O60" i="6"/>
  <c r="J1284" i="2"/>
  <c r="P1284" i="2" s="1"/>
  <c r="J1373" i="2"/>
  <c r="L1373" i="2" s="1"/>
  <c r="P1373" i="2" s="1"/>
  <c r="J1486" i="2"/>
  <c r="N1486" i="2" s="1"/>
  <c r="J1734" i="2"/>
  <c r="N1734" i="2" s="1"/>
  <c r="L738" i="2"/>
  <c r="A736" i="2" s="1"/>
  <c r="J1932" i="2"/>
  <c r="J1320" i="2"/>
  <c r="L1320" i="2" s="1"/>
  <c r="N1320" i="2" s="1"/>
  <c r="J1794" i="2"/>
  <c r="N1794" i="2" s="1"/>
  <c r="J882" i="2"/>
  <c r="J1625" i="2"/>
  <c r="J1773" i="2"/>
  <c r="P1773" i="2" s="1"/>
  <c r="J1845" i="2"/>
  <c r="P1845" i="2" s="1"/>
  <c r="R139" i="15"/>
  <c r="J1062" i="2"/>
  <c r="J1016" i="2"/>
  <c r="N1016" i="2" s="1"/>
  <c r="J1691" i="2"/>
  <c r="P1691" i="2" s="1"/>
  <c r="J650" i="2"/>
  <c r="J773" i="2"/>
  <c r="J1237" i="2"/>
  <c r="N1237" i="2" s="1"/>
  <c r="J1411" i="2"/>
  <c r="L1411" i="2" s="1"/>
  <c r="N1411" i="2" s="1"/>
  <c r="J1804" i="2"/>
  <c r="N1804" i="2" s="1"/>
  <c r="J941" i="2"/>
  <c r="N941" i="2"/>
  <c r="J1209" i="2"/>
  <c r="J1324" i="2"/>
  <c r="L1324" i="2" s="1"/>
  <c r="P1324" i="2" s="1"/>
  <c r="J1091" i="2"/>
  <c r="L1091" i="2" s="1"/>
  <c r="N1091" i="2" s="1"/>
  <c r="J1823" i="2"/>
  <c r="J377" i="2"/>
  <c r="J853" i="2"/>
  <c r="L853" i="2" s="1"/>
  <c r="P853" i="2" s="1"/>
  <c r="J899" i="2"/>
  <c r="N899" i="2" s="1"/>
  <c r="J1290" i="2"/>
  <c r="J875" i="2"/>
  <c r="P875" i="2" s="1"/>
  <c r="O159" i="6"/>
  <c r="O161" i="6" s="1"/>
  <c r="J685" i="2"/>
  <c r="P685" i="2" s="1"/>
  <c r="J1139" i="2"/>
  <c r="L1139" i="2" s="1"/>
  <c r="J927" i="2"/>
  <c r="P927" i="2"/>
  <c r="O129" i="6"/>
  <c r="J218" i="2"/>
  <c r="J702" i="2"/>
  <c r="J1106" i="2"/>
  <c r="N1427" i="2"/>
  <c r="P1427" i="2"/>
  <c r="P708" i="2"/>
  <c r="J568" i="2"/>
  <c r="J1078" i="2"/>
  <c r="J1666" i="2"/>
  <c r="P1666" i="2" s="1"/>
  <c r="O179" i="6"/>
  <c r="J782" i="2"/>
  <c r="J764" i="2"/>
  <c r="J1334" i="2"/>
  <c r="L1334" i="2" s="1"/>
  <c r="N1334" i="2" s="1"/>
  <c r="J836" i="2"/>
  <c r="J1128" i="2"/>
  <c r="J1048" i="2"/>
  <c r="L1048" i="2" s="1"/>
  <c r="N1048" i="2" s="1"/>
  <c r="J1882" i="2"/>
  <c r="J808" i="2"/>
  <c r="J1851" i="2"/>
  <c r="N1851" i="2" s="1"/>
  <c r="O81" i="6"/>
  <c r="O82" i="6" s="1"/>
  <c r="J1900" i="2"/>
  <c r="J1260" i="2"/>
  <c r="L1260" i="2" s="1"/>
  <c r="P1260" i="2" s="1"/>
  <c r="J183" i="2"/>
  <c r="J184" i="2" s="1"/>
  <c r="J1201" i="2"/>
  <c r="R95" i="15"/>
  <c r="R96" i="15" s="1"/>
  <c r="J1421" i="2"/>
  <c r="P1421" i="2" s="1"/>
  <c r="J1440" i="2"/>
  <c r="L1440" i="2" s="1"/>
  <c r="N1440" i="2" s="1"/>
  <c r="R84" i="15"/>
  <c r="J1069" i="2"/>
  <c r="L1069" i="2" s="1"/>
  <c r="A1063" i="2" s="1"/>
  <c r="J1403" i="2"/>
  <c r="L1403" i="2" s="1"/>
  <c r="N1403" i="2" s="1"/>
  <c r="R67" i="15"/>
  <c r="R68" i="15" s="1"/>
  <c r="J1394" i="2"/>
  <c r="L1394" i="2" s="1"/>
  <c r="N1394" i="2" s="1"/>
  <c r="J909" i="2"/>
  <c r="J660" i="2"/>
  <c r="J1023" i="2"/>
  <c r="N1023" i="2" s="1"/>
  <c r="J1388" i="2"/>
  <c r="L1388" i="2" s="1"/>
  <c r="N1388" i="2" s="1"/>
  <c r="J1309" i="2"/>
  <c r="P1309" i="2" s="1"/>
  <c r="O96" i="6"/>
  <c r="J1120" i="2"/>
  <c r="R63" i="15"/>
  <c r="R64" i="15" s="1"/>
  <c r="J845" i="2"/>
  <c r="N845" i="2" s="1"/>
  <c r="R44" i="15"/>
  <c r="R45" i="15" s="1"/>
  <c r="J1155" i="2"/>
  <c r="L1155" i="2" s="1"/>
  <c r="R75" i="15"/>
  <c r="R76" i="15" s="1"/>
  <c r="J1162" i="2"/>
  <c r="J1436" i="2"/>
  <c r="L1436" i="2" s="1"/>
  <c r="N1436" i="2" s="1"/>
  <c r="R91" i="15"/>
  <c r="X91" i="15" s="1"/>
  <c r="X92" i="15" s="1"/>
  <c r="J1180" i="2"/>
  <c r="L1180" i="2" s="1"/>
  <c r="A1172" i="2" s="1"/>
  <c r="J1083" i="2"/>
  <c r="L1083" i="2" s="1"/>
  <c r="J1029" i="2"/>
  <c r="R79" i="15"/>
  <c r="R80" i="15" s="1"/>
  <c r="J1415" i="2"/>
  <c r="L1415" i="2" s="1"/>
  <c r="P1415" i="2" s="1"/>
  <c r="J788" i="2"/>
  <c r="L788" i="2" s="1"/>
  <c r="N788" i="2" s="1"/>
  <c r="R103" i="15"/>
  <c r="R104" i="15" s="1"/>
  <c r="J1448" i="2"/>
  <c r="L1448" i="2" s="1"/>
  <c r="P1448" i="2" s="1"/>
  <c r="J820" i="2"/>
  <c r="J814" i="2"/>
  <c r="J1868" i="2"/>
  <c r="N1868" i="2" s="1"/>
  <c r="L741" i="2"/>
  <c r="N741" i="2" s="1"/>
  <c r="J1636" i="2"/>
  <c r="P1636" i="2" s="1"/>
  <c r="J1674" i="2"/>
  <c r="N1674" i="2" s="1"/>
  <c r="J1432" i="2"/>
  <c r="J1229" i="2"/>
  <c r="J1056" i="2"/>
  <c r="J993" i="2"/>
  <c r="J825" i="2"/>
  <c r="L825" i="2" s="1"/>
  <c r="N825" i="2" s="1"/>
  <c r="J1300" i="2"/>
  <c r="J188" i="2"/>
  <c r="N1456" i="2"/>
  <c r="R157" i="15"/>
  <c r="R158" i="15" s="1"/>
  <c r="J564" i="2"/>
  <c r="L564" i="2" s="1"/>
  <c r="AB112" i="15"/>
  <c r="Z112" i="15"/>
  <c r="N159" i="15"/>
  <c r="J176" i="2"/>
  <c r="L176" i="2" s="1"/>
  <c r="J756" i="2"/>
  <c r="R137" i="15"/>
  <c r="R138" i="15" s="1"/>
  <c r="J318" i="2"/>
  <c r="L318" i="2" s="1"/>
  <c r="R145" i="15"/>
  <c r="R146" i="15" s="1"/>
  <c r="J583" i="2"/>
  <c r="L583" i="2" s="1"/>
  <c r="X145" i="15"/>
  <c r="X146" i="15" s="1"/>
  <c r="R116" i="15"/>
  <c r="X115" i="15"/>
  <c r="X116" i="15" s="1"/>
  <c r="R107" i="15"/>
  <c r="J1452" i="2"/>
  <c r="L1452" i="2" s="1"/>
  <c r="J587" i="2"/>
  <c r="L587" i="2" s="1"/>
  <c r="R149" i="15"/>
  <c r="R150" i="15" s="1"/>
  <c r="R153" i="15"/>
  <c r="R154" i="15" s="1"/>
  <c r="J591" i="2"/>
  <c r="L591" i="2" s="1"/>
  <c r="N1460" i="2"/>
  <c r="X141" i="15"/>
  <c r="R141" i="15"/>
  <c r="X87" i="15"/>
  <c r="X88" i="15" s="1"/>
  <c r="J579" i="2"/>
  <c r="L579" i="2" s="1"/>
  <c r="P1460" i="2"/>
  <c r="R120" i="15"/>
  <c r="X120" i="15"/>
  <c r="A117" i="15" s="1"/>
  <c r="J560" i="2"/>
  <c r="L560" i="2" s="1"/>
  <c r="X71" i="15"/>
  <c r="X72" i="15" s="1"/>
  <c r="Z72" i="15" s="1"/>
  <c r="A232" i="4"/>
  <c r="J719" i="2"/>
  <c r="L719" i="2" s="1"/>
  <c r="R125" i="15"/>
  <c r="P1399" i="2"/>
  <c r="J538" i="2"/>
  <c r="J328" i="2"/>
  <c r="L328" i="2" s="1"/>
  <c r="J454" i="2"/>
  <c r="J602" i="2"/>
  <c r="J21" i="7" s="1"/>
  <c r="J575" i="2"/>
  <c r="J445" i="2"/>
  <c r="J509" i="2"/>
  <c r="J522" i="2"/>
  <c r="L522" i="2" s="1"/>
  <c r="J489" i="2"/>
  <c r="J439" i="2"/>
  <c r="J92" i="2"/>
  <c r="J246" i="2"/>
  <c r="J286" i="2"/>
  <c r="J557" i="2"/>
  <c r="J268" i="2"/>
  <c r="J341" i="2"/>
  <c r="J401" i="2"/>
  <c r="J135" i="2"/>
  <c r="R33" i="15"/>
  <c r="X32" i="15"/>
  <c r="X33" i="15" s="1"/>
  <c r="P1295" i="2"/>
  <c r="N1295" i="2"/>
  <c r="J796" i="2"/>
  <c r="L796" i="2" s="1"/>
  <c r="R25" i="15"/>
  <c r="X24" i="15"/>
  <c r="X25" i="15" s="1"/>
  <c r="O115" i="6"/>
  <c r="O139" i="6"/>
  <c r="N1316" i="2"/>
  <c r="P1316" i="2"/>
  <c r="J110" i="2"/>
  <c r="L110" i="2" s="1"/>
  <c r="J124" i="2"/>
  <c r="L124" i="2" s="1"/>
  <c r="J102" i="2"/>
  <c r="L102" i="2" s="1"/>
  <c r="R52" i="15"/>
  <c r="X51" i="15"/>
  <c r="X52" i="15" s="1"/>
  <c r="J1249" i="2"/>
  <c r="N1787" i="2"/>
  <c r="P1787" i="2"/>
  <c r="N1900" i="2"/>
  <c r="P1900" i="2"/>
  <c r="J154" i="2"/>
  <c r="J1000" i="2"/>
  <c r="A731" i="2"/>
  <c r="P735" i="2"/>
  <c r="N735" i="2"/>
  <c r="N747" i="2"/>
  <c r="P747" i="2"/>
  <c r="J423" i="2"/>
  <c r="N1860" i="2"/>
  <c r="P1860" i="2"/>
  <c r="J139" i="2"/>
  <c r="L139" i="2" s="1"/>
  <c r="P969" i="2"/>
  <c r="N969" i="2"/>
  <c r="P1607" i="2"/>
  <c r="N1607" i="2"/>
  <c r="R39" i="15"/>
  <c r="X38" i="15"/>
  <c r="X39" i="15" s="1"/>
  <c r="A726" i="2"/>
  <c r="P730" i="2"/>
  <c r="N730" i="2"/>
  <c r="J202" i="2"/>
  <c r="J1330" i="2"/>
  <c r="P1241" i="2"/>
  <c r="N1241" i="2"/>
  <c r="P802" i="2"/>
  <c r="N802" i="2"/>
  <c r="R128" i="15"/>
  <c r="J595" i="2"/>
  <c r="L595" i="2" s="1"/>
  <c r="A592" i="2" s="1"/>
  <c r="N1361" i="2"/>
  <c r="P1361" i="2"/>
  <c r="J314" i="2"/>
  <c r="J209" i="2"/>
  <c r="P1682" i="2"/>
  <c r="N1682" i="2"/>
  <c r="J1279" i="2"/>
  <c r="L1279" i="2" s="1"/>
  <c r="N1882" i="2"/>
  <c r="P1882" i="2"/>
  <c r="Z1353" i="2"/>
  <c r="P1353" i="2"/>
  <c r="N1353" i="2"/>
  <c r="P1188" i="2"/>
  <c r="N1188" i="2"/>
  <c r="A1181" i="2"/>
  <c r="P1382" i="2"/>
  <c r="N1382" i="2"/>
  <c r="R19" i="15"/>
  <c r="X18" i="15"/>
  <c r="X19" i="15" s="1"/>
  <c r="O75" i="6"/>
  <c r="P1034" i="2"/>
  <c r="N1034" i="2"/>
  <c r="J599" i="2"/>
  <c r="J18" i="7" s="1"/>
  <c r="J263" i="2"/>
  <c r="N1367" i="2"/>
  <c r="P1367" i="2"/>
  <c r="P637" i="2"/>
  <c r="N637" i="2"/>
  <c r="J391" i="2"/>
  <c r="O213" i="6"/>
  <c r="J1918" i="2"/>
  <c r="L1918" i="2" s="1"/>
  <c r="N1918" i="2" s="1"/>
  <c r="J465" i="2"/>
  <c r="N678" i="2"/>
  <c r="P678" i="2"/>
  <c r="N1586" i="2" l="1"/>
  <c r="O247" i="6" s="1"/>
  <c r="J609" i="2"/>
  <c r="P1936" i="2"/>
  <c r="A233" i="4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L516" i="2"/>
  <c r="L517" i="2" s="1"/>
  <c r="J517" i="2"/>
  <c r="N1655" i="2"/>
  <c r="P1655" i="2"/>
  <c r="P1940" i="2"/>
  <c r="N1940" i="2"/>
  <c r="P1625" i="2"/>
  <c r="P909" i="2"/>
  <c r="N756" i="2"/>
  <c r="N40" i="7" s="1"/>
  <c r="J1150" i="2"/>
  <c r="L1593" i="2"/>
  <c r="L1594" i="2" s="1"/>
  <c r="J1594" i="2"/>
  <c r="L198" i="2"/>
  <c r="N1150" i="2"/>
  <c r="J626" i="2"/>
  <c r="L625" i="2"/>
  <c r="P1145" i="2"/>
  <c r="N1145" i="2"/>
  <c r="P882" i="2"/>
  <c r="N293" i="2"/>
  <c r="P293" i="2"/>
  <c r="P830" i="2"/>
  <c r="N830" i="2"/>
  <c r="P1586" i="2"/>
  <c r="Q247" i="6" s="1"/>
  <c r="K243" i="6"/>
  <c r="P1590" i="2"/>
  <c r="A1587" i="2"/>
  <c r="J1215" i="2"/>
  <c r="L1215" i="2" s="1"/>
  <c r="N1215" i="2" s="1"/>
  <c r="J1222" i="2"/>
  <c r="N229" i="2"/>
  <c r="P229" i="2"/>
  <c r="N764" i="2"/>
  <c r="P660" i="2"/>
  <c r="N1590" i="2"/>
  <c r="O193" i="6"/>
  <c r="O194" i="6" s="1"/>
  <c r="J1007" i="2"/>
  <c r="L1006" i="2"/>
  <c r="L1007" i="2" s="1"/>
  <c r="N1432" i="2"/>
  <c r="N1040" i="2"/>
  <c r="L1955" i="2"/>
  <c r="J229" i="2"/>
  <c r="P1347" i="2"/>
  <c r="N1347" i="2"/>
  <c r="J1766" i="2"/>
  <c r="J1956" i="2" s="1"/>
  <c r="N1766" i="2"/>
  <c r="P987" i="2"/>
  <c r="N987" i="2"/>
  <c r="N1598" i="2"/>
  <c r="P975" i="2"/>
  <c r="N975" i="2"/>
  <c r="J1254" i="2"/>
  <c r="N251" i="2"/>
  <c r="P251" i="2"/>
  <c r="N773" i="2"/>
  <c r="J22" i="7"/>
  <c r="L603" i="2"/>
  <c r="L22" i="7" s="1"/>
  <c r="M95" i="6"/>
  <c r="M96" i="6" s="1"/>
  <c r="L1120" i="2"/>
  <c r="N1120" i="2" s="1"/>
  <c r="N1266" i="2"/>
  <c r="J23" i="7"/>
  <c r="L604" i="2"/>
  <c r="L23" i="7" s="1"/>
  <c r="P1266" i="2"/>
  <c r="M52" i="6"/>
  <c r="M53" i="6" s="1"/>
  <c r="M218" i="6"/>
  <c r="M219" i="6" s="1"/>
  <c r="L808" i="2"/>
  <c r="P808" i="2" s="1"/>
  <c r="Q219" i="6" s="1"/>
  <c r="P1229" i="2"/>
  <c r="L1132" i="2"/>
  <c r="M108" i="6" s="1"/>
  <c r="M109" i="6" s="1"/>
  <c r="K88" i="6"/>
  <c r="K89" i="6" s="1"/>
  <c r="L1112" i="2"/>
  <c r="M187" i="6"/>
  <c r="M188" i="6" s="1"/>
  <c r="L1078" i="2"/>
  <c r="N1078" i="2" s="1"/>
  <c r="O69" i="6" s="1"/>
  <c r="P650" i="2"/>
  <c r="Q188" i="6" s="1"/>
  <c r="J233" i="2"/>
  <c r="N1475" i="2"/>
  <c r="P1475" i="2"/>
  <c r="J1444" i="2"/>
  <c r="L1444" i="2" s="1"/>
  <c r="P1444" i="2" s="1"/>
  <c r="A14" i="4"/>
  <c r="A15" i="4" s="1"/>
  <c r="N1909" i="2"/>
  <c r="P1909" i="2"/>
  <c r="L525" i="2"/>
  <c r="L526" i="2"/>
  <c r="R99" i="15"/>
  <c r="R100" i="15" s="1"/>
  <c r="L951" i="2"/>
  <c r="L56" i="7" s="1"/>
  <c r="J1469" i="2"/>
  <c r="L1469" i="2"/>
  <c r="J56" i="7"/>
  <c r="L950" i="2"/>
  <c r="J55" i="7"/>
  <c r="L1195" i="2"/>
  <c r="M167" i="6"/>
  <c r="M168" i="6" s="1"/>
  <c r="P300" i="2"/>
  <c r="N300" i="2"/>
  <c r="N1341" i="2"/>
  <c r="O201" i="6" s="1"/>
  <c r="L993" i="2"/>
  <c r="P963" i="2"/>
  <c r="P67" i="7" s="1"/>
  <c r="J88" i="7"/>
  <c r="J89" i="7" s="1"/>
  <c r="L1056" i="2"/>
  <c r="M46" i="6"/>
  <c r="M47" i="6" s="1"/>
  <c r="L1162" i="2"/>
  <c r="K121" i="6"/>
  <c r="K122" i="6" s="1"/>
  <c r="L1249" i="2"/>
  <c r="M152" i="6"/>
  <c r="M153" i="6" s="1"/>
  <c r="L1128" i="2"/>
  <c r="M103" i="6"/>
  <c r="M104" i="6" s="1"/>
  <c r="L1201" i="2"/>
  <c r="M144" i="6"/>
  <c r="M145" i="6" s="1"/>
  <c r="L820" i="2"/>
  <c r="P820" i="2" s="1"/>
  <c r="Q243" i="6" s="1"/>
  <c r="M242" i="6"/>
  <c r="L1300" i="2"/>
  <c r="L84" i="7"/>
  <c r="L85" i="7" s="1"/>
  <c r="L814" i="2"/>
  <c r="N814" i="2" s="1"/>
  <c r="O231" i="6" s="1"/>
  <c r="M230" i="6"/>
  <c r="M231" i="6" s="1"/>
  <c r="L1000" i="2"/>
  <c r="P1000" i="2" s="1"/>
  <c r="Q39" i="6" s="1"/>
  <c r="M38" i="6"/>
  <c r="M39" i="6" s="1"/>
  <c r="L867" i="2"/>
  <c r="L1330" i="2"/>
  <c r="N1330" i="2" s="1"/>
  <c r="O174" i="6" s="1"/>
  <c r="M173" i="6"/>
  <c r="M174" i="6" s="1"/>
  <c r="M23" i="6"/>
  <c r="M24" i="6" s="1"/>
  <c r="P1334" i="2"/>
  <c r="L16" i="7"/>
  <c r="L599" i="2"/>
  <c r="L18" i="7" s="1"/>
  <c r="N1260" i="2"/>
  <c r="L19" i="7"/>
  <c r="L602" i="2"/>
  <c r="L21" i="7" s="1"/>
  <c r="L1808" i="2"/>
  <c r="L1809" i="2"/>
  <c r="L188" i="2"/>
  <c r="J193" i="2"/>
  <c r="N660" i="2"/>
  <c r="N1636" i="2"/>
  <c r="A739" i="2"/>
  <c r="P1851" i="2"/>
  <c r="N1666" i="2"/>
  <c r="A1331" i="2"/>
  <c r="P741" i="2"/>
  <c r="N725" i="2"/>
  <c r="P1674" i="2"/>
  <c r="P845" i="2"/>
  <c r="N1229" i="2"/>
  <c r="P168" i="2"/>
  <c r="J161" i="2"/>
  <c r="L161" i="2"/>
  <c r="P1106" i="2"/>
  <c r="P764" i="2"/>
  <c r="N909" i="2"/>
  <c r="L183" i="2"/>
  <c r="L184" i="2" s="1"/>
  <c r="J664" i="2"/>
  <c r="J119" i="2"/>
  <c r="N1906" i="2"/>
  <c r="P1906" i="2"/>
  <c r="J97" i="2"/>
  <c r="P1048" i="2"/>
  <c r="R142" i="15"/>
  <c r="R58" i="15"/>
  <c r="O32" i="6"/>
  <c r="P1868" i="2"/>
  <c r="O131" i="6"/>
  <c r="P1023" i="2"/>
  <c r="N1448" i="2"/>
  <c r="P1436" i="2"/>
  <c r="N1415" i="2"/>
  <c r="P1440" i="2"/>
  <c r="N1421" i="2"/>
  <c r="P1403" i="2"/>
  <c r="P1432" i="2"/>
  <c r="P1029" i="2"/>
  <c r="P1394" i="2"/>
  <c r="N1029" i="2"/>
  <c r="J177" i="2"/>
  <c r="L177" i="2" s="1"/>
  <c r="P177" i="2" s="1"/>
  <c r="J1084" i="2"/>
  <c r="L1084" i="2" s="1"/>
  <c r="N1084" i="2" s="1"/>
  <c r="J1156" i="2"/>
  <c r="L1156" i="2" s="1"/>
  <c r="N1156" i="2" s="1"/>
  <c r="P1932" i="2"/>
  <c r="N1209" i="2"/>
  <c r="N218" i="2"/>
  <c r="J696" i="2"/>
  <c r="P702" i="2"/>
  <c r="N702" i="2"/>
  <c r="P1222" i="2"/>
  <c r="O180" i="6"/>
  <c r="P568" i="2"/>
  <c r="N568" i="2"/>
  <c r="N286" i="2"/>
  <c r="P286" i="2"/>
  <c r="P738" i="2"/>
  <c r="P1794" i="2"/>
  <c r="N738" i="2"/>
  <c r="P1150" i="2"/>
  <c r="P836" i="2"/>
  <c r="N836" i="2"/>
  <c r="X103" i="15"/>
  <c r="X104" i="15" s="1"/>
  <c r="AB104" i="15" s="1"/>
  <c r="P1237" i="2"/>
  <c r="N1936" i="2"/>
  <c r="X83" i="15"/>
  <c r="X84" i="15" s="1"/>
  <c r="Z84" i="15" s="1"/>
  <c r="P1388" i="2"/>
  <c r="N1773" i="2"/>
  <c r="P1876" i="2"/>
  <c r="P1040" i="2"/>
  <c r="N1845" i="2"/>
  <c r="P1062" i="2"/>
  <c r="Q53" i="6" s="1"/>
  <c r="X67" i="15"/>
  <c r="X68" i="15" s="1"/>
  <c r="Z68" i="15" s="1"/>
  <c r="X63" i="15"/>
  <c r="X64" i="15" s="1"/>
  <c r="Z64" i="15" s="1"/>
  <c r="J1163" i="2"/>
  <c r="N650" i="2"/>
  <c r="O188" i="6" s="1"/>
  <c r="P1766" i="2"/>
  <c r="N685" i="2"/>
  <c r="P1734" i="2"/>
  <c r="P1069" i="2"/>
  <c r="X79" i="15"/>
  <c r="X80" i="15" s="1"/>
  <c r="Z80" i="15" s="1"/>
  <c r="X95" i="15"/>
  <c r="X96" i="15" s="1"/>
  <c r="AB96" i="15" s="1"/>
  <c r="Z1069" i="2"/>
  <c r="N1069" i="2"/>
  <c r="P1486" i="2"/>
  <c r="N890" i="2"/>
  <c r="N1373" i="2"/>
  <c r="O225" i="6"/>
  <c r="N1713" i="2"/>
  <c r="P1804" i="2"/>
  <c r="X75" i="15"/>
  <c r="X76" i="15" s="1"/>
  <c r="AB76" i="15" s="1"/>
  <c r="A1368" i="2"/>
  <c r="N1309" i="2"/>
  <c r="N875" i="2"/>
  <c r="R92" i="15"/>
  <c r="X44" i="15"/>
  <c r="X45" i="15" s="1"/>
  <c r="Z45" i="15" s="1"/>
  <c r="P1180" i="2"/>
  <c r="N1180" i="2"/>
  <c r="P941" i="2"/>
  <c r="N927" i="2"/>
  <c r="A1317" i="2"/>
  <c r="P1320" i="2"/>
  <c r="P773" i="2"/>
  <c r="P788" i="2"/>
  <c r="P1411" i="2"/>
  <c r="N1284" i="2"/>
  <c r="P1091" i="2"/>
  <c r="N1625" i="2"/>
  <c r="N853" i="2"/>
  <c r="P1840" i="2"/>
  <c r="A1321" i="2"/>
  <c r="N1324" i="2"/>
  <c r="P1209" i="2"/>
  <c r="N1932" i="2"/>
  <c r="P899" i="2"/>
  <c r="N1691" i="2"/>
  <c r="P1016" i="2"/>
  <c r="N882" i="2"/>
  <c r="P825" i="2"/>
  <c r="X157" i="15"/>
  <c r="X158" i="15" s="1"/>
  <c r="X137" i="15"/>
  <c r="X138" i="15" s="1"/>
  <c r="Z138" i="15" s="1"/>
  <c r="J608" i="2"/>
  <c r="P583" i="2"/>
  <c r="J224" i="2"/>
  <c r="P224" i="2" s="1"/>
  <c r="Z116" i="15"/>
  <c r="AB116" i="15"/>
  <c r="P1452" i="2"/>
  <c r="N1452" i="2"/>
  <c r="R108" i="15"/>
  <c r="X107" i="15"/>
  <c r="X108" i="15" s="1"/>
  <c r="N110" i="2"/>
  <c r="P110" i="2"/>
  <c r="N102" i="2"/>
  <c r="P102" i="2"/>
  <c r="Z146" i="15"/>
  <c r="AB146" i="15"/>
  <c r="X149" i="15"/>
  <c r="X150" i="15" s="1"/>
  <c r="X153" i="15"/>
  <c r="X154" i="15" s="1"/>
  <c r="AB92" i="15"/>
  <c r="Z92" i="15"/>
  <c r="AB88" i="15"/>
  <c r="P579" i="2"/>
  <c r="X139" i="15"/>
  <c r="X142" i="15" s="1"/>
  <c r="N509" i="2"/>
  <c r="Z88" i="15"/>
  <c r="N557" i="2"/>
  <c r="P557" i="2"/>
  <c r="J87" i="2"/>
  <c r="P318" i="2"/>
  <c r="N318" i="2"/>
  <c r="N522" i="2"/>
  <c r="X133" i="15"/>
  <c r="X134" i="15" s="1"/>
  <c r="Z134" i="15" s="1"/>
  <c r="Z120" i="15"/>
  <c r="AB120" i="15"/>
  <c r="P139" i="2"/>
  <c r="N139" i="2"/>
  <c r="N560" i="2"/>
  <c r="A558" i="2"/>
  <c r="P560" i="2"/>
  <c r="AB72" i="15"/>
  <c r="X124" i="15"/>
  <c r="X125" i="15" s="1"/>
  <c r="A79" i="4"/>
  <c r="A709" i="2"/>
  <c r="J111" i="2"/>
  <c r="Z58" i="15"/>
  <c r="AB58" i="15"/>
  <c r="Z25" i="15"/>
  <c r="AB25" i="15"/>
  <c r="Z33" i="15"/>
  <c r="AB33" i="15"/>
  <c r="N328" i="2"/>
  <c r="A323" i="2"/>
  <c r="P328" i="2"/>
  <c r="N278" i="2"/>
  <c r="P278" i="2"/>
  <c r="P595" i="2"/>
  <c r="N595" i="2"/>
  <c r="N124" i="2"/>
  <c r="P124" i="2"/>
  <c r="P796" i="2"/>
  <c r="N796" i="2"/>
  <c r="N246" i="2"/>
  <c r="P246" i="2"/>
  <c r="P489" i="2"/>
  <c r="N489" i="2"/>
  <c r="N465" i="2"/>
  <c r="P465" i="2"/>
  <c r="N1279" i="2"/>
  <c r="P1279" i="2"/>
  <c r="Z39" i="15"/>
  <c r="AB39" i="15"/>
  <c r="Z52" i="15"/>
  <c r="AB52" i="15"/>
  <c r="N575" i="2"/>
  <c r="P575" i="2"/>
  <c r="N454" i="2"/>
  <c r="P454" i="2"/>
  <c r="N263" i="2"/>
  <c r="P263" i="2"/>
  <c r="P1918" i="2"/>
  <c r="AB19" i="15"/>
  <c r="A14" i="15"/>
  <c r="Z19" i="15"/>
  <c r="P233" i="2"/>
  <c r="R129" i="15"/>
  <c r="X128" i="15"/>
  <c r="X129" i="15" s="1"/>
  <c r="P1254" i="2"/>
  <c r="P135" i="2"/>
  <c r="N135" i="2"/>
  <c r="P341" i="2"/>
  <c r="N341" i="2"/>
  <c r="N92" i="2"/>
  <c r="P92" i="2"/>
  <c r="P445" i="2"/>
  <c r="N445" i="2"/>
  <c r="L609" i="2" l="1"/>
  <c r="J30" i="7"/>
  <c r="J31" i="7" s="1"/>
  <c r="J610" i="2"/>
  <c r="J611" i="2"/>
  <c r="N517" i="2"/>
  <c r="P517" i="2"/>
  <c r="N1955" i="2"/>
  <c r="L626" i="2"/>
  <c r="L92" i="7"/>
  <c r="L93" i="7" s="1"/>
  <c r="P1249" i="2"/>
  <c r="Q153" i="6" s="1"/>
  <c r="N1594" i="2"/>
  <c r="P1594" i="2"/>
  <c r="L199" i="2"/>
  <c r="P1215" i="2"/>
  <c r="K248" i="6"/>
  <c r="M243" i="6"/>
  <c r="P119" i="2"/>
  <c r="N119" i="2"/>
  <c r="P1007" i="2"/>
  <c r="N1007" i="2"/>
  <c r="P1955" i="2"/>
  <c r="L55" i="7"/>
  <c r="L60" i="7" s="1"/>
  <c r="L953" i="2"/>
  <c r="P1201" i="2"/>
  <c r="Q145" i="6" s="1"/>
  <c r="P993" i="2"/>
  <c r="P73" i="7" s="1"/>
  <c r="J27" i="7"/>
  <c r="J29" i="7"/>
  <c r="L608" i="2"/>
  <c r="N608" i="2" s="1"/>
  <c r="N29" i="7" s="1"/>
  <c r="N808" i="2"/>
  <c r="O219" i="6" s="1"/>
  <c r="P1195" i="2"/>
  <c r="Q168" i="6" s="1"/>
  <c r="L1133" i="2"/>
  <c r="N1133" i="2" s="1"/>
  <c r="O109" i="6" s="1"/>
  <c r="M88" i="6"/>
  <c r="M89" i="6" s="1"/>
  <c r="L1113" i="2"/>
  <c r="P1078" i="2"/>
  <c r="Q69" i="6" s="1"/>
  <c r="P1128" i="2"/>
  <c r="Q104" i="6" s="1"/>
  <c r="L87" i="2"/>
  <c r="P87" i="2" s="1"/>
  <c r="N1444" i="2"/>
  <c r="X99" i="15"/>
  <c r="X100" i="15" s="1"/>
  <c r="Z100" i="15" s="1"/>
  <c r="H538" i="2"/>
  <c r="L538" i="2"/>
  <c r="J58" i="7"/>
  <c r="J60" i="7"/>
  <c r="P1469" i="2"/>
  <c r="N1469" i="2"/>
  <c r="N1056" i="2"/>
  <c r="O47" i="6" s="1"/>
  <c r="A16" i="6"/>
  <c r="A246" i="4"/>
  <c r="A247" i="4" s="1"/>
  <c r="A248" i="4" s="1"/>
  <c r="A249" i="4" s="1"/>
  <c r="N1000" i="2"/>
  <c r="O39" i="6" s="1"/>
  <c r="P1330" i="2"/>
  <c r="Q174" i="6" s="1"/>
  <c r="P1056" i="2"/>
  <c r="Q47" i="6" s="1"/>
  <c r="N993" i="2"/>
  <c r="N73" i="7" s="1"/>
  <c r="N820" i="2"/>
  <c r="O243" i="6" s="1"/>
  <c r="N1249" i="2"/>
  <c r="O153" i="6" s="1"/>
  <c r="N1300" i="2"/>
  <c r="N85" i="7" s="1"/>
  <c r="P782" i="2"/>
  <c r="Q24" i="6" s="1"/>
  <c r="P814" i="2"/>
  <c r="Q231" i="6" s="1"/>
  <c r="P1300" i="2"/>
  <c r="P85" i="7" s="1"/>
  <c r="N782" i="2"/>
  <c r="O24" i="6" s="1"/>
  <c r="L193" i="2"/>
  <c r="L1163" i="2"/>
  <c r="P1163" i="2" s="1"/>
  <c r="Q122" i="6" s="1"/>
  <c r="M121" i="6"/>
  <c r="M122" i="6" s="1"/>
  <c r="P188" i="2"/>
  <c r="N168" i="2"/>
  <c r="N602" i="2"/>
  <c r="N21" i="7" s="1"/>
  <c r="P602" i="2"/>
  <c r="P21" i="7" s="1"/>
  <c r="P599" i="2"/>
  <c r="P18" i="7" s="1"/>
  <c r="N1195" i="2"/>
  <c r="O168" i="6" s="1"/>
  <c r="N599" i="2"/>
  <c r="N18" i="7" s="1"/>
  <c r="N154" i="2"/>
  <c r="P154" i="2"/>
  <c r="L27" i="7"/>
  <c r="L29" i="7"/>
  <c r="N188" i="2"/>
  <c r="L1810" i="2"/>
  <c r="N1128" i="2"/>
  <c r="O104" i="6" s="1"/>
  <c r="N224" i="2"/>
  <c r="P97" i="2"/>
  <c r="N97" i="2"/>
  <c r="P1120" i="2"/>
  <c r="N1201" i="2"/>
  <c r="O145" i="6" s="1"/>
  <c r="P184" i="2"/>
  <c r="N1139" i="2"/>
  <c r="P1139" i="2"/>
  <c r="J225" i="2"/>
  <c r="J378" i="2" s="1"/>
  <c r="N696" i="2"/>
  <c r="P696" i="2"/>
  <c r="P756" i="2"/>
  <c r="P40" i="7" s="1"/>
  <c r="AB84" i="15"/>
  <c r="Z104" i="15"/>
  <c r="N184" i="2"/>
  <c r="N1062" i="2"/>
  <c r="O53" i="6" s="1"/>
  <c r="AB68" i="15"/>
  <c r="AB64" i="15"/>
  <c r="P1156" i="2"/>
  <c r="AB80" i="15"/>
  <c r="P1084" i="2"/>
  <c r="A1079" i="2"/>
  <c r="Z96" i="15"/>
  <c r="X161" i="15"/>
  <c r="A40" i="15"/>
  <c r="AB45" i="15"/>
  <c r="Z76" i="15"/>
  <c r="N377" i="2"/>
  <c r="P377" i="2"/>
  <c r="P314" i="2"/>
  <c r="N314" i="2"/>
  <c r="N564" i="2"/>
  <c r="P564" i="2"/>
  <c r="Z158" i="15"/>
  <c r="AB158" i="15"/>
  <c r="R159" i="15"/>
  <c r="N177" i="2"/>
  <c r="AB138" i="15"/>
  <c r="N27" i="7"/>
  <c r="N583" i="2"/>
  <c r="AB108" i="15"/>
  <c r="Z108" i="15"/>
  <c r="N587" i="2"/>
  <c r="P587" i="2"/>
  <c r="AB150" i="15"/>
  <c r="Z150" i="15"/>
  <c r="P591" i="2"/>
  <c r="N591" i="2"/>
  <c r="Z154" i="15"/>
  <c r="AB154" i="15"/>
  <c r="N579" i="2"/>
  <c r="AB142" i="15"/>
  <c r="Z142" i="15"/>
  <c r="P509" i="2"/>
  <c r="P522" i="2"/>
  <c r="AB134" i="15"/>
  <c r="Z125" i="15"/>
  <c r="AB125" i="15"/>
  <c r="A80" i="4"/>
  <c r="A16" i="4"/>
  <c r="A17" i="4" s="1"/>
  <c r="P719" i="2"/>
  <c r="N719" i="2"/>
  <c r="Z129" i="15"/>
  <c r="A126" i="15"/>
  <c r="AB129" i="15"/>
  <c r="P161" i="2"/>
  <c r="N161" i="2"/>
  <c r="P111" i="2"/>
  <c r="N111" i="2"/>
  <c r="A20" i="15"/>
  <c r="A26" i="15" s="1"/>
  <c r="L30" i="7" l="1"/>
  <c r="L31" i="7" s="1"/>
  <c r="L610" i="2"/>
  <c r="A250" i="4"/>
  <c r="A251" i="4"/>
  <c r="P626" i="2"/>
  <c r="P93" i="7" s="1"/>
  <c r="N626" i="2"/>
  <c r="N93" i="7" s="1"/>
  <c r="L200" i="2"/>
  <c r="M248" i="6"/>
  <c r="M250" i="6"/>
  <c r="L58" i="7"/>
  <c r="J94" i="7"/>
  <c r="P1133" i="2"/>
  <c r="Q109" i="6" s="1"/>
  <c r="N1113" i="2"/>
  <c r="O89" i="6" s="1"/>
  <c r="P1113" i="2"/>
  <c r="Q89" i="6" s="1"/>
  <c r="N87" i="2"/>
  <c r="AB100" i="15"/>
  <c r="X159" i="15"/>
  <c r="X162" i="15" s="1"/>
  <c r="P538" i="2"/>
  <c r="N538" i="2"/>
  <c r="A33" i="6"/>
  <c r="A40" i="6" s="1"/>
  <c r="N1163" i="2"/>
  <c r="O122" i="6" s="1"/>
  <c r="P608" i="2"/>
  <c r="P29" i="7" s="1"/>
  <c r="A34" i="15"/>
  <c r="A18" i="4"/>
  <c r="A19" i="4" s="1"/>
  <c r="A20" i="4" s="1"/>
  <c r="A21" i="4" s="1"/>
  <c r="A81" i="4"/>
  <c r="A82" i="4" s="1"/>
  <c r="P610" i="2" l="1"/>
  <c r="P31" i="7" s="1"/>
  <c r="N610" i="2"/>
  <c r="N31" i="7" s="1"/>
  <c r="A252" i="4"/>
  <c r="A254" i="4" s="1"/>
  <c r="A253" i="4"/>
  <c r="L201" i="2"/>
  <c r="L202" i="2" s="1"/>
  <c r="M251" i="6"/>
  <c r="A48" i="6"/>
  <c r="L1811" i="2"/>
  <c r="A22" i="4"/>
  <c r="A23" i="4" s="1"/>
  <c r="A46" i="15"/>
  <c r="A53" i="15" s="1"/>
  <c r="A83" i="4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59" i="15"/>
  <c r="A65" i="15" s="1"/>
  <c r="P202" i="2" l="1"/>
  <c r="N202" i="2"/>
  <c r="L204" i="2"/>
  <c r="L203" i="2"/>
  <c r="A61" i="6"/>
  <c r="A83" i="6" s="1"/>
  <c r="L1812" i="2"/>
  <c r="A24" i="4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101" i="4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69" i="15"/>
  <c r="H209" i="2" l="1"/>
  <c r="L209" i="2"/>
  <c r="A90" i="6"/>
  <c r="L1813" i="2"/>
  <c r="A37" i="4"/>
  <c r="A144" i="4"/>
  <c r="A143" i="4"/>
  <c r="A145" i="4"/>
  <c r="A73" i="15"/>
  <c r="H225" i="2" l="1"/>
  <c r="H378" i="2" s="1"/>
  <c r="P209" i="2"/>
  <c r="N209" i="2"/>
  <c r="L225" i="2"/>
  <c r="A97" i="6"/>
  <c r="L1814" i="2"/>
  <c r="A38" i="4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146" i="4"/>
  <c r="A147" i="4" s="1"/>
  <c r="A148" i="4" s="1"/>
  <c r="A149" i="4" s="1"/>
  <c r="A77" i="15"/>
  <c r="A81" i="15" s="1"/>
  <c r="A85" i="15" s="1"/>
  <c r="A89" i="15" s="1"/>
  <c r="A93" i="15" s="1"/>
  <c r="A97" i="15" s="1"/>
  <c r="A101" i="15" s="1"/>
  <c r="A105" i="15" s="1"/>
  <c r="L378" i="2" l="1"/>
  <c r="N225" i="2"/>
  <c r="P225" i="2"/>
  <c r="A105" i="6"/>
  <c r="A116" i="6" s="1"/>
  <c r="A140" i="6" s="1"/>
  <c r="A146" i="6" s="1"/>
  <c r="A162" i="6" s="1"/>
  <c r="A150" i="4"/>
  <c r="A152" i="4" s="1"/>
  <c r="A151" i="4"/>
  <c r="N1814" i="2"/>
  <c r="P1814" i="2"/>
  <c r="L1816" i="2"/>
  <c r="L1815" i="2"/>
  <c r="A50" i="4"/>
  <c r="A51" i="4" s="1"/>
  <c r="A113" i="15"/>
  <c r="A109" i="15"/>
  <c r="A120" i="2"/>
  <c r="L379" i="2" l="1"/>
  <c r="A169" i="6"/>
  <c r="A181" i="6" s="1"/>
  <c r="A195" i="6" s="1"/>
  <c r="A214" i="6" s="1"/>
  <c r="A226" i="6" s="1"/>
  <c r="A232" i="6" s="1"/>
  <c r="A153" i="4"/>
  <c r="A154" i="4" s="1"/>
  <c r="A155" i="4" s="1"/>
  <c r="A156" i="4" s="1"/>
  <c r="A157" i="4" s="1"/>
  <c r="A158" i="4" s="1"/>
  <c r="A159" i="4" s="1"/>
  <c r="A160" i="4" s="1"/>
  <c r="K1823" i="2"/>
  <c r="K1956" i="2" s="1"/>
  <c r="L1822" i="2"/>
  <c r="A52" i="4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121" i="15"/>
  <c r="A130" i="15" s="1"/>
  <c r="A135" i="15" s="1"/>
  <c r="A139" i="15" s="1"/>
  <c r="A143" i="15" s="1"/>
  <c r="A147" i="15" s="1"/>
  <c r="A151" i="15" s="1"/>
  <c r="A155" i="15" s="1"/>
  <c r="A136" i="2"/>
  <c r="L380" i="2" l="1"/>
  <c r="A238" i="6"/>
  <c r="A244" i="6" s="1"/>
  <c r="K1957" i="2"/>
  <c r="A161" i="4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I1823" i="2"/>
  <c r="I1956" i="2" s="1"/>
  <c r="L1823" i="2"/>
  <c r="L1956" i="2" s="1"/>
  <c r="L381" i="2" l="1"/>
  <c r="A172" i="4"/>
  <c r="A173" i="4" s="1"/>
  <c r="P1823" i="2"/>
  <c r="I1957" i="2"/>
  <c r="N1823" i="2"/>
  <c r="L382" i="2" l="1"/>
  <c r="A174" i="4"/>
  <c r="A175" i="4" s="1"/>
  <c r="L383" i="2" l="1"/>
  <c r="A176" i="4"/>
  <c r="A177" i="4" s="1"/>
  <c r="A178" i="4" s="1"/>
  <c r="A179" i="4" s="1"/>
  <c r="A180" i="4" s="1"/>
  <c r="A181" i="4" s="1"/>
  <c r="L384" i="2" l="1"/>
  <c r="A182" i="4"/>
  <c r="A183" i="4" s="1"/>
  <c r="L385" i="2" l="1"/>
  <c r="A184" i="4"/>
  <c r="A1675" i="2"/>
  <c r="L386" i="2" l="1"/>
  <c r="A185" i="4"/>
  <c r="N58" i="7"/>
  <c r="L387" i="2" l="1"/>
  <c r="A186" i="4"/>
  <c r="N953" i="2"/>
  <c r="N60" i="7" s="1"/>
  <c r="P953" i="2"/>
  <c r="P60" i="7" s="1"/>
  <c r="L388" i="2" l="1"/>
  <c r="A187" i="4"/>
  <c r="A188" i="4" s="1"/>
  <c r="A189" i="4" s="1"/>
  <c r="X773" i="2"/>
  <c r="L389" i="2" l="1"/>
  <c r="A191" i="4"/>
  <c r="A190" i="4"/>
  <c r="A192" i="4" s="1"/>
  <c r="N1098" i="2"/>
  <c r="N80" i="7" s="1"/>
  <c r="P1098" i="2"/>
  <c r="P80" i="7" s="1"/>
  <c r="L390" i="2" l="1"/>
  <c r="A194" i="4"/>
  <c r="A193" i="4"/>
  <c r="A195" i="4" s="1"/>
  <c r="X1840" i="2"/>
  <c r="L391" i="2" l="1"/>
  <c r="A198" i="4"/>
  <c r="A197" i="4"/>
  <c r="A196" i="4"/>
  <c r="A199" i="4" s="1"/>
  <c r="X1399" i="2"/>
  <c r="N391" i="2" l="1"/>
  <c r="P391" i="2"/>
  <c r="L392" i="2"/>
  <c r="A201" i="4"/>
  <c r="A200" i="4"/>
  <c r="N79" i="8"/>
  <c r="N65" i="8"/>
  <c r="N10" i="8"/>
  <c r="N94" i="8"/>
  <c r="M40" i="8"/>
  <c r="L393" i="2" l="1"/>
  <c r="A211" i="4"/>
  <c r="A202" i="4"/>
  <c r="A214" i="4" s="1"/>
  <c r="A207" i="4"/>
  <c r="A208" i="4"/>
  <c r="A204" i="4"/>
  <c r="A203" i="4"/>
  <c r="A1210" i="2"/>
  <c r="A220" i="4" l="1"/>
  <c r="A219" i="4"/>
  <c r="A216" i="4"/>
  <c r="A217" i="4"/>
  <c r="L394" i="2"/>
  <c r="A213" i="4"/>
  <c r="A215" i="4"/>
  <c r="A206" i="4"/>
  <c r="A212" i="4"/>
  <c r="A218" i="4"/>
  <c r="A209" i="4"/>
  <c r="A210" i="4"/>
  <c r="A205" i="4"/>
  <c r="A221" i="4" s="1"/>
  <c r="A1362" i="2"/>
  <c r="L395" i="2" l="1"/>
  <c r="A1400" i="2"/>
  <c r="A1389" i="2"/>
  <c r="L396" i="2" l="1"/>
  <c r="X1249" i="2"/>
  <c r="X1279" i="2"/>
  <c r="L397" i="2" l="1"/>
  <c r="A1408" i="2"/>
  <c r="K439" i="2"/>
  <c r="K611" i="2" s="1"/>
  <c r="K612" i="2" s="1"/>
  <c r="L398" i="2" l="1"/>
  <c r="K1958" i="2"/>
  <c r="I439" i="2"/>
  <c r="L399" i="2" l="1"/>
  <c r="I611" i="2"/>
  <c r="I612" i="2" s="1"/>
  <c r="P439" i="2"/>
  <c r="N439" i="2"/>
  <c r="L400" i="2" l="1"/>
  <c r="I1958" i="2"/>
  <c r="I1962" i="2" s="1"/>
  <c r="L401" i="2" l="1"/>
  <c r="A576" i="2"/>
  <c r="A1348" i="2"/>
  <c r="A1461" i="2"/>
  <c r="P401" i="2" l="1"/>
  <c r="N401" i="2"/>
  <c r="H423" i="2"/>
  <c r="L402" i="2"/>
  <c r="L423" i="2" s="1"/>
  <c r="H611" i="2" l="1"/>
  <c r="H612" i="2" s="1"/>
  <c r="H1958" i="2" s="1"/>
  <c r="N423" i="2"/>
  <c r="P423" i="2"/>
  <c r="L611" i="2"/>
  <c r="A169" i="2"/>
  <c r="X1860" i="2" l="1"/>
  <c r="X1882" i="2"/>
  <c r="X194" i="2" l="1"/>
  <c r="A1404" i="2" l="1"/>
  <c r="A1412" i="2" l="1"/>
  <c r="A1457" i="2"/>
  <c r="X696" i="2"/>
  <c r="X1237" i="2"/>
  <c r="A1433" i="2" l="1"/>
  <c r="A1437" i="2" s="1"/>
  <c r="A1441" i="2" s="1"/>
  <c r="A1445" i="2" s="1"/>
  <c r="A1933" i="2" l="1"/>
  <c r="A588" i="2" l="1"/>
  <c r="A1383" i="2" l="1"/>
  <c r="X1868" i="2" l="1"/>
  <c r="X637" i="2" l="1"/>
  <c r="X423" i="2" l="1"/>
  <c r="A1453" i="2" l="1"/>
  <c r="A854" i="2"/>
  <c r="A518" i="2"/>
  <c r="A315" i="2"/>
  <c r="P193" i="2" l="1"/>
  <c r="N193" i="2"/>
  <c r="A279" i="2" l="1"/>
  <c r="A580" i="2" l="1"/>
  <c r="A584" i="2" l="1"/>
  <c r="A1085" i="2" l="1"/>
  <c r="Z1078" i="2"/>
  <c r="X1078" i="2"/>
  <c r="X1361" i="2"/>
  <c r="X1900" i="2" l="1"/>
  <c r="X278" i="2" l="1"/>
  <c r="A1449" i="2" l="1"/>
  <c r="X845" i="2"/>
  <c r="Z844" i="2"/>
  <c r="X963" i="2"/>
  <c r="X1048" i="2"/>
  <c r="X1804" i="2"/>
  <c r="X1289" i="2" l="1"/>
  <c r="P1290" i="2" l="1"/>
  <c r="X341" i="2" l="1"/>
  <c r="N110" i="8" l="1"/>
  <c r="N125" i="8"/>
  <c r="N123" i="8"/>
  <c r="N114" i="8"/>
  <c r="N187" i="8"/>
  <c r="N217" i="8"/>
  <c r="N181" i="8"/>
  <c r="N202" i="8"/>
  <c r="N154" i="8"/>
  <c r="N165" i="8"/>
  <c r="N44" i="8"/>
  <c r="N3" i="8"/>
  <c r="N121" i="8"/>
  <c r="N112" i="8"/>
  <c r="N70" i="8"/>
  <c r="N32" i="8"/>
  <c r="N8" i="8"/>
  <c r="N107" i="8"/>
  <c r="N183" i="8"/>
  <c r="N213" i="8"/>
  <c r="N157" i="8"/>
  <c r="N198" i="8"/>
  <c r="N150" i="8"/>
  <c r="N126" i="8"/>
  <c r="N5" i="8"/>
  <c r="N48" i="8"/>
  <c r="N108" i="8"/>
  <c r="N139" i="8"/>
  <c r="N81" i="8"/>
  <c r="N40" i="8"/>
  <c r="N82" i="8"/>
  <c r="N72" i="8"/>
  <c r="N37" i="8"/>
  <c r="N91" i="8"/>
  <c r="N231" i="8"/>
  <c r="N220" i="8"/>
  <c r="N172" i="8"/>
  <c r="N227" i="8"/>
  <c r="N179" i="8"/>
  <c r="N209" i="8"/>
  <c r="N242" i="8"/>
  <c r="N194" i="8"/>
  <c r="N146" i="8"/>
  <c r="N45" i="8"/>
  <c r="N23" i="8"/>
  <c r="N19" i="8"/>
  <c r="N119" i="8"/>
  <c r="N20" i="8"/>
  <c r="N31" i="8"/>
  <c r="N90" i="8"/>
  <c r="N100" i="8"/>
  <c r="N38" i="8"/>
  <c r="N74" i="8"/>
  <c r="N93" i="8"/>
  <c r="N235" i="8"/>
  <c r="N216" i="8"/>
  <c r="N168" i="8"/>
  <c r="N223" i="8"/>
  <c r="N175" i="8"/>
  <c r="N205" i="8"/>
  <c r="N238" i="8"/>
  <c r="N190" i="8"/>
  <c r="N221" i="8"/>
  <c r="N133" i="8"/>
  <c r="N134" i="8"/>
  <c r="N143" i="8"/>
  <c r="N138" i="8"/>
  <c r="N129" i="8"/>
  <c r="N73" i="8"/>
  <c r="N57" i="8"/>
  <c r="N52" i="8"/>
  <c r="N105" i="8"/>
  <c r="N63" i="8"/>
  <c r="N180" i="8"/>
  <c r="N164" i="8"/>
  <c r="N219" i="8"/>
  <c r="N171" i="8"/>
  <c r="N193" i="8"/>
  <c r="N234" i="8"/>
  <c r="N186" i="8"/>
  <c r="N197" i="8"/>
  <c r="N120" i="8"/>
  <c r="N12" i="8"/>
  <c r="N130" i="8"/>
  <c r="N47" i="8"/>
  <c r="N116" i="8"/>
  <c r="N98" i="8"/>
  <c r="N36" i="8"/>
  <c r="N76" i="8"/>
  <c r="N46" i="8"/>
  <c r="N111" i="8"/>
  <c r="N61" i="8"/>
  <c r="N176" i="8"/>
  <c r="N160" i="8"/>
  <c r="N215" i="8"/>
  <c r="N167" i="8"/>
  <c r="N189" i="8"/>
  <c r="N230" i="8"/>
  <c r="N182" i="8"/>
  <c r="N185" i="8"/>
  <c r="N115" i="8"/>
  <c r="N22" i="8"/>
  <c r="N14" i="8"/>
  <c r="N17" i="8"/>
  <c r="N49" i="8"/>
  <c r="N109" i="8"/>
  <c r="N55" i="8"/>
  <c r="N97" i="8"/>
  <c r="N68" i="8"/>
  <c r="N106" i="8"/>
  <c r="N212" i="8"/>
  <c r="N208" i="8"/>
  <c r="N204" i="8"/>
  <c r="N156" i="8"/>
  <c r="N211" i="8"/>
  <c r="N163" i="8"/>
  <c r="N173" i="8"/>
  <c r="N226" i="8"/>
  <c r="N178" i="8"/>
  <c r="N169" i="8"/>
  <c r="N137" i="8"/>
  <c r="N122" i="8"/>
  <c r="N142" i="8"/>
  <c r="N18" i="8"/>
  <c r="N43" i="8"/>
  <c r="N42" i="8"/>
  <c r="N92" i="8"/>
  <c r="N66" i="8"/>
  <c r="N35" i="8"/>
  <c r="N75" i="8"/>
  <c r="N26" i="8"/>
  <c r="N200" i="8"/>
  <c r="N152" i="8"/>
  <c r="N207" i="8"/>
  <c r="N159" i="8"/>
  <c r="N153" i="8"/>
  <c r="N222" i="8"/>
  <c r="N174" i="8"/>
  <c r="N149" i="8"/>
  <c r="N124" i="8"/>
  <c r="N140" i="8"/>
  <c r="N4" i="8"/>
  <c r="N118" i="8"/>
  <c r="N13" i="8"/>
  <c r="N67" i="8"/>
  <c r="N78" i="8"/>
  <c r="N104" i="8"/>
  <c r="N89" i="8"/>
  <c r="N34" i="8"/>
  <c r="N224" i="8"/>
  <c r="N196" i="8"/>
  <c r="N148" i="8"/>
  <c r="N203" i="8"/>
  <c r="N155" i="8"/>
  <c r="N225" i="8"/>
  <c r="N218" i="8"/>
  <c r="N170" i="8"/>
  <c r="N233" i="8"/>
  <c r="N54" i="8"/>
  <c r="N141" i="8"/>
  <c r="N15" i="8"/>
  <c r="N51" i="8"/>
  <c r="N127" i="8"/>
  <c r="N87" i="8"/>
  <c r="N33" i="8"/>
  <c r="N71" i="8"/>
  <c r="N103" i="8"/>
  <c r="N62" i="8"/>
  <c r="N58" i="8"/>
  <c r="N228" i="8"/>
  <c r="N240" i="8"/>
  <c r="N192" i="8"/>
  <c r="N144" i="8"/>
  <c r="N199" i="8"/>
  <c r="N151" i="8"/>
  <c r="N161" i="8"/>
  <c r="N214" i="8"/>
  <c r="N166" i="8"/>
  <c r="N177" i="8"/>
  <c r="N16" i="8"/>
  <c r="N128" i="8"/>
  <c r="N117" i="8"/>
  <c r="N28" i="8"/>
  <c r="N135" i="8"/>
  <c r="N59" i="8"/>
  <c r="N102" i="8"/>
  <c r="N99" i="8"/>
  <c r="N30" i="8"/>
  <c r="N96" i="8"/>
  <c r="N88" i="8"/>
  <c r="N236" i="8"/>
  <c r="N188" i="8"/>
  <c r="N243" i="8"/>
  <c r="N195" i="8"/>
  <c r="N147" i="8"/>
  <c r="N237" i="8"/>
  <c r="N210" i="8"/>
  <c r="N162" i="8"/>
  <c r="N145" i="8"/>
  <c r="N41" i="8"/>
  <c r="N132" i="8"/>
  <c r="N136" i="8"/>
  <c r="N6" i="8"/>
  <c r="N113" i="8"/>
  <c r="N95" i="8"/>
  <c r="N24" i="8"/>
  <c r="N60" i="8"/>
  <c r="N64" i="8"/>
  <c r="N56" i="8"/>
  <c r="N85" i="8"/>
  <c r="N244" i="8"/>
  <c r="N232" i="8"/>
  <c r="N184" i="8"/>
  <c r="N239" i="8"/>
  <c r="N191" i="8"/>
  <c r="N241" i="8"/>
  <c r="N201" i="8"/>
  <c r="N206" i="8"/>
  <c r="N158" i="8"/>
  <c r="N229" i="8"/>
  <c r="N50" i="8"/>
  <c r="N21" i="8"/>
  <c r="N131" i="8"/>
  <c r="N7" i="8"/>
  <c r="N27" i="8"/>
  <c r="N83" i="8"/>
  <c r="N53" i="8"/>
  <c r="N80" i="8"/>
  <c r="N84" i="8"/>
  <c r="N25" i="8"/>
  <c r="N77" i="8"/>
  <c r="N86" i="8"/>
  <c r="N69" i="8"/>
  <c r="N101" i="8"/>
  <c r="M51" i="8"/>
  <c r="N2" i="8" s="1"/>
  <c r="N9" i="8"/>
  <c r="K22" i="8" l="1"/>
  <c r="N29" i="8"/>
  <c r="A1255" i="2" l="1"/>
  <c r="A1273" i="2"/>
  <c r="A1151" i="2"/>
  <c r="A883" i="2"/>
  <c r="J867" i="2" l="1"/>
  <c r="N867" i="2" l="1"/>
  <c r="N46" i="7" s="1"/>
  <c r="P867" i="2"/>
  <c r="P46" i="7" s="1"/>
  <c r="A1805" i="2" l="1"/>
  <c r="A1041" i="2" l="1"/>
  <c r="X820" i="2" l="1"/>
  <c r="X1222" i="2" l="1"/>
  <c r="X377" i="2" l="1"/>
  <c r="X378" i="2" l="1"/>
  <c r="O379" i="2"/>
  <c r="X1098" i="2" l="1"/>
  <c r="X1295" i="2"/>
  <c r="X1309" i="2"/>
  <c r="X1607" i="2"/>
  <c r="X1625" i="2"/>
  <c r="X1823" i="2"/>
  <c r="A821" i="2" l="1"/>
  <c r="A783" i="2"/>
  <c r="A703" i="2"/>
  <c r="L613" i="2"/>
  <c r="J622" i="2"/>
  <c r="J1599" i="2" s="1"/>
  <c r="L614" i="2"/>
  <c r="J1957" i="2" l="1"/>
  <c r="L622" i="2"/>
  <c r="N622" i="2" l="1"/>
  <c r="P622" i="2"/>
  <c r="A797" i="2" l="1"/>
  <c r="X1209" i="2" l="1"/>
  <c r="X1272" i="2"/>
  <c r="X538" i="2" l="1"/>
  <c r="X909" i="2" l="1"/>
  <c r="X465" i="2" l="1"/>
  <c r="X489" i="2"/>
  <c r="A1476" i="2"/>
  <c r="A1481" i="2"/>
  <c r="A789" i="2"/>
  <c r="A561" i="2"/>
  <c r="A93" i="2"/>
  <c r="F6" i="4"/>
  <c r="I6" i="4" s="1"/>
  <c r="J79" i="2" s="1"/>
  <c r="J6" i="4"/>
  <c r="J80" i="2" l="1"/>
  <c r="L79" i="2"/>
  <c r="L80" i="2" s="1"/>
  <c r="P80" i="2" s="1"/>
  <c r="F5" i="4"/>
  <c r="F69" i="4" s="1"/>
  <c r="E70" i="4" s="1"/>
  <c r="J5" i="4"/>
  <c r="J69" i="4" l="1"/>
  <c r="K21" i="8" s="1"/>
  <c r="J71" i="4"/>
  <c r="J73" i="4" s="1"/>
  <c r="I265" i="4"/>
  <c r="I266" i="4" s="1"/>
  <c r="I268" i="4" s="1"/>
  <c r="N80" i="2"/>
  <c r="I5" i="4"/>
  <c r="J37" i="2" s="1"/>
  <c r="I69" i="4" l="1"/>
  <c r="K23" i="8"/>
  <c r="K25" i="8" s="1"/>
  <c r="E256" i="4"/>
  <c r="I256" i="4" s="1"/>
  <c r="I70" i="4"/>
  <c r="J38" i="2" l="1"/>
  <c r="L37" i="2"/>
  <c r="L38" i="2" s="1"/>
  <c r="L60" i="2"/>
  <c r="J61" i="2"/>
  <c r="P38" i="2" l="1"/>
  <c r="N38" i="2"/>
  <c r="L61" i="2"/>
  <c r="J88" i="2"/>
  <c r="J194" i="2" s="1"/>
  <c r="J612" i="2" s="1"/>
  <c r="J1958" i="2" s="1"/>
  <c r="M1960" i="2" s="1"/>
  <c r="N61" i="2" l="1"/>
  <c r="P61" i="2"/>
  <c r="L88" i="2"/>
  <c r="P88" i="2" s="1"/>
  <c r="A16" i="2" l="1"/>
  <c r="N88" i="2"/>
  <c r="L194" i="2"/>
  <c r="L612" i="2" s="1"/>
  <c r="A89" i="2" l="1"/>
  <c r="A98" i="2" l="1"/>
  <c r="A112" i="2" l="1"/>
  <c r="A125" i="2" l="1"/>
  <c r="A140" i="2" s="1"/>
  <c r="A162" i="2" l="1"/>
  <c r="A178" i="2" s="1"/>
  <c r="A195" i="2" l="1"/>
  <c r="A226" i="2" l="1"/>
  <c r="A230" i="2" s="1"/>
  <c r="A234" i="2" l="1"/>
  <c r="A240" i="2" l="1"/>
  <c r="A247" i="2" l="1"/>
  <c r="A252" i="2" s="1"/>
  <c r="A264" i="2" s="1"/>
  <c r="A269" i="2" s="1"/>
  <c r="A294" i="2" l="1"/>
  <c r="A287" i="2"/>
  <c r="A301" i="2" l="1"/>
  <c r="A329" i="2" s="1"/>
  <c r="A342" i="2" s="1"/>
  <c r="A379" i="2" l="1"/>
  <c r="A392" i="2" l="1"/>
  <c r="X1713" i="2"/>
  <c r="A402" i="2" l="1"/>
  <c r="A1107" i="2"/>
  <c r="X611" i="2"/>
  <c r="Y489" i="2"/>
  <c r="Z489" i="2" s="1"/>
  <c r="X509" i="2"/>
  <c r="A424" i="2" l="1"/>
  <c r="A1114" i="2"/>
  <c r="X612" i="2"/>
  <c r="X678" i="2"/>
  <c r="X927" i="2"/>
  <c r="A440" i="2" l="1"/>
  <c r="A523" i="2"/>
  <c r="A446" i="2" l="1"/>
  <c r="A455" i="2" s="1"/>
  <c r="A466" i="2" s="1"/>
  <c r="A490" i="2" l="1"/>
  <c r="A510" i="2" s="1"/>
  <c r="X1201" i="2"/>
  <c r="A539" i="2" l="1"/>
  <c r="A565" i="2" s="1"/>
  <c r="A569" i="2" s="1"/>
  <c r="A596" i="2" s="1"/>
  <c r="X1691" i="2"/>
  <c r="A600" i="2" l="1"/>
  <c r="A603" i="2" l="1"/>
  <c r="A609" i="2" l="1"/>
  <c r="A613" i="2" l="1"/>
  <c r="A623" i="2" s="1"/>
  <c r="A627" i="2" l="1"/>
  <c r="A643" i="2" l="1"/>
  <c r="A651" i="2" l="1"/>
  <c r="A742" i="2" l="1"/>
  <c r="A826" i="2" l="1"/>
  <c r="A1024" i="2" l="1"/>
  <c r="A1134" i="2" l="1"/>
  <c r="Y38" i="2"/>
  <c r="AA38" i="2" s="1"/>
  <c r="X38" i="2"/>
  <c r="A1223" i="2" l="1"/>
  <c r="A1238" i="2" l="1"/>
  <c r="A1280" i="2" l="1"/>
  <c r="X1787" i="2" l="1"/>
  <c r="A697" i="2" l="1"/>
  <c r="A970" i="2"/>
  <c r="A1001" i="2"/>
  <c r="A1416" i="2"/>
  <c r="A1465" i="2"/>
  <c r="A1487" i="2"/>
  <c r="A1573" i="2"/>
  <c r="A1901" i="2"/>
  <c r="A1907" i="2"/>
  <c r="G88" i="7" l="1"/>
  <c r="L663" i="2"/>
  <c r="X664" i="2"/>
  <c r="X663" i="2"/>
  <c r="L664" i="2" l="1"/>
  <c r="G89" i="7"/>
  <c r="L88" i="7"/>
  <c r="L96" i="7" l="1"/>
  <c r="L1599" i="2"/>
  <c r="L1957" i="2" s="1"/>
  <c r="F94" i="7"/>
  <c r="P664" i="2"/>
  <c r="P89" i="7" s="1"/>
  <c r="N664" i="2"/>
  <c r="N89" i="7" s="1"/>
  <c r="A661" i="2"/>
  <c r="L89" i="7"/>
  <c r="L94" i="7" s="1"/>
  <c r="L97" i="7" l="1"/>
  <c r="L1958" i="2"/>
  <c r="A665" i="2"/>
  <c r="A679" i="2" l="1"/>
  <c r="A686" i="2" l="1"/>
  <c r="A720" i="2" l="1"/>
  <c r="A748" i="2" l="1"/>
  <c r="A757" i="2" l="1"/>
  <c r="A765" i="2" l="1"/>
  <c r="A774" i="2" s="1"/>
  <c r="A803" i="2" s="1"/>
  <c r="A809" i="2" s="1"/>
  <c r="A815" i="2" l="1"/>
  <c r="A831" i="2" l="1"/>
  <c r="A837" i="2" s="1"/>
  <c r="A846" i="2" s="1"/>
  <c r="A862" i="2" s="1"/>
  <c r="A868" i="2" s="1"/>
  <c r="A876" i="2" l="1"/>
  <c r="A891" i="2" s="1"/>
  <c r="A900" i="2" l="1"/>
  <c r="A910" i="2" l="1"/>
  <c r="A933" i="2" l="1"/>
  <c r="A942" i="2" l="1"/>
  <c r="A1129" i="2"/>
  <c r="A957" i="2" l="1"/>
  <c r="X1145" i="2"/>
  <c r="A964" i="2" l="1"/>
  <c r="A976" i="2" s="1"/>
  <c r="G1957" i="2"/>
  <c r="G1958" i="2" s="1"/>
  <c r="X1599" i="2"/>
  <c r="A982" i="2" l="1"/>
  <c r="L1960" i="2"/>
  <c r="AA1958" i="2"/>
  <c r="A988" i="2" l="1"/>
  <c r="A994" i="2" l="1"/>
  <c r="A1008" i="2" s="1"/>
  <c r="A1017" i="2" l="1"/>
  <c r="A1035" i="2" s="1"/>
  <c r="A1049" i="2" s="1"/>
  <c r="A1057" i="2" l="1"/>
  <c r="A1070" i="2" s="1"/>
  <c r="A1092" i="2" s="1"/>
  <c r="A1099" i="2" s="1"/>
  <c r="A1121" i="2" s="1"/>
  <c r="A1140" i="2" l="1"/>
  <c r="A1157" i="2" l="1"/>
  <c r="A1189" i="2" l="1"/>
  <c r="A1196" i="2" l="1"/>
  <c r="A1202" i="2" l="1"/>
  <c r="A1216" i="2" s="1"/>
  <c r="A1230" i="2" s="1"/>
  <c r="A1242" i="2" l="1"/>
  <c r="A1250" i="2" l="1"/>
  <c r="A1267" i="2" l="1"/>
  <c r="A1285" i="2" l="1"/>
  <c r="A1291" i="2" s="1"/>
  <c r="A1296" i="2" s="1"/>
  <c r="A1301" i="2" s="1"/>
  <c r="A1310" i="2" l="1"/>
  <c r="A1325" i="2" l="1"/>
  <c r="A1335" i="2" l="1"/>
  <c r="A1354" i="2" l="1"/>
  <c r="A1374" i="2" l="1"/>
  <c r="A1395" i="2" l="1"/>
  <c r="A1422" i="2" s="1"/>
  <c r="A1428" i="2" s="1"/>
  <c r="A1470" i="2" l="1"/>
  <c r="A1491" i="2" s="1"/>
  <c r="A1496" i="2" s="1"/>
  <c r="A1501" i="2" s="1"/>
  <c r="A1506" i="2" l="1"/>
  <c r="A1512" i="2"/>
  <c r="A1517" i="2" l="1"/>
  <c r="A1523" i="2" l="1"/>
  <c r="A1529" i="2" l="1"/>
  <c r="A1533" i="2" l="1"/>
  <c r="A1539" i="2" l="1"/>
  <c r="A1543" i="2" l="1"/>
  <c r="A1548" i="2" l="1"/>
  <c r="A1554" i="2" l="1"/>
  <c r="A1559" i="2" l="1"/>
  <c r="A1569" i="2" l="1"/>
  <c r="A1578" i="2" l="1"/>
  <c r="A1583" i="2" s="1"/>
  <c r="A1591" i="2" l="1"/>
  <c r="A1600" i="2" s="1"/>
  <c r="A1614" i="2" s="1"/>
  <c r="A1629" i="2" s="1"/>
  <c r="A1659" i="2" s="1"/>
  <c r="A1667" i="2" s="1"/>
  <c r="A1683" i="2" s="1"/>
  <c r="A1702" i="2" s="1"/>
  <c r="A1723" i="2" s="1"/>
  <c r="A1761" i="2" s="1"/>
  <c r="A1767" i="2" s="1"/>
  <c r="A1781" i="2" s="1"/>
  <c r="A1788" i="2" s="1"/>
  <c r="A1795" i="2" s="1"/>
  <c r="A1815" i="2" s="1"/>
  <c r="A1833" i="2" s="1"/>
  <c r="A1841" i="2" s="1"/>
  <c r="A1846" i="2" s="1"/>
  <c r="A1852" i="2" s="1"/>
  <c r="A1861" i="2" s="1"/>
  <c r="A1869" i="2" s="1"/>
  <c r="A1877" i="2" s="1"/>
  <c r="A1883" i="2" s="1"/>
  <c r="A1910" i="2" s="1"/>
  <c r="A1913" i="2" s="1"/>
  <c r="A1919" i="2" s="1"/>
  <c r="A1937" i="2" s="1"/>
  <c r="A194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W1" authorId="0" shapeId="0" xr:uid="{00000000-0006-0000-0000-000001000000}">
      <text>
        <r>
          <rPr>
            <b/>
            <sz val="11"/>
            <color indexed="81"/>
            <rFont val="Times New Roman"/>
            <family val="1"/>
          </rPr>
          <t>Author:
Cột so sánh ETM</t>
        </r>
      </text>
    </comment>
    <comment ref="X1" authorId="0" shapeId="0" xr:uid="{00000000-0006-0000-0000-000002000000}">
      <text>
        <r>
          <rPr>
            <b/>
            <sz val="11"/>
            <color indexed="81"/>
            <rFont val="Tahoma"/>
            <family val="2"/>
          </rPr>
          <t>Author:
Cột so sánh Usage</t>
        </r>
      </text>
    </comment>
    <comment ref="C44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
phun mọt từ ngày  17/12/25-29/12/25</t>
        </r>
      </text>
    </comment>
    <comment ref="C48" authorId="0" shapeId="0" xr:uid="{00000000-0006-0000-0000-000004000000}">
      <text>
        <r>
          <rPr>
            <sz val="9"/>
            <color indexed="81"/>
            <rFont val="Tahoma"/>
            <family val="2"/>
          </rPr>
          <t xml:space="preserve">
Phun mọt từ ngày 04/2/2026-14/2/2026</t>
        </r>
      </text>
    </comment>
    <comment ref="C129" authorId="0" shapeId="0" xr:uid="{00000000-0006-0000-0000-000005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30" authorId="0" shapeId="0" xr:uid="{00000000-0006-0000-0000-000006000000}">
      <text>
        <r>
          <rPr>
            <sz val="9"/>
            <color indexed="81"/>
            <rFont val="Tahoma"/>
            <family val="2"/>
          </rPr>
          <t xml:space="preserve">
WBP</t>
        </r>
      </text>
    </comment>
    <comment ref="C131" authorId="0" shapeId="0" xr:uid="{00000000-0006-0000-0000-000007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32" authorId="0" shapeId="0" xr:uid="{00000000-0006-0000-0000-000008000000}">
      <text>
        <r>
          <rPr>
            <sz val="9"/>
            <color indexed="81"/>
            <rFont val="Tahoma"/>
            <family val="2"/>
          </rPr>
          <t xml:space="preserve">
WBP</t>
        </r>
      </text>
    </comment>
    <comment ref="C133" authorId="0" shapeId="0" xr:uid="{00000000-0006-0000-0000-000009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46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Phun mọt từ 28/08/2026 - 08/09/2026</t>
        </r>
      </text>
    </comment>
    <comment ref="B315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Bột gia cầm sử dụng cám thí nghiệm</t>
        </r>
      </text>
    </comment>
    <comment ref="C337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Loại FM 60%</t>
        </r>
      </text>
    </comment>
    <comment ref="C408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13" authorId="0" shapeId="0" xr:uid="{00000000-0006-0000-0000-00000F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4" authorId="0" shapeId="0" xr:uid="{00000000-0006-0000-0000-000010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5" authorId="0" shapeId="0" xr:uid="{00000000-0006-0000-0000-000011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6" authorId="0" shapeId="0" xr:uid="{00000000-0006-0000-0000-000012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7" authorId="0" shapeId="0" xr:uid="{00000000-0006-0000-0000-000013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24" authorId="0" shapeId="0" xr:uid="{00000000-0006-0000-0000-000014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5" authorId="0" shapeId="0" xr:uid="{00000000-0006-0000-0000-000015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6" authorId="0" shapeId="0" xr:uid="{00000000-0006-0000-0000-000016000000}">
      <text>
        <r>
          <rPr>
            <sz val="9"/>
            <color indexed="81"/>
            <rFont val="Tahoma"/>
            <family val="2"/>
          </rPr>
          <t xml:space="preserve">
20 Túi bigbag</t>
        </r>
      </text>
    </comment>
    <comment ref="C427" authorId="0" shapeId="0" xr:uid="{00000000-0006-0000-0000-000017000000}">
      <text>
        <r>
          <rPr>
            <sz val="9"/>
            <color indexed="81"/>
            <rFont val="Tahoma"/>
            <family val="2"/>
          </rPr>
          <t xml:space="preserve">
20 Túi bigbag</t>
        </r>
      </text>
    </comment>
    <comment ref="C428" authorId="0" shapeId="0" xr:uid="{00000000-0006-0000-0000-000018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9" authorId="0" shapeId="0" xr:uid="{00000000-0006-0000-0000-000019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30" authorId="0" shapeId="0" xr:uid="{00000000-0006-0000-0000-00001A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31" authorId="0" shapeId="0" xr:uid="{00000000-0006-0000-0000-00001B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40" authorId="0" shapeId="0" xr:uid="{00000000-0006-0000-0000-00001C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1" authorId="0" shapeId="0" xr:uid="{00000000-0006-0000-0000-00001D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2" authorId="0" shapeId="0" xr:uid="{00000000-0006-0000-0000-00001E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3" authorId="0" shapeId="0" xr:uid="{00000000-0006-0000-0000-00001F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7" authorId="0" shapeId="0" xr:uid="{00000000-0006-0000-0000-000020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8" authorId="0" shapeId="0" xr:uid="{00000000-0006-0000-0000-000021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9" authorId="0" shapeId="0" xr:uid="{2CF88B0F-E7A2-4BA5-995F-A6E553CC1CC4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0" authorId="0" shapeId="0" xr:uid="{00000000-0006-0000-0000-000023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1" authorId="0" shapeId="0" xr:uid="{00000000-0006-0000-0000-000024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63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4" authorId="0" shapeId="0" xr:uid="{929ED895-8B8B-4936-9396-880532B1463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5" authorId="0" shapeId="0" xr:uid="{3DD86F5D-C592-47C8-9090-867E40E1D00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6" authorId="0" shapeId="0" xr:uid="{F5DADB3E-51B2-4BD4-89DC-2452100B01F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7" authorId="0" shapeId="0" xr:uid="{6CF8581C-8A97-48F4-A0AF-CF9A2400D23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8" authorId="0" shapeId="0" xr:uid="{B053E84D-6529-41F1-B6D3-3A18061BA10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9" authorId="0" shapeId="0" xr:uid="{627A0D65-31B9-4564-B42E-B721EA8C9AC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0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1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2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3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4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5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6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7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0" authorId="0" shapeId="0" xr:uid="{B2D143E7-FED5-4DBF-9E48-2B775F5FFE23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1" authorId="0" shapeId="0" xr:uid="{73CC412B-D408-494B-B457-77A45DD51609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2" authorId="0" shapeId="0" xr:uid="{CAAD274C-40A6-4662-BA19-95E31861C8FF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3" authorId="0" shapeId="0" xr:uid="{00000000-0006-0000-0000-000032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4" authorId="0" shapeId="0" xr:uid="{00000000-0006-0000-0000-000033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5" authorId="0" shapeId="0" xr:uid="{00000000-0006-0000-0000-000034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6" authorId="0" shapeId="0" xr:uid="{00000000-0006-0000-0000-000035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7" authorId="0" shapeId="0" xr:uid="{00000000-0006-0000-0000-000036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31" authorId="0" shapeId="0" xr:uid="{00000000-0006-0000-0000-000037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2" authorId="0" shapeId="0" xr:uid="{00000000-0006-0000-0000-000038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4" authorId="0" shapeId="0" xr:uid="{00000000-0006-0000-0000-000039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5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19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Bigbag (size 1 tấn)</t>
        </r>
      </text>
    </comment>
    <comment ref="C663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ngày 05/09/2026 đợi thông quan</t>
        </r>
      </text>
    </comment>
    <comment ref="C675" authorId="0" shapeId="0" xr:uid="{00000000-0006-0000-0000-00003D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76" authorId="0" shapeId="0" xr:uid="{00000000-0006-0000-0000-00003E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1" authorId="0" shapeId="0" xr:uid="{00000000-0006-0000-0000-00003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2" authorId="0" shapeId="0" xr:uid="{00000000-0006-0000-0000-00004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3" authorId="0" shapeId="0" xr:uid="{00000000-0006-0000-0000-00004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4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751" authorId="0" shapeId="0" xr:uid="{00000000-0006-0000-0000-000043000000}">
      <text>
        <r>
          <rPr>
            <sz val="9"/>
            <color indexed="81"/>
            <rFont val="Tahoma"/>
            <family val="2"/>
          </rPr>
          <t xml:space="preserve">
Thùng size 230 kg</t>
        </r>
      </text>
    </comment>
    <comment ref="C753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ĐỢI THÔNG QUAN NGÀY 16/09/2026</t>
        </r>
      </text>
    </comment>
    <comment ref="C766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bao trắng</t>
        </r>
      </text>
    </comment>
    <comment ref="B854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863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đợi thông quan ngày 11/09/2026</t>
        </r>
      </text>
    </comment>
    <comment ref="C864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ngày  24/08/2026 ngưng xài
1 cont ngày 31/08/2026 ngưng xài
1 cont ngày 08/09/2026 ngưng xài</t>
        </r>
      </text>
    </comment>
    <comment ref="C947" authorId="0" shapeId="0" xr:uid="{00000000-0006-0000-0000-00004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948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949" authorId="0" shapeId="0" xr:uid="{00000000-0006-0000-0000-00004B000000}">
      <text>
        <r>
          <rPr>
            <sz val="9"/>
            <color indexed="81"/>
            <rFont val="Tahoma"/>
            <family val="2"/>
          </rPr>
          <t xml:space="preserve">
Phun bắp</t>
        </r>
      </text>
    </comment>
    <comment ref="C950" authorId="0" shapeId="0" xr:uid="{00000000-0006-0000-0000-00004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ĐỢI THÔNG QUAN NGÀY 10/09/2026</t>
        </r>
      </text>
    </comment>
    <comment ref="C991" authorId="0" shapeId="0" xr:uid="{00000000-0006-0000-0000-00004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1096" authorId="0" shapeId="0" xr:uid="{00000000-0006-0000-0000-00004E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K1313" authorId="0" shapeId="0" xr:uid="{00000000-0006-0000-0000-00004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B1383" authorId="0" shapeId="0" xr:uid="{00000000-0006-0000-0000-000050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04" authorId="0" shapeId="0" xr:uid="{00000000-0006-0000-0000-000051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33" authorId="0" shapeId="0" xr:uid="{00000000-0006-0000-0000-000052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49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53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C1465" authorId="0" shapeId="0" xr:uid="{00000000-0006-0000-0000-000055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C1466" authorId="0" shapeId="0" xr:uid="{00000000-0006-0000-0000-000056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C1467" authorId="0" shapeId="0" xr:uid="{00000000-0006-0000-0000-000057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K1509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36" authorId="0" shapeId="0" xr:uid="{00000000-0006-0000-0000-00005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C1548" authorId="0" shapeId="0" xr:uid="{00000000-0006-0000-0000-00005A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49" authorId="0" shapeId="0" xr:uid="{00000000-0006-0000-0000-00005B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50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51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K1551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56" authorId="0" shapeId="0" xr:uid="{00000000-0006-0000-0000-00005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61" authorId="0" shapeId="0" xr:uid="{00000000-0006-0000-0000-00006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clear Bình Đinh, cho sử dụng trước</t>
        </r>
      </text>
    </comment>
    <comment ref="K1569" authorId="0" shapeId="0" xr:uid="{1E965A1C-0C8C-4CAE-9175-CA59EDF95C5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Xuất BPC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35" authorId="0" shapeId="0" xr:uid="{00000000-0006-0000-0300-000001000000}">
      <text>
        <r>
          <rPr>
            <sz val="9"/>
            <color indexed="81"/>
            <rFont val="Tahoma"/>
            <family val="2"/>
          </rPr>
          <t xml:space="preserve">
Hàng thùng  size 230 kg</t>
        </r>
      </text>
    </comment>
  </commentList>
</comments>
</file>

<file path=xl/sharedStrings.xml><?xml version="1.0" encoding="utf-8"?>
<sst xmlns="http://schemas.openxmlformats.org/spreadsheetml/2006/main" count="6887" uniqueCount="2447">
  <si>
    <t>No.</t>
  </si>
  <si>
    <t>Rawmaterial Name</t>
  </si>
  <si>
    <t>From</t>
  </si>
  <si>
    <t>STT</t>
  </si>
  <si>
    <t xml:space="preserve"> -----oOo-----</t>
  </si>
  <si>
    <t>Remain</t>
  </si>
  <si>
    <t>Age</t>
  </si>
  <si>
    <t xml:space="preserve">          Subtotal group Carbohydrate :</t>
  </si>
  <si>
    <t xml:space="preserve">          Subtotal group Protein :</t>
  </si>
  <si>
    <t xml:space="preserve">          Subtotal Others group :</t>
  </si>
  <si>
    <t>Rec.</t>
  </si>
  <si>
    <t>Receive</t>
  </si>
  <si>
    <t>Balance</t>
  </si>
  <si>
    <t>Endox Dry-M (Singapore)</t>
  </si>
  <si>
    <t>Total DL-Methionine</t>
  </si>
  <si>
    <t>Total L-Threonine</t>
  </si>
  <si>
    <t>Total Endox Dry-M</t>
  </si>
  <si>
    <t>Total Allplex-B</t>
  </si>
  <si>
    <t>Total Allplex-GF</t>
  </si>
  <si>
    <t>Total Allplex-S</t>
  </si>
  <si>
    <t>Total: 10M</t>
  </si>
  <si>
    <t>Total: 44M</t>
  </si>
  <si>
    <t>Total:51M</t>
  </si>
  <si>
    <t>Total:52M</t>
  </si>
  <si>
    <t>Total:13V</t>
  </si>
  <si>
    <t>Total:52SV</t>
  </si>
  <si>
    <t>Total:52V</t>
  </si>
  <si>
    <t>Total:62V</t>
  </si>
  <si>
    <t>Total:66V</t>
  </si>
  <si>
    <t>Total:67SV</t>
  </si>
  <si>
    <t>Attn to:</t>
  </si>
  <si>
    <t xml:space="preserve">: K Chaiwut./ K. Pramual/ K. Sumeht </t>
  </si>
  <si>
    <t>Cc</t>
  </si>
  <si>
    <t>Total Natuphos</t>
  </si>
  <si>
    <t>Total: Red 2%</t>
  </si>
  <si>
    <t xml:space="preserve"> </t>
  </si>
  <si>
    <t>Dextrose Monohydrate</t>
  </si>
  <si>
    <t>Total Zinc Oxide</t>
  </si>
  <si>
    <t>Total EP2</t>
  </si>
  <si>
    <t>Deproteinized Whey</t>
  </si>
  <si>
    <t>Total:50V</t>
  </si>
  <si>
    <t>Location</t>
  </si>
  <si>
    <t xml:space="preserve">Coconut meal </t>
  </si>
  <si>
    <t xml:space="preserve">Palm kernel Expeller </t>
  </si>
  <si>
    <t xml:space="preserve">Vedafeed </t>
  </si>
  <si>
    <t>Total: Yellow2%</t>
  </si>
  <si>
    <t>Feedmill</t>
  </si>
  <si>
    <t>Total: MC-0697</t>
  </si>
  <si>
    <t>Total: 572S</t>
  </si>
  <si>
    <t>L-Lysine 78%</t>
  </si>
  <si>
    <t>Total L-Lysine 78%</t>
  </si>
  <si>
    <t>M-TOX PLUS</t>
  </si>
  <si>
    <t>Total Feed curb</t>
  </si>
  <si>
    <t>WH23</t>
  </si>
  <si>
    <t>Total:51V</t>
  </si>
  <si>
    <t>Soybean Oil</t>
  </si>
  <si>
    <t>LF6</t>
  </si>
  <si>
    <t>Total:21V</t>
  </si>
  <si>
    <t>Total:67V</t>
  </si>
  <si>
    <t>Bồn DL</t>
  </si>
  <si>
    <t>Mycostatin-20</t>
  </si>
  <si>
    <t>Total Mycostatin</t>
  </si>
  <si>
    <t>Total Mycofix</t>
  </si>
  <si>
    <t>Novasil Plus</t>
  </si>
  <si>
    <t>Total Novasil</t>
  </si>
  <si>
    <t>LM1</t>
  </si>
  <si>
    <t>WB04</t>
  </si>
  <si>
    <t>Conc. 13V</t>
  </si>
  <si>
    <t>Conc.50V</t>
  </si>
  <si>
    <t>Total:20V</t>
  </si>
  <si>
    <t>Total:48V</t>
  </si>
  <si>
    <t xml:space="preserve">Sweet Whey Powder </t>
  </si>
  <si>
    <t>DDGS</t>
  </si>
  <si>
    <t>Natuphos (125kg)</t>
  </si>
  <si>
    <t>Total:25V</t>
  </si>
  <si>
    <t>Total  Amoxycilin</t>
  </si>
  <si>
    <t>Feedmil</t>
  </si>
  <si>
    <t>LF1</t>
  </si>
  <si>
    <t>LF2</t>
  </si>
  <si>
    <t>WH21</t>
  </si>
  <si>
    <t>WH27</t>
  </si>
  <si>
    <t>Total   Avtec15%</t>
  </si>
  <si>
    <t>WH39</t>
  </si>
  <si>
    <t>B23.2</t>
  </si>
  <si>
    <t>Corn Extrude</t>
  </si>
  <si>
    <t>Rice Bran Solvent</t>
  </si>
  <si>
    <t>Tap By Product</t>
  </si>
  <si>
    <t>Soy Been Seed</t>
  </si>
  <si>
    <t xml:space="preserve">Feather Meal </t>
  </si>
  <si>
    <t>Limestone (local)</t>
  </si>
  <si>
    <t>Limestone ( coarse)</t>
  </si>
  <si>
    <t xml:space="preserve">Salt </t>
  </si>
  <si>
    <t>Fish Oil</t>
  </si>
  <si>
    <t>DL-Methionine (Begium)</t>
  </si>
  <si>
    <t>C-C 60%,</t>
  </si>
  <si>
    <t>Total Pep 125</t>
  </si>
  <si>
    <t>Betafin S4</t>
  </si>
  <si>
    <t>Porzyme TP-100HP Dry (Finland)</t>
  </si>
  <si>
    <t xml:space="preserve">Conc. 44M </t>
  </si>
  <si>
    <t xml:space="preserve">Conc. 51M </t>
  </si>
  <si>
    <t xml:space="preserve">Conc.20V </t>
  </si>
  <si>
    <t>Total: Corn</t>
  </si>
  <si>
    <t>Total: Corn ext</t>
  </si>
  <si>
    <t>Total: RBF</t>
  </si>
  <si>
    <t>Total: RBS</t>
  </si>
  <si>
    <t>Total: Tap BP</t>
  </si>
  <si>
    <t>Total: FFS</t>
  </si>
  <si>
    <t>Total: PKM</t>
  </si>
  <si>
    <t>Total:  COM</t>
  </si>
  <si>
    <t>Total: DDGS</t>
  </si>
  <si>
    <t>Total:  FEM</t>
  </si>
  <si>
    <t>Total: MBM</t>
  </si>
  <si>
    <t>Total: Dextrose</t>
  </si>
  <si>
    <t>Total: Sweet Whey Powder</t>
  </si>
  <si>
    <t>Total: Deproteinized Whey</t>
  </si>
  <si>
    <t>Total: Salt</t>
  </si>
  <si>
    <t>Total: Vedafeed</t>
  </si>
  <si>
    <t>Total: Fish oil</t>
  </si>
  <si>
    <t>Total: Molasses</t>
  </si>
  <si>
    <t>Total: MC-0697B</t>
  </si>
  <si>
    <t>Basa  Fish Meal</t>
  </si>
  <si>
    <t>Total Versazyme</t>
  </si>
  <si>
    <t xml:space="preserve">Canola </t>
  </si>
  <si>
    <t>A22.1</t>
  </si>
  <si>
    <t>LM2</t>
  </si>
  <si>
    <t>Total:62PV</t>
  </si>
  <si>
    <t>FM 71</t>
  </si>
  <si>
    <t>LF7</t>
  </si>
  <si>
    <t>B16.2</t>
  </si>
  <si>
    <t>LA3</t>
  </si>
  <si>
    <t>Soy Bean Hull</t>
  </si>
  <si>
    <t>Total: Soybean Oil</t>
  </si>
  <si>
    <t>Total: Myco Curb</t>
  </si>
  <si>
    <t>Phòng Kho Nguyên Liệu</t>
  </si>
  <si>
    <t>STOCK  RAWMATERIAL  REPORT</t>
  </si>
  <si>
    <t>Total: Urea</t>
  </si>
  <si>
    <t>Total:31V</t>
  </si>
  <si>
    <t xml:space="preserve">Total Betafin </t>
  </si>
  <si>
    <t>Z5.1</t>
  </si>
  <si>
    <t>X5.3</t>
  </si>
  <si>
    <t>Total:34V</t>
  </si>
  <si>
    <t>Y6.2</t>
  </si>
  <si>
    <t>Y7.3</t>
  </si>
  <si>
    <t>Conc. PX C250</t>
  </si>
  <si>
    <t>Total: PX C250</t>
  </si>
  <si>
    <t xml:space="preserve">Fish Meal </t>
  </si>
  <si>
    <t>Y7.1</t>
  </si>
  <si>
    <t>Y7.2</t>
  </si>
  <si>
    <t>X1.3</t>
  </si>
  <si>
    <t>Y4.2</t>
  </si>
  <si>
    <t>Total:10V</t>
  </si>
  <si>
    <t>B15.1</t>
  </si>
  <si>
    <t>B14.1</t>
  </si>
  <si>
    <t>Total:52SVF</t>
  </si>
  <si>
    <t>Conc. 52SVF</t>
  </si>
  <si>
    <t>L-Lysine 70%</t>
  </si>
  <si>
    <t>Total L-Lysine 70%</t>
  </si>
  <si>
    <t>Brewer Dried Grain</t>
  </si>
  <si>
    <t>FM</t>
  </si>
  <si>
    <t>Hotroom</t>
  </si>
  <si>
    <t>Conc. 51VF</t>
  </si>
  <si>
    <t>Total:51VF</t>
  </si>
  <si>
    <t>Conc. 52VF</t>
  </si>
  <si>
    <t>Total:52VF</t>
  </si>
  <si>
    <t>Conc. 62VF</t>
  </si>
  <si>
    <t>Total:62VF</t>
  </si>
  <si>
    <t>Conc. 67SVF</t>
  </si>
  <si>
    <t>Total:67SVF</t>
  </si>
  <si>
    <t>Conc. 62PVF</t>
  </si>
  <si>
    <t>Total:62PVF</t>
  </si>
  <si>
    <t>F.F Soy Bean Meal</t>
  </si>
  <si>
    <t>Total: Corn (Local)</t>
  </si>
  <si>
    <t>Total:12V</t>
  </si>
  <si>
    <t>Larvadex</t>
  </si>
  <si>
    <t>Total   Larvadex</t>
  </si>
  <si>
    <t>Total: 582</t>
  </si>
  <si>
    <t xml:space="preserve">Wheat Bran </t>
  </si>
  <si>
    <t xml:space="preserve">Total: SBM </t>
  </si>
  <si>
    <t>LF7 (1502)</t>
  </si>
  <si>
    <t>Total    Surmax 10%</t>
  </si>
  <si>
    <t>Total   Enradin 8%</t>
  </si>
  <si>
    <t>Total   Cygro 1%</t>
  </si>
  <si>
    <t>Conc. 12V (chờ adj out)</t>
  </si>
  <si>
    <t>Enradin 8% (20kg)</t>
  </si>
  <si>
    <t>Total   Maxiban</t>
  </si>
  <si>
    <t>FM155</t>
  </si>
  <si>
    <t>X1</t>
  </si>
  <si>
    <t>Y7</t>
  </si>
  <si>
    <t>X1.2</t>
  </si>
  <si>
    <t>Total   Tylan</t>
  </si>
  <si>
    <t>A16.2</t>
  </si>
  <si>
    <t>X2.1</t>
  </si>
  <si>
    <t>Z3.2</t>
  </si>
  <si>
    <t>Broken Rice #C,#B</t>
  </si>
  <si>
    <t>V7.2</t>
  </si>
  <si>
    <t>DI-Calcium Phosphate 21%</t>
  </si>
  <si>
    <t>RM Department</t>
  </si>
  <si>
    <t>V8.2</t>
  </si>
  <si>
    <t xml:space="preserve">HP 300 (Soya Bean Product) </t>
  </si>
  <si>
    <t>WH29</t>
  </si>
  <si>
    <t>WB01</t>
  </si>
  <si>
    <t>Total Ravabio Max LC</t>
  </si>
  <si>
    <t>Total Clinacox</t>
  </si>
  <si>
    <t>Total Actisaf</t>
  </si>
  <si>
    <t>Clinacox (20kg)</t>
  </si>
  <si>
    <t>Total C-C Belgium</t>
  </si>
  <si>
    <t>C-C 75% (230kg)</t>
  </si>
  <si>
    <t>Availa - ZN 120</t>
  </si>
  <si>
    <t>Total   Availa - ZN 120</t>
  </si>
  <si>
    <t>LF8</t>
  </si>
  <si>
    <t>Flavomycin 80</t>
  </si>
  <si>
    <t>Total  Flavomycin 80</t>
  </si>
  <si>
    <t>FM 81</t>
  </si>
  <si>
    <t>Cygro 1% (maduramycin- 20kg)</t>
  </si>
  <si>
    <t>CTC 20%</t>
  </si>
  <si>
    <t xml:space="preserve">Conc. 53V </t>
  </si>
  <si>
    <t>Total:53V</t>
  </si>
  <si>
    <t>Total:  BDG</t>
  </si>
  <si>
    <t>Total Roxolin</t>
  </si>
  <si>
    <t>Total: Corn  ARG</t>
  </si>
  <si>
    <t>WH30</t>
  </si>
  <si>
    <t>FM 53</t>
  </si>
  <si>
    <t>Total Pulmotil Premix</t>
  </si>
  <si>
    <t>Z1.2</t>
  </si>
  <si>
    <t>Total Betafin  LQD</t>
  </si>
  <si>
    <t>Total: BDG</t>
  </si>
  <si>
    <t>X4.1</t>
  </si>
  <si>
    <t>V9.1</t>
  </si>
  <si>
    <t>LignoBond DD</t>
  </si>
  <si>
    <t>Total   LignoBond DD</t>
  </si>
  <si>
    <t>Total:Rice Bran Fresh</t>
  </si>
  <si>
    <t xml:space="preserve">Total   Microplex 1000ppm </t>
  </si>
  <si>
    <t>X8,3</t>
  </si>
  <si>
    <t>X5.1</t>
  </si>
  <si>
    <t>RBF</t>
  </si>
  <si>
    <t>V7.3</t>
  </si>
  <si>
    <t>Y6.3</t>
  </si>
  <si>
    <t>Tylan (22.68 kg)</t>
  </si>
  <si>
    <t>Pulmotil Premix (10 kg)</t>
  </si>
  <si>
    <t>Myco Curb (1000kg)</t>
  </si>
  <si>
    <t>MOLASSES</t>
  </si>
  <si>
    <t>Avatec 15% (20kg)</t>
  </si>
  <si>
    <t>MEAT BONE MEAL</t>
  </si>
  <si>
    <t>X1.1</t>
  </si>
  <si>
    <t>X3.3</t>
  </si>
  <si>
    <t>Y6.1</t>
  </si>
  <si>
    <t>V3.2</t>
  </si>
  <si>
    <t>A19.1</t>
  </si>
  <si>
    <t>Y4.1</t>
  </si>
  <si>
    <t>X3.1</t>
  </si>
  <si>
    <t>Y3.1</t>
  </si>
  <si>
    <t>Z7.1</t>
  </si>
  <si>
    <t>Tapioca #C1, #B1, #D1, #E1</t>
  </si>
  <si>
    <t>Y8.3</t>
  </si>
  <si>
    <t>Corn (ARG#A,#B)</t>
  </si>
  <si>
    <t>Z6.2</t>
  </si>
  <si>
    <t>B14.3</t>
  </si>
  <si>
    <t>C2</t>
  </si>
  <si>
    <t>Y4.3</t>
  </si>
  <si>
    <t>Y3,1</t>
  </si>
  <si>
    <t>Total   BMD</t>
  </si>
  <si>
    <t>A18.2</t>
  </si>
  <si>
    <t>Zinc Oxide</t>
  </si>
  <si>
    <t>Monocalcium phosphate (TUNISIA, USA)</t>
  </si>
  <si>
    <t>Z5.2</t>
  </si>
  <si>
    <t>Z5.3</t>
  </si>
  <si>
    <t>Corn (Local)</t>
  </si>
  <si>
    <t>Z6.1</t>
  </si>
  <si>
    <t>V3.1</t>
  </si>
  <si>
    <t>Total: SFM</t>
  </si>
  <si>
    <t>Sunflower Meal (Ukaine)</t>
  </si>
  <si>
    <t>Y5.3</t>
  </si>
  <si>
    <t>Y2.3</t>
  </si>
  <si>
    <t>A19.5</t>
  </si>
  <si>
    <t>Dairylac 80 (USA)</t>
  </si>
  <si>
    <t>Total Dairylac 80 (USA)</t>
  </si>
  <si>
    <t>Myco Sorb  A+ (USA)</t>
  </si>
  <si>
    <t>Surmax 10% 25kg</t>
  </si>
  <si>
    <t>TÊN NGUYÊN LIỆU</t>
  </si>
  <si>
    <t>SỬ DỤNG</t>
  </si>
  <si>
    <t>Versazyme (25kg)</t>
  </si>
  <si>
    <t>Feed curb (singapore) (25kg)</t>
  </si>
  <si>
    <t>Total Myco Sorb (MTB)</t>
  </si>
  <si>
    <t>A19.3</t>
  </si>
  <si>
    <t>A22.4</t>
  </si>
  <si>
    <t>Total   Intelli Bond C( Copper CH58%)</t>
  </si>
  <si>
    <t>A22.6</t>
  </si>
  <si>
    <t>A19.6</t>
  </si>
  <si>
    <t>Total   Gallipro</t>
  </si>
  <si>
    <t>Total: BR #C,#B</t>
  </si>
  <si>
    <t>Total: LSF</t>
  </si>
  <si>
    <t>Total: LSC</t>
  </si>
  <si>
    <t>Total C C</t>
  </si>
  <si>
    <t>Total M Tox plus</t>
  </si>
  <si>
    <t>Total: F M</t>
  </si>
  <si>
    <t>Total Carob Powder (Caromic)</t>
  </si>
  <si>
    <t>Total   TP100</t>
  </si>
  <si>
    <t>Stafac 50 (5%) (25kg)</t>
  </si>
  <si>
    <t>Elancoban (25kg)</t>
  </si>
  <si>
    <t xml:space="preserve">Total Elancoban (Monensin)  </t>
  </si>
  <si>
    <t>Total Stafac 50 (5%) (Virginiamycin)</t>
  </si>
  <si>
    <t>Total Tiamet 100</t>
  </si>
  <si>
    <t>Bag</t>
  </si>
  <si>
    <t>Weight</t>
  </si>
  <si>
    <t>Produce</t>
  </si>
  <si>
    <t>Adj in</t>
  </si>
  <si>
    <t>Adj out</t>
  </si>
  <si>
    <t>Usage</t>
  </si>
  <si>
    <t>kg/day</t>
  </si>
  <si>
    <t>hand</t>
  </si>
  <si>
    <t>Weekly</t>
  </si>
  <si>
    <t>Forecast</t>
  </si>
  <si>
    <t>Day on</t>
  </si>
  <si>
    <t>Actual Usage</t>
  </si>
  <si>
    <t>EST. Usage</t>
  </si>
  <si>
    <t>Trans. Out</t>
  </si>
  <si>
    <t>Trans. In</t>
  </si>
  <si>
    <t>* Weekly Usage</t>
  </si>
  <si>
    <t>* Forecast Usage:</t>
  </si>
  <si>
    <t>From:</t>
  </si>
  <si>
    <t>DATE:</t>
  </si>
  <si>
    <t>NGÀY NHẬP</t>
  </si>
  <si>
    <t>Production Date (Lot VN)</t>
  </si>
  <si>
    <t>Sucram (Switzerland)</t>
  </si>
  <si>
    <t>A19.4</t>
  </si>
  <si>
    <t>B24.1</t>
  </si>
  <si>
    <t>C</t>
  </si>
  <si>
    <t>Betafin LQD 38%</t>
  </si>
  <si>
    <t>Total Biofill Yellow 2%</t>
  </si>
  <si>
    <t>Total Avi-Mul Top Feed Grade</t>
  </si>
  <si>
    <t>B22.2</t>
  </si>
  <si>
    <t>Soy Been Meal ( BRA)</t>
  </si>
  <si>
    <t>QT-NL-01/BM08</t>
  </si>
  <si>
    <t>Lần ban hành: 02</t>
  </si>
  <si>
    <t>Ngày hiệu lực: 15/06/2017</t>
  </si>
  <si>
    <t>B14.5</t>
  </si>
  <si>
    <t>A,B</t>
  </si>
  <si>
    <t>Conc. Yellow  2% (Lot 23)</t>
  </si>
  <si>
    <t>Conc. 31V (Lot 17)</t>
  </si>
  <si>
    <t>Conc. 10M (Lot 40)</t>
  </si>
  <si>
    <t>Conc. 21V (Lot 35)</t>
  </si>
  <si>
    <t>Conc. 31V (Lot 19)</t>
  </si>
  <si>
    <t>Covotek (France)</t>
  </si>
  <si>
    <t>FM80</t>
  </si>
  <si>
    <t>Conc.48V (Lot 35)</t>
  </si>
  <si>
    <t>Conc.48V (Lot 37)</t>
  </si>
  <si>
    <t>Tiamet 100( Italy) 25kg</t>
  </si>
  <si>
    <t>WH41</t>
  </si>
  <si>
    <r>
      <t xml:space="preserve">Total: </t>
    </r>
    <r>
      <rPr>
        <b/>
        <sz val="16"/>
        <color indexed="8"/>
        <rFont val="Times New Roman"/>
        <family val="1"/>
      </rPr>
      <t>FO</t>
    </r>
  </si>
  <si>
    <t>Avi-Mul Top Feed Grade (Italy), (900kg)</t>
  </si>
  <si>
    <t>Total: Corn  Brazil</t>
  </si>
  <si>
    <t>A6</t>
  </si>
  <si>
    <t>Total SBH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</si>
  <si>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</si>
  <si>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Total: 572G</t>
  </si>
  <si>
    <t>Total: MC-0697G</t>
  </si>
  <si>
    <t>Tradi-Mega LD (Tra linseed 70%) 
France</t>
  </si>
  <si>
    <t>Tradi-Impact LD (Tra linseed 85%) 
France</t>
  </si>
  <si>
    <t>Tradi-Mega</t>
  </si>
  <si>
    <t>L-Threonine (China)</t>
  </si>
  <si>
    <t>A19.2</t>
  </si>
  <si>
    <t>B</t>
  </si>
  <si>
    <t>Conc. 34V (Lot 04)</t>
  </si>
  <si>
    <t>Conc. 34V (Lot 05)</t>
  </si>
  <si>
    <t>Total FluBenol 5%</t>
  </si>
  <si>
    <t>Total L-Tryptophan</t>
  </si>
  <si>
    <t>Mini Feedmill</t>
  </si>
  <si>
    <t>Actisaf</t>
  </si>
  <si>
    <t>SBC (sodium)</t>
  </si>
  <si>
    <t>Caromic/Trigarrofa</t>
  </si>
  <si>
    <t>L-Threonine</t>
  </si>
  <si>
    <t>CH-CH 60%</t>
  </si>
  <si>
    <t>Betafin LQ 38%</t>
  </si>
  <si>
    <t>Rovabio</t>
  </si>
  <si>
    <t>Versazyme</t>
  </si>
  <si>
    <t>Biofill Yelow 2%</t>
  </si>
  <si>
    <t>Sucram</t>
  </si>
  <si>
    <t>Covotek</t>
  </si>
  <si>
    <t>Biotronic</t>
  </si>
  <si>
    <t>Vitamin C</t>
  </si>
  <si>
    <t>Avi-multop</t>
  </si>
  <si>
    <t>Feed curb</t>
  </si>
  <si>
    <t>MTB 100</t>
  </si>
  <si>
    <t>Mycofix Plus</t>
  </si>
  <si>
    <t>Novasil</t>
  </si>
  <si>
    <t>M-Tox Plus</t>
  </si>
  <si>
    <t>Biomin</t>
  </si>
  <si>
    <t>Endox</t>
  </si>
  <si>
    <t>Maxiban</t>
  </si>
  <si>
    <t>Lignobond</t>
  </si>
  <si>
    <t>Enradin 8%</t>
  </si>
  <si>
    <t>Surmax</t>
  </si>
  <si>
    <t>Copper Chloride 58%</t>
  </si>
  <si>
    <t>Ure Fine</t>
  </si>
  <si>
    <t>Availa</t>
  </si>
  <si>
    <t>Allplex B</t>
  </si>
  <si>
    <t>Allplex S</t>
  </si>
  <si>
    <t>Allplex GF</t>
  </si>
  <si>
    <t>Microplex</t>
  </si>
  <si>
    <t>Oxide</t>
  </si>
  <si>
    <t>Aquacil/Amoxy 80%</t>
  </si>
  <si>
    <t>BMD</t>
  </si>
  <si>
    <t>Colistin</t>
  </si>
  <si>
    <t>Quixalud/Roxolin</t>
  </si>
  <si>
    <t>Tiamvet</t>
  </si>
  <si>
    <t>Pulmotil</t>
  </si>
  <si>
    <t>CH-CH 75%</t>
  </si>
  <si>
    <t>TP-100</t>
  </si>
  <si>
    <t>AVATEC</t>
  </si>
  <si>
    <t>Flubenol 5%</t>
  </si>
  <si>
    <t>EP02</t>
  </si>
  <si>
    <t>Red 2%</t>
  </si>
  <si>
    <t>Yelow 2%</t>
  </si>
  <si>
    <t>10V</t>
  </si>
  <si>
    <t>21V</t>
  </si>
  <si>
    <t>34V</t>
  </si>
  <si>
    <t>48V</t>
  </si>
  <si>
    <t>10M</t>
  </si>
  <si>
    <t>51V</t>
  </si>
  <si>
    <t>52SV</t>
  </si>
  <si>
    <t>52V</t>
  </si>
  <si>
    <t>66V</t>
  </si>
  <si>
    <t>62V</t>
  </si>
  <si>
    <t>62PV</t>
  </si>
  <si>
    <t>67SV</t>
  </si>
  <si>
    <t>MS Swine</t>
  </si>
  <si>
    <t>25V</t>
  </si>
  <si>
    <t>31V</t>
  </si>
  <si>
    <t>MC0697</t>
  </si>
  <si>
    <t>MC0697B</t>
  </si>
  <si>
    <t>67V</t>
  </si>
  <si>
    <t>572S</t>
  </si>
  <si>
    <t>MC0697G</t>
  </si>
  <si>
    <t>572G</t>
  </si>
  <si>
    <t>Total Vitamin &amp; Mineral</t>
  </si>
  <si>
    <t>Total Raw Material</t>
  </si>
  <si>
    <t>Total Premix</t>
  </si>
  <si>
    <t>Grand Total (RM + Med + Premix)</t>
  </si>
  <si>
    <t>L-Trytophan</t>
  </si>
  <si>
    <t>Pigor</t>
  </si>
  <si>
    <t>Ngày:</t>
  </si>
  <si>
    <t>D-L</t>
  </si>
  <si>
    <t>D-L 99% (bao)</t>
  </si>
  <si>
    <t>MycoCurb</t>
  </si>
  <si>
    <t>WB03</t>
  </si>
  <si>
    <t>CÔNG TY CỔ PHẦN CHĂN NUÔI C.P VIỆT NAM</t>
  </si>
  <si>
    <t>Chi Nhánh Bình Dương</t>
  </si>
  <si>
    <t>Stafac 50 (5%) (Virginiamycin)</t>
  </si>
  <si>
    <t>Mycostatin</t>
  </si>
  <si>
    <t>Bã hạt mít</t>
  </si>
  <si>
    <t xml:space="preserve">  </t>
  </si>
  <si>
    <t>Availa 4</t>
  </si>
  <si>
    <t>Soy Been Meal ( USA )</t>
  </si>
  <si>
    <t>Total</t>
  </si>
  <si>
    <t>PULMOTIL</t>
  </si>
  <si>
    <t>MYCOSTATIN</t>
  </si>
  <si>
    <t>ROXOLIN</t>
  </si>
  <si>
    <t>FLUBENOL</t>
  </si>
  <si>
    <t>Total   Avatec15%</t>
  </si>
  <si>
    <t>ENRADIN</t>
  </si>
  <si>
    <t>SỬ DỤNG ĐÃ LOSS</t>
  </si>
  <si>
    <t>SỬ DỤNG CHƯA LOSS</t>
  </si>
  <si>
    <t>MAXIBAN</t>
  </si>
  <si>
    <t>to</t>
  </si>
  <si>
    <t>Total: Monocalcium phosphate MCP</t>
  </si>
  <si>
    <t>Corn (Brazil #A,#B)</t>
  </si>
  <si>
    <t>WB09</t>
  </si>
  <si>
    <t>WB05</t>
  </si>
  <si>
    <t>Total Liquid</t>
  </si>
  <si>
    <t>WB02</t>
  </si>
  <si>
    <t>WB06</t>
  </si>
  <si>
    <t>Hizox (France)</t>
  </si>
  <si>
    <t>Conc. 582 (Lot 43)</t>
  </si>
  <si>
    <t>Hizox</t>
  </si>
  <si>
    <t>Corn Local</t>
  </si>
  <si>
    <t>WB12</t>
  </si>
  <si>
    <t>WB11</t>
  </si>
  <si>
    <t>WB10</t>
  </si>
  <si>
    <t>WB08</t>
  </si>
  <si>
    <t>WB07</t>
  </si>
  <si>
    <t>Paddy Rice</t>
  </si>
  <si>
    <t>B1</t>
  </si>
  <si>
    <t>Total: Paddy Rice</t>
  </si>
  <si>
    <t>PADDY</t>
  </si>
  <si>
    <t>Dabomb-P (soya protein)</t>
  </si>
  <si>
    <t>Total Dabomb-P (soya protein)</t>
  </si>
  <si>
    <t>Dabomp</t>
  </si>
  <si>
    <t>B22.1</t>
  </si>
  <si>
    <t>B2</t>
  </si>
  <si>
    <t>WH40</t>
  </si>
  <si>
    <t>A15.1</t>
  </si>
  <si>
    <t>B27.1</t>
  </si>
  <si>
    <t>WH44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</si>
  <si>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</si>
  <si>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Nutrigold</t>
  </si>
  <si>
    <t>LA4</t>
  </si>
  <si>
    <t>Acid Lac Premium Liquip (Singapore)</t>
  </si>
  <si>
    <t>LA1</t>
  </si>
  <si>
    <t>Total Acid Lac</t>
  </si>
  <si>
    <t>Calcium Feed</t>
  </si>
  <si>
    <t>CALCIUM FEED</t>
  </si>
  <si>
    <t>FM153</t>
  </si>
  <si>
    <t>Acid Lac Premium</t>
  </si>
  <si>
    <t>Total Flubenol 5%</t>
  </si>
  <si>
    <t>Soy Been Meal ( Arg)</t>
  </si>
  <si>
    <t>WH37</t>
  </si>
  <si>
    <t>C1</t>
  </si>
  <si>
    <t>Pigfer 40mg/g (Bulgaria)</t>
  </si>
  <si>
    <t>MS Swine 0314 (25kg)</t>
  </si>
  <si>
    <t>A18.5</t>
  </si>
  <si>
    <t>A18.6</t>
  </si>
  <si>
    <t>BÁO CÁO SỬ DỤNG NGUYÊN LIỆU</t>
  </si>
  <si>
    <t>WH28</t>
  </si>
  <si>
    <t>Y3.3</t>
  </si>
  <si>
    <t>Tylan</t>
  </si>
  <si>
    <t>B21.2</t>
  </si>
  <si>
    <t>Salcurb RME Liquid (singapore)</t>
  </si>
  <si>
    <t>Pigortek 659 (france)</t>
  </si>
  <si>
    <t>Total Pigortek</t>
  </si>
  <si>
    <t>Total: FHM</t>
  </si>
  <si>
    <t>Syngen X (USA)</t>
  </si>
  <si>
    <t>FM71</t>
  </si>
  <si>
    <t xml:space="preserve">Fish Head Meal </t>
  </si>
  <si>
    <t>Syngen X</t>
  </si>
  <si>
    <t>X0</t>
  </si>
  <si>
    <t>Salcurb</t>
  </si>
  <si>
    <t>Total: 571</t>
  </si>
  <si>
    <t>Monodicalcium Phosphate (Morocco,usa)
(1000kg)</t>
  </si>
  <si>
    <t>Total BioPlus YC (Czech Republic)</t>
  </si>
  <si>
    <t>BioPlus YC (Czech Republic) (20kg)</t>
  </si>
  <si>
    <t xml:space="preserve">Total Ravabio Max </t>
  </si>
  <si>
    <t>Total liquid Vitacid</t>
  </si>
  <si>
    <t>Flavomycin 8%</t>
  </si>
  <si>
    <t>Bangifex 190 (China)</t>
  </si>
  <si>
    <t>Biotronic Top Liquip (China)</t>
  </si>
  <si>
    <t>Liquid Vitacid (Liquid Vitacidex)</t>
  </si>
  <si>
    <t>Xamacol 40 (25kg)</t>
  </si>
  <si>
    <t>Total Xamacol 40</t>
  </si>
  <si>
    <t>Total: Biotronic Top Liquip (China)</t>
  </si>
  <si>
    <t>Vitacid</t>
  </si>
  <si>
    <t>Euro Acid</t>
  </si>
  <si>
    <t>Biotronic Top LQ</t>
  </si>
  <si>
    <t>Total: Bangifex 190 (China) Euro Acid</t>
  </si>
  <si>
    <t>Bioplus</t>
  </si>
  <si>
    <t>Total Phytocee Powder</t>
  </si>
  <si>
    <t>Phytocee Powder (India)</t>
  </si>
  <si>
    <t>Phytocee</t>
  </si>
  <si>
    <t>L-Valine (china)</t>
  </si>
  <si>
    <t>Xamacol</t>
  </si>
  <si>
    <t>L-Valine</t>
  </si>
  <si>
    <t>Monosodium glutamate</t>
  </si>
  <si>
    <t>Total Monosodium glutamate (Bột ngọt)</t>
  </si>
  <si>
    <t>Salcurb RME Liquid (singapore</t>
  </si>
  <si>
    <t>: K. Jittisart./K. Suwit./ Mr. Lộc/ Mr. Vinh./ Mr. Danh./ Mr. Ánh, Mr. Thông</t>
  </si>
  <si>
    <t>Conc. 31V (Lot 13)</t>
  </si>
  <si>
    <t>Total Flavomycin 80</t>
  </si>
  <si>
    <t>D305</t>
  </si>
  <si>
    <t>Corn VN ( Local)</t>
  </si>
  <si>
    <t>Conc. 31V (Lot 15)</t>
  </si>
  <si>
    <t>Wisdem zn</t>
  </si>
  <si>
    <t>Leader Yellow (china)</t>
  </si>
  <si>
    <t>Total Leader Yellow</t>
  </si>
  <si>
    <t>Monodicalcium Phosphate (Morocco, usa)</t>
  </si>
  <si>
    <t>Monimax</t>
  </si>
  <si>
    <t>Total Monimax</t>
  </si>
  <si>
    <t>Total  Syngen X (USA)</t>
  </si>
  <si>
    <t>Total  L-Valine (china)</t>
  </si>
  <si>
    <t>Total  Hizox (France)</t>
  </si>
  <si>
    <t>Total  Covetek (France)</t>
  </si>
  <si>
    <t>Monimax (20kg)</t>
  </si>
  <si>
    <t>FM52</t>
  </si>
  <si>
    <t>VITAMIN E 50</t>
  </si>
  <si>
    <t>Linpro (canada)</t>
  </si>
  <si>
    <t>Learder Yellow</t>
  </si>
  <si>
    <t>Linpro</t>
  </si>
  <si>
    <t>Promi 60</t>
  </si>
  <si>
    <t>Tota Linpro (canada)</t>
  </si>
  <si>
    <t>Total CTC</t>
  </si>
  <si>
    <t>B14.4</t>
  </si>
  <si>
    <t>V8.1</t>
  </si>
  <si>
    <t>Larvadex (20kg)</t>
  </si>
  <si>
    <t>V5.1</t>
  </si>
  <si>
    <t>Total Larvadex</t>
  </si>
  <si>
    <t>Chlortetracyline (CTC)</t>
  </si>
  <si>
    <t>Copper sulfate (thai)</t>
  </si>
  <si>
    <t>Rodotium 10%</t>
  </si>
  <si>
    <t>Total   Rodotium 10%</t>
  </si>
  <si>
    <t>Total Copper sulfate (thai)</t>
  </si>
  <si>
    <t>CTC 15%</t>
  </si>
  <si>
    <t>LA2</t>
  </si>
  <si>
    <t>Copper sulfate 25%</t>
  </si>
  <si>
    <t xml:space="preserve">Rodotium 10% </t>
  </si>
  <si>
    <t>Rodotium</t>
  </si>
  <si>
    <t>Advance Haquinol</t>
  </si>
  <si>
    <t>Total Advance Haquinol</t>
  </si>
  <si>
    <t>Biofil Yellow 2%</t>
  </si>
  <si>
    <t>V2.1</t>
  </si>
  <si>
    <t xml:space="preserve">Sodium Bicabonate </t>
  </si>
  <si>
    <t>Total Sodium Bicabonate ( SBC)</t>
  </si>
  <si>
    <t>Nor Grape PX 100 (France)</t>
  </si>
  <si>
    <t>FM56</t>
  </si>
  <si>
    <t>Z4.1</t>
  </si>
  <si>
    <t>APA FENBEN 10P</t>
  </si>
  <si>
    <t xml:space="preserve">Total  FENBEN </t>
  </si>
  <si>
    <t>FENBEN</t>
  </si>
  <si>
    <t>Total  Nor Grape PX 100</t>
  </si>
  <si>
    <t>YUCOMY-20 PREMIX POWDER (20kg)</t>
  </si>
  <si>
    <t>Total  YUCOMY-20</t>
  </si>
  <si>
    <t>Yucomy -20</t>
  </si>
  <si>
    <t>Pigfen 40mg/g (Bulgaria) (20kg)</t>
  </si>
  <si>
    <t>Pigfen 40mg/g</t>
  </si>
  <si>
    <t xml:space="preserve">Amoxycilin </t>
  </si>
  <si>
    <t>Nor-grape px100</t>
  </si>
  <si>
    <t>C8</t>
  </si>
  <si>
    <t>Tiamutin 80% ,Tiamulin hydrogen Fumarate 80%, Dengard 80% Coated (25kg)</t>
  </si>
  <si>
    <t>Total Tiamutin (Dengard 80%)</t>
  </si>
  <si>
    <t xml:space="preserve">Total FLORPAN -S </t>
  </si>
  <si>
    <t>Total FLORPAN -S</t>
  </si>
  <si>
    <t>Tiamutin 80%, Denagard 80%</t>
  </si>
  <si>
    <t>Code</t>
  </si>
  <si>
    <t>A13.3</t>
  </si>
  <si>
    <t>Total: Unpolished Rice #1 (Gạo lức)</t>
  </si>
  <si>
    <t>LA6</t>
  </si>
  <si>
    <t>Conc. 572S (Lot 05)</t>
  </si>
  <si>
    <t>C6</t>
  </si>
  <si>
    <t>Total: Monodicalcium Phosphate (MCP)</t>
  </si>
  <si>
    <t>Premix 10M</t>
  </si>
  <si>
    <t>Premix 10V</t>
  </si>
  <si>
    <t>Premix 21V</t>
  </si>
  <si>
    <t>Premix 34V</t>
  </si>
  <si>
    <t>Premix YELLOW 2%</t>
  </si>
  <si>
    <t>Premix RED 2%</t>
  </si>
  <si>
    <t>Premix EP02</t>
  </si>
  <si>
    <t>MS SWINE 0314</t>
  </si>
  <si>
    <t>Premix 571</t>
  </si>
  <si>
    <t>Premix 572G</t>
  </si>
  <si>
    <t>Premix 572S</t>
  </si>
  <si>
    <t>Premix 582</t>
  </si>
  <si>
    <t>Premix MC-0697</t>
  </si>
  <si>
    <t>Premix MC-0697B</t>
  </si>
  <si>
    <t>Premix MC0697G</t>
  </si>
  <si>
    <t>Premix 25V</t>
  </si>
  <si>
    <t>Premix 31V</t>
  </si>
  <si>
    <t>Premix 48V</t>
  </si>
  <si>
    <t>Premix 51V</t>
  </si>
  <si>
    <t>Premix 52SV</t>
  </si>
  <si>
    <t>Premix 52V</t>
  </si>
  <si>
    <t>Premix 62PV</t>
  </si>
  <si>
    <t>Premix 62V</t>
  </si>
  <si>
    <t>Premix 66V</t>
  </si>
  <si>
    <t>Premix 67SV</t>
  </si>
  <si>
    <t>Premix 67V</t>
  </si>
  <si>
    <t>DL-Methionine (Singapore)</t>
  </si>
  <si>
    <t>L-Lysine</t>
  </si>
  <si>
    <t>L-Lysine Sulphat 70%</t>
  </si>
  <si>
    <t>L-Tryptophan</t>
  </si>
  <si>
    <t>Carob Powder</t>
  </si>
  <si>
    <t>UREA</t>
  </si>
  <si>
    <t>Choline Chloride 60%</t>
  </si>
  <si>
    <t>Choline Chloride (BELGIUM)</t>
  </si>
  <si>
    <t>Pep 125</t>
  </si>
  <si>
    <t>Pulmotil Premix</t>
  </si>
  <si>
    <t>Feedcurb (Singapore)</t>
  </si>
  <si>
    <t>Betafin LQD 38% (Finland)</t>
  </si>
  <si>
    <t>Sodium Bicabonate</t>
  </si>
  <si>
    <t>Endox Dry (Singapore)</t>
  </si>
  <si>
    <t>Mycosorb A+</t>
  </si>
  <si>
    <t>ALLPLEX B (USA)</t>
  </si>
  <si>
    <t>ALLPLEX GF (USA)</t>
  </si>
  <si>
    <t>ALLPLEX S (USA)</t>
  </si>
  <si>
    <t>Pigortek 659 (France)</t>
  </si>
  <si>
    <t>Myco curb liquid</t>
  </si>
  <si>
    <t>Rovabio max Advance L (Belgium)</t>
  </si>
  <si>
    <t>Mycofix Plus 5.0 (Singapore)</t>
  </si>
  <si>
    <t>Leader Yellow (China)</t>
  </si>
  <si>
    <t>Roxolin</t>
  </si>
  <si>
    <t>Florpan-S</t>
  </si>
  <si>
    <t>Pigfen 40mg/g (Bulgaria)</t>
  </si>
  <si>
    <t>Avi - Mul Top Feed Grade (Italy)</t>
  </si>
  <si>
    <t>AVATEC 15%</t>
  </si>
  <si>
    <t>Surmax 100 (U.K)</t>
  </si>
  <si>
    <t xml:space="preserve">CRNBra#2 7.4% (Spec VNF) </t>
  </si>
  <si>
    <t xml:space="preserve">SBMUsa46%                </t>
  </si>
  <si>
    <t>CRNBra#2 C 7.4% (Spec VNF</t>
  </si>
  <si>
    <t xml:space="preserve">TAP BP,DRY44/18          </t>
  </si>
  <si>
    <t xml:space="preserve">RBF12/13/8               </t>
  </si>
  <si>
    <t xml:space="preserve">DDGS26/8/6Usa            </t>
  </si>
  <si>
    <t xml:space="preserve">SBMUsa,C46%              </t>
  </si>
  <si>
    <t xml:space="preserve">WHEATUkr/Rus11.5%        </t>
  </si>
  <si>
    <t xml:space="preserve">CRN#2,EXT 8.2%           </t>
  </si>
  <si>
    <t xml:space="preserve">PKM,Exp14/9/16           </t>
  </si>
  <si>
    <t xml:space="preserve">FO BASA VNF (M)          </t>
  </si>
  <si>
    <t xml:space="preserve">CRNArg#2 7.0%            </t>
  </si>
  <si>
    <t xml:space="preserve">LS38%                    </t>
  </si>
  <si>
    <t xml:space="preserve">CRN CLR LINE Swine(Bra#2 </t>
  </si>
  <si>
    <t xml:space="preserve">CRNArg#2 C 7.0%          </t>
  </si>
  <si>
    <t xml:space="preserve">FFSUsa35/19              </t>
  </si>
  <si>
    <t xml:space="preserve">RCE,BR 8.2%              </t>
  </si>
  <si>
    <t xml:space="preserve">BDG,DRY25%               </t>
  </si>
  <si>
    <t xml:space="preserve">CRN#2 7.8%               </t>
  </si>
  <si>
    <t xml:space="preserve">RBS15/15 ( Spec VNF )    </t>
  </si>
  <si>
    <t xml:space="preserve">MOLASSES Vnf             </t>
  </si>
  <si>
    <t xml:space="preserve">MOLS FERMENT'N Vnf       </t>
  </si>
  <si>
    <t xml:space="preserve">WB15%                    </t>
  </si>
  <si>
    <t xml:space="preserve">IR/FR(SWINE)             </t>
  </si>
  <si>
    <t xml:space="preserve">MDCP18/21,Chn            </t>
  </si>
  <si>
    <t xml:space="preserve">TAP BP VNF Roasted       </t>
  </si>
  <si>
    <t xml:space="preserve">FEMEnz85%                </t>
  </si>
  <si>
    <t>WY DEPRO2.6%(LandNuForAgr</t>
  </si>
  <si>
    <t xml:space="preserve">SBMBra48%                </t>
  </si>
  <si>
    <t xml:space="preserve">DabombProtein            </t>
  </si>
  <si>
    <t xml:space="preserve">LS,C38%                  </t>
  </si>
  <si>
    <t xml:space="preserve">FM#2 65/6                </t>
  </si>
  <si>
    <t xml:space="preserve">CAROMIC/TRIGARROFA       </t>
  </si>
  <si>
    <t xml:space="preserve">SALT,F98%                </t>
  </si>
  <si>
    <t xml:space="preserve">MDCP17/21 Mar            </t>
  </si>
  <si>
    <t xml:space="preserve">WY SWEET11.5%(MLEKOVITA) </t>
  </si>
  <si>
    <t xml:space="preserve">SBMBra,C48%              </t>
  </si>
  <si>
    <t xml:space="preserve">LL 78%                   </t>
  </si>
  <si>
    <t xml:space="preserve">DL 99%/RHODIMET 99%      </t>
  </si>
  <si>
    <t xml:space="preserve">FHM52/12                 </t>
  </si>
  <si>
    <t xml:space="preserve">DEXTROSE                 </t>
  </si>
  <si>
    <t xml:space="preserve">LL 55%(SULFATE) SPEC VNF </t>
  </si>
  <si>
    <t xml:space="preserve">FO BASA VNF (D)          </t>
  </si>
  <si>
    <t xml:space="preserve">UREA FINE                </t>
  </si>
  <si>
    <t xml:space="preserve">MYCOCURB(LIQ-MOP)        </t>
  </si>
  <si>
    <t xml:space="preserve">L-THR 98.5%              </t>
  </si>
  <si>
    <t xml:space="preserve">LS38%(CAL,FEED)          </t>
  </si>
  <si>
    <t xml:space="preserve">CC LIQ 75%               </t>
  </si>
  <si>
    <t xml:space="preserve">Betafin LQD L 38%        </t>
  </si>
  <si>
    <t xml:space="preserve">ACID LAC                 </t>
  </si>
  <si>
    <t xml:space="preserve">SO,C(M)                  </t>
  </si>
  <si>
    <t xml:space="preserve">MS SWINE 0314 (Biomin)   </t>
  </si>
  <si>
    <t>FlorPAN-S /Florfenicol 3%</t>
  </si>
  <si>
    <t xml:space="preserve">ALLPLEX GF (0404)        </t>
  </si>
  <si>
    <t xml:space="preserve">PMX 0.2% RED Premix      </t>
  </si>
  <si>
    <t xml:space="preserve">BETAFIN S4 92%           </t>
  </si>
  <si>
    <t xml:space="preserve">Sweet Potato meal        </t>
  </si>
  <si>
    <t>Denagard 10%(Tiamulin )/T</t>
  </si>
  <si>
    <t xml:space="preserve">LIGNOBOND                </t>
  </si>
  <si>
    <t xml:space="preserve">AVI-MUL TOP (Emulsifier) </t>
  </si>
  <si>
    <t xml:space="preserve">51V Premix               </t>
  </si>
  <si>
    <t xml:space="preserve">52V Premix               </t>
  </si>
  <si>
    <t xml:space="preserve">FEED CURB                </t>
  </si>
  <si>
    <t xml:space="preserve">ZN OXIDE80%              </t>
  </si>
  <si>
    <t xml:space="preserve">PX10M VNF                </t>
  </si>
  <si>
    <t xml:space="preserve">ALLPLEX S (0404)         </t>
  </si>
  <si>
    <t>ENZYME PACK EP2 (ROVABIO+</t>
  </si>
  <si>
    <t>MYCOSORB A PLUS toxin Bin</t>
  </si>
  <si>
    <t xml:space="preserve">52SV Premix              </t>
  </si>
  <si>
    <t xml:space="preserve">L-TRP 98.5%              </t>
  </si>
  <si>
    <t xml:space="preserve">MC0697 Premix            </t>
  </si>
  <si>
    <t xml:space="preserve">10V Premix               </t>
  </si>
  <si>
    <t xml:space="preserve">LEADER YELLOW VNF        </t>
  </si>
  <si>
    <t xml:space="preserve">RovabioMAX Advance L     </t>
  </si>
  <si>
    <t xml:space="preserve">SAL CURB RME L           </t>
  </si>
  <si>
    <t xml:space="preserve">M-TOX PLUS               </t>
  </si>
  <si>
    <t xml:space="preserve">BacitracinBMD10%         </t>
  </si>
  <si>
    <t xml:space="preserve">Denagard (Tiamulin 80%)  </t>
  </si>
  <si>
    <t>NOVASIL Plus (Toxin Binde</t>
  </si>
  <si>
    <t xml:space="preserve">MYCOSTATIN-20            </t>
  </si>
  <si>
    <t xml:space="preserve">ENDOX,Dry-M              </t>
  </si>
  <si>
    <t xml:space="preserve">CopperChloride58%(TBCC)  </t>
  </si>
  <si>
    <t xml:space="preserve">BioPlus YC (Probiotic)   </t>
  </si>
  <si>
    <t xml:space="preserve">MC0697B Premix           </t>
  </si>
  <si>
    <t xml:space="preserve">MYCOFIX Plus 5.0         </t>
  </si>
  <si>
    <t xml:space="preserve">TP-100                   </t>
  </si>
  <si>
    <t xml:space="preserve">48V Premix               </t>
  </si>
  <si>
    <t xml:space="preserve">MICROPLEX Cr 0.1%        </t>
  </si>
  <si>
    <t xml:space="preserve">ACTISAF39%(ActiveYeast)  </t>
  </si>
  <si>
    <t xml:space="preserve">QUIXALUD 60%/Roxolin     </t>
  </si>
  <si>
    <t xml:space="preserve">67SV Premix              </t>
  </si>
  <si>
    <t xml:space="preserve">ALLPLEX B (0404)         </t>
  </si>
  <si>
    <t>PIGORTEK659(No Sweetener)</t>
  </si>
  <si>
    <t xml:space="preserve">21V Premix               </t>
  </si>
  <si>
    <t xml:space="preserve">SUCRAM 3D                </t>
  </si>
  <si>
    <t xml:space="preserve">572SV Premix             </t>
  </si>
  <si>
    <t xml:space="preserve">HiZox (75%)              </t>
  </si>
  <si>
    <t xml:space="preserve">SyngenX (Prebiotic)      </t>
  </si>
  <si>
    <t xml:space="preserve">PX 582 VNF               </t>
  </si>
  <si>
    <t xml:space="preserve">Versazyme/ProteasePowder </t>
  </si>
  <si>
    <t xml:space="preserve">FEMEnz85% VNF            </t>
  </si>
  <si>
    <t>Yucomy 20  (nystatin 4.11</t>
  </si>
  <si>
    <t>Phytocee/Pol-C/Herbal C (</t>
  </si>
  <si>
    <t xml:space="preserve">BIOMIN125                </t>
  </si>
  <si>
    <t xml:space="preserve">PIGFEN 4% (Fenbendazole) </t>
  </si>
  <si>
    <t xml:space="preserve">PX34V VNF                </t>
  </si>
  <si>
    <t xml:space="preserve">PX66V VNF                </t>
  </si>
  <si>
    <t xml:space="preserve">MC-0697G Premix          </t>
  </si>
  <si>
    <t xml:space="preserve">AVAILA Zn120(12%)        </t>
  </si>
  <si>
    <t xml:space="preserve">PX 62PV VNF Premix       </t>
  </si>
  <si>
    <t xml:space="preserve">COVOTEK434(cattles)      </t>
  </si>
  <si>
    <t xml:space="preserve">PMX 572-G Premix         </t>
  </si>
  <si>
    <t xml:space="preserve">PMX 0.2% YELLOW          </t>
  </si>
  <si>
    <t xml:space="preserve">SURMAX100(10%)           </t>
  </si>
  <si>
    <t xml:space="preserve">MAXIBAN72/MAXIBAN 16%    </t>
  </si>
  <si>
    <t xml:space="preserve">PX67V VNF                </t>
  </si>
  <si>
    <t xml:space="preserve">PX31V VNF                </t>
  </si>
  <si>
    <t xml:space="preserve">PX25V VNF Premix         </t>
  </si>
  <si>
    <t xml:space="preserve">FLAVOMYCIN 80(8%)        </t>
  </si>
  <si>
    <t xml:space="preserve">571V Premix              </t>
  </si>
  <si>
    <t xml:space="preserve">PX 62V VNF Premix        </t>
  </si>
  <si>
    <t xml:space="preserve">AVATEC 15%               </t>
  </si>
  <si>
    <t xml:space="preserve">CC 60%                   </t>
  </si>
  <si>
    <t>CORN</t>
  </si>
  <si>
    <t>Soy Bean Meal (USA)</t>
  </si>
  <si>
    <t>TAPIOCA BY PRODUCT FINE (#A)</t>
  </si>
  <si>
    <t>DDGS.</t>
  </si>
  <si>
    <t>WHEAT GRAIN</t>
  </si>
  <si>
    <t>Palm Kernel Expeller</t>
  </si>
  <si>
    <t>Pangasius Fish Oil</t>
  </si>
  <si>
    <t>Limestone (Fine)</t>
  </si>
  <si>
    <t>SOYBEAN SEED</t>
  </si>
  <si>
    <t>BROKEN RICE</t>
  </si>
  <si>
    <t>BREWER'S DRIED GRAIN</t>
  </si>
  <si>
    <t>RICE BRAN SOLVENT</t>
  </si>
  <si>
    <t>Molasses</t>
  </si>
  <si>
    <t>VEDAN</t>
  </si>
  <si>
    <t>WHEAT BRAN</t>
  </si>
  <si>
    <t>DICALCIUM PHOSPHATE</t>
  </si>
  <si>
    <t>FEATHER MEAL</t>
  </si>
  <si>
    <t>Soy Bean Meal (Brazil)</t>
  </si>
  <si>
    <t>SOY PROTEIN</t>
  </si>
  <si>
    <t>LIMESTONE (COARSE)</t>
  </si>
  <si>
    <t>FISH MEAL 65%</t>
  </si>
  <si>
    <t>SEA SALT</t>
  </si>
  <si>
    <t>WHEY POWDER</t>
  </si>
  <si>
    <t>FISH HEAD MEAL</t>
  </si>
  <si>
    <t>DEXTROSE</t>
  </si>
  <si>
    <t>Calcium feed</t>
  </si>
  <si>
    <t>CRUDE SOYBEAN OIL</t>
  </si>
  <si>
    <t>Sweet potato powder</t>
  </si>
  <si>
    <t>Tiamvet 100 (Italy)</t>
  </si>
  <si>
    <t xml:space="preserve"> Salcurb RME Liquid (Singapore)</t>
  </si>
  <si>
    <t>Tiamutin 80%</t>
  </si>
  <si>
    <t>Yucomy-20 premix Powder</t>
  </si>
  <si>
    <t>Intelli Bond C</t>
  </si>
  <si>
    <t>BioPlus YC (Czech Republic)</t>
  </si>
  <si>
    <t>Microplex 1000ppm(USA)</t>
  </si>
  <si>
    <t>Availa-ZN 120</t>
  </si>
  <si>
    <t>RAW RICE</t>
  </si>
  <si>
    <t>Soy Bean Meal (Argentina)</t>
  </si>
  <si>
    <t>SOYBEAN MEAL</t>
  </si>
  <si>
    <t>Monodicalcium Phosphate</t>
  </si>
  <si>
    <t>MONOCALCIUM PHOSPHATE</t>
  </si>
  <si>
    <t>L-Valine (China)</t>
  </si>
  <si>
    <t>Vitamin E 50</t>
  </si>
  <si>
    <t>Copper sulfate (Thai)</t>
  </si>
  <si>
    <t>Florfenicol 4%</t>
  </si>
  <si>
    <t>Copper</t>
  </si>
  <si>
    <t>WH34</t>
  </si>
  <si>
    <t>Z7.3</t>
  </si>
  <si>
    <t>Nor gr</t>
  </si>
  <si>
    <t xml:space="preserve">HP300                    </t>
  </si>
  <si>
    <t xml:space="preserve">FLORFENICOL 4%           </t>
  </si>
  <si>
    <t xml:space="preserve">PULMOTIL 20%             </t>
  </si>
  <si>
    <t>A13.2</t>
  </si>
  <si>
    <t>D302</t>
  </si>
  <si>
    <t>Lệch</t>
  </si>
  <si>
    <t>Tổng</t>
  </si>
  <si>
    <t xml:space="preserve">SBMArg,C46%              </t>
  </si>
  <si>
    <t xml:space="preserve">MYCOFIX Plus 4.0         </t>
  </si>
  <si>
    <t>Zambac MD 100 (China)</t>
  </si>
  <si>
    <t>Monocalcium Phosphate ( China)</t>
  </si>
  <si>
    <t xml:space="preserve">SBMArg46%                </t>
  </si>
  <si>
    <t xml:space="preserve"> Chlortetracyline (CTC 15%)</t>
  </si>
  <si>
    <t>840537</t>
  </si>
  <si>
    <t>LA8</t>
  </si>
  <si>
    <t>LA9</t>
  </si>
  <si>
    <t xml:space="preserve">Total  L-Isoleucine </t>
  </si>
  <si>
    <t>LA10</t>
  </si>
  <si>
    <t>L-ILE90%_L-Lsoleucine 90%</t>
  </si>
  <si>
    <t>L-Arginine (china)</t>
  </si>
  <si>
    <t>Total  L-Arginine</t>
  </si>
  <si>
    <t>V6.1</t>
  </si>
  <si>
    <t>Miclozan 200 (Italy)</t>
  </si>
  <si>
    <t>Total Miclozan</t>
  </si>
  <si>
    <t>L-ARG</t>
  </si>
  <si>
    <t>Chlortetracyline</t>
  </si>
  <si>
    <t>L-Arginine (China)</t>
  </si>
  <si>
    <t>L-Isoleucine (Korea)</t>
  </si>
  <si>
    <t>LignoBond DD (NORWAY)</t>
  </si>
  <si>
    <t>Vedafeed</t>
  </si>
  <si>
    <t>Corn Brazil # A</t>
  </si>
  <si>
    <t>Corn Argentina # A</t>
  </si>
  <si>
    <t>Corn India # B</t>
  </si>
  <si>
    <t>Corn Brazil # B</t>
  </si>
  <si>
    <t>Feed Wheat (Brazil)</t>
  </si>
  <si>
    <t>ChlotetraCycline 15%(CTC)</t>
  </si>
  <si>
    <t>Tổng Usage 3 nhóm</t>
  </si>
  <si>
    <t>BẮP CLEAN LINE</t>
  </si>
  <si>
    <t>TỔNG BẮP SỬ DỤNG</t>
  </si>
  <si>
    <t>BẢNG TÊN</t>
  </si>
  <si>
    <t>000001*</t>
  </si>
  <si>
    <t>000001**</t>
  </si>
  <si>
    <t>000001***</t>
  </si>
  <si>
    <t>000001****</t>
  </si>
  <si>
    <t>Ferm O tide (usa)</t>
  </si>
  <si>
    <t>Mypro (china)</t>
  </si>
  <si>
    <t xml:space="preserve">Total  Ferm O tide </t>
  </si>
  <si>
    <t>Ferm O tide (USA)</t>
  </si>
  <si>
    <t>Mypro (China)</t>
  </si>
  <si>
    <t>Total  Mypro (china)</t>
  </si>
  <si>
    <t>DPS 50(USA)</t>
  </si>
  <si>
    <t>Total  DPS 50</t>
  </si>
  <si>
    <t>AP 920</t>
  </si>
  <si>
    <t>Total  AP 920</t>
  </si>
  <si>
    <t>Total: Feed Wheat (AUS)</t>
  </si>
  <si>
    <t>Total: Feed Wheat (Brazil)</t>
  </si>
  <si>
    <t>ID CODE</t>
  </si>
  <si>
    <t>DESCRIPTION</t>
  </si>
  <si>
    <t>REQUIRED (KGS)</t>
  </si>
  <si>
    <t>ACTUAL (KGS)</t>
  </si>
  <si>
    <t>DEVIATION (KGS)</t>
  </si>
  <si>
    <t>% DEVIATION</t>
  </si>
  <si>
    <t>Rodotium 80% (Bulgaria)</t>
  </si>
  <si>
    <t xml:space="preserve">Total Rodotium 80% </t>
  </si>
  <si>
    <t>Tilmovet 20% Granular Premix (Bulgaria)</t>
  </si>
  <si>
    <t>Total Tilmovet 20%</t>
  </si>
  <si>
    <t>Ferm O tide</t>
  </si>
  <si>
    <t>WH38</t>
  </si>
  <si>
    <t>Premix 52M</t>
  </si>
  <si>
    <t>BMD 10%</t>
  </si>
  <si>
    <t>AP920 (Canada)</t>
  </si>
  <si>
    <t>FM85</t>
  </si>
  <si>
    <t>Conc. 34V (Lot 15 )</t>
  </si>
  <si>
    <t>Miclozan 200</t>
  </si>
  <si>
    <t>FM54, 69</t>
  </si>
  <si>
    <t xml:space="preserve">Rodotium 80% </t>
  </si>
  <si>
    <t>52M</t>
  </si>
  <si>
    <t xml:space="preserve">WHEATAus10%              </t>
  </si>
  <si>
    <t xml:space="preserve">52M Premix               </t>
  </si>
  <si>
    <t>Insect oil (Local), (dầu côn trùng)</t>
  </si>
  <si>
    <t>Total: Insect oil</t>
  </si>
  <si>
    <t>Tilmovet 20%</t>
  </si>
  <si>
    <t>Tổng mixer</t>
  </si>
  <si>
    <t>Tổng nl sử dụng</t>
  </si>
  <si>
    <t>Tổng cộng</t>
  </si>
  <si>
    <t>Ko vào bc sd</t>
  </si>
  <si>
    <t>Conc. 21V (Lot 18)</t>
  </si>
  <si>
    <t>Nhập số molass mixer</t>
  </si>
  <si>
    <t>Nhập số rovabio mixer</t>
  </si>
  <si>
    <t>Nhập số salcurb</t>
  </si>
  <si>
    <t>Chênh lệch</t>
  </si>
  <si>
    <t>Insect oil</t>
  </si>
  <si>
    <t>GI LIP (DẦU CÔN TRÙNG)</t>
  </si>
  <si>
    <t xml:space="preserve">LARVADEX 1%              </t>
  </si>
  <si>
    <t>Triamulox80% (Tiamulin)/T</t>
  </si>
  <si>
    <t>Total Tiamutin (Tiotilin 80%, Dengard)</t>
  </si>
  <si>
    <t>WH32</t>
  </si>
  <si>
    <t>Total: FO</t>
  </si>
  <si>
    <t>Total: BFM</t>
  </si>
  <si>
    <t>Fish Head Meal (53.84%)</t>
  </si>
  <si>
    <t>Fish Head Meal (53.22%)</t>
  </si>
  <si>
    <t>Tiamulin Hydrogen Fumarate 80% Coated</t>
  </si>
  <si>
    <t>TỔNG BẮP 
TỪ USAGE</t>
  </si>
  <si>
    <t>Conc. 31V (Lot 18)</t>
  </si>
  <si>
    <t xml:space="preserve">WHEATArg11%              </t>
  </si>
  <si>
    <t>840002.HA</t>
  </si>
  <si>
    <t>WH22</t>
  </si>
  <si>
    <t>Conc. 34V (Lot 34 )</t>
  </si>
  <si>
    <t>Conc. 34V (Lot 26)</t>
  </si>
  <si>
    <t>843045</t>
  </si>
  <si>
    <t>FLORPAN -S ( florfenicol 3%)  (20kg)</t>
  </si>
  <si>
    <t>L-Isoleucine ( China)</t>
  </si>
  <si>
    <t>Florfenicol 3%</t>
  </si>
  <si>
    <t>NL, CAM KO VÀO BC</t>
  </si>
  <si>
    <t>APA FLOFE 4P ( florfenicol 4%)  (20kg)</t>
  </si>
  <si>
    <t>Total APA FLOFE 4P</t>
  </si>
  <si>
    <t>APA FLOFE 4P</t>
  </si>
  <si>
    <t>L-Isoleucine (korea) 20kg</t>
  </si>
  <si>
    <t>Total Dabomb-P</t>
  </si>
  <si>
    <t xml:space="preserve">          Total</t>
  </si>
  <si>
    <t>APA FLOFE 4P ( florfenicol 4%)</t>
  </si>
  <si>
    <t>AVI WA</t>
  </si>
  <si>
    <t>phugia</t>
  </si>
  <si>
    <t>Dia- V Nursery (USA)</t>
  </si>
  <si>
    <t>Total  Dia- V Nursery (USA)</t>
  </si>
  <si>
    <t>Dia-V Nursery (USA)</t>
  </si>
  <si>
    <t xml:space="preserve">WHEATUkr/Rus12.5%        </t>
  </si>
  <si>
    <t xml:space="preserve">DDGS28/8/6Usa            </t>
  </si>
  <si>
    <t>Total Insect oi</t>
  </si>
  <si>
    <t>Dia- V Nursery</t>
  </si>
  <si>
    <t>B15.2</t>
  </si>
  <si>
    <t>Conc. 572S (Lot 34)</t>
  </si>
  <si>
    <t xml:space="preserve">WHEATAus12%              </t>
  </si>
  <si>
    <t xml:space="preserve">WHEATRom12%              </t>
  </si>
  <si>
    <t>A8</t>
  </si>
  <si>
    <t>Tổng production report</t>
  </si>
  <si>
    <t>Tổng usage report</t>
  </si>
  <si>
    <t>Kiểm tra usage report</t>
  </si>
  <si>
    <t>Kiểm tra production report</t>
  </si>
  <si>
    <t xml:space="preserve">PX52M VNF                </t>
  </si>
  <si>
    <t>025201*</t>
  </si>
  <si>
    <t>831918</t>
  </si>
  <si>
    <t>FM#2 65/6</t>
  </si>
  <si>
    <t>FFSUsa35/19</t>
  </si>
  <si>
    <t>RBF12/13/8</t>
  </si>
  <si>
    <t>FO BASA VNF (D)</t>
  </si>
  <si>
    <t>CAROMIC/TRIGARROFA</t>
  </si>
  <si>
    <t>UREA FINE</t>
  </si>
  <si>
    <t>PMX 0.2% YELLOW</t>
  </si>
  <si>
    <t>PMX 0.2% RED Premix</t>
  </si>
  <si>
    <t>CRNArg#2 7.0%</t>
  </si>
  <si>
    <t>SBMBra48%</t>
  </si>
  <si>
    <t>CRN CLR LINE Swine(Bra#2 7.4%)</t>
  </si>
  <si>
    <t>DDGS28/8/6Usa</t>
  </si>
  <si>
    <t>CRNBra#2 7.4% (Spec VNF)</t>
  </si>
  <si>
    <t>RCE,BR 8.2%</t>
  </si>
  <si>
    <t>WHEATAus12%</t>
  </si>
  <si>
    <t>CRNArg#2 C 7.0%</t>
  </si>
  <si>
    <t>CRNBra#2 C 7.4% (Spec VNF)</t>
  </si>
  <si>
    <t>PKM,Exp14/9/16</t>
  </si>
  <si>
    <t>SBMBra,C47%</t>
  </si>
  <si>
    <t>CRN#2,EXT 8.2%</t>
  </si>
  <si>
    <t>RBS15/15 ( Spec VNF )</t>
  </si>
  <si>
    <t>WHEATRom12%</t>
  </si>
  <si>
    <t>LS38%</t>
  </si>
  <si>
    <t>FO BASA VNF (M)</t>
  </si>
  <si>
    <t>SBMBra,C48%</t>
  </si>
  <si>
    <t>BDG,DRY25%</t>
  </si>
  <si>
    <t>MOLASSES Vnf</t>
  </si>
  <si>
    <t>SBMBra47%</t>
  </si>
  <si>
    <t>TAP BP,DRY44/18</t>
  </si>
  <si>
    <t>VEDAN (By Product MSG) VNF</t>
  </si>
  <si>
    <t>DDGS26/8/6Usa</t>
  </si>
  <si>
    <t>IR/FR(SWINE)</t>
  </si>
  <si>
    <t>WHEATArg11%</t>
  </si>
  <si>
    <t>DabombProtein</t>
  </si>
  <si>
    <t>WY DEPRO2.6%(LandNuForAgri)</t>
  </si>
  <si>
    <t>MDCP18/21,Chn</t>
  </si>
  <si>
    <t>LS,C38%</t>
  </si>
  <si>
    <t>WY SWEET11.5%(MLEKOVITA)</t>
  </si>
  <si>
    <t>FEMEnz85%</t>
  </si>
  <si>
    <t>WB15%</t>
  </si>
  <si>
    <t>MDCP17/21 Mar</t>
  </si>
  <si>
    <t>SALT,F98%</t>
  </si>
  <si>
    <t>LL 78%</t>
  </si>
  <si>
    <t>LL 55%(SULFATE) SPEC VNF</t>
  </si>
  <si>
    <t>DL 99%/RHODIMET 99%</t>
  </si>
  <si>
    <t>L-THR 98.5%</t>
  </si>
  <si>
    <t>MYCOCURB(LIQ-MOP)</t>
  </si>
  <si>
    <t>LS38%(CAL,FEED)</t>
  </si>
  <si>
    <t>Betafin LQD L 38%</t>
  </si>
  <si>
    <t>SO,C(M)</t>
  </si>
  <si>
    <t>CC LIQ 75%</t>
  </si>
  <si>
    <t>ACID LAC</t>
  </si>
  <si>
    <t>TAP BP VNF Roasted</t>
  </si>
  <si>
    <t>ALLPLEX GF (0404)</t>
  </si>
  <si>
    <t>52M Premix</t>
  </si>
  <si>
    <t>MS SWINE 0314 (Biomin)</t>
  </si>
  <si>
    <t>BETAFIN S4 92%</t>
  </si>
  <si>
    <t>ALLPLEX S (0404)</t>
  </si>
  <si>
    <t>ZN OXIDE80%</t>
  </si>
  <si>
    <t>L-TRP 98.5%</t>
  </si>
  <si>
    <t>AVI-MUL TOP (Emulsifier)</t>
  </si>
  <si>
    <t>51V Premix</t>
  </si>
  <si>
    <t>52V Premix</t>
  </si>
  <si>
    <t>PX10M VNF</t>
  </si>
  <si>
    <t>ENZYME PACK EP2 (ROVABIO+NATUPHOS)</t>
  </si>
  <si>
    <t>FEED CURB</t>
  </si>
  <si>
    <t>MYCOSORB A PLUS toxin Binder</t>
  </si>
  <si>
    <t>LIGNOBOND</t>
  </si>
  <si>
    <t>SAL CURB RME L</t>
  </si>
  <si>
    <t>52SV Premix</t>
  </si>
  <si>
    <t>RovabioMAX Advance L</t>
  </si>
  <si>
    <t>MARI(WISDEM GOLDEN- Y 20) VNF</t>
  </si>
  <si>
    <t>10V Premix</t>
  </si>
  <si>
    <t>NOVASIL Plus (Toxin Binder )</t>
  </si>
  <si>
    <t>AVAILA Zn120(12%)</t>
  </si>
  <si>
    <t>MC0697 Premix</t>
  </si>
  <si>
    <t>BioPlus YC (Probiotic)</t>
  </si>
  <si>
    <t>MYCOFIX Plus 5.0</t>
  </si>
  <si>
    <t>ENDOX,Dry-M</t>
  </si>
  <si>
    <t>CopperChloride58%(TBCC)</t>
  </si>
  <si>
    <t>QUIXALUD 60%/Roxolin</t>
  </si>
  <si>
    <t>ACTISAF39%(ActiveYeast)</t>
  </si>
  <si>
    <t>Denagard 10%(Tiamulin )/TIAMVET100</t>
  </si>
  <si>
    <t>PMX CAROPHYLL RED 1%(VNF,DSM)</t>
  </si>
  <si>
    <t>MC0697B Premix</t>
  </si>
  <si>
    <t>67SV Premix</t>
  </si>
  <si>
    <t>ALLPLEX B (0404)</t>
  </si>
  <si>
    <t>21V Premix</t>
  </si>
  <si>
    <t>MICROPLEX Cr 0.1%</t>
  </si>
  <si>
    <t>48V Premix</t>
  </si>
  <si>
    <t>SUCRAM 3D</t>
  </si>
  <si>
    <t>Denagard (Tiamulin 80%)RUS</t>
  </si>
  <si>
    <t>HiZox (75%)</t>
  </si>
  <si>
    <t>PIGFEN 4% (Fenbendazole)</t>
  </si>
  <si>
    <t>Dia-V Nursery/SyngenX (Prebiotic)</t>
  </si>
  <si>
    <t>572SV Premix</t>
  </si>
  <si>
    <t>PX66V VNF</t>
  </si>
  <si>
    <t>PX 582 VNF</t>
  </si>
  <si>
    <t>Versazyme/ProteasePowder</t>
  </si>
  <si>
    <t>BIOMIN125</t>
  </si>
  <si>
    <t>Phytocee/Pol-C/Herbal C (VitC Plant)</t>
  </si>
  <si>
    <t>MYCOSTATIN-20</t>
  </si>
  <si>
    <t>PX 62V VNF Premix</t>
  </si>
  <si>
    <t>PX 62PV VNF Premix</t>
  </si>
  <si>
    <t>PX67V VNF</t>
  </si>
  <si>
    <t>COVOTEK434(cattles)</t>
  </si>
  <si>
    <t>PX34V VNF</t>
  </si>
  <si>
    <t>PX31V VNF</t>
  </si>
  <si>
    <t>571V Premix</t>
  </si>
  <si>
    <t>SURMAX100(10%)</t>
  </si>
  <si>
    <t>PX25V VNF Premix</t>
  </si>
  <si>
    <t>PMX 572-G Premix</t>
  </si>
  <si>
    <t>MC-0697G Premix</t>
  </si>
  <si>
    <t>BacitracinBMD10%</t>
  </si>
  <si>
    <t>025211</t>
  </si>
  <si>
    <t xml:space="preserve">Total TARTRAZINE </t>
  </si>
  <si>
    <t>TARTRAZINE 50% content (India)</t>
  </si>
  <si>
    <t>TARTRAZINE 50%</t>
  </si>
  <si>
    <t>Conc. 62V (Lot 34)</t>
  </si>
  <si>
    <t>Tartrazine 50%</t>
  </si>
  <si>
    <t>FiberMax- 7 (USA)</t>
  </si>
  <si>
    <t>Total  FiberMax- 7 (USA)</t>
  </si>
  <si>
    <t>FLORFENICOL 4%</t>
  </si>
  <si>
    <t>FiberMax- 7</t>
  </si>
  <si>
    <t>HP300</t>
  </si>
  <si>
    <t>MAXIBAN72/MAXIBAN 16%</t>
  </si>
  <si>
    <t>FM156,71</t>
  </si>
  <si>
    <t>M-TOX PLUS, MT.X+ (France)</t>
  </si>
  <si>
    <t>Total Pigfen 40mg/g</t>
  </si>
  <si>
    <t>MT.X + (France)</t>
  </si>
  <si>
    <t>BPS Plus (France)</t>
  </si>
  <si>
    <t>Total BPS Plus (France)</t>
  </si>
  <si>
    <t>Total  BPS Plus (France)</t>
  </si>
  <si>
    <t>Total: FW</t>
  </si>
  <si>
    <t>Total: SBS</t>
  </si>
  <si>
    <t>Total: SO</t>
  </si>
  <si>
    <t>SBC(SodBiCarb)</t>
  </si>
  <si>
    <t xml:space="preserve">KOMOS </t>
  </si>
  <si>
    <t>Nhập MycoCurb komos</t>
  </si>
  <si>
    <t>COM,Exp20/8/13</t>
  </si>
  <si>
    <t>AP920</t>
  </si>
  <si>
    <t>COCONUT MEAL</t>
  </si>
  <si>
    <t>APA FLOFE 4P, FlorPAN-4S ( florfenicol 4%)  (20kg)</t>
  </si>
  <si>
    <t>026203*</t>
  </si>
  <si>
    <t>Glycine</t>
  </si>
  <si>
    <t>Total Glycine</t>
  </si>
  <si>
    <t>FlorPAN-4S(Korea)</t>
  </si>
  <si>
    <t>Glycine (China)</t>
  </si>
  <si>
    <t>LignoBond DD, Sodium Lignosulphonate</t>
  </si>
  <si>
    <t>FLAVOMYCIN 80(8%)</t>
  </si>
  <si>
    <t>Sodium Lignosulphonate (Sweden)</t>
  </si>
  <si>
    <t>026213*</t>
  </si>
  <si>
    <t>CC 60%</t>
  </si>
  <si>
    <t>FM 79</t>
  </si>
  <si>
    <t>DPS 50RD</t>
  </si>
  <si>
    <t>LOSS</t>
  </si>
  <si>
    <t>BROWN RICE 8.0%</t>
  </si>
  <si>
    <t>TAPIOCA (CASSAVA)</t>
  </si>
  <si>
    <t>Unpolished Rice #1 (Gạo lức)</t>
  </si>
  <si>
    <t>BPS plus</t>
  </si>
  <si>
    <t>Total: Tap # D1, # D2</t>
  </si>
  <si>
    <t>Mfeed + (France)</t>
  </si>
  <si>
    <t>Total Mfeed + (France)</t>
  </si>
  <si>
    <t>Total  Mfeed + (France)</t>
  </si>
  <si>
    <t>MFeed+ (France)</t>
  </si>
  <si>
    <t>Conc. MC-0697 (Lot 14)</t>
  </si>
  <si>
    <t>Mfeed</t>
  </si>
  <si>
    <t>Rodotium 10% (Bulgaria)</t>
  </si>
  <si>
    <t>FM67</t>
  </si>
  <si>
    <t>CAS,CH2.2/4</t>
  </si>
  <si>
    <t>PADDY7.3/10</t>
  </si>
  <si>
    <t>Advance Halquinol 60%</t>
  </si>
  <si>
    <t>Total: DCP 21%</t>
  </si>
  <si>
    <t>Total   Surmax 10%</t>
  </si>
  <si>
    <t>ID PHYT CAPCIN P2T 02.50 (Switzerland)</t>
  </si>
  <si>
    <t>Total ID PHYT CAPCIN</t>
  </si>
  <si>
    <t>LA7</t>
  </si>
  <si>
    <t>Monimax (Bulgaria)</t>
  </si>
  <si>
    <t>MONIMAX (Monensin+Nicarbazin 16%)</t>
  </si>
  <si>
    <t>Unpolished Rice #1, #2</t>
  </si>
  <si>
    <t>ID PHYT CAPCIN</t>
  </si>
  <si>
    <t xml:space="preserve">ID PHYT CAPCIN </t>
  </si>
  <si>
    <t>D3</t>
  </si>
  <si>
    <t>D303</t>
  </si>
  <si>
    <t>XTRACT Nature (Switzerland)</t>
  </si>
  <si>
    <t>Total XTRACT Nature</t>
  </si>
  <si>
    <t xml:space="preserve">XTRACT </t>
  </si>
  <si>
    <t>Feed Wheat (Rus, arg,bra, aus)</t>
  </si>
  <si>
    <t>Limestone (Coarse)</t>
  </si>
  <si>
    <t>Total:  HP300</t>
  </si>
  <si>
    <t>Novipel S (Belgium)</t>
  </si>
  <si>
    <t>Total  XTRACT Nature (Switzerland)</t>
  </si>
  <si>
    <t xml:space="preserve">Ferm O tide </t>
  </si>
  <si>
    <t>Total Novipel S (Belgium)</t>
  </si>
  <si>
    <t>Total  Novipel S (Belgium)</t>
  </si>
  <si>
    <t>A18.1</t>
  </si>
  <si>
    <t>COM,S 21%CM</t>
  </si>
  <si>
    <t>Novipel S ( Belgium)</t>
  </si>
  <si>
    <t>Novipel S</t>
  </si>
  <si>
    <t>Conc. 62PV (Lot 18)</t>
  </si>
  <si>
    <t>LA5</t>
  </si>
  <si>
    <t>Levucell sb 10</t>
  </si>
  <si>
    <t>Total Levucell sb 10</t>
  </si>
  <si>
    <t>Levucell sb 10 me titan (Poland)</t>
  </si>
  <si>
    <t>Silo</t>
  </si>
  <si>
    <t>MBM52/12/29Nzl</t>
  </si>
  <si>
    <t>CRN#2 7.6%</t>
  </si>
  <si>
    <t>PORK MEAT &amp; BONE MEAL</t>
  </si>
  <si>
    <t>Shrimp Soluble Extract</t>
  </si>
  <si>
    <t>Total: SSE</t>
  </si>
  <si>
    <t>Allplex GF (Local)</t>
  </si>
  <si>
    <t>Allplex S (Local)</t>
  </si>
  <si>
    <t>Sử dụng  DL H.A, Bin</t>
  </si>
  <si>
    <t>Allplex B (Local)</t>
  </si>
  <si>
    <t>Poultry Meal</t>
  </si>
  <si>
    <t>COM,Exp16/11.5</t>
  </si>
  <si>
    <t>D1</t>
  </si>
  <si>
    <t>Total Shrimp Soluble Extract</t>
  </si>
  <si>
    <t>E3</t>
  </si>
  <si>
    <t>Conc. 67V (Lot 23)</t>
  </si>
  <si>
    <t>Mix oil powder (20KG)</t>
  </si>
  <si>
    <t xml:space="preserve">Total Mix oil </t>
  </si>
  <si>
    <t>Shrimp</t>
  </si>
  <si>
    <t>TIAMVET</t>
  </si>
  <si>
    <t>Mix oil powder (Italy)</t>
  </si>
  <si>
    <t>SBMArg46%</t>
  </si>
  <si>
    <t>SBMArg,C46%</t>
  </si>
  <si>
    <t>CRN#2,C Brl7.6%</t>
  </si>
  <si>
    <t>L-ILE 90%</t>
  </si>
  <si>
    <t>L-Isoleucine (CHINA) 20kg</t>
  </si>
  <si>
    <t>DL- Methionine 99% Feed Grade</t>
  </si>
  <si>
    <t>Mix oil</t>
  </si>
  <si>
    <t>FM60</t>
  </si>
  <si>
    <t>TAPIOCA BY PRODUCT(S)</t>
  </si>
  <si>
    <t>Mycofix Plus 3.0 (Singapore)</t>
  </si>
  <si>
    <t>Coffe Husk Meal</t>
  </si>
  <si>
    <t>Total: CFHM</t>
  </si>
  <si>
    <t>V6.2</t>
  </si>
  <si>
    <t>Coffee husk meal</t>
  </si>
  <si>
    <t>Provisoy (VN)</t>
  </si>
  <si>
    <t>Total Provisoy (VN)</t>
  </si>
  <si>
    <t>Allplex-GF (Local)</t>
  </si>
  <si>
    <t>Allplex-S (Local)</t>
  </si>
  <si>
    <t>Allplex-B  (USA, Local)</t>
  </si>
  <si>
    <t>Soy Been Meal ( Brazil )</t>
  </si>
  <si>
    <t>SBMBra46%</t>
  </si>
  <si>
    <t>WHEATUkr/Rus10%</t>
  </si>
  <si>
    <t>SBMBra,C46%</t>
  </si>
  <si>
    <t>HD Soy/PROVISOY (provimi)</t>
  </si>
  <si>
    <t>SOYTIDE</t>
  </si>
  <si>
    <t>Tapioca #C, # D 2, #D 1</t>
  </si>
  <si>
    <t>Choline Chloride 75% Liquid (China)</t>
  </si>
  <si>
    <t>Conc.10V (Lot 2)</t>
  </si>
  <si>
    <t>Mycofix Plus 3.0, 5.0</t>
  </si>
  <si>
    <t>E1</t>
  </si>
  <si>
    <t>LEVUCELL SB 10(LALLEMAND)</t>
  </si>
  <si>
    <t>Conc. 10M (Lot 4)</t>
  </si>
  <si>
    <t>551100</t>
  </si>
  <si>
    <t>Wheat gluten (Germany)</t>
  </si>
  <si>
    <t>Total: WG</t>
  </si>
  <si>
    <t>Total: PM</t>
  </si>
  <si>
    <t>Conc. 67SV (Lot 5)</t>
  </si>
  <si>
    <t>FM63</t>
  </si>
  <si>
    <t>01 Corn</t>
  </si>
  <si>
    <t>VITAL WHEAT GLUTEN</t>
  </si>
  <si>
    <t>Megacid-F (singapore)</t>
  </si>
  <si>
    <t>Total  Megacid-F (singapore)</t>
  </si>
  <si>
    <t>Total Megacid-F (singapore)</t>
  </si>
  <si>
    <t>L-ARG 99.7%</t>
  </si>
  <si>
    <t>L-VAL 96.5%</t>
  </si>
  <si>
    <t>FRA Butyrin Ultra (Netherlands)</t>
  </si>
  <si>
    <t xml:space="preserve">Total FRA Butyrin Ultra </t>
  </si>
  <si>
    <t>FRA Butyrin Mono (Netherlands)</t>
  </si>
  <si>
    <t xml:space="preserve">Total FRA Butyrin Mono </t>
  </si>
  <si>
    <t>Megacid-F</t>
  </si>
  <si>
    <t>FRA Butyrin Ultra</t>
  </si>
  <si>
    <t xml:space="preserve">FRA Butyrin Mono </t>
  </si>
  <si>
    <t>Citrex</t>
  </si>
  <si>
    <t>Citrex Powder (Malaysia)</t>
  </si>
  <si>
    <t>Total Citrex Powder</t>
  </si>
  <si>
    <t>Total  Citrex Powder</t>
  </si>
  <si>
    <t>Tota lFRA Butyrin Mono</t>
  </si>
  <si>
    <t>Total  FRA Butyrin Ultra</t>
  </si>
  <si>
    <t>CRN CLR LINE Poultry (Bra#2 7.4%)</t>
  </si>
  <si>
    <t>Denagard 80% Coated(China)</t>
  </si>
  <si>
    <t>Bakery Meal (Biscuit meal)</t>
  </si>
  <si>
    <t>Total: BM</t>
  </si>
  <si>
    <t>Bakery Meal</t>
  </si>
  <si>
    <t>POULTRY MEAL 60%</t>
  </si>
  <si>
    <t>Insect Meal</t>
  </si>
  <si>
    <t>Total: IM</t>
  </si>
  <si>
    <t>Insect Meal (bột côn trùng)</t>
  </si>
  <si>
    <t>CRN#2,EXT 7.2%</t>
  </si>
  <si>
    <t>Insect meal</t>
  </si>
  <si>
    <t>Wheat Gluten 78%</t>
  </si>
  <si>
    <t xml:space="preserve"> PoultryGrow 250 (Canada)</t>
  </si>
  <si>
    <t>Total PoultryGrow</t>
  </si>
  <si>
    <t>Total   PoultryGrow</t>
  </si>
  <si>
    <t>FM 74</t>
  </si>
  <si>
    <t>RBF(24h)</t>
  </si>
  <si>
    <t>RBF (24h)</t>
  </si>
  <si>
    <t>Total: RBF (24h)</t>
  </si>
  <si>
    <t>Y5.1</t>
  </si>
  <si>
    <t>PoultryGrow 250 (Canada)</t>
  </si>
  <si>
    <t>RBF13/14/7</t>
  </si>
  <si>
    <t>FM69</t>
  </si>
  <si>
    <t>PoultryGrow 250</t>
  </si>
  <si>
    <t>FM 66</t>
  </si>
  <si>
    <t>A12.2</t>
  </si>
  <si>
    <t>CAS,CH2.2/3/3.5</t>
  </si>
  <si>
    <t xml:space="preserve"> Mix oil powder</t>
  </si>
  <si>
    <t>Total   Mix oil powder</t>
  </si>
  <si>
    <t>WH24</t>
  </si>
  <si>
    <t>Z2.1</t>
  </si>
  <si>
    <t>Conc. Yellow  2% (Lot 12)</t>
  </si>
  <si>
    <t>V7.1</t>
  </si>
  <si>
    <t>L-lysine Liquid lysine feed grade (Indo)</t>
  </si>
  <si>
    <t>Total LL50% LQD</t>
  </si>
  <si>
    <t>E2</t>
  </si>
  <si>
    <t>LL50%</t>
  </si>
  <si>
    <t>L-Lysine HCl Liq (50%)</t>
  </si>
  <si>
    <t>B18.1</t>
  </si>
  <si>
    <t>L-lysine Monohydrochloride (China)</t>
  </si>
  <si>
    <t>FM 78</t>
  </si>
  <si>
    <t>Feedmill, 155</t>
  </si>
  <si>
    <t>FM53</t>
  </si>
  <si>
    <t>FM 75,74</t>
  </si>
  <si>
    <t>Pep 125 (Biomin)</t>
  </si>
  <si>
    <t>Sacox (Salinomycine)</t>
  </si>
  <si>
    <t>Rovabio Advance Phy L (Belgium)</t>
  </si>
  <si>
    <t>X - Soy 600 (brazil)</t>
  </si>
  <si>
    <t xml:space="preserve"> Toatl X - Soy</t>
  </si>
  <si>
    <t>Total: X-SOY</t>
  </si>
  <si>
    <t>TAP BP,DRY 40/24 (VNF)</t>
  </si>
  <si>
    <t>X-SOY</t>
  </si>
  <si>
    <t>Sacox 120 (Bulgaria)</t>
  </si>
  <si>
    <t>DDGS28/6/7Usa</t>
  </si>
  <si>
    <t>MCP14/22.7,Chn</t>
  </si>
  <si>
    <t>Hemicell HT (usa)</t>
  </si>
  <si>
    <t>Total   Hemicell HT (usa)</t>
  </si>
  <si>
    <t>Total Hemicell HT</t>
  </si>
  <si>
    <t>Rovabio  Max Advance L, Rovabio Advance Phy L
(228kg/thùng)</t>
  </si>
  <si>
    <t>X-soy</t>
  </si>
  <si>
    <t>SALINOMYCIN12% / COXRIVAL 120</t>
  </si>
  <si>
    <t>Conc. 67SV (Lot 35)</t>
  </si>
  <si>
    <t xml:space="preserve">Hemicell </t>
  </si>
  <si>
    <t>FM81</t>
  </si>
  <si>
    <t>Total Sacox (Salinomycine)</t>
  </si>
  <si>
    <t>Salinomycin 12% (sacox)</t>
  </si>
  <si>
    <t>Conc. 25V (Lot 33)</t>
  </si>
  <si>
    <t>Amoxycilin 80%</t>
  </si>
  <si>
    <t>Amoxicillin 80%</t>
  </si>
  <si>
    <t>AMOXY 80%</t>
  </si>
  <si>
    <t>Poultry Meal (60%)</t>
  </si>
  <si>
    <t>Total: CCF</t>
  </si>
  <si>
    <t>Rovabio Advance Phy L</t>
  </si>
  <si>
    <t>WHEATUkr/Rus11.5%</t>
  </si>
  <si>
    <t>Vetrimoxin 50 Matrix (Italy)</t>
  </si>
  <si>
    <t>Total Vetrimoxin 50 (Amoxycilin 50)</t>
  </si>
  <si>
    <t>Poultrystar me (Biomin)</t>
  </si>
  <si>
    <t>SHRIMP ATRACTANT POWDER</t>
  </si>
  <si>
    <t>INSECT MEAL 57%</t>
  </si>
  <si>
    <t>Total:  PM 60%</t>
  </si>
  <si>
    <t>Rice Bran Fresh (S)</t>
  </si>
  <si>
    <t>Rovabio  Max LC, Max Advance L
(228kg/thung)</t>
  </si>
  <si>
    <t>Lucantin Red 10%</t>
  </si>
  <si>
    <t>Lucantin Red 10% NXT (Germany)</t>
  </si>
  <si>
    <t>Total Lucantin Red 10%</t>
  </si>
  <si>
    <t>AQUACIL (AMOXY 50%) / NAMOXILIN</t>
  </si>
  <si>
    <t>LUCANTIN RED</t>
  </si>
  <si>
    <t>Total: Tapioca by Product Fine</t>
  </si>
  <si>
    <t>Tap By Product Fine, Tapioca by product - special (local)</t>
  </si>
  <si>
    <t>Total: Tapioca by Product Fine (xơ cao)</t>
  </si>
  <si>
    <t>Tap By Product (xơ cao)</t>
  </si>
  <si>
    <t>Tapioca by Product Fine (xơ cao)</t>
  </si>
  <si>
    <t>APA Enmy P</t>
  </si>
  <si>
    <t>Total APA Enmy P</t>
  </si>
  <si>
    <t>Total APA FENBEN 10P</t>
  </si>
  <si>
    <t>Total Rodotium 80%</t>
  </si>
  <si>
    <t>Myco Curb liqud</t>
  </si>
  <si>
    <t>L-Lysine Liquid (Korea)</t>
  </si>
  <si>
    <t>% LOSS</t>
  </si>
  <si>
    <t>FM156</t>
  </si>
  <si>
    <t>DDGS, DDGS-pro-26</t>
  </si>
  <si>
    <t>Rice bran fresh (Premium)</t>
  </si>
  <si>
    <t>Bakery Meal 12%</t>
  </si>
  <si>
    <t>LS37%</t>
  </si>
  <si>
    <t>Canthaxanthin 10%FeedAdditive (China)</t>
  </si>
  <si>
    <t>RBF, Rice Bran Fresh (S), Rice bran fresh (Premium)</t>
  </si>
  <si>
    <t>Total Canthaxanthin 10%</t>
  </si>
  <si>
    <t>Sum</t>
  </si>
  <si>
    <t>WH31</t>
  </si>
  <si>
    <t>ENRAMYCIN 80G</t>
  </si>
  <si>
    <t>RBF13/16/7</t>
  </si>
  <si>
    <t>LS,C37%</t>
  </si>
  <si>
    <t>SACOX 120 (Bulgaria)</t>
  </si>
  <si>
    <t>TIAMULIN FUMARATE PREMIX 80% (China)</t>
  </si>
  <si>
    <t>Total: SBM (BRA)</t>
  </si>
  <si>
    <t>Conc. 52M (Lot 03)</t>
  </si>
  <si>
    <t>FISH MEAL 60%</t>
  </si>
  <si>
    <t>Conc. 582 (Lot 04)</t>
  </si>
  <si>
    <t>Conc. 52V (Lot 06)</t>
  </si>
  <si>
    <t>Fish Meal (60.54%)</t>
  </si>
  <si>
    <t>FM#1 60/6</t>
  </si>
  <si>
    <t>Conc. 582 (Lot 05)</t>
  </si>
  <si>
    <t>D304</t>
  </si>
  <si>
    <t>SFM36/1,Rus/Ukr</t>
  </si>
  <si>
    <t>Sunflower meal-Special</t>
  </si>
  <si>
    <t>Toxy-Nil Dry ( Belgium)</t>
  </si>
  <si>
    <t xml:space="preserve"> Toatl Toxy-Nil Dry</t>
  </si>
  <si>
    <t>Euro Biosweet</t>
  </si>
  <si>
    <t>Euro Biosweet (Dehydrated Carob Powder)</t>
  </si>
  <si>
    <t>Toxy Nil Dry</t>
  </si>
  <si>
    <t>Soy Bean Meal (Bunge Viet Nam)</t>
  </si>
  <si>
    <t>Toxy-Nil Dry</t>
  </si>
  <si>
    <t>Carani (Algierial)</t>
  </si>
  <si>
    <t xml:space="preserve">Total Carani </t>
  </si>
  <si>
    <t>SUNFLOWER  MEAL</t>
  </si>
  <si>
    <t>Carani (Algieria)</t>
  </si>
  <si>
    <t>CRNArg#2 7.4%</t>
  </si>
  <si>
    <t>Total  Euro Biosweet</t>
  </si>
  <si>
    <t>CRNArg#2 C 7.4%</t>
  </si>
  <si>
    <t>L-Tryptophan (Korea)</t>
  </si>
  <si>
    <t>Canthaxanthin10%(ESSENTIONRed)CWS (CN)</t>
  </si>
  <si>
    <t>Brewer Dried Grain, Brew"s dried Grain - hight.Pro</t>
  </si>
  <si>
    <t>WH36</t>
  </si>
  <si>
    <t>Soy Been Meal (USA)</t>
  </si>
  <si>
    <t>Total: SBM USA)</t>
  </si>
  <si>
    <t>Total: SBM (ARG)</t>
  </si>
  <si>
    <t>WH33</t>
  </si>
  <si>
    <t>Soy Been Meal (Arg)</t>
  </si>
  <si>
    <t>WH43</t>
  </si>
  <si>
    <t>SBMUsa46%</t>
  </si>
  <si>
    <t>D301</t>
  </si>
  <si>
    <t>Premix CORR ABS</t>
  </si>
  <si>
    <t>Total: MS Swine 0314</t>
  </si>
  <si>
    <t>Total: CORR ABS</t>
  </si>
  <si>
    <t>Conc. Red  2% (Lot 34)</t>
  </si>
  <si>
    <t>SUCRAM200</t>
  </si>
  <si>
    <t>PX CORR ABS</t>
  </si>
  <si>
    <t>567SFS</t>
  </si>
  <si>
    <t>Conc. 582 (Lot 24)</t>
  </si>
  <si>
    <t>WHEAT BRAN PELLET</t>
  </si>
  <si>
    <t>Total: WBC, WBP</t>
  </si>
  <si>
    <t>Corn Gluten Meal (USA)</t>
  </si>
  <si>
    <t>Corr ABS</t>
  </si>
  <si>
    <t>Corn Gluten Meal</t>
  </si>
  <si>
    <t>CGMUsa60%</t>
  </si>
  <si>
    <t>TAP BP,DRY 40/24 (VNF) high fiber</t>
  </si>
  <si>
    <t>Conc. Red  2% (Lot 45)</t>
  </si>
  <si>
    <t>Soy Bean Meal-Pro 45 (Brazil)</t>
  </si>
  <si>
    <t>Total: CGM</t>
  </si>
  <si>
    <t>Receive date</t>
  </si>
  <si>
    <t>BÁO CÁO TỒN KHO NGUYÊN LIỆU</t>
  </si>
  <si>
    <t xml:space="preserve">No.
</t>
  </si>
  <si>
    <t>Stt</t>
  </si>
  <si>
    <t>Tên Nguyên Liệu</t>
  </si>
  <si>
    <t>Vị trí</t>
  </si>
  <si>
    <t>Ngày nhập</t>
  </si>
  <si>
    <t>Ngày tuổi</t>
  </si>
  <si>
    <t>Tồn Đầu kỳ</t>
  </si>
  <si>
    <t>Tồn Cuối Kỳ</t>
  </si>
  <si>
    <t>Thực tế sử dụng</t>
  </si>
  <si>
    <t>Day on hand</t>
  </si>
  <si>
    <t>Số ngày tồn kho</t>
  </si>
  <si>
    <t>Ước tính sử dụng</t>
  </si>
  <si>
    <t>Sử dụng</t>
  </si>
  <si>
    <t>Weekly Usage</t>
  </si>
  <si>
    <t>Sử dụng tuần</t>
  </si>
  <si>
    <t>Forecast Usage</t>
  </si>
  <si>
    <t>Dự báo sử dụng</t>
  </si>
  <si>
    <t>Chuyển vào</t>
  </si>
  <si>
    <t>Chuyển ra ngoài</t>
  </si>
  <si>
    <t>Trọng lượng</t>
  </si>
  <si>
    <t>Kg/ngày</t>
  </si>
  <si>
    <t>:RM Department</t>
  </si>
  <si>
    <t>Lần ban hành: 04</t>
  </si>
  <si>
    <t>Ngày hiệu lực: 01/08/2024</t>
  </si>
  <si>
    <r>
      <t xml:space="preserve">          Subtotal Concentrate group :
</t>
    </r>
    <r>
      <rPr>
        <b/>
        <i/>
        <sz val="14"/>
        <rFont val="Times New Roman"/>
        <family val="1"/>
      </rPr>
      <t>Tổng nhóm thức ăn bổ sung:</t>
    </r>
  </si>
  <si>
    <r>
      <t xml:space="preserve">     Total Medicine &amp; Concentrate :
</t>
    </r>
    <r>
      <rPr>
        <b/>
        <i/>
        <sz val="14"/>
        <rFont val="Times New Roman"/>
        <family val="1"/>
      </rPr>
      <t>Tổng  thuốc và thức ăn bổ sung:</t>
    </r>
  </si>
  <si>
    <r>
      <t xml:space="preserve">     * Total RM &amp; Medicine &amp; Concentrate :
</t>
    </r>
    <r>
      <rPr>
        <b/>
        <i/>
        <sz val="14"/>
        <rFont val="Times New Roman"/>
        <family val="1"/>
      </rPr>
      <t>Tổng nguyên liệu, thuốc và thức ăn bổ sung:</t>
    </r>
  </si>
  <si>
    <t xml:space="preserve">          Subtotal Medicine group :
Tổng nhóm thuốc:</t>
  </si>
  <si>
    <t xml:space="preserve">     * Total Rawmaterial :
Tổng nguyên liệu:</t>
  </si>
  <si>
    <t>Attn to
Gửi đến</t>
  </si>
  <si>
    <t>Cc
Đồng gửi</t>
  </si>
  <si>
    <t>From
Từ</t>
  </si>
  <si>
    <t>From:
Từ:</t>
  </si>
  <si>
    <r>
      <t xml:space="preserve">DATE :
</t>
    </r>
    <r>
      <rPr>
        <b/>
        <sz val="13"/>
        <rFont val="Times New Roman"/>
        <family val="1"/>
      </rPr>
      <t>NGÀY:</t>
    </r>
  </si>
  <si>
    <r>
      <t xml:space="preserve">* Weekly Usage:
</t>
    </r>
    <r>
      <rPr>
        <b/>
        <sz val="12"/>
        <rFont val="Times New Roman"/>
        <family val="1"/>
      </rPr>
      <t>* Sử dụng tuần</t>
    </r>
    <r>
      <rPr>
        <b/>
        <sz val="12"/>
        <rFont val="Times New Roman"/>
        <family val="1"/>
        <charset val="163"/>
      </rPr>
      <t>:</t>
    </r>
  </si>
  <si>
    <r>
      <t xml:space="preserve">* Forecast Usage:
</t>
    </r>
    <r>
      <rPr>
        <b/>
        <sz val="12"/>
        <rFont val="Times New Roman"/>
        <family val="1"/>
      </rPr>
      <t>* Dự báo sử dụng</t>
    </r>
    <r>
      <rPr>
        <b/>
        <sz val="12"/>
        <rFont val="Times New Roman"/>
        <family val="1"/>
        <charset val="163"/>
      </rPr>
      <t>:</t>
    </r>
  </si>
  <si>
    <t xml:space="preserve">Nhập </t>
  </si>
  <si>
    <t>WH26</t>
  </si>
  <si>
    <t>Hạn sử dụng</t>
  </si>
  <si>
    <t>Expire date</t>
  </si>
  <si>
    <t>MONIMAX</t>
  </si>
  <si>
    <t>MYCOFIX Plus 3.0</t>
  </si>
  <si>
    <t>Phụ gia sử dụng hộp đựng trừ lại</t>
  </si>
  <si>
    <t>BDG,DRY28%</t>
  </si>
  <si>
    <t>Rapeseed meal (India)</t>
  </si>
  <si>
    <t>Total: RSM</t>
  </si>
  <si>
    <t>Conc. MC-0697B (Lot 33)</t>
  </si>
  <si>
    <t>B13.2</t>
  </si>
  <si>
    <t>MustardInd36%</t>
  </si>
  <si>
    <t>LEVUCELL SB 10 ME(LALLEMAND)</t>
  </si>
  <si>
    <t>RAPESEED MEAL</t>
  </si>
  <si>
    <t>PKM,Exp15/6/13</t>
  </si>
  <si>
    <t>Conc. 25V (Lot 41)</t>
  </si>
  <si>
    <t>Total: VP PP</t>
  </si>
  <si>
    <t>Total: MD - 0103</t>
  </si>
  <si>
    <t>Corr VP PP</t>
  </si>
  <si>
    <t>Corr MD -0103</t>
  </si>
  <si>
    <t>Premix MD-0103</t>
  </si>
  <si>
    <t>Premix VP PP</t>
  </si>
  <si>
    <t>Conc. 52V (Lot 41)</t>
  </si>
  <si>
    <t>C4</t>
  </si>
  <si>
    <t>WH42</t>
  </si>
  <si>
    <t>MEAT BONE MEAL (51.67%)</t>
  </si>
  <si>
    <t>Elancoban 200 Premix (Monensin)</t>
  </si>
  <si>
    <t xml:space="preserve">Elancoban </t>
  </si>
  <si>
    <t xml:space="preserve">Microplex 1000ppm </t>
  </si>
  <si>
    <t>Tylvalosin 4.24%</t>
  </si>
  <si>
    <t>Valosin FG50 (England)</t>
  </si>
  <si>
    <t xml:space="preserve">Total Valosin FG50 </t>
  </si>
  <si>
    <t>Valosin FG50 (Tylvalosin)</t>
  </si>
  <si>
    <t>CIBENZA DP 100</t>
  </si>
  <si>
    <t xml:space="preserve">Total CIBENZA </t>
  </si>
  <si>
    <t>CIBENZA DP100 (USA)</t>
  </si>
  <si>
    <t>Nhập số phun myco curb silo</t>
  </si>
  <si>
    <t>CIBENZA DP100/Versazyme/ProteasePowder</t>
  </si>
  <si>
    <t>VP PP Premix</t>
  </si>
  <si>
    <t>MD-0103 Premix</t>
  </si>
  <si>
    <t xml:space="preserve">MEAT BONE MEAL </t>
  </si>
  <si>
    <t xml:space="preserve">Elancoban (Monensin)  </t>
  </si>
  <si>
    <t>Conc. 67V (Lot 47)</t>
  </si>
  <si>
    <t>PKM,Exp15/6/15</t>
  </si>
  <si>
    <t>ELANCOBAN20%MONEN 20%</t>
  </si>
  <si>
    <t>Alterion NE20 (Probiotic)</t>
  </si>
  <si>
    <t>Alterion Ne20 ( Singapore)</t>
  </si>
  <si>
    <t>Lucantin red 10%/canthanxathin</t>
  </si>
  <si>
    <t>Total Alterion Ne20</t>
  </si>
  <si>
    <t>Alterion Ne20 (Singapore)</t>
  </si>
  <si>
    <t>Alterion Ne20</t>
  </si>
  <si>
    <t>Valosin FG50</t>
  </si>
  <si>
    <t>Conc. 52M (Lot 04)</t>
  </si>
  <si>
    <t>TOXY-NIL DRY</t>
  </si>
  <si>
    <t>Conc. 52M (Lot 06)</t>
  </si>
  <si>
    <t>Conc. 62PV (Lot 03)</t>
  </si>
  <si>
    <t>Fish Meal (60.18%)</t>
  </si>
  <si>
    <t>Conc. 51V (Lot 04)</t>
  </si>
  <si>
    <t>Conc. 52SV (Lot 04)</t>
  </si>
  <si>
    <t>Conc. 67SV (Lot 04)</t>
  </si>
  <si>
    <t>FO BASA VNF(M)</t>
  </si>
  <si>
    <t>FO BASA VNF(D)</t>
  </si>
  <si>
    <t>B14.2</t>
  </si>
  <si>
    <t>WH35</t>
  </si>
  <si>
    <t>Conc. 10M (Lot 07)</t>
  </si>
  <si>
    <t>FM85,76,65</t>
  </si>
  <si>
    <t>DDGS26/6/6Usa</t>
  </si>
  <si>
    <t>ZINC OXIDE 75%</t>
  </si>
  <si>
    <t>Total:  FEM (BIGBAG)</t>
  </si>
  <si>
    <t>Total:  FEM (BAG)</t>
  </si>
  <si>
    <t>Total:  MBM (BIGBAG)</t>
  </si>
  <si>
    <t>Total:  MBM (BAG)</t>
  </si>
  <si>
    <t>Total:  FM (BIGBAG)</t>
  </si>
  <si>
    <t>Total:  FM (BAG)</t>
  </si>
  <si>
    <t>Total CH75% Belgium</t>
  </si>
  <si>
    <t>Conc. 66V (Lot 07)</t>
  </si>
  <si>
    <t>Corn USA # A</t>
  </si>
  <si>
    <t>Total: Corn  USA</t>
  </si>
  <si>
    <t>Corn (USA #A)</t>
  </si>
  <si>
    <t>SBMArg47%</t>
  </si>
  <si>
    <t>SBMArg,C47%</t>
  </si>
  <si>
    <t xml:space="preserve">025201** </t>
  </si>
  <si>
    <t>CRNUsa#2 6.8%</t>
  </si>
  <si>
    <t>CRNUsa#2,C 6.8%</t>
  </si>
  <si>
    <t>PHYTOCEE/NATUCEE/Pol-C/Herbal C (VitC Plant)</t>
  </si>
  <si>
    <t>WHEATBra13%</t>
  </si>
  <si>
    <t>Advance Timicox 20 (VN)(20Kg)</t>
  </si>
  <si>
    <t>Advance Amoxicillin (VN)(20Kg)</t>
  </si>
  <si>
    <t>Advance Timicox 20 (VN)</t>
  </si>
  <si>
    <t>Total  Advance Timicox 20 (VN)</t>
  </si>
  <si>
    <t>Total  Advance Timicox 20</t>
  </si>
  <si>
    <t>Advance Amoxicillin (VN)</t>
  </si>
  <si>
    <t>Conc. 52V (Lot 16)</t>
  </si>
  <si>
    <t>Feather Meal (85.37%)</t>
  </si>
  <si>
    <t>Total  Amoxycilin 50%</t>
  </si>
  <si>
    <t>Conc.10V (Lot 17)</t>
  </si>
  <si>
    <t>V1.1</t>
  </si>
  <si>
    <t>Vetrimoxin 50/Amoxycilin 50%</t>
  </si>
  <si>
    <t>Monocalcium Phosphate (China)</t>
  </si>
  <si>
    <t>Salt</t>
  </si>
  <si>
    <t>Limestone Coarse (S3.5)</t>
  </si>
  <si>
    <t>HP 300 (Soya Bean Product)</t>
  </si>
  <si>
    <t>Sweet Whey Powder (Italy)</t>
  </si>
  <si>
    <t>Pork Meat Bone Meal (USA)</t>
  </si>
  <si>
    <t xml:space="preserve">Timicox 20 </t>
  </si>
  <si>
    <t>Conc. CORR ABS (Lot 20)</t>
  </si>
  <si>
    <t>Gallipro  Tect (20kg)</t>
  </si>
  <si>
    <t>Zambac (Viet Nam)</t>
  </si>
  <si>
    <t xml:space="preserve">BMD, zambac MD (size 1 kg)  </t>
  </si>
  <si>
    <t>GalliPro Tect (Czech Republic)</t>
  </si>
  <si>
    <t>LL 55%(SULFATE)</t>
  </si>
  <si>
    <t>X6.2</t>
  </si>
  <si>
    <t>A18.4</t>
  </si>
  <si>
    <t>WH45</t>
  </si>
  <si>
    <t>LUCTASWEET–  78049Z (China)</t>
  </si>
  <si>
    <t>Total  LUCTASWEET</t>
  </si>
  <si>
    <t>Conc. MC-0697G (Lot 21)</t>
  </si>
  <si>
    <t>Conc. CORR ABS (Lot 23)</t>
  </si>
  <si>
    <t>FM 57</t>
  </si>
  <si>
    <t>MEAT BONE MEAL (54.43%)</t>
  </si>
  <si>
    <t>Valosin FG50 (Tylvalosin), (5kg)</t>
  </si>
  <si>
    <t>Conc. VP PP (Lot 25 )</t>
  </si>
  <si>
    <t>Conc.  MD-0103 (Lot 22)</t>
  </si>
  <si>
    <t>FM 60</t>
  </si>
  <si>
    <t>Corn Argentina # B</t>
  </si>
  <si>
    <t xml:space="preserve">Gallipro </t>
  </si>
  <si>
    <t xml:space="preserve"> LUCTASWEET</t>
  </si>
  <si>
    <t>B24.2</t>
  </si>
  <si>
    <t>ZINC OXIDE WHITE SEAL FEEDGRADE(TL)</t>
  </si>
  <si>
    <t>GalliPro Tect (Probiotic)</t>
  </si>
  <si>
    <t>Luctasweet (Saccharin 30% + Bitter Off)</t>
  </si>
  <si>
    <t>CIBENZA DP100/Versazyme/Protease</t>
  </si>
  <si>
    <t>PHYTOCEE/NATUCEE/Pol-C/Herbal C</t>
  </si>
  <si>
    <t>Fish Meal # 1-60% Without Anti Oxydant</t>
  </si>
  <si>
    <t>DDGS26/4/8Usa</t>
  </si>
  <si>
    <t>ENZYME ROOM (H)</t>
  </si>
  <si>
    <t>V2.2</t>
  </si>
  <si>
    <t>FM64</t>
  </si>
  <si>
    <t>FM 68</t>
  </si>
  <si>
    <t>021200-R. BR</t>
  </si>
  <si>
    <t>Rovimix E - 50 (25KG)</t>
  </si>
  <si>
    <t>Total  Rovimix E - 50 (vitamin E)</t>
  </si>
  <si>
    <t>Rovimix E-50 Adsorbate(Switzerland)</t>
  </si>
  <si>
    <t>WHEATAus11%</t>
  </si>
  <si>
    <t>NOVIPEL S</t>
  </si>
  <si>
    <t>Total: Calola</t>
  </si>
  <si>
    <t>Acid Buf 10 (Ireland)</t>
  </si>
  <si>
    <t>Total  Acid Buf 10 (Ireland)</t>
  </si>
  <si>
    <t>DH VITAMIN PREMIX</t>
  </si>
  <si>
    <t xml:space="preserve">Total  DH VITAMIN PREMIX </t>
  </si>
  <si>
    <t>DH VITAMIN PREMIX (ViÖt Nam)</t>
  </si>
  <si>
    <t>Kessent MF Dry (Singapore)</t>
  </si>
  <si>
    <t xml:space="preserve">Total Kessent MF Dry </t>
  </si>
  <si>
    <t>Lysoforte TM Brand Dry (Singapore)</t>
  </si>
  <si>
    <t xml:space="preserve">Total Lysoforte TM Brand Dry </t>
  </si>
  <si>
    <t>Rumifat R100 (Malaysia)</t>
  </si>
  <si>
    <t>Total Rumifat R100</t>
  </si>
  <si>
    <t>Rumifat Plus (Malaysia)</t>
  </si>
  <si>
    <t xml:space="preserve">Total Rumifat Plus </t>
  </si>
  <si>
    <t>Rumifat R100</t>
  </si>
  <si>
    <t xml:space="preserve">Lysoforte TM Brand Dry </t>
  </si>
  <si>
    <t xml:space="preserve">Kessent MF Dry </t>
  </si>
  <si>
    <t>Rumifat Plus</t>
  </si>
  <si>
    <t>Total  VITAMIN E 50</t>
  </si>
  <si>
    <t>Vitamin E/Rovimix E</t>
  </si>
  <si>
    <t>Canola meal</t>
  </si>
  <si>
    <t>CANOLA MEAL PELLETS</t>
  </si>
  <si>
    <t>Feather Meal (USA)</t>
  </si>
  <si>
    <t>ROVABIO# PHY PLUS 10000T (SG)</t>
  </si>
  <si>
    <t>Total ROVABIO# PHY PLUS</t>
  </si>
  <si>
    <t>TOXY-NIL# (T©y Ban Nha)</t>
  </si>
  <si>
    <t>B19.1</t>
  </si>
  <si>
    <t>ROVABIO# PHY PLUS</t>
  </si>
  <si>
    <t>Kulactic (USA)</t>
  </si>
  <si>
    <t xml:space="preserve">Total Kulactic </t>
  </si>
  <si>
    <t>A22.5</t>
  </si>
  <si>
    <t>Rovabio PHY Plus 10000T</t>
  </si>
  <si>
    <t>Feedmill,61</t>
  </si>
  <si>
    <t>FM 59</t>
  </si>
  <si>
    <t>Rovabio Advance T-flex 25</t>
  </si>
  <si>
    <t>Feather Meal (Argentina)</t>
  </si>
  <si>
    <t>ROVABIO ADVANCE T-FLEX 25(SG)</t>
  </si>
  <si>
    <t>025203 - 302</t>
  </si>
  <si>
    <t xml:space="preserve">Kulactic </t>
  </si>
  <si>
    <t>Total Rovabio Advance T-flex 25</t>
  </si>
  <si>
    <t>KULACTIC</t>
  </si>
  <si>
    <t>ROVABIO ADVANCE T-FLEX 25</t>
  </si>
  <si>
    <t>AMOXICILLIN 80%</t>
  </si>
  <si>
    <t>Premix Amnil</t>
  </si>
  <si>
    <t>Total:  Amnil</t>
  </si>
  <si>
    <t>SBMUsa45%</t>
  </si>
  <si>
    <t>SOYHULL</t>
  </si>
  <si>
    <t>Feed Wheat (UKARAINE, Australia, ARGENTINA, Brazil)</t>
  </si>
  <si>
    <t xml:space="preserve">Amnil </t>
  </si>
  <si>
    <t>PREMIX AMNIL</t>
  </si>
  <si>
    <t>SOY HULL</t>
  </si>
  <si>
    <t>CC75 mix Betaine 38%</t>
  </si>
  <si>
    <t>Globatan (France)</t>
  </si>
  <si>
    <t>Total Globatan</t>
  </si>
  <si>
    <t>KingBrown (polyphenols)(France)</t>
  </si>
  <si>
    <t>Total KingBrown</t>
  </si>
  <si>
    <t>Y2.1</t>
  </si>
  <si>
    <t xml:space="preserve">Globatan </t>
  </si>
  <si>
    <t>Globatan</t>
  </si>
  <si>
    <t>MSG By-products</t>
  </si>
  <si>
    <t>Y1.1</t>
  </si>
  <si>
    <t>Fish Meal # 3-60% Without Anti Oxydant</t>
  </si>
  <si>
    <t>CANOCan/Dubai36/RSMCan36</t>
  </si>
  <si>
    <t>Số rovabio trên usage</t>
  </si>
  <si>
    <t>RCE,BR 7.4%</t>
  </si>
  <si>
    <t>Sweet Whey Powder</t>
  </si>
  <si>
    <t>Sweet whey powder (Spain)</t>
  </si>
  <si>
    <t>KingBrown</t>
  </si>
  <si>
    <t>CRNUsa#2 7.0%</t>
  </si>
  <si>
    <t>KINGBROWN</t>
  </si>
  <si>
    <t>Total: SBM (Local, Bunge)</t>
  </si>
  <si>
    <t>Pork Meat Bone Meal (Brazil)</t>
  </si>
  <si>
    <t>Conc.48V (Lot 47)</t>
  </si>
  <si>
    <t>Fish Meal # 2-60% Without Anti Oxydant</t>
  </si>
  <si>
    <t>FEED GRADE MONTMORILLONITE (CN)</t>
  </si>
  <si>
    <t>Soy Bean Meal -Ex-WH (Local)</t>
  </si>
  <si>
    <t>Bentonite/FEED GRADE MONTMORILLONITE</t>
  </si>
  <si>
    <t>Total F G MONTMORILLONITE /Bentonite</t>
  </si>
  <si>
    <t>Bentonite</t>
  </si>
  <si>
    <t>Caliton (China)</t>
  </si>
  <si>
    <t>Total Caliton</t>
  </si>
  <si>
    <t>Caliton</t>
  </si>
  <si>
    <t>Enerzyme</t>
  </si>
  <si>
    <t>PhyLink (Singapore)</t>
  </si>
  <si>
    <t>A15.2</t>
  </si>
  <si>
    <t>Amoxylin</t>
  </si>
  <si>
    <t>Fish Meal (61.53%)</t>
  </si>
  <si>
    <t>Enerzyme (Singapore)</t>
  </si>
  <si>
    <t>SUCRAM 5S HYDRO (SWITZERLAND)</t>
  </si>
  <si>
    <t>Tota Enerzyme</t>
  </si>
  <si>
    <t>Phylink</t>
  </si>
  <si>
    <t>Conc. 52M (Lot 87)</t>
  </si>
  <si>
    <t>PHYLINK</t>
  </si>
  <si>
    <t>ENERZYME</t>
  </si>
  <si>
    <t>SUCRAM5S hydro</t>
  </si>
  <si>
    <t>Levucell sb 10 me titan( Germany )</t>
  </si>
  <si>
    <t>GT12BS</t>
  </si>
  <si>
    <t>DELTA  ACIDOLINE XT (France)</t>
  </si>
  <si>
    <t>Total DELTA  ACIDOLINE XT</t>
  </si>
  <si>
    <t>Kemzin 2000 Dry (Singapore)</t>
  </si>
  <si>
    <t>Total Kemzin 2000 Dry</t>
  </si>
  <si>
    <t>BIOTIN 2%</t>
  </si>
  <si>
    <t>Total BIOTIN 2%</t>
  </si>
  <si>
    <t>Conc.EP2 (Lot 02)</t>
  </si>
  <si>
    <t>Conc. MC-0697 (Lot 02)</t>
  </si>
  <si>
    <t>Diamond V Original XPC Ultra (USA)</t>
  </si>
  <si>
    <t xml:space="preserve">Total Diamond V Original XPC Ultra </t>
  </si>
  <si>
    <t>FEED GRADE MONTMORILLONITE</t>
  </si>
  <si>
    <t>Nutracor (Malaysia)</t>
  </si>
  <si>
    <t>Total Nutracor (Malaysia)</t>
  </si>
  <si>
    <t>X7.1</t>
  </si>
  <si>
    <t>Enerzyme (20kg)</t>
  </si>
  <si>
    <t>026203..</t>
  </si>
  <si>
    <t>A16.2B</t>
  </si>
  <si>
    <t>B21.1</t>
  </si>
  <si>
    <t>Sucram (Switzerland), SUCRAM 5S HYDRO</t>
  </si>
  <si>
    <t>Conc.48V (Lot 05)</t>
  </si>
  <si>
    <t>Feather Meal (88.13%)</t>
  </si>
  <si>
    <t>Fish Meal (59.89%)</t>
  </si>
  <si>
    <t>CRNUsa#2,C 7.0%</t>
  </si>
  <si>
    <t>Conc. Red  2% (Lot 08)</t>
  </si>
  <si>
    <t>Diamond V Original XPC</t>
  </si>
  <si>
    <t>FM76</t>
  </si>
  <si>
    <t>DELTA  ACIDOLINE XT</t>
  </si>
  <si>
    <t>Doxan 50</t>
  </si>
  <si>
    <t>Doxan 50 (Viet Nam)</t>
  </si>
  <si>
    <t>Total Doxan 50</t>
  </si>
  <si>
    <t>Leader Red (Jiuzhou Red) (CN)</t>
  </si>
  <si>
    <t>Total Leader Red</t>
  </si>
  <si>
    <t>Sweet Whey Powder (Netherland)</t>
  </si>
  <si>
    <t xml:space="preserve">Total Doxan 50 </t>
  </si>
  <si>
    <t xml:space="preserve">Rumifat DH </t>
  </si>
  <si>
    <t>WHEATArg12%</t>
  </si>
  <si>
    <t>Rumifat R100 DH</t>
  </si>
  <si>
    <t>Original XPC / XPC YeastCulture15%</t>
  </si>
  <si>
    <t>VNM Premix DH</t>
  </si>
  <si>
    <t>Acidoline</t>
  </si>
  <si>
    <t>Kessent MF Dry DH</t>
  </si>
  <si>
    <t>Vitamin E50</t>
  </si>
  <si>
    <t>BIOTIN(2%)</t>
  </si>
  <si>
    <t xml:space="preserve">Kemzin 2000 </t>
  </si>
  <si>
    <t xml:space="preserve">Nutracor </t>
  </si>
  <si>
    <t>B17.1</t>
  </si>
  <si>
    <t>A22.3</t>
  </si>
  <si>
    <t>PROVISOY VN (provimi)</t>
  </si>
  <si>
    <t>MUNG15/16</t>
  </si>
  <si>
    <t>WHEATArg10%</t>
  </si>
  <si>
    <t>ACID BUF10</t>
  </si>
  <si>
    <t>Doxycycline Hyclate 50%</t>
  </si>
  <si>
    <t>Sweet Whey Powder  (Turkey)</t>
  </si>
  <si>
    <t>Mung Bean Shell</t>
  </si>
  <si>
    <t>Total: MBS</t>
  </si>
  <si>
    <t>Conc. 572S (Lot 10)</t>
  </si>
  <si>
    <t>AP2 52/12/29S(Nzl)</t>
  </si>
  <si>
    <t>Nutracor</t>
  </si>
  <si>
    <t>KemZin 2000 CP</t>
  </si>
  <si>
    <t>MUNG BEAN MEAL</t>
  </si>
  <si>
    <t>Y3.2</t>
  </si>
  <si>
    <t>Fish Meal (61.26%)</t>
  </si>
  <si>
    <t>Fish Meal (61%)</t>
  </si>
  <si>
    <t>AMINOPLUS# (USA)</t>
  </si>
  <si>
    <t>Total AMINOPLUS</t>
  </si>
  <si>
    <t>V5.2</t>
  </si>
  <si>
    <t>A16.2A</t>
  </si>
  <si>
    <t>Conc. 571 (Lot 12)</t>
  </si>
  <si>
    <t>Fish Meal (60.79%)</t>
  </si>
  <si>
    <t>: RM Department</t>
  </si>
  <si>
    <t xml:space="preserve"> : Mr. Peeraphol/ Mr. Ánh/ Mr. Vinh/ Mr. Danh/ Mr. Thông/ Mrs.Thu</t>
  </si>
  <si>
    <t>: Mr. Chaiwut</t>
  </si>
  <si>
    <t>: Mr.Chaiwut</t>
  </si>
  <si>
    <t>AMINOPLUS#</t>
  </si>
  <si>
    <t>Axtra# PRIME 501 T (Singapore)</t>
  </si>
  <si>
    <t xml:space="preserve">Total  Axtra# PRIME 501 T </t>
  </si>
  <si>
    <t>FM 73, 50,58,54</t>
  </si>
  <si>
    <t>Conc. 52M (Lot 24)</t>
  </si>
  <si>
    <t>CRNArg#2 7.6%</t>
  </si>
  <si>
    <t>SALINOMYCIN PREMIX 12% (China)</t>
  </si>
  <si>
    <t>Conc. 582 (Lot 17)</t>
  </si>
  <si>
    <t>Conc. MC-0697B (Lot 15)</t>
  </si>
  <si>
    <t>Conc. 52SV (Lot 15)</t>
  </si>
  <si>
    <t xml:space="preserve">Axtra# PRIME 501 T </t>
  </si>
  <si>
    <t>FM66</t>
  </si>
  <si>
    <t>AXTRA PRIME 501T</t>
  </si>
  <si>
    <t>SUCRAM 5S HYDRO</t>
  </si>
  <si>
    <t>FM 55</t>
  </si>
  <si>
    <t>FM65</t>
  </si>
  <si>
    <t>Rhodimet AT88 (China)</t>
  </si>
  <si>
    <t>Total Rhodimet AT88 (DL liquid)</t>
  </si>
  <si>
    <t>FM70,71</t>
  </si>
  <si>
    <t>Feedmill, 151</t>
  </si>
  <si>
    <t>Conc. 51V (Lot 18)</t>
  </si>
  <si>
    <t>Conc. 67SV (Lot 17)</t>
  </si>
  <si>
    <t>D-Biotin 2%  (China)</t>
  </si>
  <si>
    <t>Rhodimet AT88</t>
  </si>
  <si>
    <t>RHODIMET 88%</t>
  </si>
  <si>
    <t>Conc. 572G (Lot 16)</t>
  </si>
  <si>
    <t>Anti-Fly (Viet Nam)</t>
  </si>
  <si>
    <t xml:space="preserve">Total Anti-Fly </t>
  </si>
  <si>
    <t>Larvadex/ Anti-Fly</t>
  </si>
  <si>
    <t>V9.2</t>
  </si>
  <si>
    <t>MEAT BONE MEAL (53.3%)</t>
  </si>
  <si>
    <t>X8.2</t>
  </si>
  <si>
    <t>Conc. 21V (Lot 23)</t>
  </si>
  <si>
    <t>Z4.2</t>
  </si>
  <si>
    <t>Z3.1</t>
  </si>
  <si>
    <t>Conc.EP2 (Lot 23)</t>
  </si>
  <si>
    <t>FM62</t>
  </si>
  <si>
    <t>Y5.2</t>
  </si>
  <si>
    <t>MEAT BONE MEAL (50.71%)</t>
  </si>
  <si>
    <t>FM 154</t>
  </si>
  <si>
    <t>Stearolac 90 (Malaysia)</t>
  </si>
  <si>
    <t>Total Stearolac 90</t>
  </si>
  <si>
    <t>Toxfin Dry (Singapore)</t>
  </si>
  <si>
    <t xml:space="preserve">Total Toxfin Dry </t>
  </si>
  <si>
    <t>Total Rhodimet AT88 (DL lỏng)</t>
  </si>
  <si>
    <t>bs15s</t>
  </si>
  <si>
    <t>FM74</t>
  </si>
  <si>
    <t>V3.3</t>
  </si>
  <si>
    <t>X2.2</t>
  </si>
  <si>
    <t>Amino Plus</t>
  </si>
  <si>
    <t>566xs3</t>
  </si>
  <si>
    <t>D306</t>
  </si>
  <si>
    <t>Z4.3</t>
  </si>
  <si>
    <t>Conc. 62V (Lot 26)</t>
  </si>
  <si>
    <t>Conc.EP2 (Lot 26)</t>
  </si>
  <si>
    <t>Z1.3</t>
  </si>
  <si>
    <t xml:space="preserve">Toxfin Dry </t>
  </si>
  <si>
    <t>Feedmil 78</t>
  </si>
  <si>
    <t>Stearolac</t>
  </si>
  <si>
    <t>Stearolac 90</t>
  </si>
  <si>
    <t>LYSOFORTE Dry</t>
  </si>
  <si>
    <t>TOXFIN DRY</t>
  </si>
  <si>
    <t>X8.1</t>
  </si>
  <si>
    <t>TRADI-Impact LD - France</t>
  </si>
  <si>
    <t>Total: TRADI-Impact LD</t>
  </si>
  <si>
    <t>MUNG17/16</t>
  </si>
  <si>
    <t>A18.3</t>
  </si>
  <si>
    <t>D2</t>
  </si>
  <si>
    <t>Z2.2</t>
  </si>
  <si>
    <t>V2.3</t>
  </si>
  <si>
    <t>X3.2</t>
  </si>
  <si>
    <t>Conc. 10M (Lot 38)</t>
  </si>
  <si>
    <t>Conc.10V (Lot 28)</t>
  </si>
  <si>
    <t>Conc. 52SV (Lot 28)</t>
  </si>
  <si>
    <t>Conc. 52V (Lot 30)</t>
  </si>
  <si>
    <t>Conc. Amnil (Lot 28)</t>
  </si>
  <si>
    <t>B12.2</t>
  </si>
  <si>
    <t>RCE,BR 6.6%</t>
  </si>
  <si>
    <t>TRIAMULOX80% (TIAMULIN)/TIOTILIN 80%</t>
  </si>
  <si>
    <t>Sweet Whey Powder (USA)</t>
  </si>
  <si>
    <t>BS05LD</t>
  </si>
  <si>
    <t>550SFS</t>
  </si>
  <si>
    <t>A16.1B</t>
  </si>
  <si>
    <t>Conc. 572G (Lot 26)</t>
  </si>
  <si>
    <t>Conc. MC-0697G (Lot 28)</t>
  </si>
  <si>
    <t>Conc. 67V (Lot 29)</t>
  </si>
  <si>
    <t>Z6.3</t>
  </si>
  <si>
    <t>B13.1</t>
  </si>
  <si>
    <t>Corn (RUSSIA,ROMA, BRA, ARG #A,#B)</t>
  </si>
  <si>
    <t>Corn (USA)</t>
  </si>
  <si>
    <t>FLAXSeed22/39/7Can</t>
  </si>
  <si>
    <t>HB01LD</t>
  </si>
  <si>
    <t>MEAT BONE MEAL (49.65%)</t>
  </si>
  <si>
    <t>B17.2</t>
  </si>
  <si>
    <t>V4.2</t>
  </si>
  <si>
    <t>Z7.2</t>
  </si>
  <si>
    <t>X4.2</t>
  </si>
  <si>
    <t>X7.2</t>
  </si>
  <si>
    <t xml:space="preserve"> Dengard 80% Coated,  TIAMULIN FUMARATE PREMIX 80% (China)</t>
  </si>
  <si>
    <t>Sacox (Salinomycine premix 12%)</t>
  </si>
  <si>
    <t>Feather Meal (Australia)</t>
  </si>
  <si>
    <t xml:space="preserve">Maxiban </t>
  </si>
  <si>
    <t xml:space="preserve">Actisaf </t>
  </si>
  <si>
    <t xml:space="preserve">Amoxycilin 80% </t>
  </si>
  <si>
    <t xml:space="preserve">Surmax 10% </t>
  </si>
  <si>
    <t xml:space="preserve">Advance Haquinol </t>
  </si>
  <si>
    <t>Roxolin - (QUIXALUD )</t>
  </si>
  <si>
    <t xml:space="preserve">Canthaxanthin 10% </t>
  </si>
  <si>
    <t xml:space="preserve">APA Enmy P </t>
  </si>
  <si>
    <t xml:space="preserve">C-C 75% </t>
  </si>
  <si>
    <t>Urea</t>
  </si>
  <si>
    <t xml:space="preserve">L-Tryptophan </t>
  </si>
  <si>
    <t>V8.3</t>
  </si>
  <si>
    <t>Z3.3</t>
  </si>
  <si>
    <t>Conc. MC-0697 (Lot 31)</t>
  </si>
  <si>
    <t>Conc. 25V (Lot 31)</t>
  </si>
  <si>
    <t>X8.3</t>
  </si>
  <si>
    <t>Conc. 66V (Lot 31)</t>
  </si>
  <si>
    <t>FM 54</t>
  </si>
  <si>
    <t>NEXTIDE</t>
  </si>
  <si>
    <t>DDGS28/6/8Usa</t>
  </si>
  <si>
    <t>V4.1</t>
  </si>
  <si>
    <t>B18.2</t>
  </si>
  <si>
    <t xml:space="preserve">Levucell sb 10 </t>
  </si>
  <si>
    <t>V5.3</t>
  </si>
  <si>
    <t>Conc. 582 (Lot 35)</t>
  </si>
  <si>
    <t>Conc. 21V (Lot 33)</t>
  </si>
  <si>
    <t>Conc. 25V (Lot 32)</t>
  </si>
  <si>
    <t>C0</t>
  </si>
  <si>
    <t>Z2.3</t>
  </si>
  <si>
    <t>524P32</t>
  </si>
  <si>
    <t>B3</t>
  </si>
  <si>
    <t>Z1.1</t>
  </si>
  <si>
    <t>X4.3</t>
  </si>
  <si>
    <t>Conc. 582 (Lot 36)</t>
  </si>
  <si>
    <t>Conc. MC-0697 (Lot 33)</t>
  </si>
  <si>
    <t>Conc. MC-0697G (Lot 32)</t>
  </si>
  <si>
    <t>Y1.3</t>
  </si>
  <si>
    <t>Conc. 52M (Lot 58)</t>
  </si>
  <si>
    <t>Conc. 67V (Lot 33)</t>
  </si>
  <si>
    <t>A11.1</t>
  </si>
  <si>
    <t>B5</t>
  </si>
  <si>
    <t>Nextide (ViÖt Nam)</t>
  </si>
  <si>
    <t xml:space="preserve">Ingredient Name                     </t>
  </si>
  <si>
    <t>Amount</t>
  </si>
  <si>
    <t>MCP14/22.7,CHN</t>
  </si>
  <si>
    <t>TILMOVET 20%</t>
  </si>
  <si>
    <t>NEXTIDE (58.5%)</t>
  </si>
  <si>
    <t>Total NEXTIDE</t>
  </si>
  <si>
    <t>B25.1</t>
  </si>
  <si>
    <t>A12.1</t>
  </si>
  <si>
    <t>V1.2</t>
  </si>
  <si>
    <t>V1.3</t>
  </si>
  <si>
    <t>Conc. Amnil (Lot 33)</t>
  </si>
  <si>
    <t>X2.3</t>
  </si>
  <si>
    <t>X6.3</t>
  </si>
  <si>
    <t>Conc. Red  2% (Lot 57)</t>
  </si>
  <si>
    <t>Conc. 571 (Lot 34)</t>
  </si>
  <si>
    <t>Conc. MC-0697 (Lot 34)</t>
  </si>
  <si>
    <t>Conc.10V (Lot 34)</t>
  </si>
  <si>
    <t>Conc.48V (Lot 34)</t>
  </si>
  <si>
    <t>Conc. 51V (Lot 35)</t>
  </si>
  <si>
    <t>X5.2</t>
  </si>
  <si>
    <t>V4.3</t>
  </si>
  <si>
    <t>Conc. 52M (Lot 60)</t>
  </si>
  <si>
    <t>Conc. 52SV (Lot 34)</t>
  </si>
  <si>
    <t>Conc. 52V (Lot 36)</t>
  </si>
  <si>
    <t>Conc. 62PV (Lot 34)</t>
  </si>
  <si>
    <t>Conc. 66V (Lot 34)</t>
  </si>
  <si>
    <t>Conc. 67SV (Lot 34)</t>
  </si>
  <si>
    <t>BROUGHT
FORWARD
QTY./WT.</t>
  </si>
  <si>
    <t>PURCHASE</t>
  </si>
  <si>
    <t>TRANSFER</t>
  </si>
  <si>
    <t>RETURN</t>
  </si>
  <si>
    <t>TRANSFORM</t>
  </si>
  <si>
    <t>ADJUST</t>
  </si>
  <si>
    <t>USAGE</t>
  </si>
  <si>
    <t>SALE</t>
  </si>
  <si>
    <t>DAMAGE</t>
  </si>
  <si>
    <t>13400000008401</t>
  </si>
  <si>
    <t>13400000008937</t>
  </si>
  <si>
    <t>13400000009301</t>
  </si>
  <si>
    <t>13400003140001</t>
  </si>
  <si>
    <t>13400005710001</t>
  </si>
  <si>
    <t>13400005720701</t>
  </si>
  <si>
    <t>13400005721901</t>
  </si>
  <si>
    <t>13400005820001</t>
  </si>
  <si>
    <t>13400006970001</t>
  </si>
  <si>
    <t>13400006970201</t>
  </si>
  <si>
    <t>13400006970701</t>
  </si>
  <si>
    <t>13400010130001</t>
  </si>
  <si>
    <t>13400010220001</t>
  </si>
  <si>
    <t>13400021220001</t>
  </si>
  <si>
    <t>13400025220001</t>
  </si>
  <si>
    <t>13400048220001</t>
  </si>
  <si>
    <t>13400051220001</t>
  </si>
  <si>
    <t>13400052130001</t>
  </si>
  <si>
    <t>13400052192201</t>
  </si>
  <si>
    <t>13400052220001</t>
  </si>
  <si>
    <t>13400062162201</t>
  </si>
  <si>
    <t>13400062220001</t>
  </si>
  <si>
    <t>13400066220001</t>
  </si>
  <si>
    <t>13400067192201</t>
  </si>
  <si>
    <t>13400067220001</t>
  </si>
  <si>
    <t>Total Group - ** 4000 **</t>
  </si>
  <si>
    <t>Premix</t>
  </si>
  <si>
    <t>GRAND TOTAL</t>
  </si>
  <si>
    <t>13500700000001</t>
  </si>
  <si>
    <t>Total Group - ** 5007 **</t>
  </si>
  <si>
    <t>13501800000001</t>
  </si>
  <si>
    <t>13501803000001</t>
  </si>
  <si>
    <t>Total Group - ** 5018 **</t>
  </si>
  <si>
    <t>LIMESTONE</t>
  </si>
  <si>
    <t>13502100000003</t>
  </si>
  <si>
    <t>Total Group - ** 5021 **</t>
  </si>
  <si>
    <t>13502900000001</t>
  </si>
  <si>
    <t>Total Group - ** 5029 **</t>
  </si>
  <si>
    <t>13503000000001</t>
  </si>
  <si>
    <t>Total Group - ** 5030 **</t>
  </si>
  <si>
    <t>13504000000001</t>
  </si>
  <si>
    <t>Total Group - ** 5040 **</t>
  </si>
  <si>
    <t>13504900000001</t>
  </si>
  <si>
    <t>Tapioca by Product Fine</t>
  </si>
  <si>
    <t>Total Group - ** 5049 **</t>
  </si>
  <si>
    <t>13505001000001</t>
  </si>
  <si>
    <t>Total Group - ** 5050 **</t>
  </si>
  <si>
    <t>13505800000001</t>
  </si>
  <si>
    <t>Molasses (Local)</t>
  </si>
  <si>
    <t>Total Group - ** 5058 **</t>
  </si>
  <si>
    <t>13510303000001</t>
  </si>
  <si>
    <t>Broken Rice # C</t>
  </si>
  <si>
    <t>Total Group - ** 5103 **</t>
  </si>
  <si>
    <t>13510601000022</t>
  </si>
  <si>
    <t>13510601000030</t>
  </si>
  <si>
    <t>13510611000001</t>
  </si>
  <si>
    <t>Total Group - ** 5106 **</t>
  </si>
  <si>
    <t>13511400000000</t>
  </si>
  <si>
    <t>Rice Bran Solvent (Wait Analysis)</t>
  </si>
  <si>
    <t>13511400000005</t>
  </si>
  <si>
    <t>Rice Bran Solvent (India)</t>
  </si>
  <si>
    <t>Total Group - ** 5114 **</t>
  </si>
  <si>
    <t>13512500000013</t>
  </si>
  <si>
    <t>Wheat Bran Pellet  (Indonesia)</t>
  </si>
  <si>
    <t>Total Group - ** 5125 **</t>
  </si>
  <si>
    <t>13512700000022</t>
  </si>
  <si>
    <t>Feed Wheat (Argentina)</t>
  </si>
  <si>
    <t>Total Group - ** 5127 **</t>
  </si>
  <si>
    <t>13515300000001</t>
  </si>
  <si>
    <t>Rice bran fresh-Premium (Local)</t>
  </si>
  <si>
    <t>Total Group - ** 5153 **</t>
  </si>
  <si>
    <t>13520900000001</t>
  </si>
  <si>
    <t>Total Group - ** 5209 **</t>
  </si>
  <si>
    <t>13521200000001</t>
  </si>
  <si>
    <t>Pangasius Tra Fish Oil</t>
  </si>
  <si>
    <t>Total Group - ** 5212 **</t>
  </si>
  <si>
    <t>13521702000013</t>
  </si>
  <si>
    <t>Palm Kernel Expeller Crush#2(Indonesia)</t>
  </si>
  <si>
    <t>13521703000013</t>
  </si>
  <si>
    <t>Palm Kernel Expeller Crush#3(Indonesia)</t>
  </si>
  <si>
    <t>Total Group - ** 5217 **</t>
  </si>
  <si>
    <t>13530201000001</t>
  </si>
  <si>
    <t>Brew"s dried Grain - hight.Pro (Local)</t>
  </si>
  <si>
    <t>Total Group - ** 5302 **</t>
  </si>
  <si>
    <t>13531400000030</t>
  </si>
  <si>
    <t>DDGS (USA)</t>
  </si>
  <si>
    <t>Total Group - ** 5314 **</t>
  </si>
  <si>
    <t>13532000000001</t>
  </si>
  <si>
    <t>Total Group - ** 5320 **</t>
  </si>
  <si>
    <t>13532700000022</t>
  </si>
  <si>
    <t>13532700020001</t>
  </si>
  <si>
    <t>Total Group - ** 5327 **</t>
  </si>
  <si>
    <t>13532800000030</t>
  </si>
  <si>
    <t>Soybeen Seed (USA)</t>
  </si>
  <si>
    <t>13532801000001</t>
  </si>
  <si>
    <t>F.F Soybean Meal</t>
  </si>
  <si>
    <t>Total Group - ** 5328 **</t>
  </si>
  <si>
    <t>13533498000029</t>
  </si>
  <si>
    <t>Canola meal-Ex-vessel (Canada)</t>
  </si>
  <si>
    <t>Total Group - ** 5334 **</t>
  </si>
  <si>
    <t>13533900000001</t>
  </si>
  <si>
    <t>13533901000001</t>
  </si>
  <si>
    <t>Total Group - ** 5339 **</t>
  </si>
  <si>
    <t>13540300000000</t>
  </si>
  <si>
    <t>Feather Meal (Wait analysis)</t>
  </si>
  <si>
    <t>13540300000030</t>
  </si>
  <si>
    <t>Total Group - ** 5403 **</t>
  </si>
  <si>
    <t>13540700000030</t>
  </si>
  <si>
    <t>13540700000035</t>
  </si>
  <si>
    <t>13540700000047</t>
  </si>
  <si>
    <t>13540701000001</t>
  </si>
  <si>
    <t>Total Group - ** 5407 **</t>
  </si>
  <si>
    <t>13541000000000</t>
  </si>
  <si>
    <t>Pork Meat Bone Meal (Wait analysis)</t>
  </si>
  <si>
    <t>13541000000030</t>
  </si>
  <si>
    <t>Total Group - ** 5410 **</t>
  </si>
  <si>
    <t>13600001040100</t>
  </si>
  <si>
    <t>13600001130300</t>
  </si>
  <si>
    <t>13600001160101</t>
  </si>
  <si>
    <t>13600001160201</t>
  </si>
  <si>
    <t>13600001160301</t>
  </si>
  <si>
    <t>13600004150101</t>
  </si>
  <si>
    <t>13600005120100</t>
  </si>
  <si>
    <t>13600006120300</t>
  </si>
  <si>
    <t>13600013000100</t>
  </si>
  <si>
    <t>13600013010100</t>
  </si>
  <si>
    <t>13600013250100</t>
  </si>
  <si>
    <t>13600018150100</t>
  </si>
  <si>
    <t>13600019010103</t>
  </si>
  <si>
    <t>13600019210200</t>
  </si>
  <si>
    <t>13600020090150</t>
  </si>
  <si>
    <t>13600020090203</t>
  </si>
  <si>
    <t>13600026010101</t>
  </si>
  <si>
    <t>Total Group - ** 6000 **</t>
  </si>
  <si>
    <t>Vitamin and Mineral</t>
  </si>
  <si>
    <t>13600101030106</t>
  </si>
  <si>
    <t>13600101030162</t>
  </si>
  <si>
    <t>13600101030500</t>
  </si>
  <si>
    <t>13600101120101</t>
  </si>
  <si>
    <t>13600101120201</t>
  </si>
  <si>
    <t>13600101120301</t>
  </si>
  <si>
    <t>13600101130230</t>
  </si>
  <si>
    <t>13600101220144</t>
  </si>
  <si>
    <t>13600101220200</t>
  </si>
  <si>
    <t>13600101240106</t>
  </si>
  <si>
    <t>13600102050242</t>
  </si>
  <si>
    <t>13600103010100</t>
  </si>
  <si>
    <t>13600103010306</t>
  </si>
  <si>
    <t>13600103020130</t>
  </si>
  <si>
    <t>13600103080103</t>
  </si>
  <si>
    <t>13600103080200</t>
  </si>
  <si>
    <t>13600104000203</t>
  </si>
  <si>
    <t>13600104050137</t>
  </si>
  <si>
    <t>13600104080101</t>
  </si>
  <si>
    <t>13600104090230</t>
  </si>
  <si>
    <t>13600104120106</t>
  </si>
  <si>
    <t>13600104160130</t>
  </si>
  <si>
    <t>13600105140100</t>
  </si>
  <si>
    <t>13600106050100</t>
  </si>
  <si>
    <t>13600106050303</t>
  </si>
  <si>
    <t>13600107010118</t>
  </si>
  <si>
    <t>13600107120237</t>
  </si>
  <si>
    <t>13600108090037</t>
  </si>
  <si>
    <t>13600109140100</t>
  </si>
  <si>
    <t>13600111050206</t>
  </si>
  <si>
    <t>13600111050306</t>
  </si>
  <si>
    <t>13600112000003</t>
  </si>
  <si>
    <t>13600112000008</t>
  </si>
  <si>
    <t>13600112000103</t>
  </si>
  <si>
    <t>13600112000113</t>
  </si>
  <si>
    <t>13600112000303</t>
  </si>
  <si>
    <t>13600112000600</t>
  </si>
  <si>
    <t>13600112001200</t>
  </si>
  <si>
    <t>13600112001300</t>
  </si>
  <si>
    <t>13600112050103</t>
  </si>
  <si>
    <t>13600112050133</t>
  </si>
  <si>
    <t>13600112050134</t>
  </si>
  <si>
    <t>13600112250106</t>
  </si>
  <si>
    <t>13600113090100</t>
  </si>
  <si>
    <t>13600113250106</t>
  </si>
  <si>
    <t>13600113250400</t>
  </si>
  <si>
    <t>13600114210114</t>
  </si>
  <si>
    <t>13600116050100</t>
  </si>
  <si>
    <t>13600116080005</t>
  </si>
  <si>
    <t>13600116090137</t>
  </si>
  <si>
    <t>13600118080103</t>
  </si>
  <si>
    <t>13600118150206</t>
  </si>
  <si>
    <t>13600118150306</t>
  </si>
  <si>
    <t>13600118150332</t>
  </si>
  <si>
    <t>13600118210114</t>
  </si>
  <si>
    <t>13600118210200</t>
  </si>
  <si>
    <t>13600119010006</t>
  </si>
  <si>
    <t>13600119150200</t>
  </si>
  <si>
    <t>13600119200114</t>
  </si>
  <si>
    <t>13600119210239</t>
  </si>
  <si>
    <t>13600120010105</t>
  </si>
  <si>
    <t>13600120150106</t>
  </si>
  <si>
    <t>13600120150135</t>
  </si>
  <si>
    <t>13600121180100</t>
  </si>
  <si>
    <t>13600122090100</t>
  </si>
  <si>
    <t>13600126090100</t>
  </si>
  <si>
    <t>Total Group - ** 6001 **</t>
  </si>
  <si>
    <t>Additive</t>
  </si>
  <si>
    <t>A13.1</t>
  </si>
  <si>
    <t>A1</t>
  </si>
  <si>
    <t>A2</t>
  </si>
  <si>
    <t>A22.2</t>
  </si>
  <si>
    <t>C12</t>
  </si>
  <si>
    <t>B4</t>
  </si>
  <si>
    <t>V6.3</t>
  </si>
  <si>
    <t>Conc. Amnil (Lot 34)</t>
  </si>
  <si>
    <t>Conc. Red  2% (Lot 58)</t>
  </si>
  <si>
    <t>Conc. 571 (Lot 35)</t>
  </si>
  <si>
    <t>Y1.2</t>
  </si>
  <si>
    <t>Conc. 572G (Lot 32)</t>
  </si>
  <si>
    <t>Conc. 572S (Lot 36)</t>
  </si>
  <si>
    <t>Conc. 582 (Lot 38)</t>
  </si>
  <si>
    <t>Conc. MC-0697 (Lot 35)</t>
  </si>
  <si>
    <t>Conc. MC-0697G (Lot 34)</t>
  </si>
  <si>
    <t>Conc. 10M (Lot 47)</t>
  </si>
  <si>
    <t>Conc.10V (Lot 35)</t>
  </si>
  <si>
    <t>Conc. 25V (Lot 35)</t>
  </si>
  <si>
    <t>V9.3</t>
  </si>
  <si>
    <t>Conc. 51V (Lot 36)</t>
  </si>
  <si>
    <t>Conc. 52M (Lot 62)</t>
  </si>
  <si>
    <t>Conc. 52SV (Lot 35)</t>
  </si>
  <si>
    <t>Conc. 52V (Lot 37)</t>
  </si>
  <si>
    <t>Conc. 62PV (Lot 35)</t>
  </si>
  <si>
    <t>Conc. 62V (Lot 35)</t>
  </si>
  <si>
    <t>Conc. 66V (Lot 35)</t>
  </si>
  <si>
    <t>Conc. 67V (Lot 35)</t>
  </si>
  <si>
    <t>FM 50,49</t>
  </si>
  <si>
    <t>FM51</t>
  </si>
  <si>
    <t>FM 72</t>
  </si>
  <si>
    <t>FM 75</t>
  </si>
  <si>
    <t>FM 55,74</t>
  </si>
  <si>
    <t>FM 58</t>
  </si>
  <si>
    <t>C11</t>
  </si>
  <si>
    <t>C10</t>
  </si>
  <si>
    <t>BS06LD</t>
  </si>
  <si>
    <t>A11.2</t>
  </si>
  <si>
    <t>C9</t>
  </si>
  <si>
    <t>Feather Meal (84.64%)</t>
  </si>
  <si>
    <t>MEAT BONE MEAL (49.6%)</t>
  </si>
  <si>
    <t>MEAT BONE MEAL (49.9%)</t>
  </si>
  <si>
    <t>13521200000000</t>
  </si>
  <si>
    <t>Pangasius Fish Oil (Wait Analysis)</t>
  </si>
  <si>
    <t>13600001140101</t>
  </si>
  <si>
    <t>A7</t>
  </si>
  <si>
    <t>B6</t>
  </si>
  <si>
    <t>X6.1</t>
  </si>
  <si>
    <t>Y2.2</t>
  </si>
  <si>
    <t>Conc. 10M (Lot 48)</t>
  </si>
  <si>
    <t>Conc. 52M (Lot 64)</t>
  </si>
  <si>
    <t>Conc.10V (Lot 36)</t>
  </si>
  <si>
    <t>Conc. 21V (Lot 37)</t>
  </si>
  <si>
    <t>Conc. 25V (Lot 36)</t>
  </si>
  <si>
    <t>Conc.48V (Lot 36)</t>
  </si>
  <si>
    <t>Conc. 52V (Lot 38)</t>
  </si>
  <si>
    <t>Conc. 62V (Lot 36)</t>
  </si>
  <si>
    <t>Conc. 62PV (Lot 26)</t>
  </si>
  <si>
    <t>Conc. 66V (Lot 36)</t>
  </si>
  <si>
    <t>Conc. 67V (Lot 36)</t>
  </si>
  <si>
    <t>Conc. 52SV (Lot 36)</t>
  </si>
  <si>
    <t>Conc. 67SV (Lot 36)</t>
  </si>
  <si>
    <t>Conc. 572S (Lot 37)</t>
  </si>
  <si>
    <t>Conc. 571 (Lot 36)</t>
  </si>
  <si>
    <t>Conc. MC-0697 (Lot 36)</t>
  </si>
  <si>
    <t>Conc. MC-0697B (Lot 36)</t>
  </si>
  <si>
    <t>Conc. Red  2% (Lot 60)</t>
  </si>
  <si>
    <t>Conc. Amnil (Lot 36)</t>
  </si>
  <si>
    <t>B7</t>
  </si>
  <si>
    <t>A4</t>
  </si>
  <si>
    <t>Feather Meal (83.42%)</t>
  </si>
  <si>
    <t>Feather Meal (86.34%)</t>
  </si>
  <si>
    <t>C7</t>
  </si>
  <si>
    <t>B23.1</t>
  </si>
  <si>
    <t>A16.1A</t>
  </si>
  <si>
    <t>13533903000000</t>
  </si>
  <si>
    <t>Nextide (Wait analysis)</t>
  </si>
  <si>
    <t>13540300000019</t>
  </si>
  <si>
    <t>13541000000021</t>
  </si>
  <si>
    <t>ID Code</t>
  </si>
  <si>
    <t>043234*</t>
  </si>
  <si>
    <t>831001*H.A</t>
  </si>
  <si>
    <t>840011.MNS</t>
  </si>
  <si>
    <t>840012 MNS</t>
  </si>
  <si>
    <t>840030 Mini</t>
  </si>
  <si>
    <t>917004 HA</t>
  </si>
  <si>
    <t>AVI WATER</t>
  </si>
  <si>
    <t>KOMOS MCL</t>
  </si>
  <si>
    <t>KOMOS Water</t>
  </si>
  <si>
    <t>Description</t>
  </si>
  <si>
    <t>corn clean line H.A</t>
  </si>
  <si>
    <t>corn clean line  g619</t>
  </si>
  <si>
    <t>corn clean line  g611</t>
  </si>
  <si>
    <t>corn clean line MC</t>
  </si>
  <si>
    <t>clean line g615</t>
  </si>
  <si>
    <t>corn clean line Scale 649</t>
  </si>
  <si>
    <t>corn clean line miniscale 582</t>
  </si>
  <si>
    <t>Kessent Mf Dry</t>
  </si>
  <si>
    <t>Rumifatplus</t>
  </si>
  <si>
    <t>VNM Premix</t>
  </si>
  <si>
    <t>Toxfin Dry CP</t>
  </si>
  <si>
    <t>CORN#2_ EXT 8.2%</t>
  </si>
  <si>
    <t>CORN # USA</t>
  </si>
  <si>
    <t>CORN  # USA 8x8</t>
  </si>
  <si>
    <t>CRNArg #2 7.0% (3X3)</t>
  </si>
  <si>
    <t>CLEARLINE 1/8</t>
  </si>
  <si>
    <t>CLEARLINE 1/8 Poultry</t>
  </si>
  <si>
    <t>TAP BP Fiber high</t>
  </si>
  <si>
    <t>TAP BP fiber 25-27% (bin 74 bo de)</t>
  </si>
  <si>
    <t>RCE. BR 8.2%</t>
  </si>
  <si>
    <t>WHEAT ARG</t>
  </si>
  <si>
    <t>MBM 52%</t>
  </si>
  <si>
    <t>FEM 83%</t>
  </si>
  <si>
    <t>SBM.AGR 47%</t>
  </si>
  <si>
    <t>CANOLA 36%</t>
  </si>
  <si>
    <t>DDGS Fat 8%</t>
  </si>
  <si>
    <t>RBF FAT CAO</t>
  </si>
  <si>
    <t>RB_S 15%</t>
  </si>
  <si>
    <t>WB 15%</t>
  </si>
  <si>
    <t>BDG_DRY 25%</t>
  </si>
  <si>
    <t>palm meal</t>
  </si>
  <si>
    <t>SOY-HULL</t>
  </si>
  <si>
    <t>ACTISAF</t>
  </si>
  <si>
    <t>LEVUCELL</t>
  </si>
  <si>
    <t>FO BASA VNF</t>
  </si>
  <si>
    <t>molasses Vnf</t>
  </si>
  <si>
    <t>VEDANFEED</t>
  </si>
  <si>
    <t>M DCP</t>
  </si>
  <si>
    <t>L.S</t>
  </si>
  <si>
    <t>LS</t>
  </si>
  <si>
    <t>SALT F98%</t>
  </si>
  <si>
    <t>WY SWEET 11.5%</t>
  </si>
  <si>
    <t>WY DEPRO 3.6%</t>
  </si>
  <si>
    <t>DPS50</t>
  </si>
  <si>
    <t>PROVISOY</t>
  </si>
  <si>
    <t>CAROMIC/TRIGARROFA/ EURO BIOSWEET/CARANI</t>
  </si>
  <si>
    <t>D-L 99%</t>
  </si>
  <si>
    <t>L-LYSINE 78% MINERAL</t>
  </si>
  <si>
    <t>L-LYSINE 78%</t>
  </si>
  <si>
    <t>LL 55% M</t>
  </si>
  <si>
    <t>L-L55%</t>
  </si>
  <si>
    <t>L-TRYTOPHAN</t>
  </si>
  <si>
    <t>L-THREONINE 98.5%</t>
  </si>
  <si>
    <t>L-THREONINE Mine scale</t>
  </si>
  <si>
    <t>L-VALINE</t>
  </si>
  <si>
    <t>Ch_CH 75%</t>
  </si>
  <si>
    <t>betafin liqiud 38%</t>
  </si>
  <si>
    <t>ROVABIO ADVNCE T-FLEX 25</t>
  </si>
  <si>
    <t>Versazyme/cibenza</t>
  </si>
  <si>
    <t>LUCATINRED10%/LeaderRed/Canthaxanthin10%</t>
  </si>
  <si>
    <t>LEADER  YELLOW</t>
  </si>
  <si>
    <t>PIGOR TEX659</t>
  </si>
  <si>
    <t xml:space="preserve">Sucram 5S </t>
  </si>
  <si>
    <t>ACID LAC PREMIUM</t>
  </si>
  <si>
    <t>VITAMIN E</t>
  </si>
  <si>
    <t>PHYTOCEE</t>
  </si>
  <si>
    <t>Rovabio PHY</t>
  </si>
  <si>
    <t>Lysofrte Dry</t>
  </si>
  <si>
    <t xml:space="preserve">M-TOX PLUS </t>
  </si>
  <si>
    <t>MYCOFIX Plux 3.0</t>
  </si>
  <si>
    <t>Toxy-nil dry</t>
  </si>
  <si>
    <t>BENTONITE</t>
  </si>
  <si>
    <t>BIOMIN</t>
  </si>
  <si>
    <t>GalliPro Tect(Probiotic)</t>
  </si>
  <si>
    <t>ENDOX</t>
  </si>
  <si>
    <t>Monensin</t>
  </si>
  <si>
    <t>Acid Buf 10</t>
  </si>
  <si>
    <t>SURMAX 10%</t>
  </si>
  <si>
    <t>COPPER CHLORIDE 58%Caliton</t>
  </si>
  <si>
    <t>AVAILA Zn</t>
  </si>
  <si>
    <t>ALLPLEX -B</t>
  </si>
  <si>
    <t>ALLPLEX -S</t>
  </si>
  <si>
    <t>ALLPLEX -GF</t>
  </si>
  <si>
    <t>Microplex Cr</t>
  </si>
  <si>
    <t>ZN OXIDE 75%</t>
  </si>
  <si>
    <t>Halquinol 60</t>
  </si>
  <si>
    <t>TIOTILIN 80%</t>
  </si>
  <si>
    <t>Amoxycillin 80%</t>
  </si>
  <si>
    <t>Tilmovet/Pulmotil/Timicox/Miclozan 200</t>
  </si>
  <si>
    <t>IR/FR (SWINE)</t>
  </si>
  <si>
    <t>PX 10V</t>
  </si>
  <si>
    <t>px 25v</t>
  </si>
  <si>
    <t>PX_48V</t>
  </si>
  <si>
    <t>PX 10M</t>
  </si>
  <si>
    <t>PX 51V</t>
  </si>
  <si>
    <t>PX 52SV</t>
  </si>
  <si>
    <t>PX52V</t>
  </si>
  <si>
    <t>PX-66V</t>
  </si>
  <si>
    <t>PX-62PV</t>
  </si>
  <si>
    <t>PX-67SV</t>
  </si>
  <si>
    <t>MS Swine 0314 (Biomin)</t>
  </si>
  <si>
    <t>pX 52M</t>
  </si>
  <si>
    <t>572sv Premix</t>
  </si>
  <si>
    <t>MC-0697 Premix</t>
  </si>
  <si>
    <t>MCL</t>
  </si>
  <si>
    <t>Required (kgs)</t>
  </si>
  <si>
    <t>Actual (kgs)</t>
  </si>
  <si>
    <t>Deviation (kgs)</t>
  </si>
  <si>
    <t>% Deviation</t>
  </si>
  <si>
    <t>Formula ID</t>
  </si>
  <si>
    <t>114001B</t>
  </si>
  <si>
    <t>510 10/8 BR PRESTR</t>
  </si>
  <si>
    <t>510NFP91 10/8  BR PRESTR</t>
  </si>
  <si>
    <t>510NFTL3 10/08  BR PRESTR</t>
  </si>
  <si>
    <t>511B 5/8  BR STR</t>
  </si>
  <si>
    <t>513F 4/8  BR WTHDRWL</t>
  </si>
  <si>
    <t>511L 13/05  BR STR</t>
  </si>
  <si>
    <t>511M 13/05  BR STR</t>
  </si>
  <si>
    <t>549F 11/09  MEAT DUCK</t>
  </si>
  <si>
    <t>551GP 17/07  PIG PRESTR</t>
  </si>
  <si>
    <t>551FS25  10/8 PIG PRESTR</t>
  </si>
  <si>
    <t>551FS31 10/8 PIG PRESTR</t>
  </si>
  <si>
    <t>551FS58 24/8 PIG PRESTR</t>
  </si>
  <si>
    <t>552S 15/09  PIG STR</t>
  </si>
  <si>
    <t>552SF 18/09  PIG STR</t>
  </si>
  <si>
    <t>552 4/8  PIG STR</t>
  </si>
  <si>
    <t>552XS52  29/8 PIG STR</t>
  </si>
  <si>
    <t>552MX 20/1 PIG STR</t>
  </si>
  <si>
    <t>552F 18/09  PIG STR</t>
  </si>
  <si>
    <t>552WDF 9/9 PIG STR</t>
  </si>
  <si>
    <t>552SXTS88 15/09  PIG STR</t>
  </si>
  <si>
    <t>553 8/6  PIG GROWER</t>
  </si>
  <si>
    <t>562PF 9/9 GILT PREMATING</t>
  </si>
  <si>
    <t>566 4/8  PIG GEST</t>
  </si>
  <si>
    <t>566F 6/8 PIG GEST</t>
  </si>
  <si>
    <t xml:space="preserve">567SF 31/7 PIG LACT </t>
  </si>
  <si>
    <t>571 24/08  8T CALF PRESTR</t>
  </si>
  <si>
    <t>594 20/05  BEEF STR 18</t>
  </si>
  <si>
    <t>384 24/08  (005-18) DAIRY</t>
  </si>
  <si>
    <t>HB04TA-0804 4/7 6T CÃ¡m 10-13 thÃ¡ng</t>
  </si>
  <si>
    <t>HB01LD-0501 14/7 Sosinh 4 thÃ¡ng BAO.VIEN</t>
  </si>
  <si>
    <t>BS05LD-0505 17/07 CÃ¡m s?n lu?ng cao</t>
  </si>
  <si>
    <t>BS05TA-0805 4/7 CÃ¡m s?n lu?ng cao</t>
  </si>
  <si>
    <t>HB01TA-0801 4/7 Cam so sinh 4thang</t>
  </si>
  <si>
    <t>BS22TA-0822 17/7 8T s?n xu?t s?a bÃ©o cao</t>
  </si>
  <si>
    <t>502 21/7  QL-LAYER</t>
  </si>
  <si>
    <t>Doc. Date</t>
  </si>
  <si>
    <t>Doc. No.</t>
  </si>
  <si>
    <t>Product</t>
  </si>
  <si>
    <t>Grade</t>
  </si>
  <si>
    <t>&lt;------------------------- Special Code -------------------------&gt;</t>
  </si>
  <si>
    <t>Avg.</t>
  </si>
  <si>
    <t>Qty.</t>
  </si>
  <si>
    <t>Net Wgh</t>
  </si>
  <si>
    <t>Activity</t>
  </si>
  <si>
    <t>Labor</t>
  </si>
  <si>
    <t>CTY TNHH SX Vµ TM MINH T¢N</t>
  </si>
  <si>
    <t>0401</t>
  </si>
  <si>
    <t>15C22665</t>
  </si>
  <si>
    <t>0101</t>
  </si>
  <si>
    <t>1101</t>
  </si>
  <si>
    <t>Move R/M to Intake</t>
  </si>
  <si>
    <t>Not payment</t>
  </si>
  <si>
    <t>DNTN SX Vµ TM Kh­¬ng Duy</t>
  </si>
  <si>
    <t>60C35948</t>
  </si>
  <si>
    <t>CTY TNHH Nguyªn LiÖu SX D.D.P</t>
  </si>
  <si>
    <t>50H66225</t>
  </si>
  <si>
    <t>C«ng Ty TNHH Nguyªn LiÖu Thñy S¶n</t>
  </si>
  <si>
    <t>50E 32068</t>
  </si>
  <si>
    <t>Total By Shift</t>
  </si>
  <si>
    <t>C5</t>
  </si>
  <si>
    <t>MEAT BONE MEAL (49.09%)</t>
  </si>
  <si>
    <t>MEAT BONE MEAL (51.47%)</t>
  </si>
  <si>
    <t xml:space="preserve">NEXTIDE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</si>
</sst>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(* #,##0_);_(* \(#,##0\);_(* &quot;-&quot;_);_(@_)"/>
    <numFmt numFmtId="43" formatCode="_(* #,##0.00_);_(* \(#,##0.00\);_(* &quot;-&quot;??_);_(@_)"/>
    <numFmt numFmtId="164" formatCode="_-* #,##0.00\ _₫_-;\-* #,##0.00\ _₫_-;_-* &quot;-&quot;??\ _₫_-;_-@_-"/>
    <numFmt numFmtId="165" formatCode="#,##0.0"/>
    <numFmt numFmtId="166" formatCode="0.0%"/>
    <numFmt numFmtId="167" formatCode="[$-409]d\-mmm\-yy;@"/>
    <numFmt numFmtId="168" formatCode="#,##0.000"/>
    <numFmt numFmtId="169" formatCode="00000"/>
    <numFmt numFmtId="170" formatCode="\P\r\o\:\ \ \ d\-mmm"/>
    <numFmt numFmtId="171" formatCode="_(* #,##0_);_(* \(#,##0\);_(* &quot;-&quot;??_);_(@_)"/>
    <numFmt numFmtId="172" formatCode="[$-1010409]d\ mmm\ yy;@"/>
    <numFmt numFmtId="173" formatCode="\ d\-mmm"/>
    <numFmt numFmtId="174" formatCode="\ \ d\-mmm"/>
    <numFmt numFmtId="175" formatCode="\ \ \ d\-mmm"/>
    <numFmt numFmtId="176" formatCode="#,##0.000000000000"/>
    <numFmt numFmtId="177" formatCode="_(* #,##0.000_);_(* \(#,##0.000\);_(* &quot;-&quot;??_);_(@_)"/>
    <numFmt numFmtId="178" formatCode="#,###"/>
    <numFmt numFmtId="179" formatCode="#,###.00"/>
    <numFmt numFmtId="180" formatCode="0.0000"/>
    <numFmt numFmtId="181" formatCode="[$-409]d\-mmm\-yyyy;@"/>
    <numFmt numFmtId="182" formatCode="[$-409]d\-mmm;@"/>
    <numFmt numFmtId="183" formatCode="#,##0.0000000000000"/>
    <numFmt numFmtId="184" formatCode="\ dd/mm/yy\ \ h:mm:\ "/>
    <numFmt numFmtId="185" formatCode="\ dd/mm/yy\ \ \ "/>
    <numFmt numFmtId="186" formatCode="\ dd/mm/yy\ \ :\ "/>
    <numFmt numFmtId="187" formatCode="_(* #,##0.0_);_(* \(#,##0.0\);_(* &quot;-&quot;??_);_(@_)"/>
    <numFmt numFmtId="188" formatCode="[$-409]dd/mmm/yy;@"/>
    <numFmt numFmtId="189" formatCode="0.000000000"/>
    <numFmt numFmtId="190" formatCode="#,##0.00;[Red]#,##0.00"/>
    <numFmt numFmtId="191" formatCode="#,##0.0000000000"/>
  </numFmts>
  <fonts count="18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sz val="8"/>
      <name val="Arial"/>
      <family val="2"/>
    </font>
    <font>
      <sz val="11"/>
      <color indexed="18"/>
      <name val="Times New Roman"/>
      <family val="1"/>
    </font>
    <font>
      <b/>
      <sz val="12"/>
      <color indexed="8"/>
      <name val="Times New Roman"/>
      <family val="1"/>
    </font>
    <font>
      <sz val="8"/>
      <color indexed="12"/>
      <name val="Times New Roman"/>
      <family val="1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b/>
      <sz val="9"/>
      <color indexed="8"/>
      <name val="Times New Roman"/>
      <family val="1"/>
    </font>
    <font>
      <b/>
      <sz val="10"/>
      <color indexed="8"/>
      <name val="Times New Roman"/>
      <family val="1"/>
    </font>
    <font>
      <sz val="8"/>
      <color indexed="20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8"/>
      <color indexed="8"/>
      <name val="Times New Roman"/>
      <family val="1"/>
    </font>
    <font>
      <sz val="9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9"/>
      <name val="Times New Roman"/>
      <family val="1"/>
    </font>
    <font>
      <sz val="8"/>
      <color indexed="17"/>
      <name val="Times New Roman"/>
      <family val="1"/>
    </font>
    <font>
      <b/>
      <sz val="8"/>
      <color indexed="10"/>
      <name val="Times New Roman"/>
      <family val="1"/>
    </font>
    <font>
      <sz val="9"/>
      <color indexed="61"/>
      <name val="Times New Roman"/>
      <family val="1"/>
    </font>
    <font>
      <sz val="8"/>
      <color indexed="16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sz val="11"/>
      <color indexed="9"/>
      <name val="Times New Roman"/>
      <family val="1"/>
    </font>
    <font>
      <sz val="9"/>
      <color indexed="9"/>
      <name val="Times New Roman"/>
      <family val="1"/>
    </font>
    <font>
      <sz val="10"/>
      <color indexed="9"/>
      <name val="Times New Roman"/>
      <family val="1"/>
    </font>
    <font>
      <b/>
      <sz val="12"/>
      <name val="Times New Roman"/>
      <family val="1"/>
    </font>
    <font>
      <b/>
      <sz val="11"/>
      <color indexed="10"/>
      <name val="Times New Roman"/>
      <family val="1"/>
    </font>
    <font>
      <sz val="11"/>
      <color indexed="20"/>
      <name val="Times New Roman"/>
      <family val="1"/>
    </font>
    <font>
      <sz val="11"/>
      <color indexed="16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8"/>
      <name val="Times New Roman"/>
      <family val="1"/>
    </font>
    <font>
      <sz val="11"/>
      <color indexed="10"/>
      <name val="Times New Roman"/>
      <family val="1"/>
    </font>
    <font>
      <sz val="11"/>
      <color indexed="61"/>
      <name val="Times New Roman"/>
      <family val="1"/>
    </font>
    <font>
      <b/>
      <sz val="11"/>
      <color indexed="61"/>
      <name val="Times New Roman"/>
      <family val="1"/>
    </font>
    <font>
      <b/>
      <sz val="12"/>
      <color indexed="61"/>
      <name val="Times New Roman"/>
      <family val="1"/>
    </font>
    <font>
      <sz val="12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4"/>
      <name val="Times New Roman"/>
      <family val="1"/>
    </font>
    <font>
      <b/>
      <sz val="13"/>
      <color indexed="8"/>
      <name val="Times New Roman"/>
      <family val="1"/>
    </font>
    <font>
      <sz val="13"/>
      <color indexed="9"/>
      <name val="Times New Roman"/>
      <family val="1"/>
    </font>
    <font>
      <b/>
      <sz val="13"/>
      <color indexed="9"/>
      <name val="Times New Roman"/>
      <family val="1"/>
    </font>
    <font>
      <sz val="13"/>
      <color indexed="12"/>
      <name val="Times New Roman"/>
      <family val="1"/>
    </font>
    <font>
      <sz val="13"/>
      <color indexed="20"/>
      <name val="Times New Roman"/>
      <family val="1"/>
    </font>
    <font>
      <sz val="13"/>
      <color indexed="16"/>
      <name val="Times New Roman"/>
      <family val="1"/>
    </font>
    <font>
      <sz val="13"/>
      <color indexed="8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sz val="13"/>
      <color indexed="61"/>
      <name val="Times New Roman"/>
      <family val="1"/>
    </font>
    <font>
      <sz val="13"/>
      <color indexed="61"/>
      <name val="Times New Roman"/>
      <family val="1"/>
    </font>
    <font>
      <sz val="12"/>
      <color indexed="61"/>
      <name val="Times New Roman"/>
      <family val="1"/>
    </font>
    <font>
      <sz val="10"/>
      <name val="Times New Roman"/>
      <family val="1"/>
    </font>
    <font>
      <sz val="11"/>
      <color indexed="17"/>
      <name val="Times New Roman"/>
      <family val="1"/>
    </font>
    <font>
      <sz val="12"/>
      <color indexed="9"/>
      <name val="Times New Roman"/>
      <family val="1"/>
    </font>
    <font>
      <sz val="12"/>
      <name val="Times New Roman"/>
      <family val="1"/>
    </font>
    <font>
      <b/>
      <sz val="12"/>
      <color indexed="9"/>
      <name val="Times New Roman"/>
      <family val="1"/>
    </font>
    <font>
      <sz val="12"/>
      <color indexed="12"/>
      <name val="Times New Roman"/>
      <family val="1"/>
    </font>
    <font>
      <sz val="12"/>
      <color indexed="20"/>
      <name val="Times New Roman"/>
      <family val="1"/>
    </font>
    <font>
      <sz val="12"/>
      <color indexed="16"/>
      <name val="Times New Roman"/>
      <family val="1"/>
    </font>
    <font>
      <b/>
      <sz val="18"/>
      <name val="Times New Roman"/>
      <family val="1"/>
    </font>
    <font>
      <b/>
      <sz val="12"/>
      <color indexed="57"/>
      <name val="Times New Roman"/>
      <family val="1"/>
    </font>
    <font>
      <b/>
      <sz val="14"/>
      <color indexed="10"/>
      <name val="Times New Roman"/>
      <family val="1"/>
    </font>
    <font>
      <b/>
      <sz val="16"/>
      <color indexed="8"/>
      <name val="Times New Roman"/>
      <family val="1"/>
    </font>
    <font>
      <sz val="14"/>
      <name val="Times New Roman"/>
      <family val="1"/>
    </font>
    <font>
      <sz val="11"/>
      <color indexed="60"/>
      <name val="Times New Roman"/>
      <family val="1"/>
    </font>
    <font>
      <b/>
      <sz val="12"/>
      <color indexed="8"/>
      <name val="Times New Roman"/>
      <family val="1"/>
      <charset val="163"/>
    </font>
    <font>
      <i/>
      <sz val="11"/>
      <name val="Times New Roman"/>
      <family val="1"/>
      <charset val="163"/>
    </font>
    <font>
      <i/>
      <sz val="11"/>
      <color indexed="8"/>
      <name val="Times New Roman"/>
      <family val="1"/>
      <charset val="163"/>
    </font>
    <font>
      <sz val="14"/>
      <color indexed="8"/>
      <name val="Times New Roman"/>
      <family val="1"/>
    </font>
    <font>
      <b/>
      <sz val="11"/>
      <color indexed="8"/>
      <name val="Times New Roman"/>
      <family val="1"/>
      <charset val="163"/>
    </font>
    <font>
      <b/>
      <sz val="15"/>
      <name val="Times New Roman"/>
      <family val="1"/>
    </font>
    <font>
      <sz val="22"/>
      <name val="Times New Roman"/>
      <family val="1"/>
    </font>
    <font>
      <sz val="18"/>
      <name val="Times New Roman"/>
      <family val="1"/>
    </font>
    <font>
      <sz val="11"/>
      <color indexed="60"/>
      <name val="Times New Roman"/>
      <family val="1"/>
    </font>
    <font>
      <sz val="11"/>
      <color indexed="8"/>
      <name val="Times New Roman"/>
      <family val="1"/>
    </font>
    <font>
      <b/>
      <sz val="11"/>
      <color indexed="60"/>
      <name val="Times New Roman"/>
      <family val="1"/>
    </font>
    <font>
      <b/>
      <sz val="14"/>
      <color indexed="8"/>
      <name val="Times New Roman"/>
      <family val="1"/>
    </font>
    <font>
      <sz val="12"/>
      <color indexed="60"/>
      <name val="Times New Roman"/>
      <family val="1"/>
    </font>
    <font>
      <sz val="12"/>
      <color indexed="8"/>
      <name val="Times New Roman"/>
      <family val="1"/>
    </font>
    <font>
      <sz val="13"/>
      <color indexed="8"/>
      <name val="Times New Roman"/>
      <family val="1"/>
    </font>
    <font>
      <sz val="13"/>
      <color indexed="60"/>
      <name val="Times New Roman"/>
      <family val="1"/>
    </font>
    <font>
      <b/>
      <sz val="10"/>
      <color indexed="8"/>
      <name val="Times New Roman"/>
      <family val="1"/>
    </font>
    <font>
      <sz val="13"/>
      <color indexed="10"/>
      <name val="Times New Roman"/>
      <family val="1"/>
    </font>
    <font>
      <b/>
      <sz val="14"/>
      <color indexed="60"/>
      <name val="Times New Roman"/>
      <family val="1"/>
    </font>
    <font>
      <i/>
      <sz val="22"/>
      <name val="Times New Roman"/>
      <family val="1"/>
    </font>
    <font>
      <b/>
      <sz val="13"/>
      <color indexed="10"/>
      <name val="Times New Roman"/>
      <family val="1"/>
    </font>
    <font>
      <b/>
      <sz val="15"/>
      <color indexed="10"/>
      <name val="Times New Roman"/>
      <family val="1"/>
    </font>
    <font>
      <b/>
      <sz val="13"/>
      <color indexed="56"/>
      <name val="Times New Roman"/>
      <family val="1"/>
    </font>
    <font>
      <b/>
      <sz val="10"/>
      <color indexed="8"/>
      <name val="Times New Roman"/>
      <family val="1"/>
      <charset val="163"/>
    </font>
    <font>
      <b/>
      <i/>
      <sz val="14"/>
      <name val="Times New Roman"/>
      <family val="1"/>
    </font>
    <font>
      <i/>
      <sz val="12"/>
      <color indexed="8"/>
      <name val="Times New Roman"/>
      <family val="1"/>
    </font>
    <font>
      <sz val="14"/>
      <name val="Cambria"/>
      <family val="1"/>
      <charset val="163"/>
    </font>
    <font>
      <b/>
      <i/>
      <sz val="20"/>
      <color indexed="30"/>
      <name val="Times New Roman"/>
      <family val="1"/>
    </font>
    <font>
      <sz val="11"/>
      <color theme="1"/>
      <name val="Arial"/>
      <family val="2"/>
      <charset val="163"/>
    </font>
    <font>
      <sz val="12"/>
      <color theme="0"/>
      <name val="Times New Roman"/>
      <family val="1"/>
    </font>
    <font>
      <b/>
      <sz val="12"/>
      <color theme="0"/>
      <name val="Times New Roman"/>
      <family val="1"/>
    </font>
    <font>
      <sz val="11"/>
      <color theme="1"/>
      <name val="Times New Roman"/>
      <family val="1"/>
    </font>
    <font>
      <sz val="11"/>
      <color theme="5"/>
      <name val="Times New Roman"/>
      <family val="1"/>
    </font>
    <font>
      <sz val="11"/>
      <color theme="9" tint="-0.499984740745262"/>
      <name val="Times New Roman"/>
      <family val="1"/>
    </font>
    <font>
      <b/>
      <sz val="14"/>
      <color rgb="FFFF0000"/>
      <name val="Times New Roman"/>
      <family val="1"/>
    </font>
    <font>
      <sz val="13"/>
      <color theme="1"/>
      <name val="Times New Roman"/>
      <family val="1"/>
    </font>
    <font>
      <b/>
      <sz val="14"/>
      <name val="Cambria"/>
      <family val="1"/>
      <charset val="163"/>
      <scheme val="maj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indexed="8"/>
      <name val="Times New Roman"/>
      <family val="1"/>
      <charset val="163"/>
    </font>
    <font>
      <b/>
      <sz val="13"/>
      <name val="Times New Roman"/>
      <family val="1"/>
      <charset val="163"/>
    </font>
    <font>
      <sz val="11"/>
      <color rgb="FFC00000"/>
      <name val="Times New Roman"/>
      <family val="1"/>
    </font>
    <font>
      <b/>
      <sz val="11"/>
      <color theme="5" tint="-0.249977111117893"/>
      <name val="Times New Roman"/>
      <family val="1"/>
    </font>
    <font>
      <sz val="11"/>
      <color theme="5" tint="-0.249977111117893"/>
      <name val="Times New Roman"/>
      <family val="1"/>
    </font>
    <font>
      <b/>
      <sz val="11"/>
      <color theme="9" tint="-0.499984740745262"/>
      <name val="Times New Roman"/>
      <family val="1"/>
    </font>
    <font>
      <sz val="10"/>
      <color indexed="8"/>
      <name val="Times New Roman"/>
      <family val="1"/>
      <charset val="163"/>
    </font>
    <font>
      <sz val="10"/>
      <color theme="1"/>
      <name val="Arial"/>
      <family val="2"/>
    </font>
    <font>
      <sz val="10"/>
      <name val="Times New Roman"/>
      <family val="1"/>
      <charset val="163"/>
    </font>
    <font>
      <b/>
      <sz val="13"/>
      <color theme="4"/>
      <name val="Times New Roman"/>
      <family val="1"/>
    </font>
    <font>
      <b/>
      <sz val="13"/>
      <color rgb="FF00B050"/>
      <name val="Times New Roman"/>
      <family val="1"/>
    </font>
    <font>
      <sz val="10"/>
      <color rgb="FFFF0000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11"/>
      <color theme="0"/>
      <name val="Times New Roman"/>
      <family val="1"/>
    </font>
    <font>
      <sz val="9"/>
      <color theme="0"/>
      <name val="Times New Roman"/>
      <family val="1"/>
    </font>
    <font>
      <sz val="13"/>
      <color theme="0"/>
      <name val="Times New Roman"/>
      <family val="1"/>
    </font>
    <font>
      <b/>
      <sz val="13"/>
      <color theme="0"/>
      <name val="Times New Roman"/>
      <family val="1"/>
    </font>
    <font>
      <b/>
      <sz val="11"/>
      <color theme="0"/>
      <name val="Times New Roman"/>
      <family val="1"/>
    </font>
    <font>
      <sz val="10"/>
      <color theme="0"/>
      <name val="Times New Roman"/>
      <family val="1"/>
    </font>
    <font>
      <sz val="10"/>
      <color theme="0"/>
      <name val="Arial"/>
      <family val="2"/>
    </font>
    <font>
      <sz val="10"/>
      <color indexed="8"/>
      <name val="Arial"/>
      <family val="2"/>
    </font>
    <font>
      <b/>
      <sz val="10"/>
      <color rgb="FFFF0000"/>
      <name val="Times New Roman"/>
      <family val="1"/>
    </font>
    <font>
      <b/>
      <sz val="13"/>
      <color theme="1"/>
      <name val="Times New Roman"/>
      <family val="1"/>
    </font>
    <font>
      <sz val="15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sz val="10"/>
      <color rgb="FF0070C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14"/>
      <color indexed="61"/>
      <name val="Times New Roman"/>
      <family val="1"/>
    </font>
    <font>
      <b/>
      <i/>
      <sz val="14"/>
      <color indexed="8"/>
      <name val="Times New Roman"/>
      <family val="1"/>
    </font>
    <font>
      <b/>
      <sz val="11"/>
      <name val="Times New Roman"/>
      <family val="1"/>
      <charset val="163"/>
    </font>
    <font>
      <sz val="14"/>
      <name val="Arial"/>
      <family val="2"/>
    </font>
    <font>
      <sz val="10"/>
      <color rgb="FFFF0000"/>
      <name val="Times New Roman"/>
      <family val="1"/>
    </font>
    <font>
      <sz val="10"/>
      <color indexed="8"/>
      <name val="Arial"/>
      <family val="2"/>
    </font>
    <font>
      <sz val="11"/>
      <color rgb="FFFF0000"/>
      <name val="Times New Roman"/>
      <family val="1"/>
    </font>
    <font>
      <sz val="10"/>
      <color indexed="8"/>
      <name val="Arial"/>
      <family val="2"/>
    </font>
    <font>
      <sz val="10"/>
      <color theme="9" tint="-0.499984740745262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81"/>
      <name val="Times New Roman"/>
      <family val="1"/>
    </font>
    <font>
      <b/>
      <sz val="11"/>
      <color indexed="81"/>
      <name val="Tahoma"/>
      <family val="2"/>
    </font>
    <font>
      <b/>
      <sz val="14"/>
      <name val="Times New Roman"/>
      <family val="1"/>
      <charset val="163"/>
    </font>
    <font>
      <b/>
      <sz val="13"/>
      <color rgb="FF7030A0"/>
      <name val="Times New Roman"/>
      <family val="1"/>
    </font>
    <font>
      <sz val="12"/>
      <color indexed="8"/>
      <name val="Arial"/>
      <family val="2"/>
    </font>
    <font>
      <sz val="12"/>
      <color rgb="FF7030A0"/>
      <name val="Times New Roman"/>
      <family val="1"/>
    </font>
    <font>
      <b/>
      <sz val="12"/>
      <name val="Times New Roman"/>
      <family val="1"/>
      <charset val="163"/>
    </font>
    <font>
      <i/>
      <sz val="12"/>
      <name val="Times New Roman"/>
      <family val="1"/>
    </font>
    <font>
      <b/>
      <sz val="14"/>
      <color rgb="FF3C4043"/>
      <name val="Times New Roman"/>
      <family val="1"/>
    </font>
    <font>
      <sz val="12"/>
      <color theme="9" tint="-0.499984740745262"/>
      <name val="Times New Roman"/>
      <family val="1"/>
    </font>
    <font>
      <sz val="10"/>
      <color indexed="8"/>
      <name val="Arial"/>
      <family val="2"/>
    </font>
    <font>
      <sz val="9"/>
      <color rgb="FFFF0000"/>
      <name val="Calibri"/>
      <family val="2"/>
      <scheme val="minor"/>
    </font>
    <font>
      <sz val="12"/>
      <color rgb="FF000000"/>
      <name val="Aptos"/>
      <family val="2"/>
    </font>
    <font>
      <sz val="9"/>
      <color theme="5" tint="-0.249977111117893"/>
      <name val="Times New Roman"/>
      <family val="1"/>
    </font>
    <font>
      <sz val="10"/>
      <color indexed="8"/>
      <name val="Arial"/>
      <family val="2"/>
    </font>
    <font>
      <sz val="10"/>
      <color indexed="8"/>
      <name val="ARIAL"/>
      <charset val="1"/>
    </font>
  </fonts>
  <fills count="5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9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thin">
        <color indexed="12"/>
      </top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/>
      <top style="medium">
        <color indexed="12"/>
      </top>
      <bottom/>
      <diagonal/>
    </border>
    <border>
      <left/>
      <right/>
      <top style="thin">
        <color indexed="12"/>
      </top>
      <bottom style="medium">
        <color indexed="12"/>
      </bottom>
      <diagonal/>
    </border>
    <border>
      <left style="thin">
        <color indexed="12"/>
      </left>
      <right/>
      <top style="thin">
        <color indexed="12"/>
      </top>
      <bottom style="hair">
        <color indexed="12"/>
      </bottom>
      <diagonal/>
    </border>
    <border>
      <left/>
      <right/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/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/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hair">
        <color indexed="12"/>
      </top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 style="hair">
        <color indexed="12"/>
      </bottom>
      <diagonal/>
    </border>
    <border>
      <left/>
      <right/>
      <top style="hair">
        <color indexed="12"/>
      </top>
      <bottom style="thin">
        <color indexed="12"/>
      </bottom>
      <diagonal/>
    </border>
    <border>
      <left/>
      <right/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/>
      <diagonal/>
    </border>
    <border>
      <left style="thin">
        <color indexed="12"/>
      </left>
      <right/>
      <top/>
      <bottom style="hair">
        <color indexed="12"/>
      </bottom>
      <diagonal/>
    </border>
    <border>
      <left/>
      <right style="thin">
        <color indexed="12"/>
      </right>
      <top/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/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thin">
        <color indexed="12"/>
      </top>
      <bottom style="hair">
        <color indexed="39"/>
      </bottom>
      <diagonal/>
    </border>
    <border>
      <left style="thin">
        <color indexed="12"/>
      </left>
      <right/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/>
      <top/>
      <bottom style="thin">
        <color indexed="12"/>
      </bottom>
      <diagonal/>
    </border>
    <border>
      <left style="thin">
        <color indexed="39"/>
      </left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/>
      <right/>
      <top/>
      <bottom style="hair">
        <color indexed="12"/>
      </bottom>
      <diagonal/>
    </border>
    <border>
      <left style="medium">
        <color indexed="12"/>
      </left>
      <right/>
      <top/>
      <bottom/>
      <diagonal/>
    </border>
    <border>
      <left style="medium">
        <color indexed="12"/>
      </left>
      <right style="thin">
        <color indexed="12"/>
      </right>
      <top style="thin">
        <color indexed="12"/>
      </top>
      <bottom/>
      <diagonal/>
    </border>
    <border>
      <left style="medium">
        <color indexed="12"/>
      </left>
      <right style="thin">
        <color indexed="12"/>
      </right>
      <top/>
      <bottom style="thin">
        <color indexed="12"/>
      </bottom>
      <diagonal/>
    </border>
    <border>
      <left style="medium">
        <color indexed="12"/>
      </left>
      <right/>
      <top/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/>
      <diagonal/>
    </border>
    <border>
      <left style="thin">
        <color indexed="39"/>
      </left>
      <right style="thin">
        <color indexed="12"/>
      </right>
      <top style="hair">
        <color indexed="39"/>
      </top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thin">
        <color indexed="39"/>
      </top>
      <bottom style="hair">
        <color indexed="12"/>
      </bottom>
      <diagonal/>
    </border>
    <border>
      <left/>
      <right style="thin">
        <color indexed="12"/>
      </right>
      <top style="hair">
        <color indexed="39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/>
      <right style="thin">
        <color indexed="64"/>
      </right>
      <top/>
      <bottom style="hair">
        <color indexed="12"/>
      </bottom>
      <diagonal/>
    </border>
    <border>
      <left/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thin">
        <color indexed="39"/>
      </left>
      <right style="thin">
        <color indexed="12"/>
      </right>
      <top style="thin">
        <color indexed="39"/>
      </top>
      <bottom style="thin">
        <color indexed="39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medium">
        <color indexed="12"/>
      </bottom>
      <diagonal/>
    </border>
    <border>
      <left style="thin">
        <color indexed="12"/>
      </left>
      <right style="thin">
        <color indexed="39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12"/>
      </right>
      <top style="hair">
        <color indexed="39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/>
      <top/>
      <bottom/>
      <diagonal/>
    </border>
    <border>
      <left style="thin">
        <color indexed="39"/>
      </left>
      <right style="thin">
        <color indexed="39"/>
      </right>
      <top/>
      <bottom style="hair">
        <color indexed="39"/>
      </bottom>
      <diagonal/>
    </border>
    <border>
      <left style="medium">
        <color indexed="12"/>
      </left>
      <right style="thin">
        <color indexed="12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64"/>
      </bottom>
      <diagonal/>
    </border>
    <border>
      <left style="thin">
        <color indexed="12"/>
      </left>
      <right style="thin">
        <color indexed="39"/>
      </right>
      <top/>
      <bottom style="hair">
        <color indexed="12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12"/>
      </left>
      <right/>
      <top style="thin">
        <color indexed="12"/>
      </top>
      <bottom/>
      <diagonal/>
    </border>
    <border>
      <left style="thin">
        <color indexed="39"/>
      </left>
      <right/>
      <top style="thin">
        <color indexed="39"/>
      </top>
      <bottom style="thin">
        <color indexed="39"/>
      </bottom>
      <diagonal/>
    </border>
    <border>
      <left/>
      <right style="thin">
        <color indexed="12"/>
      </right>
      <top style="medium">
        <color indexed="12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/>
      <diagonal/>
    </border>
    <border>
      <left style="medium">
        <color indexed="12"/>
      </left>
      <right style="medium">
        <color indexed="12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medium">
        <color indexed="12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/>
      <diagonal/>
    </border>
    <border>
      <left style="medium">
        <color indexed="12"/>
      </left>
      <right/>
      <top style="medium">
        <color indexed="12"/>
      </top>
      <bottom/>
      <diagonal/>
    </border>
    <border>
      <left style="thin">
        <color indexed="12"/>
      </left>
      <right/>
      <top/>
      <bottom style="thin">
        <color indexed="64"/>
      </bottom>
      <diagonal/>
    </border>
    <border>
      <left style="medium">
        <color indexed="12"/>
      </left>
      <right/>
      <top style="thin">
        <color indexed="12"/>
      </top>
      <bottom style="medium">
        <color indexed="12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 style="thin">
        <color indexed="12"/>
      </bottom>
      <diagonal/>
    </border>
    <border>
      <left style="thin">
        <color indexed="39"/>
      </left>
      <right/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39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39"/>
      </left>
      <right style="thin">
        <color indexed="12"/>
      </right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hair">
        <color indexed="12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/>
      <diagonal/>
    </border>
    <border>
      <left style="thin">
        <color indexed="39"/>
      </left>
      <right style="thin">
        <color auto="1"/>
      </right>
      <top style="hair">
        <color indexed="39"/>
      </top>
      <bottom style="hair">
        <color indexed="39"/>
      </bottom>
      <diagonal/>
    </border>
    <border>
      <left style="thin">
        <color indexed="39"/>
      </left>
      <right style="thin">
        <color auto="1"/>
      </right>
      <top/>
      <bottom/>
      <diagonal/>
    </border>
    <border>
      <left style="thin">
        <color indexed="39"/>
      </left>
      <right style="thin">
        <color auto="1"/>
      </right>
      <top/>
      <bottom style="hair">
        <color indexed="39"/>
      </bottom>
      <diagonal/>
    </border>
    <border>
      <left style="thin">
        <color indexed="39"/>
      </left>
      <right style="thin">
        <color auto="1"/>
      </right>
      <top style="thin">
        <color indexed="39"/>
      </top>
      <bottom style="thin">
        <color indexed="39"/>
      </bottom>
      <diagonal/>
    </border>
    <border>
      <left style="thin">
        <color indexed="39"/>
      </left>
      <right style="thin">
        <color auto="1"/>
      </right>
      <top style="thin">
        <color indexed="12"/>
      </top>
      <bottom style="hair">
        <color indexed="39"/>
      </bottom>
      <diagonal/>
    </border>
    <border>
      <left style="thin">
        <color indexed="39"/>
      </left>
      <right style="thin">
        <color auto="1"/>
      </right>
      <top style="hair">
        <color indexed="39"/>
      </top>
      <bottom/>
      <diagonal/>
    </border>
    <border>
      <left style="thin">
        <color indexed="12"/>
      </left>
      <right style="thin">
        <color auto="1"/>
      </right>
      <top style="thin">
        <color indexed="39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/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/>
      <diagonal/>
    </border>
    <border>
      <left style="thin">
        <color indexed="12"/>
      </left>
      <right style="thin">
        <color auto="1"/>
      </right>
      <top style="thin">
        <color indexed="12"/>
      </top>
      <bottom/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thin">
        <color indexed="12"/>
      </bottom>
      <diagonal/>
    </border>
    <border>
      <left/>
      <right style="thin">
        <color auto="1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 style="thin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auto="1"/>
      </right>
      <top style="medium">
        <color indexed="12"/>
      </top>
      <bottom style="medium">
        <color indexed="12"/>
      </bottom>
      <diagonal/>
    </border>
    <border>
      <left/>
      <right style="thin">
        <color auto="1"/>
      </right>
      <top style="hair">
        <color indexed="12"/>
      </top>
      <bottom/>
      <diagonal/>
    </border>
    <border>
      <left/>
      <right style="thin">
        <color auto="1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/>
      <right/>
      <top style="hair">
        <color indexed="39"/>
      </top>
      <bottom/>
      <diagonal/>
    </border>
    <border>
      <left style="thin">
        <color indexed="12"/>
      </left>
      <right style="thin">
        <color indexed="64"/>
      </right>
      <top style="hair">
        <color indexed="39"/>
      </top>
      <bottom style="hair">
        <color indexed="12"/>
      </bottom>
      <diagonal/>
    </border>
    <border>
      <left style="thin">
        <color auto="1"/>
      </left>
      <right/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dotted">
        <color rgb="FF7030A0"/>
      </bottom>
      <diagonal/>
    </border>
    <border>
      <left style="medium">
        <color rgb="FF7030A0"/>
      </left>
      <right style="medium">
        <color rgb="FF7030A0"/>
      </right>
      <top style="dotted">
        <color rgb="FF7030A0"/>
      </top>
      <bottom style="medium">
        <color rgb="FF7030A0"/>
      </bottom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thin">
        <color indexed="12"/>
      </bottom>
      <diagonal/>
    </border>
    <border>
      <left/>
      <right style="thin">
        <color indexed="64"/>
      </right>
      <top style="hair">
        <color indexed="39"/>
      </top>
      <bottom/>
      <diagonal/>
    </border>
    <border>
      <left/>
      <right/>
      <top style="thin">
        <color indexed="12"/>
      </top>
      <bottom style="hair">
        <color indexed="12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/>
      <right style="thin">
        <color indexed="64"/>
      </right>
      <top style="hair">
        <color indexed="12"/>
      </top>
      <bottom/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 style="thin">
        <color indexed="12"/>
      </top>
      <bottom style="thin">
        <color indexed="64"/>
      </bottom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thin">
        <color indexed="39"/>
      </left>
      <right style="thin">
        <color indexed="12"/>
      </right>
      <top style="hair">
        <color indexed="39"/>
      </top>
      <bottom/>
      <diagonal/>
    </border>
    <border>
      <left style="thin">
        <color indexed="12"/>
      </left>
      <right style="thin">
        <color indexed="12"/>
      </right>
      <top style="hair">
        <color indexed="39"/>
      </top>
      <bottom/>
      <diagonal/>
    </border>
    <border>
      <left style="thin">
        <color indexed="39"/>
      </left>
      <right style="thin">
        <color auto="1"/>
      </right>
      <top style="thin">
        <color indexed="12"/>
      </top>
      <bottom style="thin">
        <color indexed="39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rgb="FF7030A0"/>
      </left>
      <right style="medium">
        <color rgb="FF7030A0"/>
      </right>
      <top style="dotted">
        <color rgb="FF7030A0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39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12"/>
      </top>
      <bottom style="medium">
        <color indexed="1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/>
      <bottom style="thin">
        <color indexed="64"/>
      </bottom>
      <diagonal/>
    </border>
    <border>
      <left/>
      <right style="thin">
        <color indexed="12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12"/>
      </right>
      <top style="thin">
        <color indexed="64"/>
      </top>
      <bottom/>
      <diagonal/>
    </border>
    <border>
      <left/>
      <right style="thin">
        <color indexed="12"/>
      </right>
      <top style="thin">
        <color indexed="64"/>
      </top>
      <bottom/>
      <diagonal/>
    </border>
    <border>
      <left style="thin">
        <color indexed="12"/>
      </left>
      <right style="thin">
        <color indexed="12"/>
      </right>
      <top style="thin">
        <color indexed="64"/>
      </top>
      <bottom/>
      <diagonal/>
    </border>
    <border>
      <left style="thin">
        <color indexed="12"/>
      </left>
      <right/>
      <top style="thin">
        <color indexed="64"/>
      </top>
      <bottom/>
      <diagonal/>
    </border>
    <border>
      <left style="thin">
        <color indexed="12"/>
      </left>
      <right/>
      <top style="thin">
        <color indexed="64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64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12"/>
      </right>
      <top/>
      <bottom style="thin">
        <color indexed="64"/>
      </bottom>
      <diagonal/>
    </border>
    <border>
      <left style="thin">
        <color indexed="12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12"/>
      </left>
      <right style="thin">
        <color indexed="39"/>
      </right>
      <top/>
      <bottom/>
      <diagonal/>
    </border>
    <border>
      <left style="thin">
        <color indexed="12"/>
      </left>
      <right style="thin">
        <color indexed="39"/>
      </right>
      <top style="hair">
        <color indexed="1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12"/>
      </right>
      <top/>
      <bottom style="hair">
        <color indexed="39"/>
      </bottom>
      <diagonal/>
    </border>
    <border>
      <left style="thin">
        <color indexed="12"/>
      </left>
      <right style="thin">
        <color indexed="12"/>
      </right>
      <top/>
      <bottom style="hair">
        <color indexed="39"/>
      </bottom>
      <diagonal/>
    </border>
    <border>
      <left/>
      <right style="thin">
        <color indexed="64"/>
      </right>
      <top/>
      <bottom style="hair">
        <color indexed="39"/>
      </bottom>
      <diagonal/>
    </border>
    <border>
      <left style="thin">
        <color indexed="12"/>
      </left>
      <right style="thin">
        <color indexed="64"/>
      </right>
      <top style="thin">
        <color indexed="39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hair">
        <color indexed="39"/>
      </top>
      <bottom style="thin">
        <color indexed="12"/>
      </bottom>
      <diagonal/>
    </border>
    <border>
      <left/>
      <right style="thin">
        <color indexed="64"/>
      </right>
      <top style="hair">
        <color indexed="39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39"/>
      </left>
      <right/>
      <top style="thin">
        <color indexed="12"/>
      </top>
      <bottom style="thin">
        <color indexed="12"/>
      </bottom>
      <diagonal/>
    </border>
    <border>
      <left/>
      <right style="thin">
        <color auto="1"/>
      </right>
      <top style="thin">
        <color indexed="12"/>
      </top>
      <bottom style="thin">
        <color indexed="12"/>
      </bottom>
      <diagonal/>
    </border>
    <border>
      <left style="thin">
        <color indexed="39"/>
      </left>
      <right style="thin">
        <color indexed="12"/>
      </right>
      <top style="hair">
        <color indexed="39"/>
      </top>
      <bottom style="hair">
        <color indexed="39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 style="thin">
        <color indexed="39"/>
      </left>
      <right/>
      <top style="hair">
        <color indexed="39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hair">
        <color indexed="39"/>
      </bottom>
      <diagonal/>
    </border>
    <border>
      <left style="thin">
        <color indexed="39"/>
      </left>
      <right/>
      <top style="hair">
        <color indexed="39"/>
      </top>
      <bottom style="hair">
        <color indexed="12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39"/>
      </left>
      <right style="thin">
        <color auto="1"/>
      </right>
      <top style="thin">
        <color indexed="12"/>
      </top>
      <bottom style="thin">
        <color indexed="12"/>
      </bottom>
      <diagonal/>
    </border>
    <border>
      <left style="medium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auto="1"/>
      </left>
      <right/>
      <top/>
      <bottom/>
      <diagonal/>
    </border>
  </borders>
  <cellStyleXfs count="45">
    <xf numFmtId="0" fontId="0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8" borderId="0" applyNumberFormat="0" applyBorder="0" applyAlignment="0" applyProtection="0"/>
    <xf numFmtId="0" fontId="24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9" borderId="0" applyNumberFormat="0" applyBorder="0" applyAlignment="0" applyProtection="0"/>
    <xf numFmtId="0" fontId="12" fillId="3" borderId="0" applyNumberFormat="0" applyBorder="0" applyAlignment="0" applyProtection="0"/>
    <xf numFmtId="0" fontId="16" fillId="20" borderId="1" applyNumberFormat="0" applyAlignment="0" applyProtection="0"/>
    <xf numFmtId="43" fontId="2" fillId="0" borderId="0" applyFont="0" applyFill="0" applyBorder="0" applyAlignment="0" applyProtection="0"/>
    <xf numFmtId="0" fontId="18" fillId="21" borderId="2" applyNumberFormat="0" applyAlignment="0" applyProtection="0"/>
    <xf numFmtId="0" fontId="21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0" borderId="6" applyNumberFormat="0" applyFill="0" applyAlignment="0" applyProtection="0"/>
    <xf numFmtId="0" fontId="13" fillId="22" borderId="0" applyNumberFormat="0" applyBorder="0" applyAlignment="0" applyProtection="0"/>
    <xf numFmtId="0" fontId="114" fillId="0" borderId="0"/>
    <xf numFmtId="0" fontId="20" fillId="23" borderId="7" applyNumberFormat="0" applyFont="0" applyAlignment="0" applyProtection="0"/>
    <xf numFmtId="0" fontId="15" fillId="20" borderId="8" applyNumberFormat="0" applyAlignment="0" applyProtection="0"/>
    <xf numFmtId="0" fontId="7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19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2348">
    <xf numFmtId="0" fontId="0" fillId="0" borderId="0" xfId="0"/>
    <xf numFmtId="0" fontId="30" fillId="24" borderId="0" xfId="0" applyFont="1" applyFill="1" applyAlignment="1">
      <alignment vertical="center"/>
    </xf>
    <xf numFmtId="0" fontId="29" fillId="24" borderId="0" xfId="0" applyFont="1" applyFill="1" applyAlignment="1">
      <alignment vertical="center"/>
    </xf>
    <xf numFmtId="0" fontId="31" fillId="24" borderId="0" xfId="0" applyFont="1" applyFill="1" applyAlignment="1">
      <alignment vertical="center"/>
    </xf>
    <xf numFmtId="0" fontId="29" fillId="24" borderId="0" xfId="0" applyFont="1" applyFill="1" applyAlignment="1">
      <alignment horizontal="right" vertical="center"/>
    </xf>
    <xf numFmtId="0" fontId="34" fillId="24" borderId="0" xfId="0" applyFont="1" applyFill="1" applyAlignment="1">
      <alignment vertical="center"/>
    </xf>
    <xf numFmtId="0" fontId="39" fillId="24" borderId="0" xfId="0" applyFont="1" applyFill="1" applyAlignment="1">
      <alignment vertical="center"/>
    </xf>
    <xf numFmtId="0" fontId="38" fillId="24" borderId="0" xfId="0" applyFont="1" applyFill="1" applyAlignment="1">
      <alignment vertical="center"/>
    </xf>
    <xf numFmtId="3" fontId="39" fillId="24" borderId="0" xfId="0" applyNumberFormat="1" applyFont="1" applyFill="1" applyAlignment="1">
      <alignment vertical="center"/>
    </xf>
    <xf numFmtId="0" fontId="39" fillId="24" borderId="0" xfId="0" applyFont="1" applyFill="1" applyAlignment="1">
      <alignment horizontal="right" vertical="center"/>
    </xf>
    <xf numFmtId="0" fontId="39" fillId="24" borderId="18" xfId="0" applyFont="1" applyFill="1" applyBorder="1" applyAlignment="1">
      <alignment vertical="center"/>
    </xf>
    <xf numFmtId="4" fontId="39" fillId="24" borderId="26" xfId="0" applyNumberFormat="1" applyFont="1" applyFill="1" applyBorder="1" applyAlignment="1">
      <alignment vertical="center" wrapText="1"/>
    </xf>
    <xf numFmtId="4" fontId="39" fillId="24" borderId="31" xfId="0" applyNumberFormat="1" applyFont="1" applyFill="1" applyBorder="1" applyAlignment="1">
      <alignment vertical="center" wrapText="1"/>
    </xf>
    <xf numFmtId="0" fontId="29" fillId="24" borderId="0" xfId="0" applyFont="1" applyFill="1" applyAlignment="1">
      <alignment horizontal="center" vertical="center"/>
    </xf>
    <xf numFmtId="0" fontId="39" fillId="24" borderId="0" xfId="0" applyFont="1" applyFill="1" applyAlignment="1">
      <alignment horizontal="center" vertical="center"/>
    </xf>
    <xf numFmtId="0" fontId="38" fillId="24" borderId="0" xfId="0" applyFont="1" applyFill="1" applyAlignment="1">
      <alignment horizontal="right" vertical="center"/>
    </xf>
    <xf numFmtId="0" fontId="38" fillId="24" borderId="0" xfId="0" applyFont="1" applyFill="1" applyAlignment="1">
      <alignment horizontal="left" vertical="center"/>
    </xf>
    <xf numFmtId="3" fontId="38" fillId="24" borderId="26" xfId="0" applyNumberFormat="1" applyFont="1" applyFill="1" applyBorder="1" applyAlignment="1">
      <alignment horizontal="center" vertical="center"/>
    </xf>
    <xf numFmtId="3" fontId="29" fillId="24" borderId="31" xfId="0" applyNumberFormat="1" applyFont="1" applyFill="1" applyBorder="1" applyAlignment="1">
      <alignment vertical="center" wrapText="1"/>
    </xf>
    <xf numFmtId="16" fontId="38" fillId="24" borderId="39" xfId="0" applyNumberFormat="1" applyFont="1" applyFill="1" applyBorder="1" applyAlignment="1">
      <alignment horizontal="right" vertical="center"/>
    </xf>
    <xf numFmtId="3" fontId="43" fillId="24" borderId="29" xfId="0" applyNumberFormat="1" applyFont="1" applyFill="1" applyBorder="1" applyAlignment="1">
      <alignment horizontal="right" vertical="center"/>
    </xf>
    <xf numFmtId="4" fontId="28" fillId="24" borderId="26" xfId="0" applyNumberFormat="1" applyFont="1" applyFill="1" applyBorder="1" applyAlignment="1">
      <alignment horizontal="right" vertical="center"/>
    </xf>
    <xf numFmtId="3" fontId="43" fillId="24" borderId="32" xfId="0" applyNumberFormat="1" applyFont="1" applyFill="1" applyBorder="1" applyAlignment="1">
      <alignment horizontal="right" vertical="center"/>
    </xf>
    <xf numFmtId="3" fontId="43" fillId="24" borderId="31" xfId="0" applyNumberFormat="1" applyFont="1" applyFill="1" applyBorder="1" applyAlignment="1">
      <alignment horizontal="right" vertical="center"/>
    </xf>
    <xf numFmtId="3" fontId="43" fillId="24" borderId="25" xfId="0" applyNumberFormat="1" applyFont="1" applyFill="1" applyBorder="1" applyAlignment="1">
      <alignment horizontal="right" vertical="center"/>
    </xf>
    <xf numFmtId="4" fontId="28" fillId="24" borderId="25" xfId="0" applyNumberFormat="1" applyFont="1" applyFill="1" applyBorder="1" applyAlignment="1">
      <alignment horizontal="right" vertical="center"/>
    </xf>
    <xf numFmtId="0" fontId="38" fillId="24" borderId="43" xfId="0" applyFont="1" applyFill="1" applyBorder="1" applyAlignment="1">
      <alignment horizontal="left" vertical="center"/>
    </xf>
    <xf numFmtId="0" fontId="39" fillId="24" borderId="0" xfId="0" applyFont="1" applyFill="1" applyAlignment="1">
      <alignment horizontal="left" vertical="center"/>
    </xf>
    <xf numFmtId="3" fontId="54" fillId="24" borderId="25" xfId="0" applyNumberFormat="1" applyFont="1" applyFill="1" applyBorder="1" applyAlignment="1">
      <alignment vertical="center" wrapText="1"/>
    </xf>
    <xf numFmtId="0" fontId="36" fillId="24" borderId="43" xfId="0" applyFont="1" applyFill="1" applyBorder="1" applyAlignment="1">
      <alignment horizontal="left" vertical="center"/>
    </xf>
    <xf numFmtId="3" fontId="54" fillId="24" borderId="33" xfId="0" applyNumberFormat="1" applyFont="1" applyFill="1" applyBorder="1" applyAlignment="1">
      <alignment vertical="center" wrapText="1"/>
    </xf>
    <xf numFmtId="3" fontId="55" fillId="24" borderId="42" xfId="0" applyNumberFormat="1" applyFont="1" applyFill="1" applyBorder="1" applyAlignment="1">
      <alignment horizontal="right" vertical="center"/>
    </xf>
    <xf numFmtId="4" fontId="28" fillId="24" borderId="46" xfId="0" applyNumberFormat="1" applyFont="1" applyFill="1" applyBorder="1" applyAlignment="1">
      <alignment horizontal="right" vertical="center"/>
    </xf>
    <xf numFmtId="0" fontId="36" fillId="24" borderId="41" xfId="0" applyFont="1" applyFill="1" applyBorder="1" applyAlignment="1">
      <alignment horizontal="left" vertical="center"/>
    </xf>
    <xf numFmtId="16" fontId="36" fillId="24" borderId="38" xfId="0" applyNumberFormat="1" applyFont="1" applyFill="1" applyBorder="1" applyAlignment="1">
      <alignment horizontal="right" vertical="center"/>
    </xf>
    <xf numFmtId="3" fontId="55" fillId="24" borderId="25" xfId="0" applyNumberFormat="1" applyFont="1" applyFill="1" applyBorder="1" applyAlignment="1">
      <alignment horizontal="right" vertical="center"/>
    </xf>
    <xf numFmtId="3" fontId="54" fillId="24" borderId="31" xfId="0" applyNumberFormat="1" applyFont="1" applyFill="1" applyBorder="1" applyAlignment="1">
      <alignment vertical="center" wrapText="1"/>
    </xf>
    <xf numFmtId="4" fontId="54" fillId="24" borderId="25" xfId="0" applyNumberFormat="1" applyFont="1" applyFill="1" applyBorder="1" applyAlignment="1">
      <alignment vertical="center" wrapText="1"/>
    </xf>
    <xf numFmtId="3" fontId="54" fillId="24" borderId="44" xfId="0" applyNumberFormat="1" applyFont="1" applyFill="1" applyBorder="1" applyAlignment="1">
      <alignment horizontal="center" vertical="center"/>
    </xf>
    <xf numFmtId="3" fontId="54" fillId="24" borderId="25" xfId="0" applyNumberFormat="1" applyFont="1" applyFill="1" applyBorder="1" applyAlignment="1">
      <alignment horizontal="center" vertical="center"/>
    </xf>
    <xf numFmtId="3" fontId="55" fillId="24" borderId="31" xfId="0" applyNumberFormat="1" applyFont="1" applyFill="1" applyBorder="1" applyAlignment="1">
      <alignment horizontal="right" vertical="center"/>
    </xf>
    <xf numFmtId="3" fontId="54" fillId="24" borderId="38" xfId="0" applyNumberFormat="1" applyFont="1" applyFill="1" applyBorder="1" applyAlignment="1">
      <alignment horizontal="center" vertical="center"/>
    </xf>
    <xf numFmtId="3" fontId="54" fillId="24" borderId="31" xfId="0" applyNumberFormat="1" applyFont="1" applyFill="1" applyBorder="1" applyAlignment="1">
      <alignment horizontal="center" vertical="center"/>
    </xf>
    <xf numFmtId="3" fontId="55" fillId="24" borderId="25" xfId="0" applyNumberFormat="1" applyFont="1" applyFill="1" applyBorder="1" applyAlignment="1">
      <alignment horizontal="center" vertical="center" wrapText="1"/>
    </xf>
    <xf numFmtId="3" fontId="28" fillId="24" borderId="32" xfId="0" applyNumberFormat="1" applyFont="1" applyFill="1" applyBorder="1" applyAlignment="1">
      <alignment horizontal="right" vertical="center"/>
    </xf>
    <xf numFmtId="3" fontId="28" fillId="24" borderId="31" xfId="0" applyNumberFormat="1" applyFont="1" applyFill="1" applyBorder="1" applyAlignment="1">
      <alignment horizontal="right" vertical="center"/>
    </xf>
    <xf numFmtId="3" fontId="28" fillId="24" borderId="46" xfId="0" applyNumberFormat="1" applyFont="1" applyFill="1" applyBorder="1" applyAlignment="1">
      <alignment horizontal="right" vertical="center"/>
    </xf>
    <xf numFmtId="3" fontId="28" fillId="24" borderId="25" xfId="0" applyNumberFormat="1" applyFont="1" applyFill="1" applyBorder="1" applyAlignment="1">
      <alignment horizontal="right" vertical="center"/>
    </xf>
    <xf numFmtId="3" fontId="28" fillId="24" borderId="26" xfId="0" applyNumberFormat="1" applyFont="1" applyFill="1" applyBorder="1" applyAlignment="1">
      <alignment horizontal="right" vertical="center"/>
    </xf>
    <xf numFmtId="3" fontId="28" fillId="24" borderId="42" xfId="0" applyNumberFormat="1" applyFont="1" applyFill="1" applyBorder="1" applyAlignment="1">
      <alignment horizontal="right" vertical="center"/>
    </xf>
    <xf numFmtId="3" fontId="28" fillId="24" borderId="24" xfId="0" applyNumberFormat="1" applyFont="1" applyFill="1" applyBorder="1" applyAlignment="1">
      <alignment horizontal="right" vertical="center"/>
    </xf>
    <xf numFmtId="3" fontId="28" fillId="24" borderId="29" xfId="0" applyNumberFormat="1" applyFont="1" applyFill="1" applyBorder="1" applyAlignment="1">
      <alignment horizontal="right" vertical="center"/>
    </xf>
    <xf numFmtId="0" fontId="31" fillId="24" borderId="0" xfId="0" applyFont="1" applyFill="1" applyAlignment="1">
      <alignment horizontal="center" vertical="center"/>
    </xf>
    <xf numFmtId="3" fontId="55" fillId="24" borderId="32" xfId="0" applyNumberFormat="1" applyFont="1" applyFill="1" applyBorder="1" applyAlignment="1">
      <alignment horizontal="right" vertical="center"/>
    </xf>
    <xf numFmtId="3" fontId="36" fillId="24" borderId="26" xfId="0" applyNumberFormat="1" applyFont="1" applyFill="1" applyBorder="1" applyAlignment="1">
      <alignment horizontal="center" vertical="center"/>
    </xf>
    <xf numFmtId="3" fontId="54" fillId="24" borderId="41" xfId="0" applyNumberFormat="1" applyFont="1" applyFill="1" applyBorder="1" applyAlignment="1">
      <alignment vertical="center" wrapText="1"/>
    </xf>
    <xf numFmtId="4" fontId="54" fillId="24" borderId="31" xfId="0" applyNumberFormat="1" applyFont="1" applyFill="1" applyBorder="1" applyAlignment="1">
      <alignment vertical="center" wrapText="1"/>
    </xf>
    <xf numFmtId="0" fontId="59" fillId="24" borderId="0" xfId="0" applyFont="1" applyFill="1" applyAlignment="1">
      <alignment horizontal="center" vertical="center"/>
    </xf>
    <xf numFmtId="4" fontId="54" fillId="24" borderId="26" xfId="0" applyNumberFormat="1" applyFont="1" applyFill="1" applyBorder="1" applyAlignment="1">
      <alignment vertical="center" wrapText="1"/>
    </xf>
    <xf numFmtId="3" fontId="28" fillId="26" borderId="21" xfId="0" applyNumberFormat="1" applyFont="1" applyFill="1" applyBorder="1" applyAlignment="1">
      <alignment horizontal="right" vertical="center"/>
    </xf>
    <xf numFmtId="3" fontId="55" fillId="24" borderId="44" xfId="0" applyNumberFormat="1" applyFont="1" applyFill="1" applyBorder="1" applyAlignment="1">
      <alignment horizontal="center" vertical="center"/>
    </xf>
    <xf numFmtId="0" fontId="55" fillId="24" borderId="47" xfId="0" applyFont="1" applyFill="1" applyBorder="1" applyAlignment="1">
      <alignment horizontal="center" vertical="center"/>
    </xf>
    <xf numFmtId="3" fontId="28" fillId="0" borderId="42" xfId="0" applyNumberFormat="1" applyFont="1" applyBorder="1" applyAlignment="1">
      <alignment horizontal="right" vertical="center"/>
    </xf>
    <xf numFmtId="4" fontId="29" fillId="24" borderId="31" xfId="0" applyNumberFormat="1" applyFont="1" applyFill="1" applyBorder="1" applyAlignment="1">
      <alignment vertical="center" wrapText="1"/>
    </xf>
    <xf numFmtId="4" fontId="29" fillId="24" borderId="26" xfId="0" applyNumberFormat="1" applyFont="1" applyFill="1" applyBorder="1" applyAlignment="1">
      <alignment vertical="center" wrapText="1"/>
    </xf>
    <xf numFmtId="0" fontId="55" fillId="24" borderId="48" xfId="0" applyFont="1" applyFill="1" applyBorder="1" applyAlignment="1">
      <alignment horizontal="center" vertical="center"/>
    </xf>
    <xf numFmtId="3" fontId="43" fillId="24" borderId="24" xfId="0" applyNumberFormat="1" applyFont="1" applyFill="1" applyBorder="1" applyAlignment="1">
      <alignment horizontal="right" vertical="center"/>
    </xf>
    <xf numFmtId="4" fontId="39" fillId="24" borderId="31" xfId="0" applyNumberFormat="1" applyFont="1" applyFill="1" applyBorder="1" applyAlignment="1">
      <alignment horizontal="center" vertical="center" wrapText="1"/>
    </xf>
    <xf numFmtId="4" fontId="29" fillId="24" borderId="26" xfId="0" applyNumberFormat="1" applyFont="1" applyFill="1" applyBorder="1" applyAlignment="1">
      <alignment horizontal="center" vertical="center" wrapText="1"/>
    </xf>
    <xf numFmtId="4" fontId="31" fillId="24" borderId="0" xfId="0" applyNumberFormat="1" applyFont="1" applyFill="1" applyAlignment="1">
      <alignment horizontal="center" vertical="center"/>
    </xf>
    <xf numFmtId="3" fontId="39" fillId="24" borderId="31" xfId="0" applyNumberFormat="1" applyFont="1" applyFill="1" applyBorder="1" applyAlignment="1">
      <alignment horizontal="center" vertical="center"/>
    </xf>
    <xf numFmtId="3" fontId="39" fillId="24" borderId="26" xfId="0" applyNumberFormat="1" applyFont="1" applyFill="1" applyBorder="1" applyAlignment="1">
      <alignment horizontal="center" vertical="center"/>
    </xf>
    <xf numFmtId="3" fontId="39" fillId="24" borderId="39" xfId="0" applyNumberFormat="1" applyFont="1" applyFill="1" applyBorder="1" applyAlignment="1">
      <alignment horizontal="center" vertical="center"/>
    </xf>
    <xf numFmtId="3" fontId="54" fillId="24" borderId="26" xfId="0" applyNumberFormat="1" applyFont="1" applyFill="1" applyBorder="1" applyAlignment="1">
      <alignment horizontal="center" vertical="center"/>
    </xf>
    <xf numFmtId="3" fontId="29" fillId="24" borderId="31" xfId="0" applyNumberFormat="1" applyFont="1" applyFill="1" applyBorder="1" applyAlignment="1">
      <alignment horizontal="center" vertical="center"/>
    </xf>
    <xf numFmtId="3" fontId="29" fillId="24" borderId="26" xfId="0" applyNumberFormat="1" applyFont="1" applyFill="1" applyBorder="1" applyAlignment="1">
      <alignment horizontal="center" vertical="center"/>
    </xf>
    <xf numFmtId="0" fontId="30" fillId="24" borderId="0" xfId="0" applyFont="1" applyFill="1" applyAlignment="1">
      <alignment horizontal="center" vertical="center"/>
    </xf>
    <xf numFmtId="4" fontId="29" fillId="24" borderId="31" xfId="0" applyNumberFormat="1" applyFont="1" applyFill="1" applyBorder="1" applyAlignment="1">
      <alignment horizontal="right" vertical="center" wrapText="1"/>
    </xf>
    <xf numFmtId="4" fontId="29" fillId="24" borderId="29" xfId="0" applyNumberFormat="1" applyFont="1" applyFill="1" applyBorder="1" applyAlignment="1">
      <alignment horizontal="center" vertical="center" wrapText="1"/>
    </xf>
    <xf numFmtId="4" fontId="54" fillId="24" borderId="25" xfId="0" applyNumberFormat="1" applyFont="1" applyFill="1" applyBorder="1" applyAlignment="1">
      <alignment horizontal="right" vertical="center" wrapText="1"/>
    </xf>
    <xf numFmtId="4" fontId="29" fillId="24" borderId="26" xfId="0" applyNumberFormat="1" applyFont="1" applyFill="1" applyBorder="1" applyAlignment="1">
      <alignment horizontal="right" vertical="center" wrapText="1"/>
    </xf>
    <xf numFmtId="4" fontId="54" fillId="24" borderId="26" xfId="0" applyNumberFormat="1" applyFont="1" applyFill="1" applyBorder="1" applyAlignment="1">
      <alignment horizontal="center" vertical="center" wrapText="1"/>
    </xf>
    <xf numFmtId="4" fontId="39" fillId="24" borderId="26" xfId="0" applyNumberFormat="1" applyFont="1" applyFill="1" applyBorder="1" applyAlignment="1">
      <alignment horizontal="right" vertical="center" wrapText="1"/>
    </xf>
    <xf numFmtId="0" fontId="60" fillId="24" borderId="0" xfId="0" applyFont="1" applyFill="1" applyAlignment="1">
      <alignment vertical="center"/>
    </xf>
    <xf numFmtId="3" fontId="55" fillId="24" borderId="31" xfId="0" applyNumberFormat="1" applyFont="1" applyFill="1" applyBorder="1" applyAlignment="1">
      <alignment horizontal="center" vertical="center"/>
    </xf>
    <xf numFmtId="0" fontId="43" fillId="24" borderId="52" xfId="0" applyFont="1" applyFill="1" applyBorder="1" applyAlignment="1">
      <alignment horizontal="center" vertical="center" wrapText="1"/>
    </xf>
    <xf numFmtId="0" fontId="43" fillId="24" borderId="55" xfId="0" applyFont="1" applyFill="1" applyBorder="1" applyAlignment="1">
      <alignment horizontal="center" vertical="center" wrapText="1"/>
    </xf>
    <xf numFmtId="3" fontId="55" fillId="24" borderId="25" xfId="0" applyNumberFormat="1" applyFont="1" applyFill="1" applyBorder="1" applyAlignment="1">
      <alignment horizontal="center" vertical="center"/>
    </xf>
    <xf numFmtId="0" fontId="28" fillId="26" borderId="19" xfId="0" applyFont="1" applyFill="1" applyBorder="1" applyAlignment="1">
      <alignment horizontal="center" vertical="center"/>
    </xf>
    <xf numFmtId="0" fontId="73" fillId="24" borderId="0" xfId="0" applyFont="1" applyFill="1" applyAlignment="1">
      <alignment horizontal="center" vertical="center"/>
    </xf>
    <xf numFmtId="3" fontId="47" fillId="26" borderId="19" xfId="0" applyNumberFormat="1" applyFont="1" applyFill="1" applyBorder="1" applyAlignment="1">
      <alignment horizontal="center" vertical="center"/>
    </xf>
    <xf numFmtId="0" fontId="57" fillId="26" borderId="19" xfId="0" applyFont="1" applyFill="1" applyBorder="1" applyAlignment="1">
      <alignment vertical="center"/>
    </xf>
    <xf numFmtId="3" fontId="5" fillId="26" borderId="21" xfId="0" applyNumberFormat="1" applyFont="1" applyFill="1" applyBorder="1" applyAlignment="1">
      <alignment horizontal="right" vertical="center"/>
    </xf>
    <xf numFmtId="3" fontId="75" fillId="26" borderId="19" xfId="0" applyNumberFormat="1" applyFont="1" applyFill="1" applyBorder="1" applyAlignment="1">
      <alignment vertical="center"/>
    </xf>
    <xf numFmtId="3" fontId="47" fillId="26" borderId="19" xfId="0" applyNumberFormat="1" applyFont="1" applyFill="1" applyBorder="1" applyAlignment="1">
      <alignment vertical="center"/>
    </xf>
    <xf numFmtId="3" fontId="28" fillId="24" borderId="32" xfId="0" applyNumberFormat="1" applyFont="1" applyFill="1" applyBorder="1" applyAlignment="1">
      <alignment horizontal="center" vertical="center"/>
    </xf>
    <xf numFmtId="3" fontId="31" fillId="24" borderId="0" xfId="0" applyNumberFormat="1" applyFont="1" applyFill="1" applyAlignment="1">
      <alignment horizontal="center" vertical="center"/>
    </xf>
    <xf numFmtId="0" fontId="55" fillId="24" borderId="59" xfId="0" applyFont="1" applyFill="1" applyBorder="1" applyAlignment="1">
      <alignment horizontal="center" vertical="center"/>
    </xf>
    <xf numFmtId="3" fontId="56" fillId="24" borderId="25" xfId="0" applyNumberFormat="1" applyFont="1" applyFill="1" applyBorder="1" applyAlignment="1">
      <alignment horizontal="right" vertical="center"/>
    </xf>
    <xf numFmtId="3" fontId="5" fillId="26" borderId="21" xfId="0" applyNumberFormat="1" applyFont="1" applyFill="1" applyBorder="1" applyAlignment="1">
      <alignment horizontal="center" vertical="center"/>
    </xf>
    <xf numFmtId="0" fontId="59" fillId="24" borderId="0" xfId="0" applyFont="1" applyFill="1" applyAlignment="1">
      <alignment vertical="center"/>
    </xf>
    <xf numFmtId="3" fontId="43" fillId="24" borderId="26" xfId="0" applyNumberFormat="1" applyFont="1" applyFill="1" applyBorder="1" applyAlignment="1">
      <alignment horizontal="right" vertical="center"/>
    </xf>
    <xf numFmtId="3" fontId="5" fillId="24" borderId="26" xfId="0" applyNumberFormat="1" applyFont="1" applyFill="1" applyBorder="1" applyAlignment="1">
      <alignment horizontal="right" vertical="center"/>
    </xf>
    <xf numFmtId="3" fontId="5" fillId="24" borderId="26" xfId="0" applyNumberFormat="1" applyFont="1" applyFill="1" applyBorder="1" applyAlignment="1">
      <alignment horizontal="center" vertical="center"/>
    </xf>
    <xf numFmtId="0" fontId="43" fillId="24" borderId="28" xfId="0" applyFont="1" applyFill="1" applyBorder="1" applyAlignment="1">
      <alignment horizontal="center" vertical="center" wrapText="1"/>
    </xf>
    <xf numFmtId="0" fontId="28" fillId="24" borderId="27" xfId="0" applyFont="1" applyFill="1" applyBorder="1" applyAlignment="1">
      <alignment horizontal="center" vertical="center"/>
    </xf>
    <xf numFmtId="0" fontId="55" fillId="24" borderId="39" xfId="0" applyFont="1" applyFill="1" applyBorder="1" applyAlignment="1">
      <alignment horizontal="center" vertical="center"/>
    </xf>
    <xf numFmtId="0" fontId="55" fillId="24" borderId="38" xfId="0" applyFont="1" applyFill="1" applyBorder="1" applyAlignment="1">
      <alignment horizontal="center" vertical="center"/>
    </xf>
    <xf numFmtId="0" fontId="55" fillId="24" borderId="44" xfId="0" applyFont="1" applyFill="1" applyBorder="1" applyAlignment="1">
      <alignment horizontal="center" vertical="center"/>
    </xf>
    <xf numFmtId="0" fontId="55" fillId="24" borderId="37" xfId="0" applyFont="1" applyFill="1" applyBorder="1" applyAlignment="1">
      <alignment horizontal="center" vertical="center"/>
    </xf>
    <xf numFmtId="0" fontId="28" fillId="24" borderId="37" xfId="0" applyFont="1" applyFill="1" applyBorder="1" applyAlignment="1">
      <alignment horizontal="center" vertical="center"/>
    </xf>
    <xf numFmtId="0" fontId="28" fillId="24" borderId="48" xfId="0" applyFont="1" applyFill="1" applyBorder="1" applyAlignment="1">
      <alignment horizontal="center" vertical="center"/>
    </xf>
    <xf numFmtId="0" fontId="55" fillId="24" borderId="0" xfId="0" applyFont="1" applyFill="1" applyAlignment="1">
      <alignment horizontal="center" vertical="center"/>
    </xf>
    <xf numFmtId="0" fontId="55" fillId="24" borderId="62" xfId="0" applyFont="1" applyFill="1" applyBorder="1" applyAlignment="1">
      <alignment horizontal="center" vertical="center"/>
    </xf>
    <xf numFmtId="0" fontId="28" fillId="24" borderId="39" xfId="0" applyFont="1" applyFill="1" applyBorder="1" applyAlignment="1">
      <alignment horizontal="center" vertical="center"/>
    </xf>
    <xf numFmtId="0" fontId="28" fillId="24" borderId="38" xfId="0" applyFont="1" applyFill="1" applyBorder="1" applyAlignment="1">
      <alignment horizontal="center" vertical="top"/>
    </xf>
    <xf numFmtId="0" fontId="43" fillId="24" borderId="48" xfId="0" applyFont="1" applyFill="1" applyBorder="1" applyAlignment="1">
      <alignment horizontal="center" vertical="center"/>
    </xf>
    <xf numFmtId="0" fontId="55" fillId="24" borderId="20" xfId="0" applyFont="1" applyFill="1" applyBorder="1" applyAlignment="1">
      <alignment horizontal="center" vertical="center"/>
    </xf>
    <xf numFmtId="169" fontId="55" fillId="24" borderId="62" xfId="0" applyNumberFormat="1" applyFont="1" applyFill="1" applyBorder="1" applyAlignment="1">
      <alignment horizontal="center" vertical="center"/>
    </xf>
    <xf numFmtId="0" fontId="55" fillId="24" borderId="44" xfId="0" applyFont="1" applyFill="1" applyBorder="1" applyAlignment="1">
      <alignment horizontal="center" vertical="center" wrapText="1"/>
    </xf>
    <xf numFmtId="0" fontId="43" fillId="24" borderId="39" xfId="0" applyFont="1" applyFill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43" fillId="24" borderId="38" xfId="0" applyFont="1" applyFill="1" applyBorder="1" applyAlignment="1">
      <alignment horizontal="center" vertical="center"/>
    </xf>
    <xf numFmtId="0" fontId="55" fillId="24" borderId="38" xfId="0" applyFont="1" applyFill="1" applyBorder="1" applyAlignment="1">
      <alignment horizontal="center" vertical="center" wrapText="1"/>
    </xf>
    <xf numFmtId="0" fontId="43" fillId="24" borderId="0" xfId="0" applyFont="1" applyFill="1" applyAlignment="1">
      <alignment horizontal="center" vertical="center" wrapText="1"/>
    </xf>
    <xf numFmtId="3" fontId="43" fillId="26" borderId="19" xfId="0" applyNumberFormat="1" applyFont="1" applyFill="1" applyBorder="1" applyAlignment="1">
      <alignment horizontal="center" vertical="center"/>
    </xf>
    <xf numFmtId="0" fontId="55" fillId="24" borderId="47" xfId="0" applyFont="1" applyFill="1" applyBorder="1" applyAlignment="1">
      <alignment horizontal="center" vertical="center" wrapText="1"/>
    </xf>
    <xf numFmtId="0" fontId="28" fillId="24" borderId="26" xfId="0" applyFont="1" applyFill="1" applyBorder="1" applyAlignment="1">
      <alignment horizontal="center" vertical="center"/>
    </xf>
    <xf numFmtId="0" fontId="55" fillId="24" borderId="40" xfId="0" applyFont="1" applyFill="1" applyBorder="1" applyAlignment="1">
      <alignment horizontal="center" vertical="center"/>
    </xf>
    <xf numFmtId="0" fontId="28" fillId="24" borderId="31" xfId="0" applyFont="1" applyFill="1" applyBorder="1" applyAlignment="1">
      <alignment horizontal="center" vertical="center"/>
    </xf>
    <xf numFmtId="4" fontId="39" fillId="24" borderId="31" xfId="0" applyNumberFormat="1" applyFont="1" applyFill="1" applyBorder="1" applyAlignment="1">
      <alignment horizontal="right" vertical="center" wrapText="1"/>
    </xf>
    <xf numFmtId="0" fontId="55" fillId="24" borderId="43" xfId="0" applyFont="1" applyFill="1" applyBorder="1" applyAlignment="1">
      <alignment horizontal="center" vertical="center"/>
    </xf>
    <xf numFmtId="0" fontId="55" fillId="24" borderId="26" xfId="0" applyFont="1" applyFill="1" applyBorder="1" applyAlignment="1">
      <alignment horizontal="center" vertical="center"/>
    </xf>
    <xf numFmtId="3" fontId="28" fillId="26" borderId="21" xfId="0" applyNumberFormat="1" applyFont="1" applyFill="1" applyBorder="1" applyAlignment="1">
      <alignment horizontal="center" vertical="center" wrapText="1"/>
    </xf>
    <xf numFmtId="3" fontId="48" fillId="24" borderId="25" xfId="0" applyNumberFormat="1" applyFont="1" applyFill="1" applyBorder="1" applyAlignment="1">
      <alignment horizontal="center" vertical="center"/>
    </xf>
    <xf numFmtId="0" fontId="55" fillId="24" borderId="31" xfId="0" applyFont="1" applyFill="1" applyBorder="1" applyAlignment="1">
      <alignment horizontal="center" vertical="center"/>
    </xf>
    <xf numFmtId="3" fontId="48" fillId="24" borderId="25" xfId="0" applyNumberFormat="1" applyFont="1" applyFill="1" applyBorder="1" applyAlignment="1">
      <alignment horizontal="right" vertical="center"/>
    </xf>
    <xf numFmtId="3" fontId="55" fillId="24" borderId="24" xfId="0" applyNumberFormat="1" applyFont="1" applyFill="1" applyBorder="1" applyAlignment="1">
      <alignment horizontal="right" vertical="center"/>
    </xf>
    <xf numFmtId="0" fontId="55" fillId="24" borderId="25" xfId="0" applyFont="1" applyFill="1" applyBorder="1" applyAlignment="1">
      <alignment horizontal="center" vertical="center"/>
    </xf>
    <xf numFmtId="0" fontId="28" fillId="24" borderId="46" xfId="0" applyFont="1" applyFill="1" applyBorder="1" applyAlignment="1">
      <alignment horizontal="center" vertical="center"/>
    </xf>
    <xf numFmtId="4" fontId="54" fillId="24" borderId="31" xfId="0" applyNumberFormat="1" applyFont="1" applyFill="1" applyBorder="1" applyAlignment="1">
      <alignment horizontal="right" vertical="center" wrapText="1"/>
    </xf>
    <xf numFmtId="3" fontId="38" fillId="24" borderId="0" xfId="0" applyNumberFormat="1" applyFont="1" applyFill="1" applyAlignment="1">
      <alignment horizontal="center" vertical="center"/>
    </xf>
    <xf numFmtId="3" fontId="75" fillId="26" borderId="23" xfId="0" applyNumberFormat="1" applyFont="1" applyFill="1" applyBorder="1" applyAlignment="1">
      <alignment vertical="center"/>
    </xf>
    <xf numFmtId="0" fontId="43" fillId="24" borderId="26" xfId="0" applyFont="1" applyFill="1" applyBorder="1" applyAlignment="1">
      <alignment horizontal="center" vertical="center"/>
    </xf>
    <xf numFmtId="0" fontId="55" fillId="24" borderId="25" xfId="0" applyFont="1" applyFill="1" applyBorder="1" applyAlignment="1">
      <alignment horizontal="center" vertical="center" wrapText="1"/>
    </xf>
    <xf numFmtId="3" fontId="29" fillId="24" borderId="25" xfId="0" applyNumberFormat="1" applyFont="1" applyFill="1" applyBorder="1" applyAlignment="1">
      <alignment horizontal="right" vertical="center"/>
    </xf>
    <xf numFmtId="3" fontId="55" fillId="24" borderId="46" xfId="0" applyNumberFormat="1" applyFont="1" applyFill="1" applyBorder="1" applyAlignment="1">
      <alignment horizontal="right" vertical="center"/>
    </xf>
    <xf numFmtId="3" fontId="43" fillId="24" borderId="46" xfId="0" applyNumberFormat="1" applyFont="1" applyFill="1" applyBorder="1" applyAlignment="1">
      <alignment horizontal="right" vertical="center"/>
    </xf>
    <xf numFmtId="0" fontId="55" fillId="24" borderId="37" xfId="0" applyFont="1" applyFill="1" applyBorder="1" applyAlignment="1">
      <alignment horizontal="center" vertical="center" wrapText="1"/>
    </xf>
    <xf numFmtId="0" fontId="55" fillId="24" borderId="31" xfId="0" applyFont="1" applyFill="1" applyBorder="1" applyAlignment="1">
      <alignment horizontal="center" vertical="center" wrapText="1"/>
    </xf>
    <xf numFmtId="0" fontId="43" fillId="24" borderId="46" xfId="0" applyFont="1" applyFill="1" applyBorder="1" applyAlignment="1">
      <alignment horizontal="center" vertical="center" wrapText="1"/>
    </xf>
    <xf numFmtId="0" fontId="55" fillId="24" borderId="26" xfId="0" applyFont="1" applyFill="1" applyBorder="1" applyAlignment="1">
      <alignment horizontal="center" vertical="center" wrapText="1"/>
    </xf>
    <xf numFmtId="0" fontId="26" fillId="24" borderId="0" xfId="0" applyFont="1" applyFill="1" applyAlignment="1">
      <alignment vertical="center"/>
    </xf>
    <xf numFmtId="0" fontId="80" fillId="24" borderId="0" xfId="0" applyFont="1" applyFill="1" applyAlignment="1">
      <alignment vertical="center"/>
    </xf>
    <xf numFmtId="0" fontId="55" fillId="24" borderId="41" xfId="0" applyFont="1" applyFill="1" applyBorder="1" applyAlignment="1">
      <alignment horizontal="center" vertical="center" wrapText="1"/>
    </xf>
    <xf numFmtId="0" fontId="55" fillId="24" borderId="31" xfId="0" applyFont="1" applyFill="1" applyBorder="1" applyAlignment="1">
      <alignment vertical="center" wrapText="1"/>
    </xf>
    <xf numFmtId="0" fontId="55" fillId="24" borderId="42" xfId="0" applyFont="1" applyFill="1" applyBorder="1" applyAlignment="1">
      <alignment vertical="center" wrapText="1"/>
    </xf>
    <xf numFmtId="0" fontId="55" fillId="24" borderId="32" xfId="0" applyFont="1" applyFill="1" applyBorder="1" applyAlignment="1">
      <alignment vertical="center" wrapText="1"/>
    </xf>
    <xf numFmtId="0" fontId="28" fillId="24" borderId="43" xfId="0" applyFont="1" applyFill="1" applyBorder="1" applyAlignment="1">
      <alignment horizontal="center" vertical="center"/>
    </xf>
    <xf numFmtId="3" fontId="55" fillId="24" borderId="38" xfId="0" applyNumberFormat="1" applyFont="1" applyFill="1" applyBorder="1" applyAlignment="1">
      <alignment horizontal="center" vertical="center" wrapText="1"/>
    </xf>
    <xf numFmtId="0" fontId="28" fillId="24" borderId="51" xfId="0" applyFont="1" applyFill="1" applyBorder="1" applyAlignment="1">
      <alignment horizontal="center" vertical="center"/>
    </xf>
    <xf numFmtId="4" fontId="54" fillId="24" borderId="42" xfId="0" applyNumberFormat="1" applyFont="1" applyFill="1" applyBorder="1" applyAlignment="1">
      <alignment horizontal="center" vertical="center" wrapText="1"/>
    </xf>
    <xf numFmtId="3" fontId="28" fillId="24" borderId="31" xfId="0" applyNumberFormat="1" applyFont="1" applyFill="1" applyBorder="1" applyAlignment="1">
      <alignment horizontal="center" vertical="center"/>
    </xf>
    <xf numFmtId="3" fontId="28" fillId="24" borderId="26" xfId="0" applyNumberFormat="1" applyFont="1" applyFill="1" applyBorder="1" applyAlignment="1">
      <alignment horizontal="center" vertical="center"/>
    </xf>
    <xf numFmtId="0" fontId="28" fillId="24" borderId="38" xfId="0" applyFont="1" applyFill="1" applyBorder="1" applyAlignment="1">
      <alignment horizontal="center" vertical="center" wrapText="1"/>
    </xf>
    <xf numFmtId="0" fontId="28" fillId="24" borderId="32" xfId="0" applyFont="1" applyFill="1" applyBorder="1" applyAlignment="1">
      <alignment horizontal="center" vertical="center" wrapText="1"/>
    </xf>
    <xf numFmtId="4" fontId="54" fillId="24" borderId="42" xfId="0" applyNumberFormat="1" applyFont="1" applyFill="1" applyBorder="1" applyAlignment="1">
      <alignment horizontal="right" vertical="center" wrapText="1"/>
    </xf>
    <xf numFmtId="3" fontId="28" fillId="24" borderId="24" xfId="0" applyNumberFormat="1" applyFont="1" applyFill="1" applyBorder="1" applyAlignment="1">
      <alignment horizontal="center" vertical="center"/>
    </xf>
    <xf numFmtId="3" fontId="28" fillId="28" borderId="21" xfId="0" applyNumberFormat="1" applyFont="1" applyFill="1" applyBorder="1" applyAlignment="1">
      <alignment horizontal="right" vertical="center"/>
    </xf>
    <xf numFmtId="0" fontId="82" fillId="24" borderId="23" xfId="0" applyFont="1" applyFill="1" applyBorder="1" applyAlignment="1">
      <alignment vertical="center"/>
    </xf>
    <xf numFmtId="0" fontId="5" fillId="28" borderId="61" xfId="0" applyFont="1" applyFill="1" applyBorder="1" applyAlignment="1">
      <alignment horizontal="center" vertical="center"/>
    </xf>
    <xf numFmtId="0" fontId="96" fillId="24" borderId="38" xfId="0" applyFont="1" applyFill="1" applyBorder="1" applyAlignment="1">
      <alignment horizontal="center" vertical="top"/>
    </xf>
    <xf numFmtId="3" fontId="55" fillId="24" borderId="26" xfId="0" applyNumberFormat="1" applyFont="1" applyFill="1" applyBorder="1" applyAlignment="1">
      <alignment horizontal="right" vertical="center"/>
    </xf>
    <xf numFmtId="3" fontId="28" fillId="0" borderId="26" xfId="0" applyNumberFormat="1" applyFont="1" applyBorder="1" applyAlignment="1">
      <alignment horizontal="right" vertical="center"/>
    </xf>
    <xf numFmtId="3" fontId="28" fillId="0" borderId="31" xfId="0" applyNumberFormat="1" applyFont="1" applyBorder="1" applyAlignment="1">
      <alignment horizontal="right" vertical="center"/>
    </xf>
    <xf numFmtId="3" fontId="55" fillId="0" borderId="25" xfId="0" applyNumberFormat="1" applyFont="1" applyBorder="1" applyAlignment="1">
      <alignment horizontal="right" vertical="center"/>
    </xf>
    <xf numFmtId="3" fontId="28" fillId="24" borderId="46" xfId="0" applyNumberFormat="1" applyFont="1" applyFill="1" applyBorder="1" applyAlignment="1">
      <alignment horizontal="center" vertical="center"/>
    </xf>
    <xf numFmtId="3" fontId="96" fillId="24" borderId="25" xfId="0" applyNumberFormat="1" applyFont="1" applyFill="1" applyBorder="1" applyAlignment="1">
      <alignment horizontal="right" vertical="center"/>
    </xf>
    <xf numFmtId="3" fontId="53" fillId="24" borderId="42" xfId="0" applyNumberFormat="1" applyFont="1" applyFill="1" applyBorder="1" applyAlignment="1">
      <alignment horizontal="right" vertical="center"/>
    </xf>
    <xf numFmtId="0" fontId="29" fillId="29" borderId="0" xfId="0" applyFont="1" applyFill="1" applyAlignment="1">
      <alignment vertical="center"/>
    </xf>
    <xf numFmtId="0" fontId="39" fillId="29" borderId="0" xfId="0" applyFont="1" applyFill="1" applyAlignment="1">
      <alignment vertical="center"/>
    </xf>
    <xf numFmtId="0" fontId="75" fillId="29" borderId="0" xfId="0" applyFont="1" applyFill="1" applyAlignment="1">
      <alignment vertical="center"/>
    </xf>
    <xf numFmtId="0" fontId="58" fillId="24" borderId="66" xfId="0" applyFont="1" applyFill="1" applyBorder="1" applyAlignment="1">
      <alignment horizontal="center" vertical="center"/>
    </xf>
    <xf numFmtId="0" fontId="38" fillId="25" borderId="59" xfId="0" applyFont="1" applyFill="1" applyBorder="1" applyAlignment="1">
      <alignment horizontal="center" vertical="center"/>
    </xf>
    <xf numFmtId="0" fontId="58" fillId="26" borderId="21" xfId="0" applyFont="1" applyFill="1" applyBorder="1" applyAlignment="1">
      <alignment horizontal="center" vertical="center"/>
    </xf>
    <xf numFmtId="3" fontId="43" fillId="26" borderId="20" xfId="0" applyNumberFormat="1" applyFont="1" applyFill="1" applyBorder="1" applyAlignment="1">
      <alignment horizontal="center" vertical="center"/>
    </xf>
    <xf numFmtId="0" fontId="43" fillId="24" borderId="26" xfId="0" applyFont="1" applyFill="1" applyBorder="1" applyAlignment="1">
      <alignment horizontal="center" vertical="center" wrapText="1"/>
    </xf>
    <xf numFmtId="0" fontId="55" fillId="24" borderId="39" xfId="0" applyFont="1" applyFill="1" applyBorder="1" applyAlignment="1">
      <alignment horizontal="center" vertical="center" wrapText="1"/>
    </xf>
    <xf numFmtId="0" fontId="55" fillId="24" borderId="43" xfId="0" applyFont="1" applyFill="1" applyBorder="1" applyAlignment="1">
      <alignment horizontal="center" vertical="center" wrapText="1"/>
    </xf>
    <xf numFmtId="3" fontId="28" fillId="24" borderId="48" xfId="0" applyNumberFormat="1" applyFont="1" applyFill="1" applyBorder="1" applyAlignment="1">
      <alignment horizontal="center" vertical="center"/>
    </xf>
    <xf numFmtId="0" fontId="28" fillId="24" borderId="26" xfId="0" applyFont="1" applyFill="1" applyBorder="1" applyAlignment="1">
      <alignment horizontal="center" vertical="center" wrapText="1"/>
    </xf>
    <xf numFmtId="0" fontId="87" fillId="24" borderId="0" xfId="0" applyFont="1" applyFill="1" applyAlignment="1">
      <alignment vertical="center"/>
    </xf>
    <xf numFmtId="0" fontId="88" fillId="24" borderId="0" xfId="0" applyFont="1" applyFill="1" applyAlignment="1">
      <alignment vertical="center"/>
    </xf>
    <xf numFmtId="0" fontId="28" fillId="0" borderId="26" xfId="0" applyFont="1" applyBorder="1" applyAlignment="1">
      <alignment horizontal="center" vertical="center"/>
    </xf>
    <xf numFmtId="0" fontId="55" fillId="0" borderId="48" xfId="0" applyFont="1" applyBorder="1" applyAlignment="1">
      <alignment horizontal="center" vertical="center"/>
    </xf>
    <xf numFmtId="3" fontId="28" fillId="0" borderId="24" xfId="0" applyNumberFormat="1" applyFont="1" applyBorder="1" applyAlignment="1">
      <alignment horizontal="right" vertical="center"/>
    </xf>
    <xf numFmtId="3" fontId="43" fillId="24" borderId="29" xfId="0" applyNumberFormat="1" applyFont="1" applyFill="1" applyBorder="1" applyAlignment="1">
      <alignment horizontal="center" vertical="center"/>
    </xf>
    <xf numFmtId="0" fontId="55" fillId="24" borderId="24" xfId="0" applyFont="1" applyFill="1" applyBorder="1" applyAlignment="1">
      <alignment horizontal="center" vertical="center"/>
    </xf>
    <xf numFmtId="3" fontId="36" fillId="24" borderId="43" xfId="0" applyNumberFormat="1" applyFont="1" applyFill="1" applyBorder="1" applyAlignment="1">
      <alignment horizontal="left" vertical="center"/>
    </xf>
    <xf numFmtId="3" fontId="55" fillId="24" borderId="47" xfId="0" applyNumberFormat="1" applyFont="1" applyFill="1" applyBorder="1" applyAlignment="1">
      <alignment horizontal="center" vertical="center"/>
    </xf>
    <xf numFmtId="4" fontId="39" fillId="24" borderId="0" xfId="0" applyNumberFormat="1" applyFont="1" applyFill="1" applyAlignment="1">
      <alignment vertical="center"/>
    </xf>
    <xf numFmtId="4" fontId="26" fillId="24" borderId="0" xfId="0" applyNumberFormat="1" applyFont="1" applyFill="1" applyAlignment="1">
      <alignment vertical="center"/>
    </xf>
    <xf numFmtId="4" fontId="29" fillId="24" borderId="0" xfId="0" applyNumberFormat="1" applyFont="1" applyFill="1" applyAlignment="1">
      <alignment vertical="center"/>
    </xf>
    <xf numFmtId="4" fontId="29" fillId="24" borderId="0" xfId="0" applyNumberFormat="1" applyFont="1" applyFill="1" applyAlignment="1">
      <alignment horizontal="center" vertical="center"/>
    </xf>
    <xf numFmtId="4" fontId="39" fillId="24" borderId="0" xfId="27" applyNumberFormat="1" applyFont="1" applyFill="1" applyBorder="1" applyAlignment="1">
      <alignment horizontal="center" vertical="center"/>
    </xf>
    <xf numFmtId="4" fontId="39" fillId="24" borderId="0" xfId="0" applyNumberFormat="1" applyFont="1" applyFill="1" applyAlignment="1">
      <alignment horizontal="center" vertical="center"/>
    </xf>
    <xf numFmtId="4" fontId="54" fillId="24" borderId="31" xfId="27" applyNumberFormat="1" applyFont="1" applyFill="1" applyBorder="1" applyAlignment="1">
      <alignment horizontal="center" vertical="center" wrapText="1"/>
    </xf>
    <xf numFmtId="4" fontId="54" fillId="24" borderId="68" xfId="0" applyNumberFormat="1" applyFont="1" applyFill="1" applyBorder="1" applyAlignment="1">
      <alignment vertical="center" wrapText="1"/>
    </xf>
    <xf numFmtId="4" fontId="29" fillId="24" borderId="26" xfId="27" applyNumberFormat="1" applyFont="1" applyFill="1" applyBorder="1" applyAlignment="1">
      <alignment horizontal="center" vertical="center" wrapText="1"/>
    </xf>
    <xf numFmtId="4" fontId="29" fillId="24" borderId="31" xfId="27" applyNumberFormat="1" applyFont="1" applyFill="1" applyBorder="1" applyAlignment="1">
      <alignment horizontal="center" vertical="center" wrapText="1"/>
    </xf>
    <xf numFmtId="4" fontId="66" fillId="24" borderId="29" xfId="27" applyNumberFormat="1" applyFont="1" applyFill="1" applyBorder="1" applyAlignment="1">
      <alignment horizontal="center" vertical="center" wrapText="1"/>
    </xf>
    <xf numFmtId="4" fontId="41" fillId="25" borderId="21" xfId="0" applyNumberFormat="1" applyFont="1" applyFill="1" applyBorder="1" applyAlignment="1">
      <alignment horizontal="right" vertical="center" wrapText="1"/>
    </xf>
    <xf numFmtId="4" fontId="26" fillId="0" borderId="0" xfId="0" applyNumberFormat="1" applyFont="1" applyAlignment="1">
      <alignment vertical="center" wrapText="1"/>
    </xf>
    <xf numFmtId="4" fontId="75" fillId="24" borderId="0" xfId="27" applyNumberFormat="1" applyFont="1" applyFill="1" applyBorder="1" applyAlignment="1">
      <alignment horizontal="center" vertical="center"/>
    </xf>
    <xf numFmtId="4" fontId="31" fillId="24" borderId="0" xfId="0" applyNumberFormat="1" applyFont="1" applyFill="1" applyAlignment="1">
      <alignment vertical="center"/>
    </xf>
    <xf numFmtId="4" fontId="38" fillId="24" borderId="0" xfId="0" applyNumberFormat="1" applyFont="1" applyFill="1" applyAlignment="1">
      <alignment horizontal="center" vertical="center"/>
    </xf>
    <xf numFmtId="4" fontId="32" fillId="24" borderId="0" xfId="0" applyNumberFormat="1" applyFont="1" applyFill="1" applyAlignment="1">
      <alignment vertical="center"/>
    </xf>
    <xf numFmtId="4" fontId="39" fillId="24" borderId="0" xfId="27" applyNumberFormat="1" applyFont="1" applyFill="1" applyAlignment="1">
      <alignment horizontal="center" vertical="center"/>
    </xf>
    <xf numFmtId="4" fontId="29" fillId="24" borderId="0" xfId="27" applyNumberFormat="1" applyFont="1" applyFill="1" applyAlignment="1">
      <alignment horizontal="center" vertical="center"/>
    </xf>
    <xf numFmtId="3" fontId="26" fillId="24" borderId="0" xfId="0" applyNumberFormat="1" applyFont="1" applyFill="1" applyAlignment="1">
      <alignment vertical="center"/>
    </xf>
    <xf numFmtId="3" fontId="39" fillId="24" borderId="0" xfId="0" applyNumberFormat="1" applyFont="1" applyFill="1" applyAlignment="1">
      <alignment horizontal="center" vertical="center"/>
    </xf>
    <xf numFmtId="3" fontId="5" fillId="26" borderId="19" xfId="0" applyNumberFormat="1" applyFont="1" applyFill="1" applyBorder="1" applyAlignment="1">
      <alignment vertical="center"/>
    </xf>
    <xf numFmtId="2" fontId="55" fillId="24" borderId="47" xfId="0" applyNumberFormat="1" applyFont="1" applyFill="1" applyBorder="1" applyAlignment="1">
      <alignment horizontal="center" vertical="center"/>
    </xf>
    <xf numFmtId="3" fontId="96" fillId="24" borderId="31" xfId="0" applyNumberFormat="1" applyFont="1" applyFill="1" applyBorder="1" applyAlignment="1">
      <alignment horizontal="right" vertical="center"/>
    </xf>
    <xf numFmtId="3" fontId="57" fillId="28" borderId="21" xfId="0" applyNumberFormat="1" applyFont="1" applyFill="1" applyBorder="1" applyAlignment="1">
      <alignment horizontal="right" vertical="center"/>
    </xf>
    <xf numFmtId="0" fontId="28" fillId="24" borderId="38" xfId="0" applyFont="1" applyFill="1" applyBorder="1" applyAlignment="1">
      <alignment horizontal="center" vertical="center"/>
    </xf>
    <xf numFmtId="0" fontId="96" fillId="24" borderId="31" xfId="0" applyFont="1" applyFill="1" applyBorder="1" applyAlignment="1">
      <alignment horizontal="center" vertical="center"/>
    </xf>
    <xf numFmtId="4" fontId="28" fillId="24" borderId="0" xfId="0" applyNumberFormat="1" applyFont="1" applyFill="1" applyAlignment="1">
      <alignment horizontal="right" vertical="center"/>
    </xf>
    <xf numFmtId="4" fontId="29" fillId="24" borderId="0" xfId="0" applyNumberFormat="1" applyFont="1" applyFill="1" applyAlignment="1">
      <alignment horizontal="right" vertical="center"/>
    </xf>
    <xf numFmtId="4" fontId="39" fillId="24" borderId="0" xfId="0" applyNumberFormat="1" applyFont="1" applyFill="1" applyAlignment="1">
      <alignment horizontal="right" vertical="center"/>
    </xf>
    <xf numFmtId="4" fontId="28" fillId="26" borderId="21" xfId="0" applyNumberFormat="1" applyFont="1" applyFill="1" applyBorder="1" applyAlignment="1">
      <alignment horizontal="right" vertical="center" wrapText="1"/>
    </xf>
    <xf numFmtId="4" fontId="29" fillId="26" borderId="21" xfId="0" applyNumberFormat="1" applyFont="1" applyFill="1" applyBorder="1" applyAlignment="1">
      <alignment horizontal="right" vertical="center" wrapText="1"/>
    </xf>
    <xf numFmtId="4" fontId="28" fillId="26" borderId="42" xfId="0" applyNumberFormat="1" applyFont="1" applyFill="1" applyBorder="1" applyAlignment="1">
      <alignment horizontal="right" vertical="center" wrapText="1"/>
    </xf>
    <xf numFmtId="4" fontId="29" fillId="30" borderId="21" xfId="0" applyNumberFormat="1" applyFont="1" applyFill="1" applyBorder="1" applyAlignment="1">
      <alignment horizontal="right" vertical="center" wrapText="1"/>
    </xf>
    <xf numFmtId="4" fontId="43" fillId="26" borderId="53" xfId="0" applyNumberFormat="1" applyFont="1" applyFill="1" applyBorder="1" applyAlignment="1">
      <alignment horizontal="right" vertical="center" wrapText="1"/>
    </xf>
    <xf numFmtId="4" fontId="90" fillId="26" borderId="21" xfId="0" applyNumberFormat="1" applyFont="1" applyFill="1" applyBorder="1" applyAlignment="1">
      <alignment horizontal="right" vertical="center" wrapText="1"/>
    </xf>
    <xf numFmtId="0" fontId="43" fillId="24" borderId="29" xfId="0" applyFont="1" applyFill="1" applyBorder="1" applyAlignment="1">
      <alignment horizontal="center" vertical="center" wrapText="1"/>
    </xf>
    <xf numFmtId="0" fontId="43" fillId="24" borderId="31" xfId="0" applyFont="1" applyFill="1" applyBorder="1" applyAlignment="1">
      <alignment horizontal="center" vertical="center" wrapText="1"/>
    </xf>
    <xf numFmtId="0" fontId="43" fillId="24" borderId="37" xfId="0" applyFont="1" applyFill="1" applyBorder="1" applyAlignment="1">
      <alignment horizontal="center" vertical="center"/>
    </xf>
    <xf numFmtId="3" fontId="43" fillId="24" borderId="38" xfId="0" applyNumberFormat="1" applyFont="1" applyFill="1" applyBorder="1" applyAlignment="1">
      <alignment horizontal="center" vertical="center" wrapText="1"/>
    </xf>
    <xf numFmtId="0" fontId="43" fillId="24" borderId="38" xfId="0" applyFont="1" applyFill="1" applyBorder="1" applyAlignment="1">
      <alignment horizontal="center" vertical="center" wrapText="1"/>
    </xf>
    <xf numFmtId="0" fontId="43" fillId="24" borderId="70" xfId="0" applyFont="1" applyFill="1" applyBorder="1" applyAlignment="1">
      <alignment horizontal="center" vertical="center" wrapText="1"/>
    </xf>
    <xf numFmtId="4" fontId="57" fillId="24" borderId="0" xfId="0" applyNumberFormat="1" applyFont="1" applyFill="1" applyAlignment="1">
      <alignment horizontal="center" vertical="center"/>
    </xf>
    <xf numFmtId="0" fontId="43" fillId="0" borderId="37" xfId="0" applyFont="1" applyBorder="1" applyAlignment="1">
      <alignment horizontal="center" vertical="center"/>
    </xf>
    <xf numFmtId="4" fontId="57" fillId="24" borderId="0" xfId="0" applyNumberFormat="1" applyFont="1" applyFill="1" applyAlignment="1">
      <alignment vertical="center"/>
    </xf>
    <xf numFmtId="4" fontId="57" fillId="24" borderId="0" xfId="0" applyNumberFormat="1" applyFont="1" applyFill="1" applyAlignment="1">
      <alignment horizontal="right" vertical="center"/>
    </xf>
    <xf numFmtId="0" fontId="43" fillId="24" borderId="39" xfId="0" applyFont="1" applyFill="1" applyBorder="1" applyAlignment="1">
      <alignment horizontal="center" vertical="center" wrapText="1"/>
    </xf>
    <xf numFmtId="3" fontId="39" fillId="24" borderId="32" xfId="0" applyNumberFormat="1" applyFont="1" applyFill="1" applyBorder="1" applyAlignment="1">
      <alignment vertical="center" wrapText="1"/>
    </xf>
    <xf numFmtId="3" fontId="43" fillId="24" borderId="46" xfId="0" applyNumberFormat="1" applyFont="1" applyFill="1" applyBorder="1" applyAlignment="1">
      <alignment horizontal="center" vertical="center"/>
    </xf>
    <xf numFmtId="3" fontId="43" fillId="24" borderId="26" xfId="0" applyNumberFormat="1" applyFont="1" applyFill="1" applyBorder="1" applyAlignment="1">
      <alignment horizontal="center" vertical="center"/>
    </xf>
    <xf numFmtId="4" fontId="67" fillId="24" borderId="0" xfId="0" applyNumberFormat="1" applyFont="1" applyFill="1" applyAlignment="1">
      <alignment horizontal="center" vertical="center"/>
    </xf>
    <xf numFmtId="3" fontId="96" fillId="24" borderId="26" xfId="0" applyNumberFormat="1" applyFont="1" applyFill="1" applyBorder="1" applyAlignment="1">
      <alignment horizontal="right" vertical="center"/>
    </xf>
    <xf numFmtId="3" fontId="28" fillId="24" borderId="71" xfId="0" applyNumberFormat="1" applyFont="1" applyFill="1" applyBorder="1" applyAlignment="1">
      <alignment horizontal="right" vertical="center"/>
    </xf>
    <xf numFmtId="4" fontId="29" fillId="24" borderId="24" xfId="0" applyNumberFormat="1" applyFont="1" applyFill="1" applyBorder="1" applyAlignment="1">
      <alignment horizontal="right" vertical="center" wrapText="1"/>
    </xf>
    <xf numFmtId="4" fontId="29" fillId="24" borderId="24" xfId="0" applyNumberFormat="1" applyFont="1" applyFill="1" applyBorder="1" applyAlignment="1">
      <alignment horizontal="center" vertical="center" wrapText="1"/>
    </xf>
    <xf numFmtId="2" fontId="28" fillId="24" borderId="26" xfId="0" applyNumberFormat="1" applyFont="1" applyFill="1" applyBorder="1" applyAlignment="1">
      <alignment horizontal="center" vertical="center"/>
    </xf>
    <xf numFmtId="0" fontId="55" fillId="24" borderId="53" xfId="0" applyFont="1" applyFill="1" applyBorder="1" applyAlignment="1">
      <alignment horizontal="center" vertical="center"/>
    </xf>
    <xf numFmtId="0" fontId="43" fillId="24" borderId="48" xfId="0" applyFont="1" applyFill="1" applyBorder="1" applyAlignment="1">
      <alignment horizontal="center" vertical="center" wrapText="1"/>
    </xf>
    <xf numFmtId="3" fontId="54" fillId="24" borderId="32" xfId="0" applyNumberFormat="1" applyFont="1" applyFill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97" fillId="26" borderId="23" xfId="0" applyFont="1" applyFill="1" applyBorder="1" applyAlignment="1">
      <alignment vertical="center"/>
    </xf>
    <xf numFmtId="0" fontId="55" fillId="24" borderId="45" xfId="0" applyFont="1" applyFill="1" applyBorder="1" applyAlignment="1">
      <alignment vertical="center"/>
    </xf>
    <xf numFmtId="0" fontId="55" fillId="24" borderId="39" xfId="0" applyFont="1" applyFill="1" applyBorder="1" applyAlignment="1">
      <alignment vertical="center"/>
    </xf>
    <xf numFmtId="3" fontId="28" fillId="24" borderId="0" xfId="0" applyNumberFormat="1" applyFont="1" applyFill="1" applyAlignment="1">
      <alignment horizontal="right" vertical="center"/>
    </xf>
    <xf numFmtId="3" fontId="75" fillId="24" borderId="0" xfId="0" applyNumberFormat="1" applyFont="1" applyFill="1" applyAlignment="1">
      <alignment horizontal="center" vertical="center"/>
    </xf>
    <xf numFmtId="0" fontId="75" fillId="24" borderId="0" xfId="0" applyFont="1" applyFill="1" applyAlignment="1">
      <alignment horizontal="center" vertical="center"/>
    </xf>
    <xf numFmtId="3" fontId="28" fillId="0" borderId="46" xfId="0" applyNumberFormat="1" applyFont="1" applyBorder="1" applyAlignment="1">
      <alignment horizontal="right" vertical="center"/>
    </xf>
    <xf numFmtId="0" fontId="58" fillId="0" borderId="22" xfId="0" applyFont="1" applyBorder="1" applyAlignment="1">
      <alignment vertical="center"/>
    </xf>
    <xf numFmtId="0" fontId="58" fillId="0" borderId="65" xfId="0" applyFont="1" applyBorder="1" applyAlignment="1">
      <alignment vertical="center"/>
    </xf>
    <xf numFmtId="0" fontId="43" fillId="27" borderId="75" xfId="0" applyFont="1" applyFill="1" applyBorder="1" applyAlignment="1">
      <alignment horizontal="center" vertical="center" textRotation="90" wrapText="1"/>
    </xf>
    <xf numFmtId="3" fontId="43" fillId="27" borderId="60" xfId="0" applyNumberFormat="1" applyFont="1" applyFill="1" applyBorder="1" applyAlignment="1">
      <alignment horizontal="center" vertical="center" wrapText="1"/>
    </xf>
    <xf numFmtId="0" fontId="67" fillId="0" borderId="0" xfId="0" applyFont="1" applyAlignment="1">
      <alignment vertical="top"/>
    </xf>
    <xf numFmtId="0" fontId="67" fillId="0" borderId="0" xfId="0" applyFont="1" applyAlignment="1">
      <alignment horizontal="center"/>
    </xf>
    <xf numFmtId="0" fontId="67" fillId="0" borderId="0" xfId="0" applyFont="1"/>
    <xf numFmtId="0" fontId="68" fillId="24" borderId="77" xfId="0" applyFont="1" applyFill="1" applyBorder="1" applyAlignment="1">
      <alignment vertical="top" wrapText="1"/>
    </xf>
    <xf numFmtId="0" fontId="60" fillId="24" borderId="77" xfId="0" applyFont="1" applyFill="1" applyBorder="1" applyAlignment="1">
      <alignment vertical="top"/>
    </xf>
    <xf numFmtId="0" fontId="60" fillId="24" borderId="77" xfId="0" applyFont="1" applyFill="1" applyBorder="1" applyAlignment="1">
      <alignment vertical="top" wrapText="1"/>
    </xf>
    <xf numFmtId="0" fontId="68" fillId="24" borderId="77" xfId="0" applyFont="1" applyFill="1" applyBorder="1" applyAlignment="1">
      <alignment vertical="top"/>
    </xf>
    <xf numFmtId="3" fontId="67" fillId="0" borderId="0" xfId="0" applyNumberFormat="1" applyFont="1"/>
    <xf numFmtId="0" fontId="91" fillId="0" borderId="0" xfId="0" applyFont="1" applyAlignment="1">
      <alignment vertical="center"/>
    </xf>
    <xf numFmtId="3" fontId="54" fillId="24" borderId="31" xfId="27" applyNumberFormat="1" applyFont="1" applyFill="1" applyBorder="1" applyAlignment="1">
      <alignment horizontal="center" vertical="center" wrapText="1"/>
    </xf>
    <xf numFmtId="3" fontId="54" fillId="24" borderId="26" xfId="27" applyNumberFormat="1" applyFont="1" applyFill="1" applyBorder="1" applyAlignment="1">
      <alignment horizontal="center" vertical="center" wrapText="1"/>
    </xf>
    <xf numFmtId="3" fontId="54" fillId="24" borderId="25" xfId="27" applyNumberFormat="1" applyFont="1" applyFill="1" applyBorder="1" applyAlignment="1">
      <alignment horizontal="center" vertical="center" wrapText="1"/>
    </xf>
    <xf numFmtId="3" fontId="54" fillId="24" borderId="26" xfId="0" applyNumberFormat="1" applyFont="1" applyFill="1" applyBorder="1" applyAlignment="1">
      <alignment horizontal="center" vertical="center" wrapText="1"/>
    </xf>
    <xf numFmtId="3" fontId="54" fillId="24" borderId="46" xfId="27" applyNumberFormat="1" applyFont="1" applyFill="1" applyBorder="1" applyAlignment="1">
      <alignment horizontal="center" vertical="center" wrapText="1"/>
    </xf>
    <xf numFmtId="3" fontId="28" fillId="28" borderId="21" xfId="0" applyNumberFormat="1" applyFont="1" applyFill="1" applyBorder="1" applyAlignment="1">
      <alignment horizontal="right" vertical="center" wrapText="1"/>
    </xf>
    <xf numFmtId="3" fontId="29" fillId="24" borderId="31" xfId="27" applyNumberFormat="1" applyFont="1" applyFill="1" applyBorder="1" applyAlignment="1">
      <alignment horizontal="center" vertical="center" wrapText="1"/>
    </xf>
    <xf numFmtId="3" fontId="29" fillId="24" borderId="26" xfId="0" applyNumberFormat="1" applyFont="1" applyFill="1" applyBorder="1" applyAlignment="1">
      <alignment horizontal="center" vertical="center" wrapText="1"/>
    </xf>
    <xf numFmtId="0" fontId="92" fillId="0" borderId="0" xfId="0" applyFont="1" applyAlignment="1">
      <alignment horizontal="center" vertical="top"/>
    </xf>
    <xf numFmtId="4" fontId="89" fillId="24" borderId="0" xfId="0" applyNumberFormat="1" applyFont="1" applyFill="1" applyAlignment="1">
      <alignment horizontal="center" vertical="center"/>
    </xf>
    <xf numFmtId="0" fontId="58" fillId="24" borderId="79" xfId="0" applyFont="1" applyFill="1" applyBorder="1" applyAlignment="1">
      <alignment horizontal="center" vertical="center"/>
    </xf>
    <xf numFmtId="3" fontId="39" fillId="24" borderId="32" xfId="0" applyNumberFormat="1" applyFont="1" applyFill="1" applyBorder="1" applyAlignment="1">
      <alignment horizontal="center" vertical="center"/>
    </xf>
    <xf numFmtId="3" fontId="54" fillId="24" borderId="46" xfId="0" applyNumberFormat="1" applyFont="1" applyFill="1" applyBorder="1" applyAlignment="1">
      <alignment horizontal="center" vertical="center"/>
    </xf>
    <xf numFmtId="3" fontId="54" fillId="24" borderId="42" xfId="0" applyNumberFormat="1" applyFont="1" applyFill="1" applyBorder="1" applyAlignment="1">
      <alignment horizontal="center" vertical="center"/>
    </xf>
    <xf numFmtId="4" fontId="29" fillId="24" borderId="46" xfId="0" applyNumberFormat="1" applyFont="1" applyFill="1" applyBorder="1" applyAlignment="1">
      <alignment horizontal="right" vertical="center" wrapText="1"/>
    </xf>
    <xf numFmtId="3" fontId="29" fillId="24" borderId="0" xfId="0" applyNumberFormat="1" applyFont="1" applyFill="1" applyAlignment="1">
      <alignment vertical="center"/>
    </xf>
    <xf numFmtId="3" fontId="54" fillId="24" borderId="26" xfId="0" applyNumberFormat="1" applyFont="1" applyFill="1" applyBorder="1" applyAlignment="1">
      <alignment vertical="center" wrapText="1"/>
    </xf>
    <xf numFmtId="3" fontId="54" fillId="24" borderId="26" xfId="0" applyNumberFormat="1" applyFont="1" applyFill="1" applyBorder="1" applyAlignment="1">
      <alignment horizontal="right" vertical="center" wrapText="1"/>
    </xf>
    <xf numFmtId="3" fontId="54" fillId="24" borderId="31" xfId="0" applyNumberFormat="1" applyFont="1" applyFill="1" applyBorder="1" applyAlignment="1">
      <alignment horizontal="right" vertical="center" wrapText="1"/>
    </xf>
    <xf numFmtId="3" fontId="54" fillId="24" borderId="25" xfId="0" applyNumberFormat="1" applyFont="1" applyFill="1" applyBorder="1" applyAlignment="1">
      <alignment horizontal="right" vertical="center" wrapText="1"/>
    </xf>
    <xf numFmtId="3" fontId="29" fillId="24" borderId="26" xfId="0" applyNumberFormat="1" applyFont="1" applyFill="1" applyBorder="1" applyAlignment="1">
      <alignment vertical="center" wrapText="1"/>
    </xf>
    <xf numFmtId="3" fontId="53" fillId="24" borderId="31" xfId="0" applyNumberFormat="1" applyFont="1" applyFill="1" applyBorder="1" applyAlignment="1">
      <alignment vertical="center" wrapText="1"/>
    </xf>
    <xf numFmtId="3" fontId="54" fillId="24" borderId="43" xfId="0" applyNumberFormat="1" applyFont="1" applyFill="1" applyBorder="1" applyAlignment="1">
      <alignment vertical="center" wrapText="1"/>
    </xf>
    <xf numFmtId="3" fontId="54" fillId="24" borderId="42" xfId="0" applyNumberFormat="1" applyFont="1" applyFill="1" applyBorder="1" applyAlignment="1">
      <alignment horizontal="right" vertical="center" wrapText="1"/>
    </xf>
    <xf numFmtId="3" fontId="54" fillId="24" borderId="46" xfId="0" applyNumberFormat="1" applyFont="1" applyFill="1" applyBorder="1" applyAlignment="1">
      <alignment horizontal="right" vertical="center" wrapText="1"/>
    </xf>
    <xf numFmtId="3" fontId="39" fillId="24" borderId="46" xfId="0" applyNumberFormat="1" applyFont="1" applyFill="1" applyBorder="1" applyAlignment="1">
      <alignment vertical="center" wrapText="1"/>
    </xf>
    <xf numFmtId="3" fontId="39" fillId="24" borderId="26" xfId="0" applyNumberFormat="1" applyFont="1" applyFill="1" applyBorder="1" applyAlignment="1">
      <alignment vertical="center" wrapText="1"/>
    </xf>
    <xf numFmtId="3" fontId="54" fillId="24" borderId="31" xfId="0" applyNumberFormat="1" applyFont="1" applyFill="1" applyBorder="1" applyAlignment="1">
      <alignment horizontal="center" vertical="center" wrapText="1"/>
    </xf>
    <xf numFmtId="3" fontId="54" fillId="24" borderId="32" xfId="0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horizontal="right" vertical="center" wrapText="1"/>
    </xf>
    <xf numFmtId="3" fontId="29" fillId="24" borderId="26" xfId="0" applyNumberFormat="1" applyFont="1" applyFill="1" applyBorder="1" applyAlignment="1">
      <alignment horizontal="right" vertical="center" wrapText="1"/>
    </xf>
    <xf numFmtId="3" fontId="29" fillId="24" borderId="46" xfId="0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vertical="center" wrapText="1"/>
    </xf>
    <xf numFmtId="3" fontId="54" fillId="24" borderId="42" xfId="0" applyNumberFormat="1" applyFont="1" applyFill="1" applyBorder="1" applyAlignment="1">
      <alignment vertical="center" wrapText="1"/>
    </xf>
    <xf numFmtId="3" fontId="54" fillId="24" borderId="29" xfId="0" applyNumberFormat="1" applyFont="1" applyFill="1" applyBorder="1" applyAlignment="1">
      <alignment vertical="center" wrapText="1"/>
    </xf>
    <xf numFmtId="3" fontId="54" fillId="24" borderId="46" xfId="0" applyNumberFormat="1" applyFont="1" applyFill="1" applyBorder="1" applyAlignment="1">
      <alignment vertical="center" wrapText="1"/>
    </xf>
    <xf numFmtId="3" fontId="54" fillId="24" borderId="26" xfId="27" applyNumberFormat="1" applyFont="1" applyFill="1" applyBorder="1" applyAlignment="1">
      <alignment horizontal="right" vertical="center" wrapText="1"/>
    </xf>
    <xf numFmtId="3" fontId="54" fillId="24" borderId="31" xfId="27" applyNumberFormat="1" applyFont="1" applyFill="1" applyBorder="1" applyAlignment="1">
      <alignment horizontal="right" vertical="center" wrapText="1"/>
    </xf>
    <xf numFmtId="3" fontId="29" fillId="24" borderId="46" xfId="0" applyNumberFormat="1" applyFont="1" applyFill="1" applyBorder="1" applyAlignment="1">
      <alignment horizontal="right" vertical="center" wrapText="1"/>
    </xf>
    <xf numFmtId="3" fontId="26" fillId="0" borderId="0" xfId="0" applyNumberFormat="1" applyFont="1" applyAlignment="1">
      <alignment vertical="center" wrapText="1"/>
    </xf>
    <xf numFmtId="3" fontId="31" fillId="24" borderId="0" xfId="0" applyNumberFormat="1" applyFont="1" applyFill="1" applyAlignment="1">
      <alignment vertical="center"/>
    </xf>
    <xf numFmtId="3" fontId="32" fillId="24" borderId="0" xfId="0" applyNumberFormat="1" applyFont="1" applyFill="1" applyAlignment="1">
      <alignment vertical="center"/>
    </xf>
    <xf numFmtId="3" fontId="29" fillId="24" borderId="0" xfId="0" applyNumberFormat="1" applyFont="1" applyFill="1" applyAlignment="1">
      <alignment horizontal="right" vertical="center"/>
    </xf>
    <xf numFmtId="3" fontId="39" fillId="24" borderId="0" xfId="0" applyNumberFormat="1" applyFont="1" applyFill="1" applyAlignment="1">
      <alignment horizontal="right" vertical="center"/>
    </xf>
    <xf numFmtId="3" fontId="28" fillId="26" borderId="21" xfId="0" applyNumberFormat="1" applyFont="1" applyFill="1" applyBorder="1" applyAlignment="1">
      <alignment horizontal="right" vertical="center" wrapText="1"/>
    </xf>
    <xf numFmtId="3" fontId="28" fillId="28" borderId="29" xfId="0" applyNumberFormat="1" applyFont="1" applyFill="1" applyBorder="1" applyAlignment="1">
      <alignment horizontal="right" vertical="center" wrapText="1"/>
    </xf>
    <xf numFmtId="3" fontId="29" fillId="26" borderId="21" xfId="0" applyNumberFormat="1" applyFont="1" applyFill="1" applyBorder="1" applyAlignment="1">
      <alignment horizontal="right" vertical="center" wrapText="1"/>
    </xf>
    <xf numFmtId="3" fontId="57" fillId="24" borderId="0" xfId="0" applyNumberFormat="1" applyFont="1" applyFill="1" applyAlignment="1">
      <alignment horizontal="right" vertical="center"/>
    </xf>
    <xf numFmtId="3" fontId="29" fillId="24" borderId="0" xfId="0" applyNumberFormat="1" applyFont="1" applyFill="1" applyAlignment="1">
      <alignment horizontal="center" vertical="center"/>
    </xf>
    <xf numFmtId="3" fontId="54" fillId="24" borderId="25" xfId="0" applyNumberFormat="1" applyFont="1" applyFill="1" applyBorder="1" applyAlignment="1">
      <alignment horizontal="center" vertical="center" wrapText="1"/>
    </xf>
    <xf numFmtId="3" fontId="39" fillId="24" borderId="26" xfId="0" applyNumberFormat="1" applyFont="1" applyFill="1" applyBorder="1" applyAlignment="1">
      <alignment horizontal="center" vertical="center" wrapText="1"/>
    </xf>
    <xf numFmtId="3" fontId="54" fillId="24" borderId="42" xfId="0" applyNumberFormat="1" applyFont="1" applyFill="1" applyBorder="1" applyAlignment="1">
      <alignment horizontal="center" vertical="center" wrapText="1"/>
    </xf>
    <xf numFmtId="3" fontId="29" fillId="24" borderId="31" xfId="0" applyNumberFormat="1" applyFont="1" applyFill="1" applyBorder="1" applyAlignment="1">
      <alignment horizontal="center" vertical="center" wrapText="1"/>
    </xf>
    <xf numFmtId="3" fontId="29" fillId="24" borderId="29" xfId="0" applyNumberFormat="1" applyFont="1" applyFill="1" applyBorder="1" applyAlignment="1">
      <alignment horizontal="center" vertical="center" wrapText="1"/>
    </xf>
    <xf numFmtId="3" fontId="29" fillId="26" borderId="21" xfId="0" applyNumberFormat="1" applyFont="1" applyFill="1" applyBorder="1" applyAlignment="1">
      <alignment horizontal="center" vertical="center" wrapText="1"/>
    </xf>
    <xf numFmtId="3" fontId="29" fillId="24" borderId="46" xfId="0" applyNumberFormat="1" applyFont="1" applyFill="1" applyBorder="1" applyAlignment="1">
      <alignment horizontal="center" vertical="center" wrapText="1"/>
    </xf>
    <xf numFmtId="3" fontId="29" fillId="24" borderId="24" xfId="0" applyNumberFormat="1" applyFont="1" applyFill="1" applyBorder="1" applyAlignment="1">
      <alignment horizontal="center" vertical="center" wrapText="1"/>
    </xf>
    <xf numFmtId="3" fontId="57" fillId="24" borderId="0" xfId="0" applyNumberFormat="1" applyFont="1" applyFill="1" applyAlignment="1">
      <alignment horizontal="center" vertical="center"/>
    </xf>
    <xf numFmtId="3" fontId="67" fillId="24" borderId="0" xfId="0" applyNumberFormat="1" applyFont="1" applyFill="1" applyAlignment="1">
      <alignment horizontal="center" vertical="center"/>
    </xf>
    <xf numFmtId="3" fontId="102" fillId="24" borderId="0" xfId="0" applyNumberFormat="1" applyFont="1" applyFill="1" applyAlignment="1">
      <alignment vertical="center"/>
    </xf>
    <xf numFmtId="3" fontId="39" fillId="24" borderId="0" xfId="27" applyNumberFormat="1" applyFont="1" applyFill="1" applyAlignment="1">
      <alignment horizontal="center" vertical="center"/>
    </xf>
    <xf numFmtId="3" fontId="89" fillId="24" borderId="0" xfId="0" applyNumberFormat="1" applyFont="1" applyFill="1" applyAlignment="1">
      <alignment horizontal="center" vertical="center"/>
    </xf>
    <xf numFmtId="0" fontId="57" fillId="24" borderId="0" xfId="0" applyFont="1" applyFill="1" applyAlignment="1">
      <alignment vertical="center"/>
    </xf>
    <xf numFmtId="4" fontId="99" fillId="24" borderId="0" xfId="0" applyNumberFormat="1" applyFont="1" applyFill="1" applyAlignment="1">
      <alignment vertical="center"/>
    </xf>
    <xf numFmtId="0" fontId="67" fillId="24" borderId="0" xfId="0" applyFont="1" applyFill="1" applyAlignment="1">
      <alignment vertical="center"/>
    </xf>
    <xf numFmtId="3" fontId="54" fillId="24" borderId="24" xfId="0" applyNumberFormat="1" applyFont="1" applyFill="1" applyBorder="1" applyAlignment="1">
      <alignment vertical="center" wrapText="1"/>
    </xf>
    <xf numFmtId="4" fontId="39" fillId="24" borderId="68" xfId="0" applyNumberFormat="1" applyFont="1" applyFill="1" applyBorder="1" applyAlignment="1">
      <alignment vertical="center" wrapText="1"/>
    </xf>
    <xf numFmtId="0" fontId="28" fillId="0" borderId="51" xfId="0" applyFont="1" applyBorder="1" applyAlignment="1">
      <alignment horizontal="center" vertical="center"/>
    </xf>
    <xf numFmtId="0" fontId="43" fillId="24" borderId="51" xfId="0" applyFont="1" applyFill="1" applyBorder="1" applyAlignment="1">
      <alignment horizontal="center" vertical="center" wrapText="1"/>
    </xf>
    <xf numFmtId="0" fontId="59" fillId="24" borderId="21" xfId="0" applyFont="1" applyFill="1" applyBorder="1" applyAlignment="1">
      <alignment horizontal="left" vertical="center"/>
    </xf>
    <xf numFmtId="3" fontId="80" fillId="24" borderId="0" xfId="0" applyNumberFormat="1" applyFont="1" applyFill="1" applyAlignment="1">
      <alignment vertical="center"/>
    </xf>
    <xf numFmtId="3" fontId="54" fillId="24" borderId="68" xfId="0" applyNumberFormat="1" applyFont="1" applyFill="1" applyBorder="1" applyAlignment="1">
      <alignment vertical="center" wrapText="1"/>
    </xf>
    <xf numFmtId="3" fontId="39" fillId="24" borderId="68" xfId="0" applyNumberFormat="1" applyFont="1" applyFill="1" applyBorder="1" applyAlignment="1">
      <alignment vertical="center" wrapText="1"/>
    </xf>
    <xf numFmtId="3" fontId="90" fillId="26" borderId="21" xfId="0" applyNumberFormat="1" applyFont="1" applyFill="1" applyBorder="1" applyAlignment="1">
      <alignment horizontal="right" vertical="center" wrapText="1"/>
    </xf>
    <xf numFmtId="3" fontId="41" fillId="25" borderId="21" xfId="0" applyNumberFormat="1" applyFont="1" applyFill="1" applyBorder="1" applyAlignment="1">
      <alignment horizontal="right" vertical="center" wrapText="1"/>
    </xf>
    <xf numFmtId="4" fontId="28" fillId="30" borderId="21" xfId="0" applyNumberFormat="1" applyFont="1" applyFill="1" applyBorder="1" applyAlignment="1">
      <alignment horizontal="right" vertical="center" wrapText="1"/>
    </xf>
    <xf numFmtId="3" fontId="54" fillId="24" borderId="45" xfId="0" applyNumberFormat="1" applyFont="1" applyFill="1" applyBorder="1" applyAlignment="1">
      <alignment horizontal="center" vertical="center"/>
    </xf>
    <xf numFmtId="3" fontId="54" fillId="24" borderId="28" xfId="0" applyNumberFormat="1" applyFont="1" applyFill="1" applyBorder="1" applyAlignment="1">
      <alignment horizontal="center" vertical="center"/>
    </xf>
    <xf numFmtId="3" fontId="29" fillId="24" borderId="39" xfId="0" applyNumberFormat="1" applyFont="1" applyFill="1" applyBorder="1" applyAlignment="1">
      <alignment horizontal="center" vertical="center"/>
    </xf>
    <xf numFmtId="3" fontId="39" fillId="24" borderId="38" xfId="0" applyNumberFormat="1" applyFont="1" applyFill="1" applyBorder="1" applyAlignment="1">
      <alignment horizontal="center" vertical="center"/>
    </xf>
    <xf numFmtId="3" fontId="55" fillId="24" borderId="29" xfId="0" applyNumberFormat="1" applyFont="1" applyFill="1" applyBorder="1" applyAlignment="1">
      <alignment horizontal="center" vertical="center"/>
    </xf>
    <xf numFmtId="3" fontId="39" fillId="24" borderId="25" xfId="0" applyNumberFormat="1" applyFont="1" applyFill="1" applyBorder="1" applyAlignment="1">
      <alignment horizontal="center" vertical="center"/>
    </xf>
    <xf numFmtId="3" fontId="29" fillId="0" borderId="31" xfId="0" applyNumberFormat="1" applyFont="1" applyBorder="1" applyAlignment="1">
      <alignment horizontal="center" vertical="center"/>
    </xf>
    <xf numFmtId="3" fontId="54" fillId="0" borderId="25" xfId="0" applyNumberFormat="1" applyFont="1" applyBorder="1" applyAlignment="1">
      <alignment horizontal="center" vertical="center"/>
    </xf>
    <xf numFmtId="3" fontId="29" fillId="24" borderId="25" xfId="0" applyNumberFormat="1" applyFont="1" applyFill="1" applyBorder="1" applyAlignment="1">
      <alignment horizontal="center" vertical="center"/>
    </xf>
    <xf numFmtId="3" fontId="28" fillId="30" borderId="21" xfId="0" applyNumberFormat="1" applyFont="1" applyFill="1" applyBorder="1" applyAlignment="1">
      <alignment horizontal="right" vertical="center" wrapText="1"/>
    </xf>
    <xf numFmtId="3" fontId="28" fillId="26" borderId="21" xfId="0" applyNumberFormat="1" applyFont="1" applyFill="1" applyBorder="1" applyAlignment="1">
      <alignment horizontal="center" vertical="center"/>
    </xf>
    <xf numFmtId="3" fontId="32" fillId="24" borderId="0" xfId="0" applyNumberFormat="1" applyFont="1" applyFill="1" applyAlignment="1">
      <alignment horizontal="center" vertical="center"/>
    </xf>
    <xf numFmtId="3" fontId="43" fillId="24" borderId="0" xfId="0" applyNumberFormat="1" applyFont="1" applyFill="1" applyAlignment="1">
      <alignment horizontal="right" vertical="center"/>
    </xf>
    <xf numFmtId="3" fontId="43" fillId="24" borderId="43" xfId="0" applyNumberFormat="1" applyFont="1" applyFill="1" applyBorder="1" applyAlignment="1">
      <alignment horizontal="right" vertical="center"/>
    </xf>
    <xf numFmtId="3" fontId="28" fillId="24" borderId="41" xfId="0" applyNumberFormat="1" applyFont="1" applyFill="1" applyBorder="1" applyAlignment="1">
      <alignment horizontal="right" vertical="center"/>
    </xf>
    <xf numFmtId="3" fontId="5" fillId="26" borderId="23" xfId="0" applyNumberFormat="1" applyFont="1" applyFill="1" applyBorder="1" applyAlignment="1">
      <alignment horizontal="right" vertical="center"/>
    </xf>
    <xf numFmtId="3" fontId="55" fillId="24" borderId="30" xfId="0" applyNumberFormat="1" applyFont="1" applyFill="1" applyBorder="1" applyAlignment="1">
      <alignment horizontal="right" vertical="center"/>
    </xf>
    <xf numFmtId="3" fontId="28" fillId="24" borderId="43" xfId="0" applyNumberFormat="1" applyFont="1" applyFill="1" applyBorder="1" applyAlignment="1">
      <alignment horizontal="right" vertical="center"/>
    </xf>
    <xf numFmtId="3" fontId="55" fillId="24" borderId="41" xfId="0" applyNumberFormat="1" applyFont="1" applyFill="1" applyBorder="1" applyAlignment="1">
      <alignment horizontal="right" vertical="center"/>
    </xf>
    <xf numFmtId="3" fontId="28" fillId="0" borderId="43" xfId="0" applyNumberFormat="1" applyFont="1" applyBorder="1" applyAlignment="1">
      <alignment horizontal="right" vertical="center"/>
    </xf>
    <xf numFmtId="3" fontId="28" fillId="24" borderId="36" xfId="0" applyNumberFormat="1" applyFont="1" applyFill="1" applyBorder="1" applyAlignment="1">
      <alignment horizontal="right" vertical="center"/>
    </xf>
    <xf numFmtId="3" fontId="28" fillId="24" borderId="50" xfId="0" applyNumberFormat="1" applyFont="1" applyFill="1" applyBorder="1" applyAlignment="1">
      <alignment horizontal="right" vertical="center"/>
    </xf>
    <xf numFmtId="3" fontId="55" fillId="24" borderId="40" xfId="0" applyNumberFormat="1" applyFont="1" applyFill="1" applyBorder="1" applyAlignment="1">
      <alignment horizontal="right" vertical="center"/>
    </xf>
    <xf numFmtId="3" fontId="43" fillId="24" borderId="41" xfId="0" applyNumberFormat="1" applyFont="1" applyFill="1" applyBorder="1" applyAlignment="1">
      <alignment horizontal="right" vertical="center"/>
    </xf>
    <xf numFmtId="3" fontId="28" fillId="24" borderId="33" xfId="0" applyNumberFormat="1" applyFont="1" applyFill="1" applyBorder="1" applyAlignment="1">
      <alignment horizontal="right" vertical="center"/>
    </xf>
    <xf numFmtId="3" fontId="43" fillId="24" borderId="42" xfId="0" applyNumberFormat="1" applyFont="1" applyFill="1" applyBorder="1" applyAlignment="1">
      <alignment horizontal="right" vertical="center"/>
    </xf>
    <xf numFmtId="3" fontId="25" fillId="24" borderId="0" xfId="0" applyNumberFormat="1" applyFont="1" applyFill="1" applyAlignment="1">
      <alignment horizontal="right" vertical="center"/>
    </xf>
    <xf numFmtId="3" fontId="43" fillId="27" borderId="60" xfId="0" applyNumberFormat="1" applyFont="1" applyFill="1" applyBorder="1" applyAlignment="1">
      <alignment horizontal="right" vertical="center" wrapText="1"/>
    </xf>
    <xf numFmtId="3" fontId="55" fillId="0" borderId="41" xfId="0" applyNumberFormat="1" applyFont="1" applyBorder="1" applyAlignment="1">
      <alignment horizontal="right" vertical="center"/>
    </xf>
    <xf numFmtId="3" fontId="26" fillId="24" borderId="0" xfId="0" applyNumberFormat="1" applyFont="1" applyFill="1" applyAlignment="1">
      <alignment horizontal="right" vertical="center"/>
    </xf>
    <xf numFmtId="172" fontId="93" fillId="24" borderId="0" xfId="0" applyNumberFormat="1" applyFont="1" applyFill="1" applyAlignment="1">
      <alignment vertical="center"/>
    </xf>
    <xf numFmtId="3" fontId="28" fillId="28" borderId="21" xfId="0" applyNumberFormat="1" applyFont="1" applyFill="1" applyBorder="1" applyAlignment="1">
      <alignment horizontal="center" vertical="center" wrapText="1"/>
    </xf>
    <xf numFmtId="0" fontId="55" fillId="0" borderId="37" xfId="0" applyFont="1" applyBorder="1" applyAlignment="1">
      <alignment horizontal="center" vertical="center"/>
    </xf>
    <xf numFmtId="3" fontId="28" fillId="24" borderId="48" xfId="0" applyNumberFormat="1" applyFont="1" applyFill="1" applyBorder="1" applyAlignment="1">
      <alignment horizontal="right" vertical="center"/>
    </xf>
    <xf numFmtId="0" fontId="59" fillId="24" borderId="26" xfId="0" applyFont="1" applyFill="1" applyBorder="1" applyAlignment="1">
      <alignment vertical="center" wrapText="1"/>
    </xf>
    <xf numFmtId="3" fontId="59" fillId="24" borderId="26" xfId="0" applyNumberFormat="1" applyFont="1" applyFill="1" applyBorder="1" applyAlignment="1">
      <alignment vertical="center"/>
    </xf>
    <xf numFmtId="0" fontId="59" fillId="24" borderId="43" xfId="0" applyFont="1" applyFill="1" applyBorder="1" applyAlignment="1">
      <alignment vertical="center" wrapText="1"/>
    </xf>
    <xf numFmtId="0" fontId="58" fillId="24" borderId="26" xfId="0" applyFont="1" applyFill="1" applyBorder="1" applyAlignment="1">
      <alignment vertical="center"/>
    </xf>
    <xf numFmtId="0" fontId="58" fillId="24" borderId="26" xfId="0" applyFont="1" applyFill="1" applyBorder="1" applyAlignment="1">
      <alignment vertical="center" wrapText="1"/>
    </xf>
    <xf numFmtId="0" fontId="104" fillId="24" borderId="25" xfId="0" applyFont="1" applyFill="1" applyBorder="1" applyAlignment="1">
      <alignment vertical="center" wrapText="1"/>
    </xf>
    <xf numFmtId="0" fontId="59" fillId="24" borderId="48" xfId="0" applyFont="1" applyFill="1" applyBorder="1" applyAlignment="1">
      <alignment vertical="center" wrapText="1"/>
    </xf>
    <xf numFmtId="0" fontId="38" fillId="24" borderId="0" xfId="0" applyFont="1" applyFill="1" applyAlignment="1">
      <alignment horizontal="center" vertical="center"/>
    </xf>
    <xf numFmtId="0" fontId="81" fillId="24" borderId="0" xfId="0" applyFont="1" applyFill="1" applyAlignment="1">
      <alignment horizontal="center" vertical="center"/>
    </xf>
    <xf numFmtId="0" fontId="56" fillId="24" borderId="0" xfId="0" applyFont="1" applyFill="1" applyAlignment="1">
      <alignment horizontal="center" vertical="center"/>
    </xf>
    <xf numFmtId="0" fontId="66" fillId="24" borderId="0" xfId="0" applyFont="1" applyFill="1" applyAlignment="1">
      <alignment horizontal="center" vertical="center"/>
    </xf>
    <xf numFmtId="0" fontId="70" fillId="24" borderId="0" xfId="0" applyFont="1" applyFill="1" applyAlignment="1">
      <alignment horizontal="center" vertical="center"/>
    </xf>
    <xf numFmtId="0" fontId="57" fillId="24" borderId="0" xfId="0" applyFont="1" applyFill="1" applyAlignment="1">
      <alignment horizontal="center" vertical="center"/>
    </xf>
    <xf numFmtId="0" fontId="53" fillId="24" borderId="0" xfId="0" applyFont="1" applyFill="1" applyAlignment="1">
      <alignment vertical="center"/>
    </xf>
    <xf numFmtId="0" fontId="94" fillId="24" borderId="0" xfId="0" applyFont="1" applyFill="1" applyAlignment="1">
      <alignment horizontal="center" vertical="center"/>
    </xf>
    <xf numFmtId="0" fontId="54" fillId="24" borderId="0" xfId="0" applyFont="1" applyFill="1" applyAlignment="1">
      <alignment horizontal="center" vertical="center"/>
    </xf>
    <xf numFmtId="0" fontId="54" fillId="24" borderId="0" xfId="0" applyFont="1" applyFill="1" applyAlignment="1">
      <alignment vertical="center"/>
    </xf>
    <xf numFmtId="0" fontId="60" fillId="24" borderId="33" xfId="0" applyFont="1" applyFill="1" applyBorder="1" applyAlignment="1">
      <alignment vertical="center"/>
    </xf>
    <xf numFmtId="0" fontId="95" fillId="24" borderId="0" xfId="0" applyFont="1" applyFill="1" applyAlignment="1">
      <alignment horizontal="center" vertical="center"/>
    </xf>
    <xf numFmtId="0" fontId="67" fillId="24" borderId="0" xfId="0" applyFont="1" applyFill="1" applyAlignment="1">
      <alignment horizontal="center" vertical="center"/>
    </xf>
    <xf numFmtId="0" fontId="94" fillId="24" borderId="0" xfId="0" applyFont="1" applyFill="1" applyAlignment="1">
      <alignment vertical="center"/>
    </xf>
    <xf numFmtId="0" fontId="95" fillId="24" borderId="0" xfId="0" applyFont="1" applyFill="1" applyAlignment="1">
      <alignment vertical="center"/>
    </xf>
    <xf numFmtId="0" fontId="28" fillId="24" borderId="0" xfId="0" applyFont="1" applyFill="1" applyAlignment="1">
      <alignment vertical="center"/>
    </xf>
    <xf numFmtId="0" fontId="103" fillId="24" borderId="0" xfId="0" applyFont="1" applyFill="1" applyAlignment="1">
      <alignment horizontal="center" vertical="center"/>
    </xf>
    <xf numFmtId="0" fontId="99" fillId="24" borderId="0" xfId="0" applyFont="1" applyFill="1" applyAlignment="1">
      <alignment horizontal="center" vertical="center"/>
    </xf>
    <xf numFmtId="0" fontId="53" fillId="24" borderId="0" xfId="0" applyFont="1" applyFill="1" applyAlignment="1">
      <alignment horizontal="center" vertical="center"/>
    </xf>
    <xf numFmtId="0" fontId="100" fillId="24" borderId="0" xfId="0" applyFont="1" applyFill="1" applyAlignment="1">
      <alignment horizontal="center" vertical="center"/>
    </xf>
    <xf numFmtId="0" fontId="101" fillId="24" borderId="0" xfId="0" applyFont="1" applyFill="1" applyAlignment="1">
      <alignment horizontal="center" vertical="center"/>
    </xf>
    <xf numFmtId="0" fontId="71" fillId="24" borderId="0" xfId="0" applyFont="1" applyFill="1" applyAlignment="1">
      <alignment horizontal="center" vertical="center"/>
    </xf>
    <xf numFmtId="0" fontId="98" fillId="24" borderId="0" xfId="0" applyFont="1" applyFill="1" applyAlignment="1">
      <alignment horizontal="center" vertical="center"/>
    </xf>
    <xf numFmtId="0" fontId="75" fillId="24" borderId="0" xfId="0" applyFont="1" applyFill="1" applyAlignment="1">
      <alignment vertical="center"/>
    </xf>
    <xf numFmtId="0" fontId="70" fillId="24" borderId="0" xfId="0" applyFont="1" applyFill="1" applyAlignment="1">
      <alignment vertical="center"/>
    </xf>
    <xf numFmtId="0" fontId="66" fillId="24" borderId="0" xfId="0" applyFont="1" applyFill="1" applyAlignment="1">
      <alignment vertical="center"/>
    </xf>
    <xf numFmtId="0" fontId="32" fillId="24" borderId="0" xfId="0" applyFont="1" applyFill="1" applyAlignment="1">
      <alignment vertical="center"/>
    </xf>
    <xf numFmtId="4" fontId="33" fillId="24" borderId="0" xfId="0" applyNumberFormat="1" applyFont="1" applyFill="1" applyAlignment="1">
      <alignment vertical="center"/>
    </xf>
    <xf numFmtId="0" fontId="33" fillId="24" borderId="0" xfId="0" applyFont="1" applyFill="1" applyAlignment="1">
      <alignment vertical="center"/>
    </xf>
    <xf numFmtId="0" fontId="44" fillId="24" borderId="0" xfId="0" applyFont="1" applyFill="1" applyAlignment="1">
      <alignment vertical="center"/>
    </xf>
    <xf numFmtId="0" fontId="35" fillId="24" borderId="0" xfId="0" applyFont="1" applyFill="1" applyAlignment="1">
      <alignment vertical="center"/>
    </xf>
    <xf numFmtId="0" fontId="6" fillId="24" borderId="0" xfId="0" applyFont="1" applyFill="1" applyAlignment="1">
      <alignment vertical="center"/>
    </xf>
    <xf numFmtId="0" fontId="27" fillId="24" borderId="0" xfId="0" applyFont="1" applyFill="1" applyAlignment="1">
      <alignment vertical="center"/>
    </xf>
    <xf numFmtId="0" fontId="37" fillId="24" borderId="0" xfId="0" applyFont="1" applyFill="1" applyAlignment="1">
      <alignment vertical="center"/>
    </xf>
    <xf numFmtId="4" fontId="44" fillId="24" borderId="0" xfId="0" applyNumberFormat="1" applyFont="1" applyFill="1" applyAlignment="1">
      <alignment vertical="center"/>
    </xf>
    <xf numFmtId="4" fontId="45" fillId="24" borderId="0" xfId="0" applyNumberFormat="1" applyFont="1" applyFill="1" applyAlignment="1">
      <alignment horizontal="center" vertical="center"/>
    </xf>
    <xf numFmtId="0" fontId="45" fillId="24" borderId="0" xfId="0" applyFont="1" applyFill="1" applyAlignment="1">
      <alignment horizontal="center" vertical="center"/>
    </xf>
    <xf numFmtId="0" fontId="42" fillId="24" borderId="0" xfId="0" applyFont="1" applyFill="1" applyAlignment="1">
      <alignment horizontal="center" vertical="center"/>
    </xf>
    <xf numFmtId="4" fontId="70" fillId="24" borderId="0" xfId="0" applyNumberFormat="1" applyFont="1" applyFill="1" applyAlignment="1">
      <alignment horizontal="center" vertical="center"/>
    </xf>
    <xf numFmtId="168" fontId="70" fillId="24" borderId="0" xfId="0" applyNumberFormat="1" applyFont="1" applyFill="1" applyAlignment="1">
      <alignment horizontal="center" vertical="center"/>
    </xf>
    <xf numFmtId="3" fontId="70" fillId="24" borderId="0" xfId="0" applyNumberFormat="1" applyFont="1" applyFill="1" applyAlignment="1">
      <alignment horizontal="center" vertical="center"/>
    </xf>
    <xf numFmtId="4" fontId="74" fillId="24" borderId="0" xfId="0" applyNumberFormat="1" applyFont="1" applyFill="1" applyAlignment="1">
      <alignment horizontal="center" vertical="center"/>
    </xf>
    <xf numFmtId="165" fontId="74" fillId="24" borderId="0" xfId="0" applyNumberFormat="1" applyFont="1" applyFill="1" applyAlignment="1">
      <alignment horizontal="center" vertical="center"/>
    </xf>
    <xf numFmtId="3" fontId="76" fillId="24" borderId="0" xfId="0" applyNumberFormat="1" applyFont="1" applyFill="1" applyAlignment="1">
      <alignment horizontal="center" vertical="center"/>
    </xf>
    <xf numFmtId="168" fontId="77" fillId="24" borderId="0" xfId="0" applyNumberFormat="1" applyFont="1" applyFill="1" applyAlignment="1">
      <alignment horizontal="center" vertical="center"/>
    </xf>
    <xf numFmtId="168" fontId="78" fillId="24" borderId="0" xfId="0" applyNumberFormat="1" applyFont="1" applyFill="1" applyAlignment="1">
      <alignment horizontal="center" vertical="center"/>
    </xf>
    <xf numFmtId="168" fontId="79" fillId="24" borderId="0" xfId="0" applyNumberFormat="1" applyFont="1" applyFill="1" applyAlignment="1">
      <alignment horizontal="center" vertical="center"/>
    </xf>
    <xf numFmtId="0" fontId="74" fillId="24" borderId="0" xfId="0" applyFont="1" applyFill="1" applyAlignment="1">
      <alignment horizontal="center" vertical="center"/>
    </xf>
    <xf numFmtId="165" fontId="29" fillId="24" borderId="0" xfId="0" applyNumberFormat="1" applyFont="1" applyFill="1" applyAlignment="1">
      <alignment vertical="center"/>
    </xf>
    <xf numFmtId="3" fontId="28" fillId="24" borderId="0" xfId="0" applyNumberFormat="1" applyFont="1" applyFill="1" applyAlignment="1">
      <alignment vertical="center"/>
    </xf>
    <xf numFmtId="168" fontId="29" fillId="24" borderId="0" xfId="0" applyNumberFormat="1" applyFont="1" applyFill="1" applyAlignment="1">
      <alignment vertical="center"/>
    </xf>
    <xf numFmtId="4" fontId="54" fillId="24" borderId="0" xfId="0" applyNumberFormat="1" applyFont="1" applyFill="1" applyAlignment="1">
      <alignment horizontal="center" vertical="center"/>
    </xf>
    <xf numFmtId="168" fontId="54" fillId="24" borderId="0" xfId="0" applyNumberFormat="1" applyFont="1" applyFill="1" applyAlignment="1">
      <alignment horizontal="center" vertical="center"/>
    </xf>
    <xf numFmtId="4" fontId="61" fillId="24" borderId="0" xfId="0" applyNumberFormat="1" applyFont="1" applyFill="1" applyAlignment="1">
      <alignment horizontal="center" vertical="center"/>
    </xf>
    <xf numFmtId="165" fontId="61" fillId="24" borderId="0" xfId="0" applyNumberFormat="1" applyFont="1" applyFill="1" applyAlignment="1">
      <alignment horizontal="center" vertical="center"/>
    </xf>
    <xf numFmtId="3" fontId="62" fillId="24" borderId="0" xfId="0" applyNumberFormat="1" applyFont="1" applyFill="1" applyAlignment="1">
      <alignment horizontal="center" vertical="center"/>
    </xf>
    <xf numFmtId="168" fontId="63" fillId="24" borderId="0" xfId="0" applyNumberFormat="1" applyFont="1" applyFill="1" applyAlignment="1">
      <alignment horizontal="center" vertical="center"/>
    </xf>
    <xf numFmtId="168" fontId="64" fillId="24" borderId="0" xfId="0" applyNumberFormat="1" applyFont="1" applyFill="1" applyAlignment="1">
      <alignment horizontal="center" vertical="center"/>
    </xf>
    <xf numFmtId="168" fontId="65" fillId="24" borderId="0" xfId="0" applyNumberFormat="1" applyFont="1" applyFill="1" applyAlignment="1">
      <alignment horizontal="center" vertical="center"/>
    </xf>
    <xf numFmtId="0" fontId="61" fillId="24" borderId="0" xfId="0" applyFont="1" applyFill="1" applyAlignment="1">
      <alignment horizontal="center" vertical="center"/>
    </xf>
    <xf numFmtId="168" fontId="29" fillId="24" borderId="0" xfId="0" applyNumberFormat="1" applyFont="1" applyFill="1" applyAlignment="1">
      <alignment horizontal="center" vertical="center"/>
    </xf>
    <xf numFmtId="168" fontId="67" fillId="24" borderId="0" xfId="0" applyNumberFormat="1" applyFont="1" applyFill="1" applyAlignment="1">
      <alignment horizontal="center" vertical="center"/>
    </xf>
    <xf numFmtId="168" fontId="39" fillId="24" borderId="0" xfId="0" applyNumberFormat="1" applyFont="1" applyFill="1" applyAlignment="1">
      <alignment vertical="center"/>
    </xf>
    <xf numFmtId="168" fontId="28" fillId="24" borderId="0" xfId="0" applyNumberFormat="1" applyFont="1" applyFill="1" applyAlignment="1">
      <alignment horizontal="center" vertical="center"/>
    </xf>
    <xf numFmtId="3" fontId="29" fillId="24" borderId="86" xfId="0" applyNumberFormat="1" applyFont="1" applyFill="1" applyBorder="1" applyAlignment="1">
      <alignment horizontal="center" vertical="center"/>
    </xf>
    <xf numFmtId="0" fontId="29" fillId="24" borderId="18" xfId="0" applyFont="1" applyFill="1" applyBorder="1" applyAlignment="1">
      <alignment horizontal="center" vertical="center"/>
    </xf>
    <xf numFmtId="168" fontId="55" fillId="24" borderId="0" xfId="0" applyNumberFormat="1" applyFont="1" applyFill="1" applyAlignment="1">
      <alignment horizontal="center" vertical="center"/>
    </xf>
    <xf numFmtId="168" fontId="47" fillId="24" borderId="0" xfId="0" applyNumberFormat="1" applyFont="1" applyFill="1" applyAlignment="1">
      <alignment horizontal="center" vertical="center"/>
    </xf>
    <xf numFmtId="168" fontId="75" fillId="24" borderId="0" xfId="0" applyNumberFormat="1" applyFont="1" applyFill="1" applyAlignment="1">
      <alignment horizontal="center" vertical="center"/>
    </xf>
    <xf numFmtId="3" fontId="75" fillId="24" borderId="86" xfId="0" applyNumberFormat="1" applyFont="1" applyFill="1" applyBorder="1" applyAlignment="1">
      <alignment horizontal="center" vertical="center"/>
    </xf>
    <xf numFmtId="0" fontId="75" fillId="24" borderId="18" xfId="0" applyFont="1" applyFill="1" applyBorder="1" applyAlignment="1">
      <alignment horizontal="center" vertical="center"/>
    </xf>
    <xf numFmtId="168" fontId="69" fillId="24" borderId="0" xfId="0" applyNumberFormat="1" applyFont="1" applyFill="1" applyAlignment="1">
      <alignment horizontal="center" vertical="center"/>
    </xf>
    <xf numFmtId="3" fontId="70" fillId="24" borderId="86" xfId="0" applyNumberFormat="1" applyFont="1" applyFill="1" applyBorder="1" applyAlignment="1">
      <alignment horizontal="center" vertical="center"/>
    </xf>
    <xf numFmtId="0" fontId="70" fillId="24" borderId="18" xfId="0" applyFont="1" applyFill="1" applyBorder="1" applyAlignment="1">
      <alignment horizontal="center" vertical="center"/>
    </xf>
    <xf numFmtId="4" fontId="28" fillId="24" borderId="0" xfId="0" applyNumberFormat="1" applyFont="1" applyFill="1" applyAlignment="1">
      <alignment vertical="center"/>
    </xf>
    <xf numFmtId="165" fontId="28" fillId="24" borderId="0" xfId="0" applyNumberFormat="1" applyFont="1" applyFill="1" applyAlignment="1">
      <alignment vertical="center"/>
    </xf>
    <xf numFmtId="168" fontId="28" fillId="24" borderId="0" xfId="0" applyNumberFormat="1" applyFont="1" applyFill="1" applyAlignment="1">
      <alignment vertical="center"/>
    </xf>
    <xf numFmtId="168" fontId="43" fillId="24" borderId="0" xfId="0" applyNumberFormat="1" applyFont="1" applyFill="1" applyAlignment="1">
      <alignment vertical="center"/>
    </xf>
    <xf numFmtId="3" fontId="39" fillId="24" borderId="86" xfId="0" applyNumberFormat="1" applyFont="1" applyFill="1" applyBorder="1" applyAlignment="1">
      <alignment horizontal="center" vertical="center"/>
    </xf>
    <xf numFmtId="0" fontId="39" fillId="24" borderId="18" xfId="0" applyFont="1" applyFill="1" applyBorder="1" applyAlignment="1">
      <alignment horizontal="center" vertical="center"/>
    </xf>
    <xf numFmtId="168" fontId="68" fillId="24" borderId="0" xfId="0" applyNumberFormat="1" applyFont="1" applyFill="1" applyAlignment="1">
      <alignment horizontal="center" vertical="center"/>
    </xf>
    <xf numFmtId="3" fontId="67" fillId="24" borderId="86" xfId="0" applyNumberFormat="1" applyFont="1" applyFill="1" applyBorder="1" applyAlignment="1">
      <alignment horizontal="center" vertical="center"/>
    </xf>
    <xf numFmtId="0" fontId="67" fillId="24" borderId="18" xfId="0" applyFont="1" applyFill="1" applyBorder="1" applyAlignment="1">
      <alignment horizontal="center" vertical="center"/>
    </xf>
    <xf numFmtId="3" fontId="99" fillId="24" borderId="86" xfId="0" applyNumberFormat="1" applyFont="1" applyFill="1" applyBorder="1" applyAlignment="1">
      <alignment horizontal="center" vertical="center"/>
    </xf>
    <xf numFmtId="3" fontId="99" fillId="24" borderId="0" xfId="0" applyNumberFormat="1" applyFont="1" applyFill="1" applyAlignment="1">
      <alignment horizontal="center" vertical="center"/>
    </xf>
    <xf numFmtId="0" fontId="99" fillId="24" borderId="18" xfId="0" applyFont="1" applyFill="1" applyBorder="1" applyAlignment="1">
      <alignment horizontal="center" vertical="center"/>
    </xf>
    <xf numFmtId="4" fontId="53" fillId="24" borderId="0" xfId="0" applyNumberFormat="1" applyFont="1" applyFill="1" applyAlignment="1">
      <alignment horizontal="center" vertical="center"/>
    </xf>
    <xf numFmtId="168" fontId="48" fillId="24" borderId="0" xfId="0" applyNumberFormat="1" applyFont="1" applyFill="1" applyAlignment="1">
      <alignment horizontal="center" vertical="center"/>
    </xf>
    <xf numFmtId="168" fontId="53" fillId="24" borderId="0" xfId="0" applyNumberFormat="1" applyFont="1" applyFill="1" applyAlignment="1">
      <alignment horizontal="center" vertical="center"/>
    </xf>
    <xf numFmtId="3" fontId="100" fillId="24" borderId="86" xfId="0" applyNumberFormat="1" applyFont="1" applyFill="1" applyBorder="1" applyAlignment="1">
      <alignment horizontal="center" vertical="center"/>
    </xf>
    <xf numFmtId="3" fontId="100" fillId="24" borderId="0" xfId="0" applyNumberFormat="1" applyFont="1" applyFill="1" applyAlignment="1">
      <alignment horizontal="center" vertical="center"/>
    </xf>
    <xf numFmtId="0" fontId="100" fillId="24" borderId="18" xfId="0" applyFont="1" applyFill="1" applyBorder="1" applyAlignment="1">
      <alignment horizontal="center" vertical="center"/>
    </xf>
    <xf numFmtId="3" fontId="101" fillId="24" borderId="86" xfId="0" applyNumberFormat="1" applyFont="1" applyFill="1" applyBorder="1" applyAlignment="1">
      <alignment horizontal="center" vertical="center"/>
    </xf>
    <xf numFmtId="3" fontId="101" fillId="24" borderId="0" xfId="0" applyNumberFormat="1" applyFont="1" applyFill="1" applyAlignment="1">
      <alignment horizontal="center" vertical="center"/>
    </xf>
    <xf numFmtId="0" fontId="101" fillId="24" borderId="18" xfId="0" applyFont="1" applyFill="1" applyBorder="1" applyAlignment="1">
      <alignment horizontal="center" vertical="center"/>
    </xf>
    <xf numFmtId="3" fontId="71" fillId="24" borderId="86" xfId="0" applyNumberFormat="1" applyFont="1" applyFill="1" applyBorder="1" applyAlignment="1">
      <alignment horizontal="center" vertical="center"/>
    </xf>
    <xf numFmtId="3" fontId="71" fillId="24" borderId="0" xfId="0" applyNumberFormat="1" applyFont="1" applyFill="1" applyAlignment="1">
      <alignment horizontal="center" vertical="center"/>
    </xf>
    <xf numFmtId="0" fontId="71" fillId="24" borderId="18" xfId="0" applyFont="1" applyFill="1" applyBorder="1" applyAlignment="1">
      <alignment horizontal="center" vertical="center"/>
    </xf>
    <xf numFmtId="3" fontId="98" fillId="24" borderId="86" xfId="0" applyNumberFormat="1" applyFont="1" applyFill="1" applyBorder="1" applyAlignment="1">
      <alignment horizontal="center" vertical="center"/>
    </xf>
    <xf numFmtId="3" fontId="98" fillId="24" borderId="0" xfId="0" applyNumberFormat="1" applyFont="1" applyFill="1" applyAlignment="1">
      <alignment horizontal="center" vertical="center"/>
    </xf>
    <xf numFmtId="0" fontId="98" fillId="24" borderId="18" xfId="0" applyFont="1" applyFill="1" applyBorder="1" applyAlignment="1">
      <alignment horizontal="center" vertical="center"/>
    </xf>
    <xf numFmtId="4" fontId="39" fillId="24" borderId="86" xfId="0" applyNumberFormat="1" applyFont="1" applyFill="1" applyBorder="1" applyAlignment="1">
      <alignment vertical="center"/>
    </xf>
    <xf numFmtId="4" fontId="75" fillId="24" borderId="86" xfId="0" applyNumberFormat="1" applyFont="1" applyFill="1" applyBorder="1" applyAlignment="1">
      <alignment vertical="center"/>
    </xf>
    <xf numFmtId="0" fontId="75" fillId="24" borderId="18" xfId="0" applyFont="1" applyFill="1" applyBorder="1" applyAlignment="1">
      <alignment vertical="center"/>
    </xf>
    <xf numFmtId="4" fontId="61" fillId="24" borderId="0" xfId="0" applyNumberFormat="1" applyFont="1" applyFill="1" applyAlignment="1">
      <alignment vertical="center"/>
    </xf>
    <xf numFmtId="0" fontId="61" fillId="24" borderId="0" xfId="0" applyFont="1" applyFill="1" applyAlignment="1">
      <alignment vertical="center"/>
    </xf>
    <xf numFmtId="4" fontId="66" fillId="24" borderId="0" xfId="0" applyNumberFormat="1" applyFont="1" applyFill="1" applyAlignment="1">
      <alignment vertical="center"/>
    </xf>
    <xf numFmtId="0" fontId="46" fillId="24" borderId="0" xfId="0" applyFont="1" applyFill="1" applyAlignment="1">
      <alignment vertical="center"/>
    </xf>
    <xf numFmtId="4" fontId="45" fillId="24" borderId="0" xfId="0" applyNumberFormat="1" applyFont="1" applyFill="1" applyAlignment="1">
      <alignment vertical="center"/>
    </xf>
    <xf numFmtId="0" fontId="45" fillId="24" borderId="0" xfId="0" applyFont="1" applyFill="1" applyAlignment="1">
      <alignment vertical="center"/>
    </xf>
    <xf numFmtId="0" fontId="59" fillId="24" borderId="39" xfId="0" applyFont="1" applyFill="1" applyBorder="1" applyAlignment="1">
      <alignment vertical="center" wrapText="1"/>
    </xf>
    <xf numFmtId="4" fontId="85" fillId="24" borderId="25" xfId="0" applyNumberFormat="1" applyFont="1" applyFill="1" applyBorder="1" applyAlignment="1">
      <alignment horizontal="right" vertical="center" wrapText="1"/>
    </xf>
    <xf numFmtId="0" fontId="58" fillId="26" borderId="23" xfId="0" applyFont="1" applyFill="1" applyBorder="1" applyAlignment="1">
      <alignment vertical="center"/>
    </xf>
    <xf numFmtId="3" fontId="28" fillId="24" borderId="37" xfId="0" applyNumberFormat="1" applyFont="1" applyFill="1" applyBorder="1" applyAlignment="1">
      <alignment horizontal="right" vertical="center"/>
    </xf>
    <xf numFmtId="0" fontId="43" fillId="24" borderId="87" xfId="0" applyFont="1" applyFill="1" applyBorder="1" applyAlignment="1">
      <alignment horizontal="center" vertical="center" wrapText="1"/>
    </xf>
    <xf numFmtId="0" fontId="68" fillId="24" borderId="78" xfId="0" applyFont="1" applyFill="1" applyBorder="1" applyAlignment="1">
      <alignment horizontal="left" vertical="top" wrapText="1"/>
    </xf>
    <xf numFmtId="0" fontId="68" fillId="24" borderId="89" xfId="0" applyFont="1" applyFill="1" applyBorder="1" applyAlignment="1">
      <alignment vertical="top" wrapText="1"/>
    </xf>
    <xf numFmtId="0" fontId="60" fillId="24" borderId="93" xfId="0" applyFont="1" applyFill="1" applyBorder="1" applyAlignment="1">
      <alignment horizontal="center" vertical="center"/>
    </xf>
    <xf numFmtId="0" fontId="68" fillId="0" borderId="97" xfId="0" applyFont="1" applyBorder="1" applyAlignment="1">
      <alignment horizontal="center"/>
    </xf>
    <xf numFmtId="0" fontId="60" fillId="24" borderId="96" xfId="38" applyFont="1" applyFill="1" applyBorder="1" applyAlignment="1">
      <alignment vertical="top"/>
    </xf>
    <xf numFmtId="0" fontId="68" fillId="0" borderId="94" xfId="0" applyFont="1" applyBorder="1" applyAlignment="1">
      <alignment horizontal="center"/>
    </xf>
    <xf numFmtId="0" fontId="60" fillId="24" borderId="77" xfId="38" applyFont="1" applyFill="1" applyBorder="1" applyAlignment="1">
      <alignment vertical="top"/>
    </xf>
    <xf numFmtId="0" fontId="60" fillId="24" borderId="77" xfId="38" applyFont="1" applyFill="1" applyBorder="1" applyAlignment="1">
      <alignment vertical="top" wrapText="1"/>
    </xf>
    <xf numFmtId="0" fontId="68" fillId="24" borderId="77" xfId="38" applyFont="1" applyFill="1" applyBorder="1" applyAlignment="1">
      <alignment vertical="top"/>
    </xf>
    <xf numFmtId="0" fontId="68" fillId="24" borderId="77" xfId="38" applyFont="1" applyFill="1" applyBorder="1" applyAlignment="1">
      <alignment horizontal="left" vertical="top"/>
    </xf>
    <xf numFmtId="0" fontId="107" fillId="0" borderId="0" xfId="0" applyFont="1"/>
    <xf numFmtId="0" fontId="60" fillId="24" borderId="78" xfId="38" applyFont="1" applyFill="1" applyBorder="1" applyAlignment="1">
      <alignment vertical="top"/>
    </xf>
    <xf numFmtId="0" fontId="68" fillId="0" borderId="96" xfId="0" applyFont="1" applyBorder="1" applyAlignment="1">
      <alignment vertical="top"/>
    </xf>
    <xf numFmtId="0" fontId="68" fillId="0" borderId="77" xfId="0" applyFont="1" applyBorder="1" applyAlignment="1">
      <alignment vertical="top"/>
    </xf>
    <xf numFmtId="0" fontId="68" fillId="24" borderId="89" xfId="38" applyFont="1" applyFill="1" applyBorder="1" applyAlignment="1">
      <alignment vertical="top"/>
    </xf>
    <xf numFmtId="0" fontId="68" fillId="0" borderId="77" xfId="0" applyFont="1" applyBorder="1" applyAlignment="1">
      <alignment horizontal="left" vertical="top"/>
    </xf>
    <xf numFmtId="172" fontId="105" fillId="0" borderId="0" xfId="0" applyNumberFormat="1" applyFont="1" applyAlignment="1">
      <alignment horizontal="center" vertical="top"/>
    </xf>
    <xf numFmtId="4" fontId="67" fillId="0" borderId="0" xfId="0" applyNumberFormat="1" applyFont="1"/>
    <xf numFmtId="4" fontId="26" fillId="24" borderId="0" xfId="27" applyNumberFormat="1" applyFont="1" applyFill="1" applyBorder="1" applyAlignment="1">
      <alignment vertical="center"/>
    </xf>
    <xf numFmtId="3" fontId="54" fillId="24" borderId="104" xfId="0" applyNumberFormat="1" applyFont="1" applyFill="1" applyBorder="1" applyAlignment="1">
      <alignment vertical="center" wrapText="1"/>
    </xf>
    <xf numFmtId="0" fontId="67" fillId="24" borderId="0" xfId="0" applyFont="1" applyFill="1"/>
    <xf numFmtId="0" fontId="112" fillId="0" borderId="0" xfId="0" applyFont="1"/>
    <xf numFmtId="4" fontId="110" fillId="25" borderId="23" xfId="0" applyNumberFormat="1" applyFont="1" applyFill="1" applyBorder="1" applyAlignment="1">
      <alignment vertical="center"/>
    </xf>
    <xf numFmtId="4" fontId="60" fillId="24" borderId="0" xfId="0" applyNumberFormat="1" applyFont="1" applyFill="1" applyAlignment="1">
      <alignment horizontal="right" vertical="center"/>
    </xf>
    <xf numFmtId="4" fontId="25" fillId="24" borderId="0" xfId="0" applyNumberFormat="1" applyFont="1" applyFill="1" applyAlignment="1">
      <alignment horizontal="right" vertical="center"/>
    </xf>
    <xf numFmtId="3" fontId="29" fillId="26" borderId="42" xfId="0" applyNumberFormat="1" applyFont="1" applyFill="1" applyBorder="1" applyAlignment="1">
      <alignment horizontal="right" vertical="center" wrapText="1"/>
    </xf>
    <xf numFmtId="3" fontId="111" fillId="24" borderId="0" xfId="0" applyNumberFormat="1" applyFont="1" applyFill="1" applyAlignment="1">
      <alignment vertical="center"/>
    </xf>
    <xf numFmtId="3" fontId="53" fillId="24" borderId="26" xfId="0" applyNumberFormat="1" applyFont="1" applyFill="1" applyBorder="1" applyAlignment="1">
      <alignment vertical="center" wrapText="1"/>
    </xf>
    <xf numFmtId="4" fontId="32" fillId="0" borderId="0" xfId="0" applyNumberFormat="1" applyFont="1" applyAlignment="1">
      <alignment vertical="center" wrapText="1"/>
    </xf>
    <xf numFmtId="3" fontId="68" fillId="28" borderId="13" xfId="0" applyNumberFormat="1" applyFont="1" applyFill="1" applyBorder="1" applyAlignment="1">
      <alignment horizontal="center" vertical="center"/>
    </xf>
    <xf numFmtId="3" fontId="68" fillId="28" borderId="108" xfId="0" applyNumberFormat="1" applyFont="1" applyFill="1" applyBorder="1" applyAlignment="1">
      <alignment horizontal="center" vertical="center"/>
    </xf>
    <xf numFmtId="4" fontId="75" fillId="24" borderId="0" xfId="27" applyNumberFormat="1" applyFont="1" applyFill="1" applyAlignment="1">
      <alignment horizontal="right" vertical="center"/>
    </xf>
    <xf numFmtId="4" fontId="0" fillId="0" borderId="0" xfId="0" applyNumberFormat="1"/>
    <xf numFmtId="0" fontId="80" fillId="24" borderId="0" xfId="0" applyFont="1" applyFill="1" applyAlignment="1">
      <alignment horizontal="center" vertical="center"/>
    </xf>
    <xf numFmtId="176" fontId="67" fillId="0" borderId="0" xfId="0" applyNumberFormat="1" applyFont="1"/>
    <xf numFmtId="168" fontId="26" fillId="24" borderId="0" xfId="0" applyNumberFormat="1" applyFont="1" applyFill="1" applyAlignment="1">
      <alignment horizontal="right" vertical="center"/>
    </xf>
    <xf numFmtId="3" fontId="28" fillId="32" borderId="0" xfId="0" applyNumberFormat="1" applyFont="1" applyFill="1" applyAlignment="1">
      <alignment horizontal="right" vertical="center"/>
    </xf>
    <xf numFmtId="3" fontId="54" fillId="24" borderId="68" xfId="0" applyNumberFormat="1" applyFont="1" applyFill="1" applyBorder="1" applyAlignment="1">
      <alignment vertical="center"/>
    </xf>
    <xf numFmtId="0" fontId="115" fillId="24" borderId="0" xfId="0" applyFont="1" applyFill="1"/>
    <xf numFmtId="0" fontId="115" fillId="24" borderId="0" xfId="0" applyFont="1" applyFill="1" applyAlignment="1">
      <alignment horizontal="center"/>
    </xf>
    <xf numFmtId="0" fontId="116" fillId="24" borderId="0" xfId="0" applyFont="1" applyFill="1" applyAlignment="1">
      <alignment horizontal="center"/>
    </xf>
    <xf numFmtId="0" fontId="115" fillId="29" borderId="0" xfId="0" applyFont="1" applyFill="1"/>
    <xf numFmtId="4" fontId="118" fillId="24" borderId="31" xfId="0" applyNumberFormat="1" applyFont="1" applyFill="1" applyBorder="1" applyAlignment="1">
      <alignment horizontal="right" vertical="center" wrapText="1"/>
    </xf>
    <xf numFmtId="3" fontId="118" fillId="24" borderId="25" xfId="0" applyNumberFormat="1" applyFont="1" applyFill="1" applyBorder="1" applyAlignment="1">
      <alignment horizontal="center" vertical="center" wrapText="1"/>
    </xf>
    <xf numFmtId="4" fontId="41" fillId="32" borderId="0" xfId="0" applyNumberFormat="1" applyFont="1" applyFill="1" applyAlignment="1">
      <alignment vertical="center" wrapText="1"/>
    </xf>
    <xf numFmtId="16" fontId="43" fillId="24" borderId="46" xfId="0" applyNumberFormat="1" applyFont="1" applyFill="1" applyBorder="1" applyAlignment="1">
      <alignment horizontal="center" vertical="center" wrapText="1"/>
    </xf>
    <xf numFmtId="0" fontId="68" fillId="0" borderId="93" xfId="0" applyFont="1" applyBorder="1" applyAlignment="1">
      <alignment horizontal="center"/>
    </xf>
    <xf numFmtId="0" fontId="115" fillId="24" borderId="0" xfId="0" applyFont="1" applyFill="1" applyAlignment="1">
      <alignment vertical="center"/>
    </xf>
    <xf numFmtId="3" fontId="28" fillId="24" borderId="69" xfId="0" applyNumberFormat="1" applyFont="1" applyFill="1" applyBorder="1" applyAlignment="1">
      <alignment horizontal="right" vertical="center"/>
    </xf>
    <xf numFmtId="4" fontId="67" fillId="32" borderId="0" xfId="0" applyNumberFormat="1" applyFont="1" applyFill="1"/>
    <xf numFmtId="0" fontId="68" fillId="0" borderId="89" xfId="0" applyFont="1" applyBorder="1" applyAlignment="1">
      <alignment horizontal="left" vertical="top"/>
    </xf>
    <xf numFmtId="4" fontId="121" fillId="32" borderId="0" xfId="0" applyNumberFormat="1" applyFont="1" applyFill="1"/>
    <xf numFmtId="3" fontId="28" fillId="24" borderId="145" xfId="0" applyNumberFormat="1" applyFont="1" applyFill="1" applyBorder="1" applyAlignment="1">
      <alignment horizontal="right" vertical="center"/>
    </xf>
    <xf numFmtId="3" fontId="28" fillId="24" borderId="146" xfId="0" applyNumberFormat="1" applyFont="1" applyFill="1" applyBorder="1" applyAlignment="1">
      <alignment horizontal="center" vertical="center"/>
    </xf>
    <xf numFmtId="3" fontId="119" fillId="24" borderId="26" xfId="0" applyNumberFormat="1" applyFont="1" applyFill="1" applyBorder="1" applyAlignment="1">
      <alignment horizontal="center" vertical="center"/>
    </xf>
    <xf numFmtId="4" fontId="119" fillId="24" borderId="26" xfId="0" applyNumberFormat="1" applyFont="1" applyFill="1" applyBorder="1" applyAlignment="1">
      <alignment horizontal="right" vertical="center" wrapText="1"/>
    </xf>
    <xf numFmtId="3" fontId="119" fillId="24" borderId="2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23" fillId="26" borderId="23" xfId="0" applyFont="1" applyFill="1" applyBorder="1" applyAlignment="1">
      <alignment vertical="center"/>
    </xf>
    <xf numFmtId="3" fontId="125" fillId="26" borderId="21" xfId="0" applyNumberFormat="1" applyFont="1" applyFill="1" applyBorder="1" applyAlignment="1">
      <alignment horizontal="right" vertical="center" wrapText="1"/>
    </xf>
    <xf numFmtId="3" fontId="0" fillId="0" borderId="0" xfId="0" applyNumberFormat="1"/>
    <xf numFmtId="3" fontId="68" fillId="28" borderId="12" xfId="0" applyNumberFormat="1" applyFont="1" applyFill="1" applyBorder="1" applyAlignment="1">
      <alignment horizontal="center" vertical="center"/>
    </xf>
    <xf numFmtId="0" fontId="43" fillId="24" borderId="46" xfId="0" applyFont="1" applyFill="1" applyBorder="1" applyAlignment="1">
      <alignment horizontal="center" vertical="center"/>
    </xf>
    <xf numFmtId="0" fontId="28" fillId="26" borderId="21" xfId="0" applyFont="1" applyFill="1" applyBorder="1" applyAlignment="1">
      <alignment horizontal="center" vertical="center"/>
    </xf>
    <xf numFmtId="171" fontId="67" fillId="0" borderId="77" xfId="27" applyNumberFormat="1" applyFont="1" applyBorder="1"/>
    <xf numFmtId="171" fontId="67" fillId="0" borderId="89" xfId="27" applyNumberFormat="1" applyFont="1" applyBorder="1"/>
    <xf numFmtId="171" fontId="67" fillId="0" borderId="90" xfId="27" applyNumberFormat="1" applyFont="1" applyBorder="1"/>
    <xf numFmtId="171" fontId="67" fillId="0" borderId="92" xfId="27" applyNumberFormat="1" applyFont="1" applyBorder="1"/>
    <xf numFmtId="171" fontId="67" fillId="0" borderId="105" xfId="27" applyNumberFormat="1" applyFont="1" applyBorder="1"/>
    <xf numFmtId="171" fontId="67" fillId="24" borderId="77" xfId="27" applyNumberFormat="1" applyFont="1" applyFill="1" applyBorder="1"/>
    <xf numFmtId="171" fontId="67" fillId="24" borderId="90" xfId="27" applyNumberFormat="1" applyFont="1" applyFill="1" applyBorder="1"/>
    <xf numFmtId="171" fontId="67" fillId="24" borderId="92" xfId="27" applyNumberFormat="1" applyFont="1" applyFill="1" applyBorder="1"/>
    <xf numFmtId="171" fontId="67" fillId="0" borderId="78" xfId="27" applyNumberFormat="1" applyFont="1" applyBorder="1"/>
    <xf numFmtId="171" fontId="67" fillId="0" borderId="91" xfId="27" applyNumberFormat="1" applyFont="1" applyBorder="1"/>
    <xf numFmtId="171" fontId="67" fillId="0" borderId="106" xfId="27" applyNumberFormat="1" applyFont="1" applyBorder="1"/>
    <xf numFmtId="171" fontId="68" fillId="0" borderId="107" xfId="27" applyNumberFormat="1" applyFont="1" applyBorder="1" applyAlignment="1">
      <alignment vertical="center"/>
    </xf>
    <xf numFmtId="171" fontId="68" fillId="28" borderId="95" xfId="27" applyNumberFormat="1" applyFont="1" applyFill="1" applyBorder="1" applyAlignment="1">
      <alignment vertical="center"/>
    </xf>
    <xf numFmtId="171" fontId="67" fillId="0" borderId="0" xfId="27" applyNumberFormat="1" applyFont="1"/>
    <xf numFmtId="43" fontId="67" fillId="0" borderId="143" xfId="27" applyFont="1" applyBorder="1" applyAlignment="1"/>
    <xf numFmtId="43" fontId="67" fillId="0" borderId="147" xfId="27" applyFont="1" applyBorder="1" applyAlignment="1"/>
    <xf numFmtId="43" fontId="67" fillId="0" borderId="98" xfId="27" applyFont="1" applyBorder="1"/>
    <xf numFmtId="43" fontId="67" fillId="0" borderId="90" xfId="27" applyFont="1" applyBorder="1" applyAlignment="1"/>
    <xf numFmtId="43" fontId="67" fillId="0" borderId="148" xfId="27" applyFont="1" applyBorder="1" applyAlignment="1"/>
    <xf numFmtId="43" fontId="67" fillId="0" borderId="99" xfId="27" applyFont="1" applyBorder="1"/>
    <xf numFmtId="43" fontId="67" fillId="32" borderId="148" xfId="27" applyFont="1" applyFill="1" applyBorder="1" applyAlignment="1"/>
    <xf numFmtId="43" fontId="67" fillId="0" borderId="91" xfId="27" applyFont="1" applyBorder="1" applyAlignment="1"/>
    <xf numFmtId="43" fontId="67" fillId="0" borderId="0" xfId="27" applyFont="1" applyBorder="1" applyAlignment="1"/>
    <xf numFmtId="43" fontId="67" fillId="0" borderId="18" xfId="27" applyFont="1" applyBorder="1" applyAlignment="1"/>
    <xf numFmtId="43" fontId="67" fillId="0" borderId="149" xfId="27" applyFont="1" applyBorder="1" applyAlignment="1"/>
    <xf numFmtId="43" fontId="68" fillId="0" borderId="101" xfId="27" applyFont="1" applyBorder="1" applyAlignment="1">
      <alignment vertical="center"/>
    </xf>
    <xf numFmtId="43" fontId="68" fillId="31" borderId="102" xfId="27" applyFont="1" applyFill="1" applyBorder="1" applyAlignment="1">
      <alignment vertical="center"/>
    </xf>
    <xf numFmtId="43" fontId="67" fillId="0" borderId="90" xfId="27" applyFont="1" applyBorder="1"/>
    <xf numFmtId="3" fontId="28" fillId="24" borderId="150" xfId="0" applyNumberFormat="1" applyFont="1" applyFill="1" applyBorder="1" applyAlignment="1">
      <alignment horizontal="right" vertical="center"/>
    </xf>
    <xf numFmtId="3" fontId="28" fillId="24" borderId="146" xfId="0" applyNumberFormat="1" applyFont="1" applyFill="1" applyBorder="1" applyAlignment="1">
      <alignment horizontal="right" vertical="center"/>
    </xf>
    <xf numFmtId="3" fontId="28" fillId="24" borderId="151" xfId="0" applyNumberFormat="1" applyFont="1" applyFill="1" applyBorder="1" applyAlignment="1">
      <alignment horizontal="center" vertical="center"/>
    </xf>
    <xf numFmtId="3" fontId="28" fillId="24" borderId="151" xfId="0" applyNumberFormat="1" applyFont="1" applyFill="1" applyBorder="1" applyAlignment="1">
      <alignment horizontal="right" vertical="center"/>
    </xf>
    <xf numFmtId="0" fontId="127" fillId="24" borderId="0" xfId="0" applyFont="1" applyFill="1" applyAlignment="1">
      <alignment vertical="center"/>
    </xf>
    <xf numFmtId="4" fontId="86" fillId="24" borderId="0" xfId="0" applyNumberFormat="1" applyFont="1" applyFill="1" applyAlignment="1">
      <alignment vertical="center"/>
    </xf>
    <xf numFmtId="0" fontId="86" fillId="24" borderId="0" xfId="0" applyFont="1" applyFill="1" applyAlignment="1">
      <alignment vertical="center"/>
    </xf>
    <xf numFmtId="171" fontId="28" fillId="24" borderId="26" xfId="27" applyNumberFormat="1" applyFont="1" applyFill="1" applyBorder="1" applyAlignment="1">
      <alignment horizontal="right" vertical="center"/>
    </xf>
    <xf numFmtId="166" fontId="67" fillId="0" borderId="89" xfId="0" applyNumberFormat="1" applyFont="1" applyBorder="1" applyAlignment="1">
      <alignment horizontal="center"/>
    </xf>
    <xf numFmtId="166" fontId="67" fillId="0" borderId="77" xfId="0" applyNumberFormat="1" applyFont="1" applyBorder="1" applyAlignment="1">
      <alignment horizontal="center"/>
    </xf>
    <xf numFmtId="166" fontId="67" fillId="24" borderId="77" xfId="0" applyNumberFormat="1" applyFont="1" applyFill="1" applyBorder="1" applyAlignment="1">
      <alignment horizontal="center"/>
    </xf>
    <xf numFmtId="166" fontId="67" fillId="0" borderId="78" xfId="0" applyNumberFormat="1" applyFont="1" applyBorder="1" applyAlignment="1">
      <alignment horizontal="center"/>
    </xf>
    <xf numFmtId="9" fontId="67" fillId="0" borderId="78" xfId="0" applyNumberFormat="1" applyFont="1" applyBorder="1" applyAlignment="1">
      <alignment horizontal="center"/>
    </xf>
    <xf numFmtId="0" fontId="67" fillId="0" borderId="96" xfId="0" applyFont="1" applyBorder="1" applyAlignment="1">
      <alignment horizontal="center"/>
    </xf>
    <xf numFmtId="0" fontId="67" fillId="0" borderId="77" xfId="0" applyFont="1" applyBorder="1" applyAlignment="1">
      <alignment horizontal="center"/>
    </xf>
    <xf numFmtId="0" fontId="67" fillId="0" borderId="78" xfId="0" applyFont="1" applyBorder="1" applyAlignment="1">
      <alignment horizontal="center"/>
    </xf>
    <xf numFmtId="0" fontId="0" fillId="0" borderId="0" xfId="0" applyAlignment="1">
      <alignment horizontal="center"/>
    </xf>
    <xf numFmtId="0" fontId="67" fillId="0" borderId="109" xfId="0" applyFont="1" applyBorder="1" applyAlignment="1">
      <alignment horizontal="center"/>
    </xf>
    <xf numFmtId="0" fontId="0" fillId="0" borderId="14" xfId="0" applyBorder="1" applyAlignment="1">
      <alignment horizontal="center"/>
    </xf>
    <xf numFmtId="16" fontId="80" fillId="24" borderId="0" xfId="0" applyNumberFormat="1" applyFont="1" applyFill="1" applyAlignment="1">
      <alignment vertical="center"/>
    </xf>
    <xf numFmtId="0" fontId="129" fillId="24" borderId="46" xfId="0" applyFont="1" applyFill="1" applyBorder="1" applyAlignment="1">
      <alignment horizontal="center" vertical="center" wrapText="1"/>
    </xf>
    <xf numFmtId="3" fontId="130" fillId="24" borderId="31" xfId="0" applyNumberFormat="1" applyFont="1" applyFill="1" applyBorder="1" applyAlignment="1">
      <alignment horizontal="center" vertical="center"/>
    </xf>
    <xf numFmtId="4" fontId="130" fillId="24" borderId="26" xfId="0" applyNumberFormat="1" applyFont="1" applyFill="1" applyBorder="1" applyAlignment="1">
      <alignment horizontal="right" vertical="center" wrapText="1"/>
    </xf>
    <xf numFmtId="3" fontId="130" fillId="24" borderId="26" xfId="0" applyNumberFormat="1" applyFont="1" applyFill="1" applyBorder="1" applyAlignment="1">
      <alignment horizontal="right" vertical="center" wrapText="1"/>
    </xf>
    <xf numFmtId="4" fontId="130" fillId="24" borderId="26" xfId="0" applyNumberFormat="1" applyFont="1" applyFill="1" applyBorder="1" applyAlignment="1">
      <alignment horizontal="center" vertical="center" wrapText="1"/>
    </xf>
    <xf numFmtId="3" fontId="130" fillId="24" borderId="26" xfId="0" applyNumberFormat="1" applyFont="1" applyFill="1" applyBorder="1" applyAlignment="1">
      <alignment horizontal="center" vertical="center" wrapText="1"/>
    </xf>
    <xf numFmtId="4" fontId="130" fillId="24" borderId="26" xfId="27" applyNumberFormat="1" applyFont="1" applyFill="1" applyBorder="1" applyAlignment="1">
      <alignment horizontal="center" vertical="center" wrapText="1"/>
    </xf>
    <xf numFmtId="3" fontId="130" fillId="24" borderId="68" xfId="0" applyNumberFormat="1" applyFont="1" applyFill="1" applyBorder="1" applyAlignment="1">
      <alignment vertical="center" wrapText="1"/>
    </xf>
    <xf numFmtId="4" fontId="130" fillId="24" borderId="68" xfId="0" applyNumberFormat="1" applyFont="1" applyFill="1" applyBorder="1" applyAlignment="1">
      <alignment vertical="center" wrapText="1"/>
    </xf>
    <xf numFmtId="3" fontId="29" fillId="24" borderId="68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horizontal="right" vertical="center" wrapText="1"/>
    </xf>
    <xf numFmtId="0" fontId="131" fillId="24" borderId="46" xfId="0" applyFont="1" applyFill="1" applyBorder="1" applyAlignment="1">
      <alignment horizontal="center" vertical="center" wrapText="1"/>
    </xf>
    <xf numFmtId="0" fontId="51" fillId="25" borderId="20" xfId="0" applyFont="1" applyFill="1" applyBorder="1" applyAlignment="1">
      <alignment horizontal="center" vertical="center"/>
    </xf>
    <xf numFmtId="171" fontId="67" fillId="0" borderId="0" xfId="0" applyNumberFormat="1" applyFont="1"/>
    <xf numFmtId="0" fontId="72" fillId="0" borderId="7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7" xfId="0" applyFont="1" applyBorder="1" applyAlignment="1">
      <alignment horizontal="center"/>
    </xf>
    <xf numFmtId="0" fontId="133" fillId="0" borderId="77" xfId="0" applyFont="1" applyBorder="1" applyAlignment="1">
      <alignment horizontal="center"/>
    </xf>
    <xf numFmtId="0" fontId="134" fillId="0" borderId="90" xfId="0" applyFont="1" applyBorder="1" applyAlignment="1">
      <alignment horizontal="center"/>
    </xf>
    <xf numFmtId="0" fontId="134" fillId="0" borderId="0" xfId="0" applyFont="1" applyAlignment="1">
      <alignment horizontal="center"/>
    </xf>
    <xf numFmtId="0" fontId="135" fillId="24" borderId="77" xfId="38" applyFont="1" applyFill="1" applyBorder="1" applyAlignment="1">
      <alignment vertical="top"/>
    </xf>
    <xf numFmtId="0" fontId="135" fillId="24" borderId="78" xfId="38" applyFont="1" applyFill="1" applyBorder="1" applyAlignment="1">
      <alignment vertical="top"/>
    </xf>
    <xf numFmtId="43" fontId="67" fillId="32" borderId="0" xfId="27" applyFont="1" applyFill="1" applyBorder="1" applyAlignment="1"/>
    <xf numFmtId="0" fontId="134" fillId="0" borderId="77" xfId="0" applyFont="1" applyBorder="1" applyAlignment="1">
      <alignment horizontal="center"/>
    </xf>
    <xf numFmtId="0" fontId="135" fillId="24" borderId="78" xfId="0" applyFont="1" applyFill="1" applyBorder="1" applyAlignment="1">
      <alignment horizontal="left" vertical="top"/>
    </xf>
    <xf numFmtId="0" fontId="136" fillId="24" borderId="77" xfId="0" applyFont="1" applyFill="1" applyBorder="1" applyAlignment="1">
      <alignment vertical="top"/>
    </xf>
    <xf numFmtId="43" fontId="0" fillId="0" borderId="0" xfId="27" applyFont="1"/>
    <xf numFmtId="0" fontId="28" fillId="24" borderId="24" xfId="0" applyFont="1" applyFill="1" applyBorder="1" applyAlignment="1">
      <alignment horizontal="center" vertical="center"/>
    </xf>
    <xf numFmtId="0" fontId="59" fillId="27" borderId="56" xfId="0" applyFont="1" applyFill="1" applyBorder="1" applyAlignment="1">
      <alignment horizontal="center" vertical="center" wrapText="1"/>
    </xf>
    <xf numFmtId="3" fontId="59" fillId="27" borderId="84" xfId="0" applyNumberFormat="1" applyFont="1" applyFill="1" applyBorder="1" applyAlignment="1">
      <alignment horizontal="center" vertical="center" wrapText="1"/>
    </xf>
    <xf numFmtId="0" fontId="59" fillId="27" borderId="80" xfId="0" applyFont="1" applyFill="1" applyBorder="1" applyAlignment="1">
      <alignment horizontal="center" vertical="center" wrapText="1"/>
    </xf>
    <xf numFmtId="3" fontId="59" fillId="27" borderId="84" xfId="0" applyNumberFormat="1" applyFont="1" applyFill="1" applyBorder="1" applyAlignment="1">
      <alignment vertical="center" wrapText="1"/>
    </xf>
    <xf numFmtId="0" fontId="59" fillId="27" borderId="81" xfId="0" applyFont="1" applyFill="1" applyBorder="1" applyAlignment="1">
      <alignment horizontal="center" vertical="center" wrapText="1"/>
    </xf>
    <xf numFmtId="3" fontId="59" fillId="27" borderId="29" xfId="0" applyNumberFormat="1" applyFont="1" applyFill="1" applyBorder="1" applyAlignment="1">
      <alignment horizontal="center" vertical="center" wrapText="1"/>
    </xf>
    <xf numFmtId="4" fontId="59" fillId="27" borderId="29" xfId="0" applyNumberFormat="1" applyFont="1" applyFill="1" applyBorder="1" applyAlignment="1">
      <alignment horizontal="center" vertical="center" wrapText="1"/>
    </xf>
    <xf numFmtId="0" fontId="59" fillId="27" borderId="29" xfId="0" applyFont="1" applyFill="1" applyBorder="1" applyAlignment="1">
      <alignment horizontal="center" vertical="center" wrapText="1"/>
    </xf>
    <xf numFmtId="3" fontId="59" fillId="27" borderId="32" xfId="0" applyNumberFormat="1" applyFont="1" applyFill="1" applyBorder="1" applyAlignment="1">
      <alignment horizontal="center" vertical="center" wrapText="1"/>
    </xf>
    <xf numFmtId="0" fontId="59" fillId="27" borderId="32" xfId="0" applyFont="1" applyFill="1" applyBorder="1" applyAlignment="1">
      <alignment horizontal="center" vertical="center" wrapText="1"/>
    </xf>
    <xf numFmtId="171" fontId="0" fillId="0" borderId="0" xfId="0" applyNumberFormat="1"/>
    <xf numFmtId="0" fontId="107" fillId="0" borderId="0" xfId="0" applyFont="1" applyAlignment="1">
      <alignment horizontal="center"/>
    </xf>
    <xf numFmtId="171" fontId="91" fillId="0" borderId="0" xfId="0" applyNumberFormat="1" applyFont="1" applyAlignment="1">
      <alignment vertical="center"/>
    </xf>
    <xf numFmtId="4" fontId="66" fillId="32" borderId="0" xfId="0" applyNumberFormat="1" applyFont="1" applyFill="1" applyAlignment="1">
      <alignment vertical="center"/>
    </xf>
    <xf numFmtId="0" fontId="0" fillId="0" borderId="0" xfId="0" applyAlignment="1">
      <alignment vertical="top"/>
    </xf>
    <xf numFmtId="0" fontId="139" fillId="0" borderId="0" xfId="0" applyFont="1"/>
    <xf numFmtId="0" fontId="140" fillId="0" borderId="0" xfId="0" applyFont="1"/>
    <xf numFmtId="43" fontId="140" fillId="0" borderId="0" xfId="27" applyFont="1" applyBorder="1"/>
    <xf numFmtId="164" fontId="140" fillId="0" borderId="0" xfId="44" applyFont="1" applyBorder="1"/>
    <xf numFmtId="2" fontId="139" fillId="0" borderId="0" xfId="0" applyNumberFormat="1" applyFont="1"/>
    <xf numFmtId="180" fontId="139" fillId="0" borderId="0" xfId="0" applyNumberFormat="1" applyFont="1"/>
    <xf numFmtId="171" fontId="141" fillId="0" borderId="0" xfId="27" applyNumberFormat="1" applyFont="1" applyBorder="1"/>
    <xf numFmtId="0" fontId="138" fillId="0" borderId="0" xfId="0" applyFont="1"/>
    <xf numFmtId="164" fontId="138" fillId="0" borderId="0" xfId="44" applyFont="1" applyBorder="1" applyAlignment="1">
      <alignment horizontal="right"/>
    </xf>
    <xf numFmtId="0" fontId="0" fillId="34" borderId="0" xfId="0" applyFill="1"/>
    <xf numFmtId="0" fontId="0" fillId="35" borderId="0" xfId="0" applyFill="1"/>
    <xf numFmtId="171" fontId="139" fillId="0" borderId="0" xfId="0" applyNumberFormat="1" applyFont="1"/>
    <xf numFmtId="0" fontId="142" fillId="24" borderId="0" xfId="0" applyFont="1" applyFill="1"/>
    <xf numFmtId="0" fontId="143" fillId="24" borderId="0" xfId="0" applyFont="1" applyFill="1" applyAlignment="1">
      <alignment horizontal="center"/>
    </xf>
    <xf numFmtId="0" fontId="144" fillId="24" borderId="0" xfId="0" applyFont="1" applyFill="1" applyAlignment="1">
      <alignment horizontal="center"/>
    </xf>
    <xf numFmtId="0" fontId="142" fillId="24" borderId="0" xfId="0" applyFont="1" applyFill="1" applyAlignment="1">
      <alignment vertical="center"/>
    </xf>
    <xf numFmtId="0" fontId="142" fillId="24" borderId="0" xfId="0" applyFont="1" applyFill="1" applyAlignment="1">
      <alignment horizontal="center"/>
    </xf>
    <xf numFmtId="0" fontId="145" fillId="24" borderId="0" xfId="0" applyFont="1" applyFill="1"/>
    <xf numFmtId="0" fontId="146" fillId="24" borderId="0" xfId="0" applyFont="1" applyFill="1"/>
    <xf numFmtId="0" fontId="147" fillId="0" borderId="0" xfId="0" applyFont="1"/>
    <xf numFmtId="0" fontId="144" fillId="24" borderId="0" xfId="0" applyFont="1" applyFill="1"/>
    <xf numFmtId="0" fontId="147" fillId="24" borderId="0" xfId="0" applyFont="1" applyFill="1"/>
    <xf numFmtId="0" fontId="143" fillId="24" borderId="0" xfId="0" applyFont="1" applyFill="1"/>
    <xf numFmtId="0" fontId="142" fillId="29" borderId="0" xfId="0" applyFont="1" applyFill="1"/>
    <xf numFmtId="43" fontId="67" fillId="0" borderId="0" xfId="27" applyFont="1"/>
    <xf numFmtId="43" fontId="91" fillId="0" borderId="0" xfId="27" applyFont="1" applyAlignment="1">
      <alignment vertical="center"/>
    </xf>
    <xf numFmtId="43" fontId="67" fillId="0" borderId="0" xfId="27" applyFont="1" applyBorder="1"/>
    <xf numFmtId="3" fontId="139" fillId="0" borderId="0" xfId="0" applyNumberFormat="1" applyFont="1"/>
    <xf numFmtId="167" fontId="39" fillId="0" borderId="0" xfId="0" applyNumberFormat="1" applyFont="1"/>
    <xf numFmtId="3" fontId="139" fillId="38" borderId="0" xfId="0" applyNumberFormat="1" applyFont="1" applyFill="1"/>
    <xf numFmtId="43" fontId="115" fillId="24" borderId="0" xfId="27" applyFont="1" applyFill="1" applyBorder="1" applyAlignment="1"/>
    <xf numFmtId="177" fontId="115" fillId="24" borderId="0" xfId="27" applyNumberFormat="1" applyFont="1" applyFill="1" applyBorder="1" applyAlignment="1"/>
    <xf numFmtId="43" fontId="115" fillId="24" borderId="0" xfId="27" applyFont="1" applyFill="1" applyBorder="1" applyAlignment="1">
      <alignment horizontal="center"/>
    </xf>
    <xf numFmtId="177" fontId="115" fillId="24" borderId="0" xfId="27" applyNumberFormat="1" applyFont="1" applyFill="1" applyBorder="1" applyAlignment="1">
      <alignment horizontal="center"/>
    </xf>
    <xf numFmtId="0" fontId="143" fillId="24" borderId="0" xfId="0" applyFont="1" applyFill="1" applyAlignment="1">
      <alignment horizontal="center" vertical="center"/>
    </xf>
    <xf numFmtId="0" fontId="116" fillId="24" borderId="0" xfId="0" applyFont="1" applyFill="1" applyAlignment="1">
      <alignment horizontal="center" vertical="center"/>
    </xf>
    <xf numFmtId="0" fontId="144" fillId="24" borderId="0" xfId="0" applyFont="1" applyFill="1" applyAlignment="1">
      <alignment horizontal="center" vertical="center"/>
    </xf>
    <xf numFmtId="0" fontId="115" fillId="24" borderId="0" xfId="0" applyFont="1" applyFill="1" applyAlignment="1">
      <alignment horizontal="center" vertical="center"/>
    </xf>
    <xf numFmtId="0" fontId="142" fillId="24" borderId="0" xfId="0" applyFont="1" applyFill="1" applyAlignment="1">
      <alignment horizontal="center" vertical="center"/>
    </xf>
    <xf numFmtId="0" fontId="145" fillId="24" borderId="0" xfId="0" applyFont="1" applyFill="1" applyAlignment="1">
      <alignment vertical="center"/>
    </xf>
    <xf numFmtId="0" fontId="146" fillId="24" borderId="0" xfId="0" applyFont="1" applyFill="1" applyAlignment="1">
      <alignment vertical="center"/>
    </xf>
    <xf numFmtId="0" fontId="148" fillId="0" borderId="0" xfId="0" applyFont="1"/>
    <xf numFmtId="0" fontId="144" fillId="24" borderId="0" xfId="0" applyFont="1" applyFill="1" applyAlignment="1">
      <alignment vertical="center"/>
    </xf>
    <xf numFmtId="0" fontId="147" fillId="24" borderId="0" xfId="0" applyFont="1" applyFill="1" applyAlignment="1">
      <alignment vertical="center"/>
    </xf>
    <xf numFmtId="0" fontId="143" fillId="24" borderId="0" xfId="0" applyFont="1" applyFill="1" applyAlignment="1">
      <alignment vertical="center"/>
    </xf>
    <xf numFmtId="43" fontId="115" fillId="29" borderId="0" xfId="27" applyFont="1" applyFill="1" applyBorder="1" applyAlignment="1"/>
    <xf numFmtId="177" fontId="115" fillId="29" borderId="0" xfId="27" applyNumberFormat="1" applyFont="1" applyFill="1" applyBorder="1" applyAlignment="1"/>
    <xf numFmtId="181" fontId="28" fillId="26" borderId="21" xfId="0" applyNumberFormat="1" applyFont="1" applyFill="1" applyBorder="1" applyAlignment="1">
      <alignment horizontal="right" vertical="center" wrapText="1"/>
    </xf>
    <xf numFmtId="178" fontId="149" fillId="0" borderId="0" xfId="0" applyNumberFormat="1" applyFont="1" applyAlignment="1">
      <alignment vertical="top"/>
    </xf>
    <xf numFmtId="3" fontId="149" fillId="0" borderId="0" xfId="0" applyNumberFormat="1" applyFont="1" applyAlignment="1">
      <alignment vertical="top"/>
    </xf>
    <xf numFmtId="4" fontId="149" fillId="0" borderId="0" xfId="0" applyNumberFormat="1" applyFont="1" applyAlignment="1">
      <alignment vertical="top"/>
    </xf>
    <xf numFmtId="4" fontId="151" fillId="32" borderId="0" xfId="0" applyNumberFormat="1" applyFont="1" applyFill="1"/>
    <xf numFmtId="0" fontId="60" fillId="24" borderId="179" xfId="38" applyFont="1" applyFill="1" applyBorder="1" applyAlignment="1">
      <alignment vertical="top"/>
    </xf>
    <xf numFmtId="0" fontId="67" fillId="0" borderId="179" xfId="0" applyFont="1" applyBorder="1" applyAlignment="1">
      <alignment horizontal="center"/>
    </xf>
    <xf numFmtId="0" fontId="0" fillId="0" borderId="109" xfId="0" applyBorder="1" applyAlignment="1">
      <alignment horizontal="center"/>
    </xf>
    <xf numFmtId="167" fontId="117" fillId="0" borderId="0" xfId="0" applyNumberFormat="1" applyFont="1" applyAlignment="1">
      <alignment horizontal="right"/>
    </xf>
    <xf numFmtId="0" fontId="124" fillId="0" borderId="0" xfId="0" applyFont="1" applyAlignment="1">
      <alignment horizontal="center" vertical="center"/>
    </xf>
    <xf numFmtId="0" fontId="133" fillId="0" borderId="0" xfId="0" applyFont="1"/>
    <xf numFmtId="0" fontId="123" fillId="27" borderId="154" xfId="0" applyFont="1" applyFill="1" applyBorder="1" applyAlignment="1">
      <alignment horizontal="center" vertical="center" wrapText="1"/>
    </xf>
    <xf numFmtId="0" fontId="123" fillId="27" borderId="155" xfId="0" applyFont="1" applyFill="1" applyBorder="1" applyAlignment="1">
      <alignment horizontal="center" vertical="center" wrapText="1"/>
    </xf>
    <xf numFmtId="3" fontId="125" fillId="24" borderId="158" xfId="0" applyNumberFormat="1" applyFont="1" applyFill="1" applyBorder="1" applyAlignment="1">
      <alignment horizontal="center" vertical="center" wrapText="1"/>
    </xf>
    <xf numFmtId="3" fontId="125" fillId="24" borderId="156" xfId="0" applyNumberFormat="1" applyFont="1" applyFill="1" applyBorder="1" applyAlignment="1">
      <alignment horizontal="center" vertical="center" wrapText="1"/>
    </xf>
    <xf numFmtId="3" fontId="125" fillId="24" borderId="160" xfId="0" applyNumberFormat="1" applyFont="1" applyFill="1" applyBorder="1" applyAlignment="1">
      <alignment horizontal="center" vertical="center" wrapText="1"/>
    </xf>
    <xf numFmtId="3" fontId="125" fillId="24" borderId="161" xfId="0" applyNumberFormat="1" applyFont="1" applyFill="1" applyBorder="1" applyAlignment="1">
      <alignment horizontal="center" vertical="center" wrapText="1"/>
    </xf>
    <xf numFmtId="3" fontId="124" fillId="0" borderId="18" xfId="0" applyNumberFormat="1" applyFont="1" applyBorder="1" applyAlignment="1">
      <alignment horizontal="center" vertical="center"/>
    </xf>
    <xf numFmtId="3" fontId="125" fillId="27" borderId="159" xfId="0" applyNumberFormat="1" applyFont="1" applyFill="1" applyBorder="1" applyAlignment="1">
      <alignment horizontal="center" vertical="center" wrapText="1"/>
    </xf>
    <xf numFmtId="3" fontId="125" fillId="24" borderId="162" xfId="0" applyNumberFormat="1" applyFont="1" applyFill="1" applyBorder="1" applyAlignment="1">
      <alignment horizontal="right" vertical="center"/>
    </xf>
    <xf numFmtId="3" fontId="125" fillId="24" borderId="163" xfId="0" applyNumberFormat="1" applyFont="1" applyFill="1" applyBorder="1" applyAlignment="1">
      <alignment horizontal="right" vertical="center"/>
    </xf>
    <xf numFmtId="3" fontId="125" fillId="24" borderId="155" xfId="0" applyNumberFormat="1" applyFont="1" applyFill="1" applyBorder="1" applyAlignment="1">
      <alignment horizontal="right" vertical="center"/>
    </xf>
    <xf numFmtId="3" fontId="125" fillId="24" borderId="164" xfId="0" applyNumberFormat="1" applyFont="1" applyFill="1" applyBorder="1" applyAlignment="1">
      <alignment horizontal="right" vertical="center"/>
    </xf>
    <xf numFmtId="3" fontId="125" fillId="24" borderId="165" xfId="0" applyNumberFormat="1" applyFont="1" applyFill="1" applyBorder="1" applyAlignment="1">
      <alignment horizontal="right" vertical="center"/>
    </xf>
    <xf numFmtId="3" fontId="125" fillId="24" borderId="166" xfId="0" applyNumberFormat="1" applyFont="1" applyFill="1" applyBorder="1" applyAlignment="1">
      <alignment horizontal="right" vertical="center"/>
    </xf>
    <xf numFmtId="3" fontId="124" fillId="24" borderId="166" xfId="0" applyNumberFormat="1" applyFont="1" applyFill="1" applyBorder="1" applyAlignment="1">
      <alignment horizontal="center" vertical="center"/>
    </xf>
    <xf numFmtId="3" fontId="125" fillId="24" borderId="167" xfId="0" applyNumberFormat="1" applyFont="1" applyFill="1" applyBorder="1" applyAlignment="1">
      <alignment horizontal="right" vertical="center"/>
    </xf>
    <xf numFmtId="3" fontId="124" fillId="26" borderId="169" xfId="0" applyNumberFormat="1" applyFont="1" applyFill="1" applyBorder="1" applyAlignment="1">
      <alignment horizontal="center" vertical="center"/>
    </xf>
    <xf numFmtId="3" fontId="117" fillId="24" borderId="167" xfId="0" applyNumberFormat="1" applyFont="1" applyFill="1" applyBorder="1" applyAlignment="1">
      <alignment horizontal="right" vertical="center"/>
    </xf>
    <xf numFmtId="3" fontId="125" fillId="28" borderId="169" xfId="0" applyNumberFormat="1" applyFont="1" applyFill="1" applyBorder="1" applyAlignment="1">
      <alignment horizontal="right" vertical="center"/>
    </xf>
    <xf numFmtId="3" fontId="125" fillId="24" borderId="170" xfId="0" applyNumberFormat="1" applyFont="1" applyFill="1" applyBorder="1" applyAlignment="1">
      <alignment horizontal="right" vertical="center"/>
    </xf>
    <xf numFmtId="3" fontId="125" fillId="28" borderId="169" xfId="0" applyNumberFormat="1" applyFont="1" applyFill="1" applyBorder="1" applyAlignment="1">
      <alignment horizontal="center" vertical="center" wrapText="1"/>
    </xf>
    <xf numFmtId="3" fontId="125" fillId="24" borderId="171" xfId="0" applyNumberFormat="1" applyFont="1" applyFill="1" applyBorder="1" applyAlignment="1">
      <alignment horizontal="right" vertical="center"/>
    </xf>
    <xf numFmtId="3" fontId="125" fillId="24" borderId="170" xfId="0" applyNumberFormat="1" applyFont="1" applyFill="1" applyBorder="1" applyAlignment="1">
      <alignment horizontal="center" vertical="center"/>
    </xf>
    <xf numFmtId="3" fontId="125" fillId="24" borderId="163" xfId="0" applyNumberFormat="1" applyFont="1" applyFill="1" applyBorder="1" applyAlignment="1">
      <alignment horizontal="center" vertical="center"/>
    </xf>
    <xf numFmtId="3" fontId="124" fillId="0" borderId="166" xfId="0" applyNumberFormat="1" applyFont="1" applyBorder="1" applyAlignment="1">
      <alignment horizontal="center" vertical="center"/>
    </xf>
    <xf numFmtId="3" fontId="125" fillId="24" borderId="166" xfId="0" applyNumberFormat="1" applyFont="1" applyFill="1" applyBorder="1" applyAlignment="1">
      <alignment horizontal="center" vertical="center"/>
    </xf>
    <xf numFmtId="3" fontId="125" fillId="24" borderId="167" xfId="0" applyNumberFormat="1" applyFont="1" applyFill="1" applyBorder="1" applyAlignment="1">
      <alignment horizontal="center" vertical="center"/>
    </xf>
    <xf numFmtId="4" fontId="117" fillId="24" borderId="166" xfId="0" applyNumberFormat="1" applyFont="1" applyFill="1" applyBorder="1" applyAlignment="1">
      <alignment vertical="center" wrapText="1"/>
    </xf>
    <xf numFmtId="3" fontId="125" fillId="0" borderId="170" xfId="0" applyNumberFormat="1" applyFont="1" applyBorder="1" applyAlignment="1">
      <alignment horizontal="right" vertical="center"/>
    </xf>
    <xf numFmtId="3" fontId="125" fillId="0" borderId="166" xfId="0" applyNumberFormat="1" applyFont="1" applyBorder="1" applyAlignment="1">
      <alignment horizontal="right" vertical="center"/>
    </xf>
    <xf numFmtId="3" fontId="125" fillId="0" borderId="164" xfId="0" applyNumberFormat="1" applyFont="1" applyBorder="1" applyAlignment="1">
      <alignment horizontal="right" vertical="center"/>
    </xf>
    <xf numFmtId="3" fontId="125" fillId="24" borderId="164" xfId="0" applyNumberFormat="1" applyFont="1" applyFill="1" applyBorder="1" applyAlignment="1">
      <alignment horizontal="center" vertical="center"/>
    </xf>
    <xf numFmtId="3" fontId="125" fillId="0" borderId="167" xfId="0" applyNumberFormat="1" applyFont="1" applyBorder="1" applyAlignment="1">
      <alignment horizontal="right" vertical="center"/>
    </xf>
    <xf numFmtId="3" fontId="125" fillId="24" borderId="155" xfId="0" applyNumberFormat="1" applyFont="1" applyFill="1" applyBorder="1" applyAlignment="1">
      <alignment horizontal="center" vertical="center"/>
    </xf>
    <xf numFmtId="3" fontId="124" fillId="32" borderId="167" xfId="0" applyNumberFormat="1" applyFont="1" applyFill="1" applyBorder="1" applyAlignment="1">
      <alignment horizontal="center" vertical="center"/>
    </xf>
    <xf numFmtId="4" fontId="117" fillId="24" borderId="164" xfId="0" applyNumberFormat="1" applyFont="1" applyFill="1" applyBorder="1" applyAlignment="1">
      <alignment horizontal="right" vertical="center" wrapText="1"/>
    </xf>
    <xf numFmtId="4" fontId="117" fillId="24" borderId="166" xfId="0" applyNumberFormat="1" applyFont="1" applyFill="1" applyBorder="1" applyAlignment="1">
      <alignment horizontal="right" vertical="center" wrapText="1"/>
    </xf>
    <xf numFmtId="3" fontId="125" fillId="24" borderId="165" xfId="0" applyNumberFormat="1" applyFont="1" applyFill="1" applyBorder="1" applyAlignment="1">
      <alignment horizontal="center" vertical="center"/>
    </xf>
    <xf numFmtId="0" fontId="0" fillId="37" borderId="0" xfId="0" applyFill="1" applyAlignment="1">
      <alignment vertical="top"/>
    </xf>
    <xf numFmtId="0" fontId="0" fillId="40" borderId="0" xfId="0" applyFill="1" applyAlignment="1">
      <alignment vertical="top"/>
    </xf>
    <xf numFmtId="0" fontId="91" fillId="39" borderId="0" xfId="0" applyFont="1" applyFill="1"/>
    <xf numFmtId="171" fontId="152" fillId="39" borderId="0" xfId="27" applyNumberFormat="1" applyFont="1" applyFill="1"/>
    <xf numFmtId="3" fontId="43" fillId="24" borderId="69" xfId="0" applyNumberFormat="1" applyFont="1" applyFill="1" applyBorder="1" applyAlignment="1">
      <alignment horizontal="right" vertical="center"/>
    </xf>
    <xf numFmtId="3" fontId="43" fillId="24" borderId="151" xfId="0" applyNumberFormat="1" applyFont="1" applyFill="1" applyBorder="1" applyAlignment="1">
      <alignment horizontal="right" vertical="center"/>
    </xf>
    <xf numFmtId="0" fontId="28" fillId="24" borderId="31" xfId="0" applyFont="1" applyFill="1" applyBorder="1" applyAlignment="1">
      <alignment horizontal="center" vertical="center" wrapText="1"/>
    </xf>
    <xf numFmtId="0" fontId="59" fillId="24" borderId="184" xfId="0" applyFont="1" applyFill="1" applyBorder="1" applyAlignment="1">
      <alignment vertical="center" wrapText="1"/>
    </xf>
    <xf numFmtId="3" fontId="43" fillId="24" borderId="184" xfId="0" applyNumberFormat="1" applyFont="1" applyFill="1" applyBorder="1" applyAlignment="1">
      <alignment horizontal="right" vertical="center"/>
    </xf>
    <xf numFmtId="4" fontId="39" fillId="24" borderId="182" xfId="0" applyNumberFormat="1" applyFont="1" applyFill="1" applyBorder="1" applyAlignment="1">
      <alignment vertical="center"/>
    </xf>
    <xf numFmtId="0" fontId="39" fillId="24" borderId="178" xfId="0" applyFont="1" applyFill="1" applyBorder="1" applyAlignment="1">
      <alignment vertical="center"/>
    </xf>
    <xf numFmtId="43" fontId="67" fillId="0" borderId="92" xfId="27" applyFont="1" applyBorder="1"/>
    <xf numFmtId="4" fontId="39" fillId="24" borderId="190" xfId="0" applyNumberFormat="1" applyFont="1" applyFill="1" applyBorder="1" applyAlignment="1">
      <alignment vertical="center"/>
    </xf>
    <xf numFmtId="0" fontId="109" fillId="24" borderId="152" xfId="0" applyFont="1" applyFill="1" applyBorder="1" applyAlignment="1">
      <alignment horizontal="center"/>
    </xf>
    <xf numFmtId="0" fontId="109" fillId="24" borderId="77" xfId="0" applyFont="1" applyFill="1" applyBorder="1" applyAlignment="1">
      <alignment horizontal="center"/>
    </xf>
    <xf numFmtId="0" fontId="132" fillId="24" borderId="77" xfId="0" applyFont="1" applyFill="1" applyBorder="1" applyAlignment="1">
      <alignment horizontal="center"/>
    </xf>
    <xf numFmtId="0" fontId="60" fillId="24" borderId="91" xfId="0" applyFont="1" applyFill="1" applyBorder="1" applyAlignment="1">
      <alignment horizontal="center"/>
    </xf>
    <xf numFmtId="0" fontId="26" fillId="24" borderId="152" xfId="0" applyFont="1" applyFill="1" applyBorder="1" applyAlignment="1">
      <alignment horizontal="center"/>
    </xf>
    <xf numFmtId="0" fontId="26" fillId="24" borderId="77" xfId="0" applyFont="1" applyFill="1" applyBorder="1" applyAlignment="1">
      <alignment horizontal="center"/>
    </xf>
    <xf numFmtId="0" fontId="150" fillId="24" borderId="152" xfId="0" applyFont="1" applyFill="1" applyBorder="1" applyAlignment="1">
      <alignment horizontal="center"/>
    </xf>
    <xf numFmtId="0" fontId="26" fillId="24" borderId="178" xfId="0" applyFont="1" applyFill="1" applyBorder="1" applyAlignment="1">
      <alignment horizontal="center"/>
    </xf>
    <xf numFmtId="171" fontId="153" fillId="0" borderId="0" xfId="27" applyNumberFormat="1" applyFont="1" applyBorder="1" applyAlignment="1">
      <alignment horizontal="left"/>
    </xf>
    <xf numFmtId="171" fontId="153" fillId="24" borderId="0" xfId="27" applyNumberFormat="1" applyFont="1" applyFill="1" applyBorder="1" applyAlignment="1">
      <alignment horizontal="center"/>
    </xf>
    <xf numFmtId="171" fontId="154" fillId="24" borderId="0" xfId="27" applyNumberFormat="1" applyFont="1" applyFill="1" applyBorder="1" applyAlignment="1"/>
    <xf numFmtId="0" fontId="153" fillId="24" borderId="0" xfId="0" applyFont="1" applyFill="1"/>
    <xf numFmtId="3" fontId="153" fillId="24" borderId="0" xfId="0" applyNumberFormat="1" applyFont="1" applyFill="1"/>
    <xf numFmtId="171" fontId="153" fillId="24" borderId="0" xfId="0" applyNumberFormat="1" applyFont="1" applyFill="1"/>
    <xf numFmtId="4" fontId="137" fillId="32" borderId="0" xfId="0" applyNumberFormat="1" applyFont="1" applyFill="1" applyAlignment="1">
      <alignment vertical="top"/>
    </xf>
    <xf numFmtId="171" fontId="153" fillId="24" borderId="0" xfId="27" applyNumberFormat="1" applyFont="1" applyFill="1" applyBorder="1" applyAlignment="1"/>
    <xf numFmtId="4" fontId="153" fillId="24" borderId="0" xfId="0" applyNumberFormat="1" applyFont="1" applyFill="1"/>
    <xf numFmtId="183" fontId="153" fillId="24" borderId="0" xfId="0" applyNumberFormat="1" applyFont="1" applyFill="1"/>
    <xf numFmtId="0" fontId="153" fillId="32" borderId="0" xfId="0" applyFont="1" applyFill="1"/>
    <xf numFmtId="171" fontId="153" fillId="0" borderId="153" xfId="27" applyNumberFormat="1" applyFont="1" applyBorder="1" applyAlignment="1">
      <alignment horizontal="left"/>
    </xf>
    <xf numFmtId="171" fontId="154" fillId="24" borderId="0" xfId="27" applyNumberFormat="1" applyFont="1" applyFill="1" applyBorder="1" applyAlignment="1">
      <alignment horizontal="center"/>
    </xf>
    <xf numFmtId="0" fontId="153" fillId="24" borderId="0" xfId="0" applyFont="1" applyFill="1" applyAlignment="1">
      <alignment horizontal="center"/>
    </xf>
    <xf numFmtId="171" fontId="153" fillId="0" borderId="0" xfId="27" applyNumberFormat="1" applyFont="1" applyAlignment="1">
      <alignment horizontal="center"/>
    </xf>
    <xf numFmtId="171" fontId="153" fillId="24" borderId="0" xfId="0" applyNumberFormat="1" applyFont="1" applyFill="1" applyAlignment="1">
      <alignment horizontal="center"/>
    </xf>
    <xf numFmtId="171" fontId="154" fillId="35" borderId="0" xfId="27" applyNumberFormat="1" applyFont="1" applyFill="1" applyBorder="1" applyAlignment="1">
      <alignment horizontal="center"/>
    </xf>
    <xf numFmtId="0" fontId="154" fillId="24" borderId="0" xfId="0" applyFont="1" applyFill="1" applyAlignment="1">
      <alignment horizontal="center"/>
    </xf>
    <xf numFmtId="37" fontId="153" fillId="24" borderId="0" xfId="27" applyNumberFormat="1" applyFont="1" applyFill="1" applyBorder="1" applyAlignment="1">
      <alignment horizontal="center"/>
    </xf>
    <xf numFmtId="171" fontId="153" fillId="0" borderId="153" xfId="27" applyNumberFormat="1" applyFont="1" applyBorder="1" applyAlignment="1">
      <alignment horizontal="left" vertical="center"/>
    </xf>
    <xf numFmtId="171" fontId="154" fillId="24" borderId="0" xfId="27" applyNumberFormat="1" applyFont="1" applyFill="1" applyBorder="1" applyAlignment="1">
      <alignment vertical="center"/>
    </xf>
    <xf numFmtId="0" fontId="153" fillId="24" borderId="0" xfId="0" applyFont="1" applyFill="1" applyAlignment="1">
      <alignment vertical="center"/>
    </xf>
    <xf numFmtId="171" fontId="153" fillId="24" borderId="0" xfId="27" applyNumberFormat="1" applyFont="1" applyFill="1" applyBorder="1" applyAlignment="1">
      <alignment vertical="center"/>
    </xf>
    <xf numFmtId="171" fontId="154" fillId="32" borderId="0" xfId="27" applyNumberFormat="1" applyFont="1" applyFill="1" applyBorder="1" applyAlignment="1">
      <alignment horizontal="center"/>
    </xf>
    <xf numFmtId="171" fontId="153" fillId="0" borderId="187" xfId="27" applyNumberFormat="1" applyFont="1" applyBorder="1" applyAlignment="1">
      <alignment horizontal="left"/>
    </xf>
    <xf numFmtId="0" fontId="153" fillId="0" borderId="153" xfId="0" applyFont="1" applyBorder="1"/>
    <xf numFmtId="0" fontId="154" fillId="24" borderId="0" xfId="0" applyFont="1" applyFill="1"/>
    <xf numFmtId="0" fontId="153" fillId="0" borderId="0" xfId="0" applyFont="1" applyAlignment="1">
      <alignment horizontal="center"/>
    </xf>
    <xf numFmtId="171" fontId="153" fillId="39" borderId="0" xfId="27" applyNumberFormat="1" applyFont="1" applyFill="1" applyBorder="1" applyAlignment="1">
      <alignment horizontal="center"/>
    </xf>
    <xf numFmtId="4" fontId="137" fillId="0" borderId="0" xfId="0" applyNumberFormat="1" applyFont="1" applyAlignment="1">
      <alignment horizontal="center" vertical="center"/>
    </xf>
    <xf numFmtId="0" fontId="153" fillId="0" borderId="153" xfId="0" applyFont="1" applyBorder="1" applyAlignment="1">
      <alignment vertical="center"/>
    </xf>
    <xf numFmtId="171" fontId="154" fillId="0" borderId="0" xfId="27" applyNumberFormat="1" applyFont="1" applyAlignment="1"/>
    <xf numFmtId="0" fontId="153" fillId="0" borderId="0" xfId="0" applyFont="1"/>
    <xf numFmtId="0" fontId="153" fillId="32" borderId="0" xfId="0" applyFont="1" applyFill="1" applyAlignment="1">
      <alignment horizontal="center"/>
    </xf>
    <xf numFmtId="171" fontId="153" fillId="32" borderId="153" xfId="27" applyNumberFormat="1" applyFont="1" applyFill="1" applyBorder="1" applyAlignment="1">
      <alignment horizontal="left"/>
    </xf>
    <xf numFmtId="171" fontId="154" fillId="36" borderId="0" xfId="27" applyNumberFormat="1" applyFont="1" applyFill="1" applyBorder="1" applyAlignment="1">
      <alignment horizontal="center"/>
    </xf>
    <xf numFmtId="0" fontId="153" fillId="0" borderId="0" xfId="0" applyFont="1" applyAlignment="1">
      <alignment horizontal="left" vertical="center"/>
    </xf>
    <xf numFmtId="39" fontId="153" fillId="24" borderId="0" xfId="27" applyNumberFormat="1" applyFont="1" applyFill="1" applyBorder="1" applyAlignment="1">
      <alignment horizontal="center"/>
    </xf>
    <xf numFmtId="171" fontId="154" fillId="39" borderId="0" xfId="27" applyNumberFormat="1" applyFont="1" applyFill="1" applyBorder="1" applyAlignment="1">
      <alignment horizontal="center"/>
    </xf>
    <xf numFmtId="0" fontId="153" fillId="29" borderId="0" xfId="0" applyFont="1" applyFill="1"/>
    <xf numFmtId="171" fontId="153" fillId="29" borderId="0" xfId="27" applyNumberFormat="1" applyFont="1" applyFill="1" applyBorder="1" applyAlignment="1"/>
    <xf numFmtId="43" fontId="139" fillId="0" borderId="0" xfId="27" applyFont="1" applyBorder="1"/>
    <xf numFmtId="0" fontId="75" fillId="0" borderId="0" xfId="0" applyFont="1" applyAlignment="1">
      <alignment vertical="center"/>
    </xf>
    <xf numFmtId="4" fontId="153" fillId="24" borderId="0" xfId="0" applyNumberFormat="1" applyFont="1" applyFill="1" applyAlignment="1">
      <alignment horizontal="center"/>
    </xf>
    <xf numFmtId="4" fontId="149" fillId="0" borderId="0" xfId="0" applyNumberFormat="1" applyFont="1" applyAlignment="1">
      <alignment horizontal="center"/>
    </xf>
    <xf numFmtId="0" fontId="155" fillId="32" borderId="0" xfId="0" applyFont="1" applyFill="1"/>
    <xf numFmtId="3" fontId="54" fillId="24" borderId="144" xfId="0" applyNumberFormat="1" applyFont="1" applyFill="1" applyBorder="1" applyAlignment="1">
      <alignment horizontal="right" vertical="center" wrapText="1"/>
    </xf>
    <xf numFmtId="0" fontId="0" fillId="0" borderId="0" xfId="0" applyAlignment="1">
      <alignment shrinkToFit="1"/>
    </xf>
    <xf numFmtId="0" fontId="75" fillId="0" borderId="0" xfId="0" applyFont="1" applyAlignment="1">
      <alignment shrinkToFit="1"/>
    </xf>
    <xf numFmtId="0" fontId="117" fillId="43" borderId="13" xfId="0" applyFont="1" applyFill="1" applyBorder="1" applyAlignment="1">
      <alignment horizontal="center" shrinkToFit="1"/>
    </xf>
    <xf numFmtId="0" fontId="117" fillId="43" borderId="13" xfId="0" applyFont="1" applyFill="1" applyBorder="1" applyAlignment="1">
      <alignment shrinkToFit="1"/>
    </xf>
    <xf numFmtId="0" fontId="75" fillId="0" borderId="191" xfId="0" applyFont="1" applyBorder="1" applyAlignment="1">
      <alignment shrinkToFit="1"/>
    </xf>
    <xf numFmtId="0" fontId="75" fillId="37" borderId="192" xfId="0" applyFont="1" applyFill="1" applyBorder="1" applyAlignment="1">
      <alignment shrinkToFit="1"/>
    </xf>
    <xf numFmtId="0" fontId="75" fillId="44" borderId="197" xfId="0" applyFont="1" applyFill="1" applyBorder="1" applyAlignment="1">
      <alignment shrinkToFit="1"/>
    </xf>
    <xf numFmtId="0" fontId="75" fillId="44" borderId="138" xfId="0" applyFont="1" applyFill="1" applyBorder="1" applyAlignment="1">
      <alignment shrinkToFit="1"/>
    </xf>
    <xf numFmtId="39" fontId="68" fillId="0" borderId="195" xfId="27" applyNumberFormat="1" applyFont="1" applyBorder="1" applyAlignment="1">
      <alignment vertical="center" shrinkToFit="1"/>
    </xf>
    <xf numFmtId="0" fontId="72" fillId="0" borderId="0" xfId="0" applyFont="1" applyAlignment="1">
      <alignment horizontal="center"/>
    </xf>
    <xf numFmtId="4" fontId="39" fillId="24" borderId="187" xfId="0" applyNumberFormat="1" applyFont="1" applyFill="1" applyBorder="1" applyAlignment="1">
      <alignment vertical="center"/>
    </xf>
    <xf numFmtId="43" fontId="153" fillId="24" borderId="0" xfId="27" applyFont="1" applyFill="1" applyBorder="1" applyAlignment="1"/>
    <xf numFmtId="0" fontId="75" fillId="0" borderId="153" xfId="0" applyFont="1" applyBorder="1" applyAlignment="1">
      <alignment vertical="center"/>
    </xf>
    <xf numFmtId="0" fontId="28" fillId="24" borderId="29" xfId="0" applyFont="1" applyFill="1" applyBorder="1" applyAlignment="1">
      <alignment horizontal="center" vertical="center"/>
    </xf>
    <xf numFmtId="0" fontId="58" fillId="26" borderId="61" xfId="0" applyFont="1" applyFill="1" applyBorder="1" applyAlignment="1">
      <alignment horizontal="center" vertical="center"/>
    </xf>
    <xf numFmtId="0" fontId="58" fillId="26" borderId="19" xfId="0" applyFont="1" applyFill="1" applyBorder="1" applyAlignment="1">
      <alignment horizontal="center" vertical="center"/>
    </xf>
    <xf numFmtId="0" fontId="51" fillId="25" borderId="19" xfId="0" applyFont="1" applyFill="1" applyBorder="1" applyAlignment="1">
      <alignment horizontal="center" vertical="center"/>
    </xf>
    <xf numFmtId="3" fontId="55" fillId="24" borderId="26" xfId="0" applyNumberFormat="1" applyFont="1" applyFill="1" applyBorder="1" applyAlignment="1">
      <alignment horizontal="center" vertical="center"/>
    </xf>
    <xf numFmtId="0" fontId="55" fillId="24" borderId="45" xfId="0" applyFont="1" applyFill="1" applyBorder="1" applyAlignment="1">
      <alignment horizontal="center" vertical="center" wrapText="1"/>
    </xf>
    <xf numFmtId="0" fontId="54" fillId="24" borderId="41" xfId="0" applyFont="1" applyFill="1" applyBorder="1" applyAlignment="1">
      <alignment horizontal="left" vertical="center"/>
    </xf>
    <xf numFmtId="16" fontId="54" fillId="24" borderId="38" xfId="0" applyNumberFormat="1" applyFont="1" applyFill="1" applyBorder="1" applyAlignment="1">
      <alignment horizontal="right" vertical="center"/>
    </xf>
    <xf numFmtId="0" fontId="54" fillId="24" borderId="43" xfId="0" applyFont="1" applyFill="1" applyBorder="1" applyAlignment="1">
      <alignment horizontal="left" vertical="center"/>
    </xf>
    <xf numFmtId="16" fontId="54" fillId="24" borderId="39" xfId="0" applyNumberFormat="1" applyFont="1" applyFill="1" applyBorder="1" applyAlignment="1">
      <alignment horizontal="right" vertical="center"/>
    </xf>
    <xf numFmtId="3" fontId="43" fillId="26" borderId="21" xfId="0" applyNumberFormat="1" applyFont="1" applyFill="1" applyBorder="1" applyAlignment="1">
      <alignment horizontal="center" vertical="center"/>
    </xf>
    <xf numFmtId="3" fontId="125" fillId="26" borderId="159" xfId="0" applyNumberFormat="1" applyFont="1" applyFill="1" applyBorder="1" applyAlignment="1">
      <alignment horizontal="center" vertical="center" wrapText="1"/>
    </xf>
    <xf numFmtId="3" fontId="54" fillId="24" borderId="39" xfId="0" applyNumberFormat="1" applyFont="1" applyFill="1" applyBorder="1" applyAlignment="1">
      <alignment horizontal="center" vertical="center"/>
    </xf>
    <xf numFmtId="3" fontId="125" fillId="0" borderId="18" xfId="0" applyNumberFormat="1" applyFont="1" applyBorder="1" applyAlignment="1">
      <alignment horizontal="center" vertical="center"/>
    </xf>
    <xf numFmtId="0" fontId="125" fillId="26" borderId="19" xfId="0" applyFont="1" applyFill="1" applyBorder="1" applyAlignment="1">
      <alignment horizontal="center" vertical="center"/>
    </xf>
    <xf numFmtId="0" fontId="117" fillId="26" borderId="19" xfId="0" applyFont="1" applyFill="1" applyBorder="1" applyAlignment="1">
      <alignment vertical="center"/>
    </xf>
    <xf numFmtId="3" fontId="125" fillId="26" borderId="19" xfId="0" applyNumberFormat="1" applyFont="1" applyFill="1" applyBorder="1" applyAlignment="1">
      <alignment vertical="center"/>
    </xf>
    <xf numFmtId="3" fontId="125" fillId="26" borderId="21" xfId="0" applyNumberFormat="1" applyFont="1" applyFill="1" applyBorder="1" applyAlignment="1">
      <alignment horizontal="right" vertical="center"/>
    </xf>
    <xf numFmtId="3" fontId="125" fillId="26" borderId="21" xfId="0" applyNumberFormat="1" applyFont="1" applyFill="1" applyBorder="1" applyAlignment="1">
      <alignment horizontal="center" vertical="center"/>
    </xf>
    <xf numFmtId="0" fontId="54" fillId="24" borderId="40" xfId="0" applyFont="1" applyFill="1" applyBorder="1" applyAlignment="1">
      <alignment horizontal="left" vertical="center"/>
    </xf>
    <xf numFmtId="0" fontId="29" fillId="26" borderId="19" xfId="0" applyFont="1" applyFill="1" applyBorder="1" applyAlignment="1">
      <alignment vertical="center"/>
    </xf>
    <xf numFmtId="3" fontId="28" fillId="26" borderId="19" xfId="0" applyNumberFormat="1" applyFont="1" applyFill="1" applyBorder="1" applyAlignment="1">
      <alignment vertical="center"/>
    </xf>
    <xf numFmtId="0" fontId="29" fillId="24" borderId="43" xfId="0" applyFont="1" applyFill="1" applyBorder="1" applyAlignment="1">
      <alignment horizontal="left" vertical="center"/>
    </xf>
    <xf numFmtId="16" fontId="29" fillId="24" borderId="39" xfId="0" applyNumberFormat="1" applyFont="1" applyFill="1" applyBorder="1" applyAlignment="1">
      <alignment horizontal="right" vertical="center"/>
    </xf>
    <xf numFmtId="3" fontId="125" fillId="28" borderId="159" xfId="0" applyNumberFormat="1" applyFont="1" applyFill="1" applyBorder="1" applyAlignment="1">
      <alignment horizontal="center" vertical="center" wrapText="1"/>
    </xf>
    <xf numFmtId="0" fontId="39" fillId="25" borderId="19" xfId="0" applyFont="1" applyFill="1" applyBorder="1" applyAlignment="1">
      <alignment horizontal="left" vertical="center"/>
    </xf>
    <xf numFmtId="0" fontId="39" fillId="25" borderId="19" xfId="0" applyFont="1" applyFill="1" applyBorder="1" applyAlignment="1">
      <alignment horizontal="right" vertical="center"/>
    </xf>
    <xf numFmtId="0" fontId="157" fillId="0" borderId="0" xfId="0" applyFont="1"/>
    <xf numFmtId="3" fontId="125" fillId="0" borderId="168" xfId="0" applyNumberFormat="1" applyFont="1" applyBorder="1" applyAlignment="1">
      <alignment horizontal="center" vertical="center"/>
    </xf>
    <xf numFmtId="3" fontId="125" fillId="0" borderId="164" xfId="0" applyNumberFormat="1" applyFont="1" applyBorder="1" applyAlignment="1">
      <alignment horizontal="center" vertical="center"/>
    </xf>
    <xf numFmtId="3" fontId="28" fillId="26" borderId="53" xfId="0" applyNumberFormat="1" applyFont="1" applyFill="1" applyBorder="1" applyAlignment="1">
      <alignment vertical="center"/>
    </xf>
    <xf numFmtId="0" fontId="85" fillId="24" borderId="43" xfId="0" applyFont="1" applyFill="1" applyBorder="1" applyAlignment="1">
      <alignment horizontal="left" vertical="center"/>
    </xf>
    <xf numFmtId="16" fontId="85" fillId="24" borderId="39" xfId="0" applyNumberFormat="1" applyFont="1" applyFill="1" applyBorder="1" applyAlignment="1">
      <alignment horizontal="right" vertical="center"/>
    </xf>
    <xf numFmtId="3" fontId="85" fillId="24" borderId="39" xfId="0" applyNumberFormat="1" applyFont="1" applyFill="1" applyBorder="1" applyAlignment="1">
      <alignment horizontal="center" vertical="center"/>
    </xf>
    <xf numFmtId="3" fontId="85" fillId="24" borderId="26" xfId="0" applyNumberFormat="1" applyFont="1" applyFill="1" applyBorder="1" applyAlignment="1">
      <alignment horizontal="center" vertical="center" wrapText="1"/>
    </xf>
    <xf numFmtId="4" fontId="85" fillId="24" borderId="25" xfId="0" applyNumberFormat="1" applyFont="1" applyFill="1" applyBorder="1" applyAlignment="1">
      <alignment horizontal="center" vertical="center" wrapText="1"/>
    </xf>
    <xf numFmtId="3" fontId="125" fillId="26" borderId="169" xfId="0" applyNumberFormat="1" applyFont="1" applyFill="1" applyBorder="1" applyAlignment="1">
      <alignment horizontal="center" vertical="center"/>
    </xf>
    <xf numFmtId="0" fontId="39" fillId="24" borderId="43" xfId="0" applyFont="1" applyFill="1" applyBorder="1" applyAlignment="1">
      <alignment horizontal="left" vertical="center"/>
    </xf>
    <xf numFmtId="16" fontId="39" fillId="24" borderId="39" xfId="0" applyNumberFormat="1" applyFont="1" applyFill="1" applyBorder="1" applyAlignment="1">
      <alignment horizontal="right" vertical="center"/>
    </xf>
    <xf numFmtId="3" fontId="125" fillId="0" borderId="183" xfId="0" applyNumberFormat="1" applyFont="1" applyBorder="1" applyAlignment="1">
      <alignment horizontal="center" vertical="center"/>
    </xf>
    <xf numFmtId="0" fontId="54" fillId="24" borderId="22" xfId="0" applyFont="1" applyFill="1" applyBorder="1" applyAlignment="1">
      <alignment horizontal="left" vertical="center"/>
    </xf>
    <xf numFmtId="16" fontId="54" fillId="24" borderId="45" xfId="0" applyNumberFormat="1" applyFont="1" applyFill="1" applyBorder="1" applyAlignment="1">
      <alignment horizontal="right" vertical="center"/>
    </xf>
    <xf numFmtId="16" fontId="54" fillId="24" borderId="44" xfId="0" applyNumberFormat="1" applyFont="1" applyFill="1" applyBorder="1" applyAlignment="1">
      <alignment horizontal="right" vertical="center"/>
    </xf>
    <xf numFmtId="0" fontId="39" fillId="24" borderId="41" xfId="0" applyFont="1" applyFill="1" applyBorder="1" applyAlignment="1">
      <alignment horizontal="left" vertical="center"/>
    </xf>
    <xf numFmtId="16" fontId="39" fillId="24" borderId="38" xfId="0" applyNumberFormat="1" applyFont="1" applyFill="1" applyBorder="1" applyAlignment="1">
      <alignment horizontal="right" vertical="center"/>
    </xf>
    <xf numFmtId="3" fontId="43" fillId="26" borderId="21" xfId="0" applyNumberFormat="1" applyFont="1" applyFill="1" applyBorder="1" applyAlignment="1">
      <alignment horizontal="right" vertical="center"/>
    </xf>
    <xf numFmtId="16" fontId="54" fillId="24" borderId="51" xfId="0" applyNumberFormat="1" applyFont="1" applyFill="1" applyBorder="1" applyAlignment="1">
      <alignment horizontal="right" vertical="center"/>
    </xf>
    <xf numFmtId="3" fontId="29" fillId="28" borderId="21" xfId="0" applyNumberFormat="1" applyFont="1" applyFill="1" applyBorder="1" applyAlignment="1">
      <alignment horizontal="right" vertical="center"/>
    </xf>
    <xf numFmtId="3" fontId="43" fillId="28" borderId="76" xfId="0" applyNumberFormat="1" applyFont="1" applyFill="1" applyBorder="1" applyAlignment="1">
      <alignment horizontal="center" vertical="center" wrapText="1"/>
    </xf>
    <xf numFmtId="0" fontId="43" fillId="26" borderId="19" xfId="0" applyFont="1" applyFill="1" applyBorder="1" applyAlignment="1">
      <alignment horizontal="center" vertical="center"/>
    </xf>
    <xf numFmtId="0" fontId="43" fillId="26" borderId="19" xfId="0" applyFont="1" applyFill="1" applyBorder="1" applyAlignment="1">
      <alignment vertical="center"/>
    </xf>
    <xf numFmtId="0" fontId="39" fillId="26" borderId="19" xfId="0" applyFont="1" applyFill="1" applyBorder="1" applyAlignment="1">
      <alignment vertical="center"/>
    </xf>
    <xf numFmtId="3" fontId="43" fillId="26" borderId="19" xfId="0" applyNumberFormat="1" applyFont="1" applyFill="1" applyBorder="1" applyAlignment="1">
      <alignment vertical="center"/>
    </xf>
    <xf numFmtId="0" fontId="28" fillId="28" borderId="19" xfId="0" applyFont="1" applyFill="1" applyBorder="1" applyAlignment="1">
      <alignment horizontal="center" vertical="center"/>
    </xf>
    <xf numFmtId="0" fontId="29" fillId="28" borderId="19" xfId="0" applyFont="1" applyFill="1" applyBorder="1" applyAlignment="1">
      <alignment vertical="center"/>
    </xf>
    <xf numFmtId="3" fontId="28" fillId="28" borderId="19" xfId="0" applyNumberFormat="1" applyFont="1" applyFill="1" applyBorder="1" applyAlignment="1">
      <alignment vertical="center"/>
    </xf>
    <xf numFmtId="0" fontId="29" fillId="26" borderId="23" xfId="0" applyFont="1" applyFill="1" applyBorder="1" applyAlignment="1">
      <alignment vertical="center"/>
    </xf>
    <xf numFmtId="0" fontId="29" fillId="26" borderId="53" xfId="0" applyFont="1" applyFill="1" applyBorder="1" applyAlignment="1">
      <alignment vertical="center"/>
    </xf>
    <xf numFmtId="3" fontId="28" fillId="26" borderId="21" xfId="0" applyNumberFormat="1" applyFont="1" applyFill="1" applyBorder="1" applyAlignment="1">
      <alignment vertical="center"/>
    </xf>
    <xf numFmtId="0" fontId="54" fillId="24" borderId="33" xfId="0" applyFont="1" applyFill="1" applyBorder="1" applyAlignment="1">
      <alignment horizontal="left" vertical="center"/>
    </xf>
    <xf numFmtId="16" fontId="54" fillId="24" borderId="28" xfId="0" applyNumberFormat="1" applyFont="1" applyFill="1" applyBorder="1" applyAlignment="1">
      <alignment horizontal="right" vertical="center"/>
    </xf>
    <xf numFmtId="3" fontId="125" fillId="0" borderId="167" xfId="0" applyNumberFormat="1" applyFont="1" applyBorder="1" applyAlignment="1">
      <alignment horizontal="center" vertical="center"/>
    </xf>
    <xf numFmtId="0" fontId="158" fillId="26" borderId="19" xfId="0" applyFont="1" applyFill="1" applyBorder="1" applyAlignment="1">
      <alignment horizontal="center"/>
    </xf>
    <xf numFmtId="0" fontId="158" fillId="26" borderId="19" xfId="0" applyFont="1" applyFill="1" applyBorder="1"/>
    <xf numFmtId="16" fontId="158" fillId="26" borderId="19" xfId="0" applyNumberFormat="1" applyFont="1" applyFill="1" applyBorder="1"/>
    <xf numFmtId="3" fontId="158" fillId="26" borderId="19" xfId="0" applyNumberFormat="1" applyFont="1" applyFill="1" applyBorder="1"/>
    <xf numFmtId="0" fontId="54" fillId="24" borderId="50" xfId="0" applyFont="1" applyFill="1" applyBorder="1" applyAlignment="1">
      <alignment horizontal="left" vertical="center"/>
    </xf>
    <xf numFmtId="3" fontId="85" fillId="24" borderId="31" xfId="0" applyNumberFormat="1" applyFont="1" applyFill="1" applyBorder="1" applyAlignment="1">
      <alignment horizontal="center" vertical="center"/>
    </xf>
    <xf numFmtId="0" fontId="85" fillId="24" borderId="41" xfId="0" applyFont="1" applyFill="1" applyBorder="1" applyAlignment="1">
      <alignment horizontal="left" vertical="center"/>
    </xf>
    <xf numFmtId="16" fontId="85" fillId="24" borderId="38" xfId="0" applyNumberFormat="1" applyFont="1" applyFill="1" applyBorder="1" applyAlignment="1">
      <alignment horizontal="right" vertical="center"/>
    </xf>
    <xf numFmtId="3" fontId="85" fillId="24" borderId="31" xfId="0" applyNumberFormat="1" applyFont="1" applyFill="1" applyBorder="1" applyAlignment="1">
      <alignment vertical="center" wrapText="1"/>
    </xf>
    <xf numFmtId="0" fontId="28" fillId="26" borderId="53" xfId="0" applyFont="1" applyFill="1" applyBorder="1" applyAlignment="1">
      <alignment horizontal="center" vertical="center"/>
    </xf>
    <xf numFmtId="0" fontId="29" fillId="24" borderId="48" xfId="0" applyFont="1" applyFill="1" applyBorder="1" applyAlignment="1">
      <alignment horizontal="left" vertical="center"/>
    </xf>
    <xf numFmtId="16" fontId="29" fillId="24" borderId="74" xfId="0" applyNumberFormat="1" applyFont="1" applyFill="1" applyBorder="1" applyAlignment="1">
      <alignment horizontal="right" vertical="center"/>
    </xf>
    <xf numFmtId="3" fontId="29" fillId="24" borderId="73" xfId="0" applyNumberFormat="1" applyFont="1" applyFill="1" applyBorder="1" applyAlignment="1">
      <alignment horizontal="center" vertical="center"/>
    </xf>
    <xf numFmtId="3" fontId="85" fillId="24" borderId="26" xfId="0" applyNumberFormat="1" applyFont="1" applyFill="1" applyBorder="1" applyAlignment="1">
      <alignment vertical="center" wrapText="1"/>
    </xf>
    <xf numFmtId="0" fontId="157" fillId="0" borderId="0" xfId="0" applyFont="1" applyAlignment="1">
      <alignment vertical="center"/>
    </xf>
    <xf numFmtId="0" fontId="28" fillId="26" borderId="19" xfId="0" applyFont="1" applyFill="1" applyBorder="1" applyAlignment="1">
      <alignment vertical="center"/>
    </xf>
    <xf numFmtId="0" fontId="39" fillId="25" borderId="19" xfId="0" applyFont="1" applyFill="1" applyBorder="1" applyAlignment="1">
      <alignment horizontal="center" vertical="center"/>
    </xf>
    <xf numFmtId="0" fontId="159" fillId="24" borderId="25" xfId="0" applyFont="1" applyFill="1" applyBorder="1" applyAlignment="1">
      <alignment horizontal="left" vertical="center"/>
    </xf>
    <xf numFmtId="3" fontId="125" fillId="0" borderId="166" xfId="0" applyNumberFormat="1" applyFont="1" applyBorder="1" applyAlignment="1">
      <alignment horizontal="center" vertical="center"/>
    </xf>
    <xf numFmtId="0" fontId="130" fillId="24" borderId="40" xfId="0" applyFont="1" applyFill="1" applyBorder="1" applyAlignment="1">
      <alignment horizontal="left" vertical="center"/>
    </xf>
    <xf numFmtId="16" fontId="130" fillId="24" borderId="38" xfId="0" applyNumberFormat="1" applyFont="1" applyFill="1" applyBorder="1" applyAlignment="1">
      <alignment horizontal="right" vertical="center"/>
    </xf>
    <xf numFmtId="3" fontId="130" fillId="24" borderId="44" xfId="0" applyNumberFormat="1" applyFont="1" applyFill="1" applyBorder="1" applyAlignment="1">
      <alignment horizontal="center" vertical="center"/>
    </xf>
    <xf numFmtId="3" fontId="90" fillId="26" borderId="21" xfId="0" applyNumberFormat="1" applyFont="1" applyFill="1" applyBorder="1" applyAlignment="1">
      <alignment horizontal="center" vertical="center" wrapText="1"/>
    </xf>
    <xf numFmtId="0" fontId="28" fillId="26" borderId="59" xfId="0" applyFont="1" applyFill="1" applyBorder="1" applyAlignment="1">
      <alignment horizontal="center" vertical="center"/>
    </xf>
    <xf numFmtId="0" fontId="29" fillId="26" borderId="59" xfId="0" applyFont="1" applyFill="1" applyBorder="1" applyAlignment="1">
      <alignment vertical="center"/>
    </xf>
    <xf numFmtId="3" fontId="28" fillId="26" borderId="59" xfId="0" applyNumberFormat="1" applyFont="1" applyFill="1" applyBorder="1" applyAlignment="1">
      <alignment vertical="center"/>
    </xf>
    <xf numFmtId="3" fontId="28" fillId="26" borderId="42" xfId="0" applyNumberFormat="1" applyFont="1" applyFill="1" applyBorder="1" applyAlignment="1">
      <alignment horizontal="right" vertical="center"/>
    </xf>
    <xf numFmtId="16" fontId="29" fillId="24" borderId="37" xfId="0" applyNumberFormat="1" applyFont="1" applyFill="1" applyBorder="1" applyAlignment="1">
      <alignment horizontal="right" vertical="center"/>
    </xf>
    <xf numFmtId="16" fontId="54" fillId="24" borderId="47" xfId="0" applyNumberFormat="1" applyFont="1" applyFill="1" applyBorder="1" applyAlignment="1">
      <alignment horizontal="right" vertical="center"/>
    </xf>
    <xf numFmtId="16" fontId="29" fillId="24" borderId="48" xfId="0" applyNumberFormat="1" applyFont="1" applyFill="1" applyBorder="1" applyAlignment="1">
      <alignment horizontal="right" vertical="center"/>
    </xf>
    <xf numFmtId="0" fontId="39" fillId="24" borderId="50" xfId="0" applyFont="1" applyFill="1" applyBorder="1" applyAlignment="1">
      <alignment horizontal="left" vertical="center"/>
    </xf>
    <xf numFmtId="16" fontId="39" fillId="24" borderId="51" xfId="0" applyNumberFormat="1" applyFont="1" applyFill="1" applyBorder="1" applyAlignment="1">
      <alignment horizontal="right" vertical="center"/>
    </xf>
    <xf numFmtId="3" fontId="85" fillId="24" borderId="26" xfId="0" applyNumberFormat="1" applyFont="1" applyFill="1" applyBorder="1" applyAlignment="1">
      <alignment horizontal="center" vertical="center"/>
    </xf>
    <xf numFmtId="16" fontId="29" fillId="26" borderId="19" xfId="0" applyNumberFormat="1" applyFont="1" applyFill="1" applyBorder="1" applyAlignment="1">
      <alignment vertical="center"/>
    </xf>
    <xf numFmtId="0" fontId="54" fillId="24" borderId="30" xfId="0" applyFont="1" applyFill="1" applyBorder="1" applyAlignment="1">
      <alignment horizontal="left" vertical="center"/>
    </xf>
    <xf numFmtId="16" fontId="54" fillId="24" borderId="27" xfId="0" applyNumberFormat="1" applyFont="1" applyFill="1" applyBorder="1" applyAlignment="1">
      <alignment horizontal="right" vertical="center"/>
    </xf>
    <xf numFmtId="3" fontId="54" fillId="24" borderId="27" xfId="0" applyNumberFormat="1" applyFont="1" applyFill="1" applyBorder="1" applyAlignment="1">
      <alignment horizontal="center" vertical="center"/>
    </xf>
    <xf numFmtId="0" fontId="54" fillId="24" borderId="36" xfId="0" applyFont="1" applyFill="1" applyBorder="1" applyAlignment="1">
      <alignment horizontal="left" vertical="center"/>
    </xf>
    <xf numFmtId="16" fontId="54" fillId="24" borderId="54" xfId="0" applyNumberFormat="1" applyFont="1" applyFill="1" applyBorder="1" applyAlignment="1">
      <alignment horizontal="right" vertical="center"/>
    </xf>
    <xf numFmtId="3" fontId="54" fillId="24" borderId="24" xfId="0" applyNumberFormat="1" applyFont="1" applyFill="1" applyBorder="1" applyAlignment="1">
      <alignment horizontal="center" vertical="center"/>
    </xf>
    <xf numFmtId="0" fontId="54" fillId="24" borderId="25" xfId="0" applyFont="1" applyFill="1" applyBorder="1" applyAlignment="1">
      <alignment horizontal="left" vertical="center"/>
    </xf>
    <xf numFmtId="16" fontId="54" fillId="24" borderId="25" xfId="0" applyNumberFormat="1" applyFont="1" applyFill="1" applyBorder="1" applyAlignment="1">
      <alignment horizontal="right" vertical="center"/>
    </xf>
    <xf numFmtId="3" fontId="54" fillId="24" borderId="51" xfId="0" applyNumberFormat="1" applyFont="1" applyFill="1" applyBorder="1" applyAlignment="1">
      <alignment horizontal="center" vertical="center"/>
    </xf>
    <xf numFmtId="0" fontId="43" fillId="26" borderId="59" xfId="0" applyFont="1" applyFill="1" applyBorder="1" applyAlignment="1">
      <alignment vertical="center"/>
    </xf>
    <xf numFmtId="0" fontId="54" fillId="26" borderId="19" xfId="0" applyFont="1" applyFill="1" applyBorder="1" applyAlignment="1">
      <alignment horizontal="left" vertical="center"/>
    </xf>
    <xf numFmtId="16" fontId="54" fillId="26" borderId="19" xfId="0" applyNumberFormat="1" applyFont="1" applyFill="1" applyBorder="1" applyAlignment="1">
      <alignment horizontal="right" vertical="center"/>
    </xf>
    <xf numFmtId="3" fontId="54" fillId="26" borderId="19" xfId="0" applyNumberFormat="1" applyFont="1" applyFill="1" applyBorder="1" applyAlignment="1">
      <alignment horizontal="center" vertical="center"/>
    </xf>
    <xf numFmtId="3" fontId="28" fillId="24" borderId="29" xfId="0" applyNumberFormat="1" applyFont="1" applyFill="1" applyBorder="1" applyAlignment="1">
      <alignment horizontal="center" vertical="center"/>
    </xf>
    <xf numFmtId="3" fontId="125" fillId="0" borderId="178" xfId="0" applyNumberFormat="1" applyFont="1" applyBorder="1" applyAlignment="1">
      <alignment horizontal="center" vertical="center"/>
    </xf>
    <xf numFmtId="3" fontId="28" fillId="24" borderId="83" xfId="0" applyNumberFormat="1" applyFont="1" applyFill="1" applyBorder="1" applyAlignment="1">
      <alignment horizontal="right" vertical="center"/>
    </xf>
    <xf numFmtId="3" fontId="28" fillId="24" borderId="198" xfId="0" applyNumberFormat="1" applyFont="1" applyFill="1" applyBorder="1" applyAlignment="1">
      <alignment horizontal="right" vertical="center"/>
    </xf>
    <xf numFmtId="3" fontId="125" fillId="0" borderId="199" xfId="0" applyNumberFormat="1" applyFont="1" applyBorder="1" applyAlignment="1">
      <alignment horizontal="center" vertical="center"/>
    </xf>
    <xf numFmtId="4" fontId="85" fillId="24" borderId="31" xfId="0" applyNumberFormat="1" applyFont="1" applyFill="1" applyBorder="1" applyAlignment="1">
      <alignment vertical="center" wrapText="1"/>
    </xf>
    <xf numFmtId="0" fontId="29" fillId="24" borderId="41" xfId="0" applyFont="1" applyFill="1" applyBorder="1" applyAlignment="1">
      <alignment horizontal="left" vertical="center"/>
    </xf>
    <xf numFmtId="16" fontId="54" fillId="24" borderId="37" xfId="0" applyNumberFormat="1" applyFont="1" applyFill="1" applyBorder="1" applyAlignment="1">
      <alignment horizontal="right" vertical="center"/>
    </xf>
    <xf numFmtId="16" fontId="29" fillId="24" borderId="38" xfId="0" applyNumberFormat="1" applyFont="1" applyFill="1" applyBorder="1" applyAlignment="1">
      <alignment horizontal="right" vertical="center"/>
    </xf>
    <xf numFmtId="16" fontId="39" fillId="24" borderId="37" xfId="0" applyNumberFormat="1" applyFont="1" applyFill="1" applyBorder="1" applyAlignment="1">
      <alignment horizontal="right" vertical="center"/>
    </xf>
    <xf numFmtId="0" fontId="29" fillId="0" borderId="41" xfId="0" applyFont="1" applyBorder="1" applyAlignment="1">
      <alignment horizontal="left" vertical="center"/>
    </xf>
    <xf numFmtId="16" fontId="29" fillId="0" borderId="37" xfId="0" applyNumberFormat="1" applyFont="1" applyBorder="1" applyAlignment="1">
      <alignment horizontal="right" vertical="center"/>
    </xf>
    <xf numFmtId="0" fontId="54" fillId="0" borderId="43" xfId="0" applyFont="1" applyBorder="1" applyAlignment="1">
      <alignment horizontal="left" vertical="center"/>
    </xf>
    <xf numFmtId="16" fontId="54" fillId="0" borderId="48" xfId="0" applyNumberFormat="1" applyFont="1" applyBorder="1" applyAlignment="1">
      <alignment horizontal="right" vertical="center"/>
    </xf>
    <xf numFmtId="3" fontId="54" fillId="0" borderId="26" xfId="0" applyNumberFormat="1" applyFont="1" applyBorder="1" applyAlignment="1">
      <alignment horizontal="center" vertical="center"/>
    </xf>
    <xf numFmtId="16" fontId="54" fillId="24" borderId="48" xfId="0" applyNumberFormat="1" applyFont="1" applyFill="1" applyBorder="1" applyAlignment="1">
      <alignment horizontal="right" vertical="center"/>
    </xf>
    <xf numFmtId="2" fontId="54" fillId="24" borderId="40" xfId="0" applyNumberFormat="1" applyFont="1" applyFill="1" applyBorder="1" applyAlignment="1">
      <alignment horizontal="left" vertical="center"/>
    </xf>
    <xf numFmtId="0" fontId="29" fillId="0" borderId="43" xfId="0" applyFont="1" applyBorder="1" applyAlignment="1">
      <alignment horizontal="left" vertical="center"/>
    </xf>
    <xf numFmtId="16" fontId="29" fillId="0" borderId="48" xfId="0" applyNumberFormat="1" applyFont="1" applyBorder="1" applyAlignment="1">
      <alignment horizontal="right" vertical="center"/>
    </xf>
    <xf numFmtId="3" fontId="48" fillId="0" borderId="31" xfId="0" applyNumberFormat="1" applyFont="1" applyBorder="1" applyAlignment="1">
      <alignment horizontal="right" vertical="center"/>
    </xf>
    <xf numFmtId="16" fontId="85" fillId="24" borderId="48" xfId="0" applyNumberFormat="1" applyFont="1" applyFill="1" applyBorder="1" applyAlignment="1">
      <alignment horizontal="right" vertical="center"/>
    </xf>
    <xf numFmtId="4" fontId="85" fillId="24" borderId="26" xfId="0" applyNumberFormat="1" applyFont="1" applyFill="1" applyBorder="1" applyAlignment="1">
      <alignment vertical="center" wrapText="1"/>
    </xf>
    <xf numFmtId="3" fontId="125" fillId="0" borderId="173" xfId="0" applyNumberFormat="1" applyFont="1" applyBorder="1" applyAlignment="1">
      <alignment horizontal="center" vertical="center"/>
    </xf>
    <xf numFmtId="16" fontId="39" fillId="24" borderId="48" xfId="0" applyNumberFormat="1" applyFont="1" applyFill="1" applyBorder="1" applyAlignment="1">
      <alignment horizontal="right" vertical="center"/>
    </xf>
    <xf numFmtId="0" fontId="54" fillId="24" borderId="37" xfId="0" applyFont="1" applyFill="1" applyBorder="1" applyAlignment="1">
      <alignment horizontal="left" vertical="center"/>
    </xf>
    <xf numFmtId="0" fontId="28" fillId="30" borderId="21" xfId="0" applyFont="1" applyFill="1" applyBorder="1" applyAlignment="1">
      <alignment horizontal="center" vertical="center"/>
    </xf>
    <xf numFmtId="0" fontId="29" fillId="30" borderId="19" xfId="0" applyFont="1" applyFill="1" applyBorder="1" applyAlignment="1">
      <alignment vertical="center"/>
    </xf>
    <xf numFmtId="0" fontId="29" fillId="30" borderId="53" xfId="0" applyFont="1" applyFill="1" applyBorder="1" applyAlignment="1">
      <alignment vertical="center"/>
    </xf>
    <xf numFmtId="3" fontId="28" fillId="30" borderId="19" xfId="0" applyNumberFormat="1" applyFont="1" applyFill="1" applyBorder="1" applyAlignment="1">
      <alignment vertical="center"/>
    </xf>
    <xf numFmtId="3" fontId="28" fillId="26" borderId="23" xfId="0" applyNumberFormat="1" applyFont="1" applyFill="1" applyBorder="1" applyAlignment="1">
      <alignment horizontal="right" vertical="center"/>
    </xf>
    <xf numFmtId="0" fontId="28" fillId="26" borderId="23" xfId="0" applyFont="1" applyFill="1" applyBorder="1" applyAlignment="1">
      <alignment horizontal="center" vertical="center"/>
    </xf>
    <xf numFmtId="3" fontId="28" fillId="26" borderId="29" xfId="0" applyNumberFormat="1" applyFont="1" applyFill="1" applyBorder="1" applyAlignment="1">
      <alignment horizontal="center" vertical="center"/>
    </xf>
    <xf numFmtId="0" fontId="54" fillId="24" borderId="48" xfId="0" applyFont="1" applyFill="1" applyBorder="1" applyAlignment="1">
      <alignment horizontal="left" vertical="center"/>
    </xf>
    <xf numFmtId="4" fontId="85" fillId="24" borderId="26" xfId="0" applyNumberFormat="1" applyFont="1" applyFill="1" applyBorder="1" applyAlignment="1">
      <alignment horizontal="right" vertical="center" wrapText="1"/>
    </xf>
    <xf numFmtId="0" fontId="39" fillId="0" borderId="41" xfId="0" applyFont="1" applyBorder="1" applyAlignment="1">
      <alignment horizontal="left" vertical="center"/>
    </xf>
    <xf numFmtId="16" fontId="39" fillId="0" borderId="38" xfId="0" applyNumberFormat="1" applyFont="1" applyBorder="1" applyAlignment="1">
      <alignment horizontal="right" vertical="center"/>
    </xf>
    <xf numFmtId="3" fontId="39" fillId="0" borderId="31" xfId="0" applyNumberFormat="1" applyFont="1" applyBorder="1" applyAlignment="1">
      <alignment horizontal="center" vertical="center"/>
    </xf>
    <xf numFmtId="0" fontId="54" fillId="0" borderId="40" xfId="0" applyFont="1" applyBorder="1" applyAlignment="1">
      <alignment horizontal="left" vertical="center"/>
    </xf>
    <xf numFmtId="16" fontId="54" fillId="0" borderId="44" xfId="0" applyNumberFormat="1" applyFont="1" applyBorder="1" applyAlignment="1">
      <alignment horizontal="right" vertical="center"/>
    </xf>
    <xf numFmtId="3" fontId="54" fillId="0" borderId="41" xfId="0" applyNumberFormat="1" applyFont="1" applyBorder="1" applyAlignment="1">
      <alignment horizontal="center" vertical="center"/>
    </xf>
    <xf numFmtId="16" fontId="39" fillId="24" borderId="44" xfId="0" applyNumberFormat="1" applyFont="1" applyFill="1" applyBorder="1" applyAlignment="1">
      <alignment horizontal="right" vertical="center"/>
    </xf>
    <xf numFmtId="3" fontId="39" fillId="0" borderId="26" xfId="0" applyNumberFormat="1" applyFont="1" applyBorder="1" applyAlignment="1">
      <alignment horizontal="center" vertical="center"/>
    </xf>
    <xf numFmtId="0" fontId="54" fillId="0" borderId="41" xfId="0" applyFont="1" applyBorder="1" applyAlignment="1">
      <alignment horizontal="left" vertical="center"/>
    </xf>
    <xf numFmtId="16" fontId="54" fillId="0" borderId="38" xfId="0" applyNumberFormat="1" applyFont="1" applyBorder="1" applyAlignment="1">
      <alignment horizontal="right" vertical="center"/>
    </xf>
    <xf numFmtId="3" fontId="54" fillId="0" borderId="31" xfId="0" applyNumberFormat="1" applyFont="1" applyBorder="1" applyAlignment="1">
      <alignment horizontal="center" vertical="center"/>
    </xf>
    <xf numFmtId="3" fontId="28" fillId="26" borderId="21" xfId="27" applyNumberFormat="1" applyFont="1" applyFill="1" applyBorder="1" applyAlignment="1">
      <alignment horizontal="right" vertical="center"/>
    </xf>
    <xf numFmtId="0" fontId="28" fillId="0" borderId="46" xfId="0" applyFont="1" applyBorder="1" applyAlignment="1">
      <alignment horizontal="center" vertical="center"/>
    </xf>
    <xf numFmtId="0" fontId="39" fillId="0" borderId="43" xfId="0" applyFont="1" applyBorder="1" applyAlignment="1">
      <alignment horizontal="left" vertical="center"/>
    </xf>
    <xf numFmtId="3" fontId="28" fillId="0" borderId="31" xfId="0" applyNumberFormat="1" applyFont="1" applyBorder="1" applyAlignment="1">
      <alignment horizontal="center" vertical="center"/>
    </xf>
    <xf numFmtId="3" fontId="55" fillId="0" borderId="25" xfId="0" applyNumberFormat="1" applyFont="1" applyBorder="1" applyAlignment="1">
      <alignment horizontal="center" vertical="center"/>
    </xf>
    <xf numFmtId="16" fontId="29" fillId="26" borderId="59" xfId="0" applyNumberFormat="1" applyFont="1" applyFill="1" applyBorder="1" applyAlignment="1">
      <alignment vertical="center"/>
    </xf>
    <xf numFmtId="16" fontId="85" fillId="24" borderId="44" xfId="0" applyNumberFormat="1" applyFont="1" applyFill="1" applyBorder="1" applyAlignment="1">
      <alignment horizontal="right" vertical="center"/>
    </xf>
    <xf numFmtId="3" fontId="85" fillId="24" borderId="25" xfId="0" applyNumberFormat="1" applyFont="1" applyFill="1" applyBorder="1" applyAlignment="1">
      <alignment horizontal="center" vertical="center" wrapText="1"/>
    </xf>
    <xf numFmtId="3" fontId="96" fillId="24" borderId="25" xfId="0" applyNumberFormat="1" applyFont="1" applyFill="1" applyBorder="1" applyAlignment="1">
      <alignment horizontal="center" vertical="center"/>
    </xf>
    <xf numFmtId="0" fontId="55" fillId="24" borderId="45" xfId="0" applyFont="1" applyFill="1" applyBorder="1" applyAlignment="1">
      <alignment horizontal="center" vertical="center"/>
    </xf>
    <xf numFmtId="0" fontId="28" fillId="26" borderId="0" xfId="0" applyFont="1" applyFill="1" applyAlignment="1">
      <alignment horizontal="center" vertical="center"/>
    </xf>
    <xf numFmtId="0" fontId="43" fillId="24" borderId="31" xfId="0" applyFont="1" applyFill="1" applyBorder="1" applyAlignment="1">
      <alignment horizontal="center" vertical="center"/>
    </xf>
    <xf numFmtId="0" fontId="55" fillId="24" borderId="42" xfId="0" applyFont="1" applyFill="1" applyBorder="1" applyAlignment="1">
      <alignment horizontal="center" vertical="center"/>
    </xf>
    <xf numFmtId="3" fontId="125" fillId="0" borderId="174" xfId="0" applyNumberFormat="1" applyFont="1" applyBorder="1" applyAlignment="1">
      <alignment horizontal="center" vertical="center"/>
    </xf>
    <xf numFmtId="0" fontId="28" fillId="26" borderId="103" xfId="0" applyFont="1" applyFill="1" applyBorder="1" applyAlignment="1">
      <alignment horizontal="center" vertical="center"/>
    </xf>
    <xf numFmtId="3" fontId="125" fillId="32" borderId="167" xfId="0" applyNumberFormat="1" applyFont="1" applyFill="1" applyBorder="1" applyAlignment="1">
      <alignment horizontal="center" vertical="center"/>
    </xf>
    <xf numFmtId="0" fontId="159" fillId="24" borderId="26" xfId="0" applyFont="1" applyFill="1" applyBorder="1" applyAlignment="1">
      <alignment horizontal="left" vertical="center" wrapText="1"/>
    </xf>
    <xf numFmtId="3" fontId="159" fillId="24" borderId="38" xfId="0" applyNumberFormat="1" applyFont="1" applyFill="1" applyBorder="1" applyAlignment="1">
      <alignment horizontal="left" vertical="center" wrapText="1"/>
    </xf>
    <xf numFmtId="0" fontId="159" fillId="24" borderId="25" xfId="0" applyFont="1" applyFill="1" applyBorder="1" applyAlignment="1">
      <alignment horizontal="left" vertical="center" wrapText="1"/>
    </xf>
    <xf numFmtId="0" fontId="159" fillId="24" borderId="45" xfId="0" applyFont="1" applyFill="1" applyBorder="1" applyAlignment="1">
      <alignment horizontal="left" vertical="center" wrapText="1"/>
    </xf>
    <xf numFmtId="3" fontId="159" fillId="24" borderId="25" xfId="0" applyNumberFormat="1" applyFont="1" applyFill="1" applyBorder="1" applyAlignment="1">
      <alignment horizontal="left" vertical="center" wrapText="1"/>
    </xf>
    <xf numFmtId="0" fontId="159" fillId="24" borderId="44" xfId="0" applyFont="1" applyFill="1" applyBorder="1" applyAlignment="1">
      <alignment horizontal="left" vertical="center" wrapText="1"/>
    </xf>
    <xf numFmtId="0" fontId="159" fillId="24" borderId="38" xfId="0" applyFont="1" applyFill="1" applyBorder="1" applyAlignment="1">
      <alignment horizontal="left" vertical="center" wrapText="1"/>
    </xf>
    <xf numFmtId="3" fontId="159" fillId="24" borderId="26" xfId="0" applyNumberFormat="1" applyFont="1" applyFill="1" applyBorder="1" applyAlignment="1">
      <alignment horizontal="left" vertical="center" wrapText="1"/>
    </xf>
    <xf numFmtId="0" fontId="159" fillId="24" borderId="37" xfId="0" applyFont="1" applyFill="1" applyBorder="1" applyAlignment="1">
      <alignment horizontal="left" vertical="center" wrapText="1"/>
    </xf>
    <xf numFmtId="0" fontId="159" fillId="24" borderId="43" xfId="0" applyFont="1" applyFill="1" applyBorder="1" applyAlignment="1">
      <alignment horizontal="left" vertical="center" wrapText="1"/>
    </xf>
    <xf numFmtId="0" fontId="159" fillId="24" borderId="47" xfId="0" applyFont="1" applyFill="1" applyBorder="1" applyAlignment="1">
      <alignment horizontal="left" vertical="center" wrapText="1"/>
    </xf>
    <xf numFmtId="3" fontId="159" fillId="24" borderId="40" xfId="0" applyNumberFormat="1" applyFont="1" applyFill="1" applyBorder="1" applyAlignment="1">
      <alignment horizontal="left" vertical="center" wrapText="1"/>
    </xf>
    <xf numFmtId="0" fontId="159" fillId="24" borderId="31" xfId="0" applyFont="1" applyFill="1" applyBorder="1" applyAlignment="1">
      <alignment horizontal="left" vertical="center" wrapText="1"/>
    </xf>
    <xf numFmtId="3" fontId="39" fillId="26" borderId="19" xfId="0" applyNumberFormat="1" applyFont="1" applyFill="1" applyBorder="1" applyAlignment="1">
      <alignment vertical="center"/>
    </xf>
    <xf numFmtId="3" fontId="125" fillId="0" borderId="186" xfId="0" applyNumberFormat="1" applyFont="1" applyBorder="1" applyAlignment="1">
      <alignment horizontal="center" vertical="center"/>
    </xf>
    <xf numFmtId="3" fontId="39" fillId="26" borderId="20" xfId="0" applyNumberFormat="1" applyFont="1" applyFill="1" applyBorder="1" applyAlignment="1">
      <alignment vertical="center"/>
    </xf>
    <xf numFmtId="3" fontId="39" fillId="26" borderId="23" xfId="0" applyNumberFormat="1" applyFont="1" applyFill="1" applyBorder="1" applyAlignment="1">
      <alignment vertical="center"/>
    </xf>
    <xf numFmtId="3" fontId="39" fillId="26" borderId="53" xfId="0" applyNumberFormat="1" applyFont="1" applyFill="1" applyBorder="1" applyAlignment="1">
      <alignment vertical="center"/>
    </xf>
    <xf numFmtId="3" fontId="43" fillId="26" borderId="21" xfId="0" applyNumberFormat="1" applyFont="1" applyFill="1" applyBorder="1" applyAlignment="1">
      <alignment vertical="center"/>
    </xf>
    <xf numFmtId="0" fontId="43" fillId="26" borderId="19" xfId="0" applyFont="1" applyFill="1" applyBorder="1" applyAlignment="1">
      <alignment horizontal="center" vertical="center" wrapText="1"/>
    </xf>
    <xf numFmtId="3" fontId="39" fillId="26" borderId="19" xfId="0" applyNumberFormat="1" applyFont="1" applyFill="1" applyBorder="1" applyAlignment="1">
      <alignment horizontal="left" vertical="center"/>
    </xf>
    <xf numFmtId="175" fontId="39" fillId="24" borderId="37" xfId="0" applyNumberFormat="1" applyFont="1" applyFill="1" applyBorder="1" applyAlignment="1">
      <alignment horizontal="left" vertical="center"/>
    </xf>
    <xf numFmtId="3" fontId="43" fillId="26" borderId="21" xfId="27" applyNumberFormat="1" applyFont="1" applyFill="1" applyBorder="1" applyAlignment="1">
      <alignment horizontal="right" vertical="center"/>
    </xf>
    <xf numFmtId="3" fontId="43" fillId="26" borderId="20" xfId="0" applyNumberFormat="1" applyFont="1" applyFill="1" applyBorder="1" applyAlignment="1">
      <alignment vertical="center"/>
    </xf>
    <xf numFmtId="0" fontId="43" fillId="26" borderId="23" xfId="0" applyFont="1" applyFill="1" applyBorder="1" applyAlignment="1">
      <alignment horizontal="center" vertical="center" wrapText="1"/>
    </xf>
    <xf numFmtId="3" fontId="47" fillId="25" borderId="22" xfId="0" applyNumberFormat="1" applyFont="1" applyFill="1" applyBorder="1" applyAlignment="1">
      <alignment horizontal="right" vertical="center" wrapText="1"/>
    </xf>
    <xf numFmtId="3" fontId="124" fillId="25" borderId="175" xfId="0" applyNumberFormat="1" applyFont="1" applyFill="1" applyBorder="1" applyAlignment="1">
      <alignment horizontal="right" vertical="center" wrapText="1"/>
    </xf>
    <xf numFmtId="3" fontId="5" fillId="25" borderId="29" xfId="0" applyNumberFormat="1" applyFont="1" applyFill="1" applyBorder="1" applyAlignment="1">
      <alignment horizontal="right" vertical="center"/>
    </xf>
    <xf numFmtId="3" fontId="124" fillId="25" borderId="165" xfId="0" applyNumberFormat="1" applyFont="1" applyFill="1" applyBorder="1" applyAlignment="1">
      <alignment horizontal="right" vertical="center"/>
    </xf>
    <xf numFmtId="3" fontId="5" fillId="25" borderId="57" xfId="0" applyNumberFormat="1" applyFont="1" applyFill="1" applyBorder="1" applyAlignment="1">
      <alignment horizontal="right" vertical="center"/>
    </xf>
    <xf numFmtId="3" fontId="124" fillId="25" borderId="172" xfId="0" applyNumberFormat="1" applyFont="1" applyFill="1" applyBorder="1" applyAlignment="1">
      <alignment horizontal="right" vertical="center"/>
    </xf>
    <xf numFmtId="3" fontId="5" fillId="25" borderId="21" xfId="0" applyNumberFormat="1" applyFont="1" applyFill="1" applyBorder="1" applyAlignment="1">
      <alignment horizontal="right" vertical="center"/>
    </xf>
    <xf numFmtId="3" fontId="47" fillId="25" borderId="21" xfId="0" applyNumberFormat="1" applyFont="1" applyFill="1" applyBorder="1" applyAlignment="1">
      <alignment horizontal="right" vertical="center"/>
    </xf>
    <xf numFmtId="3" fontId="124" fillId="25" borderId="169" xfId="0" applyNumberFormat="1" applyFont="1" applyFill="1" applyBorder="1" applyAlignment="1">
      <alignment horizontal="right" vertical="center"/>
    </xf>
    <xf numFmtId="3" fontId="28" fillId="25" borderId="21" xfId="27" applyNumberFormat="1" applyFont="1" applyFill="1" applyBorder="1" applyAlignment="1">
      <alignment horizontal="center" vertical="center" wrapText="1"/>
    </xf>
    <xf numFmtId="3" fontId="28" fillId="25" borderId="29" xfId="0" applyNumberFormat="1" applyFont="1" applyFill="1" applyBorder="1" applyAlignment="1">
      <alignment horizontal="right" vertical="center"/>
    </xf>
    <xf numFmtId="3" fontId="28" fillId="25" borderId="57" xfId="0" applyNumberFormat="1" applyFont="1" applyFill="1" applyBorder="1" applyAlignment="1">
      <alignment horizontal="right" vertical="center"/>
    </xf>
    <xf numFmtId="4" fontId="43" fillId="25" borderId="42" xfId="0" applyNumberFormat="1" applyFont="1" applyFill="1" applyBorder="1" applyAlignment="1">
      <alignment horizontal="center" vertical="center" wrapText="1"/>
    </xf>
    <xf numFmtId="0" fontId="68" fillId="0" borderId="90" xfId="0" applyFont="1" applyBorder="1"/>
    <xf numFmtId="0" fontId="54" fillId="24" borderId="20" xfId="0" applyFont="1" applyFill="1" applyBorder="1" applyAlignment="1">
      <alignment horizontal="left" vertical="center"/>
    </xf>
    <xf numFmtId="16" fontId="54" fillId="24" borderId="20" xfId="0" applyNumberFormat="1" applyFont="1" applyFill="1" applyBorder="1" applyAlignment="1">
      <alignment horizontal="right" vertical="center"/>
    </xf>
    <xf numFmtId="3" fontId="54" fillId="24" borderId="20" xfId="0" applyNumberFormat="1" applyFont="1" applyFill="1" applyBorder="1" applyAlignment="1">
      <alignment horizontal="center" vertical="center"/>
    </xf>
    <xf numFmtId="3" fontId="53" fillId="24" borderId="29" xfId="0" applyNumberFormat="1" applyFont="1" applyFill="1" applyBorder="1" applyAlignment="1">
      <alignment horizontal="right" vertical="center" wrapText="1"/>
    </xf>
    <xf numFmtId="43" fontId="153" fillId="37" borderId="0" xfId="0" applyNumberFormat="1" applyFont="1" applyFill="1"/>
    <xf numFmtId="3" fontId="153" fillId="45" borderId="0" xfId="0" applyNumberFormat="1" applyFont="1" applyFill="1"/>
    <xf numFmtId="3" fontId="28" fillId="24" borderId="184" xfId="0" applyNumberFormat="1" applyFont="1" applyFill="1" applyBorder="1" applyAlignment="1">
      <alignment horizontal="right" vertical="center"/>
    </xf>
    <xf numFmtId="3" fontId="28" fillId="24" borderId="184" xfId="0" applyNumberFormat="1" applyFont="1" applyFill="1" applyBorder="1" applyAlignment="1">
      <alignment horizontal="center" vertical="center"/>
    </xf>
    <xf numFmtId="3" fontId="125" fillId="0" borderId="184" xfId="0" applyNumberFormat="1" applyFont="1" applyBorder="1" applyAlignment="1">
      <alignment horizontal="center" vertical="center"/>
    </xf>
    <xf numFmtId="0" fontId="72" fillId="33" borderId="0" xfId="0" applyFont="1" applyFill="1" applyAlignment="1">
      <alignment shrinkToFit="1"/>
    </xf>
    <xf numFmtId="0" fontId="72" fillId="0" borderId="0" xfId="0" applyFont="1" applyAlignment="1">
      <alignment shrinkToFit="1"/>
    </xf>
    <xf numFmtId="43" fontId="72" fillId="39" borderId="0" xfId="27" applyFont="1" applyFill="1" applyAlignment="1">
      <alignment shrinkToFit="1"/>
    </xf>
    <xf numFmtId="43" fontId="72" fillId="36" borderId="0" xfId="27" applyFont="1" applyFill="1" applyAlignment="1">
      <alignment shrinkToFit="1"/>
    </xf>
    <xf numFmtId="0" fontId="72" fillId="41" borderId="0" xfId="0" applyFont="1" applyFill="1" applyAlignment="1">
      <alignment shrinkToFit="1"/>
    </xf>
    <xf numFmtId="0" fontId="72" fillId="0" borderId="0" xfId="0" applyFont="1"/>
    <xf numFmtId="0" fontId="72" fillId="42" borderId="0" xfId="0" applyFont="1" applyFill="1" applyAlignment="1">
      <alignment shrinkToFit="1"/>
    </xf>
    <xf numFmtId="0" fontId="72" fillId="39" borderId="0" xfId="0" applyFont="1" applyFill="1" applyAlignment="1">
      <alignment shrinkToFit="1"/>
    </xf>
    <xf numFmtId="0" fontId="163" fillId="0" borderId="0" xfId="0" applyFont="1"/>
    <xf numFmtId="43" fontId="72" fillId="0" borderId="194" xfId="0" applyNumberFormat="1" applyFont="1" applyBorder="1" applyAlignment="1">
      <alignment shrinkToFit="1"/>
    </xf>
    <xf numFmtId="39" fontId="72" fillId="0" borderId="100" xfId="0" applyNumberFormat="1" applyFont="1" applyBorder="1" applyAlignment="1">
      <alignment shrinkToFit="1"/>
    </xf>
    <xf numFmtId="43" fontId="72" fillId="0" borderId="0" xfId="0" applyNumberFormat="1" applyFont="1" applyAlignment="1">
      <alignment shrinkToFit="1"/>
    </xf>
    <xf numFmtId="43" fontId="72" fillId="41" borderId="0" xfId="27" applyFont="1" applyFill="1" applyAlignment="1">
      <alignment shrinkToFit="1"/>
    </xf>
    <xf numFmtId="43" fontId="72" fillId="0" borderId="0" xfId="27" applyFont="1" applyAlignment="1">
      <alignment shrinkToFit="1"/>
    </xf>
    <xf numFmtId="0" fontId="41" fillId="0" borderId="0" xfId="0" applyFont="1" applyAlignment="1">
      <alignment shrinkToFit="1"/>
    </xf>
    <xf numFmtId="0" fontId="47" fillId="33" borderId="0" xfId="0" applyFont="1" applyFill="1" applyAlignment="1">
      <alignment horizontal="center" shrinkToFit="1"/>
    </xf>
    <xf numFmtId="0" fontId="154" fillId="0" borderId="13" xfId="0" applyFont="1" applyBorder="1" applyAlignment="1">
      <alignment horizontal="center" shrinkToFit="1"/>
    </xf>
    <xf numFmtId="0" fontId="154" fillId="32" borderId="13" xfId="0" applyFont="1" applyFill="1" applyBorder="1" applyAlignment="1">
      <alignment horizontal="center" shrinkToFit="1"/>
    </xf>
    <xf numFmtId="0" fontId="154" fillId="0" borderId="13" xfId="0" applyFont="1" applyBorder="1" applyAlignment="1">
      <alignment horizontal="center" wrapText="1" shrinkToFit="1"/>
    </xf>
    <xf numFmtId="0" fontId="154" fillId="0" borderId="193" xfId="0" applyFont="1" applyBorder="1" applyAlignment="1">
      <alignment horizontal="center" shrinkToFit="1"/>
    </xf>
    <xf numFmtId="0" fontId="154" fillId="0" borderId="108" xfId="0" applyFont="1" applyBorder="1" applyAlignment="1">
      <alignment horizontal="center" shrinkToFit="1"/>
    </xf>
    <xf numFmtId="0" fontId="154" fillId="0" borderId="179" xfId="0" applyFont="1" applyBorder="1" applyAlignment="1">
      <alignment horizontal="center" shrinkToFit="1"/>
    </xf>
    <xf numFmtId="0" fontId="47" fillId="0" borderId="0" xfId="0" applyFont="1" applyAlignment="1">
      <alignment horizontal="center"/>
    </xf>
    <xf numFmtId="0" fontId="75" fillId="33" borderId="192" xfId="0" applyFont="1" applyFill="1" applyBorder="1" applyAlignment="1">
      <alignment horizontal="right" shrinkToFit="1"/>
    </xf>
    <xf numFmtId="0" fontId="75" fillId="44" borderId="131" xfId="0" applyFont="1" applyFill="1" applyBorder="1" applyAlignment="1">
      <alignment shrinkToFit="1"/>
    </xf>
    <xf numFmtId="3" fontId="153" fillId="37" borderId="0" xfId="0" applyNumberFormat="1" applyFont="1" applyFill="1" applyAlignment="1">
      <alignment horizontal="center"/>
    </xf>
    <xf numFmtId="171" fontId="153" fillId="37" borderId="0" xfId="27" applyNumberFormat="1" applyFont="1" applyFill="1" applyBorder="1" applyAlignment="1">
      <alignment horizontal="center"/>
    </xf>
    <xf numFmtId="43" fontId="153" fillId="37" borderId="0" xfId="0" applyNumberFormat="1" applyFont="1" applyFill="1" applyAlignment="1">
      <alignment horizontal="center"/>
    </xf>
    <xf numFmtId="39" fontId="153" fillId="24" borderId="0" xfId="0" applyNumberFormat="1" applyFont="1" applyFill="1" applyAlignment="1">
      <alignment horizontal="center"/>
    </xf>
    <xf numFmtId="39" fontId="153" fillId="37" borderId="0" xfId="27" applyNumberFormat="1" applyFont="1" applyFill="1" applyBorder="1" applyAlignment="1">
      <alignment horizontal="center"/>
    </xf>
    <xf numFmtId="0" fontId="129" fillId="24" borderId="46" xfId="0" applyFont="1" applyFill="1" applyBorder="1" applyAlignment="1">
      <alignment horizontal="center" vertical="center"/>
    </xf>
    <xf numFmtId="0" fontId="130" fillId="24" borderId="43" xfId="0" applyFont="1" applyFill="1" applyBorder="1" applyAlignment="1">
      <alignment horizontal="left" vertical="center"/>
    </xf>
    <xf numFmtId="16" fontId="130" fillId="24" borderId="39" xfId="0" applyNumberFormat="1" applyFont="1" applyFill="1" applyBorder="1" applyAlignment="1">
      <alignment horizontal="right" vertical="center"/>
    </xf>
    <xf numFmtId="3" fontId="130" fillId="24" borderId="26" xfId="0" applyNumberFormat="1" applyFont="1" applyFill="1" applyBorder="1" applyAlignment="1">
      <alignment horizontal="center" vertical="center"/>
    </xf>
    <xf numFmtId="3" fontId="130" fillId="24" borderId="46" xfId="0" applyNumberFormat="1" applyFont="1" applyFill="1" applyBorder="1" applyAlignment="1">
      <alignment horizontal="right" vertical="center" wrapText="1"/>
    </xf>
    <xf numFmtId="3" fontId="130" fillId="24" borderId="24" xfId="0" applyNumberFormat="1" applyFont="1" applyFill="1" applyBorder="1" applyAlignment="1">
      <alignment horizontal="center" vertical="center" wrapText="1"/>
    </xf>
    <xf numFmtId="4" fontId="130" fillId="24" borderId="24" xfId="0" applyNumberFormat="1" applyFont="1" applyFill="1" applyBorder="1" applyAlignment="1">
      <alignment horizontal="center" vertical="center" wrapText="1"/>
    </xf>
    <xf numFmtId="178" fontId="164" fillId="0" borderId="0" xfId="0" applyNumberFormat="1" applyFont="1" applyAlignment="1">
      <alignment vertical="top"/>
    </xf>
    <xf numFmtId="4" fontId="164" fillId="0" borderId="0" xfId="0" applyNumberFormat="1" applyFont="1" applyAlignment="1">
      <alignment vertical="top"/>
    </xf>
    <xf numFmtId="43" fontId="153" fillId="37" borderId="0" xfId="27" applyFont="1" applyFill="1" applyBorder="1" applyAlignment="1">
      <alignment horizontal="center"/>
    </xf>
    <xf numFmtId="184" fontId="164" fillId="0" borderId="0" xfId="0" applyNumberFormat="1" applyFont="1" applyAlignment="1">
      <alignment vertical="top"/>
    </xf>
    <xf numFmtId="185" fontId="164" fillId="0" borderId="0" xfId="0" applyNumberFormat="1" applyFont="1" applyAlignment="1">
      <alignment vertical="top"/>
    </xf>
    <xf numFmtId="1" fontId="164" fillId="0" borderId="0" xfId="0" applyNumberFormat="1" applyFont="1" applyAlignment="1">
      <alignment vertical="top"/>
    </xf>
    <xf numFmtId="186" fontId="164" fillId="0" borderId="0" xfId="0" applyNumberFormat="1" applyFont="1" applyAlignment="1">
      <alignment vertical="top"/>
    </xf>
    <xf numFmtId="0" fontId="0" fillId="46" borderId="0" xfId="0" applyFill="1" applyAlignment="1">
      <alignment vertical="top"/>
    </xf>
    <xf numFmtId="174" fontId="54" fillId="24" borderId="40" xfId="0" applyNumberFormat="1" applyFont="1" applyFill="1" applyBorder="1" applyAlignment="1">
      <alignment vertical="center"/>
    </xf>
    <xf numFmtId="170" fontId="54" fillId="24" borderId="40" xfId="0" applyNumberFormat="1" applyFont="1" applyFill="1" applyBorder="1" applyAlignment="1">
      <alignment vertical="center"/>
    </xf>
    <xf numFmtId="174" fontId="39" fillId="24" borderId="43" xfId="0" applyNumberFormat="1" applyFont="1" applyFill="1" applyBorder="1" applyAlignment="1">
      <alignment vertical="center"/>
    </xf>
    <xf numFmtId="170" fontId="54" fillId="24" borderId="43" xfId="0" applyNumberFormat="1" applyFont="1" applyFill="1" applyBorder="1" applyAlignment="1">
      <alignment vertical="center"/>
    </xf>
    <xf numFmtId="0" fontId="29" fillId="24" borderId="36" xfId="0" applyFont="1" applyFill="1" applyBorder="1" applyAlignment="1">
      <alignment horizontal="left" vertical="center"/>
    </xf>
    <xf numFmtId="0" fontId="29" fillId="24" borderId="40" xfId="0" applyFont="1" applyFill="1" applyBorder="1" applyAlignment="1">
      <alignment horizontal="left" vertical="center"/>
    </xf>
    <xf numFmtId="167" fontId="29" fillId="24" borderId="200" xfId="0" applyNumberFormat="1" applyFont="1" applyFill="1" applyBorder="1" applyAlignment="1">
      <alignment vertical="center"/>
    </xf>
    <xf numFmtId="174" fontId="54" fillId="24" borderId="47" xfId="0" applyNumberFormat="1" applyFont="1" applyFill="1" applyBorder="1" applyAlignment="1">
      <alignment vertical="center"/>
    </xf>
    <xf numFmtId="0" fontId="29" fillId="24" borderId="22" xfId="0" applyFont="1" applyFill="1" applyBorder="1" applyAlignment="1">
      <alignment horizontal="left" vertical="center"/>
    </xf>
    <xf numFmtId="174" fontId="39" fillId="24" borderId="48" xfId="0" applyNumberFormat="1" applyFont="1" applyFill="1" applyBorder="1" applyAlignment="1">
      <alignment vertical="center"/>
    </xf>
    <xf numFmtId="173" fontId="54" fillId="24" borderId="47" xfId="0" applyNumberFormat="1" applyFont="1" applyFill="1" applyBorder="1" applyAlignment="1">
      <alignment vertical="center"/>
    </xf>
    <xf numFmtId="175" fontId="54" fillId="24" borderId="47" xfId="0" applyNumberFormat="1" applyFont="1" applyFill="1" applyBorder="1" applyAlignment="1">
      <alignment vertical="center"/>
    </xf>
    <xf numFmtId="174" fontId="29" fillId="24" borderId="48" xfId="0" applyNumberFormat="1" applyFont="1" applyFill="1" applyBorder="1" applyAlignment="1">
      <alignment vertical="center"/>
    </xf>
    <xf numFmtId="16" fontId="39" fillId="24" borderId="48" xfId="0" applyNumberFormat="1" applyFont="1" applyFill="1" applyBorder="1" applyAlignment="1">
      <alignment vertical="center"/>
    </xf>
    <xf numFmtId="175" fontId="39" fillId="24" borderId="48" xfId="0" applyNumberFormat="1" applyFont="1" applyFill="1" applyBorder="1" applyAlignment="1">
      <alignment vertical="center"/>
    </xf>
    <xf numFmtId="173" fontId="39" fillId="24" borderId="37" xfId="0" applyNumberFormat="1" applyFont="1" applyFill="1" applyBorder="1" applyAlignment="1">
      <alignment horizontal="right" vertical="center"/>
    </xf>
    <xf numFmtId="174" fontId="54" fillId="24" borderId="47" xfId="0" applyNumberFormat="1" applyFont="1" applyFill="1" applyBorder="1" applyAlignment="1">
      <alignment horizontal="right" vertical="center"/>
    </xf>
    <xf numFmtId="174" fontId="39" fillId="24" borderId="48" xfId="0" applyNumberFormat="1" applyFont="1" applyFill="1" applyBorder="1" applyAlignment="1">
      <alignment horizontal="right" vertical="center"/>
    </xf>
    <xf numFmtId="173" fontId="54" fillId="24" borderId="47" xfId="0" applyNumberFormat="1" applyFont="1" applyFill="1" applyBorder="1" applyAlignment="1">
      <alignment horizontal="right" vertical="center"/>
    </xf>
    <xf numFmtId="175" fontId="39" fillId="24" borderId="37" xfId="0" applyNumberFormat="1" applyFont="1" applyFill="1" applyBorder="1" applyAlignment="1">
      <alignment horizontal="right" vertical="center"/>
    </xf>
    <xf numFmtId="170" fontId="39" fillId="26" borderId="19" xfId="0" applyNumberFormat="1" applyFont="1" applyFill="1" applyBorder="1" applyAlignment="1">
      <alignment horizontal="right" vertical="center"/>
    </xf>
    <xf numFmtId="174" fontId="39" fillId="24" borderId="200" xfId="0" applyNumberFormat="1" applyFont="1" applyFill="1" applyBorder="1" applyAlignment="1">
      <alignment horizontal="right" vertical="center"/>
    </xf>
    <xf numFmtId="170" fontId="54" fillId="24" borderId="48" xfId="0" applyNumberFormat="1" applyFont="1" applyFill="1" applyBorder="1" applyAlignment="1">
      <alignment horizontal="right" vertical="center"/>
    </xf>
    <xf numFmtId="175" fontId="54" fillId="24" borderId="47" xfId="0" applyNumberFormat="1" applyFont="1" applyFill="1" applyBorder="1" applyAlignment="1">
      <alignment horizontal="right" vertical="center"/>
    </xf>
    <xf numFmtId="3" fontId="39" fillId="26" borderId="19" xfId="0" applyNumberFormat="1" applyFont="1" applyFill="1" applyBorder="1" applyAlignment="1">
      <alignment horizontal="right" vertical="center"/>
    </xf>
    <xf numFmtId="173" fontId="49" fillId="24" borderId="47" xfId="0" applyNumberFormat="1" applyFont="1" applyFill="1" applyBorder="1" applyAlignment="1">
      <alignment horizontal="right" vertical="center"/>
    </xf>
    <xf numFmtId="3" fontId="39" fillId="26" borderId="53" xfId="0" applyNumberFormat="1" applyFont="1" applyFill="1" applyBorder="1" applyAlignment="1">
      <alignment horizontal="right" vertical="center"/>
    </xf>
    <xf numFmtId="173" fontId="39" fillId="24" borderId="48" xfId="0" applyNumberFormat="1" applyFont="1" applyFill="1" applyBorder="1" applyAlignment="1">
      <alignment horizontal="right" vertical="center"/>
    </xf>
    <xf numFmtId="175" fontId="39" fillId="24" borderId="48" xfId="0" applyNumberFormat="1" applyFont="1" applyFill="1" applyBorder="1" applyAlignment="1">
      <alignment horizontal="right" vertical="center"/>
    </xf>
    <xf numFmtId="173" fontId="39" fillId="24" borderId="47" xfId="0" applyNumberFormat="1" applyFont="1" applyFill="1" applyBorder="1" applyAlignment="1">
      <alignment horizontal="right" vertical="center"/>
    </xf>
    <xf numFmtId="175" fontId="54" fillId="24" borderId="48" xfId="0" applyNumberFormat="1" applyFont="1" applyFill="1" applyBorder="1" applyAlignment="1">
      <alignment horizontal="right" vertical="center"/>
    </xf>
    <xf numFmtId="3" fontId="29" fillId="24" borderId="190" xfId="0" applyNumberFormat="1" applyFont="1" applyFill="1" applyBorder="1" applyAlignment="1">
      <alignment horizontal="center" vertical="center"/>
    </xf>
    <xf numFmtId="0" fontId="29" fillId="24" borderId="178" xfId="0" applyFont="1" applyFill="1" applyBorder="1" applyAlignment="1">
      <alignment horizontal="center" vertical="center"/>
    </xf>
    <xf numFmtId="0" fontId="129" fillId="24" borderId="39" xfId="0" applyFont="1" applyFill="1" applyBorder="1" applyAlignment="1">
      <alignment horizontal="center" vertical="center"/>
    </xf>
    <xf numFmtId="0" fontId="43" fillId="0" borderId="39" xfId="0" applyFont="1" applyBorder="1" applyAlignment="1">
      <alignment horizontal="center" vertical="center"/>
    </xf>
    <xf numFmtId="4" fontId="57" fillId="32" borderId="0" xfId="0" applyNumberFormat="1" applyFont="1" applyFill="1" applyAlignment="1">
      <alignment horizontal="center" vertical="center"/>
    </xf>
    <xf numFmtId="0" fontId="43" fillId="24" borderId="32" xfId="0" applyFont="1" applyFill="1" applyBorder="1" applyAlignment="1">
      <alignment horizontal="center" vertical="center"/>
    </xf>
    <xf numFmtId="0" fontId="58" fillId="26" borderId="23" xfId="0" applyFont="1" applyFill="1" applyBorder="1" applyAlignment="1">
      <alignment horizontal="center" vertical="center"/>
    </xf>
    <xf numFmtId="0" fontId="130" fillId="24" borderId="41" xfId="0" applyFont="1" applyFill="1" applyBorder="1" applyAlignment="1">
      <alignment horizontal="left" vertical="center"/>
    </xf>
    <xf numFmtId="0" fontId="28" fillId="26" borderId="20" xfId="0" applyFont="1" applyFill="1" applyBorder="1" applyAlignment="1">
      <alignment horizontal="center" vertical="center"/>
    </xf>
    <xf numFmtId="0" fontId="39" fillId="24" borderId="33" xfId="0" applyFont="1" applyFill="1" applyBorder="1" applyAlignment="1">
      <alignment horizontal="left" vertical="center"/>
    </xf>
    <xf numFmtId="3" fontId="39" fillId="24" borderId="24" xfId="0" applyNumberFormat="1" applyFont="1" applyFill="1" applyBorder="1" applyAlignment="1">
      <alignment horizontal="center" vertical="center"/>
    </xf>
    <xf numFmtId="3" fontId="28" fillId="26" borderId="42" xfId="0" applyNumberFormat="1" applyFont="1" applyFill="1" applyBorder="1" applyAlignment="1">
      <alignment horizontal="center" vertical="center" wrapText="1"/>
    </xf>
    <xf numFmtId="3" fontId="54" fillId="24" borderId="43" xfId="0" applyNumberFormat="1" applyFont="1" applyFill="1" applyBorder="1" applyAlignment="1">
      <alignment horizontal="left" vertical="center"/>
    </xf>
    <xf numFmtId="3" fontId="85" fillId="24" borderId="25" xfId="0" applyNumberFormat="1" applyFont="1" applyFill="1" applyBorder="1" applyAlignment="1">
      <alignment horizontal="center" vertical="center"/>
    </xf>
    <xf numFmtId="181" fontId="90" fillId="26" borderId="21" xfId="0" applyNumberFormat="1" applyFont="1" applyFill="1" applyBorder="1" applyAlignment="1">
      <alignment horizontal="right" vertical="center" wrapText="1"/>
    </xf>
    <xf numFmtId="0" fontId="131" fillId="24" borderId="46" xfId="0" applyFont="1" applyFill="1" applyBorder="1" applyAlignment="1">
      <alignment horizontal="center" vertical="center"/>
    </xf>
    <xf numFmtId="0" fontId="119" fillId="24" borderId="43" xfId="0" applyFont="1" applyFill="1" applyBorder="1" applyAlignment="1">
      <alignment horizontal="left" vertical="center"/>
    </xf>
    <xf numFmtId="16" fontId="119" fillId="24" borderId="39" xfId="0" applyNumberFormat="1" applyFont="1" applyFill="1" applyBorder="1" applyAlignment="1">
      <alignment horizontal="right" vertical="center"/>
    </xf>
    <xf numFmtId="0" fontId="131" fillId="24" borderId="26" xfId="0" applyFont="1" applyFill="1" applyBorder="1" applyAlignment="1">
      <alignment horizontal="center" vertical="center"/>
    </xf>
    <xf numFmtId="3" fontId="128" fillId="24" borderId="26" xfId="0" applyNumberFormat="1" applyFont="1" applyFill="1" applyBorder="1" applyAlignment="1">
      <alignment horizontal="center" vertical="center"/>
    </xf>
    <xf numFmtId="16" fontId="118" fillId="24" borderId="39" xfId="0" applyNumberFormat="1" applyFont="1" applyFill="1" applyBorder="1" applyAlignment="1">
      <alignment horizontal="right" vertical="center"/>
    </xf>
    <xf numFmtId="182" fontId="39" fillId="24" borderId="38" xfId="0" applyNumberFormat="1" applyFont="1" applyFill="1" applyBorder="1" applyAlignment="1">
      <alignment horizontal="right" vertical="center"/>
    </xf>
    <xf numFmtId="182" fontId="39" fillId="26" borderId="19" xfId="0" applyNumberFormat="1" applyFont="1" applyFill="1" applyBorder="1" applyAlignment="1">
      <alignment horizontal="right" vertical="center"/>
    </xf>
    <xf numFmtId="0" fontId="59" fillId="0" borderId="0" xfId="0" applyFont="1"/>
    <xf numFmtId="0" fontId="84" fillId="0" borderId="0" xfId="0" applyFont="1"/>
    <xf numFmtId="0" fontId="20" fillId="0" borderId="0" xfId="0" applyFont="1" applyAlignment="1">
      <alignment vertical="top"/>
    </xf>
    <xf numFmtId="3" fontId="54" fillId="32" borderId="26" xfId="0" applyNumberFormat="1" applyFont="1" applyFill="1" applyBorder="1" applyAlignment="1">
      <alignment horizontal="right" vertical="center" wrapText="1"/>
    </xf>
    <xf numFmtId="3" fontId="67" fillId="24" borderId="190" xfId="0" applyNumberFormat="1" applyFont="1" applyFill="1" applyBorder="1" applyAlignment="1">
      <alignment horizontal="center" vertical="center"/>
    </xf>
    <xf numFmtId="3" fontId="75" fillId="24" borderId="190" xfId="0" applyNumberFormat="1" applyFont="1" applyFill="1" applyBorder="1" applyAlignment="1">
      <alignment horizontal="center" vertical="center"/>
    </xf>
    <xf numFmtId="0" fontId="75" fillId="24" borderId="178" xfId="0" applyFont="1" applyFill="1" applyBorder="1" applyAlignment="1">
      <alignment horizontal="center" vertical="center"/>
    </xf>
    <xf numFmtId="0" fontId="117" fillId="43" borderId="108" xfId="0" applyFont="1" applyFill="1" applyBorder="1" applyAlignment="1">
      <alignment horizontal="center" shrinkToFit="1"/>
    </xf>
    <xf numFmtId="0" fontId="75" fillId="44" borderId="201" xfId="0" applyFont="1" applyFill="1" applyBorder="1" applyAlignment="1">
      <alignment shrinkToFit="1"/>
    </xf>
    <xf numFmtId="43" fontId="72" fillId="0" borderId="130" xfId="0" applyNumberFormat="1" applyFont="1" applyBorder="1" applyAlignment="1">
      <alignment shrinkToFit="1"/>
    </xf>
    <xf numFmtId="0" fontId="75" fillId="44" borderId="203" xfId="0" applyFont="1" applyFill="1" applyBorder="1" applyAlignment="1">
      <alignment shrinkToFit="1"/>
    </xf>
    <xf numFmtId="0" fontId="75" fillId="44" borderId="204" xfId="0" applyFont="1" applyFill="1" applyBorder="1" applyAlignment="1">
      <alignment shrinkToFit="1"/>
    </xf>
    <xf numFmtId="0" fontId="75" fillId="37" borderId="0" xfId="0" applyFont="1" applyFill="1" applyAlignment="1">
      <alignment shrinkToFit="1"/>
    </xf>
    <xf numFmtId="3" fontId="55" fillId="24" borderId="184" xfId="0" applyNumberFormat="1" applyFont="1" applyFill="1" applyBorder="1" applyAlignment="1">
      <alignment horizontal="right" vertical="center"/>
    </xf>
    <xf numFmtId="3" fontId="125" fillId="24" borderId="205" xfId="0" applyNumberFormat="1" applyFont="1" applyFill="1" applyBorder="1" applyAlignment="1">
      <alignment horizontal="right" vertical="center"/>
    </xf>
    <xf numFmtId="49" fontId="117" fillId="43" borderId="13" xfId="0" applyNumberFormat="1" applyFont="1" applyFill="1" applyBorder="1" applyAlignment="1">
      <alignment shrinkToFit="1"/>
    </xf>
    <xf numFmtId="0" fontId="75" fillId="0" borderId="0" xfId="0" applyFont="1"/>
    <xf numFmtId="0" fontId="137" fillId="0" borderId="0" xfId="0" applyFont="1" applyAlignment="1">
      <alignment vertical="center"/>
    </xf>
    <xf numFmtId="43" fontId="67" fillId="0" borderId="178" xfId="27" applyFont="1" applyBorder="1" applyAlignment="1"/>
    <xf numFmtId="3" fontId="43" fillId="24" borderId="31" xfId="0" applyNumberFormat="1" applyFont="1" applyFill="1" applyBorder="1" applyAlignment="1">
      <alignment horizontal="center" vertical="center"/>
    </xf>
    <xf numFmtId="16" fontId="28" fillId="24" borderId="39" xfId="0" applyNumberFormat="1" applyFont="1" applyFill="1" applyBorder="1" applyAlignment="1">
      <alignment horizontal="center" vertical="center"/>
    </xf>
    <xf numFmtId="0" fontId="75" fillId="0" borderId="193" xfId="0" applyFont="1" applyBorder="1" applyAlignment="1">
      <alignment shrinkToFit="1"/>
    </xf>
    <xf numFmtId="0" fontId="137" fillId="0" borderId="0" xfId="0" applyFont="1" applyAlignment="1">
      <alignment vertical="top"/>
    </xf>
    <xf numFmtId="3" fontId="125" fillId="0" borderId="206" xfId="0" applyNumberFormat="1" applyFont="1" applyBorder="1" applyAlignment="1">
      <alignment horizontal="center" vertical="center"/>
    </xf>
    <xf numFmtId="165" fontId="43" fillId="26" borderId="21" xfId="0" applyNumberFormat="1" applyFont="1" applyFill="1" applyBorder="1" applyAlignment="1">
      <alignment horizontal="center" vertical="center"/>
    </xf>
    <xf numFmtId="165" fontId="125" fillId="26" borderId="159" xfId="0" applyNumberFormat="1" applyFont="1" applyFill="1" applyBorder="1" applyAlignment="1">
      <alignment horizontal="center" vertical="center" wrapText="1"/>
    </xf>
    <xf numFmtId="165" fontId="43" fillId="26" borderId="21" xfId="27" applyNumberFormat="1" applyFont="1" applyFill="1" applyBorder="1" applyAlignment="1">
      <alignment horizontal="center" vertical="center"/>
    </xf>
    <xf numFmtId="165" fontId="125" fillId="26" borderId="159" xfId="27" applyNumberFormat="1" applyFont="1" applyFill="1" applyBorder="1" applyAlignment="1">
      <alignment horizontal="center" vertical="center" wrapText="1"/>
    </xf>
    <xf numFmtId="165" fontId="125" fillId="26" borderId="169" xfId="0" applyNumberFormat="1" applyFont="1" applyFill="1" applyBorder="1" applyAlignment="1">
      <alignment horizontal="center" vertical="center"/>
    </xf>
    <xf numFmtId="49" fontId="117" fillId="43" borderId="13" xfId="0" applyNumberFormat="1" applyFont="1" applyFill="1" applyBorder="1" applyAlignment="1">
      <alignment horizontal="center" shrinkToFit="1"/>
    </xf>
    <xf numFmtId="43" fontId="92" fillId="0" borderId="0" xfId="27" applyFont="1" applyBorder="1" applyAlignment="1">
      <alignment horizontal="center" vertical="top"/>
    </xf>
    <xf numFmtId="43" fontId="68" fillId="28" borderId="12" xfId="27" applyFont="1" applyFill="1" applyBorder="1" applyAlignment="1">
      <alignment horizontal="center" vertical="center"/>
    </xf>
    <xf numFmtId="41" fontId="67" fillId="0" borderId="77" xfId="27" applyNumberFormat="1" applyFont="1" applyBorder="1" applyAlignment="1"/>
    <xf numFmtId="41" fontId="91" fillId="0" borderId="13" xfId="27" applyNumberFormat="1" applyFont="1" applyBorder="1" applyAlignment="1">
      <alignment vertical="center"/>
    </xf>
    <xf numFmtId="3" fontId="125" fillId="0" borderId="205" xfId="0" applyNumberFormat="1" applyFont="1" applyBorder="1" applyAlignment="1">
      <alignment horizontal="center" vertical="center"/>
    </xf>
    <xf numFmtId="3" fontId="125" fillId="0" borderId="207" xfId="0" applyNumberFormat="1" applyFont="1" applyBorder="1" applyAlignment="1">
      <alignment horizontal="center" vertical="center"/>
    </xf>
    <xf numFmtId="0" fontId="28" fillId="32" borderId="51" xfId="0" applyFont="1" applyFill="1" applyBorder="1" applyAlignment="1">
      <alignment horizontal="center" vertical="center"/>
    </xf>
    <xf numFmtId="0" fontId="28" fillId="32" borderId="26" xfId="0" applyFont="1" applyFill="1" applyBorder="1" applyAlignment="1">
      <alignment horizontal="center" vertical="center" wrapText="1"/>
    </xf>
    <xf numFmtId="0" fontId="28" fillId="32" borderId="26" xfId="0" applyFont="1" applyFill="1" applyBorder="1" applyAlignment="1">
      <alignment horizontal="center" vertical="center"/>
    </xf>
    <xf numFmtId="0" fontId="28" fillId="32" borderId="39" xfId="0" applyFont="1" applyFill="1" applyBorder="1" applyAlignment="1">
      <alignment horizontal="center" vertical="center"/>
    </xf>
    <xf numFmtId="0" fontId="0" fillId="32" borderId="0" xfId="0" applyFill="1" applyAlignment="1">
      <alignment vertical="top"/>
    </xf>
    <xf numFmtId="0" fontId="28" fillId="24" borderId="0" xfId="0" applyFont="1" applyFill="1" applyAlignment="1">
      <alignment horizontal="center" vertical="center"/>
    </xf>
    <xf numFmtId="0" fontId="51" fillId="25" borderId="208" xfId="0" applyFont="1" applyFill="1" applyBorder="1" applyAlignment="1">
      <alignment horizontal="center" vertical="center"/>
    </xf>
    <xf numFmtId="43" fontId="139" fillId="0" borderId="0" xfId="27" applyFont="1"/>
    <xf numFmtId="168" fontId="43" fillId="24" borderId="26" xfId="0" applyNumberFormat="1" applyFont="1" applyFill="1" applyBorder="1" applyAlignment="1">
      <alignment horizontal="right" vertical="center"/>
    </xf>
    <xf numFmtId="168" fontId="28" fillId="24" borderId="46" xfId="0" applyNumberFormat="1" applyFont="1" applyFill="1" applyBorder="1" applyAlignment="1">
      <alignment horizontal="right" vertical="center"/>
    </xf>
    <xf numFmtId="171" fontId="153" fillId="37" borderId="0" xfId="27" applyNumberFormat="1" applyFont="1" applyFill="1" applyBorder="1" applyAlignment="1"/>
    <xf numFmtId="4" fontId="153" fillId="37" borderId="0" xfId="0" applyNumberFormat="1" applyFont="1" applyFill="1"/>
    <xf numFmtId="0" fontId="72" fillId="0" borderId="0" xfId="0" applyFont="1" applyAlignment="1">
      <alignment horizontal="right" shrinkToFit="1"/>
    </xf>
    <xf numFmtId="16" fontId="54" fillId="24" borderId="209" xfId="0" applyNumberFormat="1" applyFont="1" applyFill="1" applyBorder="1" applyAlignment="1">
      <alignment horizontal="right" vertical="center"/>
    </xf>
    <xf numFmtId="3" fontId="28" fillId="32" borderId="26" xfId="0" applyNumberFormat="1" applyFont="1" applyFill="1" applyBorder="1" applyAlignment="1">
      <alignment horizontal="right" vertical="center"/>
    </xf>
    <xf numFmtId="0" fontId="55" fillId="24" borderId="42" xfId="0" applyFont="1" applyFill="1" applyBorder="1" applyAlignment="1">
      <alignment horizontal="center" vertical="center" wrapText="1"/>
    </xf>
    <xf numFmtId="16" fontId="54" fillId="24" borderId="59" xfId="0" applyNumberFormat="1" applyFont="1" applyFill="1" applyBorder="1" applyAlignment="1">
      <alignment horizontal="right" vertical="center"/>
    </xf>
    <xf numFmtId="4" fontId="54" fillId="24" borderId="42" xfId="0" applyNumberFormat="1" applyFont="1" applyFill="1" applyBorder="1" applyAlignment="1">
      <alignment vertical="center" wrapText="1"/>
    </xf>
    <xf numFmtId="0" fontId="55" fillId="24" borderId="184" xfId="0" applyFont="1" applyFill="1" applyBorder="1" applyAlignment="1">
      <alignment horizontal="center" vertical="center" wrapText="1"/>
    </xf>
    <xf numFmtId="3" fontId="54" fillId="24" borderId="184" xfId="0" applyNumberFormat="1" applyFont="1" applyFill="1" applyBorder="1" applyAlignment="1">
      <alignment horizontal="center" vertical="center"/>
    </xf>
    <xf numFmtId="4" fontId="54" fillId="24" borderId="184" xfId="0" applyNumberFormat="1" applyFont="1" applyFill="1" applyBorder="1" applyAlignment="1">
      <alignment vertical="center" wrapText="1"/>
    </xf>
    <xf numFmtId="3" fontId="54" fillId="24" borderId="184" xfId="0" applyNumberFormat="1" applyFont="1" applyFill="1" applyBorder="1" applyAlignment="1">
      <alignment vertical="center" wrapText="1"/>
    </xf>
    <xf numFmtId="3" fontId="54" fillId="24" borderId="184" xfId="0" applyNumberFormat="1" applyFont="1" applyFill="1" applyBorder="1" applyAlignment="1">
      <alignment horizontal="right" vertical="center" wrapText="1"/>
    </xf>
    <xf numFmtId="0" fontId="72" fillId="0" borderId="10" xfId="0" applyFont="1" applyBorder="1"/>
    <xf numFmtId="0" fontId="72" fillId="48" borderId="0" xfId="0" applyFont="1" applyFill="1"/>
    <xf numFmtId="0" fontId="72" fillId="0" borderId="0" xfId="0" applyFont="1" applyAlignment="1">
      <alignment vertical="top"/>
    </xf>
    <xf numFmtId="0" fontId="38" fillId="0" borderId="0" xfId="0" applyFont="1"/>
    <xf numFmtId="171" fontId="75" fillId="0" borderId="153" xfId="27" applyNumberFormat="1" applyFont="1" applyBorder="1" applyAlignment="1">
      <alignment horizontal="left"/>
    </xf>
    <xf numFmtId="171" fontId="75" fillId="32" borderId="153" xfId="27" applyNumberFormat="1" applyFont="1" applyFill="1" applyBorder="1" applyAlignment="1">
      <alignment horizontal="left"/>
    </xf>
    <xf numFmtId="4" fontId="57" fillId="32" borderId="0" xfId="0" applyNumberFormat="1" applyFont="1" applyFill="1" applyAlignment="1">
      <alignment vertical="top"/>
    </xf>
    <xf numFmtId="0" fontId="39" fillId="24" borderId="46" xfId="0" applyFont="1" applyFill="1" applyBorder="1" applyAlignment="1">
      <alignment horizontal="center" vertical="center"/>
    </xf>
    <xf numFmtId="0" fontId="72" fillId="47" borderId="13" xfId="0" applyFont="1" applyFill="1" applyBorder="1" applyAlignment="1">
      <alignment horizontal="center" shrinkToFit="1"/>
    </xf>
    <xf numFmtId="0" fontId="72" fillId="39" borderId="13" xfId="0" applyFont="1" applyFill="1" applyBorder="1" applyAlignment="1">
      <alignment horizontal="center" shrinkToFit="1"/>
    </xf>
    <xf numFmtId="43" fontId="67" fillId="0" borderId="0" xfId="0" applyNumberFormat="1" applyFont="1"/>
    <xf numFmtId="39" fontId="153" fillId="37" borderId="0" xfId="0" applyNumberFormat="1" applyFont="1" applyFill="1" applyAlignment="1">
      <alignment horizontal="center"/>
    </xf>
    <xf numFmtId="37" fontId="153" fillId="37" borderId="0" xfId="0" applyNumberFormat="1" applyFont="1" applyFill="1" applyAlignment="1">
      <alignment horizontal="center"/>
    </xf>
    <xf numFmtId="0" fontId="32" fillId="24" borderId="77" xfId="0" applyFont="1" applyFill="1" applyBorder="1" applyAlignment="1">
      <alignment horizontal="center"/>
    </xf>
    <xf numFmtId="3" fontId="28" fillId="24" borderId="210" xfId="0" applyNumberFormat="1" applyFont="1" applyFill="1" applyBorder="1" applyAlignment="1">
      <alignment horizontal="right" vertical="center"/>
    </xf>
    <xf numFmtId="3" fontId="28" fillId="24" borderId="211" xfId="0" applyNumberFormat="1" applyFont="1" applyFill="1" applyBorder="1" applyAlignment="1">
      <alignment horizontal="right" vertical="center"/>
    </xf>
    <xf numFmtId="3" fontId="125" fillId="26" borderId="212" xfId="0" applyNumberFormat="1" applyFont="1" applyFill="1" applyBorder="1" applyAlignment="1">
      <alignment horizontal="center" vertical="center" wrapText="1"/>
    </xf>
    <xf numFmtId="3" fontId="29" fillId="24" borderId="184" xfId="0" applyNumberFormat="1" applyFont="1" applyFill="1" applyBorder="1" applyAlignment="1">
      <alignment horizontal="center" vertical="center"/>
    </xf>
    <xf numFmtId="187" fontId="154" fillId="32" borderId="0" xfId="27" applyNumberFormat="1" applyFont="1" applyFill="1" applyBorder="1" applyAlignment="1"/>
    <xf numFmtId="43" fontId="138" fillId="48" borderId="0" xfId="27" applyFont="1" applyFill="1" applyBorder="1" applyAlignment="1">
      <alignment horizontal="right"/>
    </xf>
    <xf numFmtId="3" fontId="39" fillId="24" borderId="46" xfId="0" applyNumberFormat="1" applyFont="1" applyFill="1" applyBorder="1" applyAlignment="1">
      <alignment horizontal="center" vertical="center"/>
    </xf>
    <xf numFmtId="43" fontId="67" fillId="32" borderId="99" xfId="27" applyFont="1" applyFill="1" applyBorder="1"/>
    <xf numFmtId="171" fontId="67" fillId="32" borderId="92" xfId="27" applyNumberFormat="1" applyFont="1" applyFill="1" applyBorder="1"/>
    <xf numFmtId="3" fontId="54" fillId="24" borderId="0" xfId="0" applyNumberFormat="1" applyFont="1" applyFill="1" applyAlignment="1">
      <alignment horizontal="right" vertical="center" wrapText="1"/>
    </xf>
    <xf numFmtId="3" fontId="43" fillId="24" borderId="52" xfId="0" applyNumberFormat="1" applyFont="1" applyFill="1" applyBorder="1" applyAlignment="1">
      <alignment horizontal="center" vertical="center" wrapText="1"/>
    </xf>
    <xf numFmtId="4" fontId="165" fillId="49" borderId="0" xfId="0" applyNumberFormat="1" applyFont="1" applyFill="1" applyAlignment="1">
      <alignment vertical="center"/>
    </xf>
    <xf numFmtId="4" fontId="166" fillId="0" borderId="0" xfId="0" applyNumberFormat="1" applyFont="1" applyAlignment="1">
      <alignment vertical="top"/>
    </xf>
    <xf numFmtId="43" fontId="153" fillId="24" borderId="0" xfId="0" applyNumberFormat="1" applyFont="1" applyFill="1"/>
    <xf numFmtId="0" fontId="72" fillId="37" borderId="0" xfId="0" applyFont="1" applyFill="1"/>
    <xf numFmtId="0" fontId="43" fillId="24" borderId="20" xfId="0" applyFont="1" applyFill="1" applyBorder="1" applyAlignment="1">
      <alignment horizontal="center" vertical="center"/>
    </xf>
    <xf numFmtId="0" fontId="39" fillId="24" borderId="30" xfId="0" applyFont="1" applyFill="1" applyBorder="1" applyAlignment="1">
      <alignment horizontal="left" vertical="center"/>
    </xf>
    <xf numFmtId="16" fontId="39" fillId="24" borderId="27" xfId="0" applyNumberFormat="1" applyFont="1" applyFill="1" applyBorder="1" applyAlignment="1">
      <alignment horizontal="right" vertical="center"/>
    </xf>
    <xf numFmtId="3" fontId="39" fillId="24" borderId="27" xfId="0" applyNumberFormat="1" applyFont="1" applyFill="1" applyBorder="1" applyAlignment="1">
      <alignment horizontal="center" vertical="center"/>
    </xf>
    <xf numFmtId="3" fontId="39" fillId="24" borderId="29" xfId="0" applyNumberFormat="1" applyFont="1" applyFill="1" applyBorder="1" applyAlignment="1">
      <alignment vertical="center" wrapText="1"/>
    </xf>
    <xf numFmtId="0" fontId="167" fillId="47" borderId="13" xfId="0" applyFont="1" applyFill="1" applyBorder="1" applyAlignment="1">
      <alignment horizontal="center" shrinkToFit="1"/>
    </xf>
    <xf numFmtId="0" fontId="54" fillId="32" borderId="43" xfId="0" applyFont="1" applyFill="1" applyBorder="1" applyAlignment="1">
      <alignment horizontal="left" vertical="center"/>
    </xf>
    <xf numFmtId="16" fontId="54" fillId="32" borderId="39" xfId="0" applyNumberFormat="1" applyFont="1" applyFill="1" applyBorder="1" applyAlignment="1">
      <alignment horizontal="right" vertical="center"/>
    </xf>
    <xf numFmtId="3" fontId="54" fillId="32" borderId="26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vertical="center" wrapText="1"/>
    </xf>
    <xf numFmtId="171" fontId="153" fillId="35" borderId="0" xfId="27" applyNumberFormat="1" applyFont="1" applyFill="1" applyBorder="1" applyAlignment="1">
      <alignment horizontal="center"/>
    </xf>
    <xf numFmtId="16" fontId="54" fillId="24" borderId="62" xfId="0" applyNumberFormat="1" applyFont="1" applyFill="1" applyBorder="1" applyAlignment="1">
      <alignment horizontal="right" vertical="center"/>
    </xf>
    <xf numFmtId="4" fontId="54" fillId="24" borderId="46" xfId="0" applyNumberFormat="1" applyFont="1" applyFill="1" applyBorder="1" applyAlignment="1">
      <alignment vertical="center" wrapText="1"/>
    </xf>
    <xf numFmtId="0" fontId="39" fillId="24" borderId="46" xfId="0" applyFont="1" applyFill="1" applyBorder="1" applyAlignment="1">
      <alignment horizontal="right" vertical="center"/>
    </xf>
    <xf numFmtId="3" fontId="39" fillId="24" borderId="46" xfId="0" applyNumberFormat="1" applyFont="1" applyFill="1" applyBorder="1" applyAlignment="1">
      <alignment horizontal="right" vertical="center"/>
    </xf>
    <xf numFmtId="43" fontId="67" fillId="0" borderId="213" xfId="27" applyFont="1" applyBorder="1"/>
    <xf numFmtId="3" fontId="125" fillId="0" borderId="214" xfId="0" applyNumberFormat="1" applyFont="1" applyBorder="1" applyAlignment="1">
      <alignment horizontal="center" vertical="center"/>
    </xf>
    <xf numFmtId="43" fontId="47" fillId="0" borderId="194" xfId="0" applyNumberFormat="1" applyFont="1" applyBorder="1" applyAlignment="1">
      <alignment shrinkToFit="1"/>
    </xf>
    <xf numFmtId="4" fontId="43" fillId="0" borderId="194" xfId="0" applyNumberFormat="1" applyFont="1" applyBorder="1" applyAlignment="1">
      <alignment shrinkToFit="1"/>
    </xf>
    <xf numFmtId="3" fontId="125" fillId="0" borderId="215" xfId="0" applyNumberFormat="1" applyFont="1" applyBorder="1" applyAlignment="1">
      <alignment horizontal="center" vertical="center"/>
    </xf>
    <xf numFmtId="0" fontId="157" fillId="0" borderId="43" xfId="0" applyFont="1" applyBorder="1" applyAlignment="1">
      <alignment vertical="center"/>
    </xf>
    <xf numFmtId="0" fontId="26" fillId="24" borderId="78" xfId="0" applyFont="1" applyFill="1" applyBorder="1" applyAlignment="1">
      <alignment horizontal="center"/>
    </xf>
    <xf numFmtId="43" fontId="67" fillId="0" borderId="217" xfId="27" applyFont="1" applyBorder="1"/>
    <xf numFmtId="0" fontId="75" fillId="32" borderId="218" xfId="0" applyFont="1" applyFill="1" applyBorder="1" applyAlignment="1">
      <alignment shrinkToFit="1"/>
    </xf>
    <xf numFmtId="3" fontId="29" fillId="24" borderId="216" xfId="0" applyNumberFormat="1" applyFont="1" applyFill="1" applyBorder="1" applyAlignment="1">
      <alignment horizontal="center" vertical="center" wrapText="1"/>
    </xf>
    <xf numFmtId="3" fontId="29" fillId="24" borderId="219" xfId="0" applyNumberFormat="1" applyFont="1" applyFill="1" applyBorder="1" applyAlignment="1">
      <alignment horizontal="center" vertical="center" wrapText="1"/>
    </xf>
    <xf numFmtId="3" fontId="125" fillId="0" borderId="220" xfId="0" applyNumberFormat="1" applyFont="1" applyBorder="1" applyAlignment="1">
      <alignment horizontal="center" vertical="center"/>
    </xf>
    <xf numFmtId="0" fontId="68" fillId="0" borderId="77" xfId="0" applyFont="1" applyBorder="1"/>
    <xf numFmtId="0" fontId="68" fillId="0" borderId="179" xfId="0" applyFont="1" applyBorder="1"/>
    <xf numFmtId="3" fontId="124" fillId="0" borderId="214" xfId="0" applyNumberFormat="1" applyFont="1" applyBorder="1" applyAlignment="1">
      <alignment horizontal="center" vertical="center"/>
    </xf>
    <xf numFmtId="3" fontId="39" fillId="24" borderId="216" xfId="0" applyNumberFormat="1" applyFont="1" applyFill="1" applyBorder="1" applyAlignment="1">
      <alignment vertical="center" wrapText="1"/>
    </xf>
    <xf numFmtId="3" fontId="43" fillId="24" borderId="216" xfId="0" applyNumberFormat="1" applyFont="1" applyFill="1" applyBorder="1" applyAlignment="1">
      <alignment horizontal="right" vertical="center"/>
    </xf>
    <xf numFmtId="3" fontId="125" fillId="24" borderId="221" xfId="0" applyNumberFormat="1" applyFont="1" applyFill="1" applyBorder="1" applyAlignment="1">
      <alignment horizontal="right" vertical="center"/>
    </xf>
    <xf numFmtId="3" fontId="54" fillId="24" borderId="216" xfId="0" applyNumberFormat="1" applyFont="1" applyFill="1" applyBorder="1" applyAlignment="1">
      <alignment vertical="center" wrapText="1"/>
    </xf>
    <xf numFmtId="3" fontId="43" fillId="24" borderId="184" xfId="0" applyNumberFormat="1" applyFont="1" applyFill="1" applyBorder="1" applyAlignment="1">
      <alignment horizontal="center" vertical="center"/>
    </xf>
    <xf numFmtId="3" fontId="28" fillId="28" borderId="21" xfId="0" applyNumberFormat="1" applyFont="1" applyFill="1" applyBorder="1" applyAlignment="1">
      <alignment vertical="center"/>
    </xf>
    <xf numFmtId="4" fontId="28" fillId="28" borderId="169" xfId="0" applyNumberFormat="1" applyFont="1" applyFill="1" applyBorder="1" applyAlignment="1">
      <alignment horizontal="center" vertical="center"/>
    </xf>
    <xf numFmtId="43" fontId="0" fillId="0" borderId="0" xfId="0" applyNumberFormat="1"/>
    <xf numFmtId="43" fontId="67" fillId="0" borderId="222" xfId="27" applyFont="1" applyBorder="1" applyAlignment="1"/>
    <xf numFmtId="43" fontId="67" fillId="0" borderId="152" xfId="27" applyFont="1" applyBorder="1" applyAlignment="1"/>
    <xf numFmtId="43" fontId="67" fillId="0" borderId="190" xfId="27" applyFont="1" applyBorder="1" applyAlignment="1"/>
    <xf numFmtId="182" fontId="119" fillId="24" borderId="38" xfId="0" applyNumberFormat="1" applyFont="1" applyFill="1" applyBorder="1" applyAlignment="1">
      <alignment horizontal="right" vertical="center"/>
    </xf>
    <xf numFmtId="3" fontId="125" fillId="24" borderId="168" xfId="0" applyNumberFormat="1" applyFont="1" applyFill="1" applyBorder="1" applyAlignment="1">
      <alignment horizontal="center" vertical="center"/>
    </xf>
    <xf numFmtId="0" fontId="173" fillId="24" borderId="77" xfId="38" applyFont="1" applyFill="1" applyBorder="1" applyAlignment="1">
      <alignment vertical="top"/>
    </xf>
    <xf numFmtId="3" fontId="125" fillId="24" borderId="220" xfId="0" applyNumberFormat="1" applyFont="1" applyFill="1" applyBorder="1" applyAlignment="1">
      <alignment horizontal="right" vertical="center"/>
    </xf>
    <xf numFmtId="3" fontId="54" fillId="24" borderId="31" xfId="27" applyNumberFormat="1" applyFont="1" applyFill="1" applyBorder="1" applyAlignment="1">
      <alignment vertical="center" wrapText="1"/>
    </xf>
    <xf numFmtId="3" fontId="54" fillId="24" borderId="25" xfId="27" applyNumberFormat="1" applyFont="1" applyFill="1" applyBorder="1" applyAlignment="1">
      <alignment vertical="center" wrapText="1"/>
    </xf>
    <xf numFmtId="3" fontId="28" fillId="26" borderId="21" xfId="0" applyNumberFormat="1" applyFont="1" applyFill="1" applyBorder="1" applyAlignment="1">
      <alignment vertical="center" wrapText="1"/>
    </xf>
    <xf numFmtId="4" fontId="28" fillId="26" borderId="21" xfId="0" applyNumberFormat="1" applyFont="1" applyFill="1" applyBorder="1" applyAlignment="1">
      <alignment vertical="center" wrapText="1"/>
    </xf>
    <xf numFmtId="3" fontId="54" fillId="24" borderId="26" xfId="27" applyNumberFormat="1" applyFont="1" applyFill="1" applyBorder="1" applyAlignment="1">
      <alignment vertical="center" wrapText="1"/>
    </xf>
    <xf numFmtId="4" fontId="29" fillId="24" borderId="29" xfId="0" applyNumberFormat="1" applyFont="1" applyFill="1" applyBorder="1" applyAlignment="1">
      <alignment vertical="center" wrapText="1"/>
    </xf>
    <xf numFmtId="3" fontId="29" fillId="24" borderId="26" xfId="27" applyNumberFormat="1" applyFont="1" applyFill="1" applyBorder="1" applyAlignment="1">
      <alignment vertical="center" wrapText="1"/>
    </xf>
    <xf numFmtId="3" fontId="28" fillId="28" borderId="21" xfId="0" applyNumberFormat="1" applyFont="1" applyFill="1" applyBorder="1" applyAlignment="1">
      <alignment vertical="center" wrapText="1"/>
    </xf>
    <xf numFmtId="3" fontId="54" fillId="24" borderId="32" xfId="27" applyNumberFormat="1" applyFont="1" applyFill="1" applyBorder="1" applyAlignment="1">
      <alignment vertical="center" wrapText="1"/>
    </xf>
    <xf numFmtId="3" fontId="28" fillId="24" borderId="46" xfId="0" applyNumberFormat="1" applyFont="1" applyFill="1" applyBorder="1" applyAlignment="1">
      <alignment vertical="center" wrapText="1"/>
    </xf>
    <xf numFmtId="3" fontId="28" fillId="24" borderId="26" xfId="0" applyNumberFormat="1" applyFont="1" applyFill="1" applyBorder="1" applyAlignment="1">
      <alignment vertical="center" wrapText="1"/>
    </xf>
    <xf numFmtId="3" fontId="39" fillId="24" borderId="26" xfId="27" applyNumberFormat="1" applyFont="1" applyFill="1" applyBorder="1" applyAlignment="1">
      <alignment vertical="center" wrapText="1"/>
    </xf>
    <xf numFmtId="4" fontId="39" fillId="24" borderId="46" xfId="0" applyNumberFormat="1" applyFont="1" applyFill="1" applyBorder="1" applyAlignment="1">
      <alignment vertical="center" wrapText="1"/>
    </xf>
    <xf numFmtId="3" fontId="85" fillId="24" borderId="26" xfId="27" applyNumberFormat="1" applyFont="1" applyFill="1" applyBorder="1" applyAlignment="1">
      <alignment vertical="center" wrapText="1"/>
    </xf>
    <xf numFmtId="4" fontId="85" fillId="24" borderId="25" xfId="0" applyNumberFormat="1" applyFont="1" applyFill="1" applyBorder="1" applyAlignment="1">
      <alignment vertical="center" wrapText="1"/>
    </xf>
    <xf numFmtId="3" fontId="54" fillId="24" borderId="24" xfId="27" applyNumberFormat="1" applyFont="1" applyFill="1" applyBorder="1" applyAlignment="1">
      <alignment vertical="center" wrapText="1"/>
    </xf>
    <xf numFmtId="3" fontId="54" fillId="24" borderId="46" xfId="27" applyNumberFormat="1" applyFont="1" applyFill="1" applyBorder="1" applyAlignment="1">
      <alignment vertical="center" wrapText="1"/>
    </xf>
    <xf numFmtId="3" fontId="29" fillId="28" borderId="21" xfId="0" applyNumberFormat="1" applyFont="1" applyFill="1" applyBorder="1" applyAlignment="1">
      <alignment vertical="center" wrapText="1"/>
    </xf>
    <xf numFmtId="3" fontId="53" fillId="24" borderId="31" xfId="27" applyNumberFormat="1" applyFont="1" applyFill="1" applyBorder="1" applyAlignment="1">
      <alignment vertical="center" wrapText="1"/>
    </xf>
    <xf numFmtId="3" fontId="39" fillId="24" borderId="24" xfId="0" applyNumberFormat="1" applyFont="1" applyFill="1" applyBorder="1" applyAlignment="1">
      <alignment vertical="center" wrapText="1"/>
    </xf>
    <xf numFmtId="3" fontId="39" fillId="24" borderId="24" xfId="27" applyNumberFormat="1" applyFont="1" applyFill="1" applyBorder="1" applyAlignment="1">
      <alignment vertical="center" wrapText="1"/>
    </xf>
    <xf numFmtId="4" fontId="39" fillId="24" borderId="24" xfId="0" applyNumberFormat="1" applyFont="1" applyFill="1" applyBorder="1" applyAlignment="1">
      <alignment vertical="center" wrapText="1"/>
    </xf>
    <xf numFmtId="3" fontId="54" fillId="24" borderId="31" xfId="0" applyNumberFormat="1" applyFont="1" applyFill="1" applyBorder="1" applyAlignment="1">
      <alignment vertical="center"/>
    </xf>
    <xf numFmtId="3" fontId="39" fillId="24" borderId="216" xfId="0" applyNumberFormat="1" applyFont="1" applyFill="1" applyBorder="1" applyAlignment="1">
      <alignment vertical="center"/>
    </xf>
    <xf numFmtId="3" fontId="39" fillId="24" borderId="216" xfId="27" applyNumberFormat="1" applyFont="1" applyFill="1" applyBorder="1" applyAlignment="1">
      <alignment vertical="center" wrapText="1"/>
    </xf>
    <xf numFmtId="3" fontId="54" fillId="24" borderId="216" xfId="0" applyNumberFormat="1" applyFont="1" applyFill="1" applyBorder="1" applyAlignment="1">
      <alignment vertical="center"/>
    </xf>
    <xf numFmtId="3" fontId="54" fillId="24" borderId="216" xfId="27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vertical="center"/>
    </xf>
    <xf numFmtId="3" fontId="39" fillId="24" borderId="31" xfId="27" applyNumberFormat="1" applyFont="1" applyFill="1" applyBorder="1" applyAlignment="1">
      <alignment vertical="center" wrapText="1"/>
    </xf>
    <xf numFmtId="3" fontId="54" fillId="24" borderId="31" xfId="27" applyNumberFormat="1" applyFont="1" applyFill="1" applyBorder="1" applyAlignment="1">
      <alignment vertical="center"/>
    </xf>
    <xf numFmtId="4" fontId="54" fillId="24" borderId="31" xfId="0" applyNumberFormat="1" applyFont="1" applyFill="1" applyBorder="1" applyAlignment="1">
      <alignment vertical="center"/>
    </xf>
    <xf numFmtId="3" fontId="52" fillId="25" borderId="21" xfId="0" applyNumberFormat="1" applyFont="1" applyFill="1" applyBorder="1" applyAlignment="1">
      <alignment vertical="center" wrapText="1"/>
    </xf>
    <xf numFmtId="3" fontId="54" fillId="32" borderId="46" xfId="0" applyNumberFormat="1" applyFont="1" applyFill="1" applyBorder="1" applyAlignment="1">
      <alignment vertical="center" wrapText="1"/>
    </xf>
    <xf numFmtId="3" fontId="43" fillId="26" borderId="21" xfId="0" applyNumberFormat="1" applyFont="1" applyFill="1" applyBorder="1" applyAlignment="1">
      <alignment vertical="center" wrapText="1"/>
    </xf>
    <xf numFmtId="4" fontId="43" fillId="26" borderId="21" xfId="0" applyNumberFormat="1" applyFont="1" applyFill="1" applyBorder="1" applyAlignment="1">
      <alignment vertical="center" wrapText="1"/>
    </xf>
    <xf numFmtId="3" fontId="29" fillId="24" borderId="32" xfId="0" applyNumberFormat="1" applyFont="1" applyFill="1" applyBorder="1" applyAlignment="1">
      <alignment vertical="center" wrapText="1"/>
    </xf>
    <xf numFmtId="3" fontId="29" fillId="24" borderId="32" xfId="27" applyNumberFormat="1" applyFont="1" applyFill="1" applyBorder="1" applyAlignment="1">
      <alignment vertical="center" wrapText="1"/>
    </xf>
    <xf numFmtId="3" fontId="54" fillId="24" borderId="219" xfId="0" applyNumberFormat="1" applyFont="1" applyFill="1" applyBorder="1" applyAlignment="1">
      <alignment vertical="center" wrapText="1"/>
    </xf>
    <xf numFmtId="4" fontId="29" fillId="24" borderId="32" xfId="0" applyNumberFormat="1" applyFont="1" applyFill="1" applyBorder="1" applyAlignment="1">
      <alignment vertical="center" wrapText="1"/>
    </xf>
    <xf numFmtId="3" fontId="50" fillId="24" borderId="31" xfId="0" applyNumberFormat="1" applyFont="1" applyFill="1" applyBorder="1" applyAlignment="1">
      <alignment vertical="center" wrapText="1"/>
    </xf>
    <xf numFmtId="3" fontId="50" fillId="24" borderId="31" xfId="27" applyNumberFormat="1" applyFont="1" applyFill="1" applyBorder="1" applyAlignment="1">
      <alignment vertical="center" wrapText="1"/>
    </xf>
    <xf numFmtId="3" fontId="39" fillId="24" borderId="46" xfId="27" applyNumberFormat="1" applyFont="1" applyFill="1" applyBorder="1" applyAlignment="1">
      <alignment vertical="center" wrapText="1"/>
    </xf>
    <xf numFmtId="3" fontId="90" fillId="26" borderId="21" xfId="0" applyNumberFormat="1" applyFont="1" applyFill="1" applyBorder="1" applyAlignment="1">
      <alignment vertical="center" wrapText="1"/>
    </xf>
    <xf numFmtId="4" fontId="90" fillId="26" borderId="21" xfId="0" applyNumberFormat="1" applyFont="1" applyFill="1" applyBorder="1" applyAlignment="1">
      <alignment vertical="center" wrapText="1"/>
    </xf>
    <xf numFmtId="3" fontId="29" fillId="24" borderId="31" xfId="27" applyNumberFormat="1" applyFont="1" applyFill="1" applyBorder="1" applyAlignment="1">
      <alignment vertical="center" wrapText="1"/>
    </xf>
    <xf numFmtId="3" fontId="29" fillId="24" borderId="31" xfId="0" applyNumberFormat="1" applyFont="1" applyFill="1" applyBorder="1" applyAlignment="1">
      <alignment vertical="center"/>
    </xf>
    <xf numFmtId="3" fontId="85" fillId="24" borderId="31" xfId="0" applyNumberFormat="1" applyFont="1" applyFill="1" applyBorder="1" applyAlignment="1">
      <alignment vertical="center"/>
    </xf>
    <xf numFmtId="3" fontId="85" fillId="24" borderId="31" xfId="27" applyNumberFormat="1" applyFont="1" applyFill="1" applyBorder="1" applyAlignment="1">
      <alignment vertical="center" wrapText="1"/>
    </xf>
    <xf numFmtId="3" fontId="29" fillId="26" borderId="21" xfId="0" applyNumberFormat="1" applyFont="1" applyFill="1" applyBorder="1" applyAlignment="1">
      <alignment vertical="center" wrapText="1"/>
    </xf>
    <xf numFmtId="3" fontId="29" fillId="26" borderId="21" xfId="27" applyNumberFormat="1" applyFont="1" applyFill="1" applyBorder="1" applyAlignment="1">
      <alignment vertical="center" wrapText="1"/>
    </xf>
    <xf numFmtId="4" fontId="29" fillId="26" borderId="21" xfId="0" applyNumberFormat="1" applyFont="1" applyFill="1" applyBorder="1" applyAlignment="1">
      <alignment vertical="center" wrapText="1"/>
    </xf>
    <xf numFmtId="3" fontId="29" fillId="32" borderId="26" xfId="0" applyNumberFormat="1" applyFont="1" applyFill="1" applyBorder="1" applyAlignment="1">
      <alignment vertical="center" wrapText="1"/>
    </xf>
    <xf numFmtId="3" fontId="29" fillId="32" borderId="26" xfId="27" applyNumberFormat="1" applyFont="1" applyFill="1" applyBorder="1" applyAlignment="1">
      <alignment vertical="center" wrapText="1"/>
    </xf>
    <xf numFmtId="3" fontId="39" fillId="32" borderId="26" xfId="0" applyNumberFormat="1" applyFont="1" applyFill="1" applyBorder="1" applyAlignment="1">
      <alignment vertical="center" wrapText="1"/>
    </xf>
    <xf numFmtId="4" fontId="29" fillId="32" borderId="26" xfId="0" applyNumberFormat="1" applyFont="1" applyFill="1" applyBorder="1" applyAlignment="1">
      <alignment vertical="center" wrapText="1"/>
    </xf>
    <xf numFmtId="3" fontId="126" fillId="24" borderId="26" xfId="0" applyNumberFormat="1" applyFont="1" applyFill="1" applyBorder="1" applyAlignment="1">
      <alignment vertical="center" wrapText="1"/>
    </xf>
    <xf numFmtId="3" fontId="130" fillId="24" borderId="25" xfId="0" applyNumberFormat="1" applyFont="1" applyFill="1" applyBorder="1" applyAlignment="1">
      <alignment vertical="center" wrapText="1"/>
    </xf>
    <xf numFmtId="3" fontId="130" fillId="24" borderId="25" xfId="27" applyNumberFormat="1" applyFont="1" applyFill="1" applyBorder="1" applyAlignment="1">
      <alignment vertical="center" wrapText="1"/>
    </xf>
    <xf numFmtId="3" fontId="161" fillId="26" borderId="21" xfId="0" applyNumberFormat="1" applyFont="1" applyFill="1" applyBorder="1" applyAlignment="1">
      <alignment vertical="center" wrapText="1"/>
    </xf>
    <xf numFmtId="4" fontId="161" fillId="26" borderId="21" xfId="0" applyNumberFormat="1" applyFont="1" applyFill="1" applyBorder="1" applyAlignment="1">
      <alignment vertical="center" wrapText="1"/>
    </xf>
    <xf numFmtId="3" fontId="4" fillId="24" borderId="26" xfId="0" applyNumberFormat="1" applyFont="1" applyFill="1" applyBorder="1" applyAlignment="1">
      <alignment vertical="center" wrapText="1"/>
    </xf>
    <xf numFmtId="3" fontId="28" fillId="26" borderId="42" xfId="0" applyNumberFormat="1" applyFont="1" applyFill="1" applyBorder="1" applyAlignment="1">
      <alignment vertical="center" wrapText="1"/>
    </xf>
    <xf numFmtId="3" fontId="29" fillId="24" borderId="39" xfId="0" applyNumberFormat="1" applyFont="1" applyFill="1" applyBorder="1" applyAlignment="1">
      <alignment vertical="center" wrapText="1"/>
    </xf>
    <xf numFmtId="3" fontId="54" fillId="24" borderId="44" xfId="0" applyNumberFormat="1" applyFont="1" applyFill="1" applyBorder="1" applyAlignment="1">
      <alignment vertical="center" wrapText="1"/>
    </xf>
    <xf numFmtId="4" fontId="29" fillId="24" borderId="24" xfId="0" applyNumberFormat="1" applyFont="1" applyFill="1" applyBorder="1" applyAlignment="1">
      <alignment vertical="center" wrapText="1"/>
    </xf>
    <xf numFmtId="3" fontId="54" fillId="24" borderId="29" xfId="27" applyNumberFormat="1" applyFont="1" applyFill="1" applyBorder="1" applyAlignment="1">
      <alignment vertical="center" wrapText="1"/>
    </xf>
    <xf numFmtId="3" fontId="53" fillId="24" borderId="25" xfId="0" applyNumberFormat="1" applyFont="1" applyFill="1" applyBorder="1" applyAlignment="1">
      <alignment vertical="center" wrapText="1"/>
    </xf>
    <xf numFmtId="3" fontId="39" fillId="24" borderId="29" xfId="27" applyNumberFormat="1" applyFont="1" applyFill="1" applyBorder="1" applyAlignment="1">
      <alignment vertical="center" wrapText="1"/>
    </xf>
    <xf numFmtId="4" fontId="39" fillId="24" borderId="32" xfId="0" applyNumberFormat="1" applyFont="1" applyFill="1" applyBorder="1" applyAlignment="1">
      <alignment vertical="center" wrapText="1"/>
    </xf>
    <xf numFmtId="3" fontId="28" fillId="25" borderId="29" xfId="0" applyNumberFormat="1" applyFont="1" applyFill="1" applyBorder="1" applyAlignment="1">
      <alignment vertical="center" wrapText="1"/>
    </xf>
    <xf numFmtId="3" fontId="28" fillId="25" borderId="57" xfId="0" applyNumberFormat="1" applyFont="1" applyFill="1" applyBorder="1" applyAlignment="1">
      <alignment vertical="center" wrapText="1"/>
    </xf>
    <xf numFmtId="4" fontId="54" fillId="24" borderId="26" xfId="27" applyNumberFormat="1" applyFont="1" applyFill="1" applyBorder="1" applyAlignment="1">
      <alignment vertical="center" wrapText="1"/>
    </xf>
    <xf numFmtId="4" fontId="85" fillId="24" borderId="26" xfId="27" applyNumberFormat="1" applyFont="1" applyFill="1" applyBorder="1" applyAlignment="1">
      <alignment vertical="center" wrapText="1"/>
    </xf>
    <xf numFmtId="4" fontId="29" fillId="24" borderId="26" xfId="27" applyNumberFormat="1" applyFont="1" applyFill="1" applyBorder="1" applyAlignment="1">
      <alignment vertical="center" wrapText="1"/>
    </xf>
    <xf numFmtId="4" fontId="39" fillId="24" borderId="31" xfId="27" applyNumberFormat="1" applyFont="1" applyFill="1" applyBorder="1" applyAlignment="1">
      <alignment vertical="center" wrapText="1"/>
    </xf>
    <xf numFmtId="4" fontId="54" fillId="24" borderId="31" xfId="27" applyNumberFormat="1" applyFont="1" applyFill="1" applyBorder="1" applyAlignment="1">
      <alignment vertical="center" wrapText="1"/>
    </xf>
    <xf numFmtId="4" fontId="29" fillId="0" borderId="26" xfId="0" applyNumberFormat="1" applyFont="1" applyBorder="1" applyAlignment="1">
      <alignment vertical="center" wrapText="1"/>
    </xf>
    <xf numFmtId="4" fontId="29" fillId="0" borderId="26" xfId="27" applyNumberFormat="1" applyFont="1" applyFill="1" applyBorder="1" applyAlignment="1">
      <alignment vertical="center" wrapText="1"/>
    </xf>
    <xf numFmtId="4" fontId="54" fillId="0" borderId="25" xfId="0" applyNumberFormat="1" applyFont="1" applyBorder="1" applyAlignment="1">
      <alignment vertical="center" wrapText="1"/>
    </xf>
    <xf numFmtId="4" fontId="54" fillId="0" borderId="25" xfId="27" applyNumberFormat="1" applyFont="1" applyFill="1" applyBorder="1" applyAlignment="1">
      <alignment vertical="center" wrapText="1"/>
    </xf>
    <xf numFmtId="4" fontId="90" fillId="26" borderId="21" xfId="27" applyNumberFormat="1" applyFont="1" applyFill="1" applyBorder="1" applyAlignment="1">
      <alignment vertical="center" wrapText="1"/>
    </xf>
    <xf numFmtId="43" fontId="29" fillId="24" borderId="43" xfId="27" applyFont="1" applyFill="1" applyBorder="1" applyAlignment="1">
      <alignment vertical="center"/>
    </xf>
    <xf numFmtId="4" fontId="54" fillId="0" borderId="31" xfId="0" applyNumberFormat="1" applyFont="1" applyBorder="1" applyAlignment="1">
      <alignment vertical="center" wrapText="1"/>
    </xf>
    <xf numFmtId="4" fontId="54" fillId="0" borderId="31" xfId="27" applyNumberFormat="1" applyFont="1" applyFill="1" applyBorder="1" applyAlignment="1">
      <alignment vertical="center" wrapText="1"/>
    </xf>
    <xf numFmtId="4" fontId="29" fillId="24" borderId="31" xfId="27" applyNumberFormat="1" applyFont="1" applyFill="1" applyBorder="1" applyAlignment="1">
      <alignment vertical="center" wrapText="1"/>
    </xf>
    <xf numFmtId="4" fontId="39" fillId="32" borderId="31" xfId="0" applyNumberFormat="1" applyFont="1" applyFill="1" applyBorder="1" applyAlignment="1">
      <alignment vertical="center" wrapText="1"/>
    </xf>
    <xf numFmtId="4" fontId="28" fillId="26" borderId="21" xfId="0" applyNumberFormat="1" applyFont="1" applyFill="1" applyBorder="1" applyAlignment="1">
      <alignment vertical="center"/>
    </xf>
    <xf numFmtId="4" fontId="29" fillId="24" borderId="216" xfId="0" applyNumberFormat="1" applyFont="1" applyFill="1" applyBorder="1" applyAlignment="1">
      <alignment vertical="center" wrapText="1"/>
    </xf>
    <xf numFmtId="4" fontId="39" fillId="24" borderId="184" xfId="27" applyNumberFormat="1" applyFont="1" applyFill="1" applyBorder="1" applyAlignment="1">
      <alignment vertical="center" wrapText="1"/>
    </xf>
    <xf numFmtId="4" fontId="29" fillId="24" borderId="184" xfId="0" applyNumberFormat="1" applyFont="1" applyFill="1" applyBorder="1" applyAlignment="1">
      <alignment vertical="center" wrapText="1"/>
    </xf>
    <xf numFmtId="4" fontId="29" fillId="24" borderId="25" xfId="0" applyNumberFormat="1" applyFont="1" applyFill="1" applyBorder="1" applyAlignment="1">
      <alignment vertical="center" wrapText="1"/>
    </xf>
    <xf numFmtId="4" fontId="54" fillId="24" borderId="25" xfId="27" applyNumberFormat="1" applyFont="1" applyFill="1" applyBorder="1" applyAlignment="1">
      <alignment vertical="center" wrapText="1"/>
    </xf>
    <xf numFmtId="4" fontId="28" fillId="26" borderId="21" xfId="27" applyNumberFormat="1" applyFont="1" applyFill="1" applyBorder="1" applyAlignment="1">
      <alignment vertical="center" wrapText="1"/>
    </xf>
    <xf numFmtId="4" fontId="29" fillId="24" borderId="29" xfId="27" applyNumberFormat="1" applyFont="1" applyFill="1" applyBorder="1" applyAlignment="1">
      <alignment vertical="center" wrapText="1"/>
    </xf>
    <xf numFmtId="4" fontId="39" fillId="24" borderId="26" xfId="27" applyNumberFormat="1" applyFont="1" applyFill="1" applyBorder="1" applyAlignment="1">
      <alignment vertical="center" wrapText="1"/>
    </xf>
    <xf numFmtId="4" fontId="54" fillId="24" borderId="184" xfId="27" applyNumberFormat="1" applyFont="1" applyFill="1" applyBorder="1" applyAlignment="1">
      <alignment vertical="center" wrapText="1"/>
    </xf>
    <xf numFmtId="4" fontId="54" fillId="24" borderId="42" xfId="27" applyNumberFormat="1" applyFont="1" applyFill="1" applyBorder="1" applyAlignment="1">
      <alignment vertical="center" wrapText="1"/>
    </xf>
    <xf numFmtId="4" fontId="54" fillId="0" borderId="26" xfId="0" applyNumberFormat="1" applyFont="1" applyBorder="1" applyAlignment="1">
      <alignment vertical="center" wrapText="1"/>
    </xf>
    <xf numFmtId="2" fontId="54" fillId="24" borderId="25" xfId="0" applyNumberFormat="1" applyFont="1" applyFill="1" applyBorder="1" applyAlignment="1">
      <alignment vertical="center" wrapText="1"/>
    </xf>
    <xf numFmtId="2" fontId="54" fillId="24" borderId="25" xfId="27" applyNumberFormat="1" applyFont="1" applyFill="1" applyBorder="1" applyAlignment="1">
      <alignment vertical="center" wrapText="1"/>
    </xf>
    <xf numFmtId="4" fontId="28" fillId="26" borderId="23" xfId="0" applyNumberFormat="1" applyFont="1" applyFill="1" applyBorder="1" applyAlignment="1">
      <alignment vertical="center" wrapText="1"/>
    </xf>
    <xf numFmtId="4" fontId="29" fillId="0" borderId="31" xfId="0" applyNumberFormat="1" applyFont="1" applyBorder="1" applyAlignment="1">
      <alignment vertical="center" wrapText="1"/>
    </xf>
    <xf numFmtId="4" fontId="29" fillId="0" borderId="31" xfId="27" applyNumberFormat="1" applyFont="1" applyFill="1" applyBorder="1" applyAlignment="1">
      <alignment vertical="center" wrapText="1"/>
    </xf>
    <xf numFmtId="4" fontId="85" fillId="24" borderId="31" xfId="27" applyNumberFormat="1" applyFont="1" applyFill="1" applyBorder="1" applyAlignment="1">
      <alignment vertical="center" wrapText="1"/>
    </xf>
    <xf numFmtId="4" fontId="49" fillId="24" borderId="25" xfId="27" applyNumberFormat="1" applyFont="1" applyFill="1" applyBorder="1" applyAlignment="1">
      <alignment vertical="center" wrapText="1"/>
    </xf>
    <xf numFmtId="4" fontId="39" fillId="32" borderId="26" xfId="0" applyNumberFormat="1" applyFont="1" applyFill="1" applyBorder="1" applyAlignment="1">
      <alignment vertical="center" wrapText="1"/>
    </xf>
    <xf numFmtId="4" fontId="29" fillId="26" borderId="21" xfId="27" applyNumberFormat="1" applyFont="1" applyFill="1" applyBorder="1" applyAlignment="1">
      <alignment vertical="center" wrapText="1"/>
    </xf>
    <xf numFmtId="4" fontId="54" fillId="32" borderId="31" xfId="0" applyNumberFormat="1" applyFont="1" applyFill="1" applyBorder="1" applyAlignment="1">
      <alignment vertical="center" wrapText="1"/>
    </xf>
    <xf numFmtId="4" fontId="54" fillId="24" borderId="29" xfId="0" applyNumberFormat="1" applyFont="1" applyFill="1" applyBorder="1" applyAlignment="1">
      <alignment vertical="center" wrapText="1"/>
    </xf>
    <xf numFmtId="4" fontId="54" fillId="24" borderId="29" xfId="27" applyNumberFormat="1" applyFont="1" applyFill="1" applyBorder="1" applyAlignment="1">
      <alignment vertical="center" wrapText="1"/>
    </xf>
    <xf numFmtId="4" fontId="29" fillId="32" borderId="26" xfId="27" applyNumberFormat="1" applyFont="1" applyFill="1" applyBorder="1" applyAlignment="1">
      <alignment vertical="center" wrapText="1"/>
    </xf>
    <xf numFmtId="4" fontId="85" fillId="32" borderId="31" xfId="0" applyNumberFormat="1" applyFont="1" applyFill="1" applyBorder="1" applyAlignment="1">
      <alignment vertical="center" wrapText="1"/>
    </xf>
    <xf numFmtId="4" fontId="54" fillId="0" borderId="78" xfId="0" applyNumberFormat="1" applyFont="1" applyBorder="1" applyAlignment="1">
      <alignment vertical="center" wrapText="1"/>
    </xf>
    <xf numFmtId="4" fontId="54" fillId="0" borderId="78" xfId="27" applyNumberFormat="1" applyFont="1" applyFill="1" applyBorder="1" applyAlignment="1">
      <alignment vertical="center" wrapText="1"/>
    </xf>
    <xf numFmtId="4" fontId="29" fillId="32" borderId="31" xfId="0" applyNumberFormat="1" applyFont="1" applyFill="1" applyBorder="1" applyAlignment="1">
      <alignment vertical="center" wrapText="1"/>
    </xf>
    <xf numFmtId="4" fontId="39" fillId="0" borderId="31" xfId="0" applyNumberFormat="1" applyFont="1" applyBorder="1" applyAlignment="1">
      <alignment vertical="center" wrapText="1"/>
    </xf>
    <xf numFmtId="4" fontId="29" fillId="24" borderId="46" xfId="0" applyNumberFormat="1" applyFont="1" applyFill="1" applyBorder="1" applyAlignment="1">
      <alignment vertical="center" wrapText="1"/>
    </xf>
    <xf numFmtId="4" fontId="29" fillId="24" borderId="24" xfId="27" applyNumberFormat="1" applyFont="1" applyFill="1" applyBorder="1" applyAlignment="1">
      <alignment vertical="center" wrapText="1"/>
    </xf>
    <xf numFmtId="4" fontId="29" fillId="24" borderId="46" xfId="27" applyNumberFormat="1" applyFont="1" applyFill="1" applyBorder="1" applyAlignment="1">
      <alignment vertical="center" wrapText="1"/>
    </xf>
    <xf numFmtId="4" fontId="66" fillId="24" borderId="26" xfId="27" applyNumberFormat="1" applyFont="1" applyFill="1" applyBorder="1" applyAlignment="1">
      <alignment vertical="center" wrapText="1"/>
    </xf>
    <xf numFmtId="4" fontId="66" fillId="24" borderId="26" xfId="0" applyNumberFormat="1" applyFont="1" applyFill="1" applyBorder="1" applyAlignment="1">
      <alignment vertical="center" wrapText="1"/>
    </xf>
    <xf numFmtId="4" fontId="39" fillId="24" borderId="25" xfId="0" applyNumberFormat="1" applyFont="1" applyFill="1" applyBorder="1" applyAlignment="1">
      <alignment vertical="center" wrapText="1"/>
    </xf>
    <xf numFmtId="4" fontId="5" fillId="26" borderId="21" xfId="0" applyNumberFormat="1" applyFont="1" applyFill="1" applyBorder="1" applyAlignment="1">
      <alignment vertical="center" wrapText="1"/>
    </xf>
    <xf numFmtId="4" fontId="85" fillId="24" borderId="25" xfId="27" applyNumberFormat="1" applyFont="1" applyFill="1" applyBorder="1" applyAlignment="1">
      <alignment vertical="center" wrapText="1"/>
    </xf>
    <xf numFmtId="4" fontId="29" fillId="24" borderId="32" xfId="27" applyNumberFormat="1" applyFont="1" applyFill="1" applyBorder="1" applyAlignment="1">
      <alignment vertical="center" wrapText="1"/>
    </xf>
    <xf numFmtId="4" fontId="29" fillId="32" borderId="31" xfId="27" applyNumberFormat="1" applyFont="1" applyFill="1" applyBorder="1" applyAlignment="1">
      <alignment vertical="center" wrapText="1"/>
    </xf>
    <xf numFmtId="4" fontId="54" fillId="32" borderId="25" xfId="27" applyNumberFormat="1" applyFont="1" applyFill="1" applyBorder="1" applyAlignment="1">
      <alignment vertical="center" wrapText="1"/>
    </xf>
    <xf numFmtId="4" fontId="43" fillId="25" borderId="42" xfId="0" applyNumberFormat="1" applyFont="1" applyFill="1" applyBorder="1" applyAlignment="1">
      <alignment vertical="center" wrapText="1"/>
    </xf>
    <xf numFmtId="4" fontId="43" fillId="26" borderId="53" xfId="0" applyNumberFormat="1" applyFont="1" applyFill="1" applyBorder="1" applyAlignment="1">
      <alignment vertical="center" wrapText="1"/>
    </xf>
    <xf numFmtId="4" fontId="29" fillId="24" borderId="26" xfId="0" applyNumberFormat="1" applyFont="1" applyFill="1" applyBorder="1" applyAlignment="1">
      <alignment vertical="center"/>
    </xf>
    <xf numFmtId="4" fontId="43" fillId="26" borderId="19" xfId="0" applyNumberFormat="1" applyFont="1" applyFill="1" applyBorder="1" applyAlignment="1">
      <alignment vertical="center"/>
    </xf>
    <xf numFmtId="4" fontId="39" fillId="26" borderId="21" xfId="0" applyNumberFormat="1" applyFont="1" applyFill="1" applyBorder="1" applyAlignment="1">
      <alignment vertical="center" wrapText="1"/>
    </xf>
    <xf numFmtId="4" fontId="39" fillId="26" borderId="21" xfId="27" applyNumberFormat="1" applyFont="1" applyFill="1" applyBorder="1" applyAlignment="1">
      <alignment vertical="center" wrapText="1"/>
    </xf>
    <xf numFmtId="4" fontId="29" fillId="24" borderId="31" xfId="0" applyNumberFormat="1" applyFont="1" applyFill="1" applyBorder="1" applyAlignment="1">
      <alignment vertical="center"/>
    </xf>
    <xf numFmtId="4" fontId="54" fillId="24" borderId="42" xfId="0" applyNumberFormat="1" applyFont="1" applyFill="1" applyBorder="1" applyAlignment="1">
      <alignment vertical="center"/>
    </xf>
    <xf numFmtId="4" fontId="43" fillId="26" borderId="19" xfId="0" applyNumberFormat="1" applyFont="1" applyFill="1" applyBorder="1" applyAlignment="1">
      <alignment vertical="center" wrapText="1"/>
    </xf>
    <xf numFmtId="4" fontId="43" fillId="26" borderId="21" xfId="0" applyNumberFormat="1" applyFont="1" applyFill="1" applyBorder="1" applyAlignment="1">
      <alignment vertical="center"/>
    </xf>
    <xf numFmtId="4" fontId="39" fillId="26" borderId="21" xfId="0" applyNumberFormat="1" applyFont="1" applyFill="1" applyBorder="1" applyAlignment="1">
      <alignment vertical="center"/>
    </xf>
    <xf numFmtId="4" fontId="39" fillId="26" borderId="21" xfId="27" applyNumberFormat="1" applyFont="1" applyFill="1" applyBorder="1" applyAlignment="1">
      <alignment vertical="center"/>
    </xf>
    <xf numFmtId="4" fontId="39" fillId="24" borderId="26" xfId="0" applyNumberFormat="1" applyFont="1" applyFill="1" applyBorder="1" applyAlignment="1">
      <alignment vertical="center"/>
    </xf>
    <xf numFmtId="4" fontId="54" fillId="24" borderId="25" xfId="0" applyNumberFormat="1" applyFont="1" applyFill="1" applyBorder="1" applyAlignment="1">
      <alignment vertical="center"/>
    </xf>
    <xf numFmtId="4" fontId="39" fillId="24" borderId="31" xfId="0" applyNumberFormat="1" applyFont="1" applyFill="1" applyBorder="1" applyAlignment="1">
      <alignment vertical="center"/>
    </xf>
    <xf numFmtId="4" fontId="85" fillId="24" borderId="24" xfId="27" applyNumberFormat="1" applyFont="1" applyFill="1" applyBorder="1" applyAlignment="1">
      <alignment vertical="center" wrapText="1"/>
    </xf>
    <xf numFmtId="4" fontId="54" fillId="24" borderId="26" xfId="0" applyNumberFormat="1" applyFont="1" applyFill="1" applyBorder="1" applyAlignment="1">
      <alignment vertical="center"/>
    </xf>
    <xf numFmtId="4" fontId="53" fillId="24" borderId="31" xfId="0" applyNumberFormat="1" applyFont="1" applyFill="1" applyBorder="1" applyAlignment="1">
      <alignment vertical="center" wrapText="1"/>
    </xf>
    <xf numFmtId="4" fontId="39" fillId="24" borderId="24" xfId="27" applyNumberFormat="1" applyFont="1" applyFill="1" applyBorder="1" applyAlignment="1">
      <alignment vertical="center" wrapText="1"/>
    </xf>
    <xf numFmtId="4" fontId="39" fillId="24" borderId="32" xfId="27" applyNumberFormat="1" applyFont="1" applyFill="1" applyBorder="1" applyAlignment="1">
      <alignment vertical="center" wrapText="1"/>
    </xf>
    <xf numFmtId="4" fontId="85" fillId="24" borderId="31" xfId="0" applyNumberFormat="1" applyFont="1" applyFill="1" applyBorder="1" applyAlignment="1">
      <alignment vertical="center"/>
    </xf>
    <xf numFmtId="4" fontId="39" fillId="24" borderId="46" xfId="27" applyNumberFormat="1" applyFont="1" applyFill="1" applyBorder="1" applyAlignment="1">
      <alignment vertical="center" wrapText="1"/>
    </xf>
    <xf numFmtId="3" fontId="80" fillId="24" borderId="0" xfId="0" applyNumberFormat="1" applyFont="1" applyFill="1" applyAlignment="1">
      <alignment horizontal="right" vertical="center"/>
    </xf>
    <xf numFmtId="3" fontId="43" fillId="24" borderId="55" xfId="0" applyNumberFormat="1" applyFont="1" applyFill="1" applyBorder="1" applyAlignment="1">
      <alignment horizontal="right" vertical="center" wrapText="1"/>
    </xf>
    <xf numFmtId="3" fontId="43" fillId="24" borderId="87" xfId="0" applyNumberFormat="1" applyFont="1" applyFill="1" applyBorder="1" applyAlignment="1">
      <alignment horizontal="right" vertical="center" wrapText="1"/>
    </xf>
    <xf numFmtId="3" fontId="43" fillId="24" borderId="70" xfId="0" applyNumberFormat="1" applyFont="1" applyFill="1" applyBorder="1" applyAlignment="1">
      <alignment horizontal="right" vertical="center" wrapText="1"/>
    </xf>
    <xf numFmtId="3" fontId="43" fillId="24" borderId="52" xfId="0" applyNumberFormat="1" applyFont="1" applyFill="1" applyBorder="1" applyAlignment="1">
      <alignment horizontal="right" vertical="center" wrapText="1"/>
    </xf>
    <xf numFmtId="3" fontId="55" fillId="24" borderId="52" xfId="0" applyNumberFormat="1" applyFont="1" applyFill="1" applyBorder="1" applyAlignment="1">
      <alignment horizontal="right" vertical="center" wrapText="1"/>
    </xf>
    <xf numFmtId="3" fontId="28" fillId="24" borderId="51" xfId="0" applyNumberFormat="1" applyFont="1" applyFill="1" applyBorder="1" applyAlignment="1">
      <alignment horizontal="right" vertical="center"/>
    </xf>
    <xf numFmtId="3" fontId="28" fillId="24" borderId="28" xfId="0" applyNumberFormat="1" applyFont="1" applyFill="1" applyBorder="1" applyAlignment="1">
      <alignment horizontal="right" vertical="center"/>
    </xf>
    <xf numFmtId="0" fontId="157" fillId="0" borderId="0" xfId="0" applyFont="1" applyAlignment="1">
      <alignment horizontal="right"/>
    </xf>
    <xf numFmtId="0" fontId="157" fillId="0" borderId="24" xfId="0" applyFont="1" applyBorder="1" applyAlignment="1">
      <alignment horizontal="right"/>
    </xf>
    <xf numFmtId="0" fontId="157" fillId="0" borderId="26" xfId="0" applyFont="1" applyBorder="1" applyAlignment="1">
      <alignment horizontal="right"/>
    </xf>
    <xf numFmtId="0" fontId="157" fillId="0" borderId="54" xfId="0" applyFont="1" applyBorder="1" applyAlignment="1">
      <alignment horizontal="right"/>
    </xf>
    <xf numFmtId="4" fontId="66" fillId="24" borderId="0" xfId="0" applyNumberFormat="1" applyFont="1" applyFill="1" applyAlignment="1">
      <alignment horizontal="right" vertical="center"/>
    </xf>
    <xf numFmtId="0" fontId="157" fillId="0" borderId="32" xfId="0" applyFont="1" applyBorder="1" applyAlignment="1">
      <alignment horizontal="right"/>
    </xf>
    <xf numFmtId="3" fontId="39" fillId="24" borderId="68" xfId="0" applyNumberFormat="1" applyFont="1" applyFill="1" applyBorder="1" applyAlignment="1">
      <alignment horizontal="right" vertical="center" wrapText="1"/>
    </xf>
    <xf numFmtId="167" fontId="39" fillId="0" borderId="0" xfId="0" applyNumberFormat="1" applyFont="1" applyAlignment="1">
      <alignment vertical="center"/>
    </xf>
    <xf numFmtId="0" fontId="157" fillId="0" borderId="46" xfId="0" applyFont="1" applyBorder="1" applyAlignment="1">
      <alignment vertical="center"/>
    </xf>
    <xf numFmtId="0" fontId="157" fillId="0" borderId="26" xfId="0" applyFont="1" applyBorder="1" applyAlignment="1">
      <alignment vertical="center"/>
    </xf>
    <xf numFmtId="0" fontId="157" fillId="0" borderId="189" xfId="0" applyFont="1" applyBorder="1" applyAlignment="1">
      <alignment vertical="center"/>
    </xf>
    <xf numFmtId="0" fontId="157" fillId="0" borderId="41" xfId="0" applyFont="1" applyBorder="1" applyAlignment="1">
      <alignment vertical="center"/>
    </xf>
    <xf numFmtId="0" fontId="157" fillId="0" borderId="72" xfId="0" applyFont="1" applyBorder="1" applyAlignment="1">
      <alignment vertical="center"/>
    </xf>
    <xf numFmtId="0" fontId="157" fillId="0" borderId="82" xfId="0" applyFont="1" applyBorder="1" applyAlignment="1">
      <alignment vertical="center"/>
    </xf>
    <xf numFmtId="0" fontId="157" fillId="0" borderId="85" xfId="0" applyFont="1" applyBorder="1" applyAlignment="1">
      <alignment vertical="center"/>
    </xf>
    <xf numFmtId="0" fontId="157" fillId="0" borderId="32" xfId="0" applyFont="1" applyBorder="1" applyAlignment="1">
      <alignment vertical="center"/>
    </xf>
    <xf numFmtId="0" fontId="157" fillId="0" borderId="184" xfId="0" applyFont="1" applyBorder="1" applyAlignment="1">
      <alignment vertical="center"/>
    </xf>
    <xf numFmtId="0" fontId="157" fillId="0" borderId="24" xfId="0" applyFont="1" applyBorder="1" applyAlignment="1">
      <alignment vertical="center"/>
    </xf>
    <xf numFmtId="0" fontId="157" fillId="0" borderId="185" xfId="0" applyFont="1" applyBorder="1" applyAlignment="1">
      <alignment vertical="center"/>
    </xf>
    <xf numFmtId="3" fontId="157" fillId="0" borderId="0" xfId="0" applyNumberFormat="1" applyFont="1" applyAlignment="1">
      <alignment vertical="center"/>
    </xf>
    <xf numFmtId="0" fontId="157" fillId="0" borderId="37" xfId="0" applyFont="1" applyBorder="1" applyAlignment="1">
      <alignment vertical="center"/>
    </xf>
    <xf numFmtId="0" fontId="157" fillId="0" borderId="47" xfId="0" applyFont="1" applyBorder="1" applyAlignment="1">
      <alignment vertical="center"/>
    </xf>
    <xf numFmtId="4" fontId="0" fillId="0" borderId="0" xfId="0" applyNumberFormat="1" applyAlignment="1">
      <alignment vertical="center"/>
    </xf>
    <xf numFmtId="0" fontId="157" fillId="0" borderId="25" xfId="0" applyFont="1" applyBorder="1" applyAlignment="1">
      <alignment vertical="center"/>
    </xf>
    <xf numFmtId="0" fontId="133" fillId="0" borderId="0" xfId="0" applyFont="1" applyAlignment="1">
      <alignment vertical="center"/>
    </xf>
    <xf numFmtId="0" fontId="133" fillId="0" borderId="157" xfId="0" applyFont="1" applyBorder="1" applyAlignment="1">
      <alignment vertical="center"/>
    </xf>
    <xf numFmtId="0" fontId="156" fillId="0" borderId="18" xfId="0" applyFont="1" applyBorder="1" applyAlignment="1">
      <alignment vertical="center"/>
    </xf>
    <xf numFmtId="0" fontId="156" fillId="0" borderId="155" xfId="0" applyFont="1" applyBorder="1" applyAlignment="1">
      <alignment vertical="center"/>
    </xf>
    <xf numFmtId="0" fontId="156" fillId="0" borderId="170" xfId="0" applyFont="1" applyBorder="1" applyAlignment="1">
      <alignment vertical="center"/>
    </xf>
    <xf numFmtId="0" fontId="156" fillId="0" borderId="166" xfId="0" applyFont="1" applyBorder="1" applyAlignment="1">
      <alignment vertical="center"/>
    </xf>
    <xf numFmtId="4" fontId="85" fillId="32" borderId="31" xfId="27" applyNumberFormat="1" applyFont="1" applyFill="1" applyBorder="1" applyAlignment="1">
      <alignment vertical="center" wrapText="1"/>
    </xf>
    <xf numFmtId="3" fontId="96" fillId="24" borderId="216" xfId="0" applyNumberFormat="1" applyFont="1" applyFill="1" applyBorder="1" applyAlignment="1">
      <alignment horizontal="right" vertical="center"/>
    </xf>
    <xf numFmtId="16" fontId="55" fillId="24" borderId="26" xfId="0" applyNumberFormat="1" applyFont="1" applyFill="1" applyBorder="1" applyAlignment="1">
      <alignment horizontal="center" vertical="center" wrapText="1"/>
    </xf>
    <xf numFmtId="0" fontId="55" fillId="24" borderId="216" xfId="0" applyFont="1" applyFill="1" applyBorder="1" applyAlignment="1">
      <alignment horizontal="center" vertical="center"/>
    </xf>
    <xf numFmtId="3" fontId="54" fillId="24" borderId="209" xfId="0" applyNumberFormat="1" applyFont="1" applyFill="1" applyBorder="1" applyAlignment="1">
      <alignment horizontal="center" vertical="center"/>
    </xf>
    <xf numFmtId="3" fontId="29" fillId="24" borderId="216" xfId="27" applyNumberFormat="1" applyFont="1" applyFill="1" applyBorder="1" applyAlignment="1">
      <alignment vertical="center" wrapText="1"/>
    </xf>
    <xf numFmtId="3" fontId="28" fillId="24" borderId="216" xfId="0" applyNumberFormat="1" applyFont="1" applyFill="1" applyBorder="1" applyAlignment="1">
      <alignment horizontal="right" vertical="center"/>
    </xf>
    <xf numFmtId="3" fontId="28" fillId="24" borderId="216" xfId="0" applyNumberFormat="1" applyFont="1" applyFill="1" applyBorder="1" applyAlignment="1">
      <alignment horizontal="center" vertical="center"/>
    </xf>
    <xf numFmtId="3" fontId="125" fillId="0" borderId="221" xfId="0" applyNumberFormat="1" applyFont="1" applyBorder="1" applyAlignment="1">
      <alignment horizontal="center" vertical="center"/>
    </xf>
    <xf numFmtId="3" fontId="29" fillId="24" borderId="219" xfId="27" applyNumberFormat="1" applyFont="1" applyFill="1" applyBorder="1" applyAlignment="1">
      <alignment vertical="center" wrapText="1"/>
    </xf>
    <xf numFmtId="3" fontId="28" fillId="24" borderId="219" xfId="0" applyNumberFormat="1" applyFont="1" applyFill="1" applyBorder="1" applyAlignment="1">
      <alignment horizontal="right" vertical="center"/>
    </xf>
    <xf numFmtId="3" fontId="28" fillId="24" borderId="219" xfId="0" applyNumberFormat="1" applyFont="1" applyFill="1" applyBorder="1" applyAlignment="1">
      <alignment horizontal="center" vertical="center"/>
    </xf>
    <xf numFmtId="3" fontId="125" fillId="0" borderId="223" xfId="0" applyNumberFormat="1" applyFont="1" applyBorder="1" applyAlignment="1">
      <alignment horizontal="center" vertical="center"/>
    </xf>
    <xf numFmtId="0" fontId="31" fillId="32" borderId="0" xfId="0" applyFont="1" applyFill="1" applyAlignment="1">
      <alignment vertical="center"/>
    </xf>
    <xf numFmtId="171" fontId="154" fillId="42" borderId="0" xfId="27" applyNumberFormat="1" applyFont="1" applyFill="1" applyBorder="1" applyAlignment="1">
      <alignment horizontal="center"/>
    </xf>
    <xf numFmtId="171" fontId="175" fillId="0" borderId="153" xfId="27" applyNumberFormat="1" applyFont="1" applyBorder="1" applyAlignment="1">
      <alignment horizontal="left"/>
    </xf>
    <xf numFmtId="0" fontId="159" fillId="24" borderId="40" xfId="0" applyFont="1" applyFill="1" applyBorder="1" applyAlignment="1">
      <alignment horizontal="left" vertical="center" wrapText="1"/>
    </xf>
    <xf numFmtId="4" fontId="59" fillId="27" borderId="28" xfId="0" applyNumberFormat="1" applyFont="1" applyFill="1" applyBorder="1" applyAlignment="1">
      <alignment horizontal="center" vertical="center" wrapText="1"/>
    </xf>
    <xf numFmtId="4" fontId="59" fillId="27" borderId="13" xfId="0" applyNumberFormat="1" applyFont="1" applyFill="1" applyBorder="1" applyAlignment="1">
      <alignment horizontal="center" vertical="center" wrapText="1"/>
    </xf>
    <xf numFmtId="3" fontId="59" fillId="27" borderId="13" xfId="0" applyNumberFormat="1" applyFont="1" applyFill="1" applyBorder="1" applyAlignment="1">
      <alignment horizontal="center" vertical="center" wrapText="1"/>
    </xf>
    <xf numFmtId="3" fontId="59" fillId="27" borderId="225" xfId="0" applyNumberFormat="1" applyFont="1" applyFill="1" applyBorder="1" applyAlignment="1">
      <alignment horizontal="center" vertical="center" wrapText="1"/>
    </xf>
    <xf numFmtId="0" fontId="133" fillId="0" borderId="158" xfId="0" applyFont="1" applyBorder="1" applyAlignment="1">
      <alignment vertical="center"/>
    </xf>
    <xf numFmtId="0" fontId="127" fillId="24" borderId="0" xfId="0" applyFont="1" applyFill="1" applyAlignment="1">
      <alignment vertical="center" wrapText="1"/>
    </xf>
    <xf numFmtId="0" fontId="55" fillId="24" borderId="46" xfId="0" applyFont="1" applyFill="1" applyBorder="1" applyAlignment="1">
      <alignment horizontal="center" vertical="center"/>
    </xf>
    <xf numFmtId="3" fontId="59" fillId="27" borderId="235" xfId="0" applyNumberFormat="1" applyFont="1" applyFill="1" applyBorder="1" applyAlignment="1">
      <alignment horizontal="center" vertical="center" wrapText="1"/>
    </xf>
    <xf numFmtId="0" fontId="59" fillId="24" borderId="0" xfId="0" applyFont="1" applyFill="1" applyAlignment="1">
      <alignment horizontal="left" vertical="center" wrapText="1"/>
    </xf>
    <xf numFmtId="3" fontId="59" fillId="27" borderId="227" xfId="0" applyNumberFormat="1" applyFont="1" applyFill="1" applyBorder="1" applyAlignment="1">
      <alignment horizontal="center" vertical="center" wrapText="1"/>
    </xf>
    <xf numFmtId="4" fontId="59" fillId="27" borderId="231" xfId="0" applyNumberFormat="1" applyFont="1" applyFill="1" applyBorder="1" applyAlignment="1">
      <alignment horizontal="center" vertical="center" wrapText="1"/>
    </xf>
    <xf numFmtId="0" fontId="41" fillId="24" borderId="0" xfId="0" applyFont="1" applyFill="1" applyAlignment="1">
      <alignment vertical="center"/>
    </xf>
    <xf numFmtId="3" fontId="41" fillId="24" borderId="0" xfId="0" applyNumberFormat="1" applyFont="1" applyFill="1" applyAlignment="1">
      <alignment vertical="center"/>
    </xf>
    <xf numFmtId="4" fontId="41" fillId="24" borderId="0" xfId="0" applyNumberFormat="1" applyFont="1" applyFill="1" applyAlignment="1">
      <alignment vertical="center"/>
    </xf>
    <xf numFmtId="4" fontId="43" fillId="24" borderId="0" xfId="0" applyNumberFormat="1" applyFont="1" applyFill="1" applyAlignment="1">
      <alignment horizontal="right" vertical="center"/>
    </xf>
    <xf numFmtId="4" fontId="41" fillId="24" borderId="0" xfId="27" applyNumberFormat="1" applyFont="1" applyFill="1" applyBorder="1" applyAlignment="1">
      <alignment vertical="center"/>
    </xf>
    <xf numFmtId="4" fontId="176" fillId="24" borderId="0" xfId="0" applyNumberFormat="1" applyFont="1" applyFill="1" applyAlignment="1">
      <alignment vertical="center" wrapText="1"/>
    </xf>
    <xf numFmtId="3" fontId="177" fillId="24" borderId="0" xfId="0" applyNumberFormat="1" applyFont="1" applyFill="1" applyAlignment="1">
      <alignment horizontal="right" vertical="center" wrapText="1"/>
    </xf>
    <xf numFmtId="167" fontId="39" fillId="0" borderId="0" xfId="0" applyNumberFormat="1" applyFont="1" applyAlignment="1">
      <alignment horizontal="right" vertical="center"/>
    </xf>
    <xf numFmtId="0" fontId="176" fillId="24" borderId="0" xfId="0" applyFont="1" applyFill="1" applyAlignment="1">
      <alignment vertical="center" wrapText="1"/>
    </xf>
    <xf numFmtId="3" fontId="43" fillId="32" borderId="0" xfId="0" applyNumberFormat="1" applyFont="1" applyFill="1" applyAlignment="1">
      <alignment horizontal="right" vertical="center"/>
    </xf>
    <xf numFmtId="0" fontId="20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4" fontId="59" fillId="27" borderId="28" xfId="27" applyNumberFormat="1" applyFont="1" applyFill="1" applyBorder="1" applyAlignment="1">
      <alignment horizontal="center" vertical="center" wrapText="1"/>
    </xf>
    <xf numFmtId="3" fontId="59" fillId="27" borderId="189" xfId="0" applyNumberFormat="1" applyFont="1" applyFill="1" applyBorder="1" applyAlignment="1">
      <alignment horizontal="center" vertical="center" wrapText="1"/>
    </xf>
    <xf numFmtId="4" fontId="59" fillId="27" borderId="227" xfId="0" applyNumberFormat="1" applyFont="1" applyFill="1" applyBorder="1" applyAlignment="1">
      <alignment horizontal="center" vertical="center" wrapText="1"/>
    </xf>
    <xf numFmtId="3" fontId="59" fillId="27" borderId="126" xfId="0" applyNumberFormat="1" applyFont="1" applyFill="1" applyBorder="1" applyAlignment="1">
      <alignment horizontal="center" vertical="center" wrapText="1"/>
    </xf>
    <xf numFmtId="4" fontId="59" fillId="27" borderId="234" xfId="0" applyNumberFormat="1" applyFont="1" applyFill="1" applyBorder="1" applyAlignment="1">
      <alignment vertical="center" wrapText="1"/>
    </xf>
    <xf numFmtId="4" fontId="59" fillId="27" borderId="234" xfId="27" applyNumberFormat="1" applyFont="1" applyFill="1" applyBorder="1" applyAlignment="1">
      <alignment vertical="center" wrapText="1"/>
    </xf>
    <xf numFmtId="4" fontId="59" fillId="27" borderId="189" xfId="0" applyNumberFormat="1" applyFont="1" applyFill="1" applyBorder="1" applyAlignment="1">
      <alignment horizontal="center" vertical="center" wrapText="1"/>
    </xf>
    <xf numFmtId="3" fontId="59" fillId="27" borderId="188" xfId="0" applyNumberFormat="1" applyFont="1" applyFill="1" applyBorder="1" applyAlignment="1">
      <alignment horizontal="center" vertical="center" wrapText="1"/>
    </xf>
    <xf numFmtId="3" fontId="54" fillId="24" borderId="42" xfId="27" applyNumberFormat="1" applyFont="1" applyFill="1" applyBorder="1" applyAlignment="1">
      <alignment horizontal="center" vertical="center" wrapText="1"/>
    </xf>
    <xf numFmtId="3" fontId="54" fillId="24" borderId="13" xfId="0" applyNumberFormat="1" applyFont="1" applyFill="1" applyBorder="1" applyAlignment="1">
      <alignment horizontal="center" vertical="center"/>
    </xf>
    <xf numFmtId="0" fontId="54" fillId="24" borderId="13" xfId="0" applyFont="1" applyFill="1" applyBorder="1" applyAlignment="1">
      <alignment horizontal="center" vertical="center"/>
    </xf>
    <xf numFmtId="16" fontId="54" fillId="24" borderId="108" xfId="0" applyNumberFormat="1" applyFont="1" applyFill="1" applyBorder="1" applyAlignment="1">
      <alignment horizontal="center" vertical="center"/>
    </xf>
    <xf numFmtId="4" fontId="54" fillId="24" borderId="104" xfId="0" applyNumberFormat="1" applyFont="1" applyFill="1" applyBorder="1" applyAlignment="1">
      <alignment vertical="center" wrapText="1"/>
    </xf>
    <xf numFmtId="1" fontId="28" fillId="26" borderId="53" xfId="0" applyNumberFormat="1" applyFont="1" applyFill="1" applyBorder="1" applyAlignment="1">
      <alignment horizontal="center" vertical="center"/>
    </xf>
    <xf numFmtId="1" fontId="55" fillId="24" borderId="24" xfId="0" applyNumberFormat="1" applyFont="1" applyFill="1" applyBorder="1" applyAlignment="1">
      <alignment horizontal="center" vertical="center" wrapText="1"/>
    </xf>
    <xf numFmtId="1" fontId="55" fillId="24" borderId="24" xfId="27" applyNumberFormat="1" applyFont="1" applyFill="1" applyBorder="1" applyAlignment="1">
      <alignment horizontal="center" vertical="center" wrapText="1"/>
    </xf>
    <xf numFmtId="1" fontId="55" fillId="24" borderId="25" xfId="0" applyNumberFormat="1" applyFont="1" applyFill="1" applyBorder="1" applyAlignment="1">
      <alignment horizontal="center" vertical="center" wrapText="1"/>
    </xf>
    <xf numFmtId="1" fontId="55" fillId="24" borderId="25" xfId="27" applyNumberFormat="1" applyFont="1" applyFill="1" applyBorder="1" applyAlignment="1">
      <alignment horizontal="center" vertical="center" wrapText="1"/>
    </xf>
    <xf numFmtId="1" fontId="55" fillId="24" borderId="46" xfId="0" applyNumberFormat="1" applyFont="1" applyFill="1" applyBorder="1" applyAlignment="1">
      <alignment horizontal="center" vertical="center" wrapText="1"/>
    </xf>
    <xf numFmtId="1" fontId="55" fillId="24" borderId="26" xfId="27" applyNumberFormat="1" applyFont="1" applyFill="1" applyBorder="1" applyAlignment="1">
      <alignment horizontal="center" vertical="center" wrapText="1"/>
    </xf>
    <xf numFmtId="1" fontId="55" fillId="24" borderId="26" xfId="0" applyNumberFormat="1" applyFont="1" applyFill="1" applyBorder="1" applyAlignment="1">
      <alignment horizontal="center" vertical="center" wrapText="1"/>
    </xf>
    <xf numFmtId="1" fontId="55" fillId="24" borderId="46" xfId="27" applyNumberFormat="1" applyFont="1" applyFill="1" applyBorder="1" applyAlignment="1">
      <alignment horizontal="center" vertical="center" wrapText="1"/>
    </xf>
    <xf numFmtId="1" fontId="48" fillId="24" borderId="29" xfId="27" applyNumberFormat="1" applyFont="1" applyFill="1" applyBorder="1" applyAlignment="1">
      <alignment horizontal="center" vertical="center" wrapText="1"/>
    </xf>
    <xf numFmtId="1" fontId="48" fillId="24" borderId="32" xfId="0" applyNumberFormat="1" applyFont="1" applyFill="1" applyBorder="1" applyAlignment="1">
      <alignment horizontal="center" vertical="center" wrapText="1"/>
    </xf>
    <xf numFmtId="1" fontId="28" fillId="26" borderId="21" xfId="0" applyNumberFormat="1" applyFont="1" applyFill="1" applyBorder="1" applyAlignment="1">
      <alignment horizontal="center" vertical="center" wrapText="1"/>
    </xf>
    <xf numFmtId="1" fontId="55" fillId="24" borderId="29" xfId="0" applyNumberFormat="1" applyFont="1" applyFill="1" applyBorder="1" applyAlignment="1">
      <alignment horizontal="center" vertical="center" wrapText="1"/>
    </xf>
    <xf numFmtId="1" fontId="55" fillId="24" borderId="32" xfId="0" applyNumberFormat="1" applyFont="1" applyFill="1" applyBorder="1" applyAlignment="1">
      <alignment horizontal="center" vertical="center" wrapText="1"/>
    </xf>
    <xf numFmtId="1" fontId="43" fillId="24" borderId="26" xfId="0" applyNumberFormat="1" applyFont="1" applyFill="1" applyBorder="1" applyAlignment="1">
      <alignment horizontal="center" vertical="center" wrapText="1"/>
    </xf>
    <xf numFmtId="1" fontId="43" fillId="24" borderId="31" xfId="0" applyNumberFormat="1" applyFont="1" applyFill="1" applyBorder="1" applyAlignment="1">
      <alignment horizontal="center" vertical="center" wrapText="1"/>
    </xf>
    <xf numFmtId="1" fontId="96" fillId="24" borderId="31" xfId="27" applyNumberFormat="1" applyFont="1" applyFill="1" applyBorder="1" applyAlignment="1">
      <alignment horizontal="center" vertical="center" wrapText="1"/>
    </xf>
    <xf numFmtId="1" fontId="96" fillId="24" borderId="31" xfId="0" applyNumberFormat="1" applyFont="1" applyFill="1" applyBorder="1" applyAlignment="1">
      <alignment horizontal="center" vertical="center" wrapText="1"/>
    </xf>
    <xf numFmtId="1" fontId="131" fillId="24" borderId="31" xfId="0" applyNumberFormat="1" applyFont="1" applyFill="1" applyBorder="1" applyAlignment="1">
      <alignment horizontal="center" vertical="center" wrapText="1"/>
    </xf>
    <xf numFmtId="1" fontId="43" fillId="24" borderId="31" xfId="27" applyNumberFormat="1" applyFont="1" applyFill="1" applyBorder="1" applyAlignment="1">
      <alignment horizontal="center" vertical="center" wrapText="1"/>
    </xf>
    <xf numFmtId="1" fontId="131" fillId="24" borderId="31" xfId="27" applyNumberFormat="1" applyFont="1" applyFill="1" applyBorder="1" applyAlignment="1">
      <alignment horizontal="center" vertical="center" wrapText="1"/>
    </xf>
    <xf numFmtId="1" fontId="55" fillId="24" borderId="31" xfId="0" applyNumberFormat="1" applyFont="1" applyFill="1" applyBorder="1" applyAlignment="1">
      <alignment horizontal="center" vertical="center" wrapText="1"/>
    </xf>
    <xf numFmtId="1" fontId="55" fillId="24" borderId="31" xfId="27" applyNumberFormat="1" applyFont="1" applyFill="1" applyBorder="1" applyAlignment="1">
      <alignment horizontal="center" vertical="center" wrapText="1"/>
    </xf>
    <xf numFmtId="1" fontId="43" fillId="24" borderId="29" xfId="0" applyNumberFormat="1" applyFont="1" applyFill="1" applyBorder="1" applyAlignment="1">
      <alignment horizontal="center" vertical="center" wrapText="1"/>
    </xf>
    <xf numFmtId="1" fontId="43" fillId="24" borderId="26" xfId="27" applyNumberFormat="1" applyFont="1" applyFill="1" applyBorder="1" applyAlignment="1">
      <alignment horizontal="center" vertical="center" wrapText="1"/>
    </xf>
    <xf numFmtId="1" fontId="131" fillId="24" borderId="26" xfId="0" applyNumberFormat="1" applyFont="1" applyFill="1" applyBorder="1" applyAlignment="1">
      <alignment horizontal="center" vertical="center" wrapText="1"/>
    </xf>
    <xf numFmtId="1" fontId="131" fillId="24" borderId="26" xfId="27" applyNumberFormat="1" applyFont="1" applyFill="1" applyBorder="1" applyAlignment="1">
      <alignment horizontal="center" vertical="center" wrapText="1"/>
    </xf>
    <xf numFmtId="1" fontId="28" fillId="24" borderId="26" xfId="0" applyNumberFormat="1" applyFont="1" applyFill="1" applyBorder="1" applyAlignment="1">
      <alignment horizontal="center" vertical="center" wrapText="1"/>
    </xf>
    <xf numFmtId="1" fontId="96" fillId="24" borderId="26" xfId="0" applyNumberFormat="1" applyFont="1" applyFill="1" applyBorder="1" applyAlignment="1">
      <alignment horizontal="center" vertical="center" wrapText="1"/>
    </xf>
    <xf numFmtId="1" fontId="28" fillId="24" borderId="32" xfId="0" applyNumberFormat="1" applyFont="1" applyFill="1" applyBorder="1" applyAlignment="1">
      <alignment horizontal="center" vertical="center" wrapText="1"/>
    </xf>
    <xf numFmtId="1" fontId="28" fillId="24" borderId="31" xfId="0" applyNumberFormat="1" applyFont="1" applyFill="1" applyBorder="1" applyAlignment="1">
      <alignment horizontal="center" vertical="center" wrapText="1"/>
    </xf>
    <xf numFmtId="1" fontId="28" fillId="24" borderId="31" xfId="27" applyNumberFormat="1" applyFont="1" applyFill="1" applyBorder="1" applyAlignment="1">
      <alignment horizontal="center" vertical="center" wrapText="1"/>
    </xf>
    <xf numFmtId="1" fontId="131" fillId="24" borderId="216" xfId="0" applyNumberFormat="1" applyFont="1" applyFill="1" applyBorder="1" applyAlignment="1">
      <alignment horizontal="center" vertical="center" wrapText="1"/>
    </xf>
    <xf numFmtId="1" fontId="131" fillId="24" borderId="184" xfId="0" applyNumberFormat="1" applyFont="1" applyFill="1" applyBorder="1" applyAlignment="1">
      <alignment horizontal="center" vertical="center" wrapText="1"/>
    </xf>
    <xf numFmtId="1" fontId="131" fillId="24" borderId="189" xfId="0" applyNumberFormat="1" applyFont="1" applyFill="1" applyBorder="1" applyAlignment="1">
      <alignment horizontal="center" vertical="center" wrapText="1"/>
    </xf>
    <xf numFmtId="1" fontId="131" fillId="24" borderId="46" xfId="0" applyNumberFormat="1" applyFont="1" applyFill="1" applyBorder="1" applyAlignment="1">
      <alignment horizontal="center" vertical="center" wrapText="1"/>
    </xf>
    <xf numFmtId="171" fontId="154" fillId="32" borderId="0" xfId="27" applyNumberFormat="1" applyFont="1" applyFill="1" applyBorder="1" applyAlignment="1"/>
    <xf numFmtId="3" fontId="153" fillId="32" borderId="0" xfId="0" applyNumberFormat="1" applyFont="1" applyFill="1"/>
    <xf numFmtId="171" fontId="153" fillId="32" borderId="0" xfId="0" applyNumberFormat="1" applyFont="1" applyFill="1"/>
    <xf numFmtId="43" fontId="153" fillId="32" borderId="0" xfId="0" applyNumberFormat="1" applyFont="1" applyFill="1"/>
    <xf numFmtId="4" fontId="29" fillId="24" borderId="26" xfId="27" applyNumberFormat="1" applyFont="1" applyFill="1" applyBorder="1" applyAlignment="1">
      <alignment horizontal="right" vertical="center" wrapText="1"/>
    </xf>
    <xf numFmtId="3" fontId="54" fillId="24" borderId="104" xfId="0" applyNumberFormat="1" applyFont="1" applyFill="1" applyBorder="1" applyAlignment="1">
      <alignment horizontal="right" vertical="center" wrapText="1"/>
    </xf>
    <xf numFmtId="4" fontId="28" fillId="26" borderId="53" xfId="0" applyNumberFormat="1" applyFont="1" applyFill="1" applyBorder="1" applyAlignment="1">
      <alignment horizontal="right" vertical="center"/>
    </xf>
    <xf numFmtId="0" fontId="29" fillId="24" borderId="39" xfId="0" applyFont="1" applyFill="1" applyBorder="1" applyAlignment="1">
      <alignment horizontal="right" vertical="center"/>
    </xf>
    <xf numFmtId="3" fontId="29" fillId="24" borderId="39" xfId="0" applyNumberFormat="1" applyFont="1" applyFill="1" applyBorder="1" applyAlignment="1">
      <alignment horizontal="right" vertical="center"/>
    </xf>
    <xf numFmtId="181" fontId="29" fillId="24" borderId="39" xfId="0" applyNumberFormat="1" applyFont="1" applyFill="1" applyBorder="1" applyAlignment="1">
      <alignment horizontal="right" vertical="center"/>
    </xf>
    <xf numFmtId="0" fontId="54" fillId="24" borderId="26" xfId="0" applyFont="1" applyFill="1" applyBorder="1" applyAlignment="1">
      <alignment horizontal="right" vertical="center"/>
    </xf>
    <xf numFmtId="3" fontId="54" fillId="24" borderId="26" xfId="0" applyNumberFormat="1" applyFont="1" applyFill="1" applyBorder="1" applyAlignment="1">
      <alignment horizontal="right" vertical="center"/>
    </xf>
    <xf numFmtId="181" fontId="54" fillId="24" borderId="26" xfId="0" applyNumberFormat="1" applyFont="1" applyFill="1" applyBorder="1" applyAlignment="1">
      <alignment horizontal="right" vertical="center"/>
    </xf>
    <xf numFmtId="4" fontId="54" fillId="24" borderId="68" xfId="0" applyNumberFormat="1" applyFont="1" applyFill="1" applyBorder="1" applyAlignment="1">
      <alignment horizontal="right" vertical="center" wrapText="1"/>
    </xf>
    <xf numFmtId="0" fontId="28" fillId="26" borderId="53" xfId="0" applyFont="1" applyFill="1" applyBorder="1" applyAlignment="1">
      <alignment horizontal="right" vertical="center"/>
    </xf>
    <xf numFmtId="3" fontId="28" fillId="26" borderId="53" xfId="0" applyNumberFormat="1" applyFont="1" applyFill="1" applyBorder="1" applyAlignment="1">
      <alignment horizontal="right" vertical="center"/>
    </xf>
    <xf numFmtId="181" fontId="28" fillId="26" borderId="53" xfId="0" applyNumberFormat="1" applyFont="1" applyFill="1" applyBorder="1" applyAlignment="1">
      <alignment horizontal="right" vertical="center"/>
    </xf>
    <xf numFmtId="4" fontId="85" fillId="24" borderId="26" xfId="27" applyNumberFormat="1" applyFont="1" applyFill="1" applyBorder="1" applyAlignment="1">
      <alignment horizontal="right" vertical="center" wrapText="1"/>
    </xf>
    <xf numFmtId="9" fontId="29" fillId="24" borderId="26" xfId="0" applyNumberFormat="1" applyFont="1" applyFill="1" applyBorder="1" applyAlignment="1">
      <alignment horizontal="right" vertical="center"/>
    </xf>
    <xf numFmtId="3" fontId="29" fillId="24" borderId="26" xfId="0" applyNumberFormat="1" applyFont="1" applyFill="1" applyBorder="1" applyAlignment="1">
      <alignment horizontal="right" vertical="center"/>
    </xf>
    <xf numFmtId="181" fontId="29" fillId="24" borderId="26" xfId="0" applyNumberFormat="1" applyFont="1" applyFill="1" applyBorder="1" applyAlignment="1">
      <alignment horizontal="right" vertical="center"/>
    </xf>
    <xf numFmtId="3" fontId="29" fillId="24" borderId="31" xfId="0" applyNumberFormat="1" applyFont="1" applyFill="1" applyBorder="1" applyAlignment="1">
      <alignment horizontal="right" vertical="center"/>
    </xf>
    <xf numFmtId="9" fontId="54" fillId="24" borderId="25" xfId="0" applyNumberFormat="1" applyFont="1" applyFill="1" applyBorder="1" applyAlignment="1">
      <alignment horizontal="right" vertical="center"/>
    </xf>
    <xf numFmtId="3" fontId="54" fillId="24" borderId="25" xfId="0" applyNumberFormat="1" applyFont="1" applyFill="1" applyBorder="1" applyAlignment="1">
      <alignment horizontal="right" vertical="center"/>
    </xf>
    <xf numFmtId="181" fontId="28" fillId="26" borderId="19" xfId="0" applyNumberFormat="1" applyFont="1" applyFill="1" applyBorder="1" applyAlignment="1">
      <alignment horizontal="right" vertical="center"/>
    </xf>
    <xf numFmtId="9" fontId="29" fillId="24" borderId="46" xfId="0" applyNumberFormat="1" applyFont="1" applyFill="1" applyBorder="1" applyAlignment="1">
      <alignment horizontal="right" vertical="center"/>
    </xf>
    <xf numFmtId="3" fontId="29" fillId="24" borderId="46" xfId="0" applyNumberFormat="1" applyFont="1" applyFill="1" applyBorder="1" applyAlignment="1">
      <alignment horizontal="right" vertical="center"/>
    </xf>
    <xf numFmtId="181" fontId="39" fillId="0" borderId="46" xfId="0" applyNumberFormat="1" applyFont="1" applyBorder="1" applyAlignment="1">
      <alignment horizontal="right" vertical="center"/>
    </xf>
    <xf numFmtId="181" fontId="39" fillId="0" borderId="26" xfId="0" applyNumberFormat="1" applyFont="1" applyBorder="1" applyAlignment="1">
      <alignment horizontal="right" vertical="center"/>
    </xf>
    <xf numFmtId="181" fontId="54" fillId="24" borderId="25" xfId="0" applyNumberFormat="1" applyFont="1" applyFill="1" applyBorder="1" applyAlignment="1">
      <alignment horizontal="right" vertical="center"/>
    </xf>
    <xf numFmtId="0" fontId="28" fillId="26" borderId="45" xfId="0" applyFont="1" applyFill="1" applyBorder="1" applyAlignment="1">
      <alignment horizontal="right" vertical="center"/>
    </xf>
    <xf numFmtId="3" fontId="28" fillId="26" borderId="45" xfId="0" applyNumberFormat="1" applyFont="1" applyFill="1" applyBorder="1" applyAlignment="1">
      <alignment horizontal="right" vertical="center"/>
    </xf>
    <xf numFmtId="181" fontId="28" fillId="26" borderId="45" xfId="0" applyNumberFormat="1" applyFont="1" applyFill="1" applyBorder="1" applyAlignment="1">
      <alignment horizontal="right" vertical="center"/>
    </xf>
    <xf numFmtId="4" fontId="29" fillId="24" borderId="46" xfId="27" applyNumberFormat="1" applyFont="1" applyFill="1" applyBorder="1" applyAlignment="1">
      <alignment horizontal="right" vertical="center" wrapText="1"/>
    </xf>
    <xf numFmtId="4" fontId="29" fillId="32" borderId="26" xfId="0" applyNumberFormat="1" applyFont="1" applyFill="1" applyBorder="1" applyAlignment="1">
      <alignment horizontal="right" vertical="center" wrapText="1"/>
    </xf>
    <xf numFmtId="0" fontId="29" fillId="24" borderId="26" xfId="0" applyFont="1" applyFill="1" applyBorder="1" applyAlignment="1">
      <alignment horizontal="right" vertical="center"/>
    </xf>
    <xf numFmtId="0" fontId="54" fillId="24" borderId="25" xfId="0" applyFont="1" applyFill="1" applyBorder="1" applyAlignment="1">
      <alignment horizontal="right" vertical="center"/>
    </xf>
    <xf numFmtId="181" fontId="28" fillId="26" borderId="59" xfId="0" applyNumberFormat="1" applyFont="1" applyFill="1" applyBorder="1" applyAlignment="1">
      <alignment horizontal="right" vertical="center"/>
    </xf>
    <xf numFmtId="0" fontId="29" fillId="24" borderId="31" xfId="0" applyFont="1" applyFill="1" applyBorder="1" applyAlignment="1">
      <alignment horizontal="right" vertical="center"/>
    </xf>
    <xf numFmtId="181" fontId="29" fillId="24" borderId="31" xfId="0" applyNumberFormat="1" applyFont="1" applyFill="1" applyBorder="1" applyAlignment="1">
      <alignment horizontal="right" vertical="center"/>
    </xf>
    <xf numFmtId="0" fontId="85" fillId="24" borderId="25" xfId="0" applyFont="1" applyFill="1" applyBorder="1" applyAlignment="1">
      <alignment horizontal="right" vertical="center"/>
    </xf>
    <xf numFmtId="3" fontId="85" fillId="24" borderId="25" xfId="0" applyNumberFormat="1" applyFont="1" applyFill="1" applyBorder="1" applyAlignment="1">
      <alignment horizontal="right" vertical="center"/>
    </xf>
    <xf numFmtId="0" fontId="39" fillId="24" borderId="31" xfId="0" applyFont="1" applyFill="1" applyBorder="1" applyAlignment="1">
      <alignment horizontal="right" vertical="center"/>
    </xf>
    <xf numFmtId="3" fontId="39" fillId="24" borderId="31" xfId="0" applyNumberFormat="1" applyFont="1" applyFill="1" applyBorder="1" applyAlignment="1">
      <alignment horizontal="right" vertical="center"/>
    </xf>
    <xf numFmtId="181" fontId="39" fillId="24" borderId="31" xfId="0" applyNumberFormat="1" applyFont="1" applyFill="1" applyBorder="1" applyAlignment="1">
      <alignment horizontal="right" vertical="center"/>
    </xf>
    <xf numFmtId="0" fontId="28" fillId="26" borderId="21" xfId="0" applyFont="1" applyFill="1" applyBorder="1" applyAlignment="1">
      <alignment horizontal="right" vertical="center"/>
    </xf>
    <xf numFmtId="4" fontId="29" fillId="24" borderId="31" xfId="27" applyNumberFormat="1" applyFont="1" applyFill="1" applyBorder="1" applyAlignment="1">
      <alignment horizontal="right" vertical="center" wrapText="1"/>
    </xf>
    <xf numFmtId="0" fontId="39" fillId="24" borderId="26" xfId="0" applyFont="1" applyFill="1" applyBorder="1" applyAlignment="1">
      <alignment horizontal="right" vertical="center"/>
    </xf>
    <xf numFmtId="3" fontId="39" fillId="24" borderId="26" xfId="0" applyNumberFormat="1" applyFont="1" applyFill="1" applyBorder="1" applyAlignment="1">
      <alignment horizontal="right" vertical="center"/>
    </xf>
    <xf numFmtId="181" fontId="39" fillId="24" borderId="26" xfId="0" applyNumberFormat="1" applyFont="1" applyFill="1" applyBorder="1" applyAlignment="1">
      <alignment horizontal="right" vertical="center"/>
    </xf>
    <xf numFmtId="0" fontId="54" fillId="24" borderId="42" xfId="0" applyFont="1" applyFill="1" applyBorder="1" applyAlignment="1">
      <alignment horizontal="right" vertical="center"/>
    </xf>
    <xf numFmtId="3" fontId="54" fillId="24" borderId="42" xfId="0" applyNumberFormat="1" applyFont="1" applyFill="1" applyBorder="1" applyAlignment="1">
      <alignment horizontal="right" vertical="center"/>
    </xf>
    <xf numFmtId="181" fontId="54" fillId="24" borderId="42" xfId="0" applyNumberFormat="1" applyFont="1" applyFill="1" applyBorder="1" applyAlignment="1">
      <alignment horizontal="right" vertical="center"/>
    </xf>
    <xf numFmtId="0" fontId="29" fillId="26" borderId="53" xfId="0" applyFont="1" applyFill="1" applyBorder="1" applyAlignment="1">
      <alignment horizontal="right" vertical="center"/>
    </xf>
    <xf numFmtId="181" fontId="29" fillId="26" borderId="53" xfId="0" applyNumberFormat="1" applyFont="1" applyFill="1" applyBorder="1" applyAlignment="1">
      <alignment horizontal="right" vertical="center"/>
    </xf>
    <xf numFmtId="0" fontId="128" fillId="24" borderId="42" xfId="0" applyFont="1" applyFill="1" applyBorder="1" applyAlignment="1">
      <alignment horizontal="right" vertical="center"/>
    </xf>
    <xf numFmtId="3" fontId="128" fillId="24" borderId="42" xfId="0" applyNumberFormat="1" applyFont="1" applyFill="1" applyBorder="1" applyAlignment="1">
      <alignment horizontal="right" vertical="center"/>
    </xf>
    <xf numFmtId="181" fontId="119" fillId="24" borderId="42" xfId="0" applyNumberFormat="1" applyFont="1" applyFill="1" applyBorder="1" applyAlignment="1">
      <alignment horizontal="right" vertical="center"/>
    </xf>
    <xf numFmtId="3" fontId="130" fillId="24" borderId="31" xfId="0" applyNumberFormat="1" applyFont="1" applyFill="1" applyBorder="1" applyAlignment="1">
      <alignment horizontal="right" vertical="center"/>
    </xf>
    <xf numFmtId="181" fontId="130" fillId="24" borderId="31" xfId="0" applyNumberFormat="1" applyFont="1" applyFill="1" applyBorder="1" applyAlignment="1">
      <alignment horizontal="right" vertical="center"/>
    </xf>
    <xf numFmtId="4" fontId="130" fillId="24" borderId="31" xfId="0" applyNumberFormat="1" applyFont="1" applyFill="1" applyBorder="1" applyAlignment="1">
      <alignment horizontal="right" vertical="center" wrapText="1"/>
    </xf>
    <xf numFmtId="3" fontId="43" fillId="26" borderId="19" xfId="0" applyNumberFormat="1" applyFont="1" applyFill="1" applyBorder="1" applyAlignment="1">
      <alignment horizontal="right" vertical="center"/>
    </xf>
    <xf numFmtId="181" fontId="43" fillId="26" borderId="19" xfId="0" applyNumberFormat="1" applyFont="1" applyFill="1" applyBorder="1" applyAlignment="1">
      <alignment horizontal="right" vertical="center"/>
    </xf>
    <xf numFmtId="3" fontId="119" fillId="24" borderId="31" xfId="0" applyNumberFormat="1" applyFont="1" applyFill="1" applyBorder="1" applyAlignment="1">
      <alignment horizontal="right" vertical="center"/>
    </xf>
    <xf numFmtId="181" fontId="119" fillId="24" borderId="31" xfId="0" applyNumberFormat="1" applyFont="1" applyFill="1" applyBorder="1" applyAlignment="1">
      <alignment horizontal="right" vertical="center"/>
    </xf>
    <xf numFmtId="3" fontId="29" fillId="24" borderId="26" xfId="27" applyNumberFormat="1" applyFont="1" applyFill="1" applyBorder="1" applyAlignment="1">
      <alignment horizontal="center" vertical="center" wrapText="1"/>
    </xf>
    <xf numFmtId="3" fontId="85" fillId="24" borderId="26" xfId="27" applyNumberFormat="1" applyFont="1" applyFill="1" applyBorder="1" applyAlignment="1">
      <alignment horizontal="center" vertical="center" wrapText="1"/>
    </xf>
    <xf numFmtId="3" fontId="29" fillId="24" borderId="24" xfId="27" applyNumberFormat="1" applyFont="1" applyFill="1" applyBorder="1" applyAlignment="1">
      <alignment horizontal="center" vertical="center" wrapText="1"/>
    </xf>
    <xf numFmtId="3" fontId="29" fillId="24" borderId="46" xfId="27" applyNumberFormat="1" applyFont="1" applyFill="1" applyBorder="1" applyAlignment="1">
      <alignment horizontal="center" vertical="center" wrapText="1"/>
    </xf>
    <xf numFmtId="3" fontId="28" fillId="26" borderId="21" xfId="27" applyNumberFormat="1" applyFont="1" applyFill="1" applyBorder="1" applyAlignment="1">
      <alignment horizontal="center" vertical="center" wrapText="1"/>
    </xf>
    <xf numFmtId="3" fontId="85" fillId="24" borderId="25" xfId="27" applyNumberFormat="1" applyFont="1" applyFill="1" applyBorder="1" applyAlignment="1">
      <alignment horizontal="center" vertical="center" wrapText="1"/>
    </xf>
    <xf numFmtId="3" fontId="119" fillId="24" borderId="26" xfId="27" applyNumberFormat="1" applyFont="1" applyFill="1" applyBorder="1" applyAlignment="1">
      <alignment horizontal="center" vertical="center" wrapText="1"/>
    </xf>
    <xf numFmtId="3" fontId="29" fillId="24" borderId="29" xfId="27" applyNumberFormat="1" applyFont="1" applyFill="1" applyBorder="1" applyAlignment="1">
      <alignment horizontal="center" vertical="center" wrapText="1"/>
    </xf>
    <xf numFmtId="3" fontId="118" fillId="24" borderId="25" xfId="27" applyNumberFormat="1" applyFont="1" applyFill="1" applyBorder="1" applyAlignment="1">
      <alignment horizontal="center" vertical="center" wrapText="1"/>
    </xf>
    <xf numFmtId="3" fontId="39" fillId="24" borderId="26" xfId="27" applyNumberFormat="1" applyFont="1" applyFill="1" applyBorder="1" applyAlignment="1">
      <alignment horizontal="center" vertical="center" wrapText="1"/>
    </xf>
    <xf numFmtId="3" fontId="130" fillId="24" borderId="26" xfId="27" applyNumberFormat="1" applyFont="1" applyFill="1" applyBorder="1" applyAlignment="1">
      <alignment horizontal="center" vertical="center" wrapText="1"/>
    </xf>
    <xf numFmtId="3" fontId="54" fillId="24" borderId="68" xfId="0" applyNumberFormat="1" applyFont="1" applyFill="1" applyBorder="1" applyAlignment="1">
      <alignment horizontal="center" vertical="center" wrapText="1"/>
    </xf>
    <xf numFmtId="3" fontId="43" fillId="26" borderId="53" xfId="0" applyNumberFormat="1" applyFont="1" applyFill="1" applyBorder="1" applyAlignment="1">
      <alignment horizontal="center" vertical="center" wrapText="1"/>
    </xf>
    <xf numFmtId="3" fontId="39" fillId="24" borderId="31" xfId="0" applyNumberFormat="1" applyFont="1" applyFill="1" applyBorder="1" applyAlignment="1">
      <alignment horizontal="center" vertical="center" wrapText="1"/>
    </xf>
    <xf numFmtId="3" fontId="119" fillId="24" borderId="31" xfId="0" applyNumberFormat="1" applyFont="1" applyFill="1" applyBorder="1" applyAlignment="1">
      <alignment horizontal="center" vertical="center" wrapText="1"/>
    </xf>
    <xf numFmtId="3" fontId="54" fillId="24" borderId="13" xfId="0" applyNumberFormat="1" applyFont="1" applyFill="1" applyBorder="1" applyAlignment="1">
      <alignment horizontal="right" vertical="center"/>
    </xf>
    <xf numFmtId="0" fontId="54" fillId="24" borderId="13" xfId="0" applyFont="1" applyFill="1" applyBorder="1" applyAlignment="1">
      <alignment horizontal="right" vertical="center"/>
    </xf>
    <xf numFmtId="9" fontId="54" fillId="24" borderId="42" xfId="0" applyNumberFormat="1" applyFont="1" applyFill="1" applyBorder="1" applyAlignment="1">
      <alignment horizontal="right" vertical="center"/>
    </xf>
    <xf numFmtId="3" fontId="54" fillId="24" borderId="24" xfId="0" applyNumberFormat="1" applyFont="1" applyFill="1" applyBorder="1" applyAlignment="1">
      <alignment horizontal="right" vertical="center"/>
    </xf>
    <xf numFmtId="0" fontId="55" fillId="24" borderId="25" xfId="0" applyFont="1" applyFill="1" applyBorder="1" applyAlignment="1">
      <alignment horizontal="right" vertical="center"/>
    </xf>
    <xf numFmtId="9" fontId="55" fillId="24" borderId="26" xfId="0" applyNumberFormat="1" applyFont="1" applyFill="1" applyBorder="1" applyAlignment="1">
      <alignment horizontal="right" vertical="center"/>
    </xf>
    <xf numFmtId="0" fontId="28" fillId="28" borderId="53" xfId="0" applyFont="1" applyFill="1" applyBorder="1" applyAlignment="1">
      <alignment horizontal="right" vertical="center"/>
    </xf>
    <xf numFmtId="3" fontId="28" fillId="28" borderId="27" xfId="0" applyNumberFormat="1" applyFont="1" applyFill="1" applyBorder="1" applyAlignment="1">
      <alignment horizontal="right" vertical="center"/>
    </xf>
    <xf numFmtId="0" fontId="55" fillId="24" borderId="27" xfId="0" applyFont="1" applyFill="1" applyBorder="1" applyAlignment="1">
      <alignment horizontal="right" vertical="center"/>
    </xf>
    <xf numFmtId="3" fontId="55" fillId="24" borderId="27" xfId="0" applyNumberFormat="1" applyFont="1" applyFill="1" applyBorder="1" applyAlignment="1">
      <alignment horizontal="right" vertical="center"/>
    </xf>
    <xf numFmtId="9" fontId="39" fillId="24" borderId="31" xfId="0" applyNumberFormat="1" applyFont="1" applyFill="1" applyBorder="1" applyAlignment="1">
      <alignment horizontal="right" vertical="center"/>
    </xf>
    <xf numFmtId="9" fontId="85" fillId="24" borderId="26" xfId="0" applyNumberFormat="1" applyFont="1" applyFill="1" applyBorder="1" applyAlignment="1">
      <alignment horizontal="right" vertical="center"/>
    </xf>
    <xf numFmtId="3" fontId="54" fillId="24" borderId="38" xfId="0" applyNumberFormat="1" applyFont="1" applyFill="1" applyBorder="1" applyAlignment="1">
      <alignment horizontal="right" vertical="center"/>
    </xf>
    <xf numFmtId="0" fontId="28" fillId="30" borderId="53" xfId="0" applyFont="1" applyFill="1" applyBorder="1" applyAlignment="1">
      <alignment horizontal="right" vertical="center"/>
    </xf>
    <xf numFmtId="3" fontId="5" fillId="26" borderId="53" xfId="0" applyNumberFormat="1" applyFont="1" applyFill="1" applyBorder="1" applyAlignment="1">
      <alignment horizontal="right" vertical="center"/>
    </xf>
    <xf numFmtId="1" fontId="28" fillId="28" borderId="29" xfId="0" applyNumberFormat="1" applyFont="1" applyFill="1" applyBorder="1" applyAlignment="1">
      <alignment horizontal="center" vertical="center" wrapText="1"/>
    </xf>
    <xf numFmtId="1" fontId="28" fillId="30" borderId="21" xfId="0" applyNumberFormat="1" applyFont="1" applyFill="1" applyBorder="1" applyAlignment="1">
      <alignment horizontal="center" vertical="center" wrapText="1"/>
    </xf>
    <xf numFmtId="4" fontId="59" fillId="27" borderId="234" xfId="0" applyNumberFormat="1" applyFont="1" applyFill="1" applyBorder="1" applyAlignment="1">
      <alignment horizontal="center" vertical="center" wrapText="1"/>
    </xf>
    <xf numFmtId="4" fontId="59" fillId="27" borderId="234" xfId="27" applyNumberFormat="1" applyFont="1" applyFill="1" applyBorder="1" applyAlignment="1">
      <alignment horizontal="center" vertical="center" wrapText="1"/>
    </xf>
    <xf numFmtId="3" fontId="39" fillId="24" borderId="104" xfId="0" applyNumberFormat="1" applyFont="1" applyFill="1" applyBorder="1" applyAlignment="1">
      <alignment vertical="center" wrapText="1"/>
    </xf>
    <xf numFmtId="3" fontId="54" fillId="24" borderId="241" xfId="0" applyNumberFormat="1" applyFont="1" applyFill="1" applyBorder="1" applyAlignment="1">
      <alignment vertical="center" wrapText="1"/>
    </xf>
    <xf numFmtId="3" fontId="39" fillId="24" borderId="104" xfId="0" applyNumberFormat="1" applyFont="1" applyFill="1" applyBorder="1" applyAlignment="1">
      <alignment horizontal="right" vertical="center" wrapText="1"/>
    </xf>
    <xf numFmtId="3" fontId="85" fillId="24" borderId="216" xfId="0" applyNumberFormat="1" applyFont="1" applyFill="1" applyBorder="1" applyAlignment="1">
      <alignment horizontal="center" vertical="center"/>
    </xf>
    <xf numFmtId="3" fontId="39" fillId="24" borderId="216" xfId="0" applyNumberFormat="1" applyFont="1" applyFill="1" applyBorder="1" applyAlignment="1">
      <alignment horizontal="center" vertical="center"/>
    </xf>
    <xf numFmtId="3" fontId="54" fillId="24" borderId="216" xfId="0" applyNumberFormat="1" applyFont="1" applyFill="1" applyBorder="1" applyAlignment="1">
      <alignment horizontal="center" vertical="center"/>
    </xf>
    <xf numFmtId="3" fontId="39" fillId="24" borderId="189" xfId="0" applyNumberFormat="1" applyFont="1" applyFill="1" applyBorder="1" applyAlignment="1">
      <alignment horizontal="center" vertical="center"/>
    </xf>
    <xf numFmtId="3" fontId="54" fillId="24" borderId="219" xfId="0" applyNumberFormat="1" applyFont="1" applyFill="1" applyBorder="1" applyAlignment="1">
      <alignment horizontal="center" vertical="center"/>
    </xf>
    <xf numFmtId="3" fontId="85" fillId="24" borderId="219" xfId="0" applyNumberFormat="1" applyFont="1" applyFill="1" applyBorder="1" applyAlignment="1">
      <alignment horizontal="center" vertical="center"/>
    </xf>
    <xf numFmtId="3" fontId="128" fillId="24" borderId="189" xfId="0" applyNumberFormat="1" applyFont="1" applyFill="1" applyBorder="1" applyAlignment="1">
      <alignment horizontal="center" vertical="center"/>
    </xf>
    <xf numFmtId="3" fontId="130" fillId="24" borderId="216" xfId="0" applyNumberFormat="1" applyFont="1" applyFill="1" applyBorder="1" applyAlignment="1">
      <alignment horizontal="center" vertical="center"/>
    </xf>
    <xf numFmtId="3" fontId="119" fillId="24" borderId="216" xfId="0" applyNumberFormat="1" applyFont="1" applyFill="1" applyBorder="1" applyAlignment="1">
      <alignment horizontal="center" vertical="center"/>
    </xf>
    <xf numFmtId="3" fontId="29" fillId="24" borderId="216" xfId="0" applyNumberFormat="1" applyFont="1" applyFill="1" applyBorder="1" applyAlignment="1">
      <alignment horizontal="center" vertical="center"/>
    </xf>
    <xf numFmtId="4" fontId="110" fillId="25" borderId="19" xfId="0" applyNumberFormat="1" applyFont="1" applyFill="1" applyBorder="1" applyAlignment="1">
      <alignment horizontal="center" vertical="center"/>
    </xf>
    <xf numFmtId="4" fontId="59" fillId="27" borderId="108" xfId="0" applyNumberFormat="1" applyFont="1" applyFill="1" applyBorder="1" applyAlignment="1">
      <alignment horizontal="center" vertical="center" wrapText="1"/>
    </xf>
    <xf numFmtId="4" fontId="59" fillId="27" borderId="228" xfId="0" applyNumberFormat="1" applyFont="1" applyFill="1" applyBorder="1" applyAlignment="1">
      <alignment horizontal="center" vertical="center" wrapText="1"/>
    </xf>
    <xf numFmtId="188" fontId="29" fillId="24" borderId="26" xfId="0" applyNumberFormat="1" applyFont="1" applyFill="1" applyBorder="1" applyAlignment="1">
      <alignment horizontal="center" vertical="center"/>
    </xf>
    <xf numFmtId="167" fontId="75" fillId="32" borderId="13" xfId="0" applyNumberFormat="1" applyFont="1" applyFill="1" applyBorder="1" applyAlignment="1">
      <alignment horizontal="center" vertical="center"/>
    </xf>
    <xf numFmtId="167" fontId="75" fillId="32" borderId="77" xfId="0" applyNumberFormat="1" applyFont="1" applyFill="1" applyBorder="1" applyAlignment="1">
      <alignment horizontal="center" vertical="center"/>
    </xf>
    <xf numFmtId="167" fontId="75" fillId="32" borderId="14" xfId="0" applyNumberFormat="1" applyFont="1" applyFill="1" applyBorder="1" applyAlignment="1">
      <alignment horizontal="center" vertical="center"/>
    </xf>
    <xf numFmtId="0" fontId="131" fillId="24" borderId="51" xfId="0" applyFont="1" applyFill="1" applyBorder="1" applyAlignment="1">
      <alignment horizontal="center" vertical="center"/>
    </xf>
    <xf numFmtId="0" fontId="119" fillId="24" borderId="41" xfId="0" applyFont="1" applyFill="1" applyBorder="1" applyAlignment="1">
      <alignment horizontal="left" vertical="center"/>
    </xf>
    <xf numFmtId="16" fontId="119" fillId="24" borderId="48" xfId="0" applyNumberFormat="1" applyFont="1" applyFill="1" applyBorder="1" applyAlignment="1">
      <alignment horizontal="right" vertical="center"/>
    </xf>
    <xf numFmtId="188" fontId="119" fillId="24" borderId="26" xfId="0" applyNumberFormat="1" applyFont="1" applyFill="1" applyBorder="1" applyAlignment="1">
      <alignment horizontal="center" vertical="center"/>
    </xf>
    <xf numFmtId="4" fontId="119" fillId="24" borderId="26" xfId="27" applyNumberFormat="1" applyFont="1" applyFill="1" applyBorder="1" applyAlignment="1">
      <alignment horizontal="right" vertical="center" wrapText="1"/>
    </xf>
    <xf numFmtId="3" fontId="119" fillId="24" borderId="104" xfId="0" applyNumberFormat="1" applyFont="1" applyFill="1" applyBorder="1" applyAlignment="1">
      <alignment horizontal="right" vertical="center" wrapText="1"/>
    </xf>
    <xf numFmtId="16" fontId="119" fillId="24" borderId="38" xfId="0" applyNumberFormat="1" applyFont="1" applyFill="1" applyBorder="1" applyAlignment="1">
      <alignment horizontal="right" vertical="center"/>
    </xf>
    <xf numFmtId="4" fontId="119" fillId="24" borderId="31" xfId="0" applyNumberFormat="1" applyFont="1" applyFill="1" applyBorder="1" applyAlignment="1">
      <alignment horizontal="right" vertical="center" wrapText="1"/>
    </xf>
    <xf numFmtId="4" fontId="119" fillId="32" borderId="26" xfId="0" applyNumberFormat="1" applyFont="1" applyFill="1" applyBorder="1" applyAlignment="1">
      <alignment horizontal="right" vertical="center" wrapText="1"/>
    </xf>
    <xf numFmtId="0" fontId="131" fillId="32" borderId="39" xfId="0" applyFont="1" applyFill="1" applyBorder="1" applyAlignment="1">
      <alignment horizontal="center" vertical="center"/>
    </xf>
    <xf numFmtId="4" fontId="119" fillId="24" borderId="31" xfId="27" applyNumberFormat="1" applyFont="1" applyFill="1" applyBorder="1" applyAlignment="1">
      <alignment horizontal="right" vertical="center" wrapText="1"/>
    </xf>
    <xf numFmtId="0" fontId="131" fillId="24" borderId="39" xfId="0" applyFont="1" applyFill="1" applyBorder="1" applyAlignment="1">
      <alignment horizontal="center" vertical="center"/>
    </xf>
    <xf numFmtId="3" fontId="54" fillId="24" borderId="242" xfId="0" applyNumberFormat="1" applyFont="1" applyFill="1" applyBorder="1" applyAlignment="1">
      <alignment horizontal="right" vertical="center" wrapText="1"/>
    </xf>
    <xf numFmtId="4" fontId="39" fillId="24" borderId="104" xfId="0" applyNumberFormat="1" applyFont="1" applyFill="1" applyBorder="1" applyAlignment="1">
      <alignment vertical="center" wrapText="1"/>
    </xf>
    <xf numFmtId="167" fontId="179" fillId="32" borderId="67" xfId="0" applyNumberFormat="1" applyFont="1" applyFill="1" applyBorder="1" applyAlignment="1">
      <alignment horizontal="center" vertical="center"/>
    </xf>
    <xf numFmtId="3" fontId="39" fillId="24" borderId="184" xfId="0" applyNumberFormat="1" applyFont="1" applyFill="1" applyBorder="1" applyAlignment="1">
      <alignment horizontal="right" vertical="center" wrapText="1"/>
    </xf>
    <xf numFmtId="16" fontId="85" fillId="24" borderId="48" xfId="0" applyNumberFormat="1" applyFont="1" applyFill="1" applyBorder="1" applyAlignment="1">
      <alignment horizontal="left" vertical="center"/>
    </xf>
    <xf numFmtId="16" fontId="85" fillId="24" borderId="174" xfId="0" applyNumberFormat="1" applyFont="1" applyFill="1" applyBorder="1" applyAlignment="1">
      <alignment horizontal="right" vertical="center"/>
    </xf>
    <xf numFmtId="0" fontId="72" fillId="0" borderId="243" xfId="0" applyFont="1" applyBorder="1" applyAlignment="1">
      <alignment shrinkToFit="1"/>
    </xf>
    <xf numFmtId="0" fontId="72" fillId="39" borderId="243" xfId="0" applyFont="1" applyFill="1" applyBorder="1" applyAlignment="1">
      <alignment shrinkToFit="1"/>
    </xf>
    <xf numFmtId="4" fontId="54" fillId="32" borderId="26" xfId="0" applyNumberFormat="1" applyFont="1" applyFill="1" applyBorder="1" applyAlignment="1">
      <alignment vertical="center" wrapText="1"/>
    </xf>
    <xf numFmtId="4" fontId="117" fillId="24" borderId="26" xfId="0" applyNumberFormat="1" applyFont="1" applyFill="1" applyBorder="1" applyAlignment="1">
      <alignment vertical="center" wrapText="1"/>
    </xf>
    <xf numFmtId="4" fontId="117" fillId="24" borderId="104" xfId="0" applyNumberFormat="1" applyFont="1" applyFill="1" applyBorder="1" applyAlignment="1">
      <alignment vertical="center" wrapText="1"/>
    </xf>
    <xf numFmtId="3" fontId="117" fillId="24" borderId="104" xfId="0" applyNumberFormat="1" applyFont="1" applyFill="1" applyBorder="1" applyAlignment="1">
      <alignment vertical="center" wrapText="1"/>
    </xf>
    <xf numFmtId="3" fontId="117" fillId="24" borderId="184" xfId="0" applyNumberFormat="1" applyFont="1" applyFill="1" applyBorder="1" applyAlignment="1">
      <alignment horizontal="right" vertical="center" wrapText="1"/>
    </xf>
    <xf numFmtId="4" fontId="54" fillId="24" borderId="219" xfId="0" applyNumberFormat="1" applyFont="1" applyFill="1" applyBorder="1" applyAlignment="1">
      <alignment vertical="center" wrapText="1"/>
    </xf>
    <xf numFmtId="3" fontId="28" fillId="24" borderId="247" xfId="0" applyNumberFormat="1" applyFont="1" applyFill="1" applyBorder="1" applyAlignment="1">
      <alignment horizontal="right" vertical="center"/>
    </xf>
    <xf numFmtId="3" fontId="28" fillId="24" borderId="248" xfId="0" applyNumberFormat="1" applyFont="1" applyFill="1" applyBorder="1" applyAlignment="1">
      <alignment horizontal="center" vertical="center"/>
    </xf>
    <xf numFmtId="3" fontId="28" fillId="24" borderId="248" xfId="0" applyNumberFormat="1" applyFont="1" applyFill="1" applyBorder="1" applyAlignment="1">
      <alignment horizontal="right" vertical="center"/>
    </xf>
    <xf numFmtId="3" fontId="125" fillId="0" borderId="249" xfId="0" applyNumberFormat="1" applyFont="1" applyBorder="1" applyAlignment="1">
      <alignment horizontal="center" vertical="center"/>
    </xf>
    <xf numFmtId="3" fontId="125" fillId="0" borderId="250" xfId="0" applyNumberFormat="1" applyFont="1" applyBorder="1" applyAlignment="1">
      <alignment horizontal="center" vertical="center"/>
    </xf>
    <xf numFmtId="3" fontId="130" fillId="24" borderId="32" xfId="0" applyNumberFormat="1" applyFont="1" applyFill="1" applyBorder="1" applyAlignment="1">
      <alignment vertical="center" wrapText="1"/>
    </xf>
    <xf numFmtId="43" fontId="139" fillId="37" borderId="0" xfId="27" applyFont="1" applyFill="1"/>
    <xf numFmtId="41" fontId="67" fillId="0" borderId="0" xfId="0" applyNumberFormat="1" applyFont="1"/>
    <xf numFmtId="43" fontId="139" fillId="32" borderId="0" xfId="27" applyFont="1" applyFill="1" applyBorder="1"/>
    <xf numFmtId="3" fontId="0" fillId="32" borderId="0" xfId="0" applyNumberFormat="1" applyFill="1"/>
    <xf numFmtId="3" fontId="54" fillId="32" borderId="26" xfId="27" applyNumberFormat="1" applyFont="1" applyFill="1" applyBorder="1" applyAlignment="1">
      <alignment vertical="center" wrapText="1"/>
    </xf>
    <xf numFmtId="3" fontId="180" fillId="0" borderId="0" xfId="0" applyNumberFormat="1" applyFont="1" applyAlignment="1">
      <alignment vertical="top"/>
    </xf>
    <xf numFmtId="4" fontId="174" fillId="32" borderId="0" xfId="0" applyNumberFormat="1" applyFont="1" applyFill="1" applyAlignment="1">
      <alignment vertical="top"/>
    </xf>
    <xf numFmtId="0" fontId="67" fillId="32" borderId="0" xfId="0" applyFont="1" applyFill="1"/>
    <xf numFmtId="0" fontId="91" fillId="32" borderId="0" xfId="0" applyFont="1" applyFill="1" applyAlignment="1">
      <alignment vertical="center"/>
    </xf>
    <xf numFmtId="0" fontId="149" fillId="0" borderId="0" xfId="0" applyFont="1" applyAlignment="1">
      <alignment vertical="top"/>
    </xf>
    <xf numFmtId="3" fontId="43" fillId="24" borderId="251" xfId="0" applyNumberFormat="1" applyFont="1" applyFill="1" applyBorder="1" applyAlignment="1">
      <alignment horizontal="right" vertical="center"/>
    </xf>
    <xf numFmtId="3" fontId="125" fillId="0" borderId="252" xfId="0" applyNumberFormat="1" applyFont="1" applyBorder="1" applyAlignment="1">
      <alignment horizontal="center" vertical="center"/>
    </xf>
    <xf numFmtId="0" fontId="157" fillId="0" borderId="40" xfId="0" applyFont="1" applyBorder="1" applyAlignment="1">
      <alignment vertical="center"/>
    </xf>
    <xf numFmtId="3" fontId="43" fillId="24" borderId="219" xfId="0" applyNumberFormat="1" applyFont="1" applyFill="1" applyBorder="1" applyAlignment="1">
      <alignment horizontal="right" vertical="center"/>
    </xf>
    <xf numFmtId="3" fontId="43" fillId="24" borderId="83" xfId="0" applyNumberFormat="1" applyFont="1" applyFill="1" applyBorder="1" applyAlignment="1">
      <alignment horizontal="right" vertical="center"/>
    </xf>
    <xf numFmtId="0" fontId="157" fillId="0" borderId="253" xfId="0" applyFont="1" applyBorder="1" applyAlignment="1">
      <alignment vertical="center"/>
    </xf>
    <xf numFmtId="3" fontId="43" fillId="24" borderId="198" xfId="0" applyNumberFormat="1" applyFont="1" applyFill="1" applyBorder="1" applyAlignment="1">
      <alignment horizontal="right" vertical="center"/>
    </xf>
    <xf numFmtId="3" fontId="125" fillId="0" borderId="254" xfId="0" applyNumberFormat="1" applyFont="1" applyBorder="1" applyAlignment="1">
      <alignment horizontal="center" vertical="center"/>
    </xf>
    <xf numFmtId="4" fontId="29" fillId="24" borderId="39" xfId="0" applyNumberFormat="1" applyFont="1" applyFill="1" applyBorder="1" applyAlignment="1">
      <alignment horizontal="right" vertical="center"/>
    </xf>
    <xf numFmtId="3" fontId="125" fillId="0" borderId="255" xfId="0" applyNumberFormat="1" applyFont="1" applyBorder="1" applyAlignment="1">
      <alignment horizontal="center" vertical="center"/>
    </xf>
    <xf numFmtId="16" fontId="43" fillId="24" borderId="46" xfId="0" applyNumberFormat="1" applyFont="1" applyFill="1" applyBorder="1" applyAlignment="1">
      <alignment horizontal="center" vertical="center"/>
    </xf>
    <xf numFmtId="0" fontId="39" fillId="24" borderId="48" xfId="0" applyFont="1" applyFill="1" applyBorder="1" applyAlignment="1">
      <alignment horizontal="left" vertical="center"/>
    </xf>
    <xf numFmtId="0" fontId="85" fillId="24" borderId="47" xfId="0" applyFont="1" applyFill="1" applyBorder="1" applyAlignment="1">
      <alignment horizontal="left" vertical="center"/>
    </xf>
    <xf numFmtId="0" fontId="54" fillId="24" borderId="47" xfId="0" applyFont="1" applyFill="1" applyBorder="1" applyAlignment="1">
      <alignment horizontal="left" vertical="center"/>
    </xf>
    <xf numFmtId="0" fontId="29" fillId="26" borderId="256" xfId="0" applyFont="1" applyFill="1" applyBorder="1" applyAlignment="1">
      <alignment vertical="center"/>
    </xf>
    <xf numFmtId="0" fontId="39" fillId="24" borderId="37" xfId="0" applyFont="1" applyFill="1" applyBorder="1" applyAlignment="1">
      <alignment horizontal="left" vertical="center"/>
    </xf>
    <xf numFmtId="0" fontId="131" fillId="24" borderId="216" xfId="0" applyFont="1" applyFill="1" applyBorder="1" applyAlignment="1">
      <alignment horizontal="center" vertical="center"/>
    </xf>
    <xf numFmtId="0" fontId="28" fillId="26" borderId="42" xfId="0" applyFont="1" applyFill="1" applyBorder="1" applyAlignment="1">
      <alignment horizontal="center" vertical="center"/>
    </xf>
    <xf numFmtId="0" fontId="28" fillId="26" borderId="257" xfId="0" applyFont="1" applyFill="1" applyBorder="1" applyAlignment="1">
      <alignment horizontal="center" vertical="center"/>
    </xf>
    <xf numFmtId="0" fontId="28" fillId="24" borderId="73" xfId="0" applyFont="1" applyFill="1" applyBorder="1" applyAlignment="1">
      <alignment horizontal="center" vertical="center"/>
    </xf>
    <xf numFmtId="0" fontId="96" fillId="24" borderId="258" xfId="0" applyFont="1" applyFill="1" applyBorder="1" applyAlignment="1">
      <alignment horizontal="center" vertical="center"/>
    </xf>
    <xf numFmtId="0" fontId="28" fillId="26" borderId="259" xfId="0" applyFont="1" applyFill="1" applyBorder="1" applyAlignment="1">
      <alignment horizontal="center" vertical="center"/>
    </xf>
    <xf numFmtId="0" fontId="43" fillId="24" borderId="260" xfId="0" applyFont="1" applyFill="1" applyBorder="1" applyAlignment="1">
      <alignment horizontal="center" vertical="center"/>
    </xf>
    <xf numFmtId="0" fontId="55" fillId="24" borderId="258" xfId="0" applyFont="1" applyFill="1" applyBorder="1" applyAlignment="1">
      <alignment horizontal="center" vertical="center"/>
    </xf>
    <xf numFmtId="0" fontId="28" fillId="32" borderId="73" xfId="0" applyFont="1" applyFill="1" applyBorder="1" applyAlignment="1">
      <alignment horizontal="center" vertical="center"/>
    </xf>
    <xf numFmtId="3" fontId="125" fillId="24" borderId="255" xfId="0" applyNumberFormat="1" applyFont="1" applyFill="1" applyBorder="1" applyAlignment="1">
      <alignment horizontal="right" vertical="center"/>
    </xf>
    <xf numFmtId="0" fontId="60" fillId="24" borderId="261" xfId="0" applyFont="1" applyFill="1" applyBorder="1" applyAlignment="1">
      <alignment horizontal="center" vertical="center"/>
    </xf>
    <xf numFmtId="43" fontId="67" fillId="0" borderId="262" xfId="27" applyFont="1" applyBorder="1" applyAlignment="1"/>
    <xf numFmtId="0" fontId="43" fillId="32" borderId="39" xfId="0" applyFont="1" applyFill="1" applyBorder="1" applyAlignment="1">
      <alignment horizontal="center" vertical="center" wrapText="1"/>
    </xf>
    <xf numFmtId="0" fontId="60" fillId="24" borderId="263" xfId="0" applyFont="1" applyFill="1" applyBorder="1" applyAlignment="1">
      <alignment horizontal="center" vertical="center"/>
    </xf>
    <xf numFmtId="0" fontId="59" fillId="24" borderId="251" xfId="0" applyFont="1" applyFill="1" applyBorder="1" applyAlignment="1">
      <alignment vertical="center" wrapText="1"/>
    </xf>
    <xf numFmtId="0" fontId="28" fillId="0" borderId="48" xfId="0" applyFont="1" applyBorder="1" applyAlignment="1">
      <alignment horizontal="center" vertical="center"/>
    </xf>
    <xf numFmtId="4" fontId="29" fillId="0" borderId="184" xfId="0" applyNumberFormat="1" applyFont="1" applyBorder="1" applyAlignment="1">
      <alignment vertical="center" wrapText="1"/>
    </xf>
    <xf numFmtId="4" fontId="29" fillId="0" borderId="184" xfId="27" applyNumberFormat="1" applyFont="1" applyFill="1" applyBorder="1" applyAlignment="1">
      <alignment vertical="center" wrapText="1"/>
    </xf>
    <xf numFmtId="3" fontId="28" fillId="0" borderId="184" xfId="0" applyNumberFormat="1" applyFont="1" applyBorder="1" applyAlignment="1">
      <alignment horizontal="right" vertical="center"/>
    </xf>
    <xf numFmtId="3" fontId="125" fillId="0" borderId="264" xfId="0" applyNumberFormat="1" applyFont="1" applyBorder="1" applyAlignment="1">
      <alignment horizontal="right" vertical="center"/>
    </xf>
    <xf numFmtId="189" fontId="41" fillId="24" borderId="0" xfId="0" applyNumberFormat="1" applyFont="1" applyFill="1" applyAlignment="1">
      <alignment vertical="center"/>
    </xf>
    <xf numFmtId="3" fontId="54" fillId="24" borderId="216" xfId="0" applyNumberFormat="1" applyFont="1" applyFill="1" applyBorder="1" applyAlignment="1">
      <alignment horizontal="center" vertical="center" wrapText="1"/>
    </xf>
    <xf numFmtId="4" fontId="54" fillId="24" borderId="216" xfId="0" applyNumberFormat="1" applyFont="1" applyFill="1" applyBorder="1" applyAlignment="1">
      <alignment vertical="center" wrapText="1"/>
    </xf>
    <xf numFmtId="3" fontId="28" fillId="24" borderId="189" xfId="0" applyNumberFormat="1" applyFont="1" applyFill="1" applyBorder="1" applyAlignment="1">
      <alignment horizontal="right" vertical="center"/>
    </xf>
    <xf numFmtId="3" fontId="125" fillId="24" borderId="266" xfId="0" applyNumberFormat="1" applyFont="1" applyFill="1" applyBorder="1" applyAlignment="1">
      <alignment horizontal="right" vertical="center"/>
    </xf>
    <xf numFmtId="3" fontId="55" fillId="24" borderId="69" xfId="0" applyNumberFormat="1" applyFont="1" applyFill="1" applyBorder="1" applyAlignment="1">
      <alignment horizontal="right" vertical="center"/>
    </xf>
    <xf numFmtId="3" fontId="125" fillId="0" borderId="264" xfId="0" applyNumberFormat="1" applyFont="1" applyBorder="1" applyAlignment="1">
      <alignment horizontal="center" vertical="center"/>
    </xf>
    <xf numFmtId="4" fontId="54" fillId="32" borderId="31" xfId="27" applyNumberFormat="1" applyFont="1" applyFill="1" applyBorder="1" applyAlignment="1">
      <alignment vertical="center" wrapText="1"/>
    </xf>
    <xf numFmtId="3" fontId="28" fillId="28" borderId="42" xfId="0" applyNumberFormat="1" applyFont="1" applyFill="1" applyBorder="1" applyAlignment="1">
      <alignment vertical="center" wrapText="1"/>
    </xf>
    <xf numFmtId="16" fontId="39" fillId="24" borderId="209" xfId="0" applyNumberFormat="1" applyFont="1" applyFill="1" applyBorder="1" applyAlignment="1">
      <alignment horizontal="right" vertical="center"/>
    </xf>
    <xf numFmtId="3" fontId="29" fillId="24" borderId="216" xfId="0" applyNumberFormat="1" applyFont="1" applyFill="1" applyBorder="1" applyAlignment="1">
      <alignment vertical="center" wrapText="1"/>
    </xf>
    <xf numFmtId="3" fontId="29" fillId="32" borderId="216" xfId="0" applyNumberFormat="1" applyFont="1" applyFill="1" applyBorder="1" applyAlignment="1">
      <alignment vertical="center" wrapText="1"/>
    </xf>
    <xf numFmtId="3" fontId="39" fillId="24" borderId="241" xfId="0" applyNumberFormat="1" applyFont="1" applyFill="1" applyBorder="1" applyAlignment="1">
      <alignment vertical="center" wrapText="1"/>
    </xf>
    <xf numFmtId="3" fontId="28" fillId="24" borderId="189" xfId="0" applyNumberFormat="1" applyFont="1" applyFill="1" applyBorder="1" applyAlignment="1">
      <alignment horizontal="center" vertical="center"/>
    </xf>
    <xf numFmtId="3" fontId="125" fillId="24" borderId="266" xfId="0" applyNumberFormat="1" applyFont="1" applyFill="1" applyBorder="1" applyAlignment="1">
      <alignment horizontal="center" vertical="center"/>
    </xf>
    <xf numFmtId="0" fontId="39" fillId="51" borderId="268" xfId="0" applyFont="1" applyFill="1" applyBorder="1" applyAlignment="1">
      <alignment horizontal="left" vertical="center"/>
    </xf>
    <xf numFmtId="16" fontId="39" fillId="51" borderId="265" xfId="0" applyNumberFormat="1" applyFont="1" applyFill="1" applyBorder="1" applyAlignment="1">
      <alignment horizontal="right" vertical="center"/>
    </xf>
    <xf numFmtId="3" fontId="39" fillId="51" borderId="267" xfId="0" applyNumberFormat="1" applyFont="1" applyFill="1" applyBorder="1" applyAlignment="1">
      <alignment horizontal="center" vertical="center"/>
    </xf>
    <xf numFmtId="3" fontId="29" fillId="51" borderId="267" xfId="0" applyNumberFormat="1" applyFont="1" applyFill="1" applyBorder="1" applyAlignment="1">
      <alignment vertical="center" wrapText="1"/>
    </xf>
    <xf numFmtId="4" fontId="57" fillId="32" borderId="0" xfId="0" applyNumberFormat="1" applyFont="1" applyFill="1" applyAlignment="1">
      <alignment vertical="center"/>
    </xf>
    <xf numFmtId="0" fontId="181" fillId="0" borderId="0" xfId="0" applyFont="1"/>
    <xf numFmtId="43" fontId="181" fillId="37" borderId="0" xfId="27" applyFont="1" applyFill="1"/>
    <xf numFmtId="3" fontId="28" fillId="26" borderId="53" xfId="0" applyNumberFormat="1" applyFont="1" applyFill="1" applyBorder="1" applyAlignment="1">
      <alignment horizontal="center" vertical="center"/>
    </xf>
    <xf numFmtId="3" fontId="55" fillId="24" borderId="24" xfId="0" applyNumberFormat="1" applyFont="1" applyFill="1" applyBorder="1" applyAlignment="1">
      <alignment horizontal="center" vertical="center" wrapText="1"/>
    </xf>
    <xf numFmtId="3" fontId="55" fillId="24" borderId="46" xfId="0" applyNumberFormat="1" applyFont="1" applyFill="1" applyBorder="1" applyAlignment="1">
      <alignment horizontal="center" vertical="center" wrapText="1"/>
    </xf>
    <xf numFmtId="3" fontId="55" fillId="24" borderId="26" xfId="0" applyNumberFormat="1" applyFont="1" applyFill="1" applyBorder="1" applyAlignment="1">
      <alignment horizontal="center" vertical="center" wrapText="1"/>
    </xf>
    <xf numFmtId="3" fontId="28" fillId="28" borderId="29" xfId="0" applyNumberFormat="1" applyFont="1" applyFill="1" applyBorder="1" applyAlignment="1">
      <alignment horizontal="center" vertical="center" wrapText="1"/>
    </xf>
    <xf numFmtId="3" fontId="48" fillId="24" borderId="32" xfId="0" applyNumberFormat="1" applyFont="1" applyFill="1" applyBorder="1" applyAlignment="1">
      <alignment horizontal="center" vertical="center" wrapText="1"/>
    </xf>
    <xf numFmtId="3" fontId="55" fillId="24" borderId="29" xfId="0" applyNumberFormat="1" applyFont="1" applyFill="1" applyBorder="1" applyAlignment="1">
      <alignment horizontal="center" vertical="center" wrapText="1"/>
    </xf>
    <xf numFmtId="3" fontId="43" fillId="24" borderId="31" xfId="0" applyNumberFormat="1" applyFont="1" applyFill="1" applyBorder="1" applyAlignment="1">
      <alignment horizontal="center" vertical="center" wrapText="1"/>
    </xf>
    <xf numFmtId="3" fontId="96" fillId="24" borderId="31" xfId="27" applyNumberFormat="1" applyFont="1" applyFill="1" applyBorder="1" applyAlignment="1">
      <alignment horizontal="center" vertical="center" wrapText="1"/>
    </xf>
    <xf numFmtId="3" fontId="96" fillId="24" borderId="26" xfId="0" applyNumberFormat="1" applyFont="1" applyFill="1" applyBorder="1" applyAlignment="1">
      <alignment horizontal="center" vertical="center" wrapText="1"/>
    </xf>
    <xf numFmtId="3" fontId="131" fillId="24" borderId="26" xfId="0" applyNumberFormat="1" applyFont="1" applyFill="1" applyBorder="1" applyAlignment="1">
      <alignment horizontal="center" vertical="center" wrapText="1"/>
    </xf>
    <xf numFmtId="3" fontId="43" fillId="24" borderId="26" xfId="0" applyNumberFormat="1" applyFont="1" applyFill="1" applyBorder="1" applyAlignment="1">
      <alignment horizontal="center" vertical="center" wrapText="1"/>
    </xf>
    <xf numFmtId="3" fontId="131" fillId="24" borderId="31" xfId="0" applyNumberFormat="1" applyFont="1" applyFill="1" applyBorder="1" applyAlignment="1">
      <alignment horizontal="center" vertical="center" wrapText="1"/>
    </xf>
    <xf numFmtId="3" fontId="55" fillId="24" borderId="31" xfId="0" applyNumberFormat="1" applyFont="1" applyFill="1" applyBorder="1" applyAlignment="1">
      <alignment horizontal="center" vertical="center" wrapText="1"/>
    </xf>
    <xf numFmtId="3" fontId="28" fillId="30" borderId="21" xfId="0" applyNumberFormat="1" applyFont="1" applyFill="1" applyBorder="1" applyAlignment="1">
      <alignment horizontal="center" vertical="center" wrapText="1"/>
    </xf>
    <xf numFmtId="3" fontId="43" fillId="24" borderId="24" xfId="0" applyNumberFormat="1" applyFont="1" applyFill="1" applyBorder="1" applyAlignment="1">
      <alignment horizontal="center" vertical="center" wrapText="1"/>
    </xf>
    <xf numFmtId="3" fontId="28" fillId="24" borderId="31" xfId="0" applyNumberFormat="1" applyFont="1" applyFill="1" applyBorder="1" applyAlignment="1">
      <alignment horizontal="center" vertical="center" wrapText="1"/>
    </xf>
    <xf numFmtId="3" fontId="28" fillId="24" borderId="26" xfId="0" applyNumberFormat="1" applyFont="1" applyFill="1" applyBorder="1" applyAlignment="1">
      <alignment horizontal="center" vertical="center" wrapText="1"/>
    </xf>
    <xf numFmtId="3" fontId="131" fillId="24" borderId="216" xfId="0" applyNumberFormat="1" applyFont="1" applyFill="1" applyBorder="1" applyAlignment="1">
      <alignment horizontal="center" vertical="center" wrapText="1"/>
    </xf>
    <xf numFmtId="3" fontId="131" fillId="24" borderId="184" xfId="0" applyNumberFormat="1" applyFont="1" applyFill="1" applyBorder="1" applyAlignment="1">
      <alignment horizontal="center" vertical="center" wrapText="1"/>
    </xf>
    <xf numFmtId="3" fontId="131" fillId="24" borderId="46" xfId="0" applyNumberFormat="1" applyFont="1" applyFill="1" applyBorder="1" applyAlignment="1">
      <alignment horizontal="center" vertical="center" wrapText="1"/>
    </xf>
    <xf numFmtId="3" fontId="48" fillId="24" borderId="29" xfId="0" applyNumberFormat="1" applyFont="1" applyFill="1" applyBorder="1" applyAlignment="1">
      <alignment horizontal="center" vertical="center" wrapText="1"/>
    </xf>
    <xf numFmtId="3" fontId="96" fillId="24" borderId="31" xfId="0" applyNumberFormat="1" applyFont="1" applyFill="1" applyBorder="1" applyAlignment="1">
      <alignment horizontal="center" vertical="center" wrapText="1"/>
    </xf>
    <xf numFmtId="3" fontId="131" fillId="24" borderId="189" xfId="0" applyNumberFormat="1" applyFont="1" applyFill="1" applyBorder="1" applyAlignment="1">
      <alignment horizontal="center" vertical="center" wrapText="1"/>
    </xf>
    <xf numFmtId="3" fontId="55" fillId="24" borderId="271" xfId="0" applyNumberFormat="1" applyFont="1" applyFill="1" applyBorder="1" applyAlignment="1">
      <alignment horizontal="right" vertical="center"/>
    </xf>
    <xf numFmtId="2" fontId="28" fillId="26" borderId="19" xfId="0" applyNumberFormat="1" applyFont="1" applyFill="1" applyBorder="1" applyAlignment="1">
      <alignment vertical="center"/>
    </xf>
    <xf numFmtId="0" fontId="163" fillId="47" borderId="108" xfId="0" applyFont="1" applyFill="1" applyBorder="1" applyAlignment="1">
      <alignment horizontal="center" shrinkToFit="1"/>
    </xf>
    <xf numFmtId="0" fontId="163" fillId="47" borderId="13" xfId="0" applyFont="1" applyFill="1" applyBorder="1" applyAlignment="1">
      <alignment horizontal="center" shrinkToFit="1"/>
    </xf>
    <xf numFmtId="3" fontId="28" fillId="25" borderId="267" xfId="27" applyNumberFormat="1" applyFont="1" applyFill="1" applyBorder="1" applyAlignment="1">
      <alignment vertical="center" wrapText="1"/>
    </xf>
    <xf numFmtId="171" fontId="153" fillId="0" borderId="272" xfId="27" applyNumberFormat="1" applyFont="1" applyBorder="1" applyAlignment="1">
      <alignment horizontal="left"/>
    </xf>
    <xf numFmtId="3" fontId="125" fillId="24" borderId="264" xfId="0" applyNumberFormat="1" applyFont="1" applyFill="1" applyBorder="1" applyAlignment="1">
      <alignment horizontal="right" vertical="center"/>
    </xf>
    <xf numFmtId="3" fontId="54" fillId="32" borderId="46" xfId="0" applyNumberFormat="1" applyFont="1" applyFill="1" applyBorder="1" applyAlignment="1">
      <alignment horizontal="right" vertical="center" wrapText="1"/>
    </xf>
    <xf numFmtId="4" fontId="39" fillId="24" borderId="39" xfId="0" applyNumberFormat="1" applyFont="1" applyFill="1" applyBorder="1" applyAlignment="1">
      <alignment horizontal="right" vertical="center"/>
    </xf>
    <xf numFmtId="4" fontId="29" fillId="24" borderId="26" xfId="0" applyNumberFormat="1" applyFont="1" applyFill="1" applyBorder="1" applyAlignment="1">
      <alignment horizontal="right" vertical="center"/>
    </xf>
    <xf numFmtId="4" fontId="28" fillId="26" borderId="19" xfId="0" applyNumberFormat="1" applyFont="1" applyFill="1" applyBorder="1" applyAlignment="1">
      <alignment horizontal="right" vertical="center"/>
    </xf>
    <xf numFmtId="3" fontId="28" fillId="26" borderId="0" xfId="0" applyNumberFormat="1" applyFont="1" applyFill="1" applyAlignment="1">
      <alignment vertical="center"/>
    </xf>
    <xf numFmtId="3" fontId="28" fillId="24" borderId="251" xfId="0" applyNumberFormat="1" applyFont="1" applyFill="1" applyBorder="1" applyAlignment="1">
      <alignment horizontal="right" vertical="center"/>
    </xf>
    <xf numFmtId="3" fontId="124" fillId="0" borderId="273" xfId="0" applyNumberFormat="1" applyFont="1" applyBorder="1" applyAlignment="1">
      <alignment horizontal="center" vertical="center"/>
    </xf>
    <xf numFmtId="3" fontId="124" fillId="0" borderId="168" xfId="0" applyNumberFormat="1" applyFont="1" applyBorder="1" applyAlignment="1">
      <alignment horizontal="center" vertical="center"/>
    </xf>
    <xf numFmtId="3" fontId="124" fillId="0" borderId="274" xfId="0" applyNumberFormat="1" applyFont="1" applyBorder="1" applyAlignment="1">
      <alignment horizontal="center" vertical="center"/>
    </xf>
    <xf numFmtId="167" fontId="75" fillId="32" borderId="67" xfId="0" applyNumberFormat="1" applyFont="1" applyFill="1" applyBorder="1" applyAlignment="1">
      <alignment horizontal="center" vertical="center"/>
    </xf>
    <xf numFmtId="3" fontId="39" fillId="24" borderId="39" xfId="0" applyNumberFormat="1" applyFont="1" applyFill="1" applyBorder="1" applyAlignment="1">
      <alignment horizontal="right" vertical="center"/>
    </xf>
    <xf numFmtId="4" fontId="54" fillId="32" borderId="184" xfId="0" applyNumberFormat="1" applyFont="1" applyFill="1" applyBorder="1" applyAlignment="1">
      <alignment vertical="center" wrapText="1"/>
    </xf>
    <xf numFmtId="4" fontId="54" fillId="32" borderId="184" xfId="27" applyNumberFormat="1" applyFont="1" applyFill="1" applyBorder="1" applyAlignment="1">
      <alignment vertical="center" wrapText="1"/>
    </xf>
    <xf numFmtId="3" fontId="28" fillId="26" borderId="265" xfId="0" applyNumberFormat="1" applyFont="1" applyFill="1" applyBorder="1" applyAlignment="1">
      <alignment vertical="center"/>
    </xf>
    <xf numFmtId="4" fontId="54" fillId="32" borderId="25" xfId="0" applyNumberFormat="1" applyFont="1" applyFill="1" applyBorder="1" applyAlignment="1">
      <alignment vertical="center" wrapText="1"/>
    </xf>
    <xf numFmtId="0" fontId="131" fillId="24" borderId="219" xfId="0" applyFont="1" applyFill="1" applyBorder="1" applyAlignment="1">
      <alignment horizontal="center" vertical="center"/>
    </xf>
    <xf numFmtId="3" fontId="28" fillId="24" borderId="275" xfId="0" applyNumberFormat="1" applyFont="1" applyFill="1" applyBorder="1" applyAlignment="1">
      <alignment horizontal="right" vertical="center"/>
    </xf>
    <xf numFmtId="3" fontId="28" fillId="24" borderId="276" xfId="0" applyNumberFormat="1" applyFont="1" applyFill="1" applyBorder="1" applyAlignment="1">
      <alignment horizontal="center" vertical="center"/>
    </xf>
    <xf numFmtId="3" fontId="28" fillId="24" borderId="277" xfId="0" applyNumberFormat="1" applyFont="1" applyFill="1" applyBorder="1" applyAlignment="1">
      <alignment horizontal="right" vertical="center"/>
    </xf>
    <xf numFmtId="168" fontId="149" fillId="0" borderId="0" xfId="0" applyNumberFormat="1" applyFont="1" applyAlignment="1">
      <alignment vertical="top"/>
    </xf>
    <xf numFmtId="4" fontId="28" fillId="24" borderId="39" xfId="0" applyNumberFormat="1" applyFont="1" applyFill="1" applyBorder="1" applyAlignment="1">
      <alignment horizontal="right" vertical="center"/>
    </xf>
    <xf numFmtId="0" fontId="60" fillId="24" borderId="94" xfId="0" applyFont="1" applyFill="1" applyBorder="1" applyAlignment="1">
      <alignment horizontal="center" vertical="center"/>
    </xf>
    <xf numFmtId="0" fontId="68" fillId="24" borderId="77" xfId="0" applyFont="1" applyFill="1" applyBorder="1" applyAlignment="1">
      <alignment horizontal="left" vertical="top" wrapText="1"/>
    </xf>
    <xf numFmtId="43" fontId="67" fillId="0" borderId="109" xfId="27" applyFont="1" applyBorder="1" applyAlignment="1"/>
    <xf numFmtId="0" fontId="0" fillId="32" borderId="0" xfId="0" applyFill="1"/>
    <xf numFmtId="3" fontId="117" fillId="0" borderId="77" xfId="27" applyNumberFormat="1" applyFont="1" applyFill="1" applyBorder="1" applyAlignment="1" applyProtection="1">
      <alignment vertical="center"/>
      <protection locked="0"/>
    </xf>
    <xf numFmtId="3" fontId="117" fillId="24" borderId="104" xfId="0" applyNumberFormat="1" applyFont="1" applyFill="1" applyBorder="1" applyAlignment="1">
      <alignment horizontal="right" vertical="center" wrapText="1"/>
    </xf>
    <xf numFmtId="43" fontId="67" fillId="0" borderId="273" xfId="27" applyFont="1" applyBorder="1" applyAlignment="1"/>
    <xf numFmtId="0" fontId="68" fillId="24" borderId="179" xfId="0" applyFont="1" applyFill="1" applyBorder="1" applyAlignment="1">
      <alignment horizontal="left" vertical="top" wrapText="1"/>
    </xf>
    <xf numFmtId="43" fontId="67" fillId="0" borderId="279" xfId="27" applyFont="1" applyBorder="1" applyAlignment="1"/>
    <xf numFmtId="43" fontId="67" fillId="0" borderId="278" xfId="27" applyFont="1" applyBorder="1" applyAlignment="1"/>
    <xf numFmtId="43" fontId="67" fillId="0" borderId="280" xfId="27" applyFont="1" applyBorder="1"/>
    <xf numFmtId="41" fontId="0" fillId="0" borderId="0" xfId="0" applyNumberFormat="1" applyAlignment="1">
      <alignment vertical="top"/>
    </xf>
    <xf numFmtId="3" fontId="43" fillId="24" borderId="70" xfId="0" applyNumberFormat="1" applyFont="1" applyFill="1" applyBorder="1" applyAlignment="1">
      <alignment horizontal="center" vertical="center" wrapText="1"/>
    </xf>
    <xf numFmtId="3" fontId="29" fillId="24" borderId="281" xfId="0" applyNumberFormat="1" applyFont="1" applyFill="1" applyBorder="1" applyAlignment="1">
      <alignment vertical="center" wrapText="1"/>
    </xf>
    <xf numFmtId="0" fontId="0" fillId="0" borderId="149" xfId="0" applyBorder="1"/>
    <xf numFmtId="43" fontId="67" fillId="0" borderId="282" xfId="27" applyFont="1" applyBorder="1" applyAlignment="1"/>
    <xf numFmtId="0" fontId="0" fillId="0" borderId="262" xfId="0" applyBorder="1"/>
    <xf numFmtId="3" fontId="39" fillId="24" borderId="38" xfId="0" applyNumberFormat="1" applyFont="1" applyFill="1" applyBorder="1" applyAlignment="1">
      <alignment horizontal="right" vertical="center"/>
    </xf>
    <xf numFmtId="3" fontId="55" fillId="24" borderId="281" xfId="0" applyNumberFormat="1" applyFont="1" applyFill="1" applyBorder="1" applyAlignment="1">
      <alignment horizontal="right" vertical="center"/>
    </xf>
    <xf numFmtId="3" fontId="125" fillId="24" borderId="283" xfId="0" applyNumberFormat="1" applyFont="1" applyFill="1" applyBorder="1" applyAlignment="1">
      <alignment horizontal="right" vertical="center"/>
    </xf>
    <xf numFmtId="3" fontId="54" fillId="24" borderId="281" xfId="0" applyNumberFormat="1" applyFont="1" applyFill="1" applyBorder="1" applyAlignment="1">
      <alignment vertical="center" wrapText="1"/>
    </xf>
    <xf numFmtId="3" fontId="47" fillId="26" borderId="267" xfId="0" applyNumberFormat="1" applyFont="1" applyFill="1" applyBorder="1" applyAlignment="1">
      <alignment horizontal="center" vertical="center"/>
    </xf>
    <xf numFmtId="0" fontId="59" fillId="24" borderId="281" xfId="0" applyFont="1" applyFill="1" applyBorder="1" applyAlignment="1">
      <alignment vertical="center" wrapText="1"/>
    </xf>
    <xf numFmtId="3" fontId="182" fillId="0" borderId="0" xfId="0" applyNumberFormat="1" applyFont="1"/>
    <xf numFmtId="0" fontId="156" fillId="0" borderId="273" xfId="0" applyFont="1" applyBorder="1" applyAlignment="1">
      <alignment vertical="center"/>
    </xf>
    <xf numFmtId="3" fontId="28" fillId="24" borderId="281" xfId="0" applyNumberFormat="1" applyFont="1" applyFill="1" applyBorder="1" applyAlignment="1">
      <alignment horizontal="right" vertical="center"/>
    </xf>
    <xf numFmtId="3" fontId="125" fillId="24" borderId="283" xfId="0" applyNumberFormat="1" applyFont="1" applyFill="1" applyBorder="1" applyAlignment="1">
      <alignment vertical="center"/>
    </xf>
    <xf numFmtId="0" fontId="68" fillId="0" borderId="78" xfId="0" applyFont="1" applyBorder="1" applyAlignment="1">
      <alignment horizontal="left" vertical="top"/>
    </xf>
    <xf numFmtId="43" fontId="67" fillId="0" borderId="272" xfId="27" applyFont="1" applyBorder="1" applyAlignment="1"/>
    <xf numFmtId="0" fontId="68" fillId="0" borderId="67" xfId="0" applyFont="1" applyBorder="1" applyAlignment="1">
      <alignment horizontal="left" vertical="top"/>
    </xf>
    <xf numFmtId="0" fontId="0" fillId="0" borderId="278" xfId="0" applyBorder="1" applyAlignment="1">
      <alignment horizontal="center"/>
    </xf>
    <xf numFmtId="0" fontId="125" fillId="24" borderId="62" xfId="0" applyFont="1" applyFill="1" applyBorder="1" applyAlignment="1">
      <alignment horizontal="center" vertical="center"/>
    </xf>
    <xf numFmtId="0" fontId="117" fillId="24" borderId="50" xfId="0" applyFont="1" applyFill="1" applyBorder="1" applyAlignment="1">
      <alignment horizontal="left" vertical="center"/>
    </xf>
    <xf numFmtId="16" fontId="117" fillId="24" borderId="51" xfId="0" applyNumberFormat="1" applyFont="1" applyFill="1" applyBorder="1" applyAlignment="1">
      <alignment horizontal="right" vertical="center"/>
    </xf>
    <xf numFmtId="3" fontId="117" fillId="24" borderId="46" xfId="0" applyNumberFormat="1" applyFont="1" applyFill="1" applyBorder="1" applyAlignment="1">
      <alignment horizontal="center" vertical="center"/>
    </xf>
    <xf numFmtId="3" fontId="117" fillId="24" borderId="46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horizontal="center" vertical="center" wrapText="1"/>
    </xf>
    <xf numFmtId="3" fontId="125" fillId="0" borderId="283" xfId="0" applyNumberFormat="1" applyFont="1" applyBorder="1" applyAlignment="1">
      <alignment horizontal="center" vertical="center"/>
    </xf>
    <xf numFmtId="0" fontId="28" fillId="24" borderId="281" xfId="0" applyFont="1" applyFill="1" applyBorder="1" applyAlignment="1">
      <alignment horizontal="center" vertical="center"/>
    </xf>
    <xf numFmtId="3" fontId="29" fillId="24" borderId="281" xfId="0" applyNumberFormat="1" applyFont="1" applyFill="1" applyBorder="1" applyAlignment="1">
      <alignment horizontal="center" vertical="center"/>
    </xf>
    <xf numFmtId="190" fontId="29" fillId="24" borderId="46" xfId="0" applyNumberFormat="1" applyFont="1" applyFill="1" applyBorder="1" applyAlignment="1">
      <alignment vertical="center" wrapText="1"/>
    </xf>
    <xf numFmtId="190" fontId="39" fillId="24" borderId="46" xfId="0" applyNumberFormat="1" applyFont="1" applyFill="1" applyBorder="1" applyAlignment="1">
      <alignment vertical="center" wrapText="1"/>
    </xf>
    <xf numFmtId="190" fontId="4" fillId="24" borderId="46" xfId="0" applyNumberFormat="1" applyFont="1" applyFill="1" applyBorder="1" applyAlignment="1">
      <alignment vertical="center" wrapText="1"/>
    </xf>
    <xf numFmtId="190" fontId="39" fillId="24" borderId="46" xfId="27" applyNumberFormat="1" applyFont="1" applyFill="1" applyBorder="1" applyAlignment="1">
      <alignment vertical="center" wrapText="1"/>
    </xf>
    <xf numFmtId="190" fontId="39" fillId="24" borderId="104" xfId="0" applyNumberFormat="1" applyFont="1" applyFill="1" applyBorder="1" applyAlignment="1">
      <alignment vertical="center" wrapText="1"/>
    </xf>
    <xf numFmtId="190" fontId="54" fillId="24" borderId="104" xfId="0" applyNumberFormat="1" applyFont="1" applyFill="1" applyBorder="1" applyAlignment="1">
      <alignment vertical="center" wrapText="1"/>
    </xf>
    <xf numFmtId="190" fontId="54" fillId="24" borderId="42" xfId="0" applyNumberFormat="1" applyFont="1" applyFill="1" applyBorder="1" applyAlignment="1">
      <alignment vertical="center" wrapText="1"/>
    </xf>
    <xf numFmtId="190" fontId="54" fillId="24" borderId="42" xfId="27" applyNumberFormat="1" applyFont="1" applyFill="1" applyBorder="1" applyAlignment="1">
      <alignment vertical="center" wrapText="1"/>
    </xf>
    <xf numFmtId="190" fontId="54" fillId="24" borderId="281" xfId="0" applyNumberFormat="1" applyFont="1" applyFill="1" applyBorder="1" applyAlignment="1">
      <alignment vertical="center" wrapText="1"/>
    </xf>
    <xf numFmtId="4" fontId="39" fillId="24" borderId="216" xfId="0" applyNumberFormat="1" applyFont="1" applyFill="1" applyBorder="1" applyAlignment="1">
      <alignment vertical="center" wrapText="1"/>
    </xf>
    <xf numFmtId="4" fontId="29" fillId="51" borderId="267" xfId="0" applyNumberFormat="1" applyFont="1" applyFill="1" applyBorder="1" applyAlignment="1">
      <alignment vertical="center" wrapText="1"/>
    </xf>
    <xf numFmtId="0" fontId="75" fillId="37" borderId="192" xfId="0" applyFont="1" applyFill="1" applyBorder="1" applyAlignment="1">
      <alignment horizontal="right" shrinkToFit="1"/>
    </xf>
    <xf numFmtId="0" fontId="28" fillId="32" borderId="260" xfId="0" applyFont="1" applyFill="1" applyBorder="1" applyAlignment="1">
      <alignment horizontal="center" vertical="center"/>
    </xf>
    <xf numFmtId="0" fontId="131" fillId="32" borderId="13" xfId="0" applyFont="1" applyFill="1" applyBorder="1" applyAlignment="1">
      <alignment horizontal="center" vertical="center"/>
    </xf>
    <xf numFmtId="3" fontId="117" fillId="24" borderId="26" xfId="0" applyNumberFormat="1" applyFont="1" applyFill="1" applyBorder="1" applyAlignment="1">
      <alignment vertical="center" wrapText="1"/>
    </xf>
    <xf numFmtId="4" fontId="29" fillId="24" borderId="281" xfId="0" applyNumberFormat="1" applyFont="1" applyFill="1" applyBorder="1" applyAlignment="1">
      <alignment vertical="center" wrapText="1"/>
    </xf>
    <xf numFmtId="4" fontId="29" fillId="24" borderId="281" xfId="27" applyNumberFormat="1" applyFont="1" applyFill="1" applyBorder="1" applyAlignment="1">
      <alignment vertical="center" wrapText="1"/>
    </xf>
    <xf numFmtId="3" fontId="125" fillId="24" borderId="221" xfId="0" applyNumberFormat="1" applyFont="1" applyFill="1" applyBorder="1" applyAlignment="1">
      <alignment horizontal="center" vertical="center"/>
    </xf>
    <xf numFmtId="4" fontId="29" fillId="24" borderId="216" xfId="27" applyNumberFormat="1" applyFont="1" applyFill="1" applyBorder="1" applyAlignment="1">
      <alignment vertical="center" wrapText="1"/>
    </xf>
    <xf numFmtId="3" fontId="125" fillId="0" borderId="273" xfId="0" applyNumberFormat="1" applyFont="1" applyBorder="1" applyAlignment="1">
      <alignment horizontal="center" vertical="center"/>
    </xf>
    <xf numFmtId="3" fontId="54" fillId="24" borderId="251" xfId="0" applyNumberFormat="1" applyFont="1" applyFill="1" applyBorder="1" applyAlignment="1">
      <alignment vertical="center" wrapText="1"/>
    </xf>
    <xf numFmtId="4" fontId="39" fillId="32" borderId="0" xfId="0" applyNumberFormat="1" applyFont="1" applyFill="1" applyAlignment="1">
      <alignment horizontal="center" vertical="center"/>
    </xf>
    <xf numFmtId="3" fontId="28" fillId="24" borderId="281" xfId="0" applyNumberFormat="1" applyFont="1" applyFill="1" applyBorder="1" applyAlignment="1">
      <alignment horizontal="center" vertical="center"/>
    </xf>
    <xf numFmtId="191" fontId="28" fillId="24" borderId="31" xfId="0" applyNumberFormat="1" applyFont="1" applyFill="1" applyBorder="1" applyAlignment="1">
      <alignment horizontal="right" vertical="center"/>
    </xf>
    <xf numFmtId="4" fontId="31" fillId="32" borderId="0" xfId="0" applyNumberFormat="1" applyFont="1" applyFill="1" applyAlignment="1">
      <alignment vertical="center"/>
    </xf>
    <xf numFmtId="4" fontId="38" fillId="32" borderId="0" xfId="0" quotePrefix="1" applyNumberFormat="1" applyFont="1" applyFill="1" applyAlignment="1">
      <alignment horizontal="center" vertical="center"/>
    </xf>
    <xf numFmtId="3" fontId="43" fillId="24" borderId="216" xfId="0" applyNumberFormat="1" applyFont="1" applyFill="1" applyBorder="1" applyAlignment="1">
      <alignment horizontal="center" vertical="center"/>
    </xf>
    <xf numFmtId="4" fontId="39" fillId="24" borderId="42" xfId="0" applyNumberFormat="1" applyFont="1" applyFill="1" applyBorder="1" applyAlignment="1">
      <alignment vertical="center" wrapText="1"/>
    </xf>
    <xf numFmtId="3" fontId="43" fillId="24" borderId="42" xfId="0" applyNumberFormat="1" applyFont="1" applyFill="1" applyBorder="1" applyAlignment="1">
      <alignment horizontal="center" vertical="center"/>
    </xf>
    <xf numFmtId="3" fontId="125" fillId="24" borderId="175" xfId="0" applyNumberFormat="1" applyFont="1" applyFill="1" applyBorder="1" applyAlignment="1">
      <alignment horizontal="right" vertical="center"/>
    </xf>
    <xf numFmtId="3" fontId="29" fillId="24" borderId="281" xfId="27" applyNumberFormat="1" applyFont="1" applyFill="1" applyBorder="1" applyAlignment="1">
      <alignment vertical="center" wrapText="1"/>
    </xf>
    <xf numFmtId="3" fontId="29" fillId="32" borderId="281" xfId="0" applyNumberFormat="1" applyFont="1" applyFill="1" applyBorder="1" applyAlignment="1">
      <alignment vertical="center" wrapText="1"/>
    </xf>
    <xf numFmtId="4" fontId="39" fillId="24" borderId="281" xfId="0" applyNumberFormat="1" applyFont="1" applyFill="1" applyBorder="1" applyAlignment="1">
      <alignment vertical="center" wrapText="1"/>
    </xf>
    <xf numFmtId="3" fontId="43" fillId="24" borderId="281" xfId="0" applyNumberFormat="1" applyFont="1" applyFill="1" applyBorder="1" applyAlignment="1">
      <alignment horizontal="center" vertical="center"/>
    </xf>
    <xf numFmtId="3" fontId="43" fillId="24" borderId="281" xfId="0" applyNumberFormat="1" applyFont="1" applyFill="1" applyBorder="1" applyAlignment="1">
      <alignment horizontal="right" vertical="center"/>
    </xf>
    <xf numFmtId="3" fontId="28" fillId="26" borderId="267" xfId="0" applyNumberFormat="1" applyFont="1" applyFill="1" applyBorder="1" applyAlignment="1">
      <alignment horizontal="right" vertical="center"/>
    </xf>
    <xf numFmtId="3" fontId="28" fillId="26" borderId="267" xfId="0" applyNumberFormat="1" applyFont="1" applyFill="1" applyBorder="1" applyAlignment="1">
      <alignment horizontal="center" vertical="center"/>
    </xf>
    <xf numFmtId="3" fontId="125" fillId="26" borderId="267" xfId="0" applyNumberFormat="1" applyFont="1" applyFill="1" applyBorder="1" applyAlignment="1">
      <alignment horizontal="right" vertical="center"/>
    </xf>
    <xf numFmtId="3" fontId="125" fillId="26" borderId="285" xfId="0" applyNumberFormat="1" applyFont="1" applyFill="1" applyBorder="1" applyAlignment="1">
      <alignment horizontal="center" vertical="center" wrapText="1"/>
    </xf>
    <xf numFmtId="4" fontId="0" fillId="0" borderId="0" xfId="0" applyNumberFormat="1" applyAlignment="1">
      <alignment vertical="top"/>
    </xf>
    <xf numFmtId="3" fontId="39" fillId="32" borderId="31" xfId="0" applyNumberFormat="1" applyFont="1" applyFill="1" applyBorder="1" applyAlignment="1">
      <alignment vertical="center" wrapText="1"/>
    </xf>
    <xf numFmtId="4" fontId="39" fillId="24" borderId="189" xfId="0" applyNumberFormat="1" applyFont="1" applyFill="1" applyBorder="1" applyAlignment="1">
      <alignment vertical="center" wrapText="1"/>
    </xf>
    <xf numFmtId="3" fontId="43" fillId="24" borderId="189" xfId="0" applyNumberFormat="1" applyFont="1" applyFill="1" applyBorder="1" applyAlignment="1">
      <alignment horizontal="center" vertical="center"/>
    </xf>
    <xf numFmtId="3" fontId="43" fillId="24" borderId="189" xfId="0" applyNumberFormat="1" applyFont="1" applyFill="1" applyBorder="1" applyAlignment="1">
      <alignment horizontal="right" vertical="center"/>
    </xf>
    <xf numFmtId="16" fontId="29" fillId="24" borderId="45" xfId="0" applyNumberFormat="1" applyFont="1" applyFill="1" applyBorder="1" applyAlignment="1">
      <alignment horizontal="right" vertical="center"/>
    </xf>
    <xf numFmtId="3" fontId="29" fillId="24" borderId="42" xfId="0" applyNumberFormat="1" applyFont="1" applyFill="1" applyBorder="1" applyAlignment="1">
      <alignment horizontal="center" vertical="center"/>
    </xf>
    <xf numFmtId="3" fontId="29" fillId="24" borderId="42" xfId="0" applyNumberFormat="1" applyFont="1" applyFill="1" applyBorder="1" applyAlignment="1">
      <alignment vertical="center" wrapText="1"/>
    </xf>
    <xf numFmtId="3" fontId="29" fillId="24" borderId="42" xfId="27" applyNumberFormat="1" applyFont="1" applyFill="1" applyBorder="1" applyAlignment="1">
      <alignment vertical="center" wrapText="1"/>
    </xf>
    <xf numFmtId="3" fontId="29" fillId="32" borderId="42" xfId="0" applyNumberFormat="1" applyFont="1" applyFill="1" applyBorder="1" applyAlignment="1">
      <alignment vertical="center" wrapText="1"/>
    </xf>
    <xf numFmtId="3" fontId="124" fillId="0" borderId="283" xfId="0" applyNumberFormat="1" applyFont="1" applyBorder="1" applyAlignment="1">
      <alignment horizontal="center" vertical="center"/>
    </xf>
    <xf numFmtId="0" fontId="119" fillId="24" borderId="48" xfId="0" applyFont="1" applyFill="1" applyBorder="1" applyAlignment="1">
      <alignment horizontal="left" vertical="center"/>
    </xf>
    <xf numFmtId="3" fontId="47" fillId="26" borderId="287" xfId="0" applyNumberFormat="1" applyFont="1" applyFill="1" applyBorder="1" applyAlignment="1">
      <alignment horizontal="center" vertical="center"/>
    </xf>
    <xf numFmtId="3" fontId="47" fillId="26" borderId="59" xfId="0" applyNumberFormat="1" applyFont="1" applyFill="1" applyBorder="1" applyAlignment="1">
      <alignment horizontal="center" vertical="center"/>
    </xf>
    <xf numFmtId="0" fontId="28" fillId="24" borderId="288" xfId="0" applyFont="1" applyFill="1" applyBorder="1" applyAlignment="1">
      <alignment horizontal="center" vertical="center"/>
    </xf>
    <xf numFmtId="0" fontId="67" fillId="0" borderId="290" xfId="0" applyFont="1" applyBorder="1" applyAlignment="1">
      <alignment horizontal="center" vertical="center"/>
    </xf>
    <xf numFmtId="43" fontId="68" fillId="0" borderId="291" xfId="27" applyFont="1" applyBorder="1" applyAlignment="1">
      <alignment vertical="center"/>
    </xf>
    <xf numFmtId="0" fontId="0" fillId="0" borderId="77" xfId="0" applyBorder="1"/>
    <xf numFmtId="43" fontId="67" fillId="0" borderId="292" xfId="27" applyFont="1" applyBorder="1" applyAlignment="1"/>
    <xf numFmtId="43" fontId="67" fillId="0" borderId="293" xfId="27" applyFont="1" applyBorder="1" applyAlignment="1"/>
    <xf numFmtId="0" fontId="165" fillId="24" borderId="0" xfId="0" applyFont="1" applyFill="1" applyAlignment="1">
      <alignment horizontal="center"/>
    </xf>
    <xf numFmtId="3" fontId="39" fillId="24" borderId="246" xfId="0" applyNumberFormat="1" applyFont="1" applyFill="1" applyBorder="1" applyAlignment="1">
      <alignment vertical="center" wrapText="1"/>
    </xf>
    <xf numFmtId="3" fontId="39" fillId="24" borderId="32" xfId="27" applyNumberFormat="1" applyFont="1" applyFill="1" applyBorder="1" applyAlignment="1">
      <alignment vertical="center" wrapText="1"/>
    </xf>
    <xf numFmtId="3" fontId="39" fillId="24" borderId="294" xfId="0" applyNumberFormat="1" applyFont="1" applyFill="1" applyBorder="1" applyAlignment="1">
      <alignment vertical="center" wrapText="1"/>
    </xf>
    <xf numFmtId="3" fontId="28" fillId="24" borderId="25" xfId="0" applyNumberFormat="1" applyFont="1" applyFill="1" applyBorder="1" applyAlignment="1">
      <alignment horizontal="center" vertical="center"/>
    </xf>
    <xf numFmtId="3" fontId="125" fillId="24" borderId="223" xfId="0" applyNumberFormat="1" applyFont="1" applyFill="1" applyBorder="1" applyAlignment="1">
      <alignment horizontal="center" vertical="center"/>
    </xf>
    <xf numFmtId="3" fontId="54" fillId="24" borderId="281" xfId="0" applyNumberFormat="1" applyFont="1" applyFill="1" applyBorder="1" applyAlignment="1">
      <alignment horizontal="right" vertical="center" wrapText="1"/>
    </xf>
    <xf numFmtId="3" fontId="54" fillId="32" borderId="31" xfId="27" applyNumberFormat="1" applyFont="1" applyFill="1" applyBorder="1" applyAlignment="1">
      <alignment horizontal="right" vertical="center" wrapText="1"/>
    </xf>
    <xf numFmtId="0" fontId="29" fillId="24" borderId="50" xfId="0" applyFont="1" applyFill="1" applyBorder="1" applyAlignment="1">
      <alignment horizontal="left" vertical="center"/>
    </xf>
    <xf numFmtId="16" fontId="29" fillId="24" borderId="51" xfId="0" applyNumberFormat="1" applyFont="1" applyFill="1" applyBorder="1" applyAlignment="1">
      <alignment horizontal="right" vertical="center"/>
    </xf>
    <xf numFmtId="3" fontId="29" fillId="24" borderId="46" xfId="0" applyNumberFormat="1" applyFont="1" applyFill="1" applyBorder="1" applyAlignment="1">
      <alignment horizontal="center" vertical="center"/>
    </xf>
    <xf numFmtId="0" fontId="43" fillId="24" borderId="251" xfId="0" applyFont="1" applyFill="1" applyBorder="1" applyAlignment="1">
      <alignment horizontal="center" vertical="center"/>
    </xf>
    <xf numFmtId="0" fontId="43" fillId="24" borderId="281" xfId="0" applyFont="1" applyFill="1" applyBorder="1" applyAlignment="1">
      <alignment horizontal="center" vertical="center"/>
    </xf>
    <xf numFmtId="167" fontId="29" fillId="24" borderId="26" xfId="0" applyNumberFormat="1" applyFont="1" applyFill="1" applyBorder="1" applyAlignment="1">
      <alignment horizontal="center" vertical="center"/>
    </xf>
    <xf numFmtId="167" fontId="119" fillId="24" borderId="26" xfId="0" applyNumberFormat="1" applyFont="1" applyFill="1" applyBorder="1" applyAlignment="1">
      <alignment horizontal="center" vertical="center"/>
    </xf>
    <xf numFmtId="167" fontId="29" fillId="24" borderId="216" xfId="0" applyNumberFormat="1" applyFont="1" applyFill="1" applyBorder="1" applyAlignment="1">
      <alignment horizontal="center" vertical="center"/>
    </xf>
    <xf numFmtId="4" fontId="153" fillId="45" borderId="0" xfId="0" applyNumberFormat="1" applyFont="1" applyFill="1"/>
    <xf numFmtId="3" fontId="55" fillId="32" borderId="52" xfId="0" applyNumberFormat="1" applyFont="1" applyFill="1" applyBorder="1" applyAlignment="1">
      <alignment horizontal="right" vertical="center" wrapText="1"/>
    </xf>
    <xf numFmtId="0" fontId="55" fillId="24" borderId="251" xfId="0" applyFont="1" applyFill="1" applyBorder="1" applyAlignment="1">
      <alignment horizontal="center" vertical="center"/>
    </xf>
    <xf numFmtId="3" fontId="54" fillId="24" borderId="189" xfId="0" applyNumberFormat="1" applyFont="1" applyFill="1" applyBorder="1" applyAlignment="1">
      <alignment vertical="center" wrapText="1"/>
    </xf>
    <xf numFmtId="0" fontId="55" fillId="24" borderId="281" xfId="0" applyFont="1" applyFill="1" applyBorder="1" applyAlignment="1">
      <alignment horizontal="center" vertical="center"/>
    </xf>
    <xf numFmtId="3" fontId="54" fillId="24" borderId="281" xfId="0" applyNumberFormat="1" applyFont="1" applyFill="1" applyBorder="1" applyAlignment="1">
      <alignment horizontal="center" vertical="center"/>
    </xf>
    <xf numFmtId="165" fontId="39" fillId="24" borderId="31" xfId="0" applyNumberFormat="1" applyFont="1" applyFill="1" applyBorder="1" applyAlignment="1">
      <alignment vertical="center" wrapText="1"/>
    </xf>
    <xf numFmtId="3" fontId="52" fillId="32" borderId="21" xfId="0" applyNumberFormat="1" applyFont="1" applyFill="1" applyBorder="1" applyAlignment="1">
      <alignment vertical="center" wrapText="1"/>
    </xf>
    <xf numFmtId="3" fontId="125" fillId="0" borderId="295" xfId="0" applyNumberFormat="1" applyFont="1" applyBorder="1" applyAlignment="1">
      <alignment horizontal="center" vertical="center"/>
    </xf>
    <xf numFmtId="3" fontId="29" fillId="24" borderId="251" xfId="0" applyNumberFormat="1" applyFont="1" applyFill="1" applyBorder="1" applyAlignment="1">
      <alignment horizontal="center" vertical="center" wrapText="1"/>
    </xf>
    <xf numFmtId="3" fontId="29" fillId="24" borderId="189" xfId="0" applyNumberFormat="1" applyFont="1" applyFill="1" applyBorder="1" applyAlignment="1">
      <alignment horizontal="center" vertical="center" wrapText="1"/>
    </xf>
    <xf numFmtId="3" fontId="29" fillId="24" borderId="281" xfId="0" applyNumberFormat="1" applyFont="1" applyFill="1" applyBorder="1" applyAlignment="1">
      <alignment horizontal="center" vertical="center" wrapText="1"/>
    </xf>
    <xf numFmtId="4" fontId="38" fillId="24" borderId="39" xfId="0" applyNumberFormat="1" applyFont="1" applyFill="1" applyBorder="1" applyAlignment="1">
      <alignment horizontal="right" vertical="center"/>
    </xf>
    <xf numFmtId="4" fontId="29" fillId="24" borderId="189" xfId="0" applyNumberFormat="1" applyFont="1" applyFill="1" applyBorder="1" applyAlignment="1">
      <alignment horizontal="center" vertical="center" wrapText="1"/>
    </xf>
    <xf numFmtId="4" fontId="66" fillId="24" borderId="189" xfId="27" applyNumberFormat="1" applyFont="1" applyFill="1" applyBorder="1" applyAlignment="1">
      <alignment horizontal="center" vertical="center" wrapText="1"/>
    </xf>
    <xf numFmtId="4" fontId="29" fillId="24" borderId="281" xfId="0" applyNumberFormat="1" applyFont="1" applyFill="1" applyBorder="1" applyAlignment="1">
      <alignment horizontal="center" vertical="center" wrapText="1"/>
    </xf>
    <xf numFmtId="4" fontId="66" fillId="24" borderId="281" xfId="27" applyNumberFormat="1" applyFont="1" applyFill="1" applyBorder="1" applyAlignment="1">
      <alignment horizontal="center" vertical="center" wrapText="1"/>
    </xf>
    <xf numFmtId="4" fontId="5" fillId="26" borderId="53" xfId="0" applyNumberFormat="1" applyFont="1" applyFill="1" applyBorder="1" applyAlignment="1">
      <alignment horizontal="center" vertical="center"/>
    </xf>
    <xf numFmtId="0" fontId="129" fillId="24" borderId="31" xfId="0" applyFont="1" applyFill="1" applyBorder="1" applyAlignment="1">
      <alignment horizontal="center" vertical="center" wrapText="1"/>
    </xf>
    <xf numFmtId="16" fontId="183" fillId="24" borderId="39" xfId="0" applyNumberFormat="1" applyFont="1" applyFill="1" applyBorder="1" applyAlignment="1">
      <alignment horizontal="right" vertical="center"/>
    </xf>
    <xf numFmtId="4" fontId="183" fillId="24" borderId="39" xfId="0" applyNumberFormat="1" applyFont="1" applyFill="1" applyBorder="1" applyAlignment="1">
      <alignment horizontal="right" vertical="center"/>
    </xf>
    <xf numFmtId="3" fontId="5" fillId="26" borderId="21" xfId="0" applyNumberFormat="1" applyFont="1" applyFill="1" applyBorder="1" applyAlignment="1">
      <alignment horizontal="center" vertical="center" wrapText="1"/>
    </xf>
    <xf numFmtId="0" fontId="43" fillId="24" borderId="189" xfId="0" applyFont="1" applyFill="1" applyBorder="1" applyAlignment="1">
      <alignment horizontal="center" vertical="center"/>
    </xf>
    <xf numFmtId="3" fontId="5" fillId="24" borderId="216" xfId="0" applyNumberFormat="1" applyFont="1" applyFill="1" applyBorder="1" applyAlignment="1">
      <alignment horizontal="right" vertical="center"/>
    </xf>
    <xf numFmtId="3" fontId="5" fillId="24" borderId="0" xfId="0" applyNumberFormat="1" applyFont="1" applyFill="1" applyAlignment="1">
      <alignment horizontal="center" vertical="center"/>
    </xf>
    <xf numFmtId="3" fontId="124" fillId="24" borderId="221" xfId="0" applyNumberFormat="1" applyFont="1" applyFill="1" applyBorder="1" applyAlignment="1">
      <alignment horizontal="center" vertical="center"/>
    </xf>
    <xf numFmtId="171" fontId="153" fillId="0" borderId="296" xfId="27" applyNumberFormat="1" applyFont="1" applyBorder="1" applyAlignment="1">
      <alignment horizontal="left"/>
    </xf>
    <xf numFmtId="3" fontId="28" fillId="32" borderId="267" xfId="27" applyNumberFormat="1" applyFont="1" applyFill="1" applyBorder="1" applyAlignment="1">
      <alignment vertical="center" wrapText="1"/>
    </xf>
    <xf numFmtId="3" fontId="28" fillId="32" borderId="246" xfId="27" applyNumberFormat="1" applyFont="1" applyFill="1" applyBorder="1" applyAlignment="1">
      <alignment vertical="center" wrapText="1"/>
    </xf>
    <xf numFmtId="4" fontId="184" fillId="0" borderId="0" xfId="0" applyNumberFormat="1" applyFont="1" applyAlignment="1">
      <alignment vertical="top"/>
    </xf>
    <xf numFmtId="3" fontId="54" fillId="24" borderId="216" xfId="0" applyNumberFormat="1" applyFont="1" applyFill="1" applyBorder="1" applyAlignment="1">
      <alignment horizontal="right" vertical="center" wrapText="1"/>
    </xf>
    <xf numFmtId="3" fontId="54" fillId="24" borderId="209" xfId="0" applyNumberFormat="1" applyFont="1" applyFill="1" applyBorder="1" applyAlignment="1">
      <alignment horizontal="right" vertical="center" wrapText="1"/>
    </xf>
    <xf numFmtId="43" fontId="138" fillId="0" borderId="139" xfId="27" applyFont="1" applyBorder="1"/>
    <xf numFmtId="43" fontId="138" fillId="0" borderId="139" xfId="27" applyFont="1" applyBorder="1" applyAlignment="1">
      <alignment horizontal="right"/>
    </xf>
    <xf numFmtId="167" fontId="75" fillId="32" borderId="179" xfId="0" applyNumberFormat="1" applyFont="1" applyFill="1" applyBorder="1" applyAlignment="1">
      <alignment horizontal="center" vertical="center"/>
    </xf>
    <xf numFmtId="0" fontId="55" fillId="24" borderId="25" xfId="0" applyFont="1" applyFill="1" applyBorder="1" applyAlignment="1">
      <alignment horizontal="left" vertical="center"/>
    </xf>
    <xf numFmtId="3" fontId="125" fillId="0" borderId="274" xfId="0" applyNumberFormat="1" applyFont="1" applyBorder="1" applyAlignment="1">
      <alignment horizontal="center" vertical="center"/>
    </xf>
    <xf numFmtId="4" fontId="43" fillId="0" borderId="0" xfId="0" applyNumberFormat="1" applyFont="1" applyAlignment="1">
      <alignment vertical="center" wrapText="1"/>
    </xf>
    <xf numFmtId="3" fontId="54" fillId="32" borderId="184" xfId="0" applyNumberFormat="1" applyFont="1" applyFill="1" applyBorder="1" applyAlignment="1">
      <alignment horizontal="right" vertical="center" wrapText="1"/>
    </xf>
    <xf numFmtId="171" fontId="153" fillId="37" borderId="0" xfId="0" applyNumberFormat="1" applyFont="1" applyFill="1" applyAlignment="1">
      <alignment horizontal="center"/>
    </xf>
    <xf numFmtId="179" fontId="149" fillId="0" borderId="0" xfId="0" applyNumberFormat="1" applyFont="1" applyAlignment="1">
      <alignment vertical="top"/>
    </xf>
    <xf numFmtId="0" fontId="59" fillId="24" borderId="110" xfId="0" applyFont="1" applyFill="1" applyBorder="1" applyAlignment="1">
      <alignment horizontal="center" vertical="center"/>
    </xf>
    <xf numFmtId="0" fontId="59" fillId="24" borderId="63" xfId="0" applyFont="1" applyFill="1" applyBorder="1" applyAlignment="1">
      <alignment horizontal="center" vertical="center"/>
    </xf>
    <xf numFmtId="3" fontId="59" fillId="24" borderId="63" xfId="0" applyNumberFormat="1" applyFont="1" applyFill="1" applyBorder="1" applyAlignment="1">
      <alignment horizontal="center" vertical="center" wrapText="1"/>
    </xf>
    <xf numFmtId="0" fontId="59" fillId="24" borderId="63" xfId="0" applyFont="1" applyFill="1" applyBorder="1" applyAlignment="1">
      <alignment horizontal="center" vertical="center" wrapText="1"/>
    </xf>
    <xf numFmtId="3" fontId="59" fillId="24" borderId="64" xfId="0" applyNumberFormat="1" applyFont="1" applyFill="1" applyBorder="1" applyAlignment="1">
      <alignment horizontal="center" vertical="center" wrapText="1"/>
    </xf>
    <xf numFmtId="0" fontId="59" fillId="24" borderId="88" xfId="0" applyFont="1" applyFill="1" applyBorder="1" applyAlignment="1">
      <alignment horizontal="center" vertical="center" wrapText="1"/>
    </xf>
    <xf numFmtId="3" fontId="59" fillId="26" borderId="61" xfId="0" applyNumberFormat="1" applyFont="1" applyFill="1" applyBorder="1" applyAlignment="1">
      <alignment horizontal="center" vertical="center"/>
    </xf>
    <xf numFmtId="3" fontId="59" fillId="26" borderId="19" xfId="0" applyNumberFormat="1" applyFont="1" applyFill="1" applyBorder="1" applyAlignment="1">
      <alignment horizontal="center" vertical="center"/>
    </xf>
    <xf numFmtId="3" fontId="59" fillId="24" borderId="64" xfId="0" applyNumberFormat="1" applyFont="1" applyFill="1" applyBorder="1" applyAlignment="1">
      <alignment horizontal="center" vertical="center"/>
    </xf>
    <xf numFmtId="3" fontId="59" fillId="24" borderId="88" xfId="0" applyNumberFormat="1" applyFont="1" applyFill="1" applyBorder="1" applyAlignment="1">
      <alignment horizontal="center" vertical="center"/>
    </xf>
    <xf numFmtId="3" fontId="59" fillId="24" borderId="65" xfId="0" applyNumberFormat="1" applyFont="1" applyFill="1" applyBorder="1" applyAlignment="1">
      <alignment horizontal="center" vertical="center"/>
    </xf>
    <xf numFmtId="0" fontId="59" fillId="24" borderId="30" xfId="0" applyFont="1" applyFill="1" applyBorder="1" applyAlignment="1">
      <alignment horizontal="left" vertical="center" wrapText="1"/>
    </xf>
    <xf numFmtId="0" fontId="59" fillId="24" borderId="33" xfId="0" applyFont="1" applyFill="1" applyBorder="1" applyAlignment="1">
      <alignment horizontal="left" vertical="center" wrapText="1"/>
    </xf>
    <xf numFmtId="0" fontId="59" fillId="24" borderId="64" xfId="0" applyFont="1" applyFill="1" applyBorder="1" applyAlignment="1">
      <alignment horizontal="center" vertical="center" wrapText="1"/>
    </xf>
    <xf numFmtId="0" fontId="59" fillId="24" borderId="65" xfId="0" applyFont="1" applyFill="1" applyBorder="1" applyAlignment="1">
      <alignment horizontal="center" vertical="center" wrapText="1"/>
    </xf>
    <xf numFmtId="0" fontId="59" fillId="24" borderId="29" xfId="0" applyFont="1" applyFill="1" applyBorder="1" applyAlignment="1">
      <alignment vertical="center" wrapText="1"/>
    </xf>
    <xf numFmtId="0" fontId="59" fillId="24" borderId="32" xfId="0" applyFont="1" applyFill="1" applyBorder="1" applyAlignment="1">
      <alignment vertical="center" wrapText="1"/>
    </xf>
    <xf numFmtId="0" fontId="59" fillId="24" borderId="42" xfId="0" applyFont="1" applyFill="1" applyBorder="1" applyAlignment="1">
      <alignment vertical="center" wrapText="1"/>
    </xf>
    <xf numFmtId="0" fontId="59" fillId="24" borderId="30" xfId="0" applyFont="1" applyFill="1" applyBorder="1" applyAlignment="1">
      <alignment horizontal="left" vertical="center"/>
    </xf>
    <xf numFmtId="0" fontId="59" fillId="24" borderId="33" xfId="0" applyFont="1" applyFill="1" applyBorder="1" applyAlignment="1">
      <alignment horizontal="left" vertical="center"/>
    </xf>
    <xf numFmtId="0" fontId="59" fillId="24" borderId="188" xfId="0" applyFont="1" applyFill="1" applyBorder="1" applyAlignment="1">
      <alignment horizontal="left" vertical="center"/>
    </xf>
    <xf numFmtId="0" fontId="59" fillId="24" borderId="177" xfId="0" applyFont="1" applyFill="1" applyBorder="1" applyAlignment="1">
      <alignment horizontal="left" vertical="center"/>
    </xf>
    <xf numFmtId="0" fontId="58" fillId="26" borderId="61" xfId="0" applyFont="1" applyFill="1" applyBorder="1" applyAlignment="1">
      <alignment horizontal="center" vertical="center"/>
    </xf>
    <xf numFmtId="0" fontId="58" fillId="26" borderId="19" xfId="0" applyFont="1" applyFill="1" applyBorder="1" applyAlignment="1">
      <alignment horizontal="center" vertical="center"/>
    </xf>
    <xf numFmtId="0" fontId="58" fillId="24" borderId="110" xfId="0" applyFont="1" applyFill="1" applyBorder="1" applyAlignment="1">
      <alignment horizontal="center" vertical="center"/>
    </xf>
    <xf numFmtId="0" fontId="58" fillId="24" borderId="63" xfId="0" applyFont="1" applyFill="1" applyBorder="1" applyAlignment="1">
      <alignment horizontal="center" vertical="center"/>
    </xf>
    <xf numFmtId="0" fontId="58" fillId="24" borderId="66" xfId="0" applyFont="1" applyFill="1" applyBorder="1" applyAlignment="1">
      <alignment horizontal="center" vertical="center"/>
    </xf>
    <xf numFmtId="0" fontId="58" fillId="24" borderId="30" xfId="0" applyFont="1" applyFill="1" applyBorder="1" applyAlignment="1">
      <alignment horizontal="left" vertical="center"/>
    </xf>
    <xf numFmtId="0" fontId="58" fillId="24" borderId="33" xfId="0" applyFont="1" applyFill="1" applyBorder="1" applyAlignment="1">
      <alignment horizontal="left" vertical="center"/>
    </xf>
    <xf numFmtId="0" fontId="58" fillId="24" borderId="22" xfId="0" applyFont="1" applyFill="1" applyBorder="1" applyAlignment="1">
      <alignment horizontal="left" vertical="center"/>
    </xf>
    <xf numFmtId="0" fontId="58" fillId="24" borderId="29" xfId="0" applyFont="1" applyFill="1" applyBorder="1" applyAlignment="1">
      <alignment horizontal="center" vertical="center"/>
    </xf>
    <xf numFmtId="0" fontId="58" fillId="24" borderId="32" xfId="0" applyFont="1" applyFill="1" applyBorder="1" applyAlignment="1">
      <alignment horizontal="center" vertical="center"/>
    </xf>
    <xf numFmtId="0" fontId="58" fillId="24" borderId="42" xfId="0" applyFont="1" applyFill="1" applyBorder="1" applyAlignment="1">
      <alignment horizontal="center" vertical="center"/>
    </xf>
    <xf numFmtId="3" fontId="28" fillId="51" borderId="269" xfId="0" applyNumberFormat="1" applyFont="1" applyFill="1" applyBorder="1" applyAlignment="1">
      <alignment horizontal="center" vertical="center"/>
    </xf>
    <xf numFmtId="3" fontId="28" fillId="51" borderId="256" xfId="0" applyNumberFormat="1" applyFont="1" applyFill="1" applyBorder="1" applyAlignment="1">
      <alignment horizontal="center" vertical="center"/>
    </xf>
    <xf numFmtId="3" fontId="28" fillId="51" borderId="270" xfId="0" applyNumberFormat="1" applyFont="1" applyFill="1" applyBorder="1" applyAlignment="1">
      <alignment horizontal="center" vertical="center"/>
    </xf>
    <xf numFmtId="0" fontId="58" fillId="51" borderId="61" xfId="0" applyFont="1" applyFill="1" applyBorder="1" applyAlignment="1">
      <alignment horizontal="left" vertical="center"/>
    </xf>
    <xf numFmtId="0" fontId="58" fillId="51" borderId="19" xfId="0" applyFont="1" applyFill="1" applyBorder="1" applyAlignment="1">
      <alignment horizontal="left" vertical="center"/>
    </xf>
    <xf numFmtId="0" fontId="28" fillId="26" borderId="23" xfId="0" applyFont="1" applyFill="1" applyBorder="1" applyAlignment="1">
      <alignment horizontal="center" vertical="center"/>
    </xf>
    <xf numFmtId="0" fontId="28" fillId="26" borderId="19" xfId="0" applyFont="1" applyFill="1" applyBorder="1" applyAlignment="1">
      <alignment horizontal="center" vertical="center"/>
    </xf>
    <xf numFmtId="4" fontId="43" fillId="25" borderId="23" xfId="0" applyNumberFormat="1" applyFont="1" applyFill="1" applyBorder="1" applyAlignment="1">
      <alignment horizontal="center" vertical="center" wrapText="1"/>
    </xf>
    <xf numFmtId="4" fontId="43" fillId="25" borderId="19" xfId="0" applyNumberFormat="1" applyFont="1" applyFill="1" applyBorder="1" applyAlignment="1">
      <alignment horizontal="center" vertical="center" wrapText="1"/>
    </xf>
    <xf numFmtId="4" fontId="43" fillId="25" borderId="53" xfId="0" applyNumberFormat="1" applyFont="1" applyFill="1" applyBorder="1" applyAlignment="1">
      <alignment horizontal="center" vertical="center" wrapText="1"/>
    </xf>
    <xf numFmtId="4" fontId="43" fillId="25" borderId="22" xfId="0" applyNumberFormat="1" applyFont="1" applyFill="1" applyBorder="1" applyAlignment="1">
      <alignment horizontal="center" vertical="center" wrapText="1"/>
    </xf>
    <xf numFmtId="4" fontId="43" fillId="25" borderId="59" xfId="0" applyNumberFormat="1" applyFont="1" applyFill="1" applyBorder="1" applyAlignment="1">
      <alignment horizontal="center" vertical="center" wrapText="1"/>
    </xf>
    <xf numFmtId="4" fontId="43" fillId="25" borderId="45" xfId="0" applyNumberFormat="1" applyFont="1" applyFill="1" applyBorder="1" applyAlignment="1">
      <alignment horizontal="center" vertical="center" wrapText="1"/>
    </xf>
    <xf numFmtId="0" fontId="58" fillId="24" borderId="29" xfId="0" applyFont="1" applyFill="1" applyBorder="1" applyAlignment="1">
      <alignment horizontal="left" vertical="center"/>
    </xf>
    <xf numFmtId="0" fontId="58" fillId="24" borderId="42" xfId="0" applyFont="1" applyFill="1" applyBorder="1" applyAlignment="1">
      <alignment horizontal="left" vertical="center"/>
    </xf>
    <xf numFmtId="0" fontId="58" fillId="0" borderId="64" xfId="0" applyFont="1" applyBorder="1" applyAlignment="1">
      <alignment horizontal="center" vertical="center"/>
    </xf>
    <xf numFmtId="0" fontId="58" fillId="0" borderId="88" xfId="0" applyFont="1" applyBorder="1" applyAlignment="1">
      <alignment horizontal="center" vertical="center"/>
    </xf>
    <xf numFmtId="0" fontId="58" fillId="0" borderId="65" xfId="0" applyFont="1" applyBorder="1" applyAlignment="1">
      <alignment horizontal="center" vertical="center"/>
    </xf>
    <xf numFmtId="0" fontId="58" fillId="26" borderId="284" xfId="0" applyFont="1" applyFill="1" applyBorder="1" applyAlignment="1">
      <alignment horizontal="center" vertical="center"/>
    </xf>
    <xf numFmtId="0" fontId="58" fillId="26" borderId="256" xfId="0" applyFont="1" applyFill="1" applyBorder="1" applyAlignment="1">
      <alignment horizontal="center" vertical="center"/>
    </xf>
    <xf numFmtId="0" fontId="82" fillId="0" borderId="64" xfId="0" applyFont="1" applyBorder="1" applyAlignment="1">
      <alignment horizontal="center" vertical="center"/>
    </xf>
    <xf numFmtId="0" fontId="82" fillId="0" borderId="88" xfId="0" applyFont="1" applyBorder="1" applyAlignment="1">
      <alignment horizontal="center" vertical="center"/>
    </xf>
    <xf numFmtId="0" fontId="82" fillId="0" borderId="30" xfId="0" applyFont="1" applyBorder="1" applyAlignment="1">
      <alignment horizontal="left" vertical="center"/>
    </xf>
    <xf numFmtId="0" fontId="82" fillId="0" borderId="33" xfId="0" applyFont="1" applyBorder="1" applyAlignment="1">
      <alignment horizontal="left" vertical="center"/>
    </xf>
    <xf numFmtId="0" fontId="58" fillId="0" borderId="29" xfId="0" applyFont="1" applyBorder="1" applyAlignment="1">
      <alignment horizontal="left" vertical="center"/>
    </xf>
    <xf numFmtId="0" fontId="58" fillId="0" borderId="32" xfId="0" applyFont="1" applyBorder="1" applyAlignment="1">
      <alignment horizontal="left" vertical="center"/>
    </xf>
    <xf numFmtId="0" fontId="58" fillId="0" borderId="189" xfId="0" applyFont="1" applyBorder="1" applyAlignment="1">
      <alignment horizontal="left" vertical="center"/>
    </xf>
    <xf numFmtId="0" fontId="58" fillId="0" borderId="42" xfId="0" applyFont="1" applyBorder="1" applyAlignment="1">
      <alignment horizontal="left" vertical="center"/>
    </xf>
    <xf numFmtId="0" fontId="58" fillId="24" borderId="30" xfId="0" applyFont="1" applyFill="1" applyBorder="1" applyAlignment="1">
      <alignment horizontal="left" vertical="center" wrapText="1"/>
    </xf>
    <xf numFmtId="0" fontId="58" fillId="24" borderId="188" xfId="0" applyFont="1" applyFill="1" applyBorder="1" applyAlignment="1">
      <alignment horizontal="left" vertical="center" wrapText="1"/>
    </xf>
    <xf numFmtId="0" fontId="58" fillId="24" borderId="33" xfId="0" applyFont="1" applyFill="1" applyBorder="1" applyAlignment="1">
      <alignment horizontal="left" vertical="center" wrapText="1"/>
    </xf>
    <xf numFmtId="0" fontId="58" fillId="24" borderId="22" xfId="0" applyFont="1" applyFill="1" applyBorder="1" applyAlignment="1">
      <alignment horizontal="left" vertical="center" wrapText="1"/>
    </xf>
    <xf numFmtId="0" fontId="28" fillId="26" borderId="53" xfId="0" applyFont="1" applyFill="1" applyBorder="1" applyAlignment="1">
      <alignment horizontal="center" vertical="center"/>
    </xf>
    <xf numFmtId="0" fontId="58" fillId="24" borderId="64" xfId="0" applyFont="1" applyFill="1" applyBorder="1" applyAlignment="1">
      <alignment horizontal="center" vertical="center"/>
    </xf>
    <xf numFmtId="0" fontId="58" fillId="24" borderId="65" xfId="0" applyFont="1" applyFill="1" applyBorder="1" applyAlignment="1">
      <alignment horizontal="center" vertical="center"/>
    </xf>
    <xf numFmtId="0" fontId="58" fillId="24" borderId="32" xfId="0" applyFont="1" applyFill="1" applyBorder="1" applyAlignment="1">
      <alignment horizontal="left" vertical="center"/>
    </xf>
    <xf numFmtId="0" fontId="59" fillId="24" borderId="29" xfId="0" applyFont="1" applyFill="1" applyBorder="1" applyAlignment="1">
      <alignment horizontal="left" vertical="center"/>
    </xf>
    <xf numFmtId="0" fontId="59" fillId="24" borderId="32" xfId="0" applyFont="1" applyFill="1" applyBorder="1" applyAlignment="1">
      <alignment horizontal="left" vertical="center"/>
    </xf>
    <xf numFmtId="0" fontId="59" fillId="24" borderId="42" xfId="0" applyFont="1" applyFill="1" applyBorder="1" applyAlignment="1">
      <alignment horizontal="left" vertical="center"/>
    </xf>
    <xf numFmtId="0" fontId="58" fillId="24" borderId="189" xfId="0" applyFont="1" applyFill="1" applyBorder="1" applyAlignment="1">
      <alignment horizontal="left" vertical="center"/>
    </xf>
    <xf numFmtId="0" fontId="59" fillId="24" borderId="88" xfId="0" applyFont="1" applyFill="1" applyBorder="1" applyAlignment="1">
      <alignment horizontal="center" vertical="center"/>
    </xf>
    <xf numFmtId="0" fontId="59" fillId="24" borderId="49" xfId="0" applyFont="1" applyFill="1" applyBorder="1" applyAlignment="1">
      <alignment horizontal="left" vertical="center"/>
    </xf>
    <xf numFmtId="0" fontId="59" fillId="24" borderId="189" xfId="0" applyFont="1" applyFill="1" applyBorder="1" applyAlignment="1">
      <alignment horizontal="left" vertical="center"/>
    </xf>
    <xf numFmtId="0" fontId="59" fillId="24" borderId="64" xfId="0" applyFont="1" applyFill="1" applyBorder="1" applyAlignment="1">
      <alignment horizontal="center" vertical="center"/>
    </xf>
    <xf numFmtId="0" fontId="59" fillId="24" borderId="65" xfId="0" applyFont="1" applyFill="1" applyBorder="1" applyAlignment="1">
      <alignment horizontal="center" vertical="center"/>
    </xf>
    <xf numFmtId="0" fontId="59" fillId="24" borderId="29" xfId="0" applyFont="1" applyFill="1" applyBorder="1" applyAlignment="1">
      <alignment horizontal="left" vertical="center" wrapText="1"/>
    </xf>
    <xf numFmtId="0" fontId="59" fillId="24" borderId="32" xfId="0" applyFont="1" applyFill="1" applyBorder="1" applyAlignment="1">
      <alignment horizontal="left" vertical="center" wrapText="1"/>
    </xf>
    <xf numFmtId="0" fontId="59" fillId="24" borderId="124" xfId="0" applyFont="1" applyFill="1" applyBorder="1" applyAlignment="1">
      <alignment horizontal="center" vertical="center"/>
    </xf>
    <xf numFmtId="0" fontId="58" fillId="24" borderId="88" xfId="0" applyFont="1" applyFill="1" applyBorder="1" applyAlignment="1">
      <alignment horizontal="center" vertical="center"/>
    </xf>
    <xf numFmtId="0" fontId="120" fillId="24" borderId="29" xfId="0" applyFont="1" applyFill="1" applyBorder="1" applyAlignment="1">
      <alignment horizontal="left" vertical="center"/>
    </xf>
    <xf numFmtId="0" fontId="120" fillId="24" borderId="32" xfId="0" applyFont="1" applyFill="1" applyBorder="1" applyAlignment="1">
      <alignment horizontal="left" vertical="center"/>
    </xf>
    <xf numFmtId="0" fontId="120" fillId="24" borderId="42" xfId="0" applyFont="1" applyFill="1" applyBorder="1" applyAlignment="1">
      <alignment horizontal="left" vertical="center"/>
    </xf>
    <xf numFmtId="0" fontId="59" fillId="24" borderId="189" xfId="0" applyFont="1" applyFill="1" applyBorder="1" applyAlignment="1">
      <alignment horizontal="left" vertical="center" wrapText="1"/>
    </xf>
    <xf numFmtId="0" fontId="59" fillId="24" borderId="29" xfId="0" applyFont="1" applyFill="1" applyBorder="1" applyAlignment="1">
      <alignment horizontal="center" vertical="center"/>
    </xf>
    <xf numFmtId="0" fontId="59" fillId="24" borderId="32" xfId="0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horizontal="center" vertical="center"/>
    </xf>
    <xf numFmtId="3" fontId="43" fillId="26" borderId="20" xfId="0" applyNumberFormat="1" applyFont="1" applyFill="1" applyBorder="1" applyAlignment="1">
      <alignment horizontal="center" vertical="center"/>
    </xf>
    <xf numFmtId="3" fontId="43" fillId="26" borderId="19" xfId="0" applyNumberFormat="1" applyFont="1" applyFill="1" applyBorder="1" applyAlignment="1">
      <alignment horizontal="center" vertical="center"/>
    </xf>
    <xf numFmtId="3" fontId="39" fillId="26" borderId="23" xfId="0" applyNumberFormat="1" applyFont="1" applyFill="1" applyBorder="1" applyAlignment="1">
      <alignment horizontal="center" vertical="center"/>
    </xf>
    <xf numFmtId="3" fontId="39" fillId="26" borderId="53" xfId="0" applyNumberFormat="1" applyFont="1" applyFill="1" applyBorder="1" applyAlignment="1">
      <alignment horizontal="center" vertical="center"/>
    </xf>
    <xf numFmtId="0" fontId="58" fillId="24" borderId="29" xfId="0" applyFont="1" applyFill="1" applyBorder="1" applyAlignment="1">
      <alignment horizontal="left" vertical="center" wrapText="1"/>
    </xf>
    <xf numFmtId="0" fontId="58" fillId="24" borderId="32" xfId="0" applyFont="1" applyFill="1" applyBorder="1" applyAlignment="1">
      <alignment horizontal="left" vertical="center" wrapText="1"/>
    </xf>
    <xf numFmtId="0" fontId="58" fillId="24" borderId="189" xfId="0" applyFont="1" applyFill="1" applyBorder="1" applyAlignment="1">
      <alignment horizontal="left" vertical="center" wrapText="1"/>
    </xf>
    <xf numFmtId="0" fontId="58" fillId="24" borderId="42" xfId="0" applyFont="1" applyFill="1" applyBorder="1" applyAlignment="1">
      <alignment horizontal="left" vertical="center" wrapText="1"/>
    </xf>
    <xf numFmtId="0" fontId="162" fillId="0" borderId="32" xfId="0" applyFont="1" applyBorder="1"/>
    <xf numFmtId="0" fontId="162" fillId="0" borderId="42" xfId="0" applyFont="1" applyBorder="1"/>
    <xf numFmtId="0" fontId="58" fillId="24" borderId="29" xfId="0" applyFont="1" applyFill="1" applyBorder="1" applyAlignment="1">
      <alignment vertical="center"/>
    </xf>
    <xf numFmtId="0" fontId="58" fillId="24" borderId="32" xfId="0" applyFont="1" applyFill="1" applyBorder="1" applyAlignment="1">
      <alignment vertical="center"/>
    </xf>
    <xf numFmtId="0" fontId="58" fillId="24" borderId="42" xfId="0" applyFont="1" applyFill="1" applyBorder="1" applyAlignment="1">
      <alignment vertical="center"/>
    </xf>
    <xf numFmtId="0" fontId="58" fillId="24" borderId="20" xfId="0" applyFont="1" applyFill="1" applyBorder="1" applyAlignment="1">
      <alignment horizontal="left" vertical="center"/>
    </xf>
    <xf numFmtId="0" fontId="58" fillId="24" borderId="0" xfId="0" applyFont="1" applyFill="1" applyAlignment="1">
      <alignment horizontal="left" vertical="center"/>
    </xf>
    <xf numFmtId="0" fontId="58" fillId="24" borderId="59" xfId="0" applyFont="1" applyFill="1" applyBorder="1" applyAlignment="1">
      <alignment horizontal="left" vertical="center"/>
    </xf>
    <xf numFmtId="4" fontId="176" fillId="24" borderId="0" xfId="0" applyNumberFormat="1" applyFont="1" applyFill="1" applyAlignment="1">
      <alignment horizontal="left" vertical="center" wrapText="1"/>
    </xf>
    <xf numFmtId="0" fontId="176" fillId="24" borderId="0" xfId="0" applyFont="1" applyFill="1" applyAlignment="1">
      <alignment horizontal="left" vertical="center" wrapText="1"/>
    </xf>
    <xf numFmtId="0" fontId="160" fillId="25" borderId="128" xfId="0" applyFont="1" applyFill="1" applyBorder="1" applyAlignment="1">
      <alignment horizontal="center" vertical="center" wrapText="1"/>
    </xf>
    <xf numFmtId="0" fontId="160" fillId="25" borderId="58" xfId="0" applyFont="1" applyFill="1" applyBorder="1" applyAlignment="1">
      <alignment horizontal="center" vertical="center"/>
    </xf>
    <xf numFmtId="0" fontId="160" fillId="25" borderId="224" xfId="0" applyFont="1" applyFill="1" applyBorder="1" applyAlignment="1">
      <alignment horizontal="center" vertical="center"/>
    </xf>
    <xf numFmtId="0" fontId="58" fillId="24" borderId="188" xfId="0" applyFont="1" applyFill="1" applyBorder="1" applyAlignment="1">
      <alignment horizontal="left" vertical="center"/>
    </xf>
    <xf numFmtId="0" fontId="58" fillId="24" borderId="177" xfId="0" applyFont="1" applyFill="1" applyBorder="1" applyAlignment="1">
      <alignment horizontal="left" vertical="center"/>
    </xf>
    <xf numFmtId="0" fontId="58" fillId="24" borderId="126" xfId="0" applyFont="1" applyFill="1" applyBorder="1" applyAlignment="1">
      <alignment horizontal="left" vertical="center"/>
    </xf>
    <xf numFmtId="0" fontId="29" fillId="28" borderId="23" xfId="0" applyFont="1" applyFill="1" applyBorder="1" applyAlignment="1">
      <alignment horizontal="center" vertical="center"/>
    </xf>
    <xf numFmtId="0" fontId="29" fillId="28" borderId="19" xfId="0" applyFont="1" applyFill="1" applyBorder="1" applyAlignment="1">
      <alignment horizontal="center" vertical="center"/>
    </xf>
    <xf numFmtId="0" fontId="58" fillId="24" borderId="46" xfId="0" applyFont="1" applyFill="1" applyBorder="1" applyAlignment="1">
      <alignment horizontal="left" vertical="center"/>
    </xf>
    <xf numFmtId="0" fontId="59" fillId="24" borderId="29" xfId="0" applyFont="1" applyFill="1" applyBorder="1" applyAlignment="1">
      <alignment horizontal="center" vertical="center" wrapText="1"/>
    </xf>
    <xf numFmtId="0" fontId="59" fillId="26" borderId="63" xfId="0" applyFont="1" applyFill="1" applyBorder="1" applyAlignment="1">
      <alignment horizontal="center" vertical="center"/>
    </xf>
    <xf numFmtId="0" fontId="59" fillId="26" borderId="0" xfId="0" applyFont="1" applyFill="1" applyAlignment="1">
      <alignment horizontal="center" vertical="center"/>
    </xf>
    <xf numFmtId="0" fontId="48" fillId="24" borderId="23" xfId="0" applyFont="1" applyFill="1" applyBorder="1" applyAlignment="1">
      <alignment horizontal="center" vertical="center"/>
    </xf>
    <xf numFmtId="0" fontId="48" fillId="24" borderId="19" xfId="0" applyFont="1" applyFill="1" applyBorder="1" applyAlignment="1">
      <alignment horizontal="center" vertical="center"/>
    </xf>
    <xf numFmtId="0" fontId="160" fillId="25" borderId="61" xfId="0" applyFont="1" applyFill="1" applyBorder="1" applyAlignment="1">
      <alignment horizontal="center" vertical="center"/>
    </xf>
    <xf numFmtId="0" fontId="160" fillId="25" borderId="19" xfId="0" applyFont="1" applyFill="1" applyBorder="1" applyAlignment="1">
      <alignment horizontal="center" vertical="center"/>
    </xf>
    <xf numFmtId="0" fontId="58" fillId="24" borderId="176" xfId="0" applyFont="1" applyFill="1" applyBorder="1" applyAlignment="1">
      <alignment horizontal="left" vertical="center"/>
    </xf>
    <xf numFmtId="0" fontId="59" fillId="24" borderId="189" xfId="0" applyFont="1" applyFill="1" applyBorder="1" applyAlignment="1">
      <alignment horizontal="center" vertical="center"/>
    </xf>
    <xf numFmtId="0" fontId="59" fillId="24" borderId="176" xfId="0" applyFont="1" applyFill="1" applyBorder="1" applyAlignment="1">
      <alignment horizontal="left" vertical="center"/>
    </xf>
    <xf numFmtId="0" fontId="58" fillId="24" borderId="20" xfId="0" applyFont="1" applyFill="1" applyBorder="1" applyAlignment="1">
      <alignment horizontal="center" vertical="center"/>
    </xf>
    <xf numFmtId="0" fontId="58" fillId="24" borderId="0" xfId="0" applyFont="1" applyFill="1" applyAlignment="1">
      <alignment horizontal="center" vertical="center"/>
    </xf>
    <xf numFmtId="0" fontId="160" fillId="25" borderId="127" xfId="0" applyFont="1" applyFill="1" applyBorder="1" applyAlignment="1">
      <alignment horizontal="center" vertical="center"/>
    </xf>
    <xf numFmtId="0" fontId="160" fillId="25" borderId="35" xfId="0" applyFont="1" applyFill="1" applyBorder="1" applyAlignment="1">
      <alignment horizontal="center" vertical="center"/>
    </xf>
    <xf numFmtId="0" fontId="28" fillId="26" borderId="256" xfId="0" applyFont="1" applyFill="1" applyBorder="1" applyAlignment="1">
      <alignment horizontal="center" vertical="center"/>
    </xf>
    <xf numFmtId="0" fontId="28" fillId="26" borderId="265" xfId="0" applyFont="1" applyFill="1" applyBorder="1" applyAlignment="1">
      <alignment horizontal="center" vertical="center"/>
    </xf>
    <xf numFmtId="0" fontId="58" fillId="24" borderId="176" xfId="0" applyFont="1" applyFill="1" applyBorder="1" applyAlignment="1">
      <alignment horizontal="left" vertical="center" wrapText="1"/>
    </xf>
    <xf numFmtId="0" fontId="28" fillId="28" borderId="19" xfId="0" applyFont="1" applyFill="1" applyBorder="1" applyAlignment="1">
      <alignment horizontal="center" vertical="center"/>
    </xf>
    <xf numFmtId="0" fontId="59" fillId="27" borderId="236" xfId="0" applyFont="1" applyFill="1" applyBorder="1" applyAlignment="1">
      <alignment horizontal="center" vertical="center" wrapText="1"/>
    </xf>
    <xf numFmtId="0" fontId="59" fillId="27" borderId="238" xfId="0" applyFont="1" applyFill="1" applyBorder="1" applyAlignment="1">
      <alignment horizontal="center" vertical="center" wrapText="1"/>
    </xf>
    <xf numFmtId="0" fontId="28" fillId="28" borderId="23" xfId="0" applyFont="1" applyFill="1" applyBorder="1" applyAlignment="1">
      <alignment horizontal="center" vertical="center"/>
    </xf>
    <xf numFmtId="3" fontId="59" fillId="27" borderId="232" xfId="0" applyNumberFormat="1" applyFont="1" applyFill="1" applyBorder="1" applyAlignment="1">
      <alignment horizontal="center" vertical="center" wrapText="1"/>
    </xf>
    <xf numFmtId="3" fontId="59" fillId="27" borderId="227" xfId="0" applyNumberFormat="1" applyFont="1" applyFill="1" applyBorder="1" applyAlignment="1">
      <alignment horizontal="center" vertical="center" wrapText="1"/>
    </xf>
    <xf numFmtId="0" fontId="59" fillId="27" borderId="233" xfId="0" applyFont="1" applyFill="1" applyBorder="1" applyAlignment="1">
      <alignment horizontal="center" vertical="center" wrapText="1"/>
    </xf>
    <xf numFmtId="0" fontId="59" fillId="27" borderId="126" xfId="0" applyFont="1" applyFill="1" applyBorder="1" applyAlignment="1">
      <alignment horizontal="center" vertical="center" wrapText="1"/>
    </xf>
    <xf numFmtId="0" fontId="59" fillId="27" borderId="14" xfId="0" applyFont="1" applyFill="1" applyBorder="1" applyAlignment="1">
      <alignment horizontal="center" vertical="center" wrapText="1"/>
    </xf>
    <xf numFmtId="0" fontId="59" fillId="27" borderId="12" xfId="0" applyFont="1" applyFill="1" applyBorder="1" applyAlignment="1">
      <alignment horizontal="center" vertical="center" wrapText="1"/>
    </xf>
    <xf numFmtId="0" fontId="59" fillId="27" borderId="229" xfId="0" applyFont="1" applyFill="1" applyBorder="1" applyAlignment="1">
      <alignment horizontal="center" vertical="center" wrapText="1"/>
    </xf>
    <xf numFmtId="0" fontId="59" fillId="27" borderId="180" xfId="0" applyFont="1" applyFill="1" applyBorder="1" applyAlignment="1">
      <alignment horizontal="center" vertical="center" wrapText="1"/>
    </xf>
    <xf numFmtId="0" fontId="59" fillId="27" borderId="17" xfId="0" applyFont="1" applyFill="1" applyBorder="1" applyAlignment="1">
      <alignment horizontal="center" vertical="center" wrapText="1"/>
    </xf>
    <xf numFmtId="0" fontId="59" fillId="27" borderId="10" xfId="0" applyFont="1" applyFill="1" applyBorder="1" applyAlignment="1">
      <alignment horizontal="center" vertical="center" wrapText="1"/>
    </xf>
    <xf numFmtId="0" fontId="59" fillId="27" borderId="16" xfId="0" applyFont="1" applyFill="1" applyBorder="1" applyAlignment="1">
      <alignment horizontal="center" vertical="center" wrapText="1"/>
    </xf>
    <xf numFmtId="0" fontId="59" fillId="27" borderId="181" xfId="0" applyFont="1" applyFill="1" applyBorder="1" applyAlignment="1">
      <alignment horizontal="center" vertical="center" wrapText="1"/>
    </xf>
    <xf numFmtId="3" fontId="59" fillId="27" borderId="17" xfId="0" applyNumberFormat="1" applyFont="1" applyFill="1" applyBorder="1" applyAlignment="1">
      <alignment horizontal="center" vertical="center" wrapText="1"/>
    </xf>
    <xf numFmtId="3" fontId="59" fillId="27" borderId="10" xfId="0" applyNumberFormat="1" applyFont="1" applyFill="1" applyBorder="1" applyAlignment="1">
      <alignment horizontal="center" vertical="center" wrapText="1"/>
    </xf>
    <xf numFmtId="0" fontId="5" fillId="24" borderId="0" xfId="0" applyFont="1" applyFill="1" applyAlignment="1">
      <alignment vertical="center"/>
    </xf>
    <xf numFmtId="0" fontId="41" fillId="24" borderId="0" xfId="0" applyFont="1" applyFill="1" applyAlignment="1">
      <alignment vertical="center"/>
    </xf>
    <xf numFmtId="0" fontId="80" fillId="24" borderId="0" xfId="0" applyFont="1" applyFill="1" applyAlignment="1">
      <alignment horizontal="center" vertical="center" wrapText="1"/>
    </xf>
    <xf numFmtId="0" fontId="59" fillId="27" borderId="230" xfId="0" applyFont="1" applyFill="1" applyBorder="1" applyAlignment="1">
      <alignment horizontal="center" vertical="center" wrapText="1"/>
    </xf>
    <xf numFmtId="0" fontId="59" fillId="27" borderId="237" xfId="0" applyFont="1" applyFill="1" applyBorder="1" applyAlignment="1">
      <alignment horizontal="center" vertical="center" wrapText="1"/>
    </xf>
    <xf numFmtId="0" fontId="59" fillId="0" borderId="29" xfId="0" applyFont="1" applyBorder="1" applyAlignment="1">
      <alignment horizontal="left" vertical="center"/>
    </xf>
    <xf numFmtId="0" fontId="59" fillId="0" borderId="176" xfId="0" applyFont="1" applyBorder="1" applyAlignment="1">
      <alignment horizontal="left" vertical="center"/>
    </xf>
    <xf numFmtId="0" fontId="59" fillId="0" borderId="32" xfId="0" applyFont="1" applyBorder="1" applyAlignment="1">
      <alignment horizontal="left" vertical="center"/>
    </xf>
    <xf numFmtId="0" fontId="59" fillId="0" borderId="189" xfId="0" applyFont="1" applyBorder="1" applyAlignment="1">
      <alignment horizontal="left" vertical="center"/>
    </xf>
    <xf numFmtId="0" fontId="59" fillId="0" borderId="42" xfId="0" applyFont="1" applyBorder="1" applyAlignment="1">
      <alignment horizontal="left" vertical="center"/>
    </xf>
    <xf numFmtId="1" fontId="58" fillId="24" borderId="88" xfId="0" applyNumberFormat="1" applyFont="1" applyFill="1" applyBorder="1" applyAlignment="1">
      <alignment horizontal="center" vertical="center"/>
    </xf>
    <xf numFmtId="1" fontId="58" fillId="24" borderId="65" xfId="0" applyNumberFormat="1" applyFont="1" applyFill="1" applyBorder="1" applyAlignment="1">
      <alignment horizontal="center" vertical="center"/>
    </xf>
    <xf numFmtId="0" fontId="58" fillId="27" borderId="61" xfId="0" applyFont="1" applyFill="1" applyBorder="1" applyAlignment="1">
      <alignment horizontal="center" vertical="center"/>
    </xf>
    <xf numFmtId="0" fontId="58" fillId="27" borderId="19" xfId="0" applyFont="1" applyFill="1" applyBorder="1" applyAlignment="1">
      <alignment horizontal="center" vertical="center"/>
    </xf>
    <xf numFmtId="0" fontId="59" fillId="27" borderId="231" xfId="0" applyFont="1" applyFill="1" applyBorder="1" applyAlignment="1">
      <alignment horizontal="center" vertical="center" wrapText="1"/>
    </xf>
    <xf numFmtId="0" fontId="59" fillId="27" borderId="228" xfId="0" applyFont="1" applyFill="1" applyBorder="1" applyAlignment="1">
      <alignment horizontal="center" vertical="center" wrapText="1"/>
    </xf>
    <xf numFmtId="0" fontId="59" fillId="27" borderId="239" xfId="0" applyFont="1" applyFill="1" applyBorder="1" applyAlignment="1">
      <alignment horizontal="center" vertical="center" wrapText="1"/>
    </xf>
    <xf numFmtId="0" fontId="59" fillId="27" borderId="240" xfId="0" applyFont="1" applyFill="1" applyBorder="1" applyAlignment="1">
      <alignment horizontal="center" vertical="center" wrapText="1"/>
    </xf>
    <xf numFmtId="0" fontId="39" fillId="27" borderId="111" xfId="0" applyFont="1" applyFill="1" applyBorder="1" applyAlignment="1">
      <alignment horizontal="center" vertical="center" wrapText="1"/>
    </xf>
    <xf numFmtId="0" fontId="39" fillId="27" borderId="75" xfId="0" applyFont="1" applyFill="1" applyBorder="1" applyAlignment="1">
      <alignment horizontal="center" vertical="center" wrapText="1"/>
    </xf>
    <xf numFmtId="0" fontId="80" fillId="24" borderId="0" xfId="0" applyFont="1" applyFill="1" applyAlignment="1">
      <alignment horizontal="center" vertical="center"/>
    </xf>
    <xf numFmtId="0" fontId="43" fillId="24" borderId="225" xfId="0" applyFont="1" applyFill="1" applyBorder="1" applyAlignment="1">
      <alignment horizontal="center" vertical="center"/>
    </xf>
    <xf numFmtId="0" fontId="43" fillId="24" borderId="226" xfId="0" applyFont="1" applyFill="1" applyBorder="1" applyAlignment="1">
      <alignment horizontal="center" vertical="center"/>
    </xf>
    <xf numFmtId="0" fontId="43" fillId="24" borderId="116" xfId="0" applyFont="1" applyFill="1" applyBorder="1" applyAlignment="1">
      <alignment horizontal="center" vertical="center"/>
    </xf>
    <xf numFmtId="0" fontId="43" fillId="24" borderId="117" xfId="0" applyFont="1" applyFill="1" applyBorder="1" applyAlignment="1">
      <alignment horizontal="center" vertical="center"/>
    </xf>
    <xf numFmtId="0" fontId="43" fillId="24" borderId="118" xfId="0" applyFont="1" applyFill="1" applyBorder="1" applyAlignment="1">
      <alignment horizontal="center" vertical="center"/>
    </xf>
    <xf numFmtId="0" fontId="43" fillId="24" borderId="119" xfId="0" applyFont="1" applyFill="1" applyBorder="1" applyAlignment="1">
      <alignment horizontal="center" vertical="center"/>
    </xf>
    <xf numFmtId="0" fontId="59" fillId="0" borderId="251" xfId="0" applyFont="1" applyBorder="1" applyAlignment="1">
      <alignment horizontal="left" vertical="center"/>
    </xf>
    <xf numFmtId="0" fontId="43" fillId="24" borderId="197" xfId="0" applyFont="1" applyFill="1" applyBorder="1" applyAlignment="1">
      <alignment horizontal="center" vertical="center"/>
    </xf>
    <xf numFmtId="0" fontId="43" fillId="24" borderId="108" xfId="0" applyFont="1" applyFill="1" applyBorder="1" applyAlignment="1">
      <alignment horizontal="center" vertical="center"/>
    </xf>
    <xf numFmtId="0" fontId="59" fillId="27" borderId="232" xfId="0" applyFont="1" applyFill="1" applyBorder="1" applyAlignment="1">
      <alignment horizontal="center" vertical="center" wrapText="1"/>
    </xf>
    <xf numFmtId="0" fontId="59" fillId="27" borderId="189" xfId="0" applyFont="1" applyFill="1" applyBorder="1" applyAlignment="1">
      <alignment horizontal="center" vertical="center" wrapText="1"/>
    </xf>
    <xf numFmtId="0" fontId="59" fillId="27" borderId="20" xfId="0" applyFont="1" applyFill="1" applyBorder="1" applyAlignment="1">
      <alignment horizontal="center" vertical="center" wrapText="1"/>
    </xf>
    <xf numFmtId="0" fontId="84" fillId="24" borderId="0" xfId="0" applyFont="1" applyFill="1" applyAlignment="1">
      <alignment horizontal="left" vertical="center"/>
    </xf>
    <xf numFmtId="3" fontId="59" fillId="24" borderId="110" xfId="0" applyNumberFormat="1" applyFont="1" applyFill="1" applyBorder="1" applyAlignment="1">
      <alignment horizontal="center" vertical="center" wrapText="1"/>
    </xf>
    <xf numFmtId="4" fontId="59" fillId="25" borderId="23" xfId="0" applyNumberFormat="1" applyFont="1" applyFill="1" applyBorder="1" applyAlignment="1">
      <alignment horizontal="center" vertical="center" wrapText="1"/>
    </xf>
    <xf numFmtId="4" fontId="59" fillId="25" borderId="19" xfId="0" applyNumberFormat="1" applyFont="1" applyFill="1" applyBorder="1" applyAlignment="1">
      <alignment horizontal="center" vertical="center" wrapText="1"/>
    </xf>
    <xf numFmtId="4" fontId="59" fillId="25" borderId="53" xfId="0" applyNumberFormat="1" applyFont="1" applyFill="1" applyBorder="1" applyAlignment="1">
      <alignment horizontal="center" vertical="center" wrapText="1"/>
    </xf>
    <xf numFmtId="3" fontId="58" fillId="24" borderId="110" xfId="0" applyNumberFormat="1" applyFont="1" applyFill="1" applyBorder="1" applyAlignment="1">
      <alignment horizontal="center" vertical="center"/>
    </xf>
    <xf numFmtId="3" fontId="59" fillId="24" borderId="110" xfId="0" applyNumberFormat="1" applyFont="1" applyFill="1" applyBorder="1" applyAlignment="1">
      <alignment horizontal="center" vertical="center"/>
    </xf>
    <xf numFmtId="3" fontId="59" fillId="24" borderId="63" xfId="0" applyNumberFormat="1" applyFont="1" applyFill="1" applyBorder="1" applyAlignment="1">
      <alignment horizontal="center" vertical="center"/>
    </xf>
    <xf numFmtId="3" fontId="59" fillId="24" borderId="88" xfId="0" applyNumberFormat="1" applyFont="1" applyFill="1" applyBorder="1" applyAlignment="1">
      <alignment horizontal="center" vertical="center" wrapText="1"/>
    </xf>
    <xf numFmtId="0" fontId="59" fillId="24" borderId="22" xfId="0" applyFont="1" applyFill="1" applyBorder="1" applyAlignment="1">
      <alignment horizontal="left" vertical="center" wrapText="1"/>
    </xf>
    <xf numFmtId="0" fontId="58" fillId="24" borderId="189" xfId="0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horizontal="left" vertical="center" wrapText="1"/>
    </xf>
    <xf numFmtId="3" fontId="59" fillId="24" borderId="66" xfId="0" applyNumberFormat="1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vertical="center"/>
    </xf>
    <xf numFmtId="0" fontId="59" fillId="24" borderId="32" xfId="0" applyFont="1" applyFill="1" applyBorder="1" applyAlignment="1">
      <alignment horizontal="center" vertical="center" wrapText="1"/>
    </xf>
    <xf numFmtId="0" fontId="59" fillId="24" borderId="22" xfId="0" applyFont="1" applyFill="1" applyBorder="1" applyAlignment="1">
      <alignment horizontal="left" vertical="center"/>
    </xf>
    <xf numFmtId="0" fontId="162" fillId="0" borderId="0" xfId="0" applyFont="1" applyAlignment="1">
      <alignment horizontal="left"/>
    </xf>
    <xf numFmtId="0" fontId="58" fillId="0" borderId="30" xfId="0" applyFont="1" applyBorder="1" applyAlignment="1">
      <alignment horizontal="left" vertical="center"/>
    </xf>
    <xf numFmtId="0" fontId="58" fillId="0" borderId="33" xfId="0" applyFont="1" applyBorder="1" applyAlignment="1">
      <alignment horizontal="left" vertical="center"/>
    </xf>
    <xf numFmtId="0" fontId="162" fillId="0" borderId="33" xfId="0" applyFont="1" applyBorder="1" applyAlignment="1">
      <alignment horizontal="left"/>
    </xf>
    <xf numFmtId="0" fontId="58" fillId="26" borderId="23" xfId="0" applyFont="1" applyFill="1" applyBorder="1" applyAlignment="1">
      <alignment horizontal="center" vertical="center"/>
    </xf>
    <xf numFmtId="0" fontId="58" fillId="0" borderId="22" xfId="0" applyFont="1" applyBorder="1" applyAlignment="1">
      <alignment horizontal="left" vertical="center"/>
    </xf>
    <xf numFmtId="0" fontId="43" fillId="24" borderId="29" xfId="0" applyFont="1" applyFill="1" applyBorder="1" applyAlignment="1">
      <alignment horizontal="center" vertical="center"/>
    </xf>
    <xf numFmtId="0" fontId="43" fillId="24" borderId="32" xfId="0" applyFont="1" applyFill="1" applyBorder="1" applyAlignment="1">
      <alignment horizontal="center" vertical="center"/>
    </xf>
    <xf numFmtId="0" fontId="110" fillId="25" borderId="61" xfId="0" applyFont="1" applyFill="1" applyBorder="1" applyAlignment="1">
      <alignment horizontal="center" vertical="center" wrapText="1"/>
    </xf>
    <xf numFmtId="0" fontId="110" fillId="25" borderId="19" xfId="0" applyFont="1" applyFill="1" applyBorder="1" applyAlignment="1">
      <alignment horizontal="center" vertical="center"/>
    </xf>
    <xf numFmtId="3" fontId="59" fillId="24" borderId="30" xfId="0" applyNumberFormat="1" applyFont="1" applyFill="1" applyBorder="1" applyAlignment="1">
      <alignment horizontal="left" vertical="center"/>
    </xf>
    <xf numFmtId="3" fontId="59" fillId="24" borderId="22" xfId="0" applyNumberFormat="1" applyFont="1" applyFill="1" applyBorder="1" applyAlignment="1">
      <alignment horizontal="left" vertical="center"/>
    </xf>
    <xf numFmtId="0" fontId="59" fillId="24" borderId="110" xfId="0" applyFont="1" applyFill="1" applyBorder="1" applyAlignment="1">
      <alignment horizontal="center" vertical="center" wrapText="1"/>
    </xf>
    <xf numFmtId="0" fontId="59" fillId="24" borderId="66" xfId="0" applyFont="1" applyFill="1" applyBorder="1" applyAlignment="1">
      <alignment horizontal="center" vertical="center" wrapText="1"/>
    </xf>
    <xf numFmtId="3" fontId="68" fillId="28" borderId="133" xfId="0" applyNumberFormat="1" applyFont="1" applyFill="1" applyBorder="1" applyAlignment="1">
      <alignment horizontal="center" vertical="center"/>
    </xf>
    <xf numFmtId="3" fontId="68" fillId="28" borderId="105" xfId="0" applyNumberFormat="1" applyFont="1" applyFill="1" applyBorder="1" applyAlignment="1">
      <alignment horizontal="center" vertical="center"/>
    </xf>
    <xf numFmtId="0" fontId="106" fillId="0" borderId="131" xfId="0" applyFont="1" applyBorder="1" applyAlignment="1">
      <alignment horizontal="left" vertical="center"/>
    </xf>
    <xf numFmtId="0" fontId="106" fillId="0" borderId="139" xfId="0" applyFont="1" applyBorder="1" applyAlignment="1">
      <alignment horizontal="left" vertical="center"/>
    </xf>
    <xf numFmtId="0" fontId="106" fillId="0" borderId="121" xfId="0" applyFont="1" applyBorder="1" applyAlignment="1">
      <alignment horizontal="left" vertical="center"/>
    </xf>
    <xf numFmtId="43" fontId="68" fillId="0" borderId="113" xfId="27" applyFont="1" applyBorder="1" applyAlignment="1">
      <alignment horizontal="center" vertical="center"/>
    </xf>
    <xf numFmtId="43" fontId="68" fillId="0" borderId="121" xfId="27" applyFont="1" applyBorder="1" applyAlignment="1">
      <alignment horizontal="center" vertical="center"/>
    </xf>
    <xf numFmtId="0" fontId="113" fillId="0" borderId="10" xfId="0" applyFont="1" applyBorder="1" applyAlignment="1">
      <alignment horizontal="center" vertical="top"/>
    </xf>
    <xf numFmtId="0" fontId="92" fillId="28" borderId="134" xfId="0" applyFont="1" applyFill="1" applyBorder="1" applyAlignment="1">
      <alignment horizontal="center" vertical="top"/>
    </xf>
    <xf numFmtId="0" fontId="92" fillId="28" borderId="135" xfId="0" applyFont="1" applyFill="1" applyBorder="1" applyAlignment="1">
      <alignment horizontal="center" vertical="top"/>
    </xf>
    <xf numFmtId="0" fontId="68" fillId="28" borderId="136" xfId="0" applyFont="1" applyFill="1" applyBorder="1" applyAlignment="1">
      <alignment horizontal="center" vertical="center"/>
    </xf>
    <xf numFmtId="0" fontId="68" fillId="28" borderId="137" xfId="0" applyFont="1" applyFill="1" applyBorder="1" applyAlignment="1">
      <alignment horizontal="center" vertical="center"/>
    </xf>
    <xf numFmtId="0" fontId="68" fillId="28" borderId="11" xfId="0" applyFont="1" applyFill="1" applyBorder="1" applyAlignment="1">
      <alignment horizontal="center" vertical="center"/>
    </xf>
    <xf numFmtId="0" fontId="68" fillId="28" borderId="12" xfId="0" applyFont="1" applyFill="1" applyBorder="1" applyAlignment="1">
      <alignment horizontal="center" vertical="center"/>
    </xf>
    <xf numFmtId="3" fontId="68" fillId="28" borderId="129" xfId="0" applyNumberFormat="1" applyFont="1" applyFill="1" applyBorder="1" applyAlignment="1">
      <alignment horizontal="center" vertical="center"/>
    </xf>
    <xf numFmtId="3" fontId="68" fillId="28" borderId="130" xfId="0" applyNumberFormat="1" applyFont="1" applyFill="1" applyBorder="1" applyAlignment="1">
      <alignment horizontal="center" vertical="center"/>
    </xf>
    <xf numFmtId="171" fontId="68" fillId="0" borderId="17" xfId="27" applyNumberFormat="1" applyFont="1" applyBorder="1" applyAlignment="1">
      <alignment horizontal="center" vertical="center"/>
    </xf>
    <xf numFmtId="171" fontId="68" fillId="0" borderId="16" xfId="27" applyNumberFormat="1" applyFont="1" applyBorder="1" applyAlignment="1">
      <alignment horizontal="center" vertical="center"/>
    </xf>
    <xf numFmtId="171" fontId="68" fillId="0" borderId="15" xfId="27" applyNumberFormat="1" applyFont="1" applyBorder="1" applyAlignment="1">
      <alignment horizontal="center" vertical="center"/>
    </xf>
    <xf numFmtId="171" fontId="68" fillId="0" borderId="132" xfId="27" applyNumberFormat="1" applyFont="1" applyBorder="1" applyAlignment="1">
      <alignment horizontal="center" vertical="center"/>
    </xf>
    <xf numFmtId="0" fontId="107" fillId="0" borderId="138" xfId="0" applyFont="1" applyBorder="1" applyAlignment="1">
      <alignment horizontal="left" vertical="center"/>
    </xf>
    <xf numFmtId="0" fontId="107" fillId="0" borderId="17" xfId="0" applyFont="1" applyBorder="1" applyAlignment="1">
      <alignment horizontal="left" vertical="center"/>
    </xf>
    <xf numFmtId="0" fontId="107" fillId="0" borderId="16" xfId="0" applyFont="1" applyBorder="1" applyAlignment="1">
      <alignment horizontal="left" vertical="center"/>
    </xf>
    <xf numFmtId="0" fontId="107" fillId="0" borderId="120" xfId="0" applyFont="1" applyBorder="1" applyAlignment="1">
      <alignment horizontal="left" vertical="center"/>
    </xf>
    <xf numFmtId="0" fontId="107" fillId="0" borderId="139" xfId="0" applyFont="1" applyBorder="1" applyAlignment="1">
      <alignment horizontal="left" vertical="center"/>
    </xf>
    <xf numFmtId="0" fontId="107" fillId="0" borderId="121" xfId="0" applyFont="1" applyBorder="1" applyAlignment="1">
      <alignment horizontal="left" vertical="center"/>
    </xf>
    <xf numFmtId="0" fontId="68" fillId="28" borderId="11" xfId="0" applyFont="1" applyFill="1" applyBorder="1" applyAlignment="1">
      <alignment horizontal="center" wrapText="1"/>
    </xf>
    <xf numFmtId="0" fontId="68" fillId="28" borderId="12" xfId="0" applyFont="1" applyFill="1" applyBorder="1" applyAlignment="1">
      <alignment horizontal="center" wrapText="1"/>
    </xf>
    <xf numFmtId="43" fontId="68" fillId="31" borderId="140" xfId="27" applyFont="1" applyFill="1" applyBorder="1" applyAlignment="1">
      <alignment horizontal="center" vertical="center"/>
    </xf>
    <xf numFmtId="43" fontId="68" fillId="31" borderId="141" xfId="27" applyFont="1" applyFill="1" applyBorder="1" applyAlignment="1">
      <alignment horizontal="center" vertical="center"/>
    </xf>
    <xf numFmtId="43" fontId="68" fillId="31" borderId="142" xfId="27" applyFont="1" applyFill="1" applyBorder="1" applyAlignment="1">
      <alignment horizontal="center" vertical="center"/>
    </xf>
    <xf numFmtId="0" fontId="108" fillId="31" borderId="13" xfId="0" applyFont="1" applyFill="1" applyBorder="1" applyAlignment="1">
      <alignment horizontal="left" vertical="center"/>
    </xf>
    <xf numFmtId="0" fontId="106" fillId="0" borderId="138" xfId="0" applyFont="1" applyBorder="1" applyAlignment="1">
      <alignment horizontal="left" vertical="center"/>
    </xf>
    <xf numFmtId="0" fontId="106" fillId="0" borderId="17" xfId="0" applyFont="1" applyBorder="1" applyAlignment="1">
      <alignment horizontal="left" vertical="center"/>
    </xf>
    <xf numFmtId="0" fontId="106" fillId="0" borderId="16" xfId="0" applyFont="1" applyBorder="1" applyAlignment="1">
      <alignment horizontal="left" vertical="center"/>
    </xf>
    <xf numFmtId="43" fontId="68" fillId="0" borderId="15" xfId="27" applyFont="1" applyBorder="1" applyAlignment="1">
      <alignment horizontal="center" vertical="center"/>
    </xf>
    <xf numFmtId="43" fontId="68" fillId="0" borderId="132" xfId="27" applyFont="1" applyBorder="1" applyAlignment="1">
      <alignment horizontal="center" vertical="center"/>
    </xf>
    <xf numFmtId="43" fontId="68" fillId="0" borderId="17" xfId="27" applyFont="1" applyBorder="1" applyAlignment="1">
      <alignment horizontal="center" vertical="center"/>
    </xf>
    <xf numFmtId="43" fontId="68" fillId="0" borderId="16" xfId="27" applyFont="1" applyBorder="1" applyAlignment="1">
      <alignment horizontal="center" vertical="center"/>
    </xf>
    <xf numFmtId="0" fontId="28" fillId="24" borderId="110" xfId="0" applyFont="1" applyFill="1" applyBorder="1" applyAlignment="1">
      <alignment horizontal="center" vertical="center"/>
    </xf>
    <xf numFmtId="0" fontId="28" fillId="24" borderId="63" xfId="0" applyFont="1" applyFill="1" applyBorder="1" applyAlignment="1">
      <alignment horizontal="center" vertical="center"/>
    </xf>
    <xf numFmtId="0" fontId="28" fillId="24" borderId="66" xfId="0" applyFont="1" applyFill="1" applyBorder="1" applyAlignment="1">
      <alignment horizontal="center" vertical="center"/>
    </xf>
    <xf numFmtId="0" fontId="172" fillId="0" borderId="29" xfId="0" applyFont="1" applyBorder="1" applyAlignment="1">
      <alignment horizontal="left" vertical="center"/>
    </xf>
    <xf numFmtId="0" fontId="172" fillId="0" borderId="32" xfId="0" applyFont="1" applyBorder="1" applyAlignment="1">
      <alignment horizontal="left" vertical="center"/>
    </xf>
    <xf numFmtId="0" fontId="172" fillId="0" borderId="42" xfId="0" applyFont="1" applyBorder="1" applyAlignment="1">
      <alignment horizontal="left" vertical="center"/>
    </xf>
    <xf numFmtId="4" fontId="110" fillId="25" borderId="23" xfId="0" applyNumberFormat="1" applyFont="1" applyFill="1" applyBorder="1" applyAlignment="1">
      <alignment horizontal="center" vertical="center"/>
    </xf>
    <xf numFmtId="4" fontId="110" fillId="25" borderId="19" xfId="0" applyNumberFormat="1" applyFont="1" applyFill="1" applyBorder="1" applyAlignment="1">
      <alignment horizontal="center" vertical="center"/>
    </xf>
    <xf numFmtId="4" fontId="110" fillId="25" borderId="53" xfId="0" applyNumberFormat="1" applyFont="1" applyFill="1" applyBorder="1" applyAlignment="1">
      <alignment horizontal="center" vertical="center"/>
    </xf>
    <xf numFmtId="3" fontId="59" fillId="27" borderId="14" xfId="0" applyNumberFormat="1" applyFont="1" applyFill="1" applyBorder="1" applyAlignment="1">
      <alignment horizontal="center" vertical="center" wrapText="1"/>
    </xf>
    <xf numFmtId="3" fontId="59" fillId="27" borderId="240" xfId="0" applyNumberFormat="1" applyFont="1" applyFill="1" applyBorder="1" applyAlignment="1">
      <alignment horizontal="center" vertical="center" wrapText="1"/>
    </xf>
    <xf numFmtId="0" fontId="178" fillId="37" borderId="14" xfId="0" applyFont="1" applyFill="1" applyBorder="1" applyAlignment="1">
      <alignment horizontal="center" vertical="center" wrapText="1"/>
    </xf>
    <xf numFmtId="0" fontId="178" fillId="37" borderId="12" xfId="0" applyFont="1" applyFill="1" applyBorder="1" applyAlignment="1">
      <alignment horizontal="center" vertical="center" wrapText="1"/>
    </xf>
    <xf numFmtId="0" fontId="59" fillId="0" borderId="33" xfId="0" applyFont="1" applyBorder="1" applyAlignment="1">
      <alignment horizontal="left" vertical="center"/>
    </xf>
    <xf numFmtId="0" fontId="59" fillId="0" borderId="22" xfId="0" applyFont="1" applyBorder="1" applyAlignment="1">
      <alignment horizontal="left" vertical="center"/>
    </xf>
    <xf numFmtId="0" fontId="161" fillId="0" borderId="29" xfId="0" applyFont="1" applyBorder="1" applyAlignment="1">
      <alignment horizontal="left" vertical="center"/>
    </xf>
    <xf numFmtId="0" fontId="161" fillId="0" borderId="32" xfId="0" applyFont="1" applyBorder="1" applyAlignment="1">
      <alignment horizontal="left" vertical="center"/>
    </xf>
    <xf numFmtId="0" fontId="161" fillId="0" borderId="42" xfId="0" applyFont="1" applyBorder="1" applyAlignment="1">
      <alignment horizontal="left" vertical="center"/>
    </xf>
    <xf numFmtId="0" fontId="28" fillId="26" borderId="61" xfId="0" applyFont="1" applyFill="1" applyBorder="1" applyAlignment="1">
      <alignment horizontal="center" vertical="center"/>
    </xf>
    <xf numFmtId="0" fontId="59" fillId="0" borderId="33" xfId="0" applyFont="1" applyBorder="1" applyAlignment="1">
      <alignment vertical="center"/>
    </xf>
    <xf numFmtId="0" fontId="0" fillId="0" borderId="59" xfId="0" applyBorder="1"/>
    <xf numFmtId="3" fontId="59" fillId="26" borderId="286" xfId="0" applyNumberFormat="1" applyFont="1" applyFill="1" applyBorder="1" applyAlignment="1">
      <alignment horizontal="center" vertical="center"/>
    </xf>
    <xf numFmtId="3" fontId="59" fillId="26" borderId="287" xfId="0" applyNumberFormat="1" applyFont="1" applyFill="1" applyBorder="1" applyAlignment="1">
      <alignment horizontal="center" vertical="center"/>
    </xf>
    <xf numFmtId="3" fontId="59" fillId="26" borderId="66" xfId="0" applyNumberFormat="1" applyFont="1" applyFill="1" applyBorder="1" applyAlignment="1">
      <alignment horizontal="center" vertical="center"/>
    </xf>
    <xf numFmtId="3" fontId="59" fillId="26" borderId="59" xfId="0" applyNumberFormat="1" applyFont="1" applyFill="1" applyBorder="1" applyAlignment="1">
      <alignment horizontal="center" vertical="center"/>
    </xf>
    <xf numFmtId="3" fontId="59" fillId="32" borderId="289" xfId="0" applyNumberFormat="1" applyFont="1" applyFill="1" applyBorder="1" applyAlignment="1">
      <alignment horizontal="left" vertical="center"/>
    </xf>
    <xf numFmtId="3" fontId="59" fillId="32" borderId="179" xfId="0" applyNumberFormat="1" applyFont="1" applyFill="1" applyBorder="1" applyAlignment="1">
      <alignment horizontal="left" vertical="center"/>
    </xf>
    <xf numFmtId="3" fontId="59" fillId="32" borderId="12" xfId="0" applyNumberFormat="1" applyFont="1" applyFill="1" applyBorder="1" applyAlignment="1">
      <alignment horizontal="left" vertical="center"/>
    </xf>
    <xf numFmtId="3" fontId="59" fillId="32" borderId="289" xfId="0" applyNumberFormat="1" applyFont="1" applyFill="1" applyBorder="1" applyAlignment="1">
      <alignment horizontal="center" vertical="center"/>
    </xf>
    <xf numFmtId="3" fontId="59" fillId="32" borderId="179" xfId="0" applyNumberFormat="1" applyFont="1" applyFill="1" applyBorder="1" applyAlignment="1">
      <alignment horizontal="center" vertical="center"/>
    </xf>
    <xf numFmtId="3" fontId="59" fillId="32" borderId="12" xfId="0" applyNumberFormat="1" applyFont="1" applyFill="1" applyBorder="1" applyAlignment="1">
      <alignment horizontal="center" vertical="center"/>
    </xf>
    <xf numFmtId="0" fontId="59" fillId="0" borderId="29" xfId="0" applyFont="1" applyBorder="1" applyAlignment="1">
      <alignment vertical="center"/>
    </xf>
    <xf numFmtId="0" fontId="59" fillId="0" borderId="32" xfId="0" applyFont="1" applyBorder="1" applyAlignment="1">
      <alignment vertical="center"/>
    </xf>
    <xf numFmtId="0" fontId="59" fillId="0" borderId="189" xfId="0" applyFont="1" applyBorder="1" applyAlignment="1">
      <alignment vertical="center"/>
    </xf>
    <xf numFmtId="0" fontId="59" fillId="0" borderId="42" xfId="0" applyFont="1" applyBorder="1" applyAlignment="1">
      <alignment vertical="center"/>
    </xf>
    <xf numFmtId="0" fontId="59" fillId="0" borderId="22" xfId="0" applyFont="1" applyBorder="1" applyAlignment="1">
      <alignment vertical="center"/>
    </xf>
    <xf numFmtId="0" fontId="122" fillId="0" borderId="29" xfId="0" applyFont="1" applyBorder="1" applyAlignment="1">
      <alignment horizontal="left" vertical="center"/>
    </xf>
    <xf numFmtId="0" fontId="122" fillId="0" borderId="32" xfId="0" applyFont="1" applyBorder="1" applyAlignment="1">
      <alignment horizontal="left" vertical="center"/>
    </xf>
    <xf numFmtId="3" fontId="43" fillId="26" borderId="61" xfId="0" applyNumberFormat="1" applyFont="1" applyFill="1" applyBorder="1" applyAlignment="1">
      <alignment horizontal="center" vertical="center"/>
    </xf>
    <xf numFmtId="0" fontId="172" fillId="0" borderId="189" xfId="0" applyFont="1" applyBorder="1" applyAlignment="1">
      <alignment horizontal="left" vertical="center"/>
    </xf>
    <xf numFmtId="0" fontId="59" fillId="0" borderId="29" xfId="0" applyFont="1" applyBorder="1" applyAlignment="1">
      <alignment horizontal="left" vertical="center" wrapText="1"/>
    </xf>
    <xf numFmtId="0" fontId="59" fillId="0" borderId="32" xfId="0" applyFont="1" applyBorder="1" applyAlignment="1">
      <alignment horizontal="left" vertical="center" wrapText="1"/>
    </xf>
    <xf numFmtId="0" fontId="59" fillId="0" borderId="189" xfId="0" applyFont="1" applyBorder="1" applyAlignment="1">
      <alignment horizontal="left" vertical="center" wrapText="1"/>
    </xf>
    <xf numFmtId="0" fontId="59" fillId="0" borderId="42" xfId="0" applyFont="1" applyBorder="1" applyAlignment="1">
      <alignment horizontal="left" vertical="center" wrapText="1"/>
    </xf>
    <xf numFmtId="3" fontId="59" fillId="27" borderId="233" xfId="0" applyNumberFormat="1" applyFont="1" applyFill="1" applyBorder="1" applyAlignment="1">
      <alignment horizontal="center" vertical="center" wrapText="1"/>
    </xf>
    <xf numFmtId="3" fontId="59" fillId="27" borderId="126" xfId="0" applyNumberFormat="1" applyFont="1" applyFill="1" applyBorder="1" applyAlignment="1">
      <alignment horizontal="center" vertical="center" wrapText="1"/>
    </xf>
    <xf numFmtId="0" fontId="59" fillId="27" borderId="190" xfId="0" applyFont="1" applyFill="1" applyBorder="1" applyAlignment="1">
      <alignment horizontal="center" vertical="center" wrapText="1"/>
    </xf>
    <xf numFmtId="0" fontId="59" fillId="27" borderId="18" xfId="0" applyFont="1" applyFill="1" applyBorder="1" applyAlignment="1">
      <alignment horizontal="center" vertical="center" wrapText="1"/>
    </xf>
    <xf numFmtId="3" fontId="59" fillId="27" borderId="0" xfId="0" applyNumberFormat="1" applyFont="1" applyFill="1" applyAlignment="1">
      <alignment horizontal="center" vertical="center" wrapText="1"/>
    </xf>
    <xf numFmtId="0" fontId="59" fillId="27" borderId="0" xfId="0" applyFont="1" applyFill="1" applyAlignment="1">
      <alignment horizontal="center" vertical="center" wrapText="1"/>
    </xf>
    <xf numFmtId="0" fontId="59" fillId="27" borderId="179" xfId="0" applyFont="1" applyFill="1" applyBorder="1" applyAlignment="1">
      <alignment horizontal="center" vertical="center" wrapText="1"/>
    </xf>
    <xf numFmtId="3" fontId="40" fillId="25" borderId="19" xfId="0" applyNumberFormat="1" applyFont="1" applyFill="1" applyBorder="1" applyAlignment="1">
      <alignment vertical="center"/>
    </xf>
    <xf numFmtId="0" fontId="40" fillId="25" borderId="53" xfId="0" applyFont="1" applyFill="1" applyBorder="1" applyAlignment="1">
      <alignment vertical="center"/>
    </xf>
    <xf numFmtId="0" fontId="59" fillId="24" borderId="66" xfId="0" applyFont="1" applyFill="1" applyBorder="1" applyAlignment="1">
      <alignment horizontal="center" vertical="center"/>
    </xf>
    <xf numFmtId="0" fontId="38" fillId="24" borderId="0" xfId="0" applyFont="1" applyFill="1" applyAlignment="1">
      <alignment horizontal="center" vertical="center"/>
    </xf>
    <xf numFmtId="0" fontId="55" fillId="24" borderId="22" xfId="0" applyFont="1" applyFill="1" applyBorder="1" applyAlignment="1">
      <alignment horizontal="center" vertical="center" wrapText="1"/>
    </xf>
    <xf numFmtId="0" fontId="55" fillId="24" borderId="59" xfId="0" applyFont="1" applyFill="1" applyBorder="1" applyAlignment="1">
      <alignment horizontal="center" vertical="center" wrapText="1"/>
    </xf>
    <xf numFmtId="0" fontId="55" fillId="24" borderId="45" xfId="0" applyFont="1" applyFill="1" applyBorder="1" applyAlignment="1">
      <alignment horizontal="center" vertical="center" wrapText="1"/>
    </xf>
    <xf numFmtId="0" fontId="40" fillId="25" borderId="61" xfId="0" applyFont="1" applyFill="1" applyBorder="1" applyAlignment="1">
      <alignment horizontal="center" vertical="center"/>
    </xf>
    <xf numFmtId="0" fontId="40" fillId="25" borderId="19" xfId="0" applyFont="1" applyFill="1" applyBorder="1" applyAlignment="1">
      <alignment horizontal="center" vertical="center"/>
    </xf>
    <xf numFmtId="0" fontId="58" fillId="24" borderId="29" xfId="0" applyFont="1" applyFill="1" applyBorder="1" applyAlignment="1">
      <alignment horizontal="center" vertical="center" wrapText="1"/>
    </xf>
    <xf numFmtId="0" fontId="59" fillId="27" borderId="122" xfId="0" applyFont="1" applyFill="1" applyBorder="1" applyAlignment="1">
      <alignment horizontal="center" vertical="center" wrapText="1"/>
    </xf>
    <xf numFmtId="0" fontId="59" fillId="27" borderId="123" xfId="0" applyFont="1" applyFill="1" applyBorder="1" applyAlignment="1">
      <alignment horizontal="center" vertical="center" wrapText="1"/>
    </xf>
    <xf numFmtId="0" fontId="59" fillId="27" borderId="114" xfId="0" applyFont="1" applyFill="1" applyBorder="1" applyAlignment="1">
      <alignment horizontal="center" vertical="center" wrapText="1"/>
    </xf>
    <xf numFmtId="0" fontId="59" fillId="27" borderId="115" xfId="0" applyFont="1" applyFill="1" applyBorder="1" applyAlignment="1">
      <alignment horizontal="center" vertical="center" wrapText="1"/>
    </xf>
    <xf numFmtId="0" fontId="59" fillId="27" borderId="125" xfId="0" applyFont="1" applyFill="1" applyBorder="1" applyAlignment="1">
      <alignment horizontal="center" vertical="center" wrapText="1"/>
    </xf>
    <xf numFmtId="0" fontId="59" fillId="27" borderId="112" xfId="0" applyFont="1" applyFill="1" applyBorder="1" applyAlignment="1">
      <alignment horizontal="center" vertical="center" wrapText="1"/>
    </xf>
    <xf numFmtId="0" fontId="59" fillId="27" borderId="63" xfId="0" applyFont="1" applyFill="1" applyBorder="1" applyAlignment="1">
      <alignment horizontal="center" vertical="center" wrapText="1"/>
    </xf>
    <xf numFmtId="0" fontId="59" fillId="27" borderId="28" xfId="0" applyFont="1" applyFill="1" applyBorder="1" applyAlignment="1">
      <alignment horizontal="center" vertical="center" wrapText="1"/>
    </xf>
    <xf numFmtId="3" fontId="59" fillId="27" borderId="49" xfId="0" applyNumberFormat="1" applyFont="1" applyFill="1" applyBorder="1" applyAlignment="1">
      <alignment horizontal="center" vertical="center" wrapText="1"/>
    </xf>
    <xf numFmtId="3" fontId="59" fillId="27" borderId="32" xfId="0" applyNumberFormat="1" applyFont="1" applyFill="1" applyBorder="1" applyAlignment="1">
      <alignment horizontal="center" vertical="center" wrapText="1"/>
    </xf>
    <xf numFmtId="4" fontId="59" fillId="27" borderId="34" xfId="0" applyNumberFormat="1" applyFont="1" applyFill="1" applyBorder="1" applyAlignment="1">
      <alignment horizontal="center" vertical="center" wrapText="1"/>
    </xf>
    <xf numFmtId="4" fontId="59" fillId="27" borderId="112" xfId="0" applyNumberFormat="1" applyFont="1" applyFill="1" applyBorder="1" applyAlignment="1">
      <alignment horizontal="center" vertical="center" wrapText="1"/>
    </xf>
    <xf numFmtId="4" fontId="59" fillId="27" borderId="56" xfId="0" applyNumberFormat="1" applyFont="1" applyFill="1" applyBorder="1" applyAlignment="1">
      <alignment horizontal="center" vertical="center" wrapText="1"/>
    </xf>
    <xf numFmtId="4" fontId="59" fillId="27" borderId="80" xfId="0" applyNumberFormat="1" applyFont="1" applyFill="1" applyBorder="1" applyAlignment="1">
      <alignment horizontal="center" vertical="center" wrapText="1"/>
    </xf>
    <xf numFmtId="4" fontId="59" fillId="27" borderId="56" xfId="27" applyNumberFormat="1" applyFont="1" applyFill="1" applyBorder="1" applyAlignment="1">
      <alignment horizontal="center" vertical="center" wrapText="1"/>
    </xf>
    <xf numFmtId="4" fontId="59" fillId="27" borderId="80" xfId="27" applyNumberFormat="1" applyFont="1" applyFill="1" applyBorder="1" applyAlignment="1">
      <alignment horizontal="center" vertical="center" wrapText="1"/>
    </xf>
    <xf numFmtId="0" fontId="39" fillId="24" borderId="113" xfId="0" applyFont="1" applyFill="1" applyBorder="1" applyAlignment="1">
      <alignment horizontal="center" vertical="center"/>
    </xf>
    <xf numFmtId="0" fontId="39" fillId="24" borderId="95" xfId="0" applyFont="1" applyFill="1" applyBorder="1" applyAlignment="1">
      <alignment horizontal="center" vertical="center"/>
    </xf>
    <xf numFmtId="0" fontId="26" fillId="24" borderId="0" xfId="0" applyFont="1" applyFill="1" applyAlignment="1">
      <alignment vertical="center"/>
    </xf>
    <xf numFmtId="0" fontId="39" fillId="24" borderId="120" xfId="0" applyFont="1" applyFill="1" applyBorder="1" applyAlignment="1">
      <alignment horizontal="center" vertical="center"/>
    </xf>
    <xf numFmtId="0" fontId="39" fillId="24" borderId="121" xfId="0" applyFont="1" applyFill="1" applyBorder="1" applyAlignment="1">
      <alignment horizontal="center" vertical="center"/>
    </xf>
    <xf numFmtId="0" fontId="110" fillId="25" borderId="61" xfId="0" applyFont="1" applyFill="1" applyBorder="1" applyAlignment="1">
      <alignment horizontal="center" vertical="center"/>
    </xf>
    <xf numFmtId="0" fontId="41" fillId="37" borderId="180" xfId="0" applyFont="1" applyFill="1" applyBorder="1" applyAlignment="1">
      <alignment horizontal="center" vertical="center" shrinkToFit="1"/>
    </xf>
    <xf numFmtId="0" fontId="41" fillId="37" borderId="181" xfId="0" applyFont="1" applyFill="1" applyBorder="1" applyAlignment="1">
      <alignment horizontal="center" vertical="center" shrinkToFit="1"/>
    </xf>
    <xf numFmtId="0" fontId="154" fillId="41" borderId="13" xfId="0" applyFont="1" applyFill="1" applyBorder="1" applyAlignment="1">
      <alignment horizontal="center" shrinkToFit="1"/>
    </xf>
    <xf numFmtId="0" fontId="75" fillId="35" borderId="196" xfId="0" applyFont="1" applyFill="1" applyBorder="1" applyAlignment="1">
      <alignment horizontal="center" vertical="center" shrinkToFit="1"/>
    </xf>
    <xf numFmtId="0" fontId="75" fillId="35" borderId="202" xfId="0" applyFont="1" applyFill="1" applyBorder="1" applyAlignment="1">
      <alignment horizontal="center" vertical="center" shrinkToFit="1"/>
    </xf>
    <xf numFmtId="0" fontId="154" fillId="50" borderId="244" xfId="0" applyFont="1" applyFill="1" applyBorder="1" applyAlignment="1">
      <alignment horizontal="center" wrapText="1" shrinkToFit="1"/>
    </xf>
    <xf numFmtId="0" fontId="154" fillId="50" borderId="245" xfId="0" applyFont="1" applyFill="1" applyBorder="1" applyAlignment="1">
      <alignment horizontal="center" wrapText="1" shrinkToFit="1"/>
    </xf>
    <xf numFmtId="0" fontId="138" fillId="0" borderId="0" xfId="0" applyFont="1" applyAlignment="1">
      <alignment horizontal="center"/>
    </xf>
    <xf numFmtId="184" fontId="185" fillId="0" borderId="0" xfId="0" applyNumberFormat="1" applyFont="1" applyAlignment="1">
      <alignment vertical="top"/>
    </xf>
    <xf numFmtId="185" fontId="185" fillId="0" borderId="0" xfId="0" applyNumberFormat="1" applyFont="1" applyAlignment="1">
      <alignment vertical="top"/>
    </xf>
    <xf numFmtId="1" fontId="185" fillId="0" borderId="0" xfId="0" applyNumberFormat="1" applyFont="1" applyAlignment="1">
      <alignment vertical="top"/>
    </xf>
    <xf numFmtId="186" fontId="185" fillId="0" borderId="0" xfId="0" applyNumberFormat="1" applyFont="1" applyAlignment="1">
      <alignment vertical="top"/>
    </xf>
    <xf numFmtId="4" fontId="185" fillId="0" borderId="0" xfId="0" applyNumberFormat="1" applyFont="1" applyAlignment="1">
      <alignment vertical="top"/>
    </xf>
    <xf numFmtId="178" fontId="185" fillId="0" borderId="0" xfId="0" applyNumberFormat="1" applyFont="1" applyAlignment="1">
      <alignment vertical="top"/>
    </xf>
    <xf numFmtId="3" fontId="185" fillId="0" borderId="0" xfId="0" applyNumberFormat="1" applyFont="1" applyAlignment="1">
      <alignment vertical="top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8" builtinId="23" customBuiltin="1"/>
    <cellStyle name="Comma" xfId="27" builtinId="3"/>
    <cellStyle name="Comma_Sheet1" xfId="44" xr:uid="{00000000-0005-0000-0000-00001C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7000000}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2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CC00"/>
      <color rgb="FFFFFFCC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06/relationships/vbaProject" Target="vbaProject.bin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16</xdr:col>
      <xdr:colOff>0</xdr:colOff>
      <xdr:row>8</xdr:row>
      <xdr:rowOff>0</xdr:rowOff>
    </xdr:to>
    <xdr:sp macro="" textlink="">
      <xdr:nvSpPr>
        <xdr:cNvPr id="860897" name="Line 1">
          <a:extLst>
            <a:ext uri="{FF2B5EF4-FFF2-40B4-BE49-F238E27FC236}">
              <a16:creationId xmlns:a16="http://schemas.microsoft.com/office/drawing/2014/main" id="{00000000-0008-0000-0000-0000E1220D00}"/>
            </a:ext>
          </a:extLst>
        </xdr:cNvPr>
        <xdr:cNvSpPr>
          <a:spLocks noChangeShapeType="1"/>
        </xdr:cNvSpPr>
      </xdr:nvSpPr>
      <xdr:spPr bwMode="auto">
        <a:xfrm>
          <a:off x="0" y="1838325"/>
          <a:ext cx="1872615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28</xdr:col>
      <xdr:colOff>222250</xdr:colOff>
      <xdr:row>0</xdr:row>
      <xdr:rowOff>179917</xdr:rowOff>
    </xdr:from>
    <xdr:to>
      <xdr:col>29</xdr:col>
      <xdr:colOff>359834</xdr:colOff>
      <xdr:row>3</xdr:row>
      <xdr:rowOff>31750</xdr:rowOff>
    </xdr:to>
    <xdr:sp macro="[0]!Check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8351500" y="179917"/>
          <a:ext cx="783167" cy="455083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9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Check</a:t>
          </a:r>
        </a:p>
      </xdr:txBody>
    </xdr:sp>
    <xdr:clientData/>
  </xdr:twoCellAnchor>
  <xdr:twoCellAnchor>
    <xdr:from>
      <xdr:col>13</xdr:col>
      <xdr:colOff>25400</xdr:colOff>
      <xdr:row>1959</xdr:row>
      <xdr:rowOff>12700</xdr:rowOff>
    </xdr:from>
    <xdr:to>
      <xdr:col>13</xdr:col>
      <xdr:colOff>990600</xdr:colOff>
      <xdr:row>1960</xdr:row>
      <xdr:rowOff>12700</xdr:rowOff>
    </xdr:to>
    <xdr:sp macro="[0]!Home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3B72AB2-99AC-4D66-0D67-7EAB445771E9}"/>
            </a:ext>
          </a:extLst>
        </xdr:cNvPr>
        <xdr:cNvSpPr/>
      </xdr:nvSpPr>
      <xdr:spPr>
        <a:xfrm>
          <a:off x="18173700" y="205232000"/>
          <a:ext cx="965200" cy="292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8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Home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1049111</xdr:colOff>
      <xdr:row>4</xdr:row>
      <xdr:rowOff>0</xdr:rowOff>
    </xdr:from>
    <xdr:ext cx="184731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658711" y="168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17</xdr:col>
      <xdr:colOff>0</xdr:colOff>
      <xdr:row>8</xdr:row>
      <xdr:rowOff>0</xdr:rowOff>
    </xdr:to>
    <xdr:sp macro="" textlink="">
      <xdr:nvSpPr>
        <xdr:cNvPr id="862720" name="Line 1">
          <a:extLst>
            <a:ext uri="{FF2B5EF4-FFF2-40B4-BE49-F238E27FC236}">
              <a16:creationId xmlns:a16="http://schemas.microsoft.com/office/drawing/2014/main" id="{00000000-0008-0000-0200-0000002A0D00}"/>
            </a:ext>
          </a:extLst>
        </xdr:cNvPr>
        <xdr:cNvSpPr>
          <a:spLocks noChangeShapeType="1"/>
        </xdr:cNvSpPr>
      </xdr:nvSpPr>
      <xdr:spPr bwMode="auto">
        <a:xfrm>
          <a:off x="0" y="1628775"/>
          <a:ext cx="19421475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0</xdr:col>
      <xdr:colOff>0</xdr:colOff>
      <xdr:row>8</xdr:row>
      <xdr:rowOff>0</xdr:rowOff>
    </xdr:from>
    <xdr:to>
      <xdr:col>17</xdr:col>
      <xdr:colOff>0</xdr:colOff>
      <xdr:row>8</xdr:row>
      <xdr:rowOff>0</xdr:rowOff>
    </xdr:to>
    <xdr:sp macro="" textlink="">
      <xdr:nvSpPr>
        <xdr:cNvPr id="12" name="Line 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ShapeType="1"/>
        </xdr:cNvSpPr>
      </xdr:nvSpPr>
      <xdr:spPr bwMode="auto">
        <a:xfrm>
          <a:off x="0" y="2697480"/>
          <a:ext cx="1914144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16</xdr:col>
      <xdr:colOff>0</xdr:colOff>
      <xdr:row>8</xdr:row>
      <xdr:rowOff>0</xdr:rowOff>
    </xdr:to>
    <xdr:sp macro="" textlink="">
      <xdr:nvSpPr>
        <xdr:cNvPr id="859877" name="Line 1">
          <a:extLst>
            <a:ext uri="{FF2B5EF4-FFF2-40B4-BE49-F238E27FC236}">
              <a16:creationId xmlns:a16="http://schemas.microsoft.com/office/drawing/2014/main" id="{00000000-0008-0000-0300-0000E51E0D00}"/>
            </a:ext>
          </a:extLst>
        </xdr:cNvPr>
        <xdr:cNvSpPr>
          <a:spLocks noChangeShapeType="1"/>
        </xdr:cNvSpPr>
      </xdr:nvSpPr>
      <xdr:spPr bwMode="auto">
        <a:xfrm>
          <a:off x="0" y="1628775"/>
          <a:ext cx="18449925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28</xdr:col>
      <xdr:colOff>222250</xdr:colOff>
      <xdr:row>0</xdr:row>
      <xdr:rowOff>179917</xdr:rowOff>
    </xdr:from>
    <xdr:to>
      <xdr:col>29</xdr:col>
      <xdr:colOff>359834</xdr:colOff>
      <xdr:row>3</xdr:row>
      <xdr:rowOff>31750</xdr:rowOff>
    </xdr:to>
    <xdr:sp macro="[0]!Check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34786570" y="179917"/>
          <a:ext cx="1051984" cy="644313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9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Check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28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ShapeType="1"/>
        </xdr:cNvSpPr>
      </xdr:nvSpPr>
      <xdr:spPr bwMode="auto">
        <a:xfrm>
          <a:off x="0" y="1809750"/>
          <a:ext cx="2461260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57150</xdr:rowOff>
    </xdr:from>
    <xdr:to>
      <xdr:col>2</xdr:col>
      <xdr:colOff>428625</xdr:colOff>
      <xdr:row>0</xdr:row>
      <xdr:rowOff>533400</xdr:rowOff>
    </xdr:to>
    <xdr:sp macro="[0]!deleteusage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095375" y="57150"/>
          <a:ext cx="1171575" cy="4762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Delete Usage</a:t>
          </a:r>
        </a:p>
      </xdr:txBody>
    </xdr:sp>
    <xdr:clientData/>
  </xdr:twoCellAnchor>
  <xdr:twoCellAnchor>
    <xdr:from>
      <xdr:col>2</xdr:col>
      <xdr:colOff>542926</xdr:colOff>
      <xdr:row>0</xdr:row>
      <xdr:rowOff>57149</xdr:rowOff>
    </xdr:from>
    <xdr:to>
      <xdr:col>2</xdr:col>
      <xdr:colOff>1628776</xdr:colOff>
      <xdr:row>0</xdr:row>
      <xdr:rowOff>542925</xdr:rowOff>
    </xdr:to>
    <xdr:sp macro="[0]!Load04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2247901" y="57149"/>
          <a:ext cx="1085850" cy="4857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0">
              <a:latin typeface="Times New Roman" panose="02020603050405020304" pitchFamily="18" charset="0"/>
              <a:cs typeface="Times New Roman" panose="02020603050405020304" pitchFamily="18" charset="0"/>
            </a:rPr>
            <a:t>Load Usage</a:t>
          </a:r>
          <a:endParaRPr lang="en-US" sz="11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563306</xdr:colOff>
      <xdr:row>0</xdr:row>
      <xdr:rowOff>122903</xdr:rowOff>
    </xdr:from>
    <xdr:to>
      <xdr:col>17</xdr:col>
      <xdr:colOff>481371</xdr:colOff>
      <xdr:row>0</xdr:row>
      <xdr:rowOff>594032</xdr:rowOff>
    </xdr:to>
    <xdr:sp macro="[0]!Loadproduc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14871290" y="122903"/>
          <a:ext cx="1147097" cy="47112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Load Production</a:t>
          </a:r>
        </a:p>
      </xdr:txBody>
    </xdr:sp>
    <xdr:clientData/>
  </xdr:twoCellAnchor>
  <xdr:twoCellAnchor>
    <xdr:from>
      <xdr:col>14</xdr:col>
      <xdr:colOff>450644</xdr:colOff>
      <xdr:row>0</xdr:row>
      <xdr:rowOff>122903</xdr:rowOff>
    </xdr:from>
    <xdr:to>
      <xdr:col>15</xdr:col>
      <xdr:colOff>368709</xdr:colOff>
      <xdr:row>0</xdr:row>
      <xdr:rowOff>594032</xdr:rowOff>
    </xdr:to>
    <xdr:sp macro="[0]!xoaproduc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3529596" y="122903"/>
          <a:ext cx="1147097" cy="471129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Delete</a:t>
          </a:r>
          <a:r>
            <a:rPr lang="en-US" sz="1200" b="1" baseline="0">
              <a:latin typeface="Times New Roman" pitchFamily="18" charset="0"/>
              <a:cs typeface="Times New Roman" pitchFamily="18" charset="0"/>
            </a:rPr>
            <a:t> </a:t>
          </a:r>
          <a:r>
            <a:rPr lang="en-US" sz="1200" b="1">
              <a:latin typeface="Times New Roman" pitchFamily="18" charset="0"/>
              <a:cs typeface="Times New Roman" pitchFamily="18" charset="0"/>
            </a:rPr>
            <a:t>Production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289560</xdr:colOff>
      <xdr:row>0</xdr:row>
      <xdr:rowOff>78105</xdr:rowOff>
    </xdr:from>
    <xdr:to>
      <xdr:col>2</xdr:col>
      <xdr:colOff>579120</xdr:colOff>
      <xdr:row>4</xdr:row>
      <xdr:rowOff>55245</xdr:rowOff>
    </xdr:to>
    <xdr:sp macro="[0]!LOADINTAKE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04085" y="78105"/>
          <a:ext cx="1070610" cy="624840"/>
        </a:xfrm>
        <a:prstGeom prst="ellipse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LOAD</a:t>
          </a:r>
          <a:r>
            <a:rPr lang="en-US" sz="1100" b="1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INTAKE</a:t>
          </a:r>
          <a:endParaRPr lang="en-US" sz="11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727710</xdr:colOff>
      <xdr:row>0</xdr:row>
      <xdr:rowOff>78105</xdr:rowOff>
    </xdr:from>
    <xdr:to>
      <xdr:col>4</xdr:col>
      <xdr:colOff>22860</xdr:colOff>
      <xdr:row>4</xdr:row>
      <xdr:rowOff>40005</xdr:rowOff>
    </xdr:to>
    <xdr:sp macro="[0]!XOA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423285" y="78105"/>
          <a:ext cx="1076325" cy="609600"/>
        </a:xfrm>
        <a:prstGeom prst="ellipse">
          <a:avLst/>
        </a:prstGeom>
        <a:solidFill>
          <a:srgbClr val="FF000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FFFF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XOÁ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66675</xdr:rowOff>
    </xdr:from>
    <xdr:to>
      <xdr:col>0</xdr:col>
      <xdr:colOff>666750</xdr:colOff>
      <xdr:row>3</xdr:row>
      <xdr:rowOff>161925</xdr:rowOff>
    </xdr:to>
    <xdr:sp macro="[0]!xoaETM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57150" y="66675"/>
          <a:ext cx="609600" cy="5810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Delete ETM</a:t>
          </a:r>
        </a:p>
      </xdr:txBody>
    </xdr:sp>
    <xdr:clientData/>
  </xdr:twoCellAnchor>
  <xdr:twoCellAnchor>
    <xdr:from>
      <xdr:col>0</xdr:col>
      <xdr:colOff>723900</xdr:colOff>
      <xdr:row>0</xdr:row>
      <xdr:rowOff>66675</xdr:rowOff>
    </xdr:from>
    <xdr:to>
      <xdr:col>0</xdr:col>
      <xdr:colOff>1581150</xdr:colOff>
      <xdr:row>3</xdr:row>
      <xdr:rowOff>161925</xdr:rowOff>
    </xdr:to>
    <xdr:sp macro="[0]!LoadETM1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723900" y="66675"/>
          <a:ext cx="857250" cy="5810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Load ETM1</a:t>
          </a:r>
        </a:p>
      </xdr:txBody>
    </xdr:sp>
    <xdr:clientData/>
  </xdr:twoCellAnchor>
  <xdr:twoCellAnchor>
    <xdr:from>
      <xdr:col>0</xdr:col>
      <xdr:colOff>1657350</xdr:colOff>
      <xdr:row>0</xdr:row>
      <xdr:rowOff>76200</xdr:rowOff>
    </xdr:from>
    <xdr:to>
      <xdr:col>0</xdr:col>
      <xdr:colOff>2514600</xdr:colOff>
      <xdr:row>4</xdr:row>
      <xdr:rowOff>0</xdr:rowOff>
    </xdr:to>
    <xdr:sp macro="[0]!LoadETM2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657350" y="76200"/>
          <a:ext cx="857250" cy="5810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Load ETM2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9525</xdr:rowOff>
    </xdr:from>
    <xdr:to>
      <xdr:col>3</xdr:col>
      <xdr:colOff>161925</xdr:colOff>
      <xdr:row>4</xdr:row>
      <xdr:rowOff>285750</xdr:rowOff>
    </xdr:to>
    <xdr:sp macro="[0]!Load06391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2800350" y="581025"/>
          <a:ext cx="971550" cy="4381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Load</a:t>
          </a:r>
          <a:r>
            <a:rPr lang="en-US" sz="1100" baseline="0"/>
            <a:t> RM06</a:t>
          </a:r>
          <a:endParaRPr lang="vi-VN" sz="1100"/>
        </a:p>
      </xdr:txBody>
    </xdr:sp>
    <xdr:clientData/>
  </xdr:twoCellAnchor>
  <xdr:twoCellAnchor>
    <xdr:from>
      <xdr:col>0</xdr:col>
      <xdr:colOff>282574</xdr:colOff>
      <xdr:row>3</xdr:row>
      <xdr:rowOff>9524</xdr:rowOff>
    </xdr:from>
    <xdr:to>
      <xdr:col>0</xdr:col>
      <xdr:colOff>1238250</xdr:colOff>
      <xdr:row>4</xdr:row>
      <xdr:rowOff>295274</xdr:rowOff>
    </xdr:to>
    <xdr:sp macro="[0]!Load04391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282574" y="581024"/>
          <a:ext cx="955676" cy="447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Load</a:t>
          </a:r>
          <a:r>
            <a:rPr lang="en-US" sz="1100" baseline="0"/>
            <a:t> RM 04</a:t>
          </a:r>
          <a:endParaRPr lang="vi-VN" sz="1100"/>
        </a:p>
      </xdr:txBody>
    </xdr:sp>
    <xdr:clientData/>
  </xdr:twoCellAnchor>
  <xdr:twoCellAnchor>
    <xdr:from>
      <xdr:col>0</xdr:col>
      <xdr:colOff>1533525</xdr:colOff>
      <xdr:row>3</xdr:row>
      <xdr:rowOff>0</xdr:rowOff>
    </xdr:from>
    <xdr:to>
      <xdr:col>1</xdr:col>
      <xdr:colOff>809625</xdr:colOff>
      <xdr:row>4</xdr:row>
      <xdr:rowOff>285750</xdr:rowOff>
    </xdr:to>
    <xdr:sp macro="[0]!Load05391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533525" y="571500"/>
          <a:ext cx="971550" cy="447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Load</a:t>
          </a:r>
          <a:r>
            <a:rPr lang="en-US" sz="1100" b="1" baseline="0"/>
            <a:t> RM05</a:t>
          </a:r>
          <a:endParaRPr lang="vi-VN" sz="1100" b="1"/>
        </a:p>
      </xdr:txBody>
    </xdr:sp>
    <xdr:clientData/>
  </xdr:twoCellAnchor>
  <xdr:twoCellAnchor>
    <xdr:from>
      <xdr:col>3</xdr:col>
      <xdr:colOff>438150</xdr:colOff>
      <xdr:row>3</xdr:row>
      <xdr:rowOff>0</xdr:rowOff>
    </xdr:from>
    <xdr:to>
      <xdr:col>4</xdr:col>
      <xdr:colOff>866775</xdr:colOff>
      <xdr:row>4</xdr:row>
      <xdr:rowOff>279400</xdr:rowOff>
    </xdr:to>
    <xdr:sp macro="[0]!Delete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4048125" y="571500"/>
          <a:ext cx="990600" cy="4413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Delete</a:t>
          </a:r>
          <a:endParaRPr lang="vi-V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ctr"/>
      <a:lstStyle>
        <a:defPPr algn="ctr">
          <a:defRPr sz="105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4"/>
  </sheetPr>
  <dimension ref="A1:DC2481"/>
  <sheetViews>
    <sheetView showGridLines="0" showZeros="0" tabSelected="1" zoomScale="66" zoomScaleNormal="66" workbookViewId="0">
      <pane xSplit="2" ySplit="15" topLeftCell="C16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P16" sqref="P16"/>
    </sheetView>
  </sheetViews>
  <sheetFormatPr defaultColWidth="9.140625" defaultRowHeight="18.75" x14ac:dyDescent="0.25"/>
  <cols>
    <col min="1" max="1" width="11" style="57" customWidth="1"/>
    <col min="2" max="2" width="45.85546875" style="2" customWidth="1"/>
    <col min="3" max="3" width="21.5703125" style="13" customWidth="1"/>
    <col min="4" max="4" width="10.28515625" style="16" customWidth="1"/>
    <col min="5" max="5" width="12.28515625" style="15" customWidth="1"/>
    <col min="6" max="6" width="11.85546875" style="141" customWidth="1"/>
    <col min="7" max="7" width="22.140625" style="202" customWidth="1"/>
    <col min="8" max="8" width="21.85546875" style="228" customWidth="1"/>
    <col min="9" max="9" width="21.85546875" style="203" customWidth="1"/>
    <col min="10" max="10" width="21.85546875" style="217" customWidth="1"/>
    <col min="11" max="11" width="21.85546875" style="205" customWidth="1"/>
    <col min="12" max="12" width="22.140625" style="202" customWidth="1"/>
    <col min="13" max="13" width="18.42578125" style="263" customWidth="1"/>
    <col min="14" max="14" width="15.42578125" style="569" customWidth="1"/>
    <col min="15" max="15" width="18.42578125" style="263" customWidth="1"/>
    <col min="16" max="16" width="15.42578125" style="723" customWidth="1"/>
    <col min="17" max="17" width="39.85546875" style="784" hidden="1" customWidth="1"/>
    <col min="18" max="18" width="14.28515625" style="785" hidden="1" customWidth="1"/>
    <col min="19" max="19" width="20.42578125" style="786" hidden="1" customWidth="1"/>
    <col min="20" max="20" width="37.28515625" style="787" hidden="1" customWidth="1"/>
    <col min="21" max="21" width="7.7109375" style="823" hidden="1" customWidth="1"/>
    <col min="22" max="22" width="2.28515625" style="823" hidden="1" customWidth="1"/>
    <col min="23" max="23" width="17" style="823" hidden="1" customWidth="1"/>
    <col min="24" max="24" width="19" style="823" hidden="1" customWidth="1"/>
    <col min="25" max="25" width="14.42578125" style="823" hidden="1" customWidth="1"/>
    <col min="26" max="26" width="15.140625" style="824" hidden="1" customWidth="1"/>
    <col min="27" max="27" width="18.28515625" style="823" hidden="1" customWidth="1"/>
    <col min="28" max="28" width="20.7109375" style="823" hidden="1" customWidth="1"/>
    <col min="29" max="29" width="13.28515625" style="690" customWidth="1"/>
    <col min="30" max="34" width="9.140625" style="679" customWidth="1"/>
    <col min="35" max="45" width="9.140625" style="682" customWidth="1"/>
    <col min="46" max="16384" width="9.140625" style="2"/>
  </cols>
  <sheetData>
    <row r="1" spans="1:45" ht="15.75" x14ac:dyDescent="0.25">
      <c r="A1" s="2148" t="s">
        <v>445</v>
      </c>
      <c r="B1" s="2148"/>
      <c r="C1" s="2148"/>
      <c r="D1" s="2148"/>
      <c r="E1" s="2148"/>
      <c r="F1" s="2148"/>
      <c r="G1" s="2148"/>
      <c r="H1" s="2148"/>
      <c r="I1" s="2148"/>
      <c r="J1" s="2148"/>
      <c r="K1" s="2148"/>
      <c r="L1" s="2148"/>
      <c r="M1" s="2148"/>
      <c r="N1" s="2148"/>
      <c r="O1" s="2148"/>
      <c r="P1" s="2148"/>
      <c r="U1" s="787"/>
      <c r="V1" s="787">
        <v>4</v>
      </c>
      <c r="W1" s="788">
        <f>+SUM(O1607:O1955)</f>
        <v>3944.666666666667</v>
      </c>
      <c r="X1" s="789">
        <f>+R1956</f>
        <v>22462.719999999998</v>
      </c>
      <c r="Y1" s="790"/>
      <c r="Z1" s="791"/>
      <c r="AA1" s="792"/>
      <c r="AB1" s="793"/>
      <c r="AC1" s="679"/>
    </row>
    <row r="2" spans="1:45" ht="23.25" customHeight="1" x14ac:dyDescent="0.25">
      <c r="A2" s="2149" t="s">
        <v>446</v>
      </c>
      <c r="B2" s="2149"/>
      <c r="C2" s="2149"/>
      <c r="D2" s="2149"/>
      <c r="E2" s="2149"/>
      <c r="F2" s="2149"/>
      <c r="G2" s="2149"/>
      <c r="H2" s="2149"/>
      <c r="I2" s="2149"/>
      <c r="J2" s="2149"/>
      <c r="K2" s="2149"/>
      <c r="L2" s="2149"/>
      <c r="M2" s="2149"/>
      <c r="N2" s="2149"/>
      <c r="O2" s="2149"/>
      <c r="P2" s="2149"/>
      <c r="S2" s="1238">
        <v>6</v>
      </c>
      <c r="U2" s="787"/>
      <c r="V2" s="787">
        <v>5</v>
      </c>
      <c r="W2" s="788">
        <f>+O61+O87+O92+O111+O119+O124+O135+O161+O168+O193+O202+O209+O224+O233+O246+O263+O278+O314+O328+O341+O391+O439+O445+O454+O465+O489+O509+O522+O538+O575+O579+O599+O602+O608+O610+O595+O38+O268+O177+O139+O377+O557+O591+O318+O583+O587+O286+O218+O97+O300+O80+O229+O251+O293+O568</f>
        <v>2026250.666666667</v>
      </c>
      <c r="X2" s="789">
        <f>+R611</f>
        <v>12369180</v>
      </c>
      <c r="Y2" s="790"/>
      <c r="Z2" s="791"/>
      <c r="AA2" s="787"/>
      <c r="AB2" s="787"/>
      <c r="AC2" s="679"/>
    </row>
    <row r="3" spans="1:45" ht="31.5" x14ac:dyDescent="0.25">
      <c r="A3" s="1509" t="s">
        <v>133</v>
      </c>
      <c r="B3" s="1509"/>
      <c r="C3" s="1767"/>
      <c r="D3" s="1509"/>
      <c r="E3" s="1509"/>
      <c r="F3" s="1510"/>
      <c r="G3" s="1511"/>
      <c r="H3" s="1512"/>
      <c r="I3" s="1511"/>
      <c r="J3" s="1513"/>
      <c r="K3" s="2102" t="s">
        <v>1483</v>
      </c>
      <c r="L3" s="2102"/>
      <c r="M3" s="1515" t="s">
        <v>1481</v>
      </c>
      <c r="N3" s="1458">
        <v>46279</v>
      </c>
      <c r="O3" s="323" t="s">
        <v>463</v>
      </c>
      <c r="P3" s="1516">
        <v>46284</v>
      </c>
      <c r="U3" s="788"/>
      <c r="V3" s="787">
        <v>6</v>
      </c>
      <c r="W3" s="788">
        <f>+O622+O637+O660+O678+O685+O696+O725+O741+O747+O756+O764+O773+O782+O796+O845+O853+O861+O867+O875+O882+O890+O899+O909+O927+O941+O953+O963+O969+O993+O1000+O1016+O1023+O1040+O1048+O1056+O1069+O1091+O1098+O1106+O1113+O1139+O1150+O1156+O1163+O1195+O1201+O1209+O1222+O1229+O1237+O1249+O1260+O1279+O1284+O1290+O1295+O1300+O1309+O1316+O1347+O1598+O650+O1353+O1361+O1388+O1382+O1373+O1367+O1399+O808+O1330+O1464+O1411+O1407+O1403+O1415+O1421+O1432+O1460+O664+O814+O1128+O1120+O825+O820+O1427+O1469+O1475+O1272+O1480+O1490+O1254+O1062+O975+O987+O1568+O981+O1572+O1577+O1582+O1007+O1500+O1505+O1511+O1522+O1528+O1532+O1538+O1542+O1547+O1586+O1495+O1145+O626+O1553+O1558+O1564+O1516</f>
        <v>42376.166666666664</v>
      </c>
      <c r="X3" s="789">
        <f>+R1599</f>
        <v>259267.26000000007</v>
      </c>
      <c r="Y3" s="790"/>
      <c r="Z3" s="791"/>
      <c r="AA3" s="787"/>
      <c r="AB3" s="550"/>
      <c r="AC3" s="679"/>
    </row>
    <row r="4" spans="1:45" ht="31.5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2103" t="s">
        <v>1484</v>
      </c>
      <c r="L4" s="2103"/>
      <c r="M4" s="1515" t="s">
        <v>1481</v>
      </c>
      <c r="N4" s="1458">
        <v>46286</v>
      </c>
      <c r="O4" s="323" t="s">
        <v>463</v>
      </c>
      <c r="P4" s="1516">
        <v>46291</v>
      </c>
      <c r="U4" s="794" t="s">
        <v>859</v>
      </c>
      <c r="V4" s="787"/>
      <c r="W4" s="788">
        <f>+W1+W2+W3</f>
        <v>2072571.5000000005</v>
      </c>
      <c r="X4" s="789">
        <f>+X1+X2+X3</f>
        <v>12650909.98</v>
      </c>
      <c r="Y4" s="787"/>
      <c r="Z4" s="791"/>
      <c r="AA4" s="787"/>
      <c r="AB4" s="787"/>
      <c r="AC4" s="679"/>
    </row>
    <row r="5" spans="1:45" hidden="1" x14ac:dyDescent="0.25">
      <c r="B5" s="7"/>
      <c r="C5" s="14"/>
      <c r="G5" s="200"/>
      <c r="H5" s="229"/>
      <c r="I5" s="205"/>
      <c r="J5" s="204"/>
      <c r="L5" s="200"/>
      <c r="M5" s="1518"/>
      <c r="N5" s="1519"/>
      <c r="O5" s="368"/>
      <c r="P5" s="1516"/>
      <c r="U5" s="794" t="s">
        <v>858</v>
      </c>
      <c r="V5" s="787"/>
      <c r="W5" s="1058">
        <f>+W4-ETM!F8</f>
        <v>0</v>
      </c>
      <c r="X5" s="1057">
        <f>+X4-'391'!B2</f>
        <v>0</v>
      </c>
      <c r="Y5" s="787"/>
      <c r="Z5" s="842"/>
      <c r="AA5" s="787"/>
      <c r="AB5" s="787"/>
      <c r="AC5" s="679"/>
    </row>
    <row r="6" spans="1:45" ht="33.6" customHeight="1" thickBot="1" x14ac:dyDescent="0.3">
      <c r="A6" s="1506" t="s">
        <v>1478</v>
      </c>
      <c r="B6" s="6" t="s">
        <v>1798</v>
      </c>
      <c r="C6" s="2168" t="s">
        <v>134</v>
      </c>
      <c r="D6" s="2168"/>
      <c r="E6" s="2168"/>
      <c r="F6" s="2168"/>
      <c r="G6" s="2168"/>
      <c r="H6" s="2168"/>
      <c r="I6" s="2168"/>
      <c r="J6" s="2168"/>
      <c r="K6" s="153"/>
      <c r="L6" s="623"/>
      <c r="M6" s="1443"/>
      <c r="N6" s="545"/>
      <c r="O6" s="1443"/>
      <c r="P6" s="1519"/>
      <c r="U6" s="794" t="s">
        <v>858</v>
      </c>
      <c r="V6" s="787"/>
      <c r="W6" s="1956">
        <f>W4-ETM!F8</f>
        <v>0</v>
      </c>
      <c r="X6" s="1057">
        <f>+X4-'391'!B2</f>
        <v>0</v>
      </c>
      <c r="Y6" s="789"/>
      <c r="Z6" s="791"/>
      <c r="AA6" s="787"/>
      <c r="AB6" s="787"/>
      <c r="AC6" s="679"/>
    </row>
    <row r="7" spans="1:45" ht="34.5" customHeight="1" x14ac:dyDescent="0.25">
      <c r="A7" s="1506" t="s">
        <v>1479</v>
      </c>
      <c r="B7" s="6" t="s">
        <v>1799</v>
      </c>
      <c r="C7" s="2168" t="s">
        <v>1448</v>
      </c>
      <c r="D7" s="2168"/>
      <c r="E7" s="2168"/>
      <c r="F7" s="2168"/>
      <c r="G7" s="2168"/>
      <c r="H7" s="2168"/>
      <c r="I7" s="2168"/>
      <c r="J7" s="2168"/>
      <c r="K7" s="1503" t="s">
        <v>1482</v>
      </c>
      <c r="L7" s="386">
        <v>46286</v>
      </c>
      <c r="M7" s="2173" t="s">
        <v>1462</v>
      </c>
      <c r="N7" s="2174"/>
      <c r="O7" s="2171" t="s">
        <v>1464</v>
      </c>
      <c r="P7" s="2172"/>
      <c r="U7" s="787"/>
      <c r="V7" s="787"/>
      <c r="W7" s="787"/>
      <c r="X7" s="787"/>
      <c r="Y7" s="787"/>
      <c r="Z7" s="791"/>
      <c r="AA7" s="787"/>
      <c r="AB7" s="787"/>
      <c r="AC7" s="679"/>
    </row>
    <row r="8" spans="1:45" ht="33.6" customHeight="1" x14ac:dyDescent="0.25">
      <c r="A8" s="1506" t="s">
        <v>1480</v>
      </c>
      <c r="B8" s="6" t="s">
        <v>1797</v>
      </c>
      <c r="C8" s="14"/>
      <c r="D8" s="27"/>
      <c r="E8" s="9"/>
      <c r="F8" s="220"/>
      <c r="G8" s="200"/>
      <c r="H8" s="229"/>
      <c r="I8" s="205"/>
      <c r="J8" s="204"/>
      <c r="L8" s="200"/>
      <c r="M8" s="2176" t="s">
        <v>1463</v>
      </c>
      <c r="N8" s="2177"/>
      <c r="O8" s="2169" t="s">
        <v>1465</v>
      </c>
      <c r="P8" s="2170"/>
      <c r="R8" s="786"/>
      <c r="U8" s="787"/>
      <c r="V8" s="787"/>
      <c r="W8" s="787"/>
      <c r="X8" s="787"/>
      <c r="Y8" s="787"/>
      <c r="Z8" s="791"/>
      <c r="AA8" s="787"/>
      <c r="AB8" s="787"/>
      <c r="AC8" s="679"/>
    </row>
    <row r="9" spans="1:45" ht="15.75" hidden="1" customHeight="1" x14ac:dyDescent="0.25">
      <c r="B9" s="7"/>
      <c r="C9" s="14"/>
      <c r="G9" s="200"/>
      <c r="H9" s="229"/>
      <c r="I9" s="205"/>
      <c r="J9" s="204"/>
      <c r="L9" s="200"/>
      <c r="M9" s="368"/>
      <c r="N9" s="1519"/>
      <c r="O9" s="368"/>
      <c r="P9" s="1520"/>
      <c r="R9" s="786"/>
      <c r="U9" s="787"/>
      <c r="V9" s="787"/>
      <c r="W9" s="787"/>
      <c r="X9" s="787"/>
      <c r="Y9" s="787"/>
      <c r="Z9" s="791"/>
      <c r="AA9" s="787"/>
      <c r="AB9" s="787"/>
      <c r="AC9" s="679"/>
    </row>
    <row r="10" spans="1:45" ht="27.75" hidden="1" customHeight="1" x14ac:dyDescent="0.25">
      <c r="A10" s="2150"/>
      <c r="B10" s="2150"/>
      <c r="C10" s="2150"/>
      <c r="D10" s="2150"/>
      <c r="E10" s="2150"/>
      <c r="F10" s="2150"/>
      <c r="G10" s="2150"/>
      <c r="H10" s="2150"/>
      <c r="I10" s="2150"/>
      <c r="J10" s="2150"/>
      <c r="K10" s="2150"/>
      <c r="L10" s="2150"/>
      <c r="M10" s="2150"/>
      <c r="N10" s="2150"/>
      <c r="O10" s="2150"/>
      <c r="P10" s="2150"/>
      <c r="R10" s="786"/>
      <c r="U10" s="787"/>
      <c r="V10" s="787"/>
      <c r="W10" s="787"/>
      <c r="X10" s="787"/>
      <c r="Y10" s="787"/>
      <c r="Z10" s="791"/>
      <c r="AA10" s="787"/>
      <c r="AB10" s="787"/>
      <c r="AC10" s="679"/>
    </row>
    <row r="11" spans="1:45" hidden="1" x14ac:dyDescent="0.25">
      <c r="B11" s="6"/>
      <c r="C11" s="14"/>
      <c r="G11" s="200"/>
      <c r="H11" s="229"/>
      <c r="I11" s="205"/>
      <c r="J11" s="204"/>
      <c r="L11" s="200"/>
      <c r="M11" s="368"/>
      <c r="O11" s="368"/>
      <c r="U11" s="787"/>
      <c r="V11" s="787"/>
      <c r="W11" s="787"/>
      <c r="X11" s="787"/>
      <c r="Y11" s="787"/>
      <c r="Z11" s="791"/>
      <c r="AA11" s="787"/>
      <c r="AB11" s="787"/>
      <c r="AC11" s="679"/>
    </row>
    <row r="12" spans="1:45" s="397" customFormat="1" ht="33" customHeight="1" x14ac:dyDescent="0.25">
      <c r="A12" s="2151" t="s">
        <v>1449</v>
      </c>
      <c r="B12" s="2136" t="s">
        <v>1</v>
      </c>
      <c r="C12" s="2164" t="s">
        <v>41</v>
      </c>
      <c r="D12" s="2142" t="s">
        <v>1447</v>
      </c>
      <c r="E12" s="2162"/>
      <c r="F12" s="2134" t="s">
        <v>6</v>
      </c>
      <c r="G12" s="1508" t="s">
        <v>5</v>
      </c>
      <c r="H12" s="1508" t="s">
        <v>11</v>
      </c>
      <c r="I12" s="1667" t="s">
        <v>316</v>
      </c>
      <c r="J12" s="1668" t="s">
        <v>307</v>
      </c>
      <c r="K12" s="1667" t="s">
        <v>315</v>
      </c>
      <c r="L12" s="1667" t="s">
        <v>12</v>
      </c>
      <c r="M12" s="1505" t="s">
        <v>313</v>
      </c>
      <c r="N12" s="2178" t="s">
        <v>1458</v>
      </c>
      <c r="O12" s="1505" t="s">
        <v>314</v>
      </c>
      <c r="P12" s="2131" t="s">
        <v>1458</v>
      </c>
      <c r="Q12" s="795"/>
      <c r="R12" s="785"/>
      <c r="S12" s="796"/>
      <c r="T12" s="797"/>
      <c r="U12" s="797"/>
      <c r="V12" s="797"/>
      <c r="W12" s="797"/>
      <c r="X12" s="797"/>
      <c r="Y12" s="797"/>
      <c r="Z12" s="785"/>
      <c r="AA12" s="797"/>
      <c r="AB12" s="797"/>
      <c r="AC12" s="680"/>
      <c r="AD12" s="680"/>
      <c r="AE12" s="680"/>
      <c r="AF12" s="680"/>
      <c r="AG12" s="680"/>
      <c r="AH12" s="680"/>
      <c r="AI12" s="701"/>
      <c r="AJ12" s="701"/>
      <c r="AK12" s="701"/>
      <c r="AL12" s="701"/>
      <c r="AM12" s="701"/>
      <c r="AN12" s="701"/>
      <c r="AO12" s="701"/>
      <c r="AP12" s="701"/>
      <c r="AQ12" s="701"/>
      <c r="AR12" s="701"/>
      <c r="AS12" s="701"/>
    </row>
    <row r="13" spans="1:45" s="397" customFormat="1" ht="37.5" x14ac:dyDescent="0.25">
      <c r="A13" s="2152"/>
      <c r="B13" s="2137"/>
      <c r="C13" s="2165"/>
      <c r="D13" s="2143"/>
      <c r="E13" s="2163"/>
      <c r="F13" s="2135"/>
      <c r="G13" s="1499" t="s">
        <v>1455</v>
      </c>
      <c r="H13" s="1499" t="s">
        <v>1485</v>
      </c>
      <c r="I13" s="1498" t="s">
        <v>1466</v>
      </c>
      <c r="J13" s="1521" t="s">
        <v>1461</v>
      </c>
      <c r="K13" s="1498" t="s">
        <v>1467</v>
      </c>
      <c r="L13" s="1498" t="s">
        <v>1456</v>
      </c>
      <c r="M13" s="1522" t="s">
        <v>1457</v>
      </c>
      <c r="N13" s="2179"/>
      <c r="O13" s="1522" t="s">
        <v>1460</v>
      </c>
      <c r="P13" s="2132"/>
      <c r="Q13" s="808"/>
      <c r="R13" s="785"/>
      <c r="S13" s="796"/>
      <c r="T13" s="797"/>
      <c r="U13" s="797"/>
      <c r="V13" s="797"/>
      <c r="W13" s="797"/>
      <c r="X13" s="797"/>
      <c r="Y13" s="797"/>
      <c r="Z13" s="785"/>
      <c r="AA13" s="797"/>
      <c r="AB13" s="797"/>
      <c r="AC13" s="680"/>
      <c r="AD13" s="680"/>
      <c r="AE13" s="680"/>
      <c r="AF13" s="680"/>
      <c r="AG13" s="680"/>
      <c r="AH13" s="680"/>
      <c r="AI13" s="701"/>
      <c r="AJ13" s="701"/>
      <c r="AK13" s="701"/>
      <c r="AL13" s="701"/>
      <c r="AM13" s="701"/>
      <c r="AN13" s="701"/>
      <c r="AO13" s="701"/>
      <c r="AP13" s="701"/>
      <c r="AQ13" s="701"/>
      <c r="AR13" s="701"/>
      <c r="AS13" s="701"/>
    </row>
    <row r="14" spans="1:45" s="397" customFormat="1" ht="31.5" customHeight="1" x14ac:dyDescent="0.25">
      <c r="A14" s="2140" t="s">
        <v>1450</v>
      </c>
      <c r="B14" s="2138" t="s">
        <v>1451</v>
      </c>
      <c r="C14" s="2142" t="s">
        <v>1452</v>
      </c>
      <c r="D14" s="2140" t="s">
        <v>1453</v>
      </c>
      <c r="E14" s="2144"/>
      <c r="F14" s="2146" t="s">
        <v>1454</v>
      </c>
      <c r="G14" s="1499" t="s">
        <v>303</v>
      </c>
      <c r="H14" s="1499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500" t="s">
        <v>308</v>
      </c>
      <c r="N14" s="2180" t="s">
        <v>1459</v>
      </c>
      <c r="O14" s="1501" t="s">
        <v>308</v>
      </c>
      <c r="P14" s="2138" t="s">
        <v>1459</v>
      </c>
      <c r="Q14" s="808"/>
      <c r="R14" s="785"/>
      <c r="S14" s="796"/>
      <c r="T14" s="797"/>
      <c r="U14" s="797"/>
      <c r="V14" s="797"/>
      <c r="W14" s="797"/>
      <c r="X14" s="797"/>
      <c r="Y14" s="797"/>
      <c r="Z14" s="785"/>
      <c r="AA14" s="797"/>
      <c r="AB14" s="797"/>
      <c r="AC14" s="680"/>
      <c r="AD14" s="680"/>
      <c r="AE14" s="680"/>
      <c r="AF14" s="680"/>
      <c r="AG14" s="680"/>
      <c r="AH14" s="680"/>
      <c r="AI14" s="701"/>
      <c r="AJ14" s="701"/>
      <c r="AK14" s="701"/>
      <c r="AL14" s="701"/>
      <c r="AM14" s="701"/>
      <c r="AN14" s="701"/>
      <c r="AO14" s="701"/>
      <c r="AP14" s="701"/>
      <c r="AQ14" s="701"/>
      <c r="AR14" s="701"/>
      <c r="AS14" s="701"/>
    </row>
    <row r="15" spans="1:45" s="397" customFormat="1" ht="32.25" customHeight="1" x14ac:dyDescent="0.25">
      <c r="A15" s="2141"/>
      <c r="B15" s="2139"/>
      <c r="C15" s="2143"/>
      <c r="D15" s="2141"/>
      <c r="E15" s="2145"/>
      <c r="F15" s="2147"/>
      <c r="G15" s="1523" t="s">
        <v>1468</v>
      </c>
      <c r="H15" s="1523" t="s">
        <v>1468</v>
      </c>
      <c r="I15" s="1523" t="s">
        <v>1468</v>
      </c>
      <c r="J15" s="1523" t="s">
        <v>1468</v>
      </c>
      <c r="K15" s="1523" t="s">
        <v>1468</v>
      </c>
      <c r="L15" s="1523" t="s">
        <v>1468</v>
      </c>
      <c r="M15" s="1507" t="s">
        <v>1469</v>
      </c>
      <c r="N15" s="2143"/>
      <c r="O15" s="1524" t="s">
        <v>1469</v>
      </c>
      <c r="P15" s="2139"/>
      <c r="Q15" s="795"/>
      <c r="R15" s="798"/>
      <c r="S15" s="796"/>
      <c r="T15" s="797"/>
      <c r="U15" s="797"/>
      <c r="V15" s="797"/>
      <c r="W15" s="797"/>
      <c r="X15" s="797"/>
      <c r="Y15" s="797"/>
      <c r="Z15" s="785"/>
      <c r="AA15" s="797"/>
      <c r="AB15" s="797"/>
      <c r="AC15" s="680"/>
      <c r="AD15" s="680"/>
      <c r="AE15" s="680"/>
      <c r="AF15" s="680"/>
      <c r="AG15" s="680"/>
      <c r="AH15" s="680"/>
      <c r="AI15" s="701"/>
      <c r="AJ15" s="701"/>
      <c r="AK15" s="701"/>
      <c r="AL15" s="701"/>
      <c r="AM15" s="701"/>
      <c r="AN15" s="701"/>
      <c r="AO15" s="701"/>
      <c r="AP15" s="701"/>
      <c r="AQ15" s="701"/>
      <c r="AR15" s="701"/>
      <c r="AS15" s="701"/>
    </row>
    <row r="16" spans="1:45" s="397" customFormat="1" ht="30" customHeight="1" x14ac:dyDescent="0.25">
      <c r="A16" s="2158">
        <f>IF(L88=0,"",1)</f>
        <v>1</v>
      </c>
      <c r="B16" s="2082" t="s">
        <v>254</v>
      </c>
      <c r="C16" s="1504" t="s">
        <v>200</v>
      </c>
      <c r="D16" s="910" t="s">
        <v>10</v>
      </c>
      <c r="E16" s="890">
        <v>46272</v>
      </c>
      <c r="F16" s="292">
        <f t="shared" ref="F16:F36" si="0">$L$7-E16</f>
        <v>14</v>
      </c>
      <c r="G16" s="315">
        <v>210000</v>
      </c>
      <c r="H16" s="304"/>
      <c r="I16" s="304"/>
      <c r="J16" s="284"/>
      <c r="K16" s="1820"/>
      <c r="L16" s="1701">
        <f t="shared" ref="L16:L37" si="1">+G16+H16+I16-J16-K16</f>
        <v>210000</v>
      </c>
      <c r="M16" s="1445"/>
      <c r="N16" s="511"/>
      <c r="O16" s="1445"/>
      <c r="P16" s="1502"/>
      <c r="Q16" s="795"/>
      <c r="R16" s="785"/>
      <c r="S16" s="796"/>
      <c r="T16" s="797"/>
      <c r="U16" s="797"/>
      <c r="V16" s="797"/>
      <c r="W16" s="797"/>
      <c r="X16" s="797"/>
      <c r="Y16" s="797"/>
      <c r="Z16" s="785"/>
      <c r="AA16" s="797"/>
      <c r="AB16" s="797"/>
      <c r="AC16" s="680"/>
      <c r="AD16" s="680"/>
      <c r="AE16" s="680"/>
      <c r="AF16" s="680"/>
      <c r="AG16" s="680"/>
      <c r="AH16" s="680"/>
      <c r="AI16" s="701"/>
      <c r="AJ16" s="701"/>
      <c r="AK16" s="701"/>
      <c r="AL16" s="701"/>
      <c r="AM16" s="701"/>
      <c r="AN16" s="701"/>
      <c r="AO16" s="701"/>
      <c r="AP16" s="701"/>
      <c r="AQ16" s="701"/>
      <c r="AR16" s="701"/>
      <c r="AS16" s="701"/>
    </row>
    <row r="17" spans="1:45" s="397" customFormat="1" ht="27" hidden="1" customHeight="1" x14ac:dyDescent="0.25">
      <c r="A17" s="2158"/>
      <c r="B17" s="2076"/>
      <c r="C17" s="1504" t="s">
        <v>469</v>
      </c>
      <c r="D17" s="850" t="s">
        <v>10</v>
      </c>
      <c r="E17" s="851">
        <v>45951</v>
      </c>
      <c r="F17" s="292">
        <f t="shared" si="0"/>
        <v>335</v>
      </c>
      <c r="G17" s="36">
        <v>0</v>
      </c>
      <c r="H17" s="297"/>
      <c r="I17" s="297"/>
      <c r="J17" s="284"/>
      <c r="K17" s="304"/>
      <c r="L17" s="1701">
        <f t="shared" si="1"/>
        <v>0</v>
      </c>
      <c r="M17" s="1445"/>
      <c r="N17" s="511"/>
      <c r="O17" s="1445"/>
      <c r="P17" s="1476"/>
      <c r="Q17" s="795"/>
      <c r="R17" s="785"/>
      <c r="S17" s="796"/>
      <c r="T17" s="797"/>
      <c r="U17" s="797"/>
      <c r="V17" s="797"/>
      <c r="W17" s="797"/>
      <c r="X17" s="797"/>
      <c r="Y17" s="797"/>
      <c r="Z17" s="785"/>
      <c r="AA17" s="797"/>
      <c r="AB17" s="797"/>
      <c r="AC17" s="680"/>
      <c r="AD17" s="680"/>
      <c r="AE17" s="680"/>
      <c r="AF17" s="680"/>
      <c r="AG17" s="680"/>
      <c r="AH17" s="680"/>
      <c r="AI17" s="701"/>
      <c r="AJ17" s="701"/>
      <c r="AK17" s="701"/>
      <c r="AL17" s="701"/>
      <c r="AM17" s="701"/>
      <c r="AN17" s="701"/>
      <c r="AO17" s="701"/>
      <c r="AP17" s="701"/>
      <c r="AQ17" s="701"/>
      <c r="AR17" s="701"/>
      <c r="AS17" s="701"/>
    </row>
    <row r="18" spans="1:45" s="397" customFormat="1" ht="30" hidden="1" customHeight="1" x14ac:dyDescent="0.25">
      <c r="A18" s="2158"/>
      <c r="B18" s="2076"/>
      <c r="C18" s="135" t="s">
        <v>444</v>
      </c>
      <c r="D18" s="850" t="s">
        <v>10</v>
      </c>
      <c r="E18" s="851">
        <v>46280</v>
      </c>
      <c r="F18" s="292">
        <f t="shared" si="0"/>
        <v>6</v>
      </c>
      <c r="G18" s="36">
        <v>0</v>
      </c>
      <c r="H18" s="297"/>
      <c r="I18" s="297"/>
      <c r="J18" s="281"/>
      <c r="K18" s="297"/>
      <c r="L18" s="1701">
        <f t="shared" si="1"/>
        <v>0</v>
      </c>
      <c r="M18" s="1446"/>
      <c r="N18" s="241"/>
      <c r="O18" s="1446"/>
      <c r="P18" s="728"/>
      <c r="Q18" s="795"/>
      <c r="R18" s="785"/>
      <c r="S18" s="796"/>
      <c r="T18" s="797"/>
      <c r="U18" s="797"/>
      <c r="V18" s="797"/>
      <c r="W18" s="797"/>
      <c r="X18" s="797"/>
      <c r="Y18" s="797"/>
      <c r="Z18" s="785"/>
      <c r="AA18" s="797"/>
      <c r="AB18" s="797"/>
      <c r="AC18" s="680"/>
      <c r="AD18" s="680"/>
      <c r="AE18" s="680"/>
      <c r="AF18" s="680"/>
      <c r="AG18" s="680"/>
      <c r="AH18" s="680"/>
      <c r="AI18" s="701"/>
      <c r="AJ18" s="701"/>
      <c r="AK18" s="701"/>
      <c r="AL18" s="701"/>
      <c r="AM18" s="701"/>
      <c r="AN18" s="701"/>
      <c r="AO18" s="701"/>
      <c r="AP18" s="701"/>
      <c r="AQ18" s="701"/>
      <c r="AR18" s="701"/>
      <c r="AS18" s="701"/>
    </row>
    <row r="19" spans="1:45" s="397" customFormat="1" ht="30" hidden="1" customHeight="1" x14ac:dyDescent="0.25">
      <c r="A19" s="2158"/>
      <c r="B19" s="2076"/>
      <c r="C19" s="135" t="s">
        <v>467</v>
      </c>
      <c r="D19" s="850" t="s">
        <v>10</v>
      </c>
      <c r="E19" s="851">
        <v>46203</v>
      </c>
      <c r="F19" s="292">
        <f t="shared" si="0"/>
        <v>83</v>
      </c>
      <c r="G19" s="36">
        <v>0</v>
      </c>
      <c r="H19" s="297"/>
      <c r="I19" s="297"/>
      <c r="J19" s="281"/>
      <c r="K19" s="297"/>
      <c r="L19" s="1701">
        <f t="shared" si="1"/>
        <v>0</v>
      </c>
      <c r="M19" s="1446"/>
      <c r="N19" s="241"/>
      <c r="O19" s="1446"/>
      <c r="P19" s="728"/>
      <c r="Q19" s="795"/>
      <c r="R19" s="785"/>
      <c r="S19" s="796"/>
      <c r="T19" s="797"/>
      <c r="U19" s="797"/>
      <c r="V19" s="797"/>
      <c r="W19" s="797"/>
      <c r="X19" s="797"/>
      <c r="Y19" s="797"/>
      <c r="Z19" s="785"/>
      <c r="AA19" s="797"/>
      <c r="AB19" s="797"/>
      <c r="AC19" s="680"/>
      <c r="AD19" s="680"/>
      <c r="AE19" s="680"/>
      <c r="AF19" s="680"/>
      <c r="AG19" s="680"/>
      <c r="AH19" s="680"/>
      <c r="AI19" s="701"/>
      <c r="AJ19" s="701"/>
      <c r="AK19" s="701"/>
      <c r="AL19" s="701"/>
      <c r="AM19" s="701"/>
      <c r="AN19" s="701"/>
      <c r="AO19" s="701"/>
      <c r="AP19" s="701"/>
      <c r="AQ19" s="701"/>
      <c r="AR19" s="701"/>
      <c r="AS19" s="701"/>
    </row>
    <row r="20" spans="1:45" s="397" customFormat="1" ht="30" customHeight="1" x14ac:dyDescent="0.25">
      <c r="A20" s="2158"/>
      <c r="B20" s="2076"/>
      <c r="C20" s="135" t="s">
        <v>470</v>
      </c>
      <c r="D20" s="850" t="s">
        <v>10</v>
      </c>
      <c r="E20" s="851">
        <v>46284</v>
      </c>
      <c r="F20" s="292">
        <f t="shared" si="0"/>
        <v>2</v>
      </c>
      <c r="G20" s="296">
        <v>280000</v>
      </c>
      <c r="H20" s="297"/>
      <c r="I20" s="297"/>
      <c r="J20" s="281"/>
      <c r="K20" s="297"/>
      <c r="L20" s="1701">
        <f t="shared" si="1"/>
        <v>280000</v>
      </c>
      <c r="M20" s="1446"/>
      <c r="N20" s="241"/>
      <c r="O20" s="1446"/>
      <c r="P20" s="728"/>
      <c r="Q20" s="795"/>
      <c r="R20" s="785"/>
      <c r="S20" s="796"/>
      <c r="T20" s="797"/>
      <c r="U20" s="797"/>
      <c r="V20" s="797"/>
      <c r="W20" s="797"/>
      <c r="X20" s="797"/>
      <c r="Y20" s="797"/>
      <c r="Z20" s="785"/>
      <c r="AA20" s="797"/>
      <c r="AB20" s="797"/>
      <c r="AC20" s="680"/>
      <c r="AD20" s="680"/>
      <c r="AE20" s="680"/>
      <c r="AF20" s="680"/>
      <c r="AG20" s="680"/>
      <c r="AH20" s="680"/>
      <c r="AI20" s="701"/>
      <c r="AJ20" s="701"/>
      <c r="AK20" s="701"/>
      <c r="AL20" s="701"/>
      <c r="AM20" s="701"/>
      <c r="AN20" s="701"/>
      <c r="AO20" s="701"/>
      <c r="AP20" s="701"/>
      <c r="AQ20" s="701"/>
      <c r="AR20" s="701"/>
      <c r="AS20" s="701"/>
    </row>
    <row r="21" spans="1:45" s="397" customFormat="1" ht="30" hidden="1" customHeight="1" x14ac:dyDescent="0.25">
      <c r="A21" s="2158"/>
      <c r="B21" s="2082"/>
      <c r="C21" s="135" t="s">
        <v>479</v>
      </c>
      <c r="D21" s="850" t="s">
        <v>10</v>
      </c>
      <c r="E21" s="851">
        <v>46281</v>
      </c>
      <c r="F21" s="292">
        <f t="shared" si="0"/>
        <v>5</v>
      </c>
      <c r="G21" s="36">
        <v>0</v>
      </c>
      <c r="H21" s="297"/>
      <c r="I21" s="297"/>
      <c r="J21" s="280"/>
      <c r="K21" s="297"/>
      <c r="L21" s="1701">
        <f t="shared" si="1"/>
        <v>0</v>
      </c>
      <c r="M21" s="1446"/>
      <c r="N21" s="241"/>
      <c r="O21" s="1446"/>
      <c r="P21" s="728"/>
      <c r="Q21" s="808"/>
      <c r="R21" s="785"/>
      <c r="S21" s="796"/>
      <c r="T21" s="797"/>
      <c r="U21" s="797"/>
      <c r="V21" s="797"/>
      <c r="W21" s="797"/>
      <c r="X21" s="797"/>
      <c r="Y21" s="797"/>
      <c r="Z21" s="785"/>
      <c r="AA21" s="797"/>
      <c r="AB21" s="797"/>
      <c r="AC21" s="680"/>
      <c r="AD21" s="680"/>
      <c r="AE21" s="680"/>
      <c r="AF21" s="680"/>
      <c r="AG21" s="680"/>
      <c r="AH21" s="680"/>
      <c r="AI21" s="701"/>
      <c r="AJ21" s="701"/>
      <c r="AK21" s="701"/>
      <c r="AL21" s="701"/>
      <c r="AM21" s="701"/>
      <c r="AN21" s="701"/>
      <c r="AO21" s="701"/>
      <c r="AP21" s="701"/>
      <c r="AQ21" s="701"/>
      <c r="AR21" s="701"/>
      <c r="AS21" s="701"/>
    </row>
    <row r="22" spans="1:45" s="397" customFormat="1" ht="30" hidden="1" customHeight="1" x14ac:dyDescent="0.25">
      <c r="A22" s="2158"/>
      <c r="B22" s="2082"/>
      <c r="C22" s="135" t="s">
        <v>478</v>
      </c>
      <c r="D22" s="850" t="s">
        <v>10</v>
      </c>
      <c r="E22" s="851">
        <v>46280</v>
      </c>
      <c r="F22" s="292">
        <f t="shared" si="0"/>
        <v>6</v>
      </c>
      <c r="G22" s="36">
        <v>0</v>
      </c>
      <c r="H22" s="297"/>
      <c r="I22" s="297"/>
      <c r="J22" s="280"/>
      <c r="K22" s="297"/>
      <c r="L22" s="1701">
        <f t="shared" si="1"/>
        <v>0</v>
      </c>
      <c r="M22" s="1446"/>
      <c r="N22" s="241"/>
      <c r="O22" s="1446"/>
      <c r="P22" s="728"/>
      <c r="Q22" s="808"/>
      <c r="R22" s="785"/>
      <c r="S22" s="796"/>
      <c r="T22" s="797"/>
      <c r="U22" s="797"/>
      <c r="V22" s="797"/>
      <c r="W22" s="797"/>
      <c r="X22" s="797"/>
      <c r="Y22" s="797"/>
      <c r="Z22" s="785"/>
      <c r="AA22" s="797"/>
      <c r="AB22" s="797"/>
      <c r="AC22" s="680"/>
      <c r="AD22" s="680"/>
      <c r="AE22" s="680"/>
      <c r="AF22" s="680"/>
      <c r="AG22" s="680"/>
      <c r="AH22" s="680"/>
      <c r="AI22" s="701"/>
      <c r="AJ22" s="701"/>
      <c r="AK22" s="701"/>
      <c r="AL22" s="701"/>
      <c r="AM22" s="701"/>
      <c r="AN22" s="701"/>
      <c r="AO22" s="701"/>
      <c r="AP22" s="701"/>
      <c r="AQ22" s="701"/>
      <c r="AR22" s="701"/>
      <c r="AS22" s="701"/>
    </row>
    <row r="23" spans="1:45" s="397" customFormat="1" ht="30" hidden="1" customHeight="1" x14ac:dyDescent="0.25">
      <c r="A23" s="2158"/>
      <c r="B23" s="2082"/>
      <c r="C23" s="135" t="s">
        <v>466</v>
      </c>
      <c r="D23" s="850" t="s">
        <v>10</v>
      </c>
      <c r="E23" s="851">
        <v>45666</v>
      </c>
      <c r="F23" s="292">
        <f t="shared" si="0"/>
        <v>620</v>
      </c>
      <c r="G23" s="36">
        <v>0</v>
      </c>
      <c r="H23" s="297"/>
      <c r="I23" s="297"/>
      <c r="J23" s="280"/>
      <c r="K23" s="298"/>
      <c r="L23" s="1701">
        <f t="shared" si="1"/>
        <v>0</v>
      </c>
      <c r="M23" s="1446"/>
      <c r="N23" s="241"/>
      <c r="O23" s="1446"/>
      <c r="P23" s="728"/>
      <c r="Q23" s="808"/>
      <c r="R23" s="785"/>
      <c r="S23" s="796"/>
      <c r="T23" s="797"/>
      <c r="U23" s="797"/>
      <c r="V23" s="797"/>
      <c r="W23" s="797"/>
      <c r="X23" s="797"/>
      <c r="Y23" s="797"/>
      <c r="Z23" s="785"/>
      <c r="AA23" s="797"/>
      <c r="AB23" s="797"/>
      <c r="AC23" s="680"/>
      <c r="AD23" s="680"/>
      <c r="AE23" s="680"/>
      <c r="AF23" s="680"/>
      <c r="AG23" s="680"/>
      <c r="AH23" s="680"/>
      <c r="AI23" s="701"/>
      <c r="AJ23" s="701"/>
      <c r="AK23" s="701"/>
      <c r="AL23" s="701"/>
      <c r="AM23" s="701"/>
      <c r="AN23" s="701"/>
      <c r="AO23" s="701"/>
      <c r="AP23" s="701"/>
      <c r="AQ23" s="701"/>
      <c r="AR23" s="701"/>
      <c r="AS23" s="701"/>
    </row>
    <row r="24" spans="1:45" s="397" customFormat="1" ht="30" hidden="1" customHeight="1" x14ac:dyDescent="0.25">
      <c r="A24" s="2158"/>
      <c r="B24" s="2082"/>
      <c r="C24" s="135" t="s">
        <v>477</v>
      </c>
      <c r="D24" s="852" t="s">
        <v>10</v>
      </c>
      <c r="E24" s="851">
        <v>46281</v>
      </c>
      <c r="F24" s="292">
        <f t="shared" si="0"/>
        <v>5</v>
      </c>
      <c r="G24" s="36">
        <v>0</v>
      </c>
      <c r="H24" s="297"/>
      <c r="I24" s="297"/>
      <c r="J24" s="280"/>
      <c r="K24" s="298"/>
      <c r="L24" s="1701">
        <f t="shared" si="1"/>
        <v>0</v>
      </c>
      <c r="M24" s="1446"/>
      <c r="N24" s="241"/>
      <c r="O24" s="1446"/>
      <c r="P24" s="728"/>
      <c r="Q24" s="808"/>
      <c r="R24" s="785"/>
      <c r="S24" s="796"/>
      <c r="T24" s="797"/>
      <c r="U24" s="797"/>
      <c r="V24" s="797"/>
      <c r="W24" s="797"/>
      <c r="X24" s="797"/>
      <c r="Y24" s="797"/>
      <c r="Z24" s="785"/>
      <c r="AA24" s="797"/>
      <c r="AB24" s="797"/>
      <c r="AC24" s="680"/>
      <c r="AD24" s="680"/>
      <c r="AE24" s="680"/>
      <c r="AF24" s="680"/>
      <c r="AG24" s="680"/>
      <c r="AH24" s="680"/>
      <c r="AI24" s="701"/>
      <c r="AJ24" s="701"/>
      <c r="AK24" s="701"/>
      <c r="AL24" s="701"/>
      <c r="AM24" s="701"/>
      <c r="AN24" s="701"/>
      <c r="AO24" s="701"/>
      <c r="AP24" s="701"/>
      <c r="AQ24" s="701"/>
      <c r="AR24" s="701"/>
      <c r="AS24" s="701"/>
    </row>
    <row r="25" spans="1:45" s="397" customFormat="1" ht="30" hidden="1" customHeight="1" x14ac:dyDescent="0.25">
      <c r="A25" s="2158"/>
      <c r="B25" s="2082"/>
      <c r="C25" s="135" t="s">
        <v>476</v>
      </c>
      <c r="D25" s="850" t="s">
        <v>10</v>
      </c>
      <c r="E25" s="851">
        <v>46280</v>
      </c>
      <c r="F25" s="292">
        <f t="shared" si="0"/>
        <v>6</v>
      </c>
      <c r="G25" s="36">
        <v>0</v>
      </c>
      <c r="H25" s="297"/>
      <c r="I25" s="297"/>
      <c r="J25" s="280"/>
      <c r="K25" s="298"/>
      <c r="L25" s="1701">
        <f t="shared" si="1"/>
        <v>0</v>
      </c>
      <c r="M25" s="1446"/>
      <c r="N25" s="241"/>
      <c r="O25" s="1446"/>
      <c r="P25" s="728"/>
      <c r="Q25" s="808"/>
      <c r="R25" s="785"/>
      <c r="S25" s="796"/>
      <c r="T25" s="797"/>
      <c r="U25" s="797"/>
      <c r="V25" s="797"/>
      <c r="W25" s="797"/>
      <c r="X25" s="797"/>
      <c r="Y25" s="797"/>
      <c r="Z25" s="785"/>
      <c r="AA25" s="797"/>
      <c r="AB25" s="797"/>
      <c r="AC25" s="680"/>
      <c r="AD25" s="680"/>
      <c r="AE25" s="680"/>
      <c r="AF25" s="680"/>
      <c r="AG25" s="680"/>
      <c r="AH25" s="680"/>
      <c r="AI25" s="701"/>
      <c r="AJ25" s="701"/>
      <c r="AK25" s="701"/>
      <c r="AL25" s="701"/>
      <c r="AM25" s="701"/>
      <c r="AN25" s="701"/>
      <c r="AO25" s="701"/>
      <c r="AP25" s="701"/>
      <c r="AQ25" s="701"/>
      <c r="AR25" s="701"/>
      <c r="AS25" s="701"/>
    </row>
    <row r="26" spans="1:45" s="397" customFormat="1" ht="30" hidden="1" customHeight="1" x14ac:dyDescent="0.25">
      <c r="A26" s="2158"/>
      <c r="B26" s="2082"/>
      <c r="C26" s="135" t="s">
        <v>475</v>
      </c>
      <c r="D26" s="850" t="s">
        <v>10</v>
      </c>
      <c r="E26" s="853">
        <v>46280</v>
      </c>
      <c r="F26" s="292">
        <f t="shared" si="0"/>
        <v>6</v>
      </c>
      <c r="G26" s="36">
        <v>0</v>
      </c>
      <c r="H26" s="298"/>
      <c r="I26" s="298"/>
      <c r="J26" s="280"/>
      <c r="K26" s="298"/>
      <c r="L26" s="1701">
        <f t="shared" si="1"/>
        <v>0</v>
      </c>
      <c r="M26" s="1446"/>
      <c r="N26" s="241"/>
      <c r="O26" s="1446"/>
      <c r="P26" s="728"/>
      <c r="Q26" s="808"/>
      <c r="R26" s="785"/>
      <c r="S26" s="796"/>
      <c r="T26" s="797"/>
      <c r="U26" s="797"/>
      <c r="V26" s="797"/>
      <c r="W26" s="797"/>
      <c r="X26" s="797"/>
      <c r="Y26" s="797"/>
      <c r="Z26" s="785"/>
      <c r="AA26" s="797"/>
      <c r="AB26" s="797"/>
      <c r="AC26" s="680"/>
      <c r="AD26" s="680"/>
      <c r="AE26" s="680"/>
      <c r="AF26" s="680"/>
      <c r="AG26" s="680"/>
      <c r="AH26" s="680"/>
      <c r="AI26" s="701"/>
      <c r="AJ26" s="701"/>
      <c r="AK26" s="701"/>
      <c r="AL26" s="701"/>
      <c r="AM26" s="701"/>
      <c r="AN26" s="701"/>
      <c r="AO26" s="701"/>
      <c r="AP26" s="701"/>
      <c r="AQ26" s="701"/>
      <c r="AR26" s="701"/>
      <c r="AS26" s="701"/>
    </row>
    <row r="27" spans="1:45" s="397" customFormat="1" ht="30" customHeight="1" x14ac:dyDescent="0.25">
      <c r="A27" s="2158"/>
      <c r="B27" s="2082"/>
      <c r="C27" s="135" t="s">
        <v>79</v>
      </c>
      <c r="D27" s="850" t="s">
        <v>10</v>
      </c>
      <c r="E27" s="1210">
        <v>46281</v>
      </c>
      <c r="F27" s="292">
        <f t="shared" si="0"/>
        <v>5</v>
      </c>
      <c r="G27" s="36">
        <f>5401590+392452</f>
        <v>5794042</v>
      </c>
      <c r="H27" s="298"/>
      <c r="I27" s="298">
        <v>96050</v>
      </c>
      <c r="J27" s="280"/>
      <c r="K27" s="634">
        <v>500000</v>
      </c>
      <c r="L27" s="1701">
        <f t="shared" si="1"/>
        <v>5390092</v>
      </c>
      <c r="M27" s="1446"/>
      <c r="N27" s="241"/>
      <c r="O27" s="1446"/>
      <c r="P27" s="728"/>
      <c r="Q27" s="808"/>
      <c r="R27" s="785"/>
      <c r="S27" s="796"/>
      <c r="T27" s="797"/>
      <c r="U27" s="797"/>
      <c r="V27" s="797"/>
      <c r="W27" s="797"/>
      <c r="X27" s="797"/>
      <c r="Y27" s="797"/>
      <c r="Z27" s="785"/>
      <c r="AA27" s="797"/>
      <c r="AB27" s="797"/>
      <c r="AC27" s="680"/>
      <c r="AD27" s="680"/>
      <c r="AE27" s="680"/>
      <c r="AF27" s="680"/>
      <c r="AG27" s="680"/>
      <c r="AH27" s="680"/>
      <c r="AI27" s="701"/>
      <c r="AJ27" s="701"/>
      <c r="AK27" s="701"/>
      <c r="AL27" s="701"/>
      <c r="AM27" s="701"/>
      <c r="AN27" s="701"/>
      <c r="AO27" s="701"/>
      <c r="AP27" s="701"/>
      <c r="AQ27" s="701"/>
      <c r="AR27" s="701"/>
      <c r="AS27" s="701"/>
    </row>
    <row r="28" spans="1:45" s="397" customFormat="1" ht="30" hidden="1" customHeight="1" x14ac:dyDescent="0.25">
      <c r="A28" s="2158"/>
      <c r="B28" s="2082"/>
      <c r="C28" s="135"/>
      <c r="D28" s="850" t="s">
        <v>10</v>
      </c>
      <c r="E28" s="1210"/>
      <c r="F28" s="292"/>
      <c r="G28" s="36">
        <v>0</v>
      </c>
      <c r="H28" s="298"/>
      <c r="I28" s="298"/>
      <c r="J28" s="280"/>
      <c r="K28" s="634"/>
      <c r="L28" s="1701">
        <f t="shared" si="1"/>
        <v>0</v>
      </c>
      <c r="M28" s="1446"/>
      <c r="N28" s="241"/>
      <c r="O28" s="1446"/>
      <c r="P28" s="728"/>
      <c r="Q28" s="808"/>
      <c r="R28" s="785"/>
      <c r="S28" s="796"/>
      <c r="T28" s="797"/>
      <c r="U28" s="797"/>
      <c r="V28" s="797"/>
      <c r="W28" s="797"/>
      <c r="X28" s="797"/>
      <c r="Y28" s="797"/>
      <c r="Z28" s="785"/>
      <c r="AA28" s="797"/>
      <c r="AB28" s="797"/>
      <c r="AC28" s="680"/>
      <c r="AD28" s="680"/>
      <c r="AE28" s="680"/>
      <c r="AF28" s="680"/>
      <c r="AG28" s="680"/>
      <c r="AH28" s="680"/>
      <c r="AI28" s="701"/>
      <c r="AJ28" s="701"/>
      <c r="AK28" s="701"/>
      <c r="AL28" s="701"/>
      <c r="AM28" s="701"/>
      <c r="AN28" s="701"/>
      <c r="AO28" s="701"/>
      <c r="AP28" s="701"/>
      <c r="AQ28" s="701"/>
      <c r="AR28" s="701"/>
      <c r="AS28" s="701"/>
    </row>
    <row r="29" spans="1:45" s="397" customFormat="1" ht="30" hidden="1" customHeight="1" x14ac:dyDescent="0.25">
      <c r="A29" s="2158"/>
      <c r="B29" s="2082"/>
      <c r="C29" s="135"/>
      <c r="D29" s="850" t="s">
        <v>10</v>
      </c>
      <c r="E29" s="1210"/>
      <c r="F29" s="73"/>
      <c r="G29" s="36">
        <v>0</v>
      </c>
      <c r="H29" s="298"/>
      <c r="I29" s="298"/>
      <c r="J29" s="280"/>
      <c r="K29" s="298"/>
      <c r="L29" s="1701">
        <f t="shared" si="1"/>
        <v>0</v>
      </c>
      <c r="M29" s="1446"/>
      <c r="N29" s="1853"/>
      <c r="O29" s="1446"/>
      <c r="P29" s="728"/>
      <c r="Q29" s="808"/>
      <c r="R29" s="785"/>
      <c r="S29" s="796"/>
      <c r="T29" s="797"/>
      <c r="U29" s="797"/>
      <c r="V29" s="797"/>
      <c r="W29" s="797"/>
      <c r="X29" s="797"/>
      <c r="Y29" s="797"/>
      <c r="Z29" s="785"/>
      <c r="AA29" s="797"/>
      <c r="AB29" s="797"/>
      <c r="AC29" s="680"/>
      <c r="AD29" s="680"/>
      <c r="AE29" s="680"/>
      <c r="AF29" s="680"/>
      <c r="AG29" s="680"/>
      <c r="AH29" s="680"/>
      <c r="AI29" s="701"/>
      <c r="AJ29" s="701"/>
      <c r="AK29" s="701"/>
      <c r="AL29" s="701"/>
      <c r="AM29" s="701"/>
      <c r="AN29" s="701"/>
      <c r="AO29" s="701"/>
      <c r="AP29" s="701"/>
      <c r="AQ29" s="701"/>
      <c r="AR29" s="701"/>
      <c r="AS29" s="701"/>
    </row>
    <row r="30" spans="1:45" s="397" customFormat="1" ht="30" hidden="1" customHeight="1" x14ac:dyDescent="0.25">
      <c r="A30" s="2158"/>
      <c r="B30" s="2082"/>
      <c r="C30" s="135" t="s">
        <v>920</v>
      </c>
      <c r="D30" s="850" t="s">
        <v>10</v>
      </c>
      <c r="E30" s="1210">
        <v>45903</v>
      </c>
      <c r="F30" s="73">
        <f t="shared" si="0"/>
        <v>383</v>
      </c>
      <c r="G30" s="36">
        <v>0</v>
      </c>
      <c r="H30" s="298"/>
      <c r="I30" s="298"/>
      <c r="J30" s="280"/>
      <c r="K30" s="298"/>
      <c r="L30" s="1701">
        <f t="shared" si="1"/>
        <v>0</v>
      </c>
      <c r="M30" s="1446"/>
      <c r="N30" s="241"/>
      <c r="O30" s="1446"/>
      <c r="P30" s="728"/>
      <c r="Q30" s="808"/>
      <c r="R30" s="785"/>
      <c r="S30" s="796"/>
      <c r="T30" s="797"/>
      <c r="U30" s="797"/>
      <c r="V30" s="797"/>
      <c r="W30" s="797"/>
      <c r="X30" s="797"/>
      <c r="Y30" s="797"/>
      <c r="Z30" s="785"/>
      <c r="AA30" s="797"/>
      <c r="AB30" s="797"/>
      <c r="AC30" s="680"/>
      <c r="AD30" s="680"/>
      <c r="AE30" s="680"/>
      <c r="AF30" s="680"/>
      <c r="AG30" s="680"/>
      <c r="AH30" s="680"/>
      <c r="AI30" s="701"/>
      <c r="AJ30" s="701"/>
      <c r="AK30" s="701"/>
      <c r="AL30" s="701"/>
      <c r="AM30" s="701"/>
      <c r="AN30" s="701"/>
      <c r="AO30" s="701"/>
      <c r="AP30" s="701"/>
      <c r="AQ30" s="701"/>
      <c r="AR30" s="701"/>
      <c r="AS30" s="701"/>
    </row>
    <row r="31" spans="1:45" s="397" customFormat="1" ht="30" hidden="1" customHeight="1" x14ac:dyDescent="0.25">
      <c r="A31" s="2158"/>
      <c r="B31" s="2082"/>
      <c r="C31" s="135"/>
      <c r="D31" s="850" t="s">
        <v>10</v>
      </c>
      <c r="E31" s="1210">
        <v>46201</v>
      </c>
      <c r="F31" s="73">
        <f t="shared" si="0"/>
        <v>85</v>
      </c>
      <c r="G31" s="36">
        <v>0</v>
      </c>
      <c r="H31" s="298"/>
      <c r="I31" s="298"/>
      <c r="J31" s="280"/>
      <c r="K31" s="298"/>
      <c r="L31" s="1701">
        <f t="shared" si="1"/>
        <v>0</v>
      </c>
      <c r="M31" s="1446"/>
      <c r="N31" s="1853"/>
      <c r="O31" s="1446"/>
      <c r="P31" s="728"/>
      <c r="Q31" s="808"/>
      <c r="R31" s="785"/>
      <c r="S31" s="796"/>
      <c r="T31" s="797"/>
      <c r="U31" s="797"/>
      <c r="V31" s="797"/>
      <c r="W31" s="797"/>
      <c r="X31" s="797"/>
      <c r="Y31" s="797"/>
      <c r="Z31" s="785"/>
      <c r="AA31" s="797"/>
      <c r="AB31" s="797"/>
      <c r="AC31" s="680"/>
      <c r="AD31" s="680"/>
      <c r="AE31" s="680"/>
      <c r="AF31" s="680"/>
      <c r="AG31" s="680"/>
      <c r="AH31" s="680"/>
      <c r="AI31" s="701"/>
      <c r="AJ31" s="701"/>
      <c r="AK31" s="701"/>
      <c r="AL31" s="701"/>
      <c r="AM31" s="701"/>
      <c r="AN31" s="701"/>
      <c r="AO31" s="701"/>
      <c r="AP31" s="701"/>
      <c r="AQ31" s="701"/>
      <c r="AR31" s="701"/>
      <c r="AS31" s="701"/>
    </row>
    <row r="32" spans="1:45" s="397" customFormat="1" ht="30" customHeight="1" x14ac:dyDescent="0.25">
      <c r="A32" s="2158"/>
      <c r="B32" s="2082"/>
      <c r="C32" s="135" t="s">
        <v>1428</v>
      </c>
      <c r="D32" s="850" t="s">
        <v>10</v>
      </c>
      <c r="E32" s="1210"/>
      <c r="F32" s="73"/>
      <c r="G32" s="298">
        <v>0</v>
      </c>
      <c r="H32" s="634"/>
      <c r="I32" s="298"/>
      <c r="J32" s="280"/>
      <c r="K32" s="634"/>
      <c r="L32" s="1701">
        <f t="shared" si="1"/>
        <v>0</v>
      </c>
      <c r="M32" s="1446"/>
      <c r="N32" s="1853"/>
      <c r="O32" s="1446"/>
      <c r="P32" s="728"/>
      <c r="Q32" s="808"/>
      <c r="R32" s="785"/>
      <c r="S32" s="796"/>
      <c r="T32" s="797"/>
      <c r="U32" s="797"/>
      <c r="V32" s="797"/>
      <c r="W32" s="797"/>
      <c r="X32" s="797"/>
      <c r="Y32" s="797"/>
      <c r="Z32" s="785"/>
      <c r="AA32" s="797"/>
      <c r="AB32" s="797"/>
      <c r="AC32" s="680"/>
      <c r="AD32" s="680"/>
      <c r="AE32" s="680"/>
      <c r="AF32" s="680"/>
      <c r="AG32" s="680"/>
      <c r="AH32" s="680"/>
      <c r="AI32" s="701"/>
      <c r="AJ32" s="701"/>
      <c r="AK32" s="701"/>
      <c r="AL32" s="701"/>
      <c r="AM32" s="701"/>
      <c r="AN32" s="701"/>
      <c r="AO32" s="701"/>
      <c r="AP32" s="701"/>
      <c r="AQ32" s="701"/>
      <c r="AR32" s="701"/>
      <c r="AS32" s="701"/>
    </row>
    <row r="33" spans="1:45" s="397" customFormat="1" ht="30" customHeight="1" x14ac:dyDescent="0.25">
      <c r="A33" s="2158"/>
      <c r="B33" s="2082"/>
      <c r="C33" s="135" t="s">
        <v>1400</v>
      </c>
      <c r="D33" s="850" t="s">
        <v>10</v>
      </c>
      <c r="E33" s="1210">
        <v>46275</v>
      </c>
      <c r="F33" s="292">
        <f t="shared" si="0"/>
        <v>11</v>
      </c>
      <c r="G33" s="36">
        <v>7737050</v>
      </c>
      <c r="H33" s="298"/>
      <c r="I33" s="298"/>
      <c r="J33" s="280"/>
      <c r="K33" s="298"/>
      <c r="L33" s="1701">
        <f t="shared" si="1"/>
        <v>7737050</v>
      </c>
      <c r="M33" s="1446"/>
      <c r="N33" s="241"/>
      <c r="O33" s="1446"/>
      <c r="P33" s="728"/>
      <c r="Q33" s="808"/>
      <c r="R33" s="785"/>
      <c r="S33" s="796"/>
      <c r="T33" s="797"/>
      <c r="U33" s="797"/>
      <c r="V33" s="797"/>
      <c r="W33" s="797"/>
      <c r="X33" s="797"/>
      <c r="Y33" s="797"/>
      <c r="Z33" s="785"/>
      <c r="AA33" s="797"/>
      <c r="AB33" s="797"/>
      <c r="AC33" s="680"/>
      <c r="AD33" s="680"/>
      <c r="AE33" s="680"/>
      <c r="AF33" s="680"/>
      <c r="AG33" s="680"/>
      <c r="AH33" s="680"/>
      <c r="AI33" s="701"/>
      <c r="AJ33" s="701"/>
      <c r="AK33" s="701"/>
      <c r="AL33" s="701"/>
      <c r="AM33" s="701"/>
      <c r="AN33" s="701"/>
      <c r="AO33" s="701"/>
      <c r="AP33" s="701"/>
      <c r="AQ33" s="701"/>
      <c r="AR33" s="701"/>
      <c r="AS33" s="701"/>
    </row>
    <row r="34" spans="1:45" s="397" customFormat="1" ht="30" customHeight="1" x14ac:dyDescent="0.25">
      <c r="A34" s="2158"/>
      <c r="B34" s="2082"/>
      <c r="C34" s="135" t="s">
        <v>556</v>
      </c>
      <c r="D34" s="1255" t="s">
        <v>10</v>
      </c>
      <c r="E34" s="1256"/>
      <c r="F34" s="73"/>
      <c r="G34" s="1164">
        <v>0</v>
      </c>
      <c r="H34" s="298"/>
      <c r="I34" s="298"/>
      <c r="J34" s="280"/>
      <c r="K34" s="634"/>
      <c r="L34" s="1701">
        <f t="shared" si="1"/>
        <v>0</v>
      </c>
      <c r="M34" s="1446"/>
      <c r="N34" s="241"/>
      <c r="O34" s="1446"/>
      <c r="P34" s="728"/>
      <c r="Q34" s="808"/>
      <c r="R34" s="785"/>
      <c r="S34" s="796"/>
      <c r="T34" s="797"/>
      <c r="U34" s="797"/>
      <c r="V34" s="797"/>
      <c r="W34" s="797"/>
      <c r="X34" s="797"/>
      <c r="Y34" s="797"/>
      <c r="Z34" s="785"/>
      <c r="AA34" s="797"/>
      <c r="AB34" s="797"/>
      <c r="AC34" s="680"/>
      <c r="AD34" s="680"/>
      <c r="AE34" s="680"/>
      <c r="AF34" s="680"/>
      <c r="AG34" s="680"/>
      <c r="AH34" s="680"/>
      <c r="AI34" s="701"/>
      <c r="AJ34" s="701"/>
      <c r="AK34" s="701"/>
      <c r="AL34" s="701"/>
      <c r="AM34" s="701"/>
      <c r="AN34" s="701"/>
      <c r="AO34" s="701"/>
      <c r="AP34" s="701"/>
      <c r="AQ34" s="701"/>
      <c r="AR34" s="701"/>
      <c r="AS34" s="701"/>
    </row>
    <row r="35" spans="1:45" s="397" customFormat="1" ht="30" customHeight="1" x14ac:dyDescent="0.25">
      <c r="A35" s="2158"/>
      <c r="B35" s="2082"/>
      <c r="C35" s="135" t="s">
        <v>1852</v>
      </c>
      <c r="D35" s="850" t="s">
        <v>10</v>
      </c>
      <c r="E35" s="851"/>
      <c r="F35" s="73"/>
      <c r="G35" s="297">
        <v>0</v>
      </c>
      <c r="H35" s="298"/>
      <c r="I35" s="298"/>
      <c r="J35" s="280"/>
      <c r="K35" s="298"/>
      <c r="L35" s="1701">
        <f t="shared" si="1"/>
        <v>0</v>
      </c>
      <c r="M35" s="1446"/>
      <c r="N35" s="241"/>
      <c r="O35" s="1446"/>
      <c r="P35" s="728"/>
      <c r="Q35" s="666" t="s">
        <v>884</v>
      </c>
      <c r="R35" s="785">
        <f>IFERROR(VLOOKUP($Q35,'391'!$S:$Z,8,0),0)</f>
        <v>982478</v>
      </c>
      <c r="S35" s="796"/>
      <c r="T35" s="797"/>
      <c r="U35" s="797"/>
      <c r="V35" s="797"/>
      <c r="W35" s="785">
        <f>IFERROR(VLOOKUP($Q35,'391'!$S:$AG,15,0),0)</f>
        <v>14147638</v>
      </c>
      <c r="X35" s="797"/>
      <c r="Y35" s="797"/>
      <c r="Z35" s="785"/>
      <c r="AA35" s="797"/>
      <c r="AB35" s="797"/>
      <c r="AC35" s="680"/>
      <c r="AD35" s="680"/>
      <c r="AE35" s="680"/>
      <c r="AF35" s="680"/>
      <c r="AG35" s="680"/>
      <c r="AH35" s="680"/>
      <c r="AI35" s="701"/>
      <c r="AJ35" s="701"/>
      <c r="AK35" s="701"/>
      <c r="AL35" s="701"/>
      <c r="AM35" s="701"/>
      <c r="AN35" s="701"/>
      <c r="AO35" s="701"/>
      <c r="AP35" s="701"/>
      <c r="AQ35" s="701"/>
      <c r="AR35" s="701"/>
      <c r="AS35" s="701"/>
    </row>
    <row r="36" spans="1:45" s="397" customFormat="1" ht="29.1" customHeight="1" x14ac:dyDescent="0.25">
      <c r="A36" s="2158"/>
      <c r="B36" s="2082"/>
      <c r="C36" s="135" t="s">
        <v>920</v>
      </c>
      <c r="D36" s="850" t="s">
        <v>10</v>
      </c>
      <c r="E36" s="1210">
        <v>46279</v>
      </c>
      <c r="F36" s="73">
        <f t="shared" si="0"/>
        <v>7</v>
      </c>
      <c r="G36" s="298">
        <v>0</v>
      </c>
      <c r="H36" s="298"/>
      <c r="I36" s="298"/>
      <c r="J36" s="317"/>
      <c r="K36" s="1877"/>
      <c r="L36" s="1701">
        <f t="shared" si="1"/>
        <v>0</v>
      </c>
      <c r="M36" s="1446"/>
      <c r="N36" s="241"/>
      <c r="O36" s="1446"/>
      <c r="P36" s="728"/>
      <c r="Q36" s="666" t="s">
        <v>1610</v>
      </c>
      <c r="R36" s="785">
        <f>IFERROR(VLOOKUP($Q36,'391'!$S:$Z,8,0),0)</f>
        <v>0</v>
      </c>
      <c r="S36" s="796"/>
      <c r="T36" s="797"/>
      <c r="U36" s="797"/>
      <c r="V36" s="797"/>
      <c r="W36" s="785">
        <f>IFERROR(VLOOKUP($Q36,'391'!$S:$AG,15,0),0)</f>
        <v>0</v>
      </c>
      <c r="X36" s="797"/>
      <c r="Y36" s="797"/>
      <c r="Z36" s="785"/>
      <c r="AA36" s="797"/>
      <c r="AB36" s="797"/>
      <c r="AC36" s="680"/>
      <c r="AD36" s="680"/>
      <c r="AE36" s="680"/>
      <c r="AF36" s="680"/>
      <c r="AG36" s="680"/>
      <c r="AH36" s="680"/>
      <c r="AI36" s="701"/>
      <c r="AJ36" s="701"/>
      <c r="AK36" s="701"/>
      <c r="AL36" s="701"/>
      <c r="AM36" s="701"/>
      <c r="AN36" s="701"/>
      <c r="AO36" s="701"/>
      <c r="AP36" s="701"/>
      <c r="AQ36" s="701"/>
      <c r="AR36" s="701"/>
      <c r="AS36" s="701"/>
    </row>
    <row r="37" spans="1:45" s="397" customFormat="1" ht="30" customHeight="1" x14ac:dyDescent="0.25">
      <c r="A37" s="2158"/>
      <c r="B37" s="2076"/>
      <c r="C37" s="149" t="s">
        <v>1919</v>
      </c>
      <c r="D37" s="850" t="s">
        <v>10</v>
      </c>
      <c r="E37" s="853">
        <v>46281</v>
      </c>
      <c r="F37" s="73">
        <f>$L$7-E37</f>
        <v>5</v>
      </c>
      <c r="G37" s="298">
        <f>120508+6038</f>
        <v>126546</v>
      </c>
      <c r="H37" s="298"/>
      <c r="I37" s="317">
        <f>K27-I16+K36</f>
        <v>500000</v>
      </c>
      <c r="J37" s="1947">
        <f>usage!I5</f>
        <v>430770</v>
      </c>
      <c r="K37" s="298"/>
      <c r="L37" s="1701">
        <f t="shared" si="1"/>
        <v>195776</v>
      </c>
      <c r="M37" s="1446"/>
      <c r="N37" s="241"/>
      <c r="O37" s="1446"/>
      <c r="P37" s="728"/>
      <c r="Q37" s="795"/>
      <c r="R37" s="785"/>
      <c r="S37" s="796"/>
      <c r="T37" s="797"/>
      <c r="U37" s="797"/>
      <c r="V37" s="797"/>
      <c r="W37" s="785">
        <f>IFERROR(VLOOKUP($Q37,'391'!$S:$AG,15,0),0)</f>
        <v>0</v>
      </c>
      <c r="X37" s="797"/>
      <c r="Y37" s="797"/>
      <c r="Z37" s="785"/>
      <c r="AA37" s="797"/>
      <c r="AB37" s="797"/>
      <c r="AC37" s="680"/>
      <c r="AD37" s="680"/>
      <c r="AE37" s="680"/>
      <c r="AF37" s="680"/>
      <c r="AG37" s="680"/>
      <c r="AH37" s="680"/>
      <c r="AI37" s="701"/>
      <c r="AJ37" s="701"/>
      <c r="AK37" s="701"/>
      <c r="AL37" s="701"/>
      <c r="AM37" s="701"/>
      <c r="AN37" s="701"/>
      <c r="AO37" s="701"/>
      <c r="AP37" s="701"/>
      <c r="AQ37" s="701"/>
      <c r="AR37" s="701"/>
      <c r="AS37" s="701"/>
    </row>
    <row r="38" spans="1:45" s="397" customFormat="1" ht="30" customHeight="1" x14ac:dyDescent="0.25">
      <c r="A38" s="2158"/>
      <c r="B38" s="260" t="s">
        <v>219</v>
      </c>
      <c r="C38" s="88"/>
      <c r="D38" s="864"/>
      <c r="E38" s="864"/>
      <c r="F38" s="865"/>
      <c r="G38" s="324">
        <f>+G16+G20+G27+G33+G37</f>
        <v>14147638</v>
      </c>
      <c r="H38" s="324">
        <f t="shared" ref="H38:L38" si="2">+SUM(H16:H37)</f>
        <v>0</v>
      </c>
      <c r="I38" s="324">
        <f t="shared" si="2"/>
        <v>596050</v>
      </c>
      <c r="J38" s="324">
        <f t="shared" si="2"/>
        <v>430770</v>
      </c>
      <c r="K38" s="324">
        <f t="shared" si="2"/>
        <v>500000</v>
      </c>
      <c r="L38" s="324">
        <f t="shared" si="2"/>
        <v>13812918</v>
      </c>
      <c r="M38" s="59">
        <f>IFERROR((R35+R36)/$S$2,"")</f>
        <v>163746.33333333334</v>
      </c>
      <c r="N38" s="854">
        <f>IFERROR(L38/M38,0)</f>
        <v>84.355586588198406</v>
      </c>
      <c r="O38" s="889">
        <f>IFERROR(SUMIF(ETM!$A:$A,$Q38,ETM!$E:$E),"")-339279</f>
        <v>668535.83333333337</v>
      </c>
      <c r="P38" s="1919">
        <f>IFERROR(L38/O38,0)</f>
        <v>20.661447466665336</v>
      </c>
      <c r="Q38" s="795" t="s">
        <v>804</v>
      </c>
      <c r="R38" s="785">
        <f>IFERROR(VLOOKUP($Q38,'391'!$P:$W,8,0),"")</f>
        <v>6509114</v>
      </c>
      <c r="S38" s="796"/>
      <c r="T38" s="797"/>
      <c r="U38" s="797"/>
      <c r="V38" s="797"/>
      <c r="W38" s="785">
        <f>IFERROR(VLOOKUP($Q38,'391'!$S:$AG,15,0),0)</f>
        <v>0</v>
      </c>
      <c r="X38" s="799">
        <f t="shared" ref="X38:X58" si="3">G38-W38</f>
        <v>14147638</v>
      </c>
      <c r="Y38" s="1087">
        <f>+G38+G61+G92+G80</f>
        <v>21952974</v>
      </c>
      <c r="Z38" s="1088">
        <f>+W39+W40+W49+W50+W60+W92+W59+W80+W36+W38+W35+W61</f>
        <v>21952974</v>
      </c>
      <c r="AA38" s="1089">
        <f>+Y38-Z38</f>
        <v>0</v>
      </c>
      <c r="AB38" s="797"/>
      <c r="AC38" s="680"/>
      <c r="AD38" s="680"/>
      <c r="AE38" s="680"/>
      <c r="AF38" s="680"/>
      <c r="AG38" s="680"/>
      <c r="AH38" s="680"/>
      <c r="AI38" s="701"/>
      <c r="AJ38" s="701"/>
      <c r="AK38" s="701"/>
      <c r="AL38" s="701"/>
      <c r="AM38" s="701"/>
      <c r="AN38" s="701"/>
      <c r="AO38" s="701"/>
      <c r="AP38" s="701"/>
      <c r="AQ38" s="701"/>
      <c r="AR38" s="701"/>
      <c r="AS38" s="701"/>
    </row>
    <row r="39" spans="1:45" s="397" customFormat="1" ht="30" hidden="1" customHeight="1" x14ac:dyDescent="0.25">
      <c r="A39" s="2158"/>
      <c r="B39" s="2153" t="s">
        <v>465</v>
      </c>
      <c r="C39" s="132" t="s">
        <v>200</v>
      </c>
      <c r="D39" s="852" t="s">
        <v>10</v>
      </c>
      <c r="E39" s="853">
        <v>46122</v>
      </c>
      <c r="F39" s="42">
        <f>$L$7-E39</f>
        <v>164</v>
      </c>
      <c r="G39" s="297">
        <v>0</v>
      </c>
      <c r="H39" s="298"/>
      <c r="I39" s="298"/>
      <c r="J39" s="316"/>
      <c r="K39" s="1164"/>
      <c r="L39" s="531">
        <f t="shared" ref="L39:L87" si="4">+G39+H39+I39-J39-K39</f>
        <v>0</v>
      </c>
      <c r="M39" s="1444"/>
      <c r="N39" s="86"/>
      <c r="O39" s="1444"/>
      <c r="P39" s="729"/>
      <c r="Q39" s="795"/>
      <c r="R39" s="785">
        <f>IFERROR(VLOOKUP($Q39,'391'!$S:$Z,8,0),0)</f>
        <v>0</v>
      </c>
      <c r="S39" s="796"/>
      <c r="T39" s="797"/>
      <c r="U39" s="797"/>
      <c r="V39" s="797"/>
      <c r="W39" s="785">
        <f>IFERROR(VLOOKUP($Q39,'391'!$S:$AG,15,0),0)</f>
        <v>0</v>
      </c>
      <c r="X39" s="799">
        <f t="shared" si="3"/>
        <v>0</v>
      </c>
      <c r="Y39" s="797"/>
      <c r="Z39" s="785"/>
      <c r="AA39" s="797"/>
      <c r="AB39" s="797"/>
      <c r="AC39" s="680"/>
      <c r="AD39" s="680"/>
      <c r="AE39" s="680"/>
      <c r="AF39" s="680"/>
      <c r="AG39" s="680"/>
      <c r="AH39" s="680"/>
      <c r="AI39" s="701"/>
      <c r="AJ39" s="701"/>
      <c r="AK39" s="701"/>
      <c r="AL39" s="701"/>
      <c r="AM39" s="701"/>
      <c r="AN39" s="701"/>
      <c r="AO39" s="701"/>
      <c r="AP39" s="701"/>
      <c r="AQ39" s="701"/>
      <c r="AR39" s="701"/>
      <c r="AS39" s="701"/>
    </row>
    <row r="40" spans="1:45" s="397" customFormat="1" ht="30" hidden="1" customHeight="1" x14ac:dyDescent="0.25">
      <c r="A40" s="2158"/>
      <c r="B40" s="2154"/>
      <c r="C40" s="132"/>
      <c r="D40" s="850" t="s">
        <v>10</v>
      </c>
      <c r="E40" s="851">
        <v>45986</v>
      </c>
      <c r="F40" s="42">
        <f t="shared" ref="F40:F55" si="5">$L$7-E40</f>
        <v>300</v>
      </c>
      <c r="G40" s="298">
        <v>0</v>
      </c>
      <c r="H40" s="297"/>
      <c r="I40" s="297"/>
      <c r="J40" s="316"/>
      <c r="K40" s="297"/>
      <c r="L40" s="531">
        <f t="shared" si="4"/>
        <v>0</v>
      </c>
      <c r="M40" s="1445"/>
      <c r="N40" s="511"/>
      <c r="O40" s="1445"/>
      <c r="P40" s="727"/>
      <c r="Q40" s="795"/>
      <c r="R40" s="785">
        <f>IFERROR(VLOOKUP($Q40,'391'!$S:$Z,8,0),0)</f>
        <v>0</v>
      </c>
      <c r="S40" s="796"/>
      <c r="T40" s="797"/>
      <c r="U40" s="797"/>
      <c r="V40" s="797"/>
      <c r="W40" s="785">
        <f>IFERROR(VLOOKUP($Q40,'391'!$S:$AG,15,0),0)</f>
        <v>0</v>
      </c>
      <c r="X40" s="799">
        <f t="shared" si="3"/>
        <v>0</v>
      </c>
      <c r="Y40" s="797"/>
      <c r="Z40" s="785"/>
      <c r="AA40" s="797"/>
      <c r="AB40" s="797"/>
      <c r="AC40" s="680"/>
      <c r="AD40" s="680"/>
      <c r="AE40" s="680"/>
      <c r="AF40" s="680"/>
      <c r="AG40" s="680"/>
      <c r="AH40" s="680"/>
      <c r="AI40" s="701"/>
      <c r="AJ40" s="701"/>
      <c r="AK40" s="701"/>
      <c r="AL40" s="701"/>
      <c r="AM40" s="701"/>
      <c r="AN40" s="701"/>
      <c r="AO40" s="701"/>
      <c r="AP40" s="701"/>
      <c r="AQ40" s="701"/>
      <c r="AR40" s="701"/>
      <c r="AS40" s="701"/>
    </row>
    <row r="41" spans="1:45" s="397" customFormat="1" ht="30" hidden="1" customHeight="1" x14ac:dyDescent="0.25">
      <c r="A41" s="2158"/>
      <c r="B41" s="2154"/>
      <c r="C41" s="135"/>
      <c r="D41" s="850" t="s">
        <v>10</v>
      </c>
      <c r="E41" s="851">
        <v>45943</v>
      </c>
      <c r="F41" s="42">
        <f t="shared" si="5"/>
        <v>343</v>
      </c>
      <c r="G41" s="298">
        <v>0</v>
      </c>
      <c r="H41" s="297"/>
      <c r="I41" s="297"/>
      <c r="J41" s="316"/>
      <c r="K41" s="297"/>
      <c r="L41" s="531">
        <f t="shared" si="4"/>
        <v>0</v>
      </c>
      <c r="M41" s="1445"/>
      <c r="N41" s="511"/>
      <c r="O41" s="1445"/>
      <c r="P41" s="727"/>
      <c r="Q41" s="795"/>
      <c r="R41" s="785"/>
      <c r="S41" s="796"/>
      <c r="T41" s="797"/>
      <c r="U41" s="797"/>
      <c r="V41" s="797"/>
      <c r="W41" s="785">
        <f>IFERROR(VLOOKUP($Q41,'391'!$S:$AG,15,0),0)</f>
        <v>0</v>
      </c>
      <c r="X41" s="799">
        <f t="shared" si="3"/>
        <v>0</v>
      </c>
      <c r="Y41" s="797"/>
      <c r="Z41" s="785"/>
      <c r="AA41" s="797"/>
      <c r="AB41" s="797"/>
      <c r="AC41" s="680"/>
      <c r="AD41" s="680"/>
      <c r="AE41" s="680"/>
      <c r="AF41" s="680"/>
      <c r="AG41" s="680"/>
      <c r="AH41" s="680"/>
      <c r="AI41" s="701"/>
      <c r="AJ41" s="701"/>
      <c r="AK41" s="701"/>
      <c r="AL41" s="701"/>
      <c r="AM41" s="701"/>
      <c r="AN41" s="701"/>
      <c r="AO41" s="701"/>
      <c r="AP41" s="701"/>
      <c r="AQ41" s="701"/>
      <c r="AR41" s="701"/>
      <c r="AS41" s="701"/>
    </row>
    <row r="42" spans="1:45" s="397" customFormat="1" ht="30" hidden="1" customHeight="1" x14ac:dyDescent="0.25">
      <c r="A42" s="2158"/>
      <c r="B42" s="2155"/>
      <c r="C42" s="135"/>
      <c r="D42" s="850" t="s">
        <v>10</v>
      </c>
      <c r="E42" s="851"/>
      <c r="F42" s="42"/>
      <c r="G42" s="298">
        <v>0</v>
      </c>
      <c r="H42" s="297"/>
      <c r="I42" s="297"/>
      <c r="J42" s="317"/>
      <c r="K42" s="297"/>
      <c r="L42" s="531">
        <f t="shared" si="4"/>
        <v>0</v>
      </c>
      <c r="M42" s="1445"/>
      <c r="N42" s="511"/>
      <c r="O42" s="1445"/>
      <c r="P42" s="727"/>
      <c r="Q42" s="795"/>
      <c r="R42" s="785"/>
      <c r="S42" s="796"/>
      <c r="T42" s="797"/>
      <c r="U42" s="797"/>
      <c r="V42" s="797"/>
      <c r="W42" s="785">
        <f>IFERROR(VLOOKUP($Q42,'391'!$S:$AG,15,0),0)</f>
        <v>0</v>
      </c>
      <c r="X42" s="799">
        <f t="shared" si="3"/>
        <v>0</v>
      </c>
      <c r="Y42" s="797"/>
      <c r="Z42" s="785"/>
      <c r="AA42" s="797"/>
      <c r="AB42" s="797"/>
      <c r="AC42" s="680"/>
      <c r="AD42" s="680"/>
      <c r="AE42" s="680"/>
      <c r="AF42" s="680"/>
      <c r="AG42" s="680"/>
      <c r="AH42" s="680"/>
      <c r="AI42" s="701"/>
      <c r="AJ42" s="701"/>
      <c r="AK42" s="701"/>
      <c r="AL42" s="701"/>
      <c r="AM42" s="701"/>
      <c r="AN42" s="701"/>
      <c r="AO42" s="701"/>
      <c r="AP42" s="701"/>
      <c r="AQ42" s="701"/>
      <c r="AR42" s="701"/>
      <c r="AS42" s="701"/>
    </row>
    <row r="43" spans="1:45" s="397" customFormat="1" ht="30" hidden="1" customHeight="1" x14ac:dyDescent="0.25">
      <c r="A43" s="2158"/>
      <c r="B43" s="2155"/>
      <c r="C43" s="135"/>
      <c r="D43" s="850" t="s">
        <v>10</v>
      </c>
      <c r="E43" s="851"/>
      <c r="F43" s="42"/>
      <c r="G43" s="297">
        <v>0</v>
      </c>
      <c r="H43" s="297"/>
      <c r="I43" s="297"/>
      <c r="J43" s="297"/>
      <c r="K43" s="1164"/>
      <c r="L43" s="531">
        <f t="shared" si="4"/>
        <v>0</v>
      </c>
      <c r="M43" s="1445"/>
      <c r="N43" s="511"/>
      <c r="O43" s="1445"/>
      <c r="P43" s="727"/>
      <c r="Q43" s="795"/>
      <c r="R43" s="785"/>
      <c r="S43" s="796"/>
      <c r="T43" s="797"/>
      <c r="U43" s="797"/>
      <c r="V43" s="797"/>
      <c r="W43" s="785">
        <f>IFERROR(VLOOKUP($Q43,'391'!$S:$AG,15,0),0)</f>
        <v>0</v>
      </c>
      <c r="X43" s="799">
        <f t="shared" si="3"/>
        <v>0</v>
      </c>
      <c r="Y43" s="797"/>
      <c r="Z43" s="785"/>
      <c r="AA43" s="797"/>
      <c r="AB43" s="797"/>
      <c r="AC43" s="680"/>
      <c r="AD43" s="680"/>
      <c r="AE43" s="680"/>
      <c r="AF43" s="680"/>
      <c r="AG43" s="680"/>
      <c r="AH43" s="680"/>
      <c r="AI43" s="701"/>
      <c r="AJ43" s="701"/>
      <c r="AK43" s="701"/>
      <c r="AL43" s="701"/>
      <c r="AM43" s="701"/>
      <c r="AN43" s="701"/>
      <c r="AO43" s="701"/>
      <c r="AP43" s="701"/>
      <c r="AQ43" s="701"/>
      <c r="AR43" s="701"/>
      <c r="AS43" s="701"/>
    </row>
    <row r="44" spans="1:45" s="397" customFormat="1" ht="30" hidden="1" customHeight="1" x14ac:dyDescent="0.25">
      <c r="A44" s="2158"/>
      <c r="B44" s="2156"/>
      <c r="C44" s="135"/>
      <c r="D44" s="850" t="s">
        <v>10</v>
      </c>
      <c r="E44" s="851"/>
      <c r="F44" s="42">
        <f t="shared" ref="F44:F47" si="6">$L$7-E44</f>
        <v>46286</v>
      </c>
      <c r="G44" s="297">
        <v>0</v>
      </c>
      <c r="H44" s="297"/>
      <c r="I44" s="297"/>
      <c r="J44" s="297"/>
      <c r="K44" s="297"/>
      <c r="L44" s="531">
        <f t="shared" ref="L44:L45" si="7">+G44+H44+I44-J44-K44</f>
        <v>0</v>
      </c>
      <c r="M44" s="1445"/>
      <c r="N44" s="511"/>
      <c r="O44" s="1445"/>
      <c r="P44" s="727"/>
      <c r="Q44" s="795"/>
      <c r="R44" s="785"/>
      <c r="S44" s="796"/>
      <c r="T44" s="797"/>
      <c r="U44" s="797"/>
      <c r="V44" s="797"/>
      <c r="W44" s="785">
        <f>IFERROR(VLOOKUP($Q44,'391'!$S:$AG,15,0),0)</f>
        <v>0</v>
      </c>
      <c r="X44" s="799">
        <f t="shared" ref="X44:X45" si="8">G44-W44</f>
        <v>0</v>
      </c>
      <c r="Y44" s="797"/>
      <c r="Z44" s="785"/>
      <c r="AA44" s="797"/>
      <c r="AB44" s="797"/>
      <c r="AC44" s="680"/>
      <c r="AD44" s="680"/>
      <c r="AE44" s="680"/>
      <c r="AF44" s="680"/>
      <c r="AG44" s="680"/>
      <c r="AH44" s="680"/>
      <c r="AI44" s="701"/>
      <c r="AJ44" s="701"/>
      <c r="AK44" s="701"/>
      <c r="AL44" s="701"/>
      <c r="AM44" s="701"/>
      <c r="AN44" s="701"/>
      <c r="AO44" s="701"/>
      <c r="AP44" s="701"/>
      <c r="AQ44" s="701"/>
      <c r="AR44" s="701"/>
      <c r="AS44" s="701"/>
    </row>
    <row r="45" spans="1:45" s="397" customFormat="1" ht="30" hidden="1" customHeight="1" x14ac:dyDescent="0.25">
      <c r="A45" s="2158"/>
      <c r="B45" s="2156"/>
      <c r="C45" s="135"/>
      <c r="D45" s="850" t="s">
        <v>10</v>
      </c>
      <c r="E45" s="851"/>
      <c r="F45" s="42">
        <f t="shared" si="6"/>
        <v>46286</v>
      </c>
      <c r="G45" s="297">
        <v>0</v>
      </c>
      <c r="H45" s="297"/>
      <c r="I45" s="297"/>
      <c r="J45" s="297"/>
      <c r="K45" s="297"/>
      <c r="L45" s="531">
        <f t="shared" si="7"/>
        <v>0</v>
      </c>
      <c r="M45" s="1445"/>
      <c r="N45" s="511"/>
      <c r="O45" s="1445"/>
      <c r="P45" s="727"/>
      <c r="Q45" s="795"/>
      <c r="R45" s="785"/>
      <c r="S45" s="796"/>
      <c r="T45" s="797"/>
      <c r="U45" s="797"/>
      <c r="V45" s="797"/>
      <c r="W45" s="785">
        <f>IFERROR(VLOOKUP($Q45,'391'!$S:$AG,15,0),0)</f>
        <v>0</v>
      </c>
      <c r="X45" s="799">
        <f t="shared" si="8"/>
        <v>0</v>
      </c>
      <c r="Y45" s="797"/>
      <c r="Z45" s="785"/>
      <c r="AA45" s="797"/>
      <c r="AB45" s="797"/>
      <c r="AC45" s="680"/>
      <c r="AD45" s="680"/>
      <c r="AE45" s="680"/>
      <c r="AF45" s="680"/>
      <c r="AG45" s="680"/>
      <c r="AH45" s="680"/>
      <c r="AI45" s="701"/>
      <c r="AJ45" s="701"/>
      <c r="AK45" s="701"/>
      <c r="AL45" s="701"/>
      <c r="AM45" s="701"/>
      <c r="AN45" s="701"/>
      <c r="AO45" s="701"/>
      <c r="AP45" s="701"/>
      <c r="AQ45" s="701"/>
      <c r="AR45" s="701"/>
      <c r="AS45" s="701"/>
    </row>
    <row r="46" spans="1:45" s="397" customFormat="1" ht="30" hidden="1" customHeight="1" x14ac:dyDescent="0.25">
      <c r="A46" s="2158"/>
      <c r="B46" s="2156"/>
      <c r="C46" s="135"/>
      <c r="D46" s="850" t="s">
        <v>10</v>
      </c>
      <c r="E46" s="851"/>
      <c r="F46" s="42">
        <f t="shared" si="6"/>
        <v>46286</v>
      </c>
      <c r="G46" s="297">
        <v>0</v>
      </c>
      <c r="H46" s="297"/>
      <c r="I46" s="297"/>
      <c r="J46" s="297"/>
      <c r="K46" s="297"/>
      <c r="L46" s="531">
        <f t="shared" si="4"/>
        <v>0</v>
      </c>
      <c r="M46" s="1445"/>
      <c r="N46" s="511"/>
      <c r="O46" s="1445"/>
      <c r="P46" s="727"/>
      <c r="Q46" s="795"/>
      <c r="R46" s="785"/>
      <c r="S46" s="796"/>
      <c r="T46" s="797"/>
      <c r="U46" s="797"/>
      <c r="V46" s="797"/>
      <c r="W46" s="785">
        <f>IFERROR(VLOOKUP($Q46,'391'!$S:$AG,15,0),0)</f>
        <v>0</v>
      </c>
      <c r="X46" s="799">
        <f t="shared" si="3"/>
        <v>0</v>
      </c>
      <c r="Y46" s="797"/>
      <c r="Z46" s="785"/>
      <c r="AA46" s="797"/>
      <c r="AB46" s="797"/>
      <c r="AC46" s="680"/>
      <c r="AD46" s="680"/>
      <c r="AE46" s="680"/>
      <c r="AF46" s="680"/>
      <c r="AG46" s="680"/>
      <c r="AH46" s="680"/>
      <c r="AI46" s="701"/>
      <c r="AJ46" s="701"/>
      <c r="AK46" s="701"/>
      <c r="AL46" s="701"/>
      <c r="AM46" s="701"/>
      <c r="AN46" s="701"/>
      <c r="AO46" s="701"/>
      <c r="AP46" s="701"/>
      <c r="AQ46" s="701"/>
      <c r="AR46" s="701"/>
      <c r="AS46" s="701"/>
    </row>
    <row r="47" spans="1:45" s="397" customFormat="1" ht="30" hidden="1" customHeight="1" x14ac:dyDescent="0.25">
      <c r="A47" s="2158"/>
      <c r="B47" s="2156"/>
      <c r="C47" s="1484" t="s">
        <v>79</v>
      </c>
      <c r="D47" s="850" t="s">
        <v>10</v>
      </c>
      <c r="E47" s="851">
        <v>46134</v>
      </c>
      <c r="F47" s="42">
        <f t="shared" si="6"/>
        <v>152</v>
      </c>
      <c r="G47" s="297">
        <v>0</v>
      </c>
      <c r="H47" s="297"/>
      <c r="I47" s="297"/>
      <c r="J47" s="297"/>
      <c r="K47" s="297"/>
      <c r="L47" s="531">
        <f t="shared" ref="L47" si="9">+G47+H47+I47-J47-K47</f>
        <v>0</v>
      </c>
      <c r="M47" s="1445"/>
      <c r="N47" s="511"/>
      <c r="O47" s="1445"/>
      <c r="P47" s="727"/>
      <c r="Q47" s="795"/>
      <c r="R47" s="785"/>
      <c r="S47" s="796"/>
      <c r="T47" s="797"/>
      <c r="U47" s="797"/>
      <c r="V47" s="797"/>
      <c r="W47" s="785">
        <f>IFERROR(VLOOKUP($Q47,'391'!$S:$AG,15,0),0)</f>
        <v>0</v>
      </c>
      <c r="X47" s="799">
        <f t="shared" ref="X47" si="10">G47-W47</f>
        <v>0</v>
      </c>
      <c r="Y47" s="797"/>
      <c r="Z47" s="785"/>
      <c r="AA47" s="797"/>
      <c r="AB47" s="797"/>
      <c r="AC47" s="680"/>
      <c r="AD47" s="680"/>
      <c r="AE47" s="680"/>
      <c r="AF47" s="680"/>
      <c r="AG47" s="680"/>
      <c r="AH47" s="680"/>
      <c r="AI47" s="701"/>
      <c r="AJ47" s="701"/>
      <c r="AK47" s="701"/>
      <c r="AL47" s="701"/>
      <c r="AM47" s="701"/>
      <c r="AN47" s="701"/>
      <c r="AO47" s="701"/>
      <c r="AP47" s="701"/>
      <c r="AQ47" s="701"/>
      <c r="AR47" s="701"/>
      <c r="AS47" s="701"/>
    </row>
    <row r="48" spans="1:45" s="397" customFormat="1" ht="30" hidden="1" customHeight="1" x14ac:dyDescent="0.25">
      <c r="A48" s="2158"/>
      <c r="B48" s="2155"/>
      <c r="C48" s="1484"/>
      <c r="D48" s="850" t="s">
        <v>10</v>
      </c>
      <c r="E48" s="851"/>
      <c r="F48" s="42"/>
      <c r="G48" s="297">
        <v>0</v>
      </c>
      <c r="H48" s="1946"/>
      <c r="I48" s="297"/>
      <c r="J48" s="297"/>
      <c r="K48" s="297"/>
      <c r="L48" s="531">
        <f t="shared" si="4"/>
        <v>0</v>
      </c>
      <c r="M48" s="1445"/>
      <c r="N48" s="511"/>
      <c r="O48" s="1445"/>
      <c r="P48" s="727"/>
      <c r="Q48" s="795"/>
      <c r="R48" s="785"/>
      <c r="S48" s="796"/>
      <c r="T48" s="797"/>
      <c r="U48" s="797"/>
      <c r="V48" s="797"/>
      <c r="W48" s="785">
        <f>IFERROR(VLOOKUP($Q48,'391'!$S:$AG,15,0),0)</f>
        <v>0</v>
      </c>
      <c r="X48" s="799">
        <f t="shared" si="3"/>
        <v>0</v>
      </c>
      <c r="Y48" s="797"/>
      <c r="Z48" s="785"/>
      <c r="AA48" s="797"/>
      <c r="AB48" s="797"/>
      <c r="AC48" s="680"/>
      <c r="AD48" s="680"/>
      <c r="AE48" s="680"/>
      <c r="AF48" s="680"/>
      <c r="AG48" s="680"/>
      <c r="AH48" s="680"/>
      <c r="AI48" s="701"/>
      <c r="AJ48" s="701"/>
      <c r="AK48" s="701"/>
      <c r="AL48" s="701"/>
      <c r="AM48" s="701"/>
      <c r="AN48" s="701"/>
      <c r="AO48" s="701"/>
      <c r="AP48" s="701"/>
      <c r="AQ48" s="701"/>
      <c r="AR48" s="701"/>
      <c r="AS48" s="701"/>
    </row>
    <row r="49" spans="1:45" s="397" customFormat="1" ht="30" hidden="1" customHeight="1" x14ac:dyDescent="0.25">
      <c r="A49" s="2158"/>
      <c r="B49" s="2155"/>
      <c r="C49" s="1484"/>
      <c r="D49" s="852" t="s">
        <v>10</v>
      </c>
      <c r="E49" s="851">
        <v>46055</v>
      </c>
      <c r="F49" s="42">
        <f t="shared" ref="F49" si="11">$L$7-E49</f>
        <v>231</v>
      </c>
      <c r="G49" s="297">
        <v>0</v>
      </c>
      <c r="H49" s="304"/>
      <c r="I49" s="297"/>
      <c r="J49" s="297"/>
      <c r="K49" s="297"/>
      <c r="L49" s="531">
        <f t="shared" si="4"/>
        <v>0</v>
      </c>
      <c r="M49" s="1445"/>
      <c r="N49" s="511"/>
      <c r="O49" s="1445"/>
      <c r="P49" s="727"/>
      <c r="Q49" s="795"/>
      <c r="R49" s="785">
        <f>IFERROR(VLOOKUP($Q49,'391'!$S:$Z,8,0),0)</f>
        <v>0</v>
      </c>
      <c r="S49" s="796"/>
      <c r="T49" s="797"/>
      <c r="U49" s="797"/>
      <c r="V49" s="797"/>
      <c r="W49" s="785">
        <f>IFERROR(VLOOKUP($Q49,'391'!$S:$AG,15,0),0)</f>
        <v>0</v>
      </c>
      <c r="X49" s="799">
        <f t="shared" si="3"/>
        <v>0</v>
      </c>
      <c r="Y49" s="797"/>
      <c r="Z49" s="785"/>
      <c r="AA49" s="797"/>
      <c r="AB49" s="797"/>
      <c r="AC49" s="680"/>
      <c r="AD49" s="680"/>
      <c r="AE49" s="680"/>
      <c r="AF49" s="680"/>
      <c r="AG49" s="680"/>
      <c r="AH49" s="680"/>
      <c r="AI49" s="701"/>
      <c r="AJ49" s="701"/>
      <c r="AK49" s="701"/>
      <c r="AL49" s="701"/>
      <c r="AM49" s="701"/>
      <c r="AN49" s="701"/>
      <c r="AO49" s="701"/>
      <c r="AP49" s="701"/>
      <c r="AQ49" s="701"/>
      <c r="AR49" s="701"/>
      <c r="AS49" s="701"/>
    </row>
    <row r="50" spans="1:45" s="397" customFormat="1" ht="30" hidden="1" customHeight="1" x14ac:dyDescent="0.25">
      <c r="A50" s="2158"/>
      <c r="B50" s="2155"/>
      <c r="C50" s="132"/>
      <c r="D50" s="850" t="s">
        <v>10</v>
      </c>
      <c r="E50" s="851"/>
      <c r="F50" s="42"/>
      <c r="G50" s="298">
        <v>0</v>
      </c>
      <c r="H50" s="297"/>
      <c r="I50" s="297"/>
      <c r="J50" s="297"/>
      <c r="K50" s="297"/>
      <c r="L50" s="531">
        <f t="shared" si="4"/>
        <v>0</v>
      </c>
      <c r="M50" s="1445"/>
      <c r="N50" s="511"/>
      <c r="O50" s="1445"/>
      <c r="P50" s="727" t="s">
        <v>35</v>
      </c>
      <c r="Q50" s="795" t="s">
        <v>886</v>
      </c>
      <c r="R50" s="785">
        <f>IFERROR(VLOOKUP($Q50,'391'!$S:$Z,8,0),0)</f>
        <v>0</v>
      </c>
      <c r="S50" s="796"/>
      <c r="T50" s="797"/>
      <c r="U50" s="797"/>
      <c r="V50" s="797"/>
      <c r="W50" s="785">
        <f>IFERROR(VLOOKUP($Q50,'391'!$S:$AG,15,0),0)</f>
        <v>0</v>
      </c>
      <c r="X50" s="799">
        <f t="shared" si="3"/>
        <v>0</v>
      </c>
      <c r="Y50" s="797"/>
      <c r="Z50" s="785"/>
      <c r="AA50" s="797"/>
      <c r="AB50" s="797"/>
      <c r="AC50" s="680"/>
      <c r="AD50" s="680"/>
      <c r="AE50" s="680"/>
      <c r="AF50" s="680"/>
      <c r="AG50" s="680"/>
      <c r="AH50" s="680"/>
      <c r="AI50" s="701"/>
      <c r="AJ50" s="701"/>
      <c r="AK50" s="701"/>
      <c r="AL50" s="701"/>
      <c r="AM50" s="701"/>
      <c r="AN50" s="701"/>
      <c r="AO50" s="701"/>
      <c r="AP50" s="701"/>
      <c r="AQ50" s="701"/>
      <c r="AR50" s="701"/>
      <c r="AS50" s="701"/>
    </row>
    <row r="51" spans="1:45" s="397" customFormat="1" ht="30" hidden="1" customHeight="1" x14ac:dyDescent="0.25">
      <c r="A51" s="2158"/>
      <c r="B51" s="2155"/>
      <c r="C51" s="132" t="s">
        <v>469</v>
      </c>
      <c r="D51" s="852" t="s">
        <v>10</v>
      </c>
      <c r="E51" s="851">
        <v>46124</v>
      </c>
      <c r="F51" s="42">
        <f t="shared" si="5"/>
        <v>162</v>
      </c>
      <c r="G51" s="298">
        <v>0</v>
      </c>
      <c r="H51" s="297"/>
      <c r="I51" s="297"/>
      <c r="J51" s="297"/>
      <c r="K51" s="297"/>
      <c r="L51" s="531">
        <f t="shared" si="4"/>
        <v>0</v>
      </c>
      <c r="M51" s="1445"/>
      <c r="N51" s="511"/>
      <c r="O51" s="1445"/>
      <c r="P51" s="727"/>
      <c r="Q51" s="795"/>
      <c r="R51" s="785">
        <f>IFERROR(VLOOKUP($Q51,'391'!$S:$Z,8,0),0)</f>
        <v>0</v>
      </c>
      <c r="S51" s="796"/>
      <c r="T51" s="797"/>
      <c r="U51" s="797"/>
      <c r="V51" s="797"/>
      <c r="W51" s="785">
        <f>IFERROR(VLOOKUP($Q51,'391'!$S:$AG,15,0),0)</f>
        <v>0</v>
      </c>
      <c r="X51" s="799">
        <f t="shared" si="3"/>
        <v>0</v>
      </c>
      <c r="Y51" s="797"/>
      <c r="Z51" s="785"/>
      <c r="AA51" s="797"/>
      <c r="AB51" s="797"/>
      <c r="AC51" s="680"/>
      <c r="AD51" s="680"/>
      <c r="AE51" s="680"/>
      <c r="AF51" s="680"/>
      <c r="AG51" s="680"/>
      <c r="AH51" s="680"/>
      <c r="AI51" s="701"/>
      <c r="AJ51" s="701"/>
      <c r="AK51" s="701"/>
      <c r="AL51" s="701"/>
      <c r="AM51" s="701"/>
      <c r="AN51" s="701"/>
      <c r="AO51" s="701"/>
      <c r="AP51" s="701"/>
      <c r="AQ51" s="701"/>
      <c r="AR51" s="701"/>
      <c r="AS51" s="701"/>
    </row>
    <row r="52" spans="1:45" s="397" customFormat="1" ht="30" hidden="1" customHeight="1" x14ac:dyDescent="0.25">
      <c r="A52" s="2158"/>
      <c r="B52" s="2155"/>
      <c r="C52" s="132" t="s">
        <v>467</v>
      </c>
      <c r="D52" s="852" t="s">
        <v>10</v>
      </c>
      <c r="E52" s="851">
        <v>46065</v>
      </c>
      <c r="F52" s="42">
        <f t="shared" si="5"/>
        <v>221</v>
      </c>
      <c r="G52" s="297">
        <v>0</v>
      </c>
      <c r="H52" s="297"/>
      <c r="I52" s="297"/>
      <c r="J52" s="297"/>
      <c r="K52" s="297"/>
      <c r="L52" s="531">
        <f t="shared" si="4"/>
        <v>0</v>
      </c>
      <c r="M52" s="1446"/>
      <c r="N52" s="241"/>
      <c r="O52" s="1446"/>
      <c r="P52" s="728"/>
      <c r="Q52" s="795"/>
      <c r="R52" s="785">
        <f>IFERROR(VLOOKUP($Q52,'391'!$S:$Z,8,0),0)</f>
        <v>0</v>
      </c>
      <c r="S52" s="796"/>
      <c r="T52" s="797"/>
      <c r="U52" s="797"/>
      <c r="V52" s="797"/>
      <c r="W52" s="785">
        <f>IFERROR(VLOOKUP($Q52,'391'!$S:$AG,15,0),0)</f>
        <v>0</v>
      </c>
      <c r="X52" s="799">
        <f t="shared" si="3"/>
        <v>0</v>
      </c>
      <c r="Y52" s="797"/>
      <c r="Z52" s="785"/>
      <c r="AA52" s="797"/>
      <c r="AB52" s="797"/>
      <c r="AC52" s="680"/>
      <c r="AD52" s="680"/>
      <c r="AE52" s="680"/>
      <c r="AF52" s="680"/>
      <c r="AG52" s="680"/>
      <c r="AH52" s="680"/>
      <c r="AI52" s="701"/>
      <c r="AJ52" s="701"/>
      <c r="AK52" s="701"/>
      <c r="AL52" s="701"/>
      <c r="AM52" s="701"/>
      <c r="AN52" s="701"/>
      <c r="AO52" s="701"/>
      <c r="AP52" s="701"/>
      <c r="AQ52" s="701"/>
      <c r="AR52" s="701"/>
      <c r="AS52" s="701"/>
    </row>
    <row r="53" spans="1:45" s="397" customFormat="1" ht="30" hidden="1" customHeight="1" x14ac:dyDescent="0.25">
      <c r="A53" s="2158"/>
      <c r="B53" s="2156"/>
      <c r="C53" s="132" t="s">
        <v>470</v>
      </c>
      <c r="D53" s="850" t="s">
        <v>10</v>
      </c>
      <c r="E53" s="851">
        <v>45986</v>
      </c>
      <c r="F53" s="42">
        <f t="shared" ref="F53" si="12">$L$7-E53</f>
        <v>300</v>
      </c>
      <c r="G53" s="298">
        <v>0</v>
      </c>
      <c r="H53" s="297"/>
      <c r="I53" s="297"/>
      <c r="J53" s="297"/>
      <c r="K53" s="297"/>
      <c r="L53" s="531">
        <f t="shared" si="4"/>
        <v>0</v>
      </c>
      <c r="M53" s="1446"/>
      <c r="N53" s="241"/>
      <c r="O53" s="1446"/>
      <c r="P53" s="728"/>
      <c r="Q53" s="795"/>
      <c r="R53" s="785">
        <f>IFERROR(VLOOKUP($Q53,'391'!$S:$Z,8,0),0)</f>
        <v>0</v>
      </c>
      <c r="S53" s="796"/>
      <c r="T53" s="797"/>
      <c r="U53" s="797"/>
      <c r="V53" s="797"/>
      <c r="W53" s="785">
        <f>IFERROR(VLOOKUP($Q53,'391'!$S:$AG,15,0),0)</f>
        <v>0</v>
      </c>
      <c r="X53" s="799">
        <f t="shared" si="3"/>
        <v>0</v>
      </c>
      <c r="Y53" s="797"/>
      <c r="Z53" s="785"/>
      <c r="AA53" s="797"/>
      <c r="AB53" s="797"/>
      <c r="AC53" s="680"/>
      <c r="AD53" s="680"/>
      <c r="AE53" s="680"/>
      <c r="AF53" s="680"/>
      <c r="AG53" s="680"/>
      <c r="AH53" s="680"/>
      <c r="AI53" s="701"/>
      <c r="AJ53" s="701"/>
      <c r="AK53" s="701"/>
      <c r="AL53" s="701"/>
      <c r="AM53" s="701"/>
      <c r="AN53" s="701"/>
      <c r="AO53" s="701"/>
      <c r="AP53" s="701"/>
      <c r="AQ53" s="701"/>
      <c r="AR53" s="701"/>
      <c r="AS53" s="701"/>
    </row>
    <row r="54" spans="1:45" s="397" customFormat="1" ht="30" hidden="1" customHeight="1" x14ac:dyDescent="0.25">
      <c r="A54" s="2158"/>
      <c r="B54" s="2155"/>
      <c r="C54" s="132" t="s">
        <v>479</v>
      </c>
      <c r="D54" s="29" t="s">
        <v>10</v>
      </c>
      <c r="E54" s="851">
        <v>45955</v>
      </c>
      <c r="F54" s="42">
        <f t="shared" si="5"/>
        <v>331</v>
      </c>
      <c r="G54" s="297">
        <v>0</v>
      </c>
      <c r="H54" s="297"/>
      <c r="I54" s="298"/>
      <c r="J54" s="297"/>
      <c r="K54" s="1164"/>
      <c r="L54" s="531">
        <f t="shared" si="4"/>
        <v>0</v>
      </c>
      <c r="M54" s="1446"/>
      <c r="N54" s="241"/>
      <c r="O54" s="1446"/>
      <c r="P54" s="728"/>
      <c r="Q54" s="795"/>
      <c r="R54" s="785">
        <f>IFERROR(VLOOKUP($Q54,'391'!$S:$Z,8,0),0)</f>
        <v>0</v>
      </c>
      <c r="S54" s="796"/>
      <c r="T54" s="797"/>
      <c r="U54" s="797"/>
      <c r="V54" s="797"/>
      <c r="W54" s="785">
        <f>IFERROR(VLOOKUP($Q54,'391'!$S:$AG,15,0),0)</f>
        <v>0</v>
      </c>
      <c r="X54" s="799">
        <f t="shared" si="3"/>
        <v>0</v>
      </c>
      <c r="Y54" s="797"/>
      <c r="Z54" s="785"/>
      <c r="AA54" s="797"/>
      <c r="AB54" s="797"/>
      <c r="AC54" s="680"/>
      <c r="AD54" s="680"/>
      <c r="AE54" s="680"/>
      <c r="AF54" s="680"/>
      <c r="AG54" s="680"/>
      <c r="AH54" s="680"/>
      <c r="AI54" s="701"/>
      <c r="AJ54" s="701"/>
      <c r="AK54" s="701"/>
      <c r="AL54" s="701"/>
      <c r="AM54" s="701"/>
      <c r="AN54" s="701"/>
      <c r="AO54" s="701"/>
      <c r="AP54" s="701"/>
      <c r="AQ54" s="701"/>
      <c r="AR54" s="701"/>
      <c r="AS54" s="701"/>
    </row>
    <row r="55" spans="1:45" s="397" customFormat="1" ht="30" hidden="1" customHeight="1" x14ac:dyDescent="0.25">
      <c r="A55" s="2158"/>
      <c r="B55" s="2156"/>
      <c r="C55" s="132" t="s">
        <v>478</v>
      </c>
      <c r="D55" s="852" t="s">
        <v>10</v>
      </c>
      <c r="E55" s="851">
        <v>45955</v>
      </c>
      <c r="F55" s="42">
        <f t="shared" si="5"/>
        <v>331</v>
      </c>
      <c r="G55" s="297">
        <v>0</v>
      </c>
      <c r="H55" s="297"/>
      <c r="I55" s="297"/>
      <c r="J55" s="297"/>
      <c r="K55" s="1164"/>
      <c r="L55" s="531">
        <f t="shared" si="4"/>
        <v>0</v>
      </c>
      <c r="M55" s="1446"/>
      <c r="N55" s="241"/>
      <c r="O55" s="1446"/>
      <c r="P55" s="728"/>
      <c r="Q55" s="795"/>
      <c r="R55" s="785">
        <f>IFERROR(VLOOKUP($Q55,'391'!$S:$Z,8,0),0)</f>
        <v>0</v>
      </c>
      <c r="S55" s="796"/>
      <c r="T55" s="797"/>
      <c r="U55" s="797"/>
      <c r="V55" s="797"/>
      <c r="W55" s="785">
        <f>IFERROR(VLOOKUP($Q55,'391'!$S:$AG,15,0),0)</f>
        <v>0</v>
      </c>
      <c r="X55" s="799">
        <f t="shared" si="3"/>
        <v>0</v>
      </c>
      <c r="Y55" s="797"/>
      <c r="Z55" s="785"/>
      <c r="AA55" s="797"/>
      <c r="AB55" s="797"/>
      <c r="AC55" s="680"/>
      <c r="AD55" s="680"/>
      <c r="AE55" s="680"/>
      <c r="AF55" s="680"/>
      <c r="AG55" s="680"/>
      <c r="AH55" s="680"/>
      <c r="AI55" s="701"/>
      <c r="AJ55" s="701"/>
      <c r="AK55" s="701"/>
      <c r="AL55" s="701"/>
      <c r="AM55" s="701"/>
      <c r="AN55" s="701"/>
      <c r="AO55" s="701"/>
      <c r="AP55" s="701"/>
      <c r="AQ55" s="701"/>
      <c r="AR55" s="701"/>
      <c r="AS55" s="701"/>
    </row>
    <row r="56" spans="1:45" s="397" customFormat="1" ht="30" hidden="1" customHeight="1" x14ac:dyDescent="0.25">
      <c r="A56" s="2158"/>
      <c r="B56" s="2156"/>
      <c r="C56" s="132" t="s">
        <v>466</v>
      </c>
      <c r="D56" s="852" t="s">
        <v>10</v>
      </c>
      <c r="E56" s="853">
        <v>45939</v>
      </c>
      <c r="F56" s="42">
        <f t="shared" ref="F56" si="13">$L$7-E56</f>
        <v>347</v>
      </c>
      <c r="G56" s="297">
        <v>0</v>
      </c>
      <c r="H56" s="297"/>
      <c r="I56" s="298"/>
      <c r="J56" s="297"/>
      <c r="K56" s="297"/>
      <c r="L56" s="531">
        <f t="shared" si="4"/>
        <v>0</v>
      </c>
      <c r="M56" s="1446"/>
      <c r="N56" s="241"/>
      <c r="O56" s="1446"/>
      <c r="P56" s="728"/>
      <c r="Q56" s="795"/>
      <c r="R56" s="785">
        <f>IFERROR(VLOOKUP($Q56,'391'!$S:$Z,8,0),0)</f>
        <v>0</v>
      </c>
      <c r="S56" s="796"/>
      <c r="T56" s="797"/>
      <c r="U56" s="797"/>
      <c r="V56" s="797"/>
      <c r="W56" s="785">
        <f>IFERROR(VLOOKUP($Q56,'391'!$S:$AG,15,0),0)</f>
        <v>0</v>
      </c>
      <c r="X56" s="799">
        <f t="shared" si="3"/>
        <v>0</v>
      </c>
      <c r="Y56" s="797"/>
      <c r="Z56" s="785"/>
      <c r="AA56" s="797"/>
      <c r="AB56" s="797"/>
      <c r="AC56" s="680"/>
      <c r="AD56" s="680"/>
      <c r="AE56" s="680"/>
      <c r="AF56" s="680"/>
      <c r="AG56" s="680"/>
      <c r="AH56" s="680"/>
      <c r="AI56" s="701"/>
      <c r="AJ56" s="701"/>
      <c r="AK56" s="701"/>
      <c r="AL56" s="701"/>
      <c r="AM56" s="701"/>
      <c r="AN56" s="701"/>
      <c r="AO56" s="701"/>
      <c r="AP56" s="701"/>
      <c r="AQ56" s="701"/>
      <c r="AR56" s="701"/>
      <c r="AS56" s="701"/>
    </row>
    <row r="57" spans="1:45" s="397" customFormat="1" ht="30" hidden="1" customHeight="1" x14ac:dyDescent="0.25">
      <c r="A57" s="2158"/>
      <c r="B57" s="2155"/>
      <c r="C57" s="132" t="s">
        <v>477</v>
      </c>
      <c r="D57" s="1255" t="s">
        <v>10</v>
      </c>
      <c r="E57" s="1256">
        <v>45986</v>
      </c>
      <c r="F57" s="42">
        <f t="shared" ref="F57:F59" si="14">$L$7-E57</f>
        <v>300</v>
      </c>
      <c r="G57" s="1164">
        <v>0</v>
      </c>
      <c r="H57" s="297"/>
      <c r="I57" s="297"/>
      <c r="J57" s="297"/>
      <c r="K57" s="297"/>
      <c r="L57" s="531">
        <f t="shared" si="4"/>
        <v>0</v>
      </c>
      <c r="M57" s="1446"/>
      <c r="N57" s="241"/>
      <c r="O57" s="1446"/>
      <c r="P57" s="728"/>
      <c r="Q57" s="795"/>
      <c r="R57" s="785">
        <f>IFERROR(VLOOKUP($Q57,'391'!$S:$Z,8,0),0)</f>
        <v>0</v>
      </c>
      <c r="S57" s="796"/>
      <c r="T57" s="797"/>
      <c r="U57" s="797"/>
      <c r="V57" s="797"/>
      <c r="W57" s="785">
        <f>IFERROR(VLOOKUP($Q57,'391'!$S:$AG,15,0),0)</f>
        <v>0</v>
      </c>
      <c r="X57" s="799">
        <f t="shared" si="3"/>
        <v>0</v>
      </c>
      <c r="Y57" s="797"/>
      <c r="Z57" s="785"/>
      <c r="AA57" s="797"/>
      <c r="AB57" s="797"/>
      <c r="AC57" s="680"/>
      <c r="AD57" s="680"/>
      <c r="AE57" s="680"/>
      <c r="AF57" s="680"/>
      <c r="AG57" s="680"/>
      <c r="AH57" s="680"/>
      <c r="AI57" s="701"/>
      <c r="AJ57" s="701"/>
      <c r="AK57" s="701"/>
      <c r="AL57" s="701"/>
      <c r="AM57" s="701"/>
      <c r="AN57" s="701"/>
      <c r="AO57" s="701"/>
      <c r="AP57" s="701"/>
      <c r="AQ57" s="701"/>
      <c r="AR57" s="701"/>
      <c r="AS57" s="701"/>
    </row>
    <row r="58" spans="1:45" s="397" customFormat="1" ht="30" hidden="1" customHeight="1" x14ac:dyDescent="0.25">
      <c r="A58" s="2158"/>
      <c r="B58" s="2155"/>
      <c r="C58" s="132" t="s">
        <v>476</v>
      </c>
      <c r="D58" s="852" t="s">
        <v>10</v>
      </c>
      <c r="E58" s="853">
        <v>46087</v>
      </c>
      <c r="F58" s="42">
        <f t="shared" si="14"/>
        <v>199</v>
      </c>
      <c r="G58" s="297">
        <v>0</v>
      </c>
      <c r="H58" s="297"/>
      <c r="I58" s="297"/>
      <c r="J58" s="297"/>
      <c r="K58" s="1164"/>
      <c r="L58" s="531">
        <f t="shared" si="4"/>
        <v>0</v>
      </c>
      <c r="M58" s="1446"/>
      <c r="N58" s="241"/>
      <c r="O58" s="1446"/>
      <c r="P58" s="728"/>
      <c r="Q58" s="795"/>
      <c r="R58" s="785">
        <f>IFERROR(VLOOKUP($Q58,'391'!$S:$Z,8,0),0)</f>
        <v>0</v>
      </c>
      <c r="S58" s="796"/>
      <c r="T58" s="797"/>
      <c r="U58" s="797"/>
      <c r="V58" s="797"/>
      <c r="W58" s="785">
        <f>IFERROR(VLOOKUP($Q58,'391'!$S:$AG,15,0),0)</f>
        <v>0</v>
      </c>
      <c r="X58" s="799">
        <f t="shared" si="3"/>
        <v>0</v>
      </c>
      <c r="Y58" s="797"/>
      <c r="Z58" s="785"/>
      <c r="AA58" s="797"/>
      <c r="AB58" s="797"/>
      <c r="AC58" s="680"/>
      <c r="AD58" s="680"/>
      <c r="AE58" s="680"/>
      <c r="AF58" s="680"/>
      <c r="AG58" s="680"/>
      <c r="AH58" s="680"/>
      <c r="AI58" s="701"/>
      <c r="AJ58" s="701"/>
      <c r="AK58" s="701"/>
      <c r="AL58" s="701"/>
      <c r="AM58" s="701"/>
      <c r="AN58" s="701"/>
      <c r="AO58" s="701"/>
      <c r="AP58" s="701"/>
      <c r="AQ58" s="701"/>
      <c r="AR58" s="701"/>
      <c r="AS58" s="701"/>
    </row>
    <row r="59" spans="1:45" s="397" customFormat="1" ht="30" hidden="1" customHeight="1" x14ac:dyDescent="0.25">
      <c r="A59" s="2158"/>
      <c r="B59" s="2156"/>
      <c r="C59" s="132" t="s">
        <v>475</v>
      </c>
      <c r="D59" s="852" t="s">
        <v>10</v>
      </c>
      <c r="E59" s="853">
        <v>45986</v>
      </c>
      <c r="F59" s="42">
        <f t="shared" si="14"/>
        <v>300</v>
      </c>
      <c r="G59" s="298">
        <v>0</v>
      </c>
      <c r="H59" s="1243"/>
      <c r="I59" s="298"/>
      <c r="J59" s="1219"/>
      <c r="K59" s="1219"/>
      <c r="L59" s="531">
        <f t="shared" si="4"/>
        <v>0</v>
      </c>
      <c r="M59" s="1447"/>
      <c r="N59" s="1244"/>
      <c r="O59" s="1447"/>
      <c r="P59" s="730"/>
      <c r="Q59" s="808"/>
      <c r="R59" s="785"/>
      <c r="S59" s="796"/>
      <c r="T59" s="797"/>
      <c r="U59" s="797"/>
      <c r="V59" s="797"/>
      <c r="W59" s="785">
        <f>IFERROR(VLOOKUP($Q59,'391'!$S:$AG,15,0),0)</f>
        <v>0</v>
      </c>
      <c r="X59" s="799"/>
      <c r="Y59" s="797"/>
      <c r="Z59" s="785"/>
      <c r="AA59" s="797"/>
      <c r="AB59" s="797"/>
      <c r="AC59" s="680"/>
      <c r="AD59" s="680"/>
      <c r="AE59" s="680"/>
      <c r="AF59" s="680"/>
      <c r="AG59" s="680"/>
      <c r="AH59" s="680"/>
      <c r="AI59" s="701"/>
      <c r="AJ59" s="701"/>
      <c r="AK59" s="701"/>
      <c r="AL59" s="701"/>
      <c r="AM59" s="701"/>
      <c r="AN59" s="701"/>
      <c r="AO59" s="701"/>
      <c r="AP59" s="701"/>
      <c r="AQ59" s="701"/>
      <c r="AR59" s="701"/>
      <c r="AS59" s="701"/>
    </row>
    <row r="60" spans="1:45" s="397" customFormat="1" ht="30" hidden="1" customHeight="1" x14ac:dyDescent="0.25">
      <c r="A60" s="2158"/>
      <c r="B60" s="2157"/>
      <c r="C60" s="149" t="s">
        <v>1804</v>
      </c>
      <c r="D60" s="850" t="s">
        <v>10</v>
      </c>
      <c r="E60" s="853">
        <v>46134</v>
      </c>
      <c r="F60" s="73">
        <f>$L$7-E60</f>
        <v>152</v>
      </c>
      <c r="G60" s="298">
        <v>0</v>
      </c>
      <c r="H60" s="299"/>
      <c r="I60" s="317">
        <f>+K41+K48-I39+K49+K47</f>
        <v>0</v>
      </c>
      <c r="J60" s="1164"/>
      <c r="K60" s="297"/>
      <c r="L60" s="531">
        <f t="shared" si="4"/>
        <v>0</v>
      </c>
      <c r="M60" s="1448"/>
      <c r="N60" s="85"/>
      <c r="O60" s="1957"/>
      <c r="P60" s="730"/>
      <c r="Q60" s="795" t="s">
        <v>885</v>
      </c>
      <c r="R60" s="785">
        <f>IFERROR(VLOOKUP($Q60,'391'!$S:$Z,8,0),0)</f>
        <v>0</v>
      </c>
      <c r="S60" s="796"/>
      <c r="T60" s="797"/>
      <c r="U60" s="797"/>
      <c r="V60" s="797"/>
      <c r="W60" s="785">
        <f>IFERROR(VLOOKUP($Q60,'391'!$S:$AG,15,0),0)</f>
        <v>0</v>
      </c>
      <c r="X60" s="799">
        <f t="shared" ref="X60:X110" si="15">G60-W60</f>
        <v>0</v>
      </c>
      <c r="Y60" s="797"/>
      <c r="Z60" s="785"/>
      <c r="AA60" s="797"/>
      <c r="AB60" s="797"/>
      <c r="AC60" s="680"/>
      <c r="AD60" s="680"/>
      <c r="AE60" s="680"/>
      <c r="AF60" s="680"/>
      <c r="AG60" s="680"/>
      <c r="AH60" s="680"/>
      <c r="AI60" s="701"/>
      <c r="AJ60" s="701"/>
      <c r="AK60" s="701"/>
      <c r="AL60" s="701"/>
      <c r="AM60" s="701"/>
      <c r="AN60" s="701"/>
      <c r="AO60" s="701"/>
      <c r="AP60" s="701"/>
      <c r="AQ60" s="701"/>
      <c r="AR60" s="701"/>
      <c r="AS60" s="701"/>
    </row>
    <row r="61" spans="1:45" s="398" customFormat="1" ht="27.75" hidden="1" customHeight="1" x14ac:dyDescent="0.25">
      <c r="A61" s="2158"/>
      <c r="B61" s="509" t="s">
        <v>350</v>
      </c>
      <c r="C61" s="88"/>
      <c r="D61" s="864"/>
      <c r="E61" s="864"/>
      <c r="F61" s="865"/>
      <c r="G61" s="324">
        <v>0</v>
      </c>
      <c r="H61" s="324">
        <f>SUM(H39:H60)</f>
        <v>0</v>
      </c>
      <c r="I61" s="324">
        <f>SUM(I39:I60)</f>
        <v>0</v>
      </c>
      <c r="J61" s="324">
        <f>SUM(J39:J60)</f>
        <v>0</v>
      </c>
      <c r="K61" s="324">
        <f>SUM(K39:K60)</f>
        <v>0</v>
      </c>
      <c r="L61" s="324">
        <f t="shared" si="4"/>
        <v>0</v>
      </c>
      <c r="M61" s="1916">
        <f>IFERROR((R61+R50+R60)/$S$2,"")</f>
        <v>0</v>
      </c>
      <c r="N61" s="1917">
        <f>IFERROR(L61/M61,0)</f>
        <v>0</v>
      </c>
      <c r="O61" s="1918">
        <f>IFERROR(SUMIF(ETM!$A:$A,$Q61,ETM!$E:$E),"")</f>
        <v>0</v>
      </c>
      <c r="P61" s="1919">
        <f>IFERROR(L61/O61,0)</f>
        <v>0</v>
      </c>
      <c r="Q61" s="795" t="s">
        <v>883</v>
      </c>
      <c r="R61" s="785">
        <f>IFERROR(VLOOKUP($Q61,'391'!$S:$Z,8,0),0)</f>
        <v>0</v>
      </c>
      <c r="S61" s="800">
        <f>R38-R87-R92</f>
        <v>6077290</v>
      </c>
      <c r="T61" s="801"/>
      <c r="U61" s="801"/>
      <c r="V61" s="801"/>
      <c r="W61" s="785">
        <f>IFERROR(VLOOKUP($Q61,'391'!$S:$AG,15,0),0)</f>
        <v>0</v>
      </c>
      <c r="X61" s="799">
        <f t="shared" si="15"/>
        <v>0</v>
      </c>
      <c r="Y61" s="801"/>
      <c r="Z61" s="796"/>
      <c r="AA61" s="801"/>
      <c r="AB61" s="801"/>
      <c r="AC61" s="552"/>
      <c r="AD61" s="552"/>
      <c r="AE61" s="552"/>
      <c r="AF61" s="552"/>
      <c r="AG61" s="552"/>
      <c r="AH61" s="552"/>
      <c r="AI61" s="702"/>
      <c r="AJ61" s="702"/>
      <c r="AK61" s="702"/>
      <c r="AL61" s="702"/>
      <c r="AM61" s="702"/>
      <c r="AN61" s="702"/>
      <c r="AO61" s="702"/>
      <c r="AP61" s="702"/>
      <c r="AQ61" s="702"/>
      <c r="AR61" s="702"/>
      <c r="AS61" s="702"/>
    </row>
    <row r="62" spans="1:45" s="397" customFormat="1" ht="30" hidden="1" customHeight="1" x14ac:dyDescent="0.25">
      <c r="A62" s="2158"/>
      <c r="B62" s="2175" t="s">
        <v>1564</v>
      </c>
      <c r="C62" s="132" t="s">
        <v>200</v>
      </c>
      <c r="D62" s="852" t="s">
        <v>10</v>
      </c>
      <c r="E62" s="853">
        <v>46122</v>
      </c>
      <c r="F62" s="42">
        <f>$L$7-E62</f>
        <v>164</v>
      </c>
      <c r="G62" s="297">
        <v>0</v>
      </c>
      <c r="H62" s="298"/>
      <c r="I62" s="298"/>
      <c r="J62" s="316"/>
      <c r="K62" s="1164"/>
      <c r="L62" s="531">
        <f t="shared" si="4"/>
        <v>0</v>
      </c>
      <c r="M62" s="1445"/>
      <c r="N62" s="511"/>
      <c r="O62" s="1445"/>
      <c r="P62" s="727"/>
      <c r="Q62" s="795"/>
      <c r="R62" s="785">
        <f>IFERROR(VLOOKUP($Q62,'391'!$S:$Z,8,0),0)</f>
        <v>0</v>
      </c>
      <c r="S62" s="796"/>
      <c r="T62" s="797"/>
      <c r="U62" s="797"/>
      <c r="V62" s="797"/>
      <c r="W62" s="785">
        <f>IFERROR(VLOOKUP($Q62,'391'!$S:$AG,15,0),0)</f>
        <v>0</v>
      </c>
      <c r="X62" s="799">
        <f t="shared" ref="X62" si="16">G62-W62</f>
        <v>0</v>
      </c>
      <c r="Y62" s="797"/>
      <c r="Z62" s="785"/>
      <c r="AA62" s="797"/>
      <c r="AB62" s="797"/>
      <c r="AC62" s="680"/>
      <c r="AD62" s="680"/>
      <c r="AE62" s="680"/>
      <c r="AF62" s="680"/>
      <c r="AG62" s="680"/>
      <c r="AH62" s="680"/>
      <c r="AI62" s="701"/>
      <c r="AJ62" s="701"/>
      <c r="AK62" s="701"/>
      <c r="AL62" s="701"/>
      <c r="AM62" s="701"/>
      <c r="AN62" s="701"/>
      <c r="AO62" s="701"/>
      <c r="AP62" s="701"/>
      <c r="AQ62" s="701"/>
      <c r="AR62" s="701"/>
      <c r="AS62" s="701"/>
    </row>
    <row r="63" spans="1:45" s="397" customFormat="1" ht="30" hidden="1" customHeight="1" x14ac:dyDescent="0.25">
      <c r="A63" s="2158"/>
      <c r="B63" s="2156"/>
      <c r="C63" s="132" t="s">
        <v>444</v>
      </c>
      <c r="D63" s="850" t="s">
        <v>10</v>
      </c>
      <c r="E63" s="851">
        <v>46252</v>
      </c>
      <c r="F63" s="42">
        <f t="shared" ref="F63:F79" si="17">$L$7-E63</f>
        <v>34</v>
      </c>
      <c r="G63" s="298">
        <v>0</v>
      </c>
      <c r="H63" s="298"/>
      <c r="I63" s="298"/>
      <c r="J63" s="316"/>
      <c r="K63" s="1164"/>
      <c r="L63" s="531">
        <f t="shared" ref="L63:L79" si="18">+G63+H63+I63-J63-K63</f>
        <v>0</v>
      </c>
      <c r="M63" s="1446"/>
      <c r="N63" s="241"/>
      <c r="O63" s="1446"/>
      <c r="P63" s="728"/>
      <c r="Q63" s="795"/>
      <c r="R63" s="785">
        <f>IFERROR(VLOOKUP($Q63,'391'!$S:$Z,8,0),0)</f>
        <v>0</v>
      </c>
      <c r="S63" s="796"/>
      <c r="T63" s="797"/>
      <c r="U63" s="797"/>
      <c r="V63" s="797"/>
      <c r="W63" s="785">
        <f>IFERROR(VLOOKUP($Q63,'391'!$S:$AG,15,0),0)</f>
        <v>0</v>
      </c>
      <c r="X63" s="799">
        <f t="shared" si="15"/>
        <v>0</v>
      </c>
      <c r="Y63" s="797"/>
      <c r="Z63" s="785"/>
      <c r="AA63" s="797"/>
      <c r="AB63" s="797"/>
      <c r="AC63" s="680"/>
      <c r="AD63" s="680"/>
      <c r="AE63" s="680"/>
      <c r="AF63" s="680"/>
      <c r="AG63" s="680"/>
      <c r="AH63" s="680"/>
      <c r="AI63" s="701"/>
      <c r="AJ63" s="701"/>
      <c r="AK63" s="701"/>
      <c r="AL63" s="701"/>
      <c r="AM63" s="701"/>
      <c r="AN63" s="701"/>
      <c r="AO63" s="701"/>
      <c r="AP63" s="701"/>
      <c r="AQ63" s="701"/>
      <c r="AR63" s="701"/>
      <c r="AS63" s="701"/>
    </row>
    <row r="64" spans="1:45" s="397" customFormat="1" ht="30" hidden="1" customHeight="1" x14ac:dyDescent="0.25">
      <c r="A64" s="2158"/>
      <c r="B64" s="2156"/>
      <c r="C64" s="132" t="s">
        <v>467</v>
      </c>
      <c r="D64" s="850" t="s">
        <v>10</v>
      </c>
      <c r="E64" s="851">
        <v>46206</v>
      </c>
      <c r="F64" s="42">
        <f t="shared" si="17"/>
        <v>80</v>
      </c>
      <c r="G64" s="298">
        <v>0</v>
      </c>
      <c r="H64" s="297"/>
      <c r="I64" s="297"/>
      <c r="J64" s="316"/>
      <c r="K64" s="1164"/>
      <c r="L64" s="531">
        <f t="shared" si="18"/>
        <v>0</v>
      </c>
      <c r="M64" s="1445"/>
      <c r="N64" s="511"/>
      <c r="O64" s="1445"/>
      <c r="P64" s="727"/>
      <c r="Q64" s="795"/>
      <c r="R64" s="785">
        <f>IFERROR(VLOOKUP($Q64,'391'!$S:$Z,8,0),0)</f>
        <v>0</v>
      </c>
      <c r="S64" s="796"/>
      <c r="T64" s="797"/>
      <c r="U64" s="797"/>
      <c r="V64" s="797"/>
      <c r="W64" s="785">
        <f>IFERROR(VLOOKUP($Q64,'391'!$S:$AG,15,0),0)</f>
        <v>0</v>
      </c>
      <c r="X64" s="799">
        <f t="shared" si="15"/>
        <v>0</v>
      </c>
      <c r="Y64" s="797"/>
      <c r="Z64" s="785"/>
      <c r="AA64" s="797"/>
      <c r="AB64" s="797"/>
      <c r="AC64" s="680"/>
      <c r="AD64" s="680"/>
      <c r="AE64" s="680"/>
      <c r="AF64" s="680"/>
      <c r="AG64" s="680"/>
      <c r="AH64" s="680"/>
      <c r="AI64" s="701"/>
      <c r="AJ64" s="701"/>
      <c r="AK64" s="701"/>
      <c r="AL64" s="701"/>
      <c r="AM64" s="701"/>
      <c r="AN64" s="701"/>
      <c r="AO64" s="701"/>
      <c r="AP64" s="701"/>
      <c r="AQ64" s="701"/>
      <c r="AR64" s="701"/>
      <c r="AS64" s="701"/>
    </row>
    <row r="65" spans="1:45" s="397" customFormat="1" ht="30" hidden="1" customHeight="1" x14ac:dyDescent="0.25">
      <c r="A65" s="2158"/>
      <c r="B65" s="2156"/>
      <c r="C65" s="132" t="s">
        <v>470</v>
      </c>
      <c r="D65" s="850" t="s">
        <v>10</v>
      </c>
      <c r="E65" s="851">
        <v>46240</v>
      </c>
      <c r="F65" s="42">
        <f t="shared" si="17"/>
        <v>46</v>
      </c>
      <c r="G65" s="297">
        <v>0</v>
      </c>
      <c r="H65" s="297"/>
      <c r="I65" s="297"/>
      <c r="J65" s="316"/>
      <c r="K65" s="1164"/>
      <c r="L65" s="531">
        <f t="shared" si="18"/>
        <v>0</v>
      </c>
      <c r="M65" s="1445"/>
      <c r="N65" s="511"/>
      <c r="O65" s="1445"/>
      <c r="P65" s="727"/>
      <c r="Q65" s="795"/>
      <c r="R65" s="785"/>
      <c r="S65" s="796"/>
      <c r="T65" s="797"/>
      <c r="U65" s="797"/>
      <c r="V65" s="797"/>
      <c r="W65" s="785">
        <f>IFERROR(VLOOKUP($Q65,'391'!$S:$AG,15,0),0)</f>
        <v>0</v>
      </c>
      <c r="X65" s="799">
        <f t="shared" si="15"/>
        <v>0</v>
      </c>
      <c r="Y65" s="797"/>
      <c r="Z65" s="785"/>
      <c r="AA65" s="797"/>
      <c r="AB65" s="797"/>
      <c r="AC65" s="680"/>
      <c r="AD65" s="680"/>
      <c r="AE65" s="680"/>
      <c r="AF65" s="680"/>
      <c r="AG65" s="680"/>
      <c r="AH65" s="680"/>
      <c r="AI65" s="701"/>
      <c r="AJ65" s="701"/>
      <c r="AK65" s="701"/>
      <c r="AL65" s="701"/>
      <c r="AM65" s="701"/>
      <c r="AN65" s="701"/>
      <c r="AO65" s="701"/>
      <c r="AP65" s="701"/>
      <c r="AQ65" s="701"/>
      <c r="AR65" s="701"/>
      <c r="AS65" s="701"/>
    </row>
    <row r="66" spans="1:45" s="397" customFormat="1" ht="30" hidden="1" customHeight="1" x14ac:dyDescent="0.25">
      <c r="A66" s="2158"/>
      <c r="B66" s="2156"/>
      <c r="C66" s="132" t="s">
        <v>479</v>
      </c>
      <c r="D66" s="850" t="s">
        <v>10</v>
      </c>
      <c r="E66" s="851">
        <v>46007</v>
      </c>
      <c r="F66" s="42">
        <f t="shared" si="17"/>
        <v>279</v>
      </c>
      <c r="G66" s="297">
        <v>0</v>
      </c>
      <c r="H66" s="297"/>
      <c r="I66" s="297"/>
      <c r="J66" s="297"/>
      <c r="K66" s="1164"/>
      <c r="L66" s="531">
        <f t="shared" si="18"/>
        <v>0</v>
      </c>
      <c r="M66" s="1446"/>
      <c r="N66" s="241"/>
      <c r="O66" s="1446"/>
      <c r="P66" s="728"/>
      <c r="Q66" s="795"/>
      <c r="R66" s="785">
        <f>IFERROR(VLOOKUP($Q66,'391'!$S:$Z,8,0),0)</f>
        <v>0</v>
      </c>
      <c r="S66" s="796"/>
      <c r="T66" s="797"/>
      <c r="U66" s="797"/>
      <c r="V66" s="797"/>
      <c r="W66" s="785">
        <f>IFERROR(VLOOKUP($Q66,'391'!$S:$AG,15,0),0)</f>
        <v>0</v>
      </c>
      <c r="X66" s="799">
        <f t="shared" si="15"/>
        <v>0</v>
      </c>
      <c r="Y66" s="797"/>
      <c r="Z66" s="785"/>
      <c r="AA66" s="797"/>
      <c r="AB66" s="797"/>
      <c r="AC66" s="680"/>
      <c r="AD66" s="680"/>
      <c r="AE66" s="680"/>
      <c r="AF66" s="680"/>
      <c r="AG66" s="680"/>
      <c r="AH66" s="680"/>
      <c r="AI66" s="701"/>
      <c r="AJ66" s="701"/>
      <c r="AK66" s="701"/>
      <c r="AL66" s="701"/>
      <c r="AM66" s="701"/>
      <c r="AN66" s="701"/>
      <c r="AO66" s="701"/>
      <c r="AP66" s="701"/>
      <c r="AQ66" s="701"/>
      <c r="AR66" s="701"/>
      <c r="AS66" s="701"/>
    </row>
    <row r="67" spans="1:45" s="397" customFormat="1" ht="30" hidden="1" customHeight="1" x14ac:dyDescent="0.25">
      <c r="A67" s="2158"/>
      <c r="B67" s="2156"/>
      <c r="C67" s="132" t="s">
        <v>478</v>
      </c>
      <c r="D67" s="850" t="s">
        <v>10</v>
      </c>
      <c r="E67" s="851">
        <v>46252</v>
      </c>
      <c r="F67" s="42">
        <f t="shared" si="17"/>
        <v>34</v>
      </c>
      <c r="G67" s="297">
        <v>0</v>
      </c>
      <c r="H67" s="297"/>
      <c r="I67" s="297"/>
      <c r="J67" s="297"/>
      <c r="K67" s="1164"/>
      <c r="L67" s="531">
        <f t="shared" ref="L67" si="19">+G67+H67+I67-J67-K67</f>
        <v>0</v>
      </c>
      <c r="M67" s="1446"/>
      <c r="N67" s="241"/>
      <c r="O67" s="1446"/>
      <c r="P67" s="728"/>
      <c r="Q67" s="795"/>
      <c r="R67" s="785">
        <f>IFERROR(VLOOKUP($Q67,'391'!$S:$Z,8,0),0)</f>
        <v>0</v>
      </c>
      <c r="S67" s="796"/>
      <c r="T67" s="797"/>
      <c r="U67" s="797"/>
      <c r="V67" s="797"/>
      <c r="W67" s="785">
        <f>IFERROR(VLOOKUP($Q67,'391'!$S:$AG,15,0),0)</f>
        <v>0</v>
      </c>
      <c r="X67" s="799">
        <f t="shared" ref="X67" si="20">G67-W67</f>
        <v>0</v>
      </c>
      <c r="Y67" s="797"/>
      <c r="Z67" s="785"/>
      <c r="AA67" s="797"/>
      <c r="AB67" s="797"/>
      <c r="AC67" s="680"/>
      <c r="AD67" s="680"/>
      <c r="AE67" s="680"/>
      <c r="AF67" s="680"/>
      <c r="AG67" s="680"/>
      <c r="AH67" s="680"/>
      <c r="AI67" s="701"/>
      <c r="AJ67" s="701"/>
      <c r="AK67" s="701"/>
      <c r="AL67" s="701"/>
      <c r="AM67" s="701"/>
      <c r="AN67" s="701"/>
      <c r="AO67" s="701"/>
      <c r="AP67" s="701"/>
      <c r="AQ67" s="701"/>
      <c r="AR67" s="701"/>
      <c r="AS67" s="701"/>
    </row>
    <row r="68" spans="1:45" s="397" customFormat="1" ht="30" hidden="1" customHeight="1" x14ac:dyDescent="0.25">
      <c r="A68" s="2158"/>
      <c r="B68" s="2156"/>
      <c r="C68" s="132" t="s">
        <v>466</v>
      </c>
      <c r="D68" s="850" t="s">
        <v>10</v>
      </c>
      <c r="E68" s="851">
        <v>46251</v>
      </c>
      <c r="F68" s="42">
        <f t="shared" si="17"/>
        <v>35</v>
      </c>
      <c r="G68" s="297">
        <v>0</v>
      </c>
      <c r="H68" s="297"/>
      <c r="I68" s="297"/>
      <c r="J68" s="297"/>
      <c r="K68" s="1164"/>
      <c r="L68" s="531">
        <f t="shared" ref="L68" si="21">+G68+H68+I68-J68-K68</f>
        <v>0</v>
      </c>
      <c r="M68" s="1446"/>
      <c r="N68" s="241"/>
      <c r="O68" s="1446"/>
      <c r="P68" s="728"/>
      <c r="Q68" s="795"/>
      <c r="R68" s="785">
        <f>IFERROR(VLOOKUP($Q68,'391'!$S:$Z,8,0),0)</f>
        <v>0</v>
      </c>
      <c r="S68" s="796"/>
      <c r="T68" s="797"/>
      <c r="U68" s="797"/>
      <c r="V68" s="797"/>
      <c r="W68" s="785">
        <f>IFERROR(VLOOKUP($Q68,'391'!$S:$AG,15,0),0)</f>
        <v>0</v>
      </c>
      <c r="X68" s="799">
        <f t="shared" ref="X68" si="22">G68-W68</f>
        <v>0</v>
      </c>
      <c r="Y68" s="797"/>
      <c r="Z68" s="785"/>
      <c r="AA68" s="797"/>
      <c r="AB68" s="797"/>
      <c r="AC68" s="680"/>
      <c r="AD68" s="680"/>
      <c r="AE68" s="680"/>
      <c r="AF68" s="680"/>
      <c r="AG68" s="680"/>
      <c r="AH68" s="680"/>
      <c r="AI68" s="701"/>
      <c r="AJ68" s="701"/>
      <c r="AK68" s="701"/>
      <c r="AL68" s="701"/>
      <c r="AM68" s="701"/>
      <c r="AN68" s="701"/>
      <c r="AO68" s="701"/>
      <c r="AP68" s="701"/>
      <c r="AQ68" s="701"/>
      <c r="AR68" s="701"/>
      <c r="AS68" s="701"/>
    </row>
    <row r="69" spans="1:45" s="397" customFormat="1" ht="30" hidden="1" customHeight="1" x14ac:dyDescent="0.25">
      <c r="A69" s="2158"/>
      <c r="B69" s="2156"/>
      <c r="C69" s="132" t="s">
        <v>477</v>
      </c>
      <c r="D69" s="850" t="s">
        <v>10</v>
      </c>
      <c r="E69" s="851">
        <v>46234</v>
      </c>
      <c r="F69" s="42">
        <f t="shared" si="17"/>
        <v>52</v>
      </c>
      <c r="G69" s="297">
        <v>0</v>
      </c>
      <c r="H69" s="297"/>
      <c r="I69" s="298"/>
      <c r="J69" s="297"/>
      <c r="K69" s="297"/>
      <c r="L69" s="531">
        <f t="shared" si="18"/>
        <v>0</v>
      </c>
      <c r="M69" s="1446"/>
      <c r="N69" s="241"/>
      <c r="O69" s="1446"/>
      <c r="P69" s="728"/>
      <c r="Q69" s="795"/>
      <c r="R69" s="785">
        <f>IFERROR(VLOOKUP($Q69,'391'!$S:$Z,8,0),0)</f>
        <v>0</v>
      </c>
      <c r="S69" s="796"/>
      <c r="T69" s="797"/>
      <c r="U69" s="797"/>
      <c r="V69" s="797"/>
      <c r="W69" s="785">
        <f>IFERROR(VLOOKUP($Q69,'391'!$S:$AG,15,0),0)</f>
        <v>0</v>
      </c>
      <c r="X69" s="799">
        <f t="shared" si="15"/>
        <v>0</v>
      </c>
      <c r="Y69" s="797"/>
      <c r="Z69" s="785"/>
      <c r="AA69" s="797"/>
      <c r="AB69" s="797"/>
      <c r="AC69" s="680"/>
      <c r="AD69" s="680"/>
      <c r="AE69" s="680"/>
      <c r="AF69" s="680"/>
      <c r="AG69" s="680"/>
      <c r="AH69" s="680"/>
      <c r="AI69" s="701"/>
      <c r="AJ69" s="701"/>
      <c r="AK69" s="701"/>
      <c r="AL69" s="701"/>
      <c r="AM69" s="701"/>
      <c r="AN69" s="701"/>
      <c r="AO69" s="701"/>
      <c r="AP69" s="701"/>
      <c r="AQ69" s="701"/>
      <c r="AR69" s="701"/>
      <c r="AS69" s="701"/>
    </row>
    <row r="70" spans="1:45" s="397" customFormat="1" ht="30" hidden="1" customHeight="1" x14ac:dyDescent="0.25">
      <c r="A70" s="2158"/>
      <c r="B70" s="2156"/>
      <c r="C70" s="132" t="s">
        <v>476</v>
      </c>
      <c r="D70" s="850" t="s">
        <v>10</v>
      </c>
      <c r="E70" s="851">
        <v>46251</v>
      </c>
      <c r="F70" s="42">
        <f t="shared" si="17"/>
        <v>35</v>
      </c>
      <c r="G70" s="1164">
        <v>0</v>
      </c>
      <c r="H70" s="297"/>
      <c r="I70" s="297"/>
      <c r="J70" s="297"/>
      <c r="K70" s="297"/>
      <c r="L70" s="531">
        <f t="shared" si="18"/>
        <v>0</v>
      </c>
      <c r="M70" s="1446"/>
      <c r="N70" s="241"/>
      <c r="O70" s="1446"/>
      <c r="P70" s="728"/>
      <c r="Q70" s="795"/>
      <c r="R70" s="785">
        <f>IFERROR(VLOOKUP($Q70,'391'!$S:$Z,8,0),0)</f>
        <v>0</v>
      </c>
      <c r="S70" s="796"/>
      <c r="T70" s="797"/>
      <c r="U70" s="797"/>
      <c r="V70" s="797"/>
      <c r="W70" s="785">
        <f>IFERROR(VLOOKUP($Q70,'391'!$S:$AG,15,0),0)</f>
        <v>0</v>
      </c>
      <c r="X70" s="799">
        <f t="shared" si="15"/>
        <v>0</v>
      </c>
      <c r="Y70" s="797"/>
      <c r="Z70" s="785"/>
      <c r="AA70" s="797"/>
      <c r="AB70" s="797"/>
      <c r="AC70" s="680"/>
      <c r="AD70" s="680"/>
      <c r="AE70" s="680"/>
      <c r="AF70" s="680"/>
      <c r="AG70" s="680"/>
      <c r="AH70" s="680"/>
      <c r="AI70" s="701"/>
      <c r="AJ70" s="701"/>
      <c r="AK70" s="701"/>
      <c r="AL70" s="701"/>
      <c r="AM70" s="701"/>
      <c r="AN70" s="701"/>
      <c r="AO70" s="701"/>
      <c r="AP70" s="701"/>
      <c r="AQ70" s="701"/>
      <c r="AR70" s="701"/>
      <c r="AS70" s="701"/>
    </row>
    <row r="71" spans="1:45" s="397" customFormat="1" ht="30" hidden="1" customHeight="1" x14ac:dyDescent="0.25">
      <c r="A71" s="2158"/>
      <c r="B71" s="2156"/>
      <c r="C71" s="132" t="s">
        <v>475</v>
      </c>
      <c r="D71" s="850" t="s">
        <v>10</v>
      </c>
      <c r="E71" s="851">
        <v>46253</v>
      </c>
      <c r="F71" s="42">
        <f t="shared" si="17"/>
        <v>33</v>
      </c>
      <c r="G71" s="297">
        <v>0</v>
      </c>
      <c r="H71" s="297"/>
      <c r="I71" s="297"/>
      <c r="J71" s="297"/>
      <c r="K71" s="297"/>
      <c r="L71" s="531">
        <f t="shared" si="18"/>
        <v>0</v>
      </c>
      <c r="M71" s="1446"/>
      <c r="N71" s="241"/>
      <c r="O71" s="1446"/>
      <c r="P71" s="728"/>
      <c r="Q71" s="795"/>
      <c r="R71" s="785">
        <f>IFERROR(VLOOKUP($Q71,'391'!$S:$Z,8,0),0)</f>
        <v>0</v>
      </c>
      <c r="S71" s="796"/>
      <c r="T71" s="797"/>
      <c r="U71" s="797"/>
      <c r="V71" s="797"/>
      <c r="W71" s="785">
        <f>IFERROR(VLOOKUP($Q71,'391'!$S:$AG,15,0),0)</f>
        <v>0</v>
      </c>
      <c r="X71" s="799">
        <f t="shared" si="15"/>
        <v>0</v>
      </c>
      <c r="Y71" s="797"/>
      <c r="Z71" s="785"/>
      <c r="AA71" s="797"/>
      <c r="AB71" s="797"/>
      <c r="AC71" s="680"/>
      <c r="AD71" s="680"/>
      <c r="AE71" s="680"/>
      <c r="AF71" s="680"/>
      <c r="AG71" s="680"/>
      <c r="AH71" s="680"/>
      <c r="AI71" s="701"/>
      <c r="AJ71" s="701"/>
      <c r="AK71" s="701"/>
      <c r="AL71" s="701"/>
      <c r="AM71" s="701"/>
      <c r="AN71" s="701"/>
      <c r="AO71" s="701"/>
      <c r="AP71" s="701"/>
      <c r="AQ71" s="701"/>
      <c r="AR71" s="701"/>
      <c r="AS71" s="701"/>
    </row>
    <row r="72" spans="1:45" s="397" customFormat="1" ht="30" hidden="1" customHeight="1" x14ac:dyDescent="0.25">
      <c r="A72" s="2158"/>
      <c r="B72" s="2156"/>
      <c r="C72" s="106"/>
      <c r="D72" s="850" t="s">
        <v>10</v>
      </c>
      <c r="E72" s="853"/>
      <c r="F72" s="42"/>
      <c r="G72" s="297">
        <v>0</v>
      </c>
      <c r="H72" s="297"/>
      <c r="I72" s="297"/>
      <c r="J72" s="297"/>
      <c r="K72" s="1164"/>
      <c r="L72" s="531">
        <f t="shared" ref="L72:L74" si="23">+G72+H72+I72-J72-K72</f>
        <v>0</v>
      </c>
      <c r="M72" s="1446"/>
      <c r="N72" s="241"/>
      <c r="O72" s="1446"/>
      <c r="P72" s="728"/>
      <c r="Q72" s="795"/>
      <c r="R72" s="785">
        <f>IFERROR(VLOOKUP($Q72,'391'!$S:$Z,8,0),0)</f>
        <v>0</v>
      </c>
      <c r="S72" s="796"/>
      <c r="T72" s="797"/>
      <c r="U72" s="797"/>
      <c r="V72" s="797"/>
      <c r="W72" s="785">
        <f>IFERROR(VLOOKUP($Q72,'391'!$S:$AG,15,0),0)</f>
        <v>0</v>
      </c>
      <c r="X72" s="799">
        <f t="shared" ref="X72" si="24">G72-W72</f>
        <v>0</v>
      </c>
      <c r="Y72" s="797"/>
      <c r="Z72" s="785"/>
      <c r="AA72" s="797"/>
      <c r="AB72" s="797"/>
      <c r="AC72" s="680"/>
      <c r="AD72" s="680"/>
      <c r="AE72" s="680"/>
      <c r="AF72" s="680"/>
      <c r="AG72" s="680"/>
      <c r="AH72" s="680"/>
      <c r="AI72" s="701"/>
      <c r="AJ72" s="701"/>
      <c r="AK72" s="701"/>
      <c r="AL72" s="701"/>
      <c r="AM72" s="701"/>
      <c r="AN72" s="701"/>
      <c r="AO72" s="701"/>
      <c r="AP72" s="701"/>
      <c r="AQ72" s="701"/>
      <c r="AR72" s="701"/>
      <c r="AS72" s="701"/>
    </row>
    <row r="73" spans="1:45" s="397" customFormat="1" ht="30" hidden="1" customHeight="1" x14ac:dyDescent="0.25">
      <c r="A73" s="2158"/>
      <c r="B73" s="2156"/>
      <c r="C73" s="135"/>
      <c r="D73" s="850" t="s">
        <v>10</v>
      </c>
      <c r="E73" s="851"/>
      <c r="F73" s="42"/>
      <c r="G73" s="297">
        <v>0</v>
      </c>
      <c r="H73" s="297"/>
      <c r="I73" s="297"/>
      <c r="J73" s="297"/>
      <c r="K73" s="1164"/>
      <c r="L73" s="531">
        <f t="shared" ref="L73" si="25">+G73+H73+I73-J73-K73</f>
        <v>0</v>
      </c>
      <c r="M73" s="1446"/>
      <c r="N73" s="241"/>
      <c r="O73" s="1446"/>
      <c r="P73" s="728"/>
      <c r="Q73" s="795"/>
      <c r="R73" s="785">
        <f>IFERROR(VLOOKUP($Q73,'391'!$S:$Z,8,0),0)</f>
        <v>0</v>
      </c>
      <c r="S73" s="796"/>
      <c r="T73" s="797"/>
      <c r="U73" s="797"/>
      <c r="V73" s="797"/>
      <c r="W73" s="785">
        <f>IFERROR(VLOOKUP($Q73,'391'!$S:$AG,15,0),0)</f>
        <v>0</v>
      </c>
      <c r="X73" s="799">
        <f t="shared" ref="X73" si="26">G73-W73</f>
        <v>0</v>
      </c>
      <c r="Y73" s="797"/>
      <c r="Z73" s="785"/>
      <c r="AA73" s="797"/>
      <c r="AB73" s="797"/>
      <c r="AC73" s="680"/>
      <c r="AD73" s="680"/>
      <c r="AE73" s="680"/>
      <c r="AF73" s="680"/>
      <c r="AG73" s="680"/>
      <c r="AH73" s="680"/>
      <c r="AI73" s="701"/>
      <c r="AJ73" s="701"/>
      <c r="AK73" s="701"/>
      <c r="AL73" s="701"/>
      <c r="AM73" s="701"/>
      <c r="AN73" s="701"/>
      <c r="AO73" s="701"/>
      <c r="AP73" s="701"/>
      <c r="AQ73" s="701"/>
      <c r="AR73" s="701"/>
      <c r="AS73" s="701"/>
    </row>
    <row r="74" spans="1:45" s="397" customFormat="1" ht="30" hidden="1" customHeight="1" x14ac:dyDescent="0.25">
      <c r="A74" s="2158"/>
      <c r="B74" s="2156"/>
      <c r="C74" s="135"/>
      <c r="D74" s="850" t="s">
        <v>10</v>
      </c>
      <c r="E74" s="851"/>
      <c r="F74" s="42"/>
      <c r="G74" s="297">
        <v>0</v>
      </c>
      <c r="H74" s="297"/>
      <c r="I74" s="297"/>
      <c r="J74" s="297"/>
      <c r="K74" s="297"/>
      <c r="L74" s="531">
        <f t="shared" si="23"/>
        <v>0</v>
      </c>
      <c r="M74" s="1446"/>
      <c r="N74" s="241"/>
      <c r="O74" s="1446"/>
      <c r="P74" s="728"/>
      <c r="Q74" s="1818"/>
      <c r="R74" s="785"/>
      <c r="S74" s="796"/>
      <c r="T74" s="797"/>
      <c r="U74" s="797"/>
      <c r="V74" s="797"/>
      <c r="W74" s="785">
        <f>IFERROR(VLOOKUP($Q74,'391'!$S:$AG,15,0),0)</f>
        <v>0</v>
      </c>
      <c r="X74" s="799"/>
      <c r="Y74" s="797"/>
      <c r="Z74" s="785"/>
      <c r="AA74" s="797"/>
      <c r="AB74" s="797"/>
      <c r="AC74" s="680"/>
      <c r="AD74" s="680"/>
      <c r="AE74" s="680"/>
      <c r="AF74" s="680"/>
      <c r="AG74" s="680"/>
      <c r="AH74" s="680"/>
      <c r="AI74" s="701"/>
      <c r="AJ74" s="701"/>
      <c r="AK74" s="701"/>
      <c r="AL74" s="701"/>
      <c r="AM74" s="701"/>
      <c r="AN74" s="701"/>
      <c r="AO74" s="701"/>
      <c r="AP74" s="701"/>
      <c r="AQ74" s="701"/>
      <c r="AR74" s="701"/>
      <c r="AS74" s="701"/>
    </row>
    <row r="75" spans="1:45" s="397" customFormat="1" ht="30" customHeight="1" x14ac:dyDescent="0.25">
      <c r="A75" s="2158"/>
      <c r="B75" s="2156"/>
      <c r="C75" s="135" t="s">
        <v>857</v>
      </c>
      <c r="D75" s="850" t="s">
        <v>10</v>
      </c>
      <c r="E75" s="851">
        <v>46233</v>
      </c>
      <c r="F75" s="73">
        <f t="shared" ref="F75" si="27">$L$7-E75</f>
        <v>53</v>
      </c>
      <c r="G75" s="297">
        <v>1404490</v>
      </c>
      <c r="H75" s="297"/>
      <c r="I75" s="298"/>
      <c r="J75" s="297"/>
      <c r="K75" s="1164">
        <v>560000</v>
      </c>
      <c r="L75" s="531">
        <f t="shared" si="18"/>
        <v>844490</v>
      </c>
      <c r="M75" s="1446"/>
      <c r="N75" s="1853"/>
      <c r="O75" s="1446"/>
      <c r="P75" s="728"/>
      <c r="Q75" s="795"/>
      <c r="R75" s="785">
        <f>IFERROR(VLOOKUP($Q75,'391'!$S:$Z,8,0),0)</f>
        <v>0</v>
      </c>
      <c r="S75" s="796"/>
      <c r="T75" s="797"/>
      <c r="U75" s="797"/>
      <c r="V75" s="797"/>
      <c r="W75" s="785">
        <f>IFERROR(VLOOKUP($Q75,'391'!$S:$AG,15,0),0)</f>
        <v>0</v>
      </c>
      <c r="X75" s="799">
        <f t="shared" si="15"/>
        <v>1404490</v>
      </c>
      <c r="Y75" s="797"/>
      <c r="Z75" s="785"/>
      <c r="AA75" s="797"/>
      <c r="AB75" s="797"/>
      <c r="AC75" s="680"/>
      <c r="AD75" s="680"/>
      <c r="AE75" s="680"/>
      <c r="AF75" s="680"/>
      <c r="AG75" s="680"/>
      <c r="AH75" s="680"/>
      <c r="AI75" s="701"/>
      <c r="AJ75" s="701"/>
      <c r="AK75" s="701"/>
      <c r="AL75" s="701"/>
      <c r="AM75" s="701"/>
      <c r="AN75" s="701"/>
      <c r="AO75" s="701"/>
      <c r="AP75" s="701"/>
      <c r="AQ75" s="701"/>
      <c r="AR75" s="701"/>
      <c r="AS75" s="701"/>
    </row>
    <row r="76" spans="1:45" s="397" customFormat="1" ht="30" customHeight="1" x14ac:dyDescent="0.25">
      <c r="A76" s="2158"/>
      <c r="B76" s="2156"/>
      <c r="C76" s="135" t="s">
        <v>1178</v>
      </c>
      <c r="D76" s="850" t="s">
        <v>10</v>
      </c>
      <c r="E76" s="851"/>
      <c r="F76" s="73"/>
      <c r="G76" s="297">
        <v>0</v>
      </c>
      <c r="H76" s="297"/>
      <c r="I76" s="298"/>
      <c r="J76" s="1219"/>
      <c r="K76" s="1994"/>
      <c r="L76" s="531">
        <f t="shared" ref="L76" si="28">+G76+H76+I76-J76-K76</f>
        <v>0</v>
      </c>
      <c r="M76" s="1447"/>
      <c r="N76" s="1244"/>
      <c r="O76" s="1447"/>
      <c r="P76" s="730"/>
      <c r="Q76" s="808"/>
      <c r="R76" s="785"/>
      <c r="S76" s="796"/>
      <c r="T76" s="797"/>
      <c r="U76" s="797"/>
      <c r="V76" s="797"/>
      <c r="W76" s="785">
        <f>IFERROR(VLOOKUP($Q76,'391'!$S:$AG,15,0),0)</f>
        <v>0</v>
      </c>
      <c r="X76" s="799"/>
      <c r="Y76" s="797"/>
      <c r="Z76" s="785"/>
      <c r="AA76" s="797"/>
      <c r="AB76" s="797"/>
      <c r="AC76" s="680"/>
      <c r="AD76" s="680"/>
      <c r="AE76" s="680"/>
      <c r="AF76" s="680"/>
      <c r="AG76" s="680"/>
      <c r="AH76" s="680"/>
      <c r="AI76" s="701"/>
      <c r="AJ76" s="701"/>
      <c r="AK76" s="701"/>
      <c r="AL76" s="701"/>
      <c r="AM76" s="701"/>
      <c r="AN76" s="701"/>
      <c r="AO76" s="701"/>
      <c r="AP76" s="701"/>
      <c r="AQ76" s="701"/>
      <c r="AR76" s="701"/>
      <c r="AS76" s="701"/>
    </row>
    <row r="77" spans="1:45" s="397" customFormat="1" ht="30" customHeight="1" x14ac:dyDescent="0.25">
      <c r="A77" s="2158"/>
      <c r="B77" s="2156"/>
      <c r="C77" s="135" t="s">
        <v>53</v>
      </c>
      <c r="D77" s="850" t="s">
        <v>10</v>
      </c>
      <c r="E77" s="851">
        <v>46233</v>
      </c>
      <c r="F77" s="42">
        <f t="shared" si="17"/>
        <v>53</v>
      </c>
      <c r="G77" s="298">
        <f>3575008-392452</f>
        <v>3182556</v>
      </c>
      <c r="H77" s="1243"/>
      <c r="I77" s="298">
        <v>560000</v>
      </c>
      <c r="J77" s="1219"/>
      <c r="K77" s="1219">
        <v>600000</v>
      </c>
      <c r="L77" s="531">
        <f t="shared" si="18"/>
        <v>3142556</v>
      </c>
      <c r="M77" s="1447"/>
      <c r="N77" s="1244"/>
      <c r="O77" s="1447"/>
      <c r="P77" s="730"/>
      <c r="Q77" s="808"/>
      <c r="R77" s="785"/>
      <c r="S77" s="796"/>
      <c r="T77" s="797"/>
      <c r="U77" s="797"/>
      <c r="V77" s="797"/>
      <c r="W77" s="785">
        <f>IFERROR(VLOOKUP($Q77,'391'!$S:$AG,15,0),0)</f>
        <v>0</v>
      </c>
      <c r="X77" s="799"/>
      <c r="Y77" s="797"/>
      <c r="Z77" s="785"/>
      <c r="AA77" s="797"/>
      <c r="AB77" s="797"/>
      <c r="AC77" s="680"/>
      <c r="AD77" s="680"/>
      <c r="AE77" s="680"/>
      <c r="AF77" s="680"/>
      <c r="AG77" s="680"/>
      <c r="AH77" s="680"/>
      <c r="AI77" s="701"/>
      <c r="AJ77" s="701"/>
      <c r="AK77" s="701"/>
      <c r="AL77" s="701"/>
      <c r="AM77" s="701"/>
      <c r="AN77" s="701"/>
      <c r="AO77" s="701"/>
      <c r="AP77" s="701"/>
      <c r="AQ77" s="701"/>
      <c r="AR77" s="701"/>
      <c r="AS77" s="701"/>
    </row>
    <row r="78" spans="1:45" s="397" customFormat="1" ht="30" customHeight="1" x14ac:dyDescent="0.25">
      <c r="A78" s="2158"/>
      <c r="B78" s="2156"/>
      <c r="C78" s="135" t="s">
        <v>1307</v>
      </c>
      <c r="D78" s="850" t="s">
        <v>10</v>
      </c>
      <c r="E78" s="851">
        <v>46241</v>
      </c>
      <c r="F78" s="42">
        <f t="shared" ref="F78" si="29">$L$7-E78</f>
        <v>45</v>
      </c>
      <c r="G78" s="1986">
        <v>3097000</v>
      </c>
      <c r="H78" s="1987"/>
      <c r="I78" s="298"/>
      <c r="J78" s="1219"/>
      <c r="K78" s="1219"/>
      <c r="L78" s="531">
        <f t="shared" ref="L78" si="30">+G78+H78+I78-J78-K78</f>
        <v>3097000</v>
      </c>
      <c r="M78" s="1447"/>
      <c r="N78" s="1244"/>
      <c r="O78" s="1447"/>
      <c r="P78" s="730"/>
      <c r="Q78" s="808"/>
      <c r="R78" s="785"/>
      <c r="S78" s="796"/>
      <c r="T78" s="797"/>
      <c r="U78" s="797"/>
      <c r="V78" s="797"/>
      <c r="W78" s="785">
        <f>IFERROR(VLOOKUP($Q78,'391'!$S:$AG,15,0),0)</f>
        <v>0</v>
      </c>
      <c r="X78" s="799"/>
      <c r="Y78" s="797"/>
      <c r="Z78" s="785"/>
      <c r="AA78" s="797"/>
      <c r="AB78" s="797"/>
      <c r="AC78" s="680"/>
      <c r="AD78" s="680"/>
      <c r="AE78" s="680"/>
      <c r="AF78" s="680"/>
      <c r="AG78" s="680"/>
      <c r="AH78" s="680"/>
      <c r="AI78" s="701"/>
      <c r="AJ78" s="701"/>
      <c r="AK78" s="701"/>
      <c r="AL78" s="701"/>
      <c r="AM78" s="701"/>
      <c r="AN78" s="701"/>
      <c r="AO78" s="701"/>
      <c r="AP78" s="701"/>
      <c r="AQ78" s="701"/>
      <c r="AR78" s="701"/>
      <c r="AS78" s="701"/>
    </row>
    <row r="79" spans="1:45" s="397" customFormat="1" ht="30" customHeight="1" x14ac:dyDescent="0.25">
      <c r="A79" s="2158"/>
      <c r="B79" s="2157"/>
      <c r="C79" s="149" t="s">
        <v>2211</v>
      </c>
      <c r="D79" s="850" t="s">
        <v>10</v>
      </c>
      <c r="E79" s="853">
        <v>46233</v>
      </c>
      <c r="F79" s="42">
        <f t="shared" si="17"/>
        <v>53</v>
      </c>
      <c r="G79" s="298">
        <v>40100</v>
      </c>
      <c r="H79" s="830"/>
      <c r="I79" s="317">
        <f>K77+K78</f>
        <v>600000</v>
      </c>
      <c r="J79" s="1164">
        <f>usage!I6</f>
        <v>590926.65</v>
      </c>
      <c r="K79" s="297"/>
      <c r="L79" s="531">
        <f t="shared" si="18"/>
        <v>49173.349999999977</v>
      </c>
      <c r="M79" s="1448"/>
      <c r="N79" s="85"/>
      <c r="O79" s="1448"/>
      <c r="P79" s="730"/>
      <c r="Q79" s="795"/>
      <c r="R79" s="785">
        <f>IFERROR(VLOOKUP($Q79,'391'!$S:$Z,8,0),0)</f>
        <v>0</v>
      </c>
      <c r="S79" s="796"/>
      <c r="T79" s="797"/>
      <c r="U79" s="797"/>
      <c r="V79" s="797"/>
      <c r="W79" s="785">
        <f>IFERROR(VLOOKUP($Q79,'391'!$S:$AG,15,0),0)</f>
        <v>0</v>
      </c>
      <c r="X79" s="799">
        <f t="shared" ref="X79:X80" si="31">G79-W79</f>
        <v>40100</v>
      </c>
      <c r="Y79" s="797"/>
      <c r="Z79" s="785"/>
      <c r="AA79" s="797"/>
      <c r="AB79" s="797"/>
      <c r="AC79" s="680"/>
      <c r="AD79" s="680"/>
      <c r="AE79" s="680"/>
      <c r="AF79" s="680"/>
      <c r="AG79" s="680"/>
      <c r="AH79" s="680"/>
      <c r="AI79" s="701"/>
      <c r="AJ79" s="701"/>
      <c r="AK79" s="701"/>
      <c r="AL79" s="701"/>
      <c r="AM79" s="701"/>
      <c r="AN79" s="701"/>
      <c r="AO79" s="701"/>
      <c r="AP79" s="701"/>
      <c r="AQ79" s="701"/>
      <c r="AR79" s="701"/>
      <c r="AS79" s="701"/>
    </row>
    <row r="80" spans="1:45" s="398" customFormat="1" ht="30" customHeight="1" x14ac:dyDescent="0.25">
      <c r="A80" s="2158"/>
      <c r="B80" s="509" t="s">
        <v>1563</v>
      </c>
      <c r="C80" s="88"/>
      <c r="D80" s="864"/>
      <c r="E80" s="864"/>
      <c r="F80" s="865"/>
      <c r="G80" s="324">
        <f>+G79+G78+G77+G75</f>
        <v>7724146</v>
      </c>
      <c r="H80" s="324">
        <f t="shared" ref="H80" si="32">SUM(H62:H79)</f>
        <v>0</v>
      </c>
      <c r="I80" s="324">
        <f>SUM(I62:I79)</f>
        <v>1160000</v>
      </c>
      <c r="J80" s="324">
        <f t="shared" ref="J80:K80" si="33">SUM(J62:J79)</f>
        <v>590926.65</v>
      </c>
      <c r="K80" s="324">
        <f t="shared" si="33"/>
        <v>1160000</v>
      </c>
      <c r="L80" s="324">
        <f>SUM(L62:L79)</f>
        <v>7133219.3499999996</v>
      </c>
      <c r="M80" s="59">
        <f>IFERROR(R80/$S$2,"")</f>
        <v>849135.33333333337</v>
      </c>
      <c r="N80" s="366">
        <f>IFERROR(L80/M80,0)</f>
        <v>8.4005682839720084</v>
      </c>
      <c r="O80" s="861">
        <f>IFERROR(SUMIF(ETM!$A:$A,$Q80,ETM!$E:$E),"")+339279</f>
        <v>339279</v>
      </c>
      <c r="P80" s="855">
        <f>IFERROR(L80/O80,0)</f>
        <v>21.024641519221642</v>
      </c>
      <c r="Q80" s="666" t="s">
        <v>1562</v>
      </c>
      <c r="R80" s="785">
        <f>IFERROR(VLOOKUP($Q80,'391'!$S:$Z,8,0),0)</f>
        <v>5094812</v>
      </c>
      <c r="S80" s="800"/>
      <c r="T80" s="801"/>
      <c r="U80" s="801"/>
      <c r="V80" s="801"/>
      <c r="W80" s="785">
        <f>IFERROR(VLOOKUP($Q80,'391'!$S:$AG,15,0),0)</f>
        <v>7724146</v>
      </c>
      <c r="X80" s="799">
        <f t="shared" si="31"/>
        <v>0</v>
      </c>
      <c r="Y80" s="801"/>
      <c r="Z80" s="796"/>
      <c r="AA80" s="801"/>
      <c r="AB80" s="801"/>
      <c r="AC80" s="552"/>
      <c r="AD80" s="552"/>
      <c r="AE80" s="552"/>
      <c r="AF80" s="552"/>
      <c r="AG80" s="552"/>
      <c r="AH80" s="552"/>
      <c r="AI80" s="702"/>
      <c r="AJ80" s="702"/>
      <c r="AK80" s="702"/>
      <c r="AL80" s="702"/>
      <c r="AM80" s="702"/>
      <c r="AN80" s="702"/>
      <c r="AO80" s="702"/>
      <c r="AP80" s="702"/>
      <c r="AQ80" s="702"/>
      <c r="AR80" s="702"/>
      <c r="AS80" s="702"/>
    </row>
    <row r="81" spans="1:45" s="399" customFormat="1" ht="30" hidden="1" customHeight="1" x14ac:dyDescent="0.25">
      <c r="A81" s="2158"/>
      <c r="B81" s="2043" t="s">
        <v>557</v>
      </c>
      <c r="C81" s="106" t="s">
        <v>469</v>
      </c>
      <c r="D81" s="852" t="s">
        <v>10</v>
      </c>
      <c r="E81" s="853">
        <v>45271</v>
      </c>
      <c r="F81" s="73">
        <f t="shared" ref="F81:F86" si="34">$L$7-E81</f>
        <v>1015</v>
      </c>
      <c r="G81" s="297">
        <v>0</v>
      </c>
      <c r="H81" s="297"/>
      <c r="I81" s="297"/>
      <c r="J81" s="316"/>
      <c r="K81" s="297"/>
      <c r="L81" s="531">
        <f t="shared" si="4"/>
        <v>0</v>
      </c>
      <c r="M81" s="172"/>
      <c r="N81" s="848"/>
      <c r="O81" s="172"/>
      <c r="P81" s="728"/>
      <c r="Q81" s="795"/>
      <c r="R81" s="785">
        <f>IFERROR(VLOOKUP($Q81,'391'!$S:$Z,8,0),0)</f>
        <v>0</v>
      </c>
      <c r="S81" s="796"/>
      <c r="T81" s="801"/>
      <c r="U81" s="801"/>
      <c r="V81" s="801"/>
      <c r="W81" s="785">
        <f>IFERROR(VLOOKUP($Q81,'391'!$S:$AG,15,0),0)</f>
        <v>0</v>
      </c>
      <c r="X81" s="799">
        <f t="shared" si="15"/>
        <v>0</v>
      </c>
      <c r="Y81" s="801"/>
      <c r="Z81" s="796"/>
      <c r="AA81" s="801"/>
      <c r="AB81" s="801"/>
      <c r="AC81" s="552"/>
      <c r="AD81" s="552"/>
      <c r="AE81" s="552"/>
      <c r="AF81" s="552"/>
      <c r="AG81" s="552"/>
      <c r="AH81" s="552"/>
      <c r="AI81" s="702"/>
      <c r="AJ81" s="702"/>
      <c r="AK81" s="702"/>
      <c r="AL81" s="702"/>
      <c r="AM81" s="702"/>
      <c r="AN81" s="702"/>
      <c r="AO81" s="702"/>
      <c r="AP81" s="702"/>
      <c r="AQ81" s="702"/>
      <c r="AR81" s="702"/>
      <c r="AS81" s="702"/>
    </row>
    <row r="82" spans="1:45" s="399" customFormat="1" ht="30" hidden="1" customHeight="1" x14ac:dyDescent="0.25">
      <c r="A82" s="2158"/>
      <c r="B82" s="2065"/>
      <c r="C82" s="106" t="s">
        <v>444</v>
      </c>
      <c r="D82" s="852" t="s">
        <v>10</v>
      </c>
      <c r="E82" s="853">
        <v>45293</v>
      </c>
      <c r="F82" s="73">
        <f t="shared" si="34"/>
        <v>993</v>
      </c>
      <c r="G82" s="297">
        <v>0</v>
      </c>
      <c r="H82" s="297"/>
      <c r="I82" s="297"/>
      <c r="J82" s="316"/>
      <c r="K82" s="297"/>
      <c r="L82" s="531">
        <f t="shared" si="4"/>
        <v>0</v>
      </c>
      <c r="M82" s="40"/>
      <c r="N82" s="84"/>
      <c r="O82" s="40"/>
      <c r="P82" s="728"/>
      <c r="Q82" s="795"/>
      <c r="R82" s="785">
        <f>IFERROR(VLOOKUP($Q82,'391'!$S:$Z,8,0),0)</f>
        <v>0</v>
      </c>
      <c r="S82" s="796"/>
      <c r="T82" s="801"/>
      <c r="U82" s="801"/>
      <c r="V82" s="801"/>
      <c r="W82" s="785">
        <f>IFERROR(VLOOKUP($Q82,'391'!$S:$AG,15,0),0)</f>
        <v>0</v>
      </c>
      <c r="X82" s="799">
        <f t="shared" si="15"/>
        <v>0</v>
      </c>
      <c r="Y82" s="801"/>
      <c r="Z82" s="796"/>
      <c r="AA82" s="801"/>
      <c r="AB82" s="801"/>
      <c r="AC82" s="552"/>
      <c r="AD82" s="552"/>
      <c r="AE82" s="552"/>
      <c r="AF82" s="552"/>
      <c r="AG82" s="552"/>
      <c r="AH82" s="552"/>
      <c r="AI82" s="702"/>
      <c r="AJ82" s="702"/>
      <c r="AK82" s="702"/>
      <c r="AL82" s="702"/>
      <c r="AM82" s="702"/>
      <c r="AN82" s="702"/>
      <c r="AO82" s="702"/>
      <c r="AP82" s="702"/>
      <c r="AQ82" s="702"/>
      <c r="AR82" s="702"/>
      <c r="AS82" s="702"/>
    </row>
    <row r="83" spans="1:45" s="399" customFormat="1" ht="30" hidden="1" customHeight="1" x14ac:dyDescent="0.25">
      <c r="A83" s="2158"/>
      <c r="B83" s="2065"/>
      <c r="C83" s="106" t="s">
        <v>467</v>
      </c>
      <c r="D83" s="852" t="s">
        <v>10</v>
      </c>
      <c r="E83" s="853">
        <v>45273</v>
      </c>
      <c r="F83" s="73">
        <f t="shared" si="34"/>
        <v>1013</v>
      </c>
      <c r="G83" s="297">
        <v>0</v>
      </c>
      <c r="H83" s="297"/>
      <c r="I83" s="297"/>
      <c r="J83" s="316"/>
      <c r="K83" s="297"/>
      <c r="L83" s="531">
        <f t="shared" si="4"/>
        <v>0</v>
      </c>
      <c r="M83" s="40"/>
      <c r="N83" s="84"/>
      <c r="O83" s="40"/>
      <c r="P83" s="728"/>
      <c r="Q83" s="795"/>
      <c r="R83" s="785">
        <f>IFERROR(VLOOKUP($Q83,'391'!$S:$Z,8,0),0)</f>
        <v>0</v>
      </c>
      <c r="S83" s="796"/>
      <c r="T83" s="801"/>
      <c r="U83" s="801"/>
      <c r="V83" s="801"/>
      <c r="W83" s="785">
        <f>IFERROR(VLOOKUP($Q83,'391'!$S:$AG,15,0),0)</f>
        <v>0</v>
      </c>
      <c r="X83" s="799">
        <f t="shared" si="15"/>
        <v>0</v>
      </c>
      <c r="Y83" s="801"/>
      <c r="Z83" s="796"/>
      <c r="AA83" s="801"/>
      <c r="AB83" s="801"/>
      <c r="AC83" s="552"/>
      <c r="AD83" s="552"/>
      <c r="AE83" s="552"/>
      <c r="AF83" s="552"/>
      <c r="AG83" s="552"/>
      <c r="AH83" s="552"/>
      <c r="AI83" s="702"/>
      <c r="AJ83" s="702"/>
      <c r="AK83" s="702"/>
      <c r="AL83" s="702"/>
      <c r="AM83" s="702"/>
      <c r="AN83" s="702"/>
      <c r="AO83" s="702"/>
      <c r="AP83" s="702"/>
      <c r="AQ83" s="702"/>
      <c r="AR83" s="702"/>
      <c r="AS83" s="702"/>
    </row>
    <row r="84" spans="1:45" s="399" customFormat="1" ht="30" hidden="1" customHeight="1" x14ac:dyDescent="0.25">
      <c r="A84" s="2158"/>
      <c r="B84" s="2065"/>
      <c r="C84" s="106" t="s">
        <v>470</v>
      </c>
      <c r="D84" s="852" t="s">
        <v>10</v>
      </c>
      <c r="E84" s="853">
        <v>45282</v>
      </c>
      <c r="F84" s="73">
        <f t="shared" si="34"/>
        <v>1004</v>
      </c>
      <c r="G84" s="297">
        <v>0</v>
      </c>
      <c r="H84" s="297"/>
      <c r="I84" s="297"/>
      <c r="J84" s="316"/>
      <c r="K84" s="297"/>
      <c r="L84" s="531">
        <f t="shared" si="4"/>
        <v>0</v>
      </c>
      <c r="M84" s="40"/>
      <c r="N84" s="84"/>
      <c r="O84" s="40"/>
      <c r="P84" s="728"/>
      <c r="Q84" s="795"/>
      <c r="R84" s="785">
        <f>IFERROR(VLOOKUP($Q84,'391'!$S:$Z,8,0),0)</f>
        <v>0</v>
      </c>
      <c r="S84" s="796"/>
      <c r="T84" s="801"/>
      <c r="U84" s="801"/>
      <c r="V84" s="801"/>
      <c r="W84" s="785">
        <f>IFERROR(VLOOKUP($Q84,'391'!$S:$AG,15,0),0)</f>
        <v>0</v>
      </c>
      <c r="X84" s="799">
        <f t="shared" si="15"/>
        <v>0</v>
      </c>
      <c r="Y84" s="801"/>
      <c r="Z84" s="796"/>
      <c r="AA84" s="801"/>
      <c r="AB84" s="801"/>
      <c r="AC84" s="552"/>
      <c r="AD84" s="552"/>
      <c r="AE84" s="552"/>
      <c r="AF84" s="552"/>
      <c r="AG84" s="552"/>
      <c r="AH84" s="552"/>
      <c r="AI84" s="702"/>
      <c r="AJ84" s="702"/>
      <c r="AK84" s="702"/>
      <c r="AL84" s="702"/>
      <c r="AM84" s="702"/>
      <c r="AN84" s="702"/>
      <c r="AO84" s="702"/>
      <c r="AP84" s="702"/>
      <c r="AQ84" s="702"/>
      <c r="AR84" s="702"/>
      <c r="AS84" s="702"/>
    </row>
    <row r="85" spans="1:45" s="399" customFormat="1" ht="30" hidden="1" customHeight="1" x14ac:dyDescent="0.25">
      <c r="A85" s="2158"/>
      <c r="B85" s="2065"/>
      <c r="C85" s="106" t="s">
        <v>479</v>
      </c>
      <c r="D85" s="852" t="s">
        <v>10</v>
      </c>
      <c r="E85" s="853">
        <v>45258</v>
      </c>
      <c r="F85" s="73">
        <f t="shared" si="34"/>
        <v>1028</v>
      </c>
      <c r="G85" s="297">
        <v>0</v>
      </c>
      <c r="H85" s="297"/>
      <c r="I85" s="297"/>
      <c r="J85" s="316"/>
      <c r="K85" s="297"/>
      <c r="L85" s="531">
        <f t="shared" si="4"/>
        <v>0</v>
      </c>
      <c r="M85" s="40"/>
      <c r="N85" s="84"/>
      <c r="O85" s="40"/>
      <c r="P85" s="728"/>
      <c r="Q85" s="795"/>
      <c r="R85" s="785">
        <f>IFERROR(VLOOKUP($Q85,'391'!$S:$Z,8,0),0)</f>
        <v>0</v>
      </c>
      <c r="S85" s="796"/>
      <c r="T85" s="801"/>
      <c r="U85" s="801"/>
      <c r="V85" s="801"/>
      <c r="W85" s="785">
        <f>IFERROR(VLOOKUP($Q85,'391'!$S:$AG,15,0),0)</f>
        <v>0</v>
      </c>
      <c r="X85" s="799">
        <f t="shared" si="15"/>
        <v>0</v>
      </c>
      <c r="Y85" s="801"/>
      <c r="Z85" s="796"/>
      <c r="AA85" s="801"/>
      <c r="AB85" s="801"/>
      <c r="AC85" s="552"/>
      <c r="AD85" s="552"/>
      <c r="AE85" s="552"/>
      <c r="AF85" s="552"/>
      <c r="AG85" s="552"/>
      <c r="AH85" s="552"/>
      <c r="AI85" s="702"/>
      <c r="AJ85" s="702"/>
      <c r="AK85" s="702"/>
      <c r="AL85" s="702"/>
      <c r="AM85" s="702"/>
      <c r="AN85" s="702"/>
      <c r="AO85" s="702"/>
      <c r="AP85" s="702"/>
      <c r="AQ85" s="702"/>
      <c r="AR85" s="702"/>
      <c r="AS85" s="702"/>
    </row>
    <row r="86" spans="1:45" s="399" customFormat="1" ht="30" hidden="1" customHeight="1" x14ac:dyDescent="0.25">
      <c r="A86" s="2158"/>
      <c r="B86" s="2065"/>
      <c r="C86" s="106" t="s">
        <v>478</v>
      </c>
      <c r="D86" s="852" t="s">
        <v>10</v>
      </c>
      <c r="E86" s="853">
        <v>45268</v>
      </c>
      <c r="F86" s="73">
        <f t="shared" si="34"/>
        <v>1018</v>
      </c>
      <c r="G86" s="297">
        <v>0</v>
      </c>
      <c r="H86" s="297"/>
      <c r="I86" s="297"/>
      <c r="J86" s="316"/>
      <c r="K86" s="297"/>
      <c r="L86" s="531">
        <f t="shared" si="4"/>
        <v>0</v>
      </c>
      <c r="M86" s="40"/>
      <c r="N86" s="84"/>
      <c r="O86" s="40"/>
      <c r="P86" s="857"/>
      <c r="Q86" s="795"/>
      <c r="R86" s="785">
        <f>IFERROR(VLOOKUP($Q86,'391'!$S:$Z,8,0),0)</f>
        <v>0</v>
      </c>
      <c r="S86" s="796"/>
      <c r="T86" s="801"/>
      <c r="U86" s="801"/>
      <c r="V86" s="801"/>
      <c r="W86" s="785">
        <f>IFERROR(VLOOKUP($Q86,'391'!$S:$AG,15,0),0)</f>
        <v>0</v>
      </c>
      <c r="X86" s="799">
        <f t="shared" si="15"/>
        <v>0</v>
      </c>
      <c r="Y86" s="801"/>
      <c r="Z86" s="796"/>
      <c r="AA86" s="801"/>
      <c r="AB86" s="801"/>
      <c r="AC86" s="552"/>
      <c r="AD86" s="552"/>
      <c r="AE86" s="552"/>
      <c r="AF86" s="552"/>
      <c r="AG86" s="552"/>
      <c r="AH86" s="552"/>
      <c r="AI86" s="702"/>
      <c r="AJ86" s="702"/>
      <c r="AK86" s="702"/>
      <c r="AL86" s="702"/>
      <c r="AM86" s="702"/>
      <c r="AN86" s="702"/>
      <c r="AO86" s="702"/>
      <c r="AP86" s="702"/>
      <c r="AQ86" s="702"/>
      <c r="AR86" s="702"/>
      <c r="AS86" s="702"/>
    </row>
    <row r="87" spans="1:45" s="398" customFormat="1" ht="30" hidden="1" customHeight="1" x14ac:dyDescent="0.25">
      <c r="A87" s="2159"/>
      <c r="B87" s="570" t="s">
        <v>171</v>
      </c>
      <c r="C87" s="858"/>
      <c r="D87" s="859"/>
      <c r="E87" s="859"/>
      <c r="F87" s="860"/>
      <c r="G87" s="571">
        <v>0</v>
      </c>
      <c r="H87" s="571">
        <f>+SUM(H81:H86)</f>
        <v>0</v>
      </c>
      <c r="I87" s="571">
        <f>+SUM(I81:I86)</f>
        <v>0</v>
      </c>
      <c r="J87" s="571">
        <f>+SUM(J81:J86)</f>
        <v>0</v>
      </c>
      <c r="K87" s="571">
        <f>+SUM(K81:K86)</f>
        <v>0</v>
      </c>
      <c r="L87" s="531">
        <f t="shared" si="4"/>
        <v>0</v>
      </c>
      <c r="M87" s="861">
        <f>IFERROR(R87/$S$2,"")</f>
        <v>0</v>
      </c>
      <c r="N87" s="862">
        <f>IFERROR(L87/M87,0)</f>
        <v>0</v>
      </c>
      <c r="O87" s="861">
        <f>IFERROR(SUMIF(ETM!$A:$A,$Q87,ETM!$E:$E),"")</f>
        <v>0</v>
      </c>
      <c r="P87" s="855">
        <f>IFERROR(L87/O87,0)</f>
        <v>0</v>
      </c>
      <c r="Q87" s="795" t="s">
        <v>266</v>
      </c>
      <c r="R87" s="785">
        <f>IFERROR(VLOOKUP($Q87,'391'!$S:$Z,8,0),0)</f>
        <v>0</v>
      </c>
      <c r="S87" s="796"/>
      <c r="T87" s="801"/>
      <c r="U87" s="801"/>
      <c r="V87" s="801"/>
      <c r="W87" s="785">
        <f>IFERROR(VLOOKUP($Q87,'391'!$S:$AG,15,0),0)</f>
        <v>0</v>
      </c>
      <c r="X87" s="799">
        <f t="shared" si="15"/>
        <v>0</v>
      </c>
      <c r="Y87" s="801"/>
      <c r="Z87" s="796"/>
      <c r="AA87" s="801"/>
      <c r="AB87" s="801"/>
      <c r="AC87" s="552"/>
      <c r="AD87" s="552"/>
      <c r="AE87" s="552"/>
      <c r="AF87" s="552"/>
      <c r="AG87" s="552"/>
      <c r="AH87" s="552"/>
      <c r="AI87" s="702"/>
      <c r="AJ87" s="702"/>
      <c r="AK87" s="702"/>
      <c r="AL87" s="702"/>
      <c r="AM87" s="702"/>
      <c r="AN87" s="702"/>
      <c r="AO87" s="702"/>
      <c r="AP87" s="702"/>
      <c r="AQ87" s="702"/>
      <c r="AR87" s="702"/>
      <c r="AS87" s="702"/>
    </row>
    <row r="88" spans="1:45" s="397" customFormat="1" ht="30" customHeight="1" x14ac:dyDescent="0.25">
      <c r="A88" s="2160" t="s">
        <v>101</v>
      </c>
      <c r="B88" s="2161"/>
      <c r="C88" s="269"/>
      <c r="D88" s="2166"/>
      <c r="E88" s="2167"/>
      <c r="F88" s="270"/>
      <c r="G88" s="383">
        <f>+G80+G38</f>
        <v>21871784</v>
      </c>
      <c r="H88" s="383">
        <f>+H80+H61+H38+H87</f>
        <v>0</v>
      </c>
      <c r="I88" s="383">
        <f>+I80+I61+I38+I87</f>
        <v>1756050</v>
      </c>
      <c r="J88" s="383">
        <f>+J80+J61+J38+J87</f>
        <v>1021696.65</v>
      </c>
      <c r="K88" s="383">
        <f>+K80+K61+K38+K87</f>
        <v>1660000</v>
      </c>
      <c r="L88" s="383">
        <f>+L80+L61+L38+L87</f>
        <v>20946137.350000001</v>
      </c>
      <c r="M88" s="383">
        <f>+M87+M61+M38+M80</f>
        <v>1012881.6666666667</v>
      </c>
      <c r="N88" s="270">
        <f>(L88/M88)</f>
        <v>20.679747732953338</v>
      </c>
      <c r="O88" s="383">
        <f>O87+O38+O61+O80</f>
        <v>1007814.8333333334</v>
      </c>
      <c r="P88" s="732">
        <f>(L88/O88)</f>
        <v>20.783716072843408</v>
      </c>
      <c r="Q88" s="795"/>
      <c r="R88" s="785">
        <f>IFERROR(VLOOKUP($Q88,'391'!$P:$W,8,0),"")</f>
        <v>0</v>
      </c>
      <c r="S88" s="796"/>
      <c r="T88" s="797"/>
      <c r="U88" s="797"/>
      <c r="V88" s="797"/>
      <c r="W88" s="785">
        <f>IFERROR(VLOOKUP($Q88,'391'!$S:$AG,15,0),0)</f>
        <v>0</v>
      </c>
      <c r="X88" s="799">
        <f t="shared" si="15"/>
        <v>21871784</v>
      </c>
      <c r="Y88" s="797"/>
      <c r="Z88" s="785"/>
      <c r="AA88" s="797"/>
      <c r="AB88" s="797"/>
      <c r="AC88" s="680"/>
      <c r="AD88" s="680"/>
      <c r="AE88" s="680"/>
      <c r="AF88" s="680"/>
      <c r="AG88" s="680"/>
      <c r="AH88" s="680"/>
      <c r="AI88" s="701"/>
      <c r="AJ88" s="701"/>
      <c r="AK88" s="701"/>
      <c r="AL88" s="701"/>
      <c r="AM88" s="701"/>
      <c r="AN88" s="701"/>
      <c r="AO88" s="701"/>
      <c r="AP88" s="701"/>
      <c r="AQ88" s="701"/>
      <c r="AR88" s="701"/>
      <c r="AS88" s="701"/>
    </row>
    <row r="89" spans="1:45" s="400" customFormat="1" ht="30" customHeight="1" x14ac:dyDescent="0.25">
      <c r="A89" s="2063">
        <f>IF(L92=0,"",MAX($A$16:A88)+1)</f>
        <v>2</v>
      </c>
      <c r="B89" s="2043" t="s">
        <v>84</v>
      </c>
      <c r="C89" s="107" t="s">
        <v>220</v>
      </c>
      <c r="D89" s="850" t="s">
        <v>10</v>
      </c>
      <c r="E89" s="851">
        <v>46281</v>
      </c>
      <c r="F89" s="41">
        <f>$L$7-E89</f>
        <v>5</v>
      </c>
      <c r="G89" s="36">
        <f>63000-6040</f>
        <v>56960</v>
      </c>
      <c r="H89" s="36"/>
      <c r="I89" s="36">
        <f>K16</f>
        <v>0</v>
      </c>
      <c r="J89" s="1294"/>
      <c r="K89" s="36">
        <v>10000</v>
      </c>
      <c r="L89" s="531">
        <f>+G89+H89+I89-J89-K89</f>
        <v>46960</v>
      </c>
      <c r="M89" s="252"/>
      <c r="N89" s="46"/>
      <c r="O89" s="252"/>
      <c r="P89" s="733"/>
      <c r="Q89" s="795"/>
      <c r="R89" s="785">
        <f>IFERROR(VLOOKUP($Q89,'391'!$P:$W,8,0),"")</f>
        <v>0</v>
      </c>
      <c r="S89" s="796"/>
      <c r="T89" s="797"/>
      <c r="U89" s="797"/>
      <c r="V89" s="797"/>
      <c r="W89" s="785">
        <f>IFERROR(VLOOKUP($Q89,'391'!$S:$AG,15,0),0)</f>
        <v>0</v>
      </c>
      <c r="X89" s="799">
        <f t="shared" si="15"/>
        <v>56960</v>
      </c>
      <c r="Y89" s="797"/>
      <c r="Z89" s="785"/>
      <c r="AA89" s="797"/>
      <c r="AB89" s="797"/>
      <c r="AC89" s="681"/>
      <c r="AD89" s="681"/>
      <c r="AE89" s="681"/>
      <c r="AF89" s="681"/>
      <c r="AG89" s="681"/>
      <c r="AH89" s="681"/>
      <c r="AI89" s="703"/>
      <c r="AJ89" s="703"/>
      <c r="AK89" s="703"/>
      <c r="AL89" s="703"/>
      <c r="AM89" s="703"/>
      <c r="AN89" s="703"/>
      <c r="AO89" s="703"/>
      <c r="AP89" s="703"/>
      <c r="AQ89" s="703"/>
      <c r="AR89" s="703"/>
      <c r="AS89" s="703"/>
    </row>
    <row r="90" spans="1:45" s="400" customFormat="1" ht="30" customHeight="1" x14ac:dyDescent="0.25">
      <c r="A90" s="2078"/>
      <c r="B90" s="2065"/>
      <c r="C90" s="107" t="s">
        <v>1386</v>
      </c>
      <c r="D90" s="850" t="s">
        <v>10</v>
      </c>
      <c r="E90" s="851">
        <v>46280</v>
      </c>
      <c r="F90" s="41">
        <f>$L$7-E90</f>
        <v>6</v>
      </c>
      <c r="G90" s="36">
        <v>19000</v>
      </c>
      <c r="H90" s="36"/>
      <c r="I90" s="36"/>
      <c r="J90" s="1294"/>
      <c r="K90" s="36">
        <v>15000</v>
      </c>
      <c r="L90" s="531">
        <f>+G90+H90+I90-J90-K90</f>
        <v>4000</v>
      </c>
      <c r="M90" s="46"/>
      <c r="N90" s="176"/>
      <c r="O90" s="46"/>
      <c r="P90" s="734"/>
      <c r="Q90" s="795"/>
      <c r="R90" s="785">
        <f>IFERROR(VLOOKUP($Q90,'391'!$P:$W,8,0),"")</f>
        <v>0</v>
      </c>
      <c r="S90" s="796"/>
      <c r="T90" s="797"/>
      <c r="U90" s="797"/>
      <c r="V90" s="797"/>
      <c r="W90" s="785">
        <f>IFERROR(VLOOKUP($Q90,'391'!$S:$AG,15,0),0)</f>
        <v>0</v>
      </c>
      <c r="X90" s="799">
        <f t="shared" si="15"/>
        <v>19000</v>
      </c>
      <c r="Y90" s="797"/>
      <c r="Z90" s="785"/>
      <c r="AA90" s="797"/>
      <c r="AB90" s="797"/>
      <c r="AC90" s="681"/>
      <c r="AD90" s="681"/>
      <c r="AE90" s="681"/>
      <c r="AF90" s="681"/>
      <c r="AG90" s="681"/>
      <c r="AH90" s="681"/>
      <c r="AI90" s="703"/>
      <c r="AJ90" s="703"/>
      <c r="AK90" s="703"/>
      <c r="AL90" s="703"/>
      <c r="AM90" s="703"/>
      <c r="AN90" s="703"/>
      <c r="AO90" s="703"/>
      <c r="AP90" s="703"/>
      <c r="AQ90" s="703"/>
      <c r="AR90" s="703"/>
      <c r="AS90" s="703"/>
    </row>
    <row r="91" spans="1:45" s="401" customFormat="1" ht="30" customHeight="1" x14ac:dyDescent="0.25">
      <c r="A91" s="2064"/>
      <c r="B91" s="2044"/>
      <c r="C91" s="108" t="s">
        <v>570</v>
      </c>
      <c r="D91" s="863" t="s">
        <v>10</v>
      </c>
      <c r="E91" s="851">
        <v>46280</v>
      </c>
      <c r="F91" s="38">
        <f>$L$7-E91</f>
        <v>6</v>
      </c>
      <c r="G91" s="28">
        <v>5230</v>
      </c>
      <c r="H91" s="28"/>
      <c r="I91" s="28">
        <f>K89+K90-I90</f>
        <v>25000</v>
      </c>
      <c r="J91" s="1295">
        <f>+usage!I8</f>
        <v>24544</v>
      </c>
      <c r="K91" s="28"/>
      <c r="L91" s="531">
        <f>+G91+H91+I91-J91-K91</f>
        <v>5686</v>
      </c>
      <c r="M91" s="40"/>
      <c r="N91" s="84"/>
      <c r="O91" s="40"/>
      <c r="P91" s="736"/>
      <c r="Q91" s="795"/>
      <c r="R91" s="785">
        <f>IFERROR(VLOOKUP($Q91,'391'!$P:$W,8,0),"")</f>
        <v>0</v>
      </c>
      <c r="S91" s="796"/>
      <c r="T91" s="797"/>
      <c r="U91" s="797"/>
      <c r="V91" s="797"/>
      <c r="W91" s="785">
        <f>IFERROR(VLOOKUP($Q91,'391'!$S:$AG,15,0),0)</f>
        <v>0</v>
      </c>
      <c r="X91" s="799">
        <f t="shared" si="15"/>
        <v>5230</v>
      </c>
      <c r="Y91" s="797"/>
      <c r="Z91" s="785"/>
      <c r="AA91" s="797"/>
      <c r="AB91" s="797"/>
      <c r="AC91" s="681"/>
      <c r="AD91" s="681"/>
      <c r="AE91" s="681"/>
      <c r="AF91" s="681"/>
      <c r="AG91" s="681"/>
      <c r="AH91" s="681"/>
      <c r="AI91" s="703"/>
      <c r="AJ91" s="703"/>
      <c r="AK91" s="703"/>
      <c r="AL91" s="703"/>
      <c r="AM91" s="703"/>
      <c r="AN91" s="703"/>
      <c r="AO91" s="703"/>
      <c r="AP91" s="703"/>
      <c r="AQ91" s="703"/>
      <c r="AR91" s="703"/>
      <c r="AS91" s="703"/>
    </row>
    <row r="92" spans="1:45" s="402" customFormat="1" ht="30" customHeight="1" x14ac:dyDescent="0.25">
      <c r="A92" s="2019" t="s">
        <v>102</v>
      </c>
      <c r="B92" s="2020"/>
      <c r="C92" s="88"/>
      <c r="D92" s="864"/>
      <c r="E92" s="864"/>
      <c r="F92" s="865"/>
      <c r="G92" s="1296">
        <f>+G91+G90+G89</f>
        <v>81190</v>
      </c>
      <c r="H92" s="1296">
        <f>SUM(H89:H91)</f>
        <v>0</v>
      </c>
      <c r="I92" s="1296">
        <f>SUM(I89:I91)</f>
        <v>25000</v>
      </c>
      <c r="J92" s="1296">
        <f>SUM(J89:J91)</f>
        <v>24544</v>
      </c>
      <c r="K92" s="1296">
        <f>SUM(K89:K91)</f>
        <v>25000</v>
      </c>
      <c r="L92" s="1296">
        <f>SUM(L89:L91)</f>
        <v>56646</v>
      </c>
      <c r="M92" s="59">
        <f>IFERROR(R92/$S$2,"")</f>
        <v>71970.666666666672</v>
      </c>
      <c r="N92" s="366">
        <f>(L92/M92)</f>
        <v>0.78707065841639179</v>
      </c>
      <c r="O92" s="59">
        <f>IFERROR(SUMIF(ETM!$A:$A,$Q92,ETM!$E:$E),"")</f>
        <v>63711.833333333336</v>
      </c>
      <c r="P92" s="855">
        <f>(L92/O92)</f>
        <v>0.88909700186516893</v>
      </c>
      <c r="Q92" s="795" t="s">
        <v>84</v>
      </c>
      <c r="R92" s="785">
        <f>IFERROR(VLOOKUP($Q92,'391'!$S:$Z,8,0),0)</f>
        <v>431824</v>
      </c>
      <c r="S92" s="796"/>
      <c r="T92" s="797"/>
      <c r="U92" s="797"/>
      <c r="V92" s="797"/>
      <c r="W92" s="785">
        <f>IFERROR(VLOOKUP($Q92,'391'!$S:$AG,15,0),0)</f>
        <v>81190</v>
      </c>
      <c r="X92" s="799">
        <f t="shared" si="15"/>
        <v>0</v>
      </c>
      <c r="Y92" s="797"/>
      <c r="Z92" s="785"/>
      <c r="AA92" s="797"/>
      <c r="AB92" s="797"/>
      <c r="AC92" s="551"/>
      <c r="AD92" s="551"/>
      <c r="AE92" s="551"/>
      <c r="AF92" s="551"/>
      <c r="AG92" s="551"/>
      <c r="AH92" s="551"/>
      <c r="AI92" s="704"/>
      <c r="AJ92" s="704"/>
      <c r="AK92" s="704"/>
      <c r="AL92" s="704"/>
      <c r="AM92" s="704"/>
      <c r="AN92" s="704"/>
      <c r="AO92" s="704"/>
      <c r="AP92" s="704"/>
      <c r="AQ92" s="704"/>
      <c r="AR92" s="704"/>
      <c r="AS92" s="704"/>
    </row>
    <row r="93" spans="1:45" s="400" customFormat="1" ht="30" hidden="1" customHeight="1" x14ac:dyDescent="0.25">
      <c r="A93" s="2063" t="str">
        <f>IF(L97=0,"",MAX($A$16:A92)+1)</f>
        <v/>
      </c>
      <c r="B93" s="2043" t="s">
        <v>1439</v>
      </c>
      <c r="C93" s="107" t="s">
        <v>1510</v>
      </c>
      <c r="D93" s="850" t="s">
        <v>10</v>
      </c>
      <c r="E93" s="851">
        <v>45643</v>
      </c>
      <c r="F93" s="41">
        <f>$L$7-E93</f>
        <v>643</v>
      </c>
      <c r="G93" s="36">
        <v>0</v>
      </c>
      <c r="H93" s="36"/>
      <c r="I93" s="36"/>
      <c r="J93" s="1294"/>
      <c r="K93" s="36"/>
      <c r="L93" s="531">
        <f>+G93+H93+I93-J93-K93</f>
        <v>0</v>
      </c>
      <c r="M93" s="252"/>
      <c r="N93" s="46"/>
      <c r="O93" s="252"/>
      <c r="P93" s="733"/>
      <c r="Q93" s="795"/>
      <c r="R93" s="785">
        <f>IFERROR(VLOOKUP($Q93,'391'!$P:$W,8,0),"")</f>
        <v>0</v>
      </c>
      <c r="S93" s="796"/>
      <c r="T93" s="797"/>
      <c r="U93" s="797"/>
      <c r="V93" s="797"/>
      <c r="W93" s="785">
        <f>IFERROR(VLOOKUP($Q93,'391'!$S:$AG,15,0),0)</f>
        <v>0</v>
      </c>
      <c r="X93" s="799">
        <f t="shared" si="15"/>
        <v>0</v>
      </c>
      <c r="Y93" s="797"/>
      <c r="Z93" s="785"/>
      <c r="AA93" s="797"/>
      <c r="AB93" s="797"/>
      <c r="AC93" s="681"/>
      <c r="AD93" s="681"/>
      <c r="AE93" s="681"/>
      <c r="AF93" s="681"/>
      <c r="AG93" s="681"/>
      <c r="AH93" s="681"/>
      <c r="AI93" s="703"/>
      <c r="AJ93" s="703"/>
      <c r="AK93" s="703"/>
      <c r="AL93" s="703"/>
      <c r="AM93" s="703"/>
      <c r="AN93" s="703"/>
      <c r="AO93" s="703"/>
      <c r="AP93" s="703"/>
      <c r="AQ93" s="703"/>
      <c r="AR93" s="703"/>
      <c r="AS93" s="703"/>
    </row>
    <row r="94" spans="1:45" s="400" customFormat="1" ht="30" hidden="1" customHeight="1" x14ac:dyDescent="0.25">
      <c r="A94" s="2078"/>
      <c r="B94" s="2065"/>
      <c r="C94" s="107"/>
      <c r="D94" s="850" t="s">
        <v>10</v>
      </c>
      <c r="E94" s="851">
        <v>43544</v>
      </c>
      <c r="F94" s="41">
        <f>$L$7-E94</f>
        <v>2742</v>
      </c>
      <c r="G94" s="36">
        <v>0</v>
      </c>
      <c r="H94" s="36"/>
      <c r="I94" s="36"/>
      <c r="J94" s="1294"/>
      <c r="K94" s="36"/>
      <c r="L94" s="531">
        <f>+G94+H94+I94-J94-K94</f>
        <v>0</v>
      </c>
      <c r="M94" s="46"/>
      <c r="N94" s="176"/>
      <c r="O94" s="46"/>
      <c r="P94" s="734"/>
      <c r="Q94" s="795"/>
      <c r="R94" s="785">
        <f>IFERROR(VLOOKUP($Q94,'391'!$P:$W,8,0),"")</f>
        <v>0</v>
      </c>
      <c r="S94" s="796"/>
      <c r="T94" s="797"/>
      <c r="U94" s="797"/>
      <c r="V94" s="797"/>
      <c r="W94" s="785">
        <f>IFERROR(VLOOKUP($Q94,'391'!$S:$AG,15,0),0)</f>
        <v>0</v>
      </c>
      <c r="X94" s="799">
        <f t="shared" si="15"/>
        <v>0</v>
      </c>
      <c r="Y94" s="797"/>
      <c r="Z94" s="785"/>
      <c r="AA94" s="797"/>
      <c r="AB94" s="797"/>
      <c r="AC94" s="681"/>
      <c r="AD94" s="681"/>
      <c r="AE94" s="681"/>
      <c r="AF94" s="681"/>
      <c r="AG94" s="681"/>
      <c r="AH94" s="681"/>
      <c r="AI94" s="703"/>
      <c r="AJ94" s="703"/>
      <c r="AK94" s="703"/>
      <c r="AL94" s="703"/>
      <c r="AM94" s="703"/>
      <c r="AN94" s="703"/>
      <c r="AO94" s="703"/>
      <c r="AP94" s="703"/>
      <c r="AQ94" s="703"/>
      <c r="AR94" s="703"/>
      <c r="AS94" s="703"/>
    </row>
    <row r="95" spans="1:45" s="400" customFormat="1" ht="30" hidden="1" customHeight="1" x14ac:dyDescent="0.25">
      <c r="A95" s="2078"/>
      <c r="B95" s="2065"/>
      <c r="C95" s="107"/>
      <c r="D95" s="850" t="s">
        <v>10</v>
      </c>
      <c r="E95" s="851">
        <v>43056</v>
      </c>
      <c r="F95" s="41">
        <f>$L$7-E95</f>
        <v>3230</v>
      </c>
      <c r="G95" s="36">
        <v>0</v>
      </c>
      <c r="H95" s="36"/>
      <c r="I95" s="36"/>
      <c r="J95" s="1294"/>
      <c r="K95" s="36"/>
      <c r="L95" s="531">
        <f>+G95+H95+I95-J95-K95</f>
        <v>0</v>
      </c>
      <c r="M95" s="44"/>
      <c r="N95" s="95"/>
      <c r="O95" s="44"/>
      <c r="P95" s="735"/>
      <c r="Q95" s="795"/>
      <c r="R95" s="785">
        <f>IFERROR(VLOOKUP($Q95,'391'!$P:$W,8,0),"")</f>
        <v>0</v>
      </c>
      <c r="S95" s="796"/>
      <c r="T95" s="797"/>
      <c r="U95" s="797"/>
      <c r="V95" s="797"/>
      <c r="W95" s="785">
        <f>IFERROR(VLOOKUP($Q95,'391'!$S:$AG,15,0),0)</f>
        <v>0</v>
      </c>
      <c r="X95" s="799">
        <f t="shared" si="15"/>
        <v>0</v>
      </c>
      <c r="Y95" s="797"/>
      <c r="Z95" s="785"/>
      <c r="AA95" s="797"/>
      <c r="AB95" s="797"/>
      <c r="AC95" s="681"/>
      <c r="AD95" s="681"/>
      <c r="AE95" s="681"/>
      <c r="AF95" s="681"/>
      <c r="AG95" s="681"/>
      <c r="AH95" s="681"/>
      <c r="AI95" s="703"/>
      <c r="AJ95" s="703"/>
      <c r="AK95" s="703"/>
      <c r="AL95" s="703"/>
      <c r="AM95" s="703"/>
      <c r="AN95" s="703"/>
      <c r="AO95" s="703"/>
      <c r="AP95" s="703"/>
      <c r="AQ95" s="703"/>
      <c r="AR95" s="703"/>
      <c r="AS95" s="703"/>
    </row>
    <row r="96" spans="1:45" s="401" customFormat="1" ht="30" hidden="1" customHeight="1" x14ac:dyDescent="0.25">
      <c r="A96" s="2064"/>
      <c r="B96" s="2044"/>
      <c r="C96" s="108" t="s">
        <v>1320</v>
      </c>
      <c r="D96" s="863" t="s">
        <v>10</v>
      </c>
      <c r="E96" s="851">
        <v>45643</v>
      </c>
      <c r="F96" s="38">
        <f>$L$7-E96</f>
        <v>643</v>
      </c>
      <c r="G96" s="28">
        <v>0</v>
      </c>
      <c r="H96" s="28"/>
      <c r="I96" s="28">
        <f>K93</f>
        <v>0</v>
      </c>
      <c r="J96" s="1295">
        <f>usage!I10</f>
        <v>0</v>
      </c>
      <c r="K96" s="28"/>
      <c r="L96" s="531">
        <f>+G96+H96+I96-J96-K96</f>
        <v>0</v>
      </c>
      <c r="M96" s="40"/>
      <c r="N96" s="84"/>
      <c r="O96" s="40"/>
      <c r="P96" s="736"/>
      <c r="Q96" s="795"/>
      <c r="R96" s="785">
        <f>IFERROR(VLOOKUP($Q96,'391'!$P:$W,8,0),"")</f>
        <v>0</v>
      </c>
      <c r="S96" s="796"/>
      <c r="T96" s="797"/>
      <c r="U96" s="797"/>
      <c r="V96" s="797"/>
      <c r="W96" s="785">
        <f>IFERROR(VLOOKUP($Q96,'391'!$S:$AG,15,0),0)</f>
        <v>0</v>
      </c>
      <c r="X96" s="799">
        <f t="shared" si="15"/>
        <v>0</v>
      </c>
      <c r="Y96" s="797"/>
      <c r="Z96" s="785"/>
      <c r="AA96" s="797"/>
      <c r="AB96" s="797"/>
      <c r="AC96" s="681"/>
      <c r="AD96" s="681"/>
      <c r="AE96" s="681"/>
      <c r="AF96" s="681"/>
      <c r="AG96" s="681"/>
      <c r="AH96" s="681"/>
      <c r="AI96" s="703"/>
      <c r="AJ96" s="703"/>
      <c r="AK96" s="703"/>
      <c r="AL96" s="703"/>
      <c r="AM96" s="703"/>
      <c r="AN96" s="703"/>
      <c r="AO96" s="703"/>
      <c r="AP96" s="703"/>
      <c r="AQ96" s="703"/>
      <c r="AR96" s="703"/>
      <c r="AS96" s="703"/>
    </row>
    <row r="97" spans="1:45" s="402" customFormat="1" ht="30" hidden="1" customHeight="1" x14ac:dyDescent="0.25">
      <c r="A97" s="2019" t="s">
        <v>1446</v>
      </c>
      <c r="B97" s="2020"/>
      <c r="C97" s="88"/>
      <c r="D97" s="864"/>
      <c r="E97" s="864"/>
      <c r="F97" s="865"/>
      <c r="G97" s="1296">
        <v>0</v>
      </c>
      <c r="H97" s="1296">
        <f t="shared" ref="H97" si="35">SUM(H93:H96)</f>
        <v>0</v>
      </c>
      <c r="I97" s="1296">
        <f>SUM(I93:I96)</f>
        <v>0</v>
      </c>
      <c r="J97" s="1296">
        <f t="shared" ref="J97:L97" si="36">SUM(J93:J96)</f>
        <v>0</v>
      </c>
      <c r="K97" s="1296">
        <f t="shared" si="36"/>
        <v>0</v>
      </c>
      <c r="L97" s="1296">
        <f t="shared" si="36"/>
        <v>0</v>
      </c>
      <c r="M97" s="59">
        <f>IFERROR(R97/$S$2,"")</f>
        <v>0</v>
      </c>
      <c r="N97" s="366">
        <f>IFERROR(L97/M97,0)</f>
        <v>0</v>
      </c>
      <c r="O97" s="59">
        <f>IFERROR(SUMIF(ETM!$A:$A,$Q97,ETM!$E:$E),"")</f>
        <v>0</v>
      </c>
      <c r="P97" s="855">
        <f>IFERROR(L97/O97,0)</f>
        <v>0</v>
      </c>
      <c r="Q97" s="795" t="s">
        <v>1439</v>
      </c>
      <c r="R97" s="785">
        <f>IFERROR(VLOOKUP($Q97,'391'!$S:$Z,8,0),0)</f>
        <v>0</v>
      </c>
      <c r="S97" s="796"/>
      <c r="T97" s="797"/>
      <c r="U97" s="797"/>
      <c r="V97" s="797"/>
      <c r="W97" s="785">
        <f>IFERROR(VLOOKUP($Q97,'391'!$S:$AG,15,0),0)</f>
        <v>0</v>
      </c>
      <c r="X97" s="799">
        <f t="shared" si="15"/>
        <v>0</v>
      </c>
      <c r="Y97" s="797"/>
      <c r="Z97" s="785"/>
      <c r="AA97" s="797"/>
      <c r="AB97" s="797"/>
      <c r="AC97" s="551"/>
      <c r="AD97" s="551"/>
      <c r="AE97" s="551"/>
      <c r="AF97" s="551"/>
      <c r="AG97" s="551"/>
      <c r="AH97" s="551"/>
      <c r="AI97" s="704"/>
      <c r="AJ97" s="704"/>
      <c r="AK97" s="704"/>
      <c r="AL97" s="704"/>
      <c r="AM97" s="704"/>
      <c r="AN97" s="704"/>
      <c r="AO97" s="704"/>
      <c r="AP97" s="704"/>
      <c r="AQ97" s="704"/>
      <c r="AR97" s="704"/>
      <c r="AS97" s="704"/>
    </row>
    <row r="98" spans="1:45" ht="30" hidden="1" customHeight="1" x14ac:dyDescent="0.25">
      <c r="A98" s="2063">
        <f>IF(L111=0,"",MAX($A$16:A96)+1)</f>
        <v>3</v>
      </c>
      <c r="B98" s="2043" t="s">
        <v>1294</v>
      </c>
      <c r="C98" s="109"/>
      <c r="D98" s="852" t="s">
        <v>10</v>
      </c>
      <c r="E98" s="853">
        <v>44060</v>
      </c>
      <c r="F98" s="73">
        <f>$L$7-E98</f>
        <v>2226</v>
      </c>
      <c r="G98" s="36">
        <v>0</v>
      </c>
      <c r="H98" s="36"/>
      <c r="I98" s="36"/>
      <c r="J98" s="1298"/>
      <c r="K98" s="36"/>
      <c r="L98" s="531">
        <f t="shared" ref="L98:L110" si="37">+G98+H98+I98-J98-K98</f>
        <v>0</v>
      </c>
      <c r="M98" s="51"/>
      <c r="N98" s="196"/>
      <c r="O98" s="51"/>
      <c r="P98" s="737"/>
      <c r="Q98" s="795"/>
      <c r="R98" s="785">
        <f>IFERROR(VLOOKUP($Q98,'391'!$S:$Z,8,0),0)</f>
        <v>0</v>
      </c>
      <c r="U98" s="787"/>
      <c r="V98" s="787"/>
      <c r="W98" s="802">
        <f>IFERROR(VLOOKUP($Q98,'391'!$P:$AG,15,0),0)</f>
        <v>0</v>
      </c>
      <c r="X98" s="799">
        <f t="shared" si="15"/>
        <v>0</v>
      </c>
      <c r="Y98" s="787"/>
      <c r="Z98" s="791"/>
      <c r="AA98" s="787"/>
      <c r="AB98" s="787"/>
      <c r="AC98" s="679"/>
    </row>
    <row r="99" spans="1:45" ht="30" hidden="1" customHeight="1" x14ac:dyDescent="0.25">
      <c r="A99" s="2078"/>
      <c r="B99" s="2065"/>
      <c r="C99" s="109"/>
      <c r="D99" s="852" t="s">
        <v>10</v>
      </c>
      <c r="E99" s="853">
        <v>45049</v>
      </c>
      <c r="F99" s="73">
        <f>$L$7-E99</f>
        <v>1237</v>
      </c>
      <c r="G99" s="36">
        <v>0</v>
      </c>
      <c r="H99" s="36"/>
      <c r="I99" s="36"/>
      <c r="J99" s="1298"/>
      <c r="K99" s="36"/>
      <c r="L99" s="531">
        <f t="shared" si="37"/>
        <v>0</v>
      </c>
      <c r="M99" s="48"/>
      <c r="N99" s="249"/>
      <c r="O99" s="48"/>
      <c r="P99" s="738"/>
      <c r="Q99" s="803"/>
      <c r="R99" s="785">
        <f>IFERROR(VLOOKUP($Q99,'391'!$S:$Z,8,0),0)</f>
        <v>0</v>
      </c>
      <c r="S99" s="804"/>
      <c r="T99" s="805"/>
      <c r="U99" s="805"/>
      <c r="V99" s="805"/>
      <c r="W99" s="802">
        <f>IFERROR(VLOOKUP($Q99,'391'!$P:$AG,15,0),0)</f>
        <v>0</v>
      </c>
      <c r="X99" s="799">
        <f t="shared" si="15"/>
        <v>0</v>
      </c>
      <c r="Y99" s="805"/>
      <c r="Z99" s="806"/>
      <c r="AA99" s="805"/>
      <c r="AB99" s="805"/>
      <c r="AC99" s="682"/>
      <c r="AD99" s="682"/>
      <c r="AE99" s="682"/>
      <c r="AF99" s="682"/>
      <c r="AG99" s="682"/>
      <c r="AH99" s="682"/>
    </row>
    <row r="100" spans="1:45" ht="30" hidden="1" customHeight="1" x14ac:dyDescent="0.25">
      <c r="A100" s="2078"/>
      <c r="B100" s="2065"/>
      <c r="C100" s="109"/>
      <c r="D100" s="852" t="s">
        <v>10</v>
      </c>
      <c r="E100" s="853">
        <v>44042</v>
      </c>
      <c r="F100" s="73">
        <f>$L$7-E100</f>
        <v>2244</v>
      </c>
      <c r="G100" s="36">
        <v>0</v>
      </c>
      <c r="H100" s="36"/>
      <c r="I100" s="36"/>
      <c r="J100" s="1298"/>
      <c r="K100" s="36"/>
      <c r="L100" s="531">
        <f t="shared" si="37"/>
        <v>0</v>
      </c>
      <c r="M100" s="45"/>
      <c r="N100" s="45"/>
      <c r="O100" s="45"/>
      <c r="P100" s="736"/>
      <c r="Q100" s="795"/>
      <c r="R100" s="785">
        <f>IFERROR(VLOOKUP($Q100,'391'!$S:$Z,8,0),0)</f>
        <v>0</v>
      </c>
      <c r="U100" s="787"/>
      <c r="V100" s="787"/>
      <c r="W100" s="802">
        <f>IFERROR(VLOOKUP($Q100,'391'!$P:$AG,15,0),0)</f>
        <v>0</v>
      </c>
      <c r="X100" s="799">
        <f t="shared" si="15"/>
        <v>0</v>
      </c>
      <c r="Y100" s="787"/>
      <c r="Z100" s="791"/>
      <c r="AA100" s="787"/>
      <c r="AB100" s="787"/>
      <c r="AC100" s="679"/>
    </row>
    <row r="101" spans="1:45" ht="30" hidden="1" customHeight="1" x14ac:dyDescent="0.25">
      <c r="A101" s="2078"/>
      <c r="B101" s="2065"/>
      <c r="C101" s="109" t="s">
        <v>1293</v>
      </c>
      <c r="D101" s="863" t="s">
        <v>10</v>
      </c>
      <c r="E101" s="853">
        <v>45049</v>
      </c>
      <c r="F101" s="73">
        <f>$L$7-E101</f>
        <v>1237</v>
      </c>
      <c r="G101" s="28">
        <v>0</v>
      </c>
      <c r="H101" s="28"/>
      <c r="I101" s="28">
        <f>K99</f>
        <v>0</v>
      </c>
      <c r="J101" s="1295"/>
      <c r="K101" s="28"/>
      <c r="L101" s="531">
        <f t="shared" si="37"/>
        <v>0</v>
      </c>
      <c r="M101" s="45"/>
      <c r="N101" s="45"/>
      <c r="O101" s="45"/>
      <c r="P101" s="736"/>
      <c r="Q101" s="795"/>
      <c r="R101" s="785">
        <f>IFERROR(VLOOKUP($Q101,'391'!$S:$Z,8,0),0)</f>
        <v>0</v>
      </c>
      <c r="U101" s="787"/>
      <c r="V101" s="787"/>
      <c r="W101" s="802">
        <f>IFERROR(VLOOKUP($Q101,'391'!$P:$AG,15,0),0)</f>
        <v>0</v>
      </c>
      <c r="X101" s="799">
        <f t="shared" si="15"/>
        <v>0</v>
      </c>
      <c r="Y101" s="787"/>
      <c r="Z101" s="791"/>
      <c r="AA101" s="787"/>
      <c r="AB101" s="787"/>
      <c r="AC101" s="679"/>
    </row>
    <row r="102" spans="1:45" ht="30" hidden="1" customHeight="1" x14ac:dyDescent="0.25">
      <c r="A102" s="2078"/>
      <c r="B102" s="2044"/>
      <c r="C102" s="2133" t="s">
        <v>1296</v>
      </c>
      <c r="D102" s="2130"/>
      <c r="E102" s="2130"/>
      <c r="F102" s="2130"/>
      <c r="G102" s="1301">
        <v>0</v>
      </c>
      <c r="H102" s="1301">
        <f t="shared" ref="H102:K102" si="38">SUM(H98:H101)</f>
        <v>0</v>
      </c>
      <c r="I102" s="1301">
        <f t="shared" si="38"/>
        <v>0</v>
      </c>
      <c r="J102" s="1301">
        <f t="shared" si="38"/>
        <v>0</v>
      </c>
      <c r="K102" s="1301">
        <f t="shared" si="38"/>
        <v>0</v>
      </c>
      <c r="L102" s="531">
        <f t="shared" si="37"/>
        <v>0</v>
      </c>
      <c r="M102" s="168">
        <f>IFERROR((R102/$S$2),"")</f>
        <v>0</v>
      </c>
      <c r="N102" s="168">
        <f>IFERROR((L102/M102),0)</f>
        <v>0</v>
      </c>
      <c r="O102" s="168">
        <f>IFERROR(SUMIF(ETM!$A:$A,$Q102,ETM!$E:$E),"")</f>
        <v>0</v>
      </c>
      <c r="P102" s="868" t="e">
        <f>(L102/O102)</f>
        <v>#DIV/0!</v>
      </c>
      <c r="Q102" s="795" t="s">
        <v>1294</v>
      </c>
      <c r="R102" s="785">
        <f>IFERROR(VLOOKUP($Q102,'391'!$S:$Z,8,0),0)</f>
        <v>0</v>
      </c>
      <c r="U102" s="787"/>
      <c r="V102" s="787"/>
      <c r="W102" s="802">
        <f>IFERROR(VLOOKUP($Q102,'391'!$P:$AG,15,0),0)</f>
        <v>0</v>
      </c>
      <c r="X102" s="799">
        <f t="shared" si="15"/>
        <v>0</v>
      </c>
      <c r="Y102" s="787"/>
      <c r="Z102" s="791"/>
      <c r="AA102" s="787"/>
      <c r="AB102" s="787"/>
      <c r="AC102" s="679"/>
    </row>
    <row r="103" spans="1:45" ht="30" hidden="1" customHeight="1" x14ac:dyDescent="0.25">
      <c r="A103" s="2078"/>
      <c r="B103" s="2091" t="s">
        <v>1383</v>
      </c>
      <c r="C103" s="109"/>
      <c r="D103" s="852" t="s">
        <v>10</v>
      </c>
      <c r="E103" s="853"/>
      <c r="F103" s="73"/>
      <c r="G103" s="36">
        <v>0</v>
      </c>
      <c r="H103" s="36"/>
      <c r="I103" s="36"/>
      <c r="J103" s="1298"/>
      <c r="K103" s="36"/>
      <c r="L103" s="531">
        <f t="shared" si="37"/>
        <v>0</v>
      </c>
      <c r="M103" s="40"/>
      <c r="N103" s="84"/>
      <c r="O103" s="40"/>
      <c r="P103" s="756"/>
      <c r="Q103" s="795"/>
      <c r="R103" s="785">
        <f>IFERROR(VLOOKUP($Q103,'391'!$S:$Z,8,0),0)</f>
        <v>0</v>
      </c>
      <c r="U103" s="787"/>
      <c r="V103" s="787"/>
      <c r="W103" s="802">
        <f>IFERROR(VLOOKUP($Q103,'391'!$P:$AG,15,0),0)</f>
        <v>0</v>
      </c>
      <c r="X103" s="799">
        <f t="shared" si="15"/>
        <v>0</v>
      </c>
      <c r="Y103" s="787"/>
      <c r="Z103" s="791"/>
      <c r="AA103" s="787"/>
      <c r="AB103" s="787"/>
      <c r="AC103" s="679"/>
    </row>
    <row r="104" spans="1:45" ht="30" hidden="1" customHeight="1" x14ac:dyDescent="0.25">
      <c r="A104" s="2078"/>
      <c r="B104" s="2091"/>
      <c r="C104" s="109" t="s">
        <v>850</v>
      </c>
      <c r="D104" s="852" t="s">
        <v>10</v>
      </c>
      <c r="E104" s="853"/>
      <c r="F104" s="73">
        <f t="shared" ref="F104:F109" si="39">$L$7-E104</f>
        <v>46286</v>
      </c>
      <c r="G104" s="36">
        <v>0</v>
      </c>
      <c r="H104" s="36"/>
      <c r="I104" s="36"/>
      <c r="J104" s="1294"/>
      <c r="K104" s="1258"/>
      <c r="L104" s="531">
        <f t="shared" si="37"/>
        <v>0</v>
      </c>
      <c r="M104" s="40"/>
      <c r="N104" s="84"/>
      <c r="O104" s="40"/>
      <c r="P104" s="756"/>
      <c r="Q104" s="795"/>
      <c r="R104" s="785">
        <f>IFERROR(VLOOKUP($Q104,'391'!$S:$Z,8,0),0)</f>
        <v>0</v>
      </c>
      <c r="U104" s="787"/>
      <c r="V104" s="787"/>
      <c r="W104" s="802">
        <f>IFERROR(VLOOKUP($Q104,'391'!$P:$AG,15,0),0)</f>
        <v>0</v>
      </c>
      <c r="X104" s="799">
        <f t="shared" si="15"/>
        <v>0</v>
      </c>
      <c r="Y104" s="787"/>
      <c r="Z104" s="791"/>
      <c r="AA104" s="787"/>
      <c r="AB104" s="787"/>
      <c r="AC104" s="679"/>
    </row>
    <row r="105" spans="1:45" ht="30" hidden="1" customHeight="1" x14ac:dyDescent="0.25">
      <c r="A105" s="2078"/>
      <c r="B105" s="2091"/>
      <c r="C105" s="109" t="s">
        <v>1424</v>
      </c>
      <c r="D105" s="852" t="s">
        <v>10</v>
      </c>
      <c r="E105" s="853">
        <v>45974</v>
      </c>
      <c r="F105" s="73">
        <f t="shared" si="39"/>
        <v>312</v>
      </c>
      <c r="G105" s="36">
        <v>0</v>
      </c>
      <c r="H105" s="36"/>
      <c r="I105" s="36"/>
      <c r="J105" s="1294"/>
      <c r="K105" s="36"/>
      <c r="L105" s="531">
        <f t="shared" si="37"/>
        <v>0</v>
      </c>
      <c r="M105" s="40"/>
      <c r="N105" s="84"/>
      <c r="O105" s="40"/>
      <c r="P105" s="756"/>
      <c r="Q105" s="666" t="s">
        <v>1379</v>
      </c>
      <c r="R105" s="785">
        <f>IFERROR(VLOOKUP($Q105,'391'!$P:$W,8,0),0)</f>
        <v>619080</v>
      </c>
      <c r="U105" s="787"/>
      <c r="V105" s="787"/>
      <c r="W105" s="802">
        <f>IFERROR(VLOOKUP($Q105,'391'!$P:$AG,15,0),0)</f>
        <v>375704</v>
      </c>
      <c r="X105" s="799">
        <f t="shared" si="15"/>
        <v>-375704</v>
      </c>
      <c r="Y105" s="787"/>
      <c r="Z105" s="791"/>
      <c r="AA105" s="787"/>
      <c r="AB105" s="787"/>
      <c r="AC105" s="679"/>
    </row>
    <row r="106" spans="1:45" ht="30" hidden="1" customHeight="1" x14ac:dyDescent="0.25">
      <c r="A106" s="2078"/>
      <c r="B106" s="2091"/>
      <c r="C106" s="109" t="s">
        <v>1599</v>
      </c>
      <c r="D106" s="852" t="s">
        <v>10</v>
      </c>
      <c r="E106" s="853">
        <v>45974</v>
      </c>
      <c r="F106" s="73">
        <f t="shared" si="39"/>
        <v>312</v>
      </c>
      <c r="G106" s="36">
        <v>0</v>
      </c>
      <c r="H106" s="36"/>
      <c r="I106" s="36"/>
      <c r="J106" s="1294"/>
      <c r="K106" s="36"/>
      <c r="L106" s="531">
        <f t="shared" si="37"/>
        <v>0</v>
      </c>
      <c r="M106" s="40"/>
      <c r="N106" s="84"/>
      <c r="O106" s="40"/>
      <c r="P106" s="756"/>
      <c r="Q106" s="795"/>
      <c r="R106" s="785">
        <f>IFERROR(VLOOKUP($Q106,'391'!$S:$Z,8,0),0)</f>
        <v>0</v>
      </c>
      <c r="U106" s="787"/>
      <c r="V106" s="787"/>
      <c r="W106" s="802">
        <f>IFERROR(VLOOKUP($Q106,'391'!$P:$AG,15,0),0)</f>
        <v>0</v>
      </c>
      <c r="X106" s="799">
        <f t="shared" si="15"/>
        <v>0</v>
      </c>
      <c r="Y106" s="787"/>
      <c r="Z106" s="791"/>
      <c r="AA106" s="787"/>
      <c r="AB106" s="787"/>
      <c r="AC106" s="679"/>
    </row>
    <row r="107" spans="1:45" ht="30" hidden="1" customHeight="1" x14ac:dyDescent="0.25">
      <c r="A107" s="2078"/>
      <c r="B107" s="2091"/>
      <c r="C107" s="109"/>
      <c r="D107" s="852" t="s">
        <v>10</v>
      </c>
      <c r="E107" s="853"/>
      <c r="F107" s="73"/>
      <c r="G107" s="36">
        <v>0</v>
      </c>
      <c r="H107" s="1258"/>
      <c r="I107" s="36"/>
      <c r="J107" s="1294"/>
      <c r="K107" s="1258"/>
      <c r="L107" s="531">
        <f t="shared" si="37"/>
        <v>0</v>
      </c>
      <c r="M107" s="40"/>
      <c r="N107" s="84"/>
      <c r="O107" s="40"/>
      <c r="P107" s="756"/>
      <c r="Q107" s="795"/>
      <c r="R107" s="785">
        <f>IFERROR(VLOOKUP($Q107,'391'!$S:$Z,8,0),0)</f>
        <v>0</v>
      </c>
      <c r="U107" s="787"/>
      <c r="V107" s="787"/>
      <c r="W107" s="802">
        <f>IFERROR(VLOOKUP($Q107,'391'!$P:$AG,15,0),0)</f>
        <v>0</v>
      </c>
      <c r="X107" s="799">
        <f t="shared" si="15"/>
        <v>0</v>
      </c>
      <c r="Y107" s="787"/>
      <c r="Z107" s="791"/>
      <c r="AA107" s="787"/>
      <c r="AB107" s="787"/>
      <c r="AC107" s="679"/>
    </row>
    <row r="108" spans="1:45" ht="30" customHeight="1" x14ac:dyDescent="0.25">
      <c r="A108" s="2078"/>
      <c r="B108" s="2091"/>
      <c r="C108" s="109">
        <v>204</v>
      </c>
      <c r="D108" s="852" t="s">
        <v>10</v>
      </c>
      <c r="E108" s="853">
        <v>46283</v>
      </c>
      <c r="F108" s="73">
        <f t="shared" si="39"/>
        <v>3</v>
      </c>
      <c r="G108" s="36">
        <v>349765</v>
      </c>
      <c r="H108" s="1258">
        <v>114920</v>
      </c>
      <c r="I108" s="36"/>
      <c r="J108" s="1294"/>
      <c r="K108" s="1258">
        <v>102000</v>
      </c>
      <c r="L108" s="531">
        <f t="shared" si="37"/>
        <v>362685</v>
      </c>
      <c r="M108" s="40"/>
      <c r="N108" s="84"/>
      <c r="O108" s="40"/>
      <c r="P108" s="756"/>
      <c r="Q108" s="795"/>
      <c r="R108" s="785">
        <f>IFERROR(VLOOKUP($Q108,'391'!$S:$Z,8,0),0)</f>
        <v>0</v>
      </c>
      <c r="U108" s="787"/>
      <c r="V108" s="787"/>
      <c r="W108" s="802">
        <f>IFERROR(VLOOKUP($Q108,'391'!$P:$AG,15,0),0)</f>
        <v>0</v>
      </c>
      <c r="X108" s="799">
        <f t="shared" si="15"/>
        <v>349765</v>
      </c>
      <c r="Y108" s="787"/>
      <c r="Z108" s="791"/>
      <c r="AA108" s="787"/>
      <c r="AB108" s="787"/>
      <c r="AC108" s="679"/>
    </row>
    <row r="109" spans="1:45" ht="30" customHeight="1" x14ac:dyDescent="0.25">
      <c r="A109" s="2078"/>
      <c r="B109" s="2091"/>
      <c r="C109" s="109" t="s">
        <v>1604</v>
      </c>
      <c r="D109" s="863" t="s">
        <v>10</v>
      </c>
      <c r="E109" s="853">
        <v>46283</v>
      </c>
      <c r="F109" s="73">
        <f t="shared" si="39"/>
        <v>3</v>
      </c>
      <c r="G109" s="28">
        <v>25939</v>
      </c>
      <c r="H109" s="28"/>
      <c r="I109" s="28">
        <f>+SUM(K103:K108)-I107-I108-I105-I106</f>
        <v>102000</v>
      </c>
      <c r="J109" s="1295">
        <f>usage!I12</f>
        <v>102941</v>
      </c>
      <c r="K109" s="28"/>
      <c r="L109" s="531">
        <f t="shared" si="37"/>
        <v>24998</v>
      </c>
      <c r="M109" s="35"/>
      <c r="N109" s="87"/>
      <c r="O109" s="35"/>
      <c r="P109" s="751"/>
      <c r="Q109" s="666" t="s">
        <v>1358</v>
      </c>
      <c r="R109" s="785">
        <f>IFERROR(VLOOKUP($Q109,'391'!$P:$W,8,0),0)</f>
        <v>0</v>
      </c>
      <c r="U109" s="787"/>
      <c r="V109" s="787"/>
      <c r="W109" s="802">
        <f>IFERROR(VLOOKUP($Q109,'391'!$P:$AG,15,0),0)</f>
        <v>0</v>
      </c>
      <c r="X109" s="799">
        <f t="shared" si="15"/>
        <v>25939</v>
      </c>
      <c r="Y109" s="787"/>
      <c r="Z109" s="791"/>
      <c r="AA109" s="787"/>
      <c r="AB109" s="787"/>
      <c r="AC109" s="679"/>
    </row>
    <row r="110" spans="1:45" ht="30" hidden="1" customHeight="1" x14ac:dyDescent="0.25">
      <c r="A110" s="2064"/>
      <c r="B110" s="2091"/>
      <c r="C110" s="2133" t="s">
        <v>230</v>
      </c>
      <c r="D110" s="2130"/>
      <c r="E110" s="2130"/>
      <c r="F110" s="2130"/>
      <c r="G110" s="1301">
        <v>375704</v>
      </c>
      <c r="H110" s="1301">
        <f t="shared" ref="H110:K110" si="40">SUM(H103:H109)</f>
        <v>114920</v>
      </c>
      <c r="I110" s="1301">
        <f t="shared" si="40"/>
        <v>102000</v>
      </c>
      <c r="J110" s="1301">
        <f t="shared" si="40"/>
        <v>102941</v>
      </c>
      <c r="K110" s="1301">
        <f t="shared" si="40"/>
        <v>102000</v>
      </c>
      <c r="L110" s="531">
        <f t="shared" si="37"/>
        <v>387683</v>
      </c>
      <c r="M110" s="168">
        <f>+M111-M102</f>
        <v>103180</v>
      </c>
      <c r="N110" s="868">
        <f>IFERROR((L110/M110),0)</f>
        <v>3.7573463849583253</v>
      </c>
      <c r="O110" s="168">
        <f>O111-O102</f>
        <v>104192.66666666666</v>
      </c>
      <c r="P110" s="868">
        <f>IFERROR(L110/O110,0)</f>
        <v>3.7208280813109051</v>
      </c>
      <c r="Q110" s="795"/>
      <c r="U110" s="787"/>
      <c r="V110" s="787"/>
      <c r="W110" s="802">
        <f>IFERROR(VLOOKUP($Q110,'391'!$P:$AG,15,0),0)</f>
        <v>0</v>
      </c>
      <c r="X110" s="799">
        <f t="shared" si="15"/>
        <v>375704</v>
      </c>
      <c r="Y110" s="787"/>
      <c r="Z110" s="791"/>
      <c r="AA110" s="787"/>
      <c r="AB110" s="787"/>
      <c r="AC110" s="679"/>
    </row>
    <row r="111" spans="1:45" s="402" customFormat="1" ht="30" customHeight="1" x14ac:dyDescent="0.25">
      <c r="A111" s="2019" t="s">
        <v>103</v>
      </c>
      <c r="B111" s="2020"/>
      <c r="C111" s="88"/>
      <c r="D111" s="864"/>
      <c r="E111" s="864"/>
      <c r="F111" s="865"/>
      <c r="G111" s="1296">
        <v>375704</v>
      </c>
      <c r="H111" s="1296">
        <f t="shared" ref="H111:K111" si="41">+H110+H102</f>
        <v>114920</v>
      </c>
      <c r="I111" s="1296">
        <f t="shared" si="41"/>
        <v>102000</v>
      </c>
      <c r="J111" s="1296">
        <f t="shared" si="41"/>
        <v>102941</v>
      </c>
      <c r="K111" s="1296">
        <f t="shared" si="41"/>
        <v>102000</v>
      </c>
      <c r="L111" s="1296">
        <f>SUM(L107:L109)</f>
        <v>387683</v>
      </c>
      <c r="M111" s="59">
        <f>IFERROR(S111/$S$2,"")</f>
        <v>103180</v>
      </c>
      <c r="N111" s="1185">
        <f>+(L111/M111)</f>
        <v>3.7573463849583253</v>
      </c>
      <c r="O111" s="59">
        <f>IFERROR(SUMIF(ETM!$A:$A,$Q111,ETM!$E:$E),"")+O102</f>
        <v>104192.66666666666</v>
      </c>
      <c r="P111" s="1186">
        <f>+(L111/O111)</f>
        <v>3.7208280813109051</v>
      </c>
      <c r="Q111" s="795" t="s">
        <v>234</v>
      </c>
      <c r="R111" s="785">
        <f>IFERROR(VLOOKUP($Q111,'391'!$P:$W,8,0),0)</f>
        <v>0</v>
      </c>
      <c r="S111" s="800">
        <f>+R111+R109+R105</f>
        <v>619080</v>
      </c>
      <c r="T111" s="797"/>
      <c r="U111" s="797"/>
      <c r="V111" s="797"/>
      <c r="W111" s="802">
        <f>IFERROR(VLOOKUP($Q111,'391'!$P:$AG,15,0),0)</f>
        <v>0</v>
      </c>
      <c r="X111" s="799">
        <f>G111-W111-W109-W105</f>
        <v>0</v>
      </c>
      <c r="Y111" s="797"/>
      <c r="Z111" s="785"/>
      <c r="AA111" s="797"/>
      <c r="AB111" s="797"/>
      <c r="AC111" s="551"/>
      <c r="AD111" s="551"/>
      <c r="AE111" s="551"/>
      <c r="AF111" s="551"/>
      <c r="AG111" s="551"/>
      <c r="AH111" s="551"/>
      <c r="AI111" s="704"/>
      <c r="AJ111" s="704"/>
      <c r="AK111" s="704"/>
      <c r="AL111" s="704"/>
      <c r="AM111" s="704"/>
      <c r="AN111" s="704"/>
      <c r="AO111" s="704"/>
      <c r="AP111" s="704"/>
      <c r="AQ111" s="704"/>
      <c r="AR111" s="704"/>
      <c r="AS111" s="704"/>
    </row>
    <row r="112" spans="1:45" ht="30" hidden="1" customHeight="1" x14ac:dyDescent="0.25">
      <c r="A112" s="1997">
        <f>IF(L119=0,"",MAX($A$16:A111)+1)</f>
        <v>4</v>
      </c>
      <c r="B112" s="2043" t="s">
        <v>85</v>
      </c>
      <c r="C112" s="106"/>
      <c r="D112" s="33" t="s">
        <v>10</v>
      </c>
      <c r="E112" s="853">
        <v>46058</v>
      </c>
      <c r="F112" s="42">
        <f t="shared" ref="F112:F118" si="42">$L$7-E112</f>
        <v>228</v>
      </c>
      <c r="G112" s="302">
        <v>0</v>
      </c>
      <c r="H112" s="296"/>
      <c r="I112" s="296"/>
      <c r="J112" s="1298"/>
      <c r="K112" s="296"/>
      <c r="L112" s="531">
        <f t="shared" ref="L112:L134" si="43">+G112+H112+I112-J112-K112</f>
        <v>0</v>
      </c>
      <c r="M112" s="51"/>
      <c r="O112" s="51"/>
      <c r="P112" s="731"/>
      <c r="Q112" s="795"/>
      <c r="R112" s="785">
        <f>IFERROR(VLOOKUP($Q112,'391'!$P:$W,8,0),0)</f>
        <v>0</v>
      </c>
      <c r="U112" s="787"/>
      <c r="V112" s="787"/>
      <c r="W112" s="802">
        <f>IFERROR(VLOOKUP($Q112,'391'!$P:$AG,15,0),0)</f>
        <v>0</v>
      </c>
      <c r="X112" s="799">
        <f t="shared" ref="X112:X130" si="44">G112-W112</f>
        <v>0</v>
      </c>
      <c r="Y112" s="787"/>
      <c r="Z112" s="791"/>
      <c r="AA112" s="787"/>
      <c r="AB112" s="787"/>
      <c r="AC112" s="679"/>
    </row>
    <row r="113" spans="1:45" ht="30" hidden="1" customHeight="1" x14ac:dyDescent="0.25">
      <c r="A113" s="1998"/>
      <c r="B113" s="2065"/>
      <c r="C113" s="106" t="s">
        <v>1599</v>
      </c>
      <c r="D113" s="33" t="s">
        <v>10</v>
      </c>
      <c r="E113" s="853">
        <v>46128</v>
      </c>
      <c r="F113" s="42">
        <f t="shared" si="42"/>
        <v>158</v>
      </c>
      <c r="G113" s="302">
        <v>0</v>
      </c>
      <c r="H113" s="296"/>
      <c r="I113" s="296"/>
      <c r="J113" s="1298"/>
      <c r="K113" s="296"/>
      <c r="L113" s="531">
        <f t="shared" si="43"/>
        <v>0</v>
      </c>
      <c r="M113" s="46"/>
      <c r="N113" s="248"/>
      <c r="O113" s="46"/>
      <c r="P113" s="731"/>
      <c r="Q113" s="795"/>
      <c r="R113" s="785">
        <f>IFERROR(VLOOKUP($Q113,'391'!$P:$W,8,0),0)</f>
        <v>0</v>
      </c>
      <c r="U113" s="787"/>
      <c r="V113" s="787"/>
      <c r="W113" s="802">
        <f>IFERROR(VLOOKUP($Q113,'391'!$P:$AG,15,0),0)</f>
        <v>0</v>
      </c>
      <c r="X113" s="799">
        <f t="shared" si="44"/>
        <v>0</v>
      </c>
      <c r="Y113" s="787"/>
      <c r="Z113" s="791"/>
      <c r="AA113" s="787"/>
      <c r="AB113" s="787"/>
      <c r="AC113" s="679"/>
    </row>
    <row r="114" spans="1:45" ht="30" customHeight="1" x14ac:dyDescent="0.25">
      <c r="A114" s="1998"/>
      <c r="B114" s="2065"/>
      <c r="C114" s="106" t="s">
        <v>1420</v>
      </c>
      <c r="D114" s="33" t="s">
        <v>10</v>
      </c>
      <c r="E114" s="851">
        <v>46249</v>
      </c>
      <c r="F114" s="41">
        <f t="shared" si="42"/>
        <v>37</v>
      </c>
      <c r="G114" s="30">
        <v>83790</v>
      </c>
      <c r="H114" s="308"/>
      <c r="I114" s="308"/>
      <c r="J114" s="1302"/>
      <c r="K114" s="308">
        <v>23000</v>
      </c>
      <c r="L114" s="531">
        <f t="shared" si="43"/>
        <v>60790</v>
      </c>
      <c r="M114" s="45"/>
      <c r="O114" s="45"/>
      <c r="P114" s="1930"/>
      <c r="Q114" s="795"/>
      <c r="R114" s="785">
        <f>IFERROR(VLOOKUP($Q114,'391'!$P:$W,8,0),0)</f>
        <v>0</v>
      </c>
      <c r="U114" s="787"/>
      <c r="V114" s="787"/>
      <c r="W114" s="802">
        <f>IFERROR(VLOOKUP($Q114,'391'!$P:$AG,15,0),0)</f>
        <v>0</v>
      </c>
      <c r="X114" s="799">
        <f t="shared" si="44"/>
        <v>83790</v>
      </c>
      <c r="Y114" s="787"/>
      <c r="Z114" s="791"/>
      <c r="AA114" s="787"/>
      <c r="AB114" s="787"/>
      <c r="AC114" s="679"/>
    </row>
    <row r="115" spans="1:45" ht="30" hidden="1" customHeight="1" x14ac:dyDescent="0.25">
      <c r="A115" s="1998"/>
      <c r="B115" s="2065"/>
      <c r="C115" s="106"/>
      <c r="D115" s="33" t="s">
        <v>10</v>
      </c>
      <c r="E115" s="34">
        <v>46168</v>
      </c>
      <c r="F115" s="54">
        <f t="shared" si="42"/>
        <v>118</v>
      </c>
      <c r="G115" s="302">
        <v>0</v>
      </c>
      <c r="H115" s="296"/>
      <c r="I115" s="296"/>
      <c r="J115" s="1298"/>
      <c r="K115" s="296"/>
      <c r="L115" s="531">
        <f t="shared" si="43"/>
        <v>0</v>
      </c>
      <c r="M115" s="48"/>
      <c r="N115" s="249"/>
      <c r="O115" s="48"/>
      <c r="P115" s="731"/>
      <c r="Q115" s="795"/>
      <c r="R115" s="785">
        <f>IFERROR(VLOOKUP($Q115,'391'!$P:$W,8,0),0)</f>
        <v>0</v>
      </c>
      <c r="U115" s="787"/>
      <c r="V115" s="787"/>
      <c r="W115" s="802">
        <f>IFERROR(VLOOKUP($Q115,'391'!$P:$AG,15,0),0)</f>
        <v>0</v>
      </c>
      <c r="X115" s="799">
        <f t="shared" si="44"/>
        <v>0</v>
      </c>
      <c r="Y115" s="787"/>
      <c r="Z115" s="791"/>
      <c r="AA115" s="787"/>
      <c r="AB115" s="787"/>
      <c r="AC115" s="679"/>
    </row>
    <row r="116" spans="1:45" ht="30" hidden="1" customHeight="1" x14ac:dyDescent="0.25">
      <c r="A116" s="1998"/>
      <c r="B116" s="2065"/>
      <c r="C116" s="109"/>
      <c r="D116" s="850" t="s">
        <v>10</v>
      </c>
      <c r="E116" s="851">
        <v>45154</v>
      </c>
      <c r="F116" s="73">
        <f t="shared" si="42"/>
        <v>1132</v>
      </c>
      <c r="G116" s="302">
        <v>0</v>
      </c>
      <c r="H116" s="296"/>
      <c r="I116" s="296"/>
      <c r="J116" s="1298"/>
      <c r="K116" s="296"/>
      <c r="L116" s="531">
        <f t="shared" si="43"/>
        <v>0</v>
      </c>
      <c r="M116" s="48"/>
      <c r="N116" s="249"/>
      <c r="O116" s="48"/>
      <c r="P116" s="750"/>
      <c r="Q116" s="795"/>
      <c r="R116" s="785">
        <f>IFERROR(VLOOKUP($Q116,'391'!$P:$W,8,0),0)</f>
        <v>0</v>
      </c>
      <c r="U116" s="787"/>
      <c r="V116" s="787"/>
      <c r="W116" s="802">
        <f>IFERROR(VLOOKUP($Q116,'391'!$P:$AG,15,0),0)</f>
        <v>0</v>
      </c>
      <c r="X116" s="799">
        <f t="shared" si="44"/>
        <v>0</v>
      </c>
      <c r="Y116" s="787"/>
      <c r="Z116" s="791"/>
      <c r="AA116" s="787"/>
      <c r="AB116" s="787"/>
      <c r="AC116" s="679"/>
    </row>
    <row r="117" spans="1:45" ht="30" hidden="1" customHeight="1" x14ac:dyDescent="0.25">
      <c r="A117" s="1998"/>
      <c r="B117" s="2065"/>
      <c r="C117" s="109"/>
      <c r="D117" s="850" t="s">
        <v>10</v>
      </c>
      <c r="E117" s="851">
        <v>45122</v>
      </c>
      <c r="F117" s="73">
        <f t="shared" si="42"/>
        <v>1164</v>
      </c>
      <c r="G117" s="302">
        <v>0</v>
      </c>
      <c r="H117" s="296"/>
      <c r="I117" s="296"/>
      <c r="J117" s="1298"/>
      <c r="K117" s="296"/>
      <c r="L117" s="531">
        <f t="shared" si="43"/>
        <v>0</v>
      </c>
      <c r="M117" s="45"/>
      <c r="N117" s="920"/>
      <c r="O117" s="45"/>
      <c r="P117" s="756"/>
      <c r="Q117" s="795"/>
      <c r="R117" s="785">
        <f>IFERROR(VLOOKUP($Q117,'391'!$P:$W,8,0),0)</f>
        <v>0</v>
      </c>
      <c r="U117" s="787"/>
      <c r="V117" s="787"/>
      <c r="W117" s="802">
        <f>IFERROR(VLOOKUP($Q117,'391'!$P:$AG,15,0),0)</f>
        <v>0</v>
      </c>
      <c r="X117" s="799">
        <f t="shared" si="44"/>
        <v>0</v>
      </c>
      <c r="Y117" s="787"/>
      <c r="Z117" s="791"/>
      <c r="AA117" s="787"/>
      <c r="AB117" s="787"/>
      <c r="AC117" s="679"/>
    </row>
    <row r="118" spans="1:45" ht="30" customHeight="1" x14ac:dyDescent="0.25">
      <c r="A118" s="1998"/>
      <c r="B118" s="2065"/>
      <c r="C118" s="109" t="s">
        <v>1816</v>
      </c>
      <c r="D118" s="850" t="s">
        <v>10</v>
      </c>
      <c r="E118" s="851">
        <v>46249</v>
      </c>
      <c r="F118" s="41">
        <f t="shared" si="42"/>
        <v>37</v>
      </c>
      <c r="G118" s="55">
        <v>30314</v>
      </c>
      <c r="H118" s="36"/>
      <c r="I118" s="36">
        <f>K116+K117+K112+K113+K115+K114</f>
        <v>23000</v>
      </c>
      <c r="J118" s="1294">
        <f>+usage!I14</f>
        <v>21061</v>
      </c>
      <c r="K118" s="36"/>
      <c r="L118" s="531">
        <f t="shared" si="43"/>
        <v>32253</v>
      </c>
      <c r="M118" s="45"/>
      <c r="N118" s="162"/>
      <c r="O118" s="45"/>
      <c r="P118" s="756"/>
      <c r="Q118" s="795"/>
      <c r="U118" s="787"/>
      <c r="V118" s="787"/>
      <c r="W118" s="802">
        <f>IFERROR(VLOOKUP($Q118,'391'!$P:$AG,15,0),0)</f>
        <v>0</v>
      </c>
      <c r="X118" s="799">
        <f t="shared" si="44"/>
        <v>30314</v>
      </c>
      <c r="Y118" s="787"/>
      <c r="Z118" s="791"/>
      <c r="AA118" s="787"/>
      <c r="AB118" s="787"/>
      <c r="AC118" s="679"/>
    </row>
    <row r="119" spans="1:45" s="402" customFormat="1" ht="30" customHeight="1" x14ac:dyDescent="0.25">
      <c r="A119" s="2019" t="s">
        <v>104</v>
      </c>
      <c r="B119" s="2020"/>
      <c r="C119" s="88"/>
      <c r="D119" s="864"/>
      <c r="E119" s="864"/>
      <c r="F119" s="865"/>
      <c r="G119" s="1296">
        <v>114104</v>
      </c>
      <c r="H119" s="1296">
        <f t="shared" ref="H119:L119" si="45">+SUM(H112:H118)</f>
        <v>0</v>
      </c>
      <c r="I119" s="1296">
        <f t="shared" si="45"/>
        <v>23000</v>
      </c>
      <c r="J119" s="1296">
        <f t="shared" si="45"/>
        <v>21061</v>
      </c>
      <c r="K119" s="1296">
        <f t="shared" si="45"/>
        <v>23000</v>
      </c>
      <c r="L119" s="1296">
        <f t="shared" si="45"/>
        <v>93043</v>
      </c>
      <c r="M119" s="59">
        <f>IFERROR((R119/$S$2),"")</f>
        <v>17137</v>
      </c>
      <c r="N119" s="1187">
        <f>IFERROR(L119/M119,0)</f>
        <v>5.4293633658166538</v>
      </c>
      <c r="O119" s="59">
        <f>IFERROR(SUMIF(ETM!$A:$A,$Q119,ETM!$E:$E),"")</f>
        <v>9881.8333333333321</v>
      </c>
      <c r="P119" s="1188">
        <f>IFERROR(L119/O119,0)</f>
        <v>9.4155605403855578</v>
      </c>
      <c r="Q119" s="795" t="s">
        <v>815</v>
      </c>
      <c r="R119" s="785">
        <f>IFERROR(VLOOKUP($Q119,'391'!$P:$W,8,0),"")</f>
        <v>102822</v>
      </c>
      <c r="S119" s="807"/>
      <c r="T119" s="797"/>
      <c r="U119" s="797"/>
      <c r="V119" s="797"/>
      <c r="W119" s="802">
        <f>IFERROR(VLOOKUP($Q119,'391'!$P:$AG,15,0),0)</f>
        <v>114104</v>
      </c>
      <c r="X119" s="799">
        <f t="shared" si="44"/>
        <v>0</v>
      </c>
      <c r="Y119" s="797"/>
      <c r="Z119" s="785"/>
      <c r="AA119" s="797"/>
      <c r="AB119" s="797"/>
      <c r="AC119" s="551"/>
      <c r="AD119" s="551"/>
      <c r="AE119" s="551"/>
      <c r="AF119" s="551"/>
      <c r="AG119" s="551"/>
      <c r="AH119" s="551"/>
      <c r="AI119" s="704"/>
      <c r="AJ119" s="704"/>
      <c r="AK119" s="704"/>
      <c r="AL119" s="704"/>
      <c r="AM119" s="704"/>
      <c r="AN119" s="704"/>
      <c r="AO119" s="704"/>
      <c r="AP119" s="704"/>
      <c r="AQ119" s="704"/>
      <c r="AR119" s="704"/>
      <c r="AS119" s="704"/>
    </row>
    <row r="120" spans="1:45" s="402" customFormat="1" ht="30" hidden="1" customHeight="1" x14ac:dyDescent="0.25">
      <c r="A120" s="2063" t="str">
        <f>IF(L124=0,"",MAX($A$16:A119)+1)</f>
        <v/>
      </c>
      <c r="B120" s="2099" t="s">
        <v>1174</v>
      </c>
      <c r="C120" s="109"/>
      <c r="D120" s="850" t="s">
        <v>10</v>
      </c>
      <c r="E120" s="851">
        <v>44891</v>
      </c>
      <c r="F120" s="73">
        <f>$L$7-E120</f>
        <v>1395</v>
      </c>
      <c r="G120" s="302">
        <v>0</v>
      </c>
      <c r="H120" s="311"/>
      <c r="I120" s="311"/>
      <c r="J120" s="1303"/>
      <c r="K120" s="302"/>
      <c r="L120" s="531">
        <f t="shared" si="43"/>
        <v>0</v>
      </c>
      <c r="M120" s="46"/>
      <c r="N120" s="920"/>
      <c r="O120" s="44"/>
      <c r="P120" s="857"/>
      <c r="Q120" s="795"/>
      <c r="R120" s="785">
        <f>IFERROR(VLOOKUP($Q120,'391'!$P:$W,8,0),"")</f>
        <v>0</v>
      </c>
      <c r="S120" s="796"/>
      <c r="T120" s="797"/>
      <c r="U120" s="797"/>
      <c r="V120" s="797"/>
      <c r="W120" s="802">
        <f>IFERROR(VLOOKUP($Q120,'391'!$P:$AG,15,0),0)</f>
        <v>0</v>
      </c>
      <c r="X120" s="799">
        <f t="shared" si="44"/>
        <v>0</v>
      </c>
      <c r="Y120" s="797"/>
      <c r="Z120" s="785"/>
      <c r="AA120" s="797"/>
      <c r="AB120" s="797"/>
      <c r="AC120" s="551"/>
      <c r="AD120" s="551"/>
      <c r="AE120" s="551"/>
      <c r="AF120" s="551"/>
      <c r="AG120" s="551"/>
      <c r="AH120" s="551"/>
      <c r="AI120" s="704"/>
      <c r="AJ120" s="704"/>
      <c r="AK120" s="704"/>
      <c r="AL120" s="704"/>
      <c r="AM120" s="704"/>
      <c r="AN120" s="704"/>
      <c r="AO120" s="704"/>
      <c r="AP120" s="704"/>
      <c r="AQ120" s="704"/>
      <c r="AR120" s="704"/>
      <c r="AS120" s="704"/>
    </row>
    <row r="121" spans="1:45" s="402" customFormat="1" ht="30" hidden="1" customHeight="1" x14ac:dyDescent="0.25">
      <c r="A121" s="2078"/>
      <c r="B121" s="2100"/>
      <c r="C121" s="109"/>
      <c r="D121" s="850" t="s">
        <v>10</v>
      </c>
      <c r="E121" s="851">
        <v>44686</v>
      </c>
      <c r="F121" s="73">
        <f>$L$7-E121</f>
        <v>1600</v>
      </c>
      <c r="G121" s="302">
        <v>0</v>
      </c>
      <c r="H121" s="296"/>
      <c r="I121" s="36"/>
      <c r="J121" s="1303"/>
      <c r="K121" s="302"/>
      <c r="L121" s="531">
        <f t="shared" si="43"/>
        <v>0</v>
      </c>
      <c r="M121" s="46"/>
      <c r="N121" s="1269"/>
      <c r="O121" s="48"/>
      <c r="P121" s="872"/>
      <c r="Q121" s="795"/>
      <c r="R121" s="785">
        <f>IFERROR(VLOOKUP($Q121,'391'!$P:$W,8,0),"")</f>
        <v>0</v>
      </c>
      <c r="S121" s="796"/>
      <c r="T121" s="797"/>
      <c r="U121" s="797"/>
      <c r="V121" s="797"/>
      <c r="W121" s="802">
        <f>IFERROR(VLOOKUP($Q121,'391'!$P:$AG,15,0),0)</f>
        <v>0</v>
      </c>
      <c r="X121" s="799">
        <f t="shared" si="44"/>
        <v>0</v>
      </c>
      <c r="Y121" s="797"/>
      <c r="Z121" s="785"/>
      <c r="AA121" s="797"/>
      <c r="AB121" s="797"/>
      <c r="AC121" s="551"/>
      <c r="AD121" s="551"/>
      <c r="AE121" s="551"/>
      <c r="AF121" s="551"/>
      <c r="AG121" s="551"/>
      <c r="AH121" s="551"/>
      <c r="AI121" s="704"/>
      <c r="AJ121" s="704"/>
      <c r="AK121" s="704"/>
      <c r="AL121" s="704"/>
      <c r="AM121" s="704"/>
      <c r="AN121" s="704"/>
      <c r="AO121" s="704"/>
      <c r="AP121" s="704"/>
      <c r="AQ121" s="704"/>
      <c r="AR121" s="704"/>
      <c r="AS121" s="704"/>
    </row>
    <row r="122" spans="1:45" s="402" customFormat="1" ht="30" hidden="1" customHeight="1" x14ac:dyDescent="0.25">
      <c r="A122" s="2078"/>
      <c r="B122" s="2100"/>
      <c r="C122" s="109" t="s">
        <v>1227</v>
      </c>
      <c r="D122" s="850" t="s">
        <v>10</v>
      </c>
      <c r="E122" s="851">
        <v>44891</v>
      </c>
      <c r="F122" s="73">
        <f>$L$7-E122</f>
        <v>1395</v>
      </c>
      <c r="G122" s="55">
        <v>0</v>
      </c>
      <c r="H122" s="1304"/>
      <c r="I122" s="302">
        <f>K120+K121</f>
        <v>0</v>
      </c>
      <c r="J122" s="1294">
        <f>usage!I18</f>
        <v>0</v>
      </c>
      <c r="K122" s="1304"/>
      <c r="L122" s="531">
        <f t="shared" si="43"/>
        <v>0</v>
      </c>
      <c r="M122" s="48"/>
      <c r="N122" s="249"/>
      <c r="O122" s="48"/>
      <c r="P122" s="873"/>
      <c r="Q122" s="795"/>
      <c r="R122" s="785">
        <f>IFERROR(VLOOKUP($Q122,'391'!$P:$W,8,0),"")</f>
        <v>0</v>
      </c>
      <c r="S122" s="796"/>
      <c r="T122" s="797"/>
      <c r="U122" s="797"/>
      <c r="V122" s="797"/>
      <c r="W122" s="802">
        <f>IFERROR(VLOOKUP($Q122,'391'!$P:$AG,15,0),0)</f>
        <v>0</v>
      </c>
      <c r="X122" s="799">
        <f t="shared" si="44"/>
        <v>0</v>
      </c>
      <c r="Y122" s="797"/>
      <c r="Z122" s="785"/>
      <c r="AA122" s="797"/>
      <c r="AB122" s="797"/>
      <c r="AC122" s="551"/>
      <c r="AD122" s="551"/>
      <c r="AE122" s="551"/>
      <c r="AF122" s="551"/>
      <c r="AG122" s="551"/>
      <c r="AH122" s="551"/>
      <c r="AI122" s="704"/>
      <c r="AJ122" s="704"/>
      <c r="AK122" s="704"/>
      <c r="AL122" s="704"/>
      <c r="AM122" s="704"/>
      <c r="AN122" s="704"/>
      <c r="AO122" s="704"/>
      <c r="AP122" s="704"/>
      <c r="AQ122" s="704"/>
      <c r="AR122" s="704"/>
      <c r="AS122" s="704"/>
    </row>
    <row r="123" spans="1:45" s="402" customFormat="1" ht="30" hidden="1" customHeight="1" x14ac:dyDescent="0.25">
      <c r="A123" s="2064"/>
      <c r="B123" s="2100"/>
      <c r="C123" s="109"/>
      <c r="D123" s="850" t="s">
        <v>10</v>
      </c>
      <c r="E123" s="851">
        <v>44208</v>
      </c>
      <c r="F123" s="41">
        <f>$L$7-E123</f>
        <v>2078</v>
      </c>
      <c r="G123" s="302">
        <v>0</v>
      </c>
      <c r="H123" s="296"/>
      <c r="I123" s="296"/>
      <c r="J123" s="1298">
        <f>+usage!I28</f>
        <v>0</v>
      </c>
      <c r="K123" s="296"/>
      <c r="L123" s="531">
        <f t="shared" si="43"/>
        <v>0</v>
      </c>
      <c r="M123" s="47"/>
      <c r="N123" s="920"/>
      <c r="O123" s="47"/>
      <c r="P123" s="857"/>
      <c r="Q123" s="795"/>
      <c r="R123" s="785">
        <f>IFERROR(VLOOKUP($Q123,'391'!$P:$W,8,0),"")</f>
        <v>0</v>
      </c>
      <c r="S123" s="796"/>
      <c r="T123" s="797"/>
      <c r="U123" s="797"/>
      <c r="V123" s="797"/>
      <c r="W123" s="802">
        <f>IFERROR(VLOOKUP($Q123,'391'!$P:$AG,15,0),0)</f>
        <v>0</v>
      </c>
      <c r="X123" s="799">
        <f t="shared" si="44"/>
        <v>0</v>
      </c>
      <c r="Y123" s="797"/>
      <c r="Z123" s="785"/>
      <c r="AA123" s="797"/>
      <c r="AB123" s="797"/>
      <c r="AC123" s="551"/>
      <c r="AD123" s="551"/>
      <c r="AE123" s="551"/>
      <c r="AF123" s="551"/>
      <c r="AG123" s="551"/>
      <c r="AH123" s="551"/>
      <c r="AI123" s="704"/>
      <c r="AJ123" s="704"/>
      <c r="AK123" s="704"/>
      <c r="AL123" s="704"/>
      <c r="AM123" s="704"/>
      <c r="AN123" s="704"/>
      <c r="AO123" s="704"/>
      <c r="AP123" s="704"/>
      <c r="AQ123" s="704"/>
      <c r="AR123" s="704"/>
      <c r="AS123" s="704"/>
    </row>
    <row r="124" spans="1:45" s="402" customFormat="1" ht="30" hidden="1" customHeight="1" x14ac:dyDescent="0.25">
      <c r="A124" s="2019" t="s">
        <v>621</v>
      </c>
      <c r="B124" s="2020"/>
      <c r="C124" s="88"/>
      <c r="D124" s="864"/>
      <c r="E124" s="864"/>
      <c r="F124" s="874"/>
      <c r="G124" s="1296">
        <v>0</v>
      </c>
      <c r="H124" s="1296">
        <f>+SUM(H120:H123)</f>
        <v>0</v>
      </c>
      <c r="I124" s="1296">
        <f t="shared" ref="I124:K124" si="46">+SUM(I120:I123)</f>
        <v>0</v>
      </c>
      <c r="J124" s="1296">
        <f t="shared" si="46"/>
        <v>0</v>
      </c>
      <c r="K124" s="1296">
        <f t="shared" si="46"/>
        <v>0</v>
      </c>
      <c r="L124" s="531">
        <f t="shared" si="43"/>
        <v>0</v>
      </c>
      <c r="M124" s="59" t="str">
        <f>IFERROR((R124/$S$2),"")</f>
        <v/>
      </c>
      <c r="N124" s="854">
        <f>IFERROR(L124/M124,0)</f>
        <v>0</v>
      </c>
      <c r="O124" s="59">
        <f>IFERROR(SUMIF(ETM!$A:$A,$Q124,ETM!$E:$E),"")</f>
        <v>0</v>
      </c>
      <c r="P124" s="855">
        <f>IFERROR(L124/O124,0)</f>
        <v>0</v>
      </c>
      <c r="Q124" s="795" t="s">
        <v>840</v>
      </c>
      <c r="R124" s="785" t="str">
        <f>IFERROR(VLOOKUP($Q124,'391'!$P:$W,8,0),"")</f>
        <v/>
      </c>
      <c r="S124" s="796"/>
      <c r="T124" s="797"/>
      <c r="U124" s="797"/>
      <c r="V124" s="797"/>
      <c r="W124" s="802">
        <f>IFERROR(VLOOKUP($Q124,'391'!$P:$AG,15,0),0)</f>
        <v>0</v>
      </c>
      <c r="X124" s="799">
        <f t="shared" si="44"/>
        <v>0</v>
      </c>
      <c r="Y124" s="797"/>
      <c r="Z124" s="785"/>
      <c r="AA124" s="797"/>
      <c r="AB124" s="797"/>
      <c r="AC124" s="551"/>
      <c r="AD124" s="551"/>
      <c r="AE124" s="551"/>
      <c r="AF124" s="551"/>
      <c r="AG124" s="551"/>
      <c r="AH124" s="551"/>
      <c r="AI124" s="704"/>
      <c r="AJ124" s="704"/>
      <c r="AK124" s="704"/>
      <c r="AL124" s="704"/>
      <c r="AM124" s="704"/>
      <c r="AN124" s="704"/>
      <c r="AO124" s="704"/>
      <c r="AP124" s="704"/>
      <c r="AQ124" s="704"/>
      <c r="AR124" s="704"/>
      <c r="AS124" s="704"/>
    </row>
    <row r="125" spans="1:45" s="14" customFormat="1" ht="30" hidden="1" customHeight="1" x14ac:dyDescent="0.25">
      <c r="A125" s="2063">
        <f>IF(L135=0,"",MAX($A$16:A124)+1)</f>
        <v>5</v>
      </c>
      <c r="B125" s="2065" t="s">
        <v>176</v>
      </c>
      <c r="C125" s="158" t="s">
        <v>613</v>
      </c>
      <c r="D125" s="866" t="s">
        <v>10</v>
      </c>
      <c r="E125" s="867">
        <v>44265</v>
      </c>
      <c r="F125" s="358">
        <f t="shared" ref="F125:F130" si="47">$L$7-E125</f>
        <v>2021</v>
      </c>
      <c r="G125" s="300">
        <v>0</v>
      </c>
      <c r="H125" s="306"/>
      <c r="I125" s="306"/>
      <c r="J125" s="1305"/>
      <c r="K125" s="306"/>
      <c r="L125" s="531">
        <f t="shared" si="43"/>
        <v>0</v>
      </c>
      <c r="M125" s="147"/>
      <c r="N125" s="1459"/>
      <c r="O125" s="22"/>
      <c r="P125" s="735"/>
      <c r="Q125" s="795"/>
      <c r="R125" s="785">
        <f>IFERROR(VLOOKUP($Q125,'391'!$P:$W,8,0),"")</f>
        <v>0</v>
      </c>
      <c r="S125" s="796"/>
      <c r="T125" s="797"/>
      <c r="U125" s="797"/>
      <c r="V125" s="797"/>
      <c r="W125" s="802">
        <f>IFERROR(VLOOKUP($Q125,'391'!$P:$AG,15,0),0)</f>
        <v>0</v>
      </c>
      <c r="X125" s="799">
        <f t="shared" si="44"/>
        <v>0</v>
      </c>
      <c r="Y125" s="797"/>
      <c r="Z125" s="785"/>
      <c r="AA125" s="797"/>
      <c r="AB125" s="797"/>
      <c r="AC125" s="683"/>
      <c r="AD125" s="683"/>
      <c r="AE125" s="683"/>
      <c r="AF125" s="683"/>
      <c r="AG125" s="683"/>
      <c r="AH125" s="683"/>
      <c r="AI125" s="705"/>
      <c r="AJ125" s="705"/>
      <c r="AK125" s="705"/>
      <c r="AL125" s="705"/>
      <c r="AM125" s="705"/>
      <c r="AN125" s="705"/>
      <c r="AO125" s="705"/>
      <c r="AP125" s="705"/>
      <c r="AQ125" s="705"/>
      <c r="AR125" s="705"/>
      <c r="AS125" s="705"/>
    </row>
    <row r="126" spans="1:45" s="14" customFormat="1" ht="30" hidden="1" customHeight="1" x14ac:dyDescent="0.25">
      <c r="A126" s="2078"/>
      <c r="B126" s="2065"/>
      <c r="C126" s="158" t="s">
        <v>613</v>
      </c>
      <c r="D126" s="866" t="s">
        <v>10</v>
      </c>
      <c r="E126" s="867">
        <v>44265</v>
      </c>
      <c r="F126" s="358">
        <f t="shared" si="47"/>
        <v>2021</v>
      </c>
      <c r="G126" s="300">
        <v>0</v>
      </c>
      <c r="H126" s="306"/>
      <c r="I126" s="306"/>
      <c r="J126" s="1305"/>
      <c r="K126" s="306"/>
      <c r="L126" s="531">
        <f t="shared" si="43"/>
        <v>0</v>
      </c>
      <c r="M126" s="101"/>
      <c r="N126" s="1460"/>
      <c r="O126" s="23"/>
      <c r="P126" s="736"/>
      <c r="Q126" s="795"/>
      <c r="R126" s="785">
        <f>IFERROR(VLOOKUP($Q126,'391'!$P:$W,8,0),"")</f>
        <v>0</v>
      </c>
      <c r="S126" s="796"/>
      <c r="T126" s="797"/>
      <c r="U126" s="797"/>
      <c r="V126" s="797"/>
      <c r="W126" s="802">
        <f>IFERROR(VLOOKUP($Q126,'391'!$P:$AG,15,0),0)</f>
        <v>0</v>
      </c>
      <c r="X126" s="799">
        <f t="shared" si="44"/>
        <v>0</v>
      </c>
      <c r="Y126" s="797"/>
      <c r="Z126" s="785"/>
      <c r="AA126" s="797"/>
      <c r="AB126" s="797"/>
      <c r="AC126" s="683"/>
      <c r="AD126" s="683"/>
      <c r="AE126" s="683"/>
      <c r="AF126" s="683"/>
      <c r="AG126" s="683"/>
      <c r="AH126" s="683"/>
      <c r="AI126" s="705"/>
      <c r="AJ126" s="705"/>
      <c r="AK126" s="705"/>
      <c r="AL126" s="705"/>
      <c r="AM126" s="705"/>
      <c r="AN126" s="705"/>
      <c r="AO126" s="705"/>
      <c r="AP126" s="705"/>
      <c r="AQ126" s="705"/>
      <c r="AR126" s="705"/>
      <c r="AS126" s="705"/>
    </row>
    <row r="127" spans="1:45" s="14" customFormat="1" ht="30" hidden="1" customHeight="1" x14ac:dyDescent="0.25">
      <c r="A127" s="2078"/>
      <c r="B127" s="2065"/>
      <c r="C127" s="158" t="s">
        <v>491</v>
      </c>
      <c r="D127" s="866" t="s">
        <v>10</v>
      </c>
      <c r="E127" s="867">
        <v>43998</v>
      </c>
      <c r="F127" s="358">
        <f t="shared" si="47"/>
        <v>2288</v>
      </c>
      <c r="G127" s="300">
        <v>0</v>
      </c>
      <c r="H127" s="306"/>
      <c r="I127" s="306"/>
      <c r="J127" s="1305"/>
      <c r="K127" s="312"/>
      <c r="L127" s="531">
        <f t="shared" si="43"/>
        <v>0</v>
      </c>
      <c r="M127" s="101"/>
      <c r="N127" s="1460"/>
      <c r="O127" s="23"/>
      <c r="P127" s="736"/>
      <c r="Q127" s="795"/>
      <c r="R127" s="785">
        <f>IFERROR(VLOOKUP($Q127,'391'!$P:$W,8,0),"")</f>
        <v>0</v>
      </c>
      <c r="S127" s="796"/>
      <c r="T127" s="797"/>
      <c r="U127" s="797"/>
      <c r="V127" s="797"/>
      <c r="W127" s="802">
        <f>IFERROR(VLOOKUP($Q127,'391'!$P:$AG,15,0),0)</f>
        <v>0</v>
      </c>
      <c r="X127" s="799">
        <f t="shared" si="44"/>
        <v>0</v>
      </c>
      <c r="Y127" s="797"/>
      <c r="Z127" s="785"/>
      <c r="AA127" s="797"/>
      <c r="AB127" s="797"/>
      <c r="AC127" s="683"/>
      <c r="AD127" s="683"/>
      <c r="AE127" s="683"/>
      <c r="AF127" s="683"/>
      <c r="AG127" s="683"/>
      <c r="AH127" s="683"/>
      <c r="AI127" s="705"/>
      <c r="AJ127" s="705"/>
      <c r="AK127" s="705"/>
      <c r="AL127" s="705"/>
      <c r="AM127" s="705"/>
      <c r="AN127" s="705"/>
      <c r="AO127" s="705"/>
      <c r="AP127" s="705"/>
      <c r="AQ127" s="705"/>
      <c r="AR127" s="705"/>
      <c r="AS127" s="705"/>
    </row>
    <row r="128" spans="1:45" s="14" customFormat="1" ht="30" hidden="1" customHeight="1" x14ac:dyDescent="0.25">
      <c r="A128" s="2078"/>
      <c r="B128" s="2065"/>
      <c r="C128" s="158" t="s">
        <v>506</v>
      </c>
      <c r="D128" s="866" t="s">
        <v>10</v>
      </c>
      <c r="E128" s="867">
        <v>43847</v>
      </c>
      <c r="F128" s="358">
        <f t="shared" si="47"/>
        <v>2439</v>
      </c>
      <c r="G128" s="300">
        <v>0</v>
      </c>
      <c r="H128" s="306"/>
      <c r="I128" s="306"/>
      <c r="J128" s="1305"/>
      <c r="K128" s="312"/>
      <c r="L128" s="531">
        <f t="shared" si="43"/>
        <v>0</v>
      </c>
      <c r="M128" s="101"/>
      <c r="N128" s="1460"/>
      <c r="O128" s="23"/>
      <c r="P128" s="736"/>
      <c r="Q128" s="795"/>
      <c r="R128" s="785">
        <f>IFERROR(VLOOKUP($Q128,'391'!$P:$W,8,0),"")</f>
        <v>0</v>
      </c>
      <c r="S128" s="796"/>
      <c r="T128" s="797"/>
      <c r="U128" s="797"/>
      <c r="V128" s="797"/>
      <c r="W128" s="802">
        <f>IFERROR(VLOOKUP($Q128,'391'!$P:$AG,15,0),0)</f>
        <v>0</v>
      </c>
      <c r="X128" s="799">
        <f t="shared" si="44"/>
        <v>0</v>
      </c>
      <c r="Y128" s="797"/>
      <c r="Z128" s="785"/>
      <c r="AA128" s="797"/>
      <c r="AB128" s="797"/>
      <c r="AC128" s="683"/>
      <c r="AD128" s="683"/>
      <c r="AE128" s="683"/>
      <c r="AF128" s="683"/>
      <c r="AG128" s="683"/>
      <c r="AH128" s="683"/>
      <c r="AI128" s="705"/>
      <c r="AJ128" s="705"/>
      <c r="AK128" s="705"/>
      <c r="AL128" s="705"/>
      <c r="AM128" s="705"/>
      <c r="AN128" s="705"/>
      <c r="AO128" s="705"/>
      <c r="AP128" s="705"/>
      <c r="AQ128" s="705"/>
      <c r="AR128" s="705"/>
      <c r="AS128" s="705"/>
    </row>
    <row r="129" spans="1:45" s="404" customFormat="1" ht="30" hidden="1" customHeight="1" x14ac:dyDescent="0.25">
      <c r="A129" s="2078"/>
      <c r="B129" s="2065"/>
      <c r="C129" s="109" t="s">
        <v>489</v>
      </c>
      <c r="D129" s="852" t="s">
        <v>10</v>
      </c>
      <c r="E129" s="853">
        <v>46146</v>
      </c>
      <c r="F129" s="877">
        <f t="shared" ref="F129" si="48">$L$7-E129</f>
        <v>140</v>
      </c>
      <c r="G129" s="36">
        <v>0</v>
      </c>
      <c r="H129" s="296"/>
      <c r="I129" s="296"/>
      <c r="J129" s="1307"/>
      <c r="K129" s="919"/>
      <c r="L129" s="531">
        <f t="shared" si="43"/>
        <v>0</v>
      </c>
      <c r="M129" s="251"/>
      <c r="N129" s="1460"/>
      <c r="O129" s="223"/>
      <c r="P129" s="736"/>
      <c r="Q129" s="795"/>
      <c r="R129" s="785">
        <f>IFERROR(VLOOKUP($Q129,'391'!$P:$W,8,0),"")</f>
        <v>0</v>
      </c>
      <c r="S129" s="796"/>
      <c r="T129" s="797"/>
      <c r="U129" s="797"/>
      <c r="V129" s="797"/>
      <c r="W129" s="802">
        <f>IFERROR(VLOOKUP($Q129,'391'!$P:$AG,15,0),0)</f>
        <v>0</v>
      </c>
      <c r="X129" s="799">
        <f t="shared" si="44"/>
        <v>0</v>
      </c>
      <c r="Y129" s="797"/>
      <c r="Z129" s="785"/>
      <c r="AA129" s="797"/>
      <c r="AB129" s="797"/>
      <c r="AC129" s="683"/>
      <c r="AD129" s="683"/>
      <c r="AE129" s="683"/>
      <c r="AF129" s="683"/>
      <c r="AG129" s="683"/>
      <c r="AH129" s="683"/>
      <c r="AI129" s="705"/>
      <c r="AJ129" s="705"/>
      <c r="AK129" s="705"/>
      <c r="AL129" s="705"/>
      <c r="AM129" s="705"/>
      <c r="AN129" s="705"/>
      <c r="AO129" s="705"/>
      <c r="AP129" s="705"/>
      <c r="AQ129" s="705"/>
      <c r="AR129" s="705"/>
      <c r="AS129" s="705"/>
    </row>
    <row r="130" spans="1:45" s="404" customFormat="1" ht="28.5" hidden="1" customHeight="1" x14ac:dyDescent="0.25">
      <c r="A130" s="2078"/>
      <c r="B130" s="2065"/>
      <c r="C130" s="109"/>
      <c r="D130" s="852" t="s">
        <v>10</v>
      </c>
      <c r="E130" s="853">
        <v>46213</v>
      </c>
      <c r="F130" s="877">
        <f t="shared" si="47"/>
        <v>73</v>
      </c>
      <c r="G130" s="36">
        <v>0</v>
      </c>
      <c r="H130" s="36"/>
      <c r="I130" s="36"/>
      <c r="J130" s="36"/>
      <c r="K130" s="36"/>
      <c r="L130" s="531">
        <f>+G130+H130+I130-J130-K130</f>
        <v>0</v>
      </c>
      <c r="M130" s="223"/>
      <c r="N130" s="920"/>
      <c r="O130" s="223"/>
      <c r="P130" s="736"/>
      <c r="Q130" s="795"/>
      <c r="R130" s="785">
        <f>IFERROR(VLOOKUP($Q130,'391'!$P:$W,8,0),"")</f>
        <v>0</v>
      </c>
      <c r="S130" s="796"/>
      <c r="T130" s="797"/>
      <c r="U130" s="797"/>
      <c r="V130" s="797"/>
      <c r="W130" s="802">
        <f>IFERROR(VLOOKUP($Q130,'391'!$P:$AG,15,0),0)</f>
        <v>0</v>
      </c>
      <c r="X130" s="799">
        <f t="shared" si="44"/>
        <v>0</v>
      </c>
      <c r="Y130" s="797"/>
      <c r="Z130" s="785"/>
      <c r="AA130" s="797"/>
      <c r="AB130" s="797"/>
      <c r="AC130" s="683"/>
      <c r="AD130" s="683"/>
      <c r="AE130" s="683"/>
      <c r="AF130" s="683"/>
      <c r="AG130" s="683"/>
      <c r="AH130" s="683"/>
      <c r="AI130" s="705"/>
      <c r="AJ130" s="705"/>
      <c r="AK130" s="705"/>
      <c r="AL130" s="705"/>
      <c r="AM130" s="705"/>
      <c r="AN130" s="705"/>
      <c r="AO130" s="705"/>
      <c r="AP130" s="705"/>
      <c r="AQ130" s="705"/>
      <c r="AR130" s="705"/>
      <c r="AS130" s="705"/>
    </row>
    <row r="131" spans="1:45" s="404" customFormat="1" ht="28.5" hidden="1" customHeight="1" x14ac:dyDescent="0.25">
      <c r="A131" s="2078"/>
      <c r="B131" s="2069"/>
      <c r="C131" s="106" t="s">
        <v>492</v>
      </c>
      <c r="D131" s="852" t="s">
        <v>10</v>
      </c>
      <c r="E131" s="853">
        <v>46259</v>
      </c>
      <c r="F131" s="877">
        <f t="shared" ref="F131" si="49">$L$7-E131</f>
        <v>27</v>
      </c>
      <c r="G131" s="302">
        <v>0</v>
      </c>
      <c r="H131" s="296"/>
      <c r="I131" s="1282"/>
      <c r="J131" s="1282"/>
      <c r="K131" s="1282"/>
      <c r="L131" s="531">
        <f>+G131+H131+I131-J131-K131</f>
        <v>0</v>
      </c>
      <c r="M131" s="1482"/>
      <c r="N131" s="1460"/>
      <c r="O131" s="1482"/>
      <c r="P131" s="1281"/>
      <c r="Q131" s="808"/>
      <c r="R131" s="785">
        <f>IFERROR(VLOOKUP($Q131,'391'!$P:$W,8,0),"")</f>
        <v>0</v>
      </c>
      <c r="S131" s="796"/>
      <c r="T131" s="797"/>
      <c r="U131" s="797"/>
      <c r="V131" s="797"/>
      <c r="W131" s="802"/>
      <c r="X131" s="799"/>
      <c r="Y131" s="797"/>
      <c r="Z131" s="785"/>
      <c r="AA131" s="797"/>
      <c r="AB131" s="797"/>
      <c r="AC131" s="683"/>
      <c r="AD131" s="683"/>
      <c r="AE131" s="683"/>
      <c r="AF131" s="683"/>
      <c r="AG131" s="683"/>
      <c r="AH131" s="683"/>
      <c r="AI131" s="705"/>
      <c r="AJ131" s="705"/>
      <c r="AK131" s="705"/>
      <c r="AL131" s="705"/>
      <c r="AM131" s="705"/>
      <c r="AN131" s="705"/>
      <c r="AO131" s="705"/>
      <c r="AP131" s="705"/>
      <c r="AQ131" s="705"/>
      <c r="AR131" s="705"/>
      <c r="AS131" s="705"/>
    </row>
    <row r="132" spans="1:45" s="404" customFormat="1" ht="28.5" customHeight="1" x14ac:dyDescent="0.25">
      <c r="A132" s="2078"/>
      <c r="B132" s="2069"/>
      <c r="C132" s="109" t="s">
        <v>347</v>
      </c>
      <c r="D132" s="852" t="s">
        <v>10</v>
      </c>
      <c r="E132" s="853">
        <v>46273</v>
      </c>
      <c r="F132" s="877">
        <f t="shared" ref="F132" si="50">$L$7-E132</f>
        <v>13</v>
      </c>
      <c r="G132" s="36">
        <v>13470</v>
      </c>
      <c r="H132" s="36">
        <v>34270</v>
      </c>
      <c r="I132" s="1282"/>
      <c r="J132" s="1282"/>
      <c r="K132" s="1282">
        <v>19000</v>
      </c>
      <c r="L132" s="531">
        <f t="shared" si="43"/>
        <v>28740</v>
      </c>
      <c r="M132" s="1482"/>
      <c r="N132" s="1460"/>
      <c r="O132" s="1482"/>
      <c r="P132" s="1281"/>
      <c r="Q132" s="808"/>
      <c r="R132" s="785">
        <f>IFERROR(VLOOKUP($Q132,'391'!$P:$W,8,0),"")</f>
        <v>0</v>
      </c>
      <c r="S132" s="796"/>
      <c r="T132" s="797"/>
      <c r="U132" s="797"/>
      <c r="V132" s="797"/>
      <c r="W132" s="802"/>
      <c r="X132" s="799"/>
      <c r="Y132" s="797"/>
      <c r="Z132" s="785"/>
      <c r="AA132" s="797"/>
      <c r="AB132" s="797"/>
      <c r="AC132" s="683"/>
      <c r="AD132" s="683"/>
      <c r="AE132" s="683"/>
      <c r="AF132" s="683"/>
      <c r="AG132" s="683"/>
      <c r="AH132" s="683"/>
      <c r="AI132" s="705"/>
      <c r="AJ132" s="705"/>
      <c r="AK132" s="705"/>
      <c r="AL132" s="705"/>
      <c r="AM132" s="705"/>
      <c r="AN132" s="705"/>
      <c r="AO132" s="705"/>
      <c r="AP132" s="705"/>
      <c r="AQ132" s="705"/>
      <c r="AR132" s="705"/>
      <c r="AS132" s="705"/>
    </row>
    <row r="133" spans="1:45" s="404" customFormat="1" ht="28.5" hidden="1" customHeight="1" x14ac:dyDescent="0.25">
      <c r="A133" s="2078"/>
      <c r="B133" s="2069"/>
      <c r="C133" s="109" t="s">
        <v>489</v>
      </c>
      <c r="D133" s="852" t="s">
        <v>10</v>
      </c>
      <c r="E133" s="853">
        <v>46134</v>
      </c>
      <c r="F133" s="877">
        <f t="shared" ref="F133" si="51">$L$7-E133</f>
        <v>152</v>
      </c>
      <c r="G133" s="36">
        <v>0</v>
      </c>
      <c r="H133" s="36"/>
      <c r="I133" s="1282"/>
      <c r="J133" s="1282"/>
      <c r="K133" s="1282"/>
      <c r="L133" s="531">
        <f t="shared" ref="L133" si="52">+G133+H133+I133-J133-K133</f>
        <v>0</v>
      </c>
      <c r="M133" s="1482"/>
      <c r="N133" s="1460"/>
      <c r="O133" s="1482"/>
      <c r="P133" s="1281"/>
      <c r="Q133" s="808"/>
      <c r="R133" s="785">
        <f>IFERROR(VLOOKUP($Q133,'391'!$P:$W,8,0),"")</f>
        <v>0</v>
      </c>
      <c r="S133" s="796"/>
      <c r="T133" s="797"/>
      <c r="U133" s="797"/>
      <c r="V133" s="797"/>
      <c r="W133" s="802"/>
      <c r="X133" s="799"/>
      <c r="Y133" s="797"/>
      <c r="Z133" s="785"/>
      <c r="AA133" s="797"/>
      <c r="AB133" s="797"/>
      <c r="AC133" s="683"/>
      <c r="AD133" s="683"/>
      <c r="AE133" s="683"/>
      <c r="AF133" s="683"/>
      <c r="AG133" s="683"/>
      <c r="AH133" s="683"/>
      <c r="AI133" s="705"/>
      <c r="AJ133" s="705"/>
      <c r="AK133" s="705"/>
      <c r="AL133" s="705"/>
      <c r="AM133" s="705"/>
      <c r="AN133" s="705"/>
      <c r="AO133" s="705"/>
      <c r="AP133" s="705"/>
      <c r="AQ133" s="705"/>
      <c r="AR133" s="705"/>
      <c r="AS133" s="705"/>
    </row>
    <row r="134" spans="1:45" s="405" customFormat="1" ht="30" customHeight="1" x14ac:dyDescent="0.25">
      <c r="A134" s="2078"/>
      <c r="B134" s="2044"/>
      <c r="C134" s="109" t="s">
        <v>600</v>
      </c>
      <c r="D134" s="850" t="s">
        <v>10</v>
      </c>
      <c r="E134" s="851">
        <v>46273</v>
      </c>
      <c r="F134" s="73">
        <f>$L$7-E134</f>
        <v>13</v>
      </c>
      <c r="G134" s="36">
        <v>778</v>
      </c>
      <c r="H134" s="36"/>
      <c r="I134" s="28">
        <f>SUM(K129:K132)</f>
        <v>19000</v>
      </c>
      <c r="J134" s="36">
        <f>+usage!I15</f>
        <v>10228</v>
      </c>
      <c r="K134" s="36"/>
      <c r="L134" s="531">
        <f t="shared" si="43"/>
        <v>9550</v>
      </c>
      <c r="M134" s="35"/>
      <c r="N134" s="87"/>
      <c r="O134" s="35"/>
      <c r="P134" s="740"/>
      <c r="Q134" s="666" t="s">
        <v>1437</v>
      </c>
      <c r="R134" s="785">
        <f>IFERROR(VLOOKUP($Q134,'391'!$P:$W,8,0),"0")</f>
        <v>26883</v>
      </c>
      <c r="S134" s="796"/>
      <c r="T134" s="797"/>
      <c r="U134" s="797"/>
      <c r="V134" s="797"/>
      <c r="W134" s="802">
        <f>IFERROR(VLOOKUP($Q134,'391'!$P:$AG,15,0),0)</f>
        <v>14248</v>
      </c>
      <c r="X134" s="799">
        <f>G134-W134</f>
        <v>-13470</v>
      </c>
      <c r="Y134" s="797"/>
      <c r="Z134" s="785"/>
      <c r="AA134" s="797"/>
      <c r="AB134" s="797"/>
      <c r="AC134" s="683"/>
      <c r="AD134" s="683"/>
      <c r="AE134" s="683"/>
      <c r="AF134" s="683"/>
      <c r="AG134" s="683"/>
      <c r="AH134" s="683"/>
      <c r="AI134" s="705"/>
      <c r="AJ134" s="705"/>
      <c r="AK134" s="705"/>
      <c r="AL134" s="705"/>
      <c r="AM134" s="705"/>
      <c r="AN134" s="705"/>
      <c r="AO134" s="705"/>
      <c r="AP134" s="705"/>
      <c r="AQ134" s="705"/>
      <c r="AR134" s="705"/>
      <c r="AS134" s="705"/>
    </row>
    <row r="135" spans="1:45" s="400" customFormat="1" ht="30" customHeight="1" x14ac:dyDescent="0.25">
      <c r="A135" s="2019" t="s">
        <v>1438</v>
      </c>
      <c r="B135" s="2020"/>
      <c r="C135" s="88"/>
      <c r="D135" s="864"/>
      <c r="E135" s="864"/>
      <c r="F135" s="865"/>
      <c r="G135" s="1296">
        <v>14248</v>
      </c>
      <c r="H135" s="1296">
        <f>SUM(H125:H134)</f>
        <v>34270</v>
      </c>
      <c r="I135" s="1296">
        <f>SUM(I125:I134)</f>
        <v>19000</v>
      </c>
      <c r="J135" s="1296">
        <f>SUM(J125:J134)</f>
        <v>10228</v>
      </c>
      <c r="K135" s="1296">
        <f>SUM(K125:K134)</f>
        <v>19000</v>
      </c>
      <c r="L135" s="1296">
        <f>SUM(L125:L134)</f>
        <v>38290</v>
      </c>
      <c r="M135" s="59">
        <f>IFERROR((S135/$S$2),"")</f>
        <v>4480.5</v>
      </c>
      <c r="N135" s="854">
        <f>(L135/M135)</f>
        <v>8.5459212141502068</v>
      </c>
      <c r="O135" s="59">
        <f>IFERROR(SUMIF(ETM!$A:$A,$Q135,ETM!$E:$E),"")</f>
        <v>7474.666666666667</v>
      </c>
      <c r="P135" s="880">
        <f>(L135/O135)</f>
        <v>5.1226364609347126</v>
      </c>
      <c r="Q135" s="795" t="s">
        <v>818</v>
      </c>
      <c r="R135" s="785" t="str">
        <f>IFERROR(VLOOKUP($Q135,'391'!$P:$W,8,0),"0")</f>
        <v>0</v>
      </c>
      <c r="S135" s="796">
        <f>+R134+R135</f>
        <v>26883</v>
      </c>
      <c r="T135" s="797"/>
      <c r="U135" s="797"/>
      <c r="V135" s="797"/>
      <c r="W135" s="802">
        <f>IFERROR(VLOOKUP($Q135,'391'!$P:$AG,15,0),0)</f>
        <v>0</v>
      </c>
      <c r="X135" s="799">
        <f>G135-W135-W134</f>
        <v>0</v>
      </c>
      <c r="Y135" s="797"/>
      <c r="Z135" s="785"/>
      <c r="AA135" s="797"/>
      <c r="AB135" s="797"/>
      <c r="AC135" s="681"/>
      <c r="AD135" s="681"/>
      <c r="AE135" s="681"/>
      <c r="AF135" s="681"/>
      <c r="AG135" s="681"/>
      <c r="AH135" s="681"/>
      <c r="AI135" s="703"/>
      <c r="AJ135" s="703"/>
      <c r="AK135" s="703"/>
      <c r="AL135" s="703"/>
      <c r="AM135" s="703"/>
      <c r="AN135" s="703"/>
      <c r="AO135" s="703"/>
      <c r="AP135" s="703"/>
      <c r="AQ135" s="703"/>
      <c r="AR135" s="703"/>
      <c r="AS135" s="703"/>
    </row>
    <row r="136" spans="1:45" s="406" customFormat="1" ht="30" hidden="1" customHeight="1" x14ac:dyDescent="0.25">
      <c r="A136" s="2073" t="str">
        <f>IF(L139=0,"",MAX($A$12:A135)+1)</f>
        <v/>
      </c>
      <c r="B136" s="2043" t="s">
        <v>480</v>
      </c>
      <c r="C136" s="106"/>
      <c r="D136" s="852" t="s">
        <v>10</v>
      </c>
      <c r="E136" s="853">
        <v>44670</v>
      </c>
      <c r="F136" s="877">
        <f>$L$7-E136</f>
        <v>1616</v>
      </c>
      <c r="G136" s="302">
        <v>0</v>
      </c>
      <c r="H136" s="36"/>
      <c r="I136" s="306"/>
      <c r="J136" s="1305"/>
      <c r="K136" s="306"/>
      <c r="L136" s="531">
        <f t="shared" ref="L136:L159" si="53">+G136+H136+I136-J136-K136</f>
        <v>0</v>
      </c>
      <c r="M136" s="172"/>
      <c r="N136" s="848"/>
      <c r="O136" s="172"/>
      <c r="P136" s="738"/>
      <c r="Q136" s="795"/>
      <c r="R136" s="785">
        <f>IFERROR(VLOOKUP($Q136,'391'!$P:$W,8,0),"")</f>
        <v>0</v>
      </c>
      <c r="S136" s="786"/>
      <c r="T136" s="787"/>
      <c r="U136" s="787"/>
      <c r="V136" s="787"/>
      <c r="W136" s="802">
        <f>IFERROR(VLOOKUP($Q136,'391'!$P:$AG,15,0),0)</f>
        <v>0</v>
      </c>
      <c r="X136" s="799">
        <f t="shared" ref="X136:X165" si="54">G136-W136</f>
        <v>0</v>
      </c>
      <c r="Y136" s="787"/>
      <c r="Z136" s="791"/>
      <c r="AA136" s="787"/>
      <c r="AB136" s="787"/>
      <c r="AC136" s="679"/>
      <c r="AD136" s="679"/>
      <c r="AE136" s="679"/>
      <c r="AF136" s="679"/>
      <c r="AG136" s="679"/>
      <c r="AH136" s="679"/>
      <c r="AI136" s="682"/>
      <c r="AJ136" s="682"/>
      <c r="AK136" s="682"/>
      <c r="AL136" s="682"/>
      <c r="AM136" s="682"/>
      <c r="AN136" s="682"/>
      <c r="AO136" s="682"/>
      <c r="AP136" s="682"/>
      <c r="AQ136" s="682"/>
      <c r="AR136" s="682"/>
      <c r="AS136" s="682"/>
    </row>
    <row r="137" spans="1:45" s="406" customFormat="1" ht="30" hidden="1" customHeight="1" x14ac:dyDescent="0.25">
      <c r="A137" s="2070"/>
      <c r="B137" s="2065"/>
      <c r="C137" s="106"/>
      <c r="D137" s="852" t="s">
        <v>10</v>
      </c>
      <c r="E137" s="853">
        <v>44684</v>
      </c>
      <c r="F137" s="72"/>
      <c r="G137" s="306">
        <v>0</v>
      </c>
      <c r="H137" s="36"/>
      <c r="I137" s="306"/>
      <c r="J137" s="1305"/>
      <c r="K137" s="306"/>
      <c r="L137" s="531">
        <f t="shared" si="53"/>
        <v>0</v>
      </c>
      <c r="M137" s="53"/>
      <c r="N137" s="920"/>
      <c r="O137" s="53"/>
      <c r="P137" s="735"/>
      <c r="Q137" s="795"/>
      <c r="R137" s="785">
        <f>IFERROR(VLOOKUP($Q137,'391'!$P:$W,8,0),"")</f>
        <v>0</v>
      </c>
      <c r="S137" s="786"/>
      <c r="T137" s="787"/>
      <c r="U137" s="787"/>
      <c r="V137" s="787"/>
      <c r="W137" s="802">
        <f>IFERROR(VLOOKUP($Q137,'391'!$P:$AG,15,0),0)</f>
        <v>0</v>
      </c>
      <c r="X137" s="799">
        <f t="shared" si="54"/>
        <v>0</v>
      </c>
      <c r="Y137" s="787"/>
      <c r="Z137" s="791"/>
      <c r="AA137" s="787"/>
      <c r="AB137" s="787"/>
      <c r="AC137" s="679"/>
      <c r="AD137" s="679"/>
      <c r="AE137" s="679"/>
      <c r="AF137" s="679"/>
      <c r="AG137" s="679"/>
      <c r="AH137" s="679"/>
      <c r="AI137" s="682"/>
      <c r="AJ137" s="682"/>
      <c r="AK137" s="682"/>
      <c r="AL137" s="682"/>
      <c r="AM137" s="682"/>
      <c r="AN137" s="682"/>
      <c r="AO137" s="682"/>
      <c r="AP137" s="682"/>
      <c r="AQ137" s="682"/>
      <c r="AR137" s="682"/>
      <c r="AS137" s="682"/>
    </row>
    <row r="138" spans="1:45" ht="30" hidden="1" customHeight="1" x14ac:dyDescent="0.25">
      <c r="A138" s="2074"/>
      <c r="B138" s="2065"/>
      <c r="C138" s="106" t="s">
        <v>924</v>
      </c>
      <c r="D138" s="852" t="s">
        <v>10</v>
      </c>
      <c r="E138" s="853">
        <v>44670</v>
      </c>
      <c r="F138" s="856">
        <f>$L$7-E138</f>
        <v>1616</v>
      </c>
      <c r="G138" s="296">
        <v>0</v>
      </c>
      <c r="H138" s="296"/>
      <c r="I138" s="296">
        <f>+SUM(K136:K138)</f>
        <v>0</v>
      </c>
      <c r="J138" s="1298">
        <f>+usage!I13</f>
        <v>0</v>
      </c>
      <c r="K138" s="36"/>
      <c r="L138" s="531">
        <f t="shared" si="53"/>
        <v>0</v>
      </c>
      <c r="M138" s="145"/>
      <c r="N138" s="364"/>
      <c r="O138" s="145"/>
      <c r="P138" s="742"/>
      <c r="Q138" s="795"/>
      <c r="R138" s="785">
        <f>IFERROR(VLOOKUP($Q138,'391'!$P:$W,8,0),"")</f>
        <v>0</v>
      </c>
      <c r="U138" s="787"/>
      <c r="V138" s="787"/>
      <c r="W138" s="802">
        <f>IFERROR(VLOOKUP($Q138,'391'!$P:$AG,15,0),0)</f>
        <v>0</v>
      </c>
      <c r="X138" s="799">
        <f t="shared" si="54"/>
        <v>0</v>
      </c>
      <c r="Y138" s="787"/>
      <c r="Z138" s="791"/>
      <c r="AA138" s="787"/>
      <c r="AB138" s="787"/>
      <c r="AC138" s="679"/>
    </row>
    <row r="139" spans="1:45" s="402" customFormat="1" ht="30" hidden="1" customHeight="1" x14ac:dyDescent="0.25">
      <c r="A139" s="2019" t="s">
        <v>482</v>
      </c>
      <c r="B139" s="2020"/>
      <c r="C139" s="88"/>
      <c r="D139" s="864"/>
      <c r="E139" s="864"/>
      <c r="F139" s="865"/>
      <c r="G139" s="1296">
        <v>0</v>
      </c>
      <c r="H139" s="1296">
        <f>+SUM(H136:H138)</f>
        <v>0</v>
      </c>
      <c r="I139" s="1296">
        <f t="shared" ref="I139:K139" si="55">+SUM(I136:I138)</f>
        <v>0</v>
      </c>
      <c r="J139" s="1296">
        <f t="shared" si="55"/>
        <v>0</v>
      </c>
      <c r="K139" s="1296">
        <f t="shared" si="55"/>
        <v>0</v>
      </c>
      <c r="L139" s="531">
        <f t="shared" si="53"/>
        <v>0</v>
      </c>
      <c r="M139" s="59" t="str">
        <f>IFERROR((R139/$S$2),"")</f>
        <v/>
      </c>
      <c r="N139" s="854">
        <f>IFERROR(L139/M139,0)</f>
        <v>0</v>
      </c>
      <c r="O139" s="59">
        <f>IFERROR(SUMIF(ETM!$A:$A,$Q139,ETM!$E:$E),"")</f>
        <v>0</v>
      </c>
      <c r="P139" s="880">
        <f>IFERROR(L139/O139,0)</f>
        <v>0</v>
      </c>
      <c r="Q139" s="795" t="s">
        <v>483</v>
      </c>
      <c r="R139" s="785" t="str">
        <f>IFERROR(VLOOKUP($Q139,'391'!$P:$W,8,0),"")</f>
        <v/>
      </c>
      <c r="S139" s="796"/>
      <c r="T139" s="797"/>
      <c r="U139" s="797"/>
      <c r="V139" s="797"/>
      <c r="W139" s="802">
        <f>IFERROR(VLOOKUP($Q139,'391'!$P:$AG,15,0),0)</f>
        <v>0</v>
      </c>
      <c r="X139" s="799">
        <f t="shared" si="54"/>
        <v>0</v>
      </c>
      <c r="Y139" s="797"/>
      <c r="Z139" s="785"/>
      <c r="AA139" s="797"/>
      <c r="AB139" s="797"/>
      <c r="AC139" s="551"/>
      <c r="AD139" s="551"/>
      <c r="AE139" s="551"/>
      <c r="AF139" s="551"/>
      <c r="AG139" s="551"/>
      <c r="AH139" s="551"/>
      <c r="AI139" s="704"/>
      <c r="AJ139" s="704"/>
      <c r="AK139" s="704"/>
      <c r="AL139" s="704"/>
      <c r="AM139" s="704"/>
      <c r="AN139" s="704"/>
      <c r="AO139" s="704"/>
      <c r="AP139" s="704"/>
      <c r="AQ139" s="704"/>
      <c r="AR139" s="704"/>
      <c r="AS139" s="704"/>
    </row>
    <row r="140" spans="1:45" s="13" customFormat="1" ht="30" hidden="1" customHeight="1" x14ac:dyDescent="0.25">
      <c r="A140" s="2078">
        <f>IF(L161=0,"", MAX($A$12:A139)+1)</f>
        <v>6</v>
      </c>
      <c r="B140" s="2091" t="s">
        <v>1678</v>
      </c>
      <c r="C140" s="106" t="s">
        <v>469</v>
      </c>
      <c r="D140" s="852" t="s">
        <v>10</v>
      </c>
      <c r="E140" s="853">
        <v>46089</v>
      </c>
      <c r="F140" s="292">
        <f t="shared" ref="F140:F153" si="56">$L$7-E140</f>
        <v>197</v>
      </c>
      <c r="G140" s="315">
        <v>0</v>
      </c>
      <c r="H140" s="296"/>
      <c r="I140" s="345"/>
      <c r="J140" s="1309"/>
      <c r="K140" s="345"/>
      <c r="L140" s="531">
        <f t="shared" si="53"/>
        <v>0</v>
      </c>
      <c r="M140" s="50"/>
      <c r="N140" s="167"/>
      <c r="O140" s="50"/>
      <c r="P140" s="857"/>
      <c r="Q140" s="795"/>
      <c r="R140" s="785">
        <f>IFERROR(VLOOKUP($Q140,'391'!$P:$W,8,0),"")</f>
        <v>0</v>
      </c>
      <c r="S140" s="796"/>
      <c r="T140" s="797"/>
      <c r="U140" s="797"/>
      <c r="V140" s="797"/>
      <c r="W140" s="802">
        <f>IFERROR(VLOOKUP($Q140,'391'!$P:$AG,15,0),0)</f>
        <v>0</v>
      </c>
      <c r="X140" s="799">
        <f t="shared" si="54"/>
        <v>0</v>
      </c>
      <c r="Y140" s="797"/>
      <c r="Z140" s="785"/>
      <c r="AA140" s="797"/>
      <c r="AB140" s="797"/>
      <c r="AC140" s="683"/>
      <c r="AD140" s="683"/>
      <c r="AE140" s="683"/>
      <c r="AF140" s="683"/>
      <c r="AG140" s="683"/>
      <c r="AH140" s="683"/>
      <c r="AI140" s="705"/>
      <c r="AJ140" s="705"/>
      <c r="AK140" s="705"/>
      <c r="AL140" s="705"/>
      <c r="AM140" s="705"/>
      <c r="AN140" s="705"/>
      <c r="AO140" s="705"/>
      <c r="AP140" s="705"/>
      <c r="AQ140" s="705"/>
      <c r="AR140" s="705"/>
      <c r="AS140" s="705"/>
    </row>
    <row r="141" spans="1:45" s="13" customFormat="1" ht="30" hidden="1" customHeight="1" x14ac:dyDescent="0.25">
      <c r="A141" s="2078"/>
      <c r="B141" s="2091"/>
      <c r="C141" s="106" t="s">
        <v>444</v>
      </c>
      <c r="D141" s="852" t="s">
        <v>10</v>
      </c>
      <c r="E141" s="853">
        <v>45705</v>
      </c>
      <c r="F141" s="292">
        <f t="shared" si="56"/>
        <v>581</v>
      </c>
      <c r="G141" s="315">
        <v>0</v>
      </c>
      <c r="H141" s="296"/>
      <c r="I141" s="296"/>
      <c r="J141" s="1310"/>
      <c r="K141" s="315"/>
      <c r="L141" s="531">
        <f t="shared" si="53"/>
        <v>0</v>
      </c>
      <c r="M141" s="46"/>
      <c r="N141" s="176"/>
      <c r="O141" s="46"/>
      <c r="P141" s="883"/>
      <c r="Q141" s="795"/>
      <c r="R141" s="785">
        <f>IFERROR(VLOOKUP($Q141,'391'!$P:$W,8,0),"")</f>
        <v>0</v>
      </c>
      <c r="S141" s="796"/>
      <c r="T141" s="797"/>
      <c r="U141" s="797"/>
      <c r="V141" s="797"/>
      <c r="W141" s="802">
        <f>IFERROR(VLOOKUP($Q141,'391'!$P:$AG,15,0),0)</f>
        <v>0</v>
      </c>
      <c r="X141" s="799">
        <f t="shared" si="54"/>
        <v>0</v>
      </c>
      <c r="Y141" s="797"/>
      <c r="Z141" s="785"/>
      <c r="AA141" s="797"/>
      <c r="AB141" s="797"/>
      <c r="AC141" s="683"/>
      <c r="AD141" s="683"/>
      <c r="AE141" s="683"/>
      <c r="AF141" s="683"/>
      <c r="AG141" s="683"/>
      <c r="AH141" s="683"/>
      <c r="AI141" s="705"/>
      <c r="AJ141" s="705"/>
      <c r="AK141" s="705"/>
      <c r="AL141" s="705"/>
      <c r="AM141" s="705"/>
      <c r="AN141" s="705"/>
      <c r="AO141" s="705"/>
      <c r="AP141" s="705"/>
      <c r="AQ141" s="705"/>
      <c r="AR141" s="705"/>
      <c r="AS141" s="705"/>
    </row>
    <row r="142" spans="1:45" s="13" customFormat="1" ht="30" hidden="1" customHeight="1" x14ac:dyDescent="0.25">
      <c r="A142" s="2078"/>
      <c r="B142" s="2091"/>
      <c r="C142" s="106" t="s">
        <v>479</v>
      </c>
      <c r="D142" s="852" t="s">
        <v>10</v>
      </c>
      <c r="E142" s="853">
        <v>46255</v>
      </c>
      <c r="F142" s="292">
        <f t="shared" si="56"/>
        <v>31</v>
      </c>
      <c r="G142" s="315">
        <v>0</v>
      </c>
      <c r="H142" s="315"/>
      <c r="I142" s="315"/>
      <c r="J142" s="1298"/>
      <c r="K142" s="296"/>
      <c r="L142" s="531">
        <f t="shared" si="53"/>
        <v>0</v>
      </c>
      <c r="M142" s="46"/>
      <c r="N142" s="176"/>
      <c r="O142" s="46"/>
      <c r="P142" s="883"/>
      <c r="Q142" s="795"/>
      <c r="R142" s="785">
        <f>IFERROR(VLOOKUP($Q142,'391'!$P:$W,8,0),"")</f>
        <v>0</v>
      </c>
      <c r="S142" s="796"/>
      <c r="T142" s="797"/>
      <c r="U142" s="797"/>
      <c r="V142" s="797"/>
      <c r="W142" s="802">
        <f>IFERROR(VLOOKUP($Q142,'391'!$P:$AG,15,0),0)</f>
        <v>0</v>
      </c>
      <c r="X142" s="799">
        <f t="shared" si="54"/>
        <v>0</v>
      </c>
      <c r="Y142" s="797"/>
      <c r="Z142" s="785"/>
      <c r="AA142" s="797"/>
      <c r="AB142" s="797"/>
      <c r="AC142" s="683"/>
      <c r="AD142" s="683"/>
      <c r="AE142" s="683"/>
      <c r="AF142" s="683"/>
      <c r="AG142" s="683"/>
      <c r="AH142" s="683"/>
      <c r="AI142" s="705"/>
      <c r="AJ142" s="705"/>
      <c r="AK142" s="705"/>
      <c r="AL142" s="705"/>
      <c r="AM142" s="705"/>
      <c r="AN142" s="705"/>
      <c r="AO142" s="705"/>
      <c r="AP142" s="705"/>
      <c r="AQ142" s="705"/>
      <c r="AR142" s="705"/>
      <c r="AS142" s="705"/>
    </row>
    <row r="143" spans="1:45" s="13" customFormat="1" ht="30" hidden="1" customHeight="1" x14ac:dyDescent="0.25">
      <c r="A143" s="2078"/>
      <c r="B143" s="2129"/>
      <c r="C143" s="106" t="s">
        <v>478</v>
      </c>
      <c r="D143" s="852" t="s">
        <v>10</v>
      </c>
      <c r="E143" s="853">
        <v>46256</v>
      </c>
      <c r="F143" s="292">
        <f t="shared" si="56"/>
        <v>30</v>
      </c>
      <c r="G143" s="315">
        <v>0</v>
      </c>
      <c r="H143" s="315"/>
      <c r="I143" s="315"/>
      <c r="J143" s="1310"/>
      <c r="K143" s="315"/>
      <c r="L143" s="531">
        <f t="shared" si="53"/>
        <v>0</v>
      </c>
      <c r="M143" s="46"/>
      <c r="N143" s="176"/>
      <c r="O143" s="46"/>
      <c r="P143" s="883"/>
      <c r="Q143" s="795"/>
      <c r="R143" s="785">
        <f>IFERROR(VLOOKUP($Q143,'391'!$P:$W,8,0),"")</f>
        <v>0</v>
      </c>
      <c r="S143" s="796"/>
      <c r="T143" s="797"/>
      <c r="U143" s="797"/>
      <c r="V143" s="797"/>
      <c r="W143" s="802">
        <f>IFERROR(VLOOKUP($Q143,'391'!$P:$AG,15,0),0)</f>
        <v>0</v>
      </c>
      <c r="X143" s="799">
        <f t="shared" si="54"/>
        <v>0</v>
      </c>
      <c r="Y143" s="797"/>
      <c r="Z143" s="785"/>
      <c r="AA143" s="797"/>
      <c r="AB143" s="797"/>
      <c r="AC143" s="683"/>
      <c r="AD143" s="683"/>
      <c r="AE143" s="683"/>
      <c r="AF143" s="683"/>
      <c r="AG143" s="683"/>
      <c r="AH143" s="683"/>
      <c r="AI143" s="705"/>
      <c r="AJ143" s="705"/>
      <c r="AK143" s="705"/>
      <c r="AL143" s="705"/>
      <c r="AM143" s="705"/>
      <c r="AN143" s="705"/>
      <c r="AO143" s="705"/>
      <c r="AP143" s="705"/>
      <c r="AQ143" s="705"/>
      <c r="AR143" s="705"/>
      <c r="AS143" s="705"/>
    </row>
    <row r="144" spans="1:45" s="13" customFormat="1" ht="30" hidden="1" customHeight="1" x14ac:dyDescent="0.25">
      <c r="A144" s="2078"/>
      <c r="B144" s="2129"/>
      <c r="C144" s="106" t="s">
        <v>477</v>
      </c>
      <c r="D144" s="852" t="s">
        <v>10</v>
      </c>
      <c r="E144" s="853">
        <v>46255</v>
      </c>
      <c r="F144" s="292">
        <f t="shared" ref="F144:F145" si="57">$L$7-E144</f>
        <v>31</v>
      </c>
      <c r="G144" s="315">
        <v>0</v>
      </c>
      <c r="H144" s="296"/>
      <c r="I144" s="296"/>
      <c r="J144" s="1310"/>
      <c r="K144" s="315"/>
      <c r="L144" s="531">
        <f t="shared" si="53"/>
        <v>0</v>
      </c>
      <c r="M144" s="46"/>
      <c r="N144" s="176"/>
      <c r="O144" s="46"/>
      <c r="P144" s="883"/>
      <c r="Q144" s="795"/>
      <c r="R144" s="785">
        <f>IFERROR(VLOOKUP($Q144,'391'!$P:$W,8,0),"")</f>
        <v>0</v>
      </c>
      <c r="S144" s="796"/>
      <c r="T144" s="797"/>
      <c r="U144" s="797"/>
      <c r="V144" s="797"/>
      <c r="W144" s="802">
        <f>IFERROR(VLOOKUP($Q144,'391'!$P:$AG,15,0),0)</f>
        <v>0</v>
      </c>
      <c r="X144" s="799">
        <f t="shared" si="54"/>
        <v>0</v>
      </c>
      <c r="Y144" s="797"/>
      <c r="Z144" s="785"/>
      <c r="AA144" s="797"/>
      <c r="AB144" s="797"/>
      <c r="AC144" s="683"/>
      <c r="AD144" s="683"/>
      <c r="AE144" s="683"/>
      <c r="AF144" s="683"/>
      <c r="AG144" s="683"/>
      <c r="AH144" s="683"/>
      <c r="AI144" s="705"/>
      <c r="AJ144" s="705"/>
      <c r="AK144" s="705"/>
      <c r="AL144" s="705"/>
      <c r="AM144" s="705"/>
      <c r="AN144" s="705"/>
      <c r="AO144" s="705"/>
      <c r="AP144" s="705"/>
      <c r="AQ144" s="705"/>
      <c r="AR144" s="705"/>
      <c r="AS144" s="705"/>
    </row>
    <row r="145" spans="1:45" s="13" customFormat="1" ht="30" hidden="1" customHeight="1" x14ac:dyDescent="0.25">
      <c r="A145" s="2078"/>
      <c r="B145" s="2129"/>
      <c r="C145" s="106" t="s">
        <v>476</v>
      </c>
      <c r="D145" s="852" t="s">
        <v>10</v>
      </c>
      <c r="E145" s="853">
        <v>46256</v>
      </c>
      <c r="F145" s="292">
        <f t="shared" si="57"/>
        <v>30</v>
      </c>
      <c r="G145" s="315">
        <v>0</v>
      </c>
      <c r="H145" s="296"/>
      <c r="I145" s="296"/>
      <c r="J145" s="1310"/>
      <c r="K145" s="315"/>
      <c r="L145" s="531">
        <f t="shared" si="53"/>
        <v>0</v>
      </c>
      <c r="M145" s="46"/>
      <c r="N145" s="176"/>
      <c r="O145" s="46"/>
      <c r="P145" s="883"/>
      <c r="Q145" s="795"/>
      <c r="R145" s="785">
        <f>IFERROR(VLOOKUP($Q145,'391'!$P:$W,8,0),"")</f>
        <v>0</v>
      </c>
      <c r="S145" s="796"/>
      <c r="T145" s="797"/>
      <c r="U145" s="797"/>
      <c r="V145" s="797"/>
      <c r="W145" s="802">
        <f>IFERROR(VLOOKUP($Q145,'391'!$P:$AG,15,0),0)</f>
        <v>0</v>
      </c>
      <c r="X145" s="799">
        <f t="shared" si="54"/>
        <v>0</v>
      </c>
      <c r="Y145" s="797"/>
      <c r="Z145" s="785"/>
      <c r="AA145" s="797"/>
      <c r="AB145" s="797"/>
      <c r="AC145" s="683"/>
      <c r="AD145" s="683"/>
      <c r="AE145" s="683"/>
      <c r="AF145" s="683"/>
      <c r="AG145" s="683"/>
      <c r="AH145" s="683"/>
      <c r="AI145" s="705"/>
      <c r="AJ145" s="705"/>
      <c r="AK145" s="705"/>
      <c r="AL145" s="705"/>
      <c r="AM145" s="705"/>
      <c r="AN145" s="705"/>
      <c r="AO145" s="705"/>
      <c r="AP145" s="705"/>
      <c r="AQ145" s="705"/>
      <c r="AR145" s="705"/>
      <c r="AS145" s="705"/>
    </row>
    <row r="146" spans="1:45" s="13" customFormat="1" ht="30" customHeight="1" x14ac:dyDescent="0.25">
      <c r="A146" s="2078"/>
      <c r="B146" s="2129"/>
      <c r="C146" s="106" t="s">
        <v>959</v>
      </c>
      <c r="D146" s="852" t="s">
        <v>10</v>
      </c>
      <c r="E146" s="853">
        <v>46228</v>
      </c>
      <c r="F146" s="292">
        <f t="shared" si="56"/>
        <v>58</v>
      </c>
      <c r="G146" s="315">
        <v>1880250</v>
      </c>
      <c r="H146" s="315"/>
      <c r="I146" s="315"/>
      <c r="J146" s="1310"/>
      <c r="K146" s="315">
        <v>37000</v>
      </c>
      <c r="L146" s="531">
        <f t="shared" si="53"/>
        <v>1843250</v>
      </c>
      <c r="M146" s="46"/>
      <c r="N146" s="176"/>
      <c r="O146" s="46"/>
      <c r="P146" s="883"/>
      <c r="Q146" s="795"/>
      <c r="R146" s="785">
        <f>IFERROR(VLOOKUP($Q146,'391'!$P:$W,8,0),"")</f>
        <v>0</v>
      </c>
      <c r="S146" s="796"/>
      <c r="T146" s="797"/>
      <c r="U146" s="797"/>
      <c r="V146" s="797"/>
      <c r="W146" s="802">
        <f>IFERROR(VLOOKUP($Q146,'391'!$P:$AG,15,0),0)</f>
        <v>0</v>
      </c>
      <c r="X146" s="799">
        <f t="shared" si="54"/>
        <v>1880250</v>
      </c>
      <c r="Y146" s="797"/>
      <c r="Z146" s="785"/>
      <c r="AA146" s="797"/>
      <c r="AB146" s="797"/>
      <c r="AC146" s="683"/>
      <c r="AD146" s="683"/>
      <c r="AE146" s="683"/>
      <c r="AF146" s="683"/>
      <c r="AG146" s="683"/>
      <c r="AH146" s="683"/>
      <c r="AI146" s="705"/>
      <c r="AJ146" s="705"/>
      <c r="AK146" s="705"/>
      <c r="AL146" s="705"/>
      <c r="AM146" s="705"/>
      <c r="AN146" s="705"/>
      <c r="AO146" s="705"/>
      <c r="AP146" s="705"/>
      <c r="AQ146" s="705"/>
      <c r="AR146" s="705"/>
      <c r="AS146" s="705"/>
    </row>
    <row r="147" spans="1:45" s="13" customFormat="1" ht="30" hidden="1" customHeight="1" x14ac:dyDescent="0.25">
      <c r="A147" s="2078"/>
      <c r="B147" s="2129"/>
      <c r="C147" s="106" t="s">
        <v>489</v>
      </c>
      <c r="D147" s="852" t="s">
        <v>10</v>
      </c>
      <c r="E147" s="853">
        <v>46253</v>
      </c>
      <c r="F147" s="292">
        <f t="shared" si="56"/>
        <v>33</v>
      </c>
      <c r="G147" s="315">
        <v>0</v>
      </c>
      <c r="H147" s="296"/>
      <c r="I147" s="296"/>
      <c r="J147" s="1310"/>
      <c r="K147" s="315"/>
      <c r="L147" s="531">
        <f t="shared" si="53"/>
        <v>0</v>
      </c>
      <c r="M147" s="373"/>
      <c r="N147" s="163"/>
      <c r="O147" s="48"/>
      <c r="P147" s="1196"/>
      <c r="Q147" s="784"/>
      <c r="R147" s="785">
        <f>IFERROR(VLOOKUP($Q147,'391'!$P:$W,8,0),"")</f>
        <v>0</v>
      </c>
      <c r="S147" s="796"/>
      <c r="T147" s="797"/>
      <c r="U147" s="797"/>
      <c r="V147" s="797"/>
      <c r="W147" s="802">
        <f>IFERROR(VLOOKUP($Q147,'391'!$P:$AG,15,0),0)</f>
        <v>0</v>
      </c>
      <c r="X147" s="799">
        <f t="shared" si="54"/>
        <v>0</v>
      </c>
      <c r="Y147" s="797"/>
      <c r="Z147" s="785"/>
      <c r="AA147" s="797"/>
      <c r="AB147" s="797"/>
      <c r="AC147" s="683"/>
      <c r="AD147" s="683"/>
      <c r="AE147" s="683"/>
      <c r="AF147" s="683"/>
      <c r="AG147" s="683"/>
      <c r="AH147" s="683"/>
      <c r="AI147" s="705"/>
      <c r="AJ147" s="705"/>
      <c r="AK147" s="705"/>
      <c r="AL147" s="705"/>
      <c r="AM147" s="705"/>
      <c r="AN147" s="705"/>
      <c r="AO147" s="705"/>
      <c r="AP147" s="705"/>
      <c r="AQ147" s="705"/>
      <c r="AR147" s="705"/>
      <c r="AS147" s="705"/>
    </row>
    <row r="148" spans="1:45" s="13" customFormat="1" ht="30" hidden="1" customHeight="1" x14ac:dyDescent="0.25">
      <c r="A148" s="2078"/>
      <c r="B148" s="2091"/>
      <c r="C148" s="106" t="s">
        <v>479</v>
      </c>
      <c r="D148" s="852" t="s">
        <v>10</v>
      </c>
      <c r="E148" s="853">
        <v>46094</v>
      </c>
      <c r="F148" s="292">
        <f t="shared" ref="F148:F150" si="58">$L$7-E148</f>
        <v>192</v>
      </c>
      <c r="G148" s="315">
        <v>0</v>
      </c>
      <c r="H148" s="296"/>
      <c r="I148" s="296"/>
      <c r="J148" s="1310"/>
      <c r="K148" s="315"/>
      <c r="L148" s="531">
        <f t="shared" si="53"/>
        <v>0</v>
      </c>
      <c r="M148" s="373"/>
      <c r="N148" s="1060"/>
      <c r="O148" s="1059"/>
      <c r="P148" s="1196"/>
      <c r="Q148" s="784"/>
      <c r="R148" s="785">
        <f>IFERROR(VLOOKUP($Q148,'391'!$P:$W,8,0),"")</f>
        <v>0</v>
      </c>
      <c r="S148" s="796"/>
      <c r="T148" s="797"/>
      <c r="U148" s="797"/>
      <c r="V148" s="797"/>
      <c r="W148" s="802">
        <f>IFERROR(VLOOKUP($Q148,'391'!$P:$AG,15,0),0)</f>
        <v>0</v>
      </c>
      <c r="X148" s="799">
        <f t="shared" si="54"/>
        <v>0</v>
      </c>
      <c r="Y148" s="797"/>
      <c r="Z148" s="785"/>
      <c r="AA148" s="797"/>
      <c r="AB148" s="797"/>
      <c r="AC148" s="683"/>
      <c r="AD148" s="683"/>
      <c r="AE148" s="683"/>
      <c r="AF148" s="683"/>
      <c r="AG148" s="683"/>
      <c r="AH148" s="683"/>
      <c r="AI148" s="705"/>
      <c r="AJ148" s="705"/>
      <c r="AK148" s="705"/>
      <c r="AL148" s="705"/>
      <c r="AM148" s="705"/>
      <c r="AN148" s="705"/>
      <c r="AO148" s="705"/>
      <c r="AP148" s="705"/>
      <c r="AQ148" s="705"/>
      <c r="AR148" s="705"/>
      <c r="AS148" s="705"/>
    </row>
    <row r="149" spans="1:45" s="13" customFormat="1" ht="30" hidden="1" customHeight="1" x14ac:dyDescent="0.25">
      <c r="A149" s="2078"/>
      <c r="B149" s="2092"/>
      <c r="C149" s="106" t="s">
        <v>478</v>
      </c>
      <c r="D149" s="852" t="s">
        <v>10</v>
      </c>
      <c r="E149" s="853">
        <v>46147</v>
      </c>
      <c r="F149" s="292">
        <f t="shared" si="58"/>
        <v>139</v>
      </c>
      <c r="G149" s="315">
        <v>0</v>
      </c>
      <c r="H149" s="296"/>
      <c r="I149" s="296"/>
      <c r="J149" s="1310"/>
      <c r="K149" s="315"/>
      <c r="L149" s="531">
        <f t="shared" si="53"/>
        <v>0</v>
      </c>
      <c r="M149" s="1059"/>
      <c r="N149" s="1060"/>
      <c r="O149" s="1059"/>
      <c r="P149" s="1061"/>
      <c r="Q149" s="784"/>
      <c r="R149" s="785"/>
      <c r="S149" s="796"/>
      <c r="T149" s="797"/>
      <c r="U149" s="797"/>
      <c r="V149" s="797"/>
      <c r="W149" s="802"/>
      <c r="X149" s="799">
        <f t="shared" si="54"/>
        <v>0</v>
      </c>
      <c r="Y149" s="797"/>
      <c r="Z149" s="785"/>
      <c r="AA149" s="797"/>
      <c r="AB149" s="797"/>
      <c r="AC149" s="683"/>
      <c r="AD149" s="683"/>
      <c r="AE149" s="683"/>
      <c r="AF149" s="683"/>
      <c r="AG149" s="683"/>
      <c r="AH149" s="683"/>
      <c r="AI149" s="705"/>
      <c r="AJ149" s="705"/>
      <c r="AK149" s="705"/>
      <c r="AL149" s="705"/>
      <c r="AM149" s="705"/>
      <c r="AN149" s="705"/>
      <c r="AO149" s="705"/>
      <c r="AP149" s="705"/>
      <c r="AQ149" s="705"/>
      <c r="AR149" s="705"/>
      <c r="AS149" s="705"/>
    </row>
    <row r="150" spans="1:45" s="13" customFormat="1" ht="30" hidden="1" customHeight="1" x14ac:dyDescent="0.25">
      <c r="A150" s="2078"/>
      <c r="B150" s="2092"/>
      <c r="C150" s="106" t="s">
        <v>466</v>
      </c>
      <c r="D150" s="852" t="s">
        <v>10</v>
      </c>
      <c r="E150" s="853">
        <v>46147</v>
      </c>
      <c r="F150" s="292">
        <f t="shared" si="58"/>
        <v>139</v>
      </c>
      <c r="G150" s="315">
        <v>0</v>
      </c>
      <c r="H150" s="296"/>
      <c r="I150" s="296"/>
      <c r="J150" s="1310"/>
      <c r="K150" s="315"/>
      <c r="L150" s="531">
        <f t="shared" si="53"/>
        <v>0</v>
      </c>
      <c r="M150" s="1059"/>
      <c r="N150" s="1060"/>
      <c r="O150" s="1059"/>
      <c r="P150" s="1061"/>
      <c r="Q150" s="784"/>
      <c r="R150" s="785"/>
      <c r="S150" s="796"/>
      <c r="T150" s="797"/>
      <c r="U150" s="797"/>
      <c r="V150" s="797"/>
      <c r="W150" s="802">
        <f>IFERROR(VLOOKUP($Q150,'391'!$P:$AG,15,0),0)</f>
        <v>0</v>
      </c>
      <c r="X150" s="799">
        <f t="shared" si="54"/>
        <v>0</v>
      </c>
      <c r="Y150" s="797"/>
      <c r="Z150" s="785"/>
      <c r="AA150" s="797"/>
      <c r="AB150" s="797"/>
      <c r="AC150" s="683"/>
      <c r="AD150" s="683"/>
      <c r="AE150" s="683"/>
      <c r="AF150" s="683"/>
      <c r="AG150" s="683"/>
      <c r="AH150" s="683"/>
      <c r="AI150" s="705"/>
      <c r="AJ150" s="705"/>
      <c r="AK150" s="705"/>
      <c r="AL150" s="705"/>
      <c r="AM150" s="705"/>
      <c r="AN150" s="705"/>
      <c r="AO150" s="705"/>
      <c r="AP150" s="705"/>
      <c r="AQ150" s="705"/>
      <c r="AR150" s="705"/>
      <c r="AS150" s="705"/>
    </row>
    <row r="151" spans="1:45" s="13" customFormat="1" ht="30" hidden="1" customHeight="1" x14ac:dyDescent="0.25">
      <c r="A151" s="2078"/>
      <c r="B151" s="2129"/>
      <c r="C151" s="106" t="s">
        <v>477</v>
      </c>
      <c r="D151" s="852" t="s">
        <v>10</v>
      </c>
      <c r="E151" s="853">
        <v>46089</v>
      </c>
      <c r="F151" s="292">
        <f t="shared" ref="F151:F152" si="59">$L$7-E151</f>
        <v>197</v>
      </c>
      <c r="G151" s="315">
        <v>0</v>
      </c>
      <c r="H151" s="296"/>
      <c r="I151" s="296"/>
      <c r="J151" s="1310"/>
      <c r="K151" s="315"/>
      <c r="L151" s="531">
        <f t="shared" si="53"/>
        <v>0</v>
      </c>
      <c r="M151" s="1059"/>
      <c r="N151" s="1060"/>
      <c r="O151" s="1059"/>
      <c r="P151" s="1061"/>
      <c r="Q151" s="784"/>
      <c r="R151" s="785"/>
      <c r="S151" s="796"/>
      <c r="T151" s="797"/>
      <c r="U151" s="797"/>
      <c r="V151" s="797"/>
      <c r="W151" s="802">
        <f>IFERROR(VLOOKUP($Q151,'391'!$P:$AG,15,0),0)</f>
        <v>0</v>
      </c>
      <c r="X151" s="799">
        <f t="shared" si="54"/>
        <v>0</v>
      </c>
      <c r="Y151" s="797"/>
      <c r="Z151" s="785"/>
      <c r="AA151" s="797"/>
      <c r="AB151" s="797"/>
      <c r="AC151" s="683"/>
      <c r="AD151" s="683"/>
      <c r="AE151" s="683"/>
      <c r="AF151" s="683"/>
      <c r="AG151" s="683"/>
      <c r="AH151" s="683"/>
      <c r="AI151" s="705"/>
      <c r="AJ151" s="705"/>
      <c r="AK151" s="705"/>
      <c r="AL151" s="705"/>
      <c r="AM151" s="705"/>
      <c r="AN151" s="705"/>
      <c r="AO151" s="705"/>
      <c r="AP151" s="705"/>
      <c r="AQ151" s="705"/>
      <c r="AR151" s="705"/>
      <c r="AS151" s="705"/>
    </row>
    <row r="152" spans="1:45" s="13" customFormat="1" ht="30" hidden="1" customHeight="1" x14ac:dyDescent="0.25">
      <c r="A152" s="2078"/>
      <c r="B152" s="2092"/>
      <c r="C152" s="106" t="s">
        <v>475</v>
      </c>
      <c r="D152" s="852" t="s">
        <v>10</v>
      </c>
      <c r="E152" s="853">
        <v>46155</v>
      </c>
      <c r="F152" s="292">
        <f t="shared" si="59"/>
        <v>131</v>
      </c>
      <c r="G152" s="315">
        <v>0</v>
      </c>
      <c r="H152" s="296"/>
      <c r="I152" s="296"/>
      <c r="J152" s="1310"/>
      <c r="K152" s="315"/>
      <c r="L152" s="531">
        <f t="shared" si="53"/>
        <v>0</v>
      </c>
      <c r="M152" s="1059"/>
      <c r="N152" s="1060"/>
      <c r="O152" s="1059"/>
      <c r="P152" s="1061"/>
      <c r="Q152" s="784"/>
      <c r="R152" s="785"/>
      <c r="S152" s="796"/>
      <c r="T152" s="797"/>
      <c r="U152" s="797"/>
      <c r="V152" s="797"/>
      <c r="W152" s="802">
        <f>IFERROR(VLOOKUP($Q152,'391'!$P:$AG,15,0),0)</f>
        <v>0</v>
      </c>
      <c r="X152" s="799">
        <f t="shared" si="54"/>
        <v>0</v>
      </c>
      <c r="Y152" s="797"/>
      <c r="Z152" s="785"/>
      <c r="AA152" s="797"/>
      <c r="AB152" s="797"/>
      <c r="AC152" s="683"/>
      <c r="AD152" s="683"/>
      <c r="AE152" s="683"/>
      <c r="AF152" s="683"/>
      <c r="AG152" s="683"/>
      <c r="AH152" s="683"/>
      <c r="AI152" s="705"/>
      <c r="AJ152" s="705"/>
      <c r="AK152" s="705"/>
      <c r="AL152" s="705"/>
      <c r="AM152" s="705"/>
      <c r="AN152" s="705"/>
      <c r="AO152" s="705"/>
      <c r="AP152" s="705"/>
      <c r="AQ152" s="705"/>
      <c r="AR152" s="705"/>
      <c r="AS152" s="705"/>
    </row>
    <row r="153" spans="1:45" s="13" customFormat="1" ht="30" customHeight="1" x14ac:dyDescent="0.25">
      <c r="A153" s="2078"/>
      <c r="B153" s="2091"/>
      <c r="C153" s="849" t="s">
        <v>2213</v>
      </c>
      <c r="D153" s="884" t="s">
        <v>10</v>
      </c>
      <c r="E153" s="885">
        <v>46228</v>
      </c>
      <c r="F153" s="292">
        <f t="shared" si="56"/>
        <v>58</v>
      </c>
      <c r="G153" s="313">
        <v>6769</v>
      </c>
      <c r="H153" s="308"/>
      <c r="I153" s="308">
        <f>+K147+K146</f>
        <v>37000</v>
      </c>
      <c r="J153" s="1302">
        <f>usage!I16</f>
        <v>36976</v>
      </c>
      <c r="K153" s="308"/>
      <c r="L153" s="531">
        <f t="shared" si="53"/>
        <v>6793</v>
      </c>
      <c r="M153" s="44"/>
      <c r="N153" s="95"/>
      <c r="O153" s="44"/>
      <c r="P153" s="857"/>
      <c r="Q153" s="795"/>
      <c r="R153" s="785">
        <f>IFERROR(VLOOKUP($Q153,'391'!$P:$W,8,0),"")</f>
        <v>0</v>
      </c>
      <c r="S153" s="796"/>
      <c r="T153" s="797"/>
      <c r="U153" s="797"/>
      <c r="V153" s="797"/>
      <c r="W153" s="802">
        <f>IFERROR(VLOOKUP($Q153,'391'!$P:$AG,15,0),0)</f>
        <v>0</v>
      </c>
      <c r="X153" s="799">
        <f t="shared" si="54"/>
        <v>6769</v>
      </c>
      <c r="Y153" s="797"/>
      <c r="Z153" s="785"/>
      <c r="AA153" s="797"/>
      <c r="AB153" s="797"/>
      <c r="AC153" s="683"/>
      <c r="AD153" s="683"/>
      <c r="AE153" s="683"/>
      <c r="AF153" s="683"/>
      <c r="AG153" s="683"/>
      <c r="AH153" s="683"/>
      <c r="AI153" s="705"/>
      <c r="AJ153" s="705"/>
      <c r="AK153" s="705"/>
      <c r="AL153" s="705"/>
      <c r="AM153" s="705"/>
      <c r="AN153" s="705"/>
      <c r="AO153" s="705"/>
      <c r="AP153" s="705"/>
      <c r="AQ153" s="705"/>
      <c r="AR153" s="705"/>
      <c r="AS153" s="705"/>
    </row>
    <row r="154" spans="1:45" s="13" customFormat="1" ht="30" hidden="1" customHeight="1" x14ac:dyDescent="0.25">
      <c r="A154" s="2078"/>
      <c r="B154" s="2093"/>
      <c r="C154" s="2130" t="s">
        <v>907</v>
      </c>
      <c r="D154" s="2130"/>
      <c r="E154" s="2130"/>
      <c r="F154" s="2130"/>
      <c r="G154" s="1301">
        <v>1887019</v>
      </c>
      <c r="H154" s="1301">
        <f t="shared" ref="H154:L154" si="60">+SUM(H140:H153)</f>
        <v>0</v>
      </c>
      <c r="I154" s="1301">
        <f t="shared" si="60"/>
        <v>37000</v>
      </c>
      <c r="J154" s="1301">
        <f t="shared" si="60"/>
        <v>36976</v>
      </c>
      <c r="K154" s="1301">
        <f t="shared" si="60"/>
        <v>37000</v>
      </c>
      <c r="L154" s="1301">
        <f t="shared" si="60"/>
        <v>1850043</v>
      </c>
      <c r="M154" s="168"/>
      <c r="N154" s="168">
        <f>IFERROR(L154/M154,0)</f>
        <v>0</v>
      </c>
      <c r="O154" s="168"/>
      <c r="P154" s="743">
        <f>IFERROR(L154/O154,0)</f>
        <v>0</v>
      </c>
      <c r="Q154" s="795"/>
      <c r="R154" s="785">
        <f>IFERROR(VLOOKUP($Q154,'391'!$P:$W,8,0),"")</f>
        <v>0</v>
      </c>
      <c r="S154" s="796"/>
      <c r="T154" s="797"/>
      <c r="U154" s="797"/>
      <c r="V154" s="797"/>
      <c r="W154" s="802">
        <f>IFERROR(VLOOKUP($Q154,'391'!$P:$AG,15,0),0)</f>
        <v>0</v>
      </c>
      <c r="X154" s="799">
        <f t="shared" si="54"/>
        <v>1887019</v>
      </c>
      <c r="Y154" s="797"/>
      <c r="Z154" s="785"/>
      <c r="AA154" s="797"/>
      <c r="AB154" s="797"/>
      <c r="AC154" s="683"/>
      <c r="AD154" s="683"/>
      <c r="AE154" s="683"/>
      <c r="AF154" s="683"/>
      <c r="AG154" s="683"/>
      <c r="AH154" s="683"/>
      <c r="AI154" s="705"/>
      <c r="AJ154" s="705"/>
      <c r="AK154" s="705"/>
      <c r="AL154" s="705"/>
      <c r="AM154" s="705"/>
      <c r="AN154" s="705"/>
      <c r="AO154" s="705"/>
      <c r="AP154" s="705"/>
      <c r="AQ154" s="705"/>
      <c r="AR154" s="705"/>
      <c r="AS154" s="705"/>
    </row>
    <row r="155" spans="1:45" s="13" customFormat="1" ht="30" hidden="1" customHeight="1" x14ac:dyDescent="0.25">
      <c r="A155" s="2078"/>
      <c r="B155" s="2065" t="s">
        <v>887</v>
      </c>
      <c r="C155" s="106"/>
      <c r="D155" s="852" t="s">
        <v>10</v>
      </c>
      <c r="E155" s="853">
        <v>43774</v>
      </c>
      <c r="F155" s="292">
        <f>$L$7-E155</f>
        <v>2512</v>
      </c>
      <c r="G155" s="315">
        <v>0</v>
      </c>
      <c r="H155" s="296"/>
      <c r="I155" s="296"/>
      <c r="J155" s="1310"/>
      <c r="K155" s="296"/>
      <c r="L155" s="531">
        <f t="shared" si="53"/>
        <v>0</v>
      </c>
      <c r="M155" s="45"/>
      <c r="N155" s="163"/>
      <c r="O155" s="48"/>
      <c r="P155" s="750"/>
      <c r="Q155" s="795"/>
      <c r="R155" s="785">
        <f>IFERROR(VLOOKUP($Q155,'391'!$P:$W,8,0),"")</f>
        <v>0</v>
      </c>
      <c r="S155" s="796"/>
      <c r="T155" s="797"/>
      <c r="U155" s="797"/>
      <c r="V155" s="797"/>
      <c r="W155" s="802">
        <f>IFERROR(VLOOKUP($Q155,'391'!$P:$AG,15,0),0)</f>
        <v>0</v>
      </c>
      <c r="X155" s="799">
        <f t="shared" si="54"/>
        <v>0</v>
      </c>
      <c r="Y155" s="797"/>
      <c r="Z155" s="785"/>
      <c r="AA155" s="797"/>
      <c r="AB155" s="797"/>
      <c r="AC155" s="683"/>
      <c r="AD155" s="683"/>
      <c r="AE155" s="683"/>
      <c r="AF155" s="683"/>
      <c r="AG155" s="683"/>
      <c r="AH155" s="683"/>
      <c r="AI155" s="705"/>
      <c r="AJ155" s="705"/>
      <c r="AK155" s="705"/>
      <c r="AL155" s="705"/>
      <c r="AM155" s="705"/>
      <c r="AN155" s="705"/>
      <c r="AO155" s="705"/>
      <c r="AP155" s="705"/>
      <c r="AQ155" s="705"/>
      <c r="AR155" s="705"/>
      <c r="AS155" s="705"/>
    </row>
    <row r="156" spans="1:45" s="13" customFormat="1" ht="30" hidden="1" customHeight="1" x14ac:dyDescent="0.25">
      <c r="A156" s="2078"/>
      <c r="B156" s="2065"/>
      <c r="C156" s="106" t="s">
        <v>53</v>
      </c>
      <c r="D156" s="852" t="s">
        <v>10</v>
      </c>
      <c r="E156" s="853">
        <v>44158</v>
      </c>
      <c r="F156" s="292">
        <f>$L$7-E156</f>
        <v>2128</v>
      </c>
      <c r="G156" s="315">
        <v>0</v>
      </c>
      <c r="H156" s="296"/>
      <c r="I156" s="296"/>
      <c r="J156" s="1310"/>
      <c r="K156" s="296"/>
      <c r="L156" s="531">
        <f t="shared" si="53"/>
        <v>0</v>
      </c>
      <c r="M156" s="45"/>
      <c r="N156" s="163"/>
      <c r="O156" s="48"/>
      <c r="P156" s="750"/>
      <c r="Q156" s="795"/>
      <c r="R156" s="785">
        <f>IFERROR(VLOOKUP($Q156,'391'!$P:$W,8,0),"")</f>
        <v>0</v>
      </c>
      <c r="S156" s="796"/>
      <c r="T156" s="797"/>
      <c r="U156" s="797"/>
      <c r="V156" s="797"/>
      <c r="W156" s="802">
        <f>IFERROR(VLOOKUP($Q156,'391'!$P:$AG,15,0),0)</f>
        <v>0</v>
      </c>
      <c r="X156" s="799">
        <f t="shared" si="54"/>
        <v>0</v>
      </c>
      <c r="Y156" s="797"/>
      <c r="Z156" s="785"/>
      <c r="AA156" s="797"/>
      <c r="AB156" s="797"/>
      <c r="AC156" s="683"/>
      <c r="AD156" s="683"/>
      <c r="AE156" s="683"/>
      <c r="AF156" s="683"/>
      <c r="AG156" s="683"/>
      <c r="AH156" s="683"/>
      <c r="AI156" s="705"/>
      <c r="AJ156" s="705"/>
      <c r="AK156" s="705"/>
      <c r="AL156" s="705"/>
      <c r="AM156" s="705"/>
      <c r="AN156" s="705"/>
      <c r="AO156" s="705"/>
      <c r="AP156" s="705"/>
      <c r="AQ156" s="705"/>
      <c r="AR156" s="705"/>
      <c r="AS156" s="705"/>
    </row>
    <row r="157" spans="1:45" s="13" customFormat="1" ht="30" hidden="1" customHeight="1" x14ac:dyDescent="0.25">
      <c r="A157" s="2078"/>
      <c r="B157" s="2120"/>
      <c r="C157" s="106" t="s">
        <v>920</v>
      </c>
      <c r="D157" s="852" t="s">
        <v>10</v>
      </c>
      <c r="E157" s="853">
        <v>44303</v>
      </c>
      <c r="F157" s="292">
        <f>$L$7-E157</f>
        <v>1983</v>
      </c>
      <c r="G157" s="315">
        <v>0</v>
      </c>
      <c r="H157" s="296"/>
      <c r="I157" s="296"/>
      <c r="J157" s="1310"/>
      <c r="K157" s="296"/>
      <c r="L157" s="531">
        <f t="shared" si="53"/>
        <v>0</v>
      </c>
      <c r="M157" s="45"/>
      <c r="N157" s="163"/>
      <c r="O157" s="48"/>
      <c r="P157" s="750"/>
      <c r="Q157" s="795"/>
      <c r="R157" s="785">
        <f>IFERROR(VLOOKUP($Q157,'391'!$P:$W,8,0),"")</f>
        <v>0</v>
      </c>
      <c r="S157" s="796"/>
      <c r="T157" s="797"/>
      <c r="U157" s="797"/>
      <c r="V157" s="797"/>
      <c r="W157" s="802">
        <f>IFERROR(VLOOKUP($Q157,'391'!$P:$AG,15,0),0)</f>
        <v>0</v>
      </c>
      <c r="X157" s="799">
        <f t="shared" si="54"/>
        <v>0</v>
      </c>
      <c r="Y157" s="797"/>
      <c r="Z157" s="785"/>
      <c r="AA157" s="797"/>
      <c r="AB157" s="797"/>
      <c r="AC157" s="683"/>
      <c r="AD157" s="683"/>
      <c r="AE157" s="683"/>
      <c r="AF157" s="683"/>
      <c r="AG157" s="683"/>
      <c r="AH157" s="683"/>
      <c r="AI157" s="705"/>
      <c r="AJ157" s="705"/>
      <c r="AK157" s="705"/>
      <c r="AL157" s="705"/>
      <c r="AM157" s="705"/>
      <c r="AN157" s="705"/>
      <c r="AO157" s="705"/>
      <c r="AP157" s="705"/>
      <c r="AQ157" s="705"/>
      <c r="AR157" s="705"/>
      <c r="AS157" s="705"/>
    </row>
    <row r="158" spans="1:45" s="13" customFormat="1" ht="30" hidden="1" customHeight="1" x14ac:dyDescent="0.25">
      <c r="A158" s="2078"/>
      <c r="B158" s="2065"/>
      <c r="C158" s="106"/>
      <c r="D158" s="852"/>
      <c r="E158" s="853"/>
      <c r="F158" s="292"/>
      <c r="G158" s="315">
        <v>0</v>
      </c>
      <c r="H158" s="296"/>
      <c r="I158" s="296"/>
      <c r="J158" s="1310"/>
      <c r="K158" s="296"/>
      <c r="L158" s="531">
        <f t="shared" si="53"/>
        <v>0</v>
      </c>
      <c r="M158" s="45"/>
      <c r="N158" s="163"/>
      <c r="O158" s="48"/>
      <c r="P158" s="750"/>
      <c r="Q158" s="795"/>
      <c r="R158" s="785">
        <f>IFERROR(VLOOKUP($Q158,'391'!$P:$W,8,0),"")</f>
        <v>0</v>
      </c>
      <c r="S158" s="796"/>
      <c r="T158" s="797"/>
      <c r="U158" s="797"/>
      <c r="V158" s="797"/>
      <c r="W158" s="802">
        <f>IFERROR(VLOOKUP($Q158,'391'!$P:$AG,15,0),0)</f>
        <v>0</v>
      </c>
      <c r="X158" s="799">
        <f t="shared" si="54"/>
        <v>0</v>
      </c>
      <c r="Y158" s="797"/>
      <c r="Z158" s="785"/>
      <c r="AA158" s="797"/>
      <c r="AB158" s="797"/>
      <c r="AC158" s="683"/>
      <c r="AD158" s="683"/>
      <c r="AE158" s="683"/>
      <c r="AF158" s="683"/>
      <c r="AG158" s="683"/>
      <c r="AH158" s="683"/>
      <c r="AI158" s="705"/>
      <c r="AJ158" s="705"/>
      <c r="AK158" s="705"/>
      <c r="AL158" s="705"/>
      <c r="AM158" s="705"/>
      <c r="AN158" s="705"/>
      <c r="AO158" s="705"/>
      <c r="AP158" s="705"/>
      <c r="AQ158" s="705"/>
      <c r="AR158" s="705"/>
      <c r="AS158" s="705"/>
    </row>
    <row r="159" spans="1:45" s="13" customFormat="1" ht="30" hidden="1" customHeight="1" x14ac:dyDescent="0.25">
      <c r="A159" s="2078"/>
      <c r="B159" s="2065"/>
      <c r="C159" s="849" t="s">
        <v>927</v>
      </c>
      <c r="D159" s="884" t="s">
        <v>10</v>
      </c>
      <c r="E159" s="885">
        <v>44158</v>
      </c>
      <c r="F159" s="292">
        <f>$L$7-E159</f>
        <v>2128</v>
      </c>
      <c r="G159" s="313">
        <v>0</v>
      </c>
      <c r="H159" s="28"/>
      <c r="I159" s="28">
        <f>K156-I157+K157</f>
        <v>0</v>
      </c>
      <c r="J159" s="1310"/>
      <c r="K159" s="313"/>
      <c r="L159" s="531">
        <f t="shared" si="53"/>
        <v>0</v>
      </c>
      <c r="M159" s="47"/>
      <c r="N159" s="920"/>
      <c r="O159" s="47"/>
      <c r="P159" s="857"/>
      <c r="Q159" s="795"/>
      <c r="R159" s="785">
        <f>IFERROR(VLOOKUP($Q159,'391'!$P:$W,8,0),"")</f>
        <v>0</v>
      </c>
      <c r="S159" s="796"/>
      <c r="T159" s="797"/>
      <c r="U159" s="797"/>
      <c r="V159" s="797"/>
      <c r="W159" s="802">
        <f>IFERROR(VLOOKUP($Q159,'391'!$P:$AG,15,0),0)</f>
        <v>0</v>
      </c>
      <c r="X159" s="799">
        <f t="shared" si="54"/>
        <v>0</v>
      </c>
      <c r="Y159" s="797"/>
      <c r="Z159" s="785"/>
      <c r="AA159" s="797"/>
      <c r="AB159" s="797"/>
      <c r="AC159" s="683"/>
      <c r="AD159" s="683"/>
      <c r="AE159" s="683"/>
      <c r="AF159" s="683"/>
      <c r="AG159" s="683"/>
      <c r="AH159" s="683"/>
      <c r="AI159" s="705"/>
      <c r="AJ159" s="705"/>
      <c r="AK159" s="705"/>
      <c r="AL159" s="705"/>
      <c r="AM159" s="705"/>
      <c r="AN159" s="705"/>
      <c r="AO159" s="705"/>
      <c r="AP159" s="705"/>
      <c r="AQ159" s="705"/>
      <c r="AR159" s="705"/>
      <c r="AS159" s="705"/>
    </row>
    <row r="160" spans="1:45" s="13" customFormat="1" ht="30" hidden="1" customHeight="1" x14ac:dyDescent="0.25">
      <c r="A160" s="2064"/>
      <c r="B160" s="2044"/>
      <c r="C160" s="2130" t="s">
        <v>908</v>
      </c>
      <c r="D160" s="2130"/>
      <c r="E160" s="2130"/>
      <c r="F160" s="2130"/>
      <c r="G160" s="1301">
        <v>0</v>
      </c>
      <c r="H160" s="1301">
        <f>SUM(H155:H159)</f>
        <v>0</v>
      </c>
      <c r="I160" s="1301">
        <f>SUM(I155:I159)</f>
        <v>0</v>
      </c>
      <c r="J160" s="1301">
        <f>SUM(J155:J159)</f>
        <v>0</v>
      </c>
      <c r="K160" s="1301">
        <f>SUM(K155:K159)</f>
        <v>0</v>
      </c>
      <c r="L160" s="1301">
        <f>SUM(L155:L159)</f>
        <v>0</v>
      </c>
      <c r="M160" s="168"/>
      <c r="N160" s="168">
        <f>IFERROR(L160/M160,0)</f>
        <v>0</v>
      </c>
      <c r="O160" s="168"/>
      <c r="P160" s="743">
        <f>IFERROR(L160/O160,0)</f>
        <v>0</v>
      </c>
      <c r="Q160" s="795"/>
      <c r="R160" s="785">
        <f>IFERROR(VLOOKUP($Q160,'391'!$P:$W,8,0),"")</f>
        <v>0</v>
      </c>
      <c r="S160" s="796"/>
      <c r="T160" s="797"/>
      <c r="U160" s="797"/>
      <c r="V160" s="797"/>
      <c r="W160" s="802">
        <f>IFERROR(VLOOKUP($Q160,'391'!$P:$AG,15,0),0)</f>
        <v>0</v>
      </c>
      <c r="X160" s="799">
        <f t="shared" si="54"/>
        <v>0</v>
      </c>
      <c r="Y160" s="797"/>
      <c r="Z160" s="785"/>
      <c r="AA160" s="797"/>
      <c r="AB160" s="797"/>
      <c r="AC160" s="683"/>
      <c r="AD160" s="683"/>
      <c r="AE160" s="683"/>
      <c r="AF160" s="683"/>
      <c r="AG160" s="683"/>
      <c r="AH160" s="683"/>
      <c r="AI160" s="705"/>
      <c r="AJ160" s="705"/>
      <c r="AK160" s="705"/>
      <c r="AL160" s="705"/>
      <c r="AM160" s="705"/>
      <c r="AN160" s="705"/>
      <c r="AO160" s="705"/>
      <c r="AP160" s="705"/>
      <c r="AQ160" s="705"/>
      <c r="AR160" s="705"/>
      <c r="AS160" s="705"/>
    </row>
    <row r="161" spans="1:45" s="402" customFormat="1" ht="30" customHeight="1" x14ac:dyDescent="0.25">
      <c r="A161" s="2019" t="s">
        <v>1128</v>
      </c>
      <c r="B161" s="2020"/>
      <c r="C161" s="88"/>
      <c r="D161" s="864"/>
      <c r="E161" s="864"/>
      <c r="F161" s="865"/>
      <c r="G161" s="1296">
        <v>1887019</v>
      </c>
      <c r="H161" s="1296">
        <f>+H160+H154</f>
        <v>0</v>
      </c>
      <c r="I161" s="1296">
        <f>+I160+I154</f>
        <v>37000</v>
      </c>
      <c r="J161" s="1296">
        <f>+J160+J154</f>
        <v>36976</v>
      </c>
      <c r="K161" s="1296">
        <f>+K160+K154</f>
        <v>37000</v>
      </c>
      <c r="L161" s="1296">
        <f>+L160+L154</f>
        <v>1850043</v>
      </c>
      <c r="M161" s="59">
        <f>IFERROR((R161/$S$2),"")</f>
        <v>58565.333333333336</v>
      </c>
      <c r="N161" s="366">
        <f>(L161/M161)</f>
        <v>31.589387350878788</v>
      </c>
      <c r="O161" s="59">
        <f>IFERROR(SUMIF(ETM!$A:$A,$Q161,ETM!$E:$E),"")</f>
        <v>52128.166666666664</v>
      </c>
      <c r="P161" s="880">
        <f>(L161/O161)</f>
        <v>35.490275570788668</v>
      </c>
      <c r="Q161" s="809" t="s">
        <v>808</v>
      </c>
      <c r="R161" s="785">
        <f>IFERROR(VLOOKUP($Q161,'391'!$P:$W,8,0),"")</f>
        <v>351392</v>
      </c>
      <c r="S161" s="796"/>
      <c r="T161" s="797"/>
      <c r="U161" s="797"/>
      <c r="V161" s="797"/>
      <c r="W161" s="802">
        <f>IFERROR(VLOOKUP($Q161,'391'!$P:$AG,15,0),0)</f>
        <v>1887019</v>
      </c>
      <c r="X161" s="799">
        <f t="shared" si="54"/>
        <v>0</v>
      </c>
      <c r="Y161" s="797"/>
      <c r="Z161" s="785"/>
      <c r="AA161" s="797"/>
      <c r="AB161" s="797"/>
      <c r="AC161" s="551"/>
      <c r="AD161" s="551"/>
      <c r="AE161" s="551"/>
      <c r="AF161" s="551"/>
      <c r="AG161" s="551"/>
      <c r="AH161" s="551"/>
      <c r="AI161" s="704"/>
      <c r="AJ161" s="704"/>
      <c r="AK161" s="704"/>
      <c r="AL161" s="704"/>
      <c r="AM161" s="704"/>
      <c r="AN161" s="704"/>
      <c r="AO161" s="704"/>
      <c r="AP161" s="704"/>
      <c r="AQ161" s="704"/>
      <c r="AR161" s="704"/>
      <c r="AS161" s="704"/>
    </row>
    <row r="162" spans="1:45" s="406" customFormat="1" ht="30" hidden="1" customHeight="1" x14ac:dyDescent="0.25">
      <c r="A162" s="2073">
        <f>IF(L168=0,"", MAX($A$16:A161)+1)</f>
        <v>7</v>
      </c>
      <c r="B162" s="2043" t="s">
        <v>193</v>
      </c>
      <c r="C162" s="106"/>
      <c r="D162" s="852" t="s">
        <v>10</v>
      </c>
      <c r="E162" s="853">
        <v>45887</v>
      </c>
      <c r="F162" s="856">
        <f t="shared" ref="F162:F167" si="61">$L$7-E162</f>
        <v>399</v>
      </c>
      <c r="G162" s="296">
        <v>0</v>
      </c>
      <c r="H162" s="296"/>
      <c r="I162" s="296"/>
      <c r="J162" s="1298"/>
      <c r="K162" s="296"/>
      <c r="L162" s="531">
        <f t="shared" ref="L162:L167" si="62">+G162+H162+I162-J162-K162</f>
        <v>0</v>
      </c>
      <c r="M162" s="137"/>
      <c r="N162" s="920"/>
      <c r="O162" s="137"/>
      <c r="P162" s="857"/>
      <c r="Q162" s="795"/>
      <c r="R162" s="785">
        <f>IFERROR(VLOOKUP($Q162,'391'!$P:$W,8,0),"")</f>
        <v>0</v>
      </c>
      <c r="S162" s="786"/>
      <c r="T162" s="787"/>
      <c r="U162" s="787"/>
      <c r="V162" s="787"/>
      <c r="W162" s="802">
        <f>IFERROR(VLOOKUP($Q162,'391'!$P:$AG,15,0),0)</f>
        <v>0</v>
      </c>
      <c r="X162" s="799">
        <f t="shared" si="54"/>
        <v>0</v>
      </c>
      <c r="Y162" s="787"/>
      <c r="Z162" s="791"/>
      <c r="AA162" s="787"/>
      <c r="AB162" s="787"/>
      <c r="AC162" s="679"/>
      <c r="AD162" s="679"/>
      <c r="AE162" s="679"/>
      <c r="AF162" s="679"/>
      <c r="AG162" s="679"/>
      <c r="AH162" s="679"/>
      <c r="AI162" s="682"/>
      <c r="AJ162" s="682"/>
      <c r="AK162" s="682"/>
      <c r="AL162" s="682"/>
      <c r="AM162" s="682"/>
      <c r="AN162" s="682"/>
      <c r="AO162" s="682"/>
      <c r="AP162" s="682"/>
      <c r="AQ162" s="682"/>
      <c r="AR162" s="682"/>
      <c r="AS162" s="682"/>
    </row>
    <row r="163" spans="1:45" s="406" customFormat="1" ht="30" hidden="1" customHeight="1" x14ac:dyDescent="0.25">
      <c r="A163" s="2070"/>
      <c r="B163" s="2065"/>
      <c r="C163" s="106"/>
      <c r="D163" s="852" t="s">
        <v>10</v>
      </c>
      <c r="E163" s="853">
        <v>45878</v>
      </c>
      <c r="F163" s="856">
        <f t="shared" si="61"/>
        <v>408</v>
      </c>
      <c r="G163" s="296">
        <v>0</v>
      </c>
      <c r="H163" s="296"/>
      <c r="I163" s="296"/>
      <c r="J163" s="1298"/>
      <c r="K163" s="315"/>
      <c r="L163" s="531">
        <f>+G163+H163+I163-J163-K163</f>
        <v>0</v>
      </c>
      <c r="M163" s="172"/>
      <c r="N163" s="848"/>
      <c r="O163" s="172"/>
      <c r="P163" s="738"/>
      <c r="Q163" s="795"/>
      <c r="R163" s="785">
        <f>IFERROR(VLOOKUP($Q163,'391'!$P:$W,8,0),"")</f>
        <v>0</v>
      </c>
      <c r="S163" s="786"/>
      <c r="T163" s="787"/>
      <c r="U163" s="787"/>
      <c r="V163" s="787"/>
      <c r="W163" s="802">
        <f>IFERROR(VLOOKUP($Q163,'391'!$P:$AG,15,0),0)</f>
        <v>0</v>
      </c>
      <c r="X163" s="799">
        <f t="shared" si="54"/>
        <v>0</v>
      </c>
      <c r="Y163" s="787"/>
      <c r="Z163" s="791"/>
      <c r="AA163" s="787"/>
      <c r="AB163" s="787"/>
      <c r="AC163" s="679"/>
      <c r="AD163" s="679"/>
      <c r="AE163" s="679"/>
      <c r="AF163" s="679"/>
      <c r="AG163" s="679"/>
      <c r="AH163" s="679"/>
      <c r="AI163" s="682"/>
      <c r="AJ163" s="682"/>
      <c r="AK163" s="682"/>
      <c r="AL163" s="682"/>
      <c r="AM163" s="682"/>
      <c r="AN163" s="682"/>
      <c r="AO163" s="682"/>
      <c r="AP163" s="682"/>
      <c r="AQ163" s="682"/>
      <c r="AR163" s="682"/>
      <c r="AS163" s="682"/>
    </row>
    <row r="164" spans="1:45" s="406" customFormat="1" ht="30" customHeight="1" x14ac:dyDescent="0.25">
      <c r="A164" s="2070"/>
      <c r="B164" s="2069"/>
      <c r="C164" s="106" t="s">
        <v>1486</v>
      </c>
      <c r="D164" s="852" t="s">
        <v>10</v>
      </c>
      <c r="E164" s="853">
        <v>46279</v>
      </c>
      <c r="F164" s="856">
        <f t="shared" si="61"/>
        <v>7</v>
      </c>
      <c r="G164" s="296">
        <v>114340</v>
      </c>
      <c r="H164" s="296">
        <v>35330</v>
      </c>
      <c r="I164" s="296"/>
      <c r="J164" s="1298"/>
      <c r="K164" s="296">
        <v>10000</v>
      </c>
      <c r="L164" s="531">
        <f>+G164+H164+I164-J164-K164</f>
        <v>139670</v>
      </c>
      <c r="M164" s="53"/>
      <c r="N164" s="1269"/>
      <c r="O164" s="1174"/>
      <c r="P164" s="1175"/>
      <c r="Q164" s="795"/>
      <c r="R164" s="785">
        <f>IFERROR(VLOOKUP($Q164,'391'!$P:$W,8,0),"")</f>
        <v>0</v>
      </c>
      <c r="S164" s="786"/>
      <c r="T164" s="787"/>
      <c r="U164" s="787"/>
      <c r="V164" s="787"/>
      <c r="W164" s="802">
        <f>IFERROR(VLOOKUP($Q164,'391'!$P:$AG,15,0),0)</f>
        <v>0</v>
      </c>
      <c r="X164" s="799">
        <f t="shared" ref="X164" si="63">G164-W164</f>
        <v>114340</v>
      </c>
      <c r="Y164" s="787"/>
      <c r="Z164" s="791"/>
      <c r="AA164" s="787"/>
      <c r="AB164" s="787"/>
      <c r="AC164" s="679"/>
      <c r="AD164" s="679"/>
      <c r="AE164" s="679"/>
      <c r="AF164" s="679"/>
      <c r="AG164" s="679"/>
      <c r="AH164" s="679"/>
      <c r="AI164" s="682"/>
      <c r="AJ164" s="682"/>
      <c r="AK164" s="682"/>
      <c r="AL164" s="682"/>
      <c r="AM164" s="682"/>
      <c r="AN164" s="682"/>
      <c r="AO164" s="682"/>
      <c r="AP164" s="682"/>
      <c r="AQ164" s="682"/>
      <c r="AR164" s="682"/>
      <c r="AS164" s="682"/>
    </row>
    <row r="165" spans="1:45" s="406" customFormat="1" ht="30" hidden="1" customHeight="1" x14ac:dyDescent="0.25">
      <c r="A165" s="2070"/>
      <c r="B165" s="2069"/>
      <c r="C165" s="106"/>
      <c r="D165" s="852" t="s">
        <v>10</v>
      </c>
      <c r="E165" s="853">
        <v>45975</v>
      </c>
      <c r="F165" s="856">
        <f t="shared" si="61"/>
        <v>311</v>
      </c>
      <c r="G165" s="296">
        <v>0</v>
      </c>
      <c r="H165" s="296"/>
      <c r="I165" s="296"/>
      <c r="J165" s="1298"/>
      <c r="K165" s="296"/>
      <c r="L165" s="531">
        <f>+G165+H165+I165-J165-K165</f>
        <v>0</v>
      </c>
      <c r="M165" s="1813"/>
      <c r="N165" s="1269"/>
      <c r="O165" s="1174"/>
      <c r="P165" s="1175"/>
      <c r="Q165" s="795"/>
      <c r="R165" s="785">
        <f>IFERROR(VLOOKUP($Q165,'391'!$P:$W,8,0),"")</f>
        <v>0</v>
      </c>
      <c r="S165" s="786"/>
      <c r="T165" s="787"/>
      <c r="U165" s="787"/>
      <c r="V165" s="787"/>
      <c r="W165" s="802">
        <f>IFERROR(VLOOKUP($Q165,'391'!$P:$AG,15,0),0)</f>
        <v>0</v>
      </c>
      <c r="X165" s="799">
        <f t="shared" si="54"/>
        <v>0</v>
      </c>
      <c r="Y165" s="787"/>
      <c r="Z165" s="791"/>
      <c r="AA165" s="787"/>
      <c r="AB165" s="787"/>
      <c r="AC165" s="679"/>
      <c r="AD165" s="679"/>
      <c r="AE165" s="679"/>
      <c r="AF165" s="679"/>
      <c r="AG165" s="679"/>
      <c r="AH165" s="679"/>
      <c r="AI165" s="682"/>
      <c r="AJ165" s="682"/>
      <c r="AK165" s="682"/>
      <c r="AL165" s="682"/>
      <c r="AM165" s="682"/>
      <c r="AN165" s="682"/>
      <c r="AO165" s="682"/>
      <c r="AP165" s="682"/>
      <c r="AQ165" s="682"/>
      <c r="AR165" s="682"/>
      <c r="AS165" s="682"/>
    </row>
    <row r="166" spans="1:45" s="406" customFormat="1" ht="30" hidden="1" customHeight="1" x14ac:dyDescent="0.25">
      <c r="A166" s="2070"/>
      <c r="B166" s="2065"/>
      <c r="C166" s="106" t="s">
        <v>492</v>
      </c>
      <c r="D166" s="852" t="s">
        <v>10</v>
      </c>
      <c r="E166" s="853">
        <v>45988</v>
      </c>
      <c r="F166" s="856">
        <f t="shared" si="61"/>
        <v>298</v>
      </c>
      <c r="G166" s="296">
        <v>0</v>
      </c>
      <c r="H166" s="296"/>
      <c r="I166" s="296"/>
      <c r="J166" s="1298"/>
      <c r="K166" s="296"/>
      <c r="L166" s="531">
        <f>+G166+H166+I166-J166-K166</f>
        <v>0</v>
      </c>
      <c r="M166" s="1772"/>
      <c r="N166" s="1269"/>
      <c r="O166" s="1174"/>
      <c r="P166" s="1175"/>
      <c r="Q166" s="795"/>
      <c r="R166" s="785">
        <f>IFERROR(VLOOKUP($Q166,'391'!$P:$W,8,0),"")</f>
        <v>0</v>
      </c>
      <c r="S166" s="786"/>
      <c r="T166" s="787"/>
      <c r="U166" s="787"/>
      <c r="V166" s="787"/>
      <c r="W166" s="802">
        <f>IFERROR(VLOOKUP($Q166,'391'!$P:$AG,15,0),0)</f>
        <v>0</v>
      </c>
      <c r="X166" s="799">
        <f t="shared" ref="X166:X195" si="64">G166-W166</f>
        <v>0</v>
      </c>
      <c r="Y166" s="787"/>
      <c r="Z166" s="791"/>
      <c r="AA166" s="787"/>
      <c r="AB166" s="787"/>
      <c r="AC166" s="679"/>
      <c r="AD166" s="679"/>
      <c r="AE166" s="679"/>
      <c r="AF166" s="679"/>
      <c r="AG166" s="679"/>
      <c r="AH166" s="679"/>
      <c r="AI166" s="682"/>
      <c r="AJ166" s="682"/>
      <c r="AK166" s="682"/>
      <c r="AL166" s="682"/>
      <c r="AM166" s="682"/>
      <c r="AN166" s="682"/>
      <c r="AO166" s="682"/>
      <c r="AP166" s="682"/>
      <c r="AQ166" s="682"/>
      <c r="AR166" s="682"/>
      <c r="AS166" s="682"/>
    </row>
    <row r="167" spans="1:45" ht="30" customHeight="1" x14ac:dyDescent="0.25">
      <c r="A167" s="2070"/>
      <c r="B167" s="2065"/>
      <c r="C167" s="106" t="s">
        <v>1837</v>
      </c>
      <c r="D167" s="852" t="s">
        <v>10</v>
      </c>
      <c r="E167" s="853">
        <v>46279</v>
      </c>
      <c r="F167" s="856">
        <f t="shared" si="61"/>
        <v>7</v>
      </c>
      <c r="G167" s="296">
        <v>2108</v>
      </c>
      <c r="H167" s="296"/>
      <c r="I167" s="296">
        <f>SUM(K162:K166)-I163</f>
        <v>10000</v>
      </c>
      <c r="J167" s="1298">
        <f>+usage!I17</f>
        <v>6159</v>
      </c>
      <c r="K167" s="36"/>
      <c r="L167" s="531">
        <f t="shared" si="62"/>
        <v>5949</v>
      </c>
      <c r="M167" s="145"/>
      <c r="N167" s="364"/>
      <c r="O167" s="145"/>
      <c r="P167" s="742"/>
      <c r="Q167" s="795"/>
      <c r="R167" s="785">
        <f>IFERROR(VLOOKUP($Q167,'391'!$P:$W,8,0),"")</f>
        <v>0</v>
      </c>
      <c r="U167" s="787"/>
      <c r="V167" s="787"/>
      <c r="W167" s="802">
        <f>IFERROR(VLOOKUP($Q167,'391'!$P:$AG,15,0),0)</f>
        <v>0</v>
      </c>
      <c r="X167" s="799">
        <f t="shared" si="64"/>
        <v>2108</v>
      </c>
      <c r="Y167" s="787"/>
      <c r="Z167" s="791"/>
      <c r="AA167" s="787"/>
      <c r="AB167" s="787"/>
      <c r="AC167" s="679"/>
    </row>
    <row r="168" spans="1:45" s="402" customFormat="1" ht="30" customHeight="1" x14ac:dyDescent="0.25">
      <c r="A168" s="2019" t="s">
        <v>289</v>
      </c>
      <c r="B168" s="2020"/>
      <c r="C168" s="88"/>
      <c r="D168" s="864"/>
      <c r="E168" s="864"/>
      <c r="F168" s="865"/>
      <c r="G168" s="1296">
        <v>116448</v>
      </c>
      <c r="H168" s="1296">
        <f t="shared" ref="H168:L168" si="65">+SUM(H162:H167)</f>
        <v>35330</v>
      </c>
      <c r="I168" s="1296">
        <f t="shared" si="65"/>
        <v>10000</v>
      </c>
      <c r="J168" s="1296">
        <f t="shared" si="65"/>
        <v>6159</v>
      </c>
      <c r="K168" s="1296">
        <f t="shared" si="65"/>
        <v>10000</v>
      </c>
      <c r="L168" s="1296">
        <f t="shared" si="65"/>
        <v>145619</v>
      </c>
      <c r="M168" s="59">
        <f>IFERROR((R168/$S$2),"")</f>
        <v>23535</v>
      </c>
      <c r="N168" s="1185">
        <f>+(L168/M168)</f>
        <v>6.1873380072232846</v>
      </c>
      <c r="O168" s="59">
        <f>IFERROR(SUMIF(ETM!$A:$A,$Q168,ETM!$E:$E),"")</f>
        <v>18241.833333333332</v>
      </c>
      <c r="P168" s="1186">
        <f>+(L168/O168)</f>
        <v>7.9826954527596827</v>
      </c>
      <c r="Q168" s="795" t="s">
        <v>813</v>
      </c>
      <c r="R168" s="785">
        <f>IFERROR(VLOOKUP($Q168,'391'!$P:$W,8,0),"")</f>
        <v>141210</v>
      </c>
      <c r="S168" s="796"/>
      <c r="T168" s="797"/>
      <c r="U168" s="797"/>
      <c r="V168" s="797"/>
      <c r="W168" s="802">
        <f>IFERROR(VLOOKUP($Q168,'391'!$P:$AG,15,0),0)</f>
        <v>116448</v>
      </c>
      <c r="X168" s="799">
        <f t="shared" si="64"/>
        <v>0</v>
      </c>
      <c r="Y168" s="797"/>
      <c r="Z168" s="785"/>
      <c r="AA168" s="797"/>
      <c r="AB168" s="797"/>
      <c r="AC168" s="551"/>
      <c r="AD168" s="551"/>
      <c r="AE168" s="551"/>
      <c r="AF168" s="551"/>
      <c r="AG168" s="551"/>
      <c r="AH168" s="551"/>
      <c r="AI168" s="704"/>
      <c r="AJ168" s="704"/>
      <c r="AK168" s="704"/>
      <c r="AL168" s="704"/>
      <c r="AM168" s="704"/>
      <c r="AN168" s="704"/>
      <c r="AO168" s="704"/>
      <c r="AP168" s="704"/>
      <c r="AQ168" s="704"/>
      <c r="AR168" s="704"/>
      <c r="AS168" s="704"/>
    </row>
    <row r="169" spans="1:45" ht="30" hidden="1" customHeight="1" x14ac:dyDescent="0.25">
      <c r="A169" s="2073" t="str">
        <f>IF(L177=0,"", MAX($A$16:A168)+1)</f>
        <v/>
      </c>
      <c r="B169" s="2065" t="s">
        <v>1245</v>
      </c>
      <c r="C169" s="127" t="s">
        <v>336</v>
      </c>
      <c r="D169" s="881" t="s">
        <v>10</v>
      </c>
      <c r="E169" s="882">
        <v>42982</v>
      </c>
      <c r="F169" s="71">
        <f t="shared" ref="F169:F176" si="66">$L$7-E169</f>
        <v>3304</v>
      </c>
      <c r="G169" s="306">
        <v>0</v>
      </c>
      <c r="H169" s="1313"/>
      <c r="I169" s="1313"/>
      <c r="J169" s="1314"/>
      <c r="K169" s="1313"/>
      <c r="L169" s="531">
        <f t="shared" ref="L169:L183" si="67">+G169+H169+I169-J169-K169</f>
        <v>0</v>
      </c>
      <c r="M169" s="50"/>
      <c r="N169" s="920"/>
      <c r="O169" s="66"/>
      <c r="P169" s="857"/>
      <c r="Q169" s="795"/>
      <c r="R169" s="785">
        <f>IFERROR(VLOOKUP($Q169,'391'!$P:$W,8,0),"")</f>
        <v>0</v>
      </c>
      <c r="U169" s="787"/>
      <c r="V169" s="787"/>
      <c r="W169" s="802">
        <f>IFERROR(VLOOKUP($Q169,'391'!$P:$AG,15,0),0)</f>
        <v>0</v>
      </c>
      <c r="X169" s="799">
        <f t="shared" si="64"/>
        <v>0</v>
      </c>
      <c r="Y169" s="787"/>
      <c r="Z169" s="791"/>
      <c r="AA169" s="787"/>
      <c r="AB169" s="787"/>
      <c r="AC169" s="679"/>
    </row>
    <row r="170" spans="1:45" ht="30" hidden="1" customHeight="1" x14ac:dyDescent="0.25">
      <c r="A170" s="2070"/>
      <c r="B170" s="2065"/>
      <c r="C170" s="143" t="s">
        <v>326</v>
      </c>
      <c r="D170" s="881" t="s">
        <v>10</v>
      </c>
      <c r="E170" s="882">
        <v>42987</v>
      </c>
      <c r="F170" s="71">
        <f t="shared" si="66"/>
        <v>3299</v>
      </c>
      <c r="G170" s="306">
        <v>0</v>
      </c>
      <c r="H170" s="306"/>
      <c r="I170" s="306"/>
      <c r="J170" s="1298"/>
      <c r="K170" s="306"/>
      <c r="L170" s="531">
        <f t="shared" si="67"/>
        <v>0</v>
      </c>
      <c r="M170" s="45"/>
      <c r="N170" s="162"/>
      <c r="O170" s="45"/>
      <c r="P170" s="1195"/>
      <c r="Q170" s="795"/>
      <c r="R170" s="785">
        <f>IFERROR(VLOOKUP($Q170,'391'!$P:$W,8,0),"")</f>
        <v>0</v>
      </c>
      <c r="U170" s="787"/>
      <c r="V170" s="787"/>
      <c r="W170" s="802">
        <f>IFERROR(VLOOKUP($Q170,'391'!$P:$AG,15,0),0)</f>
        <v>0</v>
      </c>
      <c r="X170" s="799">
        <f t="shared" si="64"/>
        <v>0</v>
      </c>
      <c r="Y170" s="787"/>
      <c r="Z170" s="791"/>
      <c r="AA170" s="787"/>
      <c r="AB170" s="787"/>
      <c r="AC170" s="679"/>
    </row>
    <row r="171" spans="1:45" ht="30" hidden="1" customHeight="1" x14ac:dyDescent="0.25">
      <c r="A171" s="2070"/>
      <c r="B171" s="2065"/>
      <c r="C171" s="143" t="s">
        <v>326</v>
      </c>
      <c r="D171" s="881" t="s">
        <v>10</v>
      </c>
      <c r="E171" s="882">
        <v>42885</v>
      </c>
      <c r="F171" s="71">
        <f t="shared" si="66"/>
        <v>3401</v>
      </c>
      <c r="G171" s="306">
        <v>0</v>
      </c>
      <c r="H171" s="306"/>
      <c r="I171" s="306"/>
      <c r="J171" s="1298"/>
      <c r="K171" s="306"/>
      <c r="L171" s="531">
        <f t="shared" si="67"/>
        <v>0</v>
      </c>
      <c r="M171" s="45"/>
      <c r="N171" s="162"/>
      <c r="O171" s="45"/>
      <c r="P171" s="1195"/>
      <c r="Q171" s="795"/>
      <c r="R171" s="785">
        <f>IFERROR(VLOOKUP($Q171,'391'!$P:$W,8,0),"")</f>
        <v>0</v>
      </c>
      <c r="U171" s="787"/>
      <c r="V171" s="787"/>
      <c r="W171" s="802">
        <f>IFERROR(VLOOKUP($Q171,'391'!$P:$AG,15,0),0)</f>
        <v>0</v>
      </c>
      <c r="X171" s="799">
        <f t="shared" si="64"/>
        <v>0</v>
      </c>
      <c r="Y171" s="787"/>
      <c r="Z171" s="791"/>
      <c r="AA171" s="787"/>
      <c r="AB171" s="787"/>
      <c r="AC171" s="679"/>
    </row>
    <row r="172" spans="1:45" ht="30" hidden="1" customHeight="1" x14ac:dyDescent="0.25">
      <c r="A172" s="2070"/>
      <c r="B172" s="2065"/>
      <c r="C172" s="132"/>
      <c r="D172" s="850" t="s">
        <v>10</v>
      </c>
      <c r="E172" s="853">
        <v>44991</v>
      </c>
      <c r="F172" s="73">
        <f t="shared" si="66"/>
        <v>1295</v>
      </c>
      <c r="G172" s="296">
        <v>0</v>
      </c>
      <c r="H172" s="296"/>
      <c r="I172" s="1218"/>
      <c r="J172" s="1298"/>
      <c r="K172" s="296"/>
      <c r="L172" s="531">
        <f t="shared" si="67"/>
        <v>0</v>
      </c>
      <c r="M172" s="45"/>
      <c r="N172" s="162"/>
      <c r="O172" s="45"/>
      <c r="P172" s="1195"/>
      <c r="Q172" s="795"/>
      <c r="R172" s="785">
        <f>IFERROR(VLOOKUP($Q172,'391'!$P:$W,8,0),"")</f>
        <v>0</v>
      </c>
      <c r="U172" s="787"/>
      <c r="V172" s="787"/>
      <c r="W172" s="802">
        <f>IFERROR(VLOOKUP($Q172,'391'!$P:$AG,15,0),0)</f>
        <v>0</v>
      </c>
      <c r="X172" s="799">
        <f t="shared" si="64"/>
        <v>0</v>
      </c>
      <c r="Y172" s="787"/>
      <c r="Z172" s="791"/>
      <c r="AA172" s="787"/>
      <c r="AB172" s="787"/>
      <c r="AC172" s="679"/>
    </row>
    <row r="173" spans="1:45" ht="30" hidden="1" customHeight="1" x14ac:dyDescent="0.25">
      <c r="A173" s="2070"/>
      <c r="B173" s="2065"/>
      <c r="C173" s="132"/>
      <c r="D173" s="850" t="s">
        <v>10</v>
      </c>
      <c r="E173" s="853">
        <v>44929</v>
      </c>
      <c r="F173" s="73">
        <f t="shared" si="66"/>
        <v>1357</v>
      </c>
      <c r="G173" s="296">
        <v>0</v>
      </c>
      <c r="H173" s="1257"/>
      <c r="I173" s="315"/>
      <c r="J173" s="1298"/>
      <c r="K173" s="296"/>
      <c r="L173" s="531">
        <f t="shared" si="67"/>
        <v>0</v>
      </c>
      <c r="M173" s="45"/>
      <c r="N173" s="162"/>
      <c r="O173" s="45"/>
      <c r="P173" s="1195"/>
      <c r="Q173" s="795"/>
      <c r="R173" s="785">
        <f>IFERROR(VLOOKUP($Q173,'391'!$P:$W,8,0),"")</f>
        <v>0</v>
      </c>
      <c r="U173" s="787"/>
      <c r="V173" s="787"/>
      <c r="W173" s="802">
        <f>IFERROR(VLOOKUP($Q173,'391'!$P:$AG,15,0),0)</f>
        <v>0</v>
      </c>
      <c r="X173" s="799">
        <f t="shared" si="64"/>
        <v>0</v>
      </c>
      <c r="Y173" s="787"/>
      <c r="Z173" s="791"/>
      <c r="AA173" s="787"/>
      <c r="AB173" s="787"/>
      <c r="AC173" s="679"/>
    </row>
    <row r="174" spans="1:45" ht="30" hidden="1" customHeight="1" x14ac:dyDescent="0.25">
      <c r="A174" s="2070"/>
      <c r="B174" s="2065"/>
      <c r="C174" s="132"/>
      <c r="D174" s="850" t="s">
        <v>10</v>
      </c>
      <c r="E174" s="853">
        <v>44797</v>
      </c>
      <c r="F174" s="73">
        <f t="shared" si="66"/>
        <v>1489</v>
      </c>
      <c r="G174" s="296">
        <v>0</v>
      </c>
      <c r="H174" s="1257"/>
      <c r="I174" s="296"/>
      <c r="J174" s="1298"/>
      <c r="K174" s="296"/>
      <c r="L174" s="531">
        <f t="shared" si="67"/>
        <v>0</v>
      </c>
      <c r="M174" s="45"/>
      <c r="N174" s="162"/>
      <c r="O174" s="45"/>
      <c r="P174" s="1195"/>
      <c r="Q174" s="795"/>
      <c r="R174" s="785">
        <f>IFERROR(VLOOKUP($Q174,'391'!$P:$W,8,0),"")</f>
        <v>0</v>
      </c>
      <c r="U174" s="787"/>
      <c r="V174" s="787"/>
      <c r="W174" s="802">
        <f>IFERROR(VLOOKUP($Q174,'391'!$P:$AG,15,0),0)</f>
        <v>0</v>
      </c>
      <c r="X174" s="799">
        <f t="shared" si="64"/>
        <v>0</v>
      </c>
      <c r="Y174" s="787"/>
      <c r="Z174" s="791"/>
      <c r="AA174" s="787"/>
      <c r="AB174" s="787"/>
      <c r="AC174" s="679"/>
    </row>
    <row r="175" spans="1:45" ht="30" hidden="1" customHeight="1" x14ac:dyDescent="0.25">
      <c r="A175" s="2070"/>
      <c r="B175" s="2065"/>
      <c r="C175" s="132"/>
      <c r="D175" s="850" t="s">
        <v>10</v>
      </c>
      <c r="E175" s="853">
        <v>42919</v>
      </c>
      <c r="F175" s="73">
        <f t="shared" si="66"/>
        <v>3367</v>
      </c>
      <c r="G175" s="296">
        <v>0</v>
      </c>
      <c r="H175" s="296"/>
      <c r="I175" s="296"/>
      <c r="J175" s="1298"/>
      <c r="K175" s="296"/>
      <c r="L175" s="531">
        <f t="shared" si="67"/>
        <v>0</v>
      </c>
      <c r="M175" s="45"/>
      <c r="N175" s="162"/>
      <c r="O175" s="45"/>
      <c r="P175" s="1195"/>
      <c r="Q175" s="795"/>
      <c r="R175" s="785">
        <f>IFERROR(VLOOKUP($Q175,'391'!$P:$W,8,0),"")</f>
        <v>0</v>
      </c>
      <c r="U175" s="787"/>
      <c r="V175" s="787"/>
      <c r="W175" s="802">
        <f>IFERROR(VLOOKUP($Q175,'391'!$P:$AG,15,0),0)</f>
        <v>0</v>
      </c>
      <c r="X175" s="799">
        <f t="shared" si="64"/>
        <v>0</v>
      </c>
      <c r="Y175" s="787"/>
      <c r="Z175" s="791"/>
      <c r="AA175" s="787"/>
      <c r="AB175" s="787"/>
      <c r="AC175" s="679"/>
    </row>
    <row r="176" spans="1:45" ht="30" hidden="1" customHeight="1" x14ac:dyDescent="0.25">
      <c r="A176" s="2074"/>
      <c r="B176" s="2065"/>
      <c r="C176" s="138" t="s">
        <v>1163</v>
      </c>
      <c r="D176" s="863" t="s">
        <v>10</v>
      </c>
      <c r="E176" s="886">
        <v>44991</v>
      </c>
      <c r="F176" s="293">
        <f t="shared" si="66"/>
        <v>1295</v>
      </c>
      <c r="G176" s="28">
        <v>0</v>
      </c>
      <c r="H176" s="28"/>
      <c r="I176" s="28">
        <f>K172+K174</f>
        <v>0</v>
      </c>
      <c r="J176" s="1295">
        <f>usage!I19</f>
        <v>0</v>
      </c>
      <c r="K176" s="28"/>
      <c r="L176" s="531">
        <f t="shared" si="67"/>
        <v>0</v>
      </c>
      <c r="M176" s="48"/>
      <c r="N176" s="163"/>
      <c r="O176" s="48"/>
      <c r="P176" s="857"/>
      <c r="Q176" s="795"/>
      <c r="R176" s="785">
        <f>IFERROR(VLOOKUP($Q176,'391'!$P:$W,8,0),"")</f>
        <v>0</v>
      </c>
      <c r="U176" s="787"/>
      <c r="V176" s="787"/>
      <c r="W176" s="802">
        <f>IFERROR(VLOOKUP($Q176,'391'!$P:$AG,15,0),0)</f>
        <v>0</v>
      </c>
      <c r="X176" s="799">
        <f t="shared" si="64"/>
        <v>0</v>
      </c>
      <c r="Y176" s="787"/>
      <c r="Z176" s="791"/>
      <c r="AA176" s="787"/>
      <c r="AB176" s="787"/>
      <c r="AC176" s="679"/>
    </row>
    <row r="177" spans="1:45" s="342" customFormat="1" ht="30" hidden="1" customHeight="1" x14ac:dyDescent="0.25">
      <c r="A177" s="2019" t="s">
        <v>1155</v>
      </c>
      <c r="B177" s="2020"/>
      <c r="C177" s="2036"/>
      <c r="D177" s="2036"/>
      <c r="E177" s="2036"/>
      <c r="F177" s="2036"/>
      <c r="G177" s="1296">
        <v>0</v>
      </c>
      <c r="H177" s="1296">
        <f t="shared" ref="H177:K177" si="68">+SUM(H169:H176)</f>
        <v>0</v>
      </c>
      <c r="I177" s="1296">
        <f t="shared" si="68"/>
        <v>0</v>
      </c>
      <c r="J177" s="1296">
        <f t="shared" si="68"/>
        <v>0</v>
      </c>
      <c r="K177" s="1296">
        <f t="shared" si="68"/>
        <v>0</v>
      </c>
      <c r="L177" s="531">
        <f t="shared" si="67"/>
        <v>0</v>
      </c>
      <c r="M177" s="59" t="str">
        <f>IFERROR((R177/$S$2),"")</f>
        <v/>
      </c>
      <c r="N177" s="1185" t="e">
        <f>+(L177/M177)</f>
        <v>#VALUE!</v>
      </c>
      <c r="O177" s="59">
        <f>IFERROR(SUMIF(ETM!$A:$A,$Q177,ETM!$E:$E),"")</f>
        <v>0</v>
      </c>
      <c r="P177" s="1186">
        <f>IFERROR(L177/O177,0)</f>
        <v>0</v>
      </c>
      <c r="Q177" s="818" t="s">
        <v>1152</v>
      </c>
      <c r="R177" s="785" t="str">
        <f>IFERROR(VLOOKUP($Q177,'391'!$P:$W,8,0),"")</f>
        <v/>
      </c>
      <c r="S177" s="786"/>
      <c r="T177" s="787"/>
      <c r="U177" s="787"/>
      <c r="V177" s="787"/>
      <c r="W177" s="802">
        <f>IFERROR(VLOOKUP($Q177,'391'!$P:$AG,15,0),0)</f>
        <v>0</v>
      </c>
      <c r="X177" s="799">
        <f t="shared" si="64"/>
        <v>0</v>
      </c>
      <c r="Y177" s="787"/>
      <c r="Z177" s="791"/>
      <c r="AA177" s="787"/>
      <c r="AB177" s="787"/>
      <c r="AC177" s="550"/>
      <c r="AD177" s="550"/>
      <c r="AE177" s="550"/>
      <c r="AF177" s="550"/>
      <c r="AG177" s="550"/>
      <c r="AH177" s="550"/>
      <c r="AI177" s="559"/>
      <c r="AJ177" s="559"/>
      <c r="AK177" s="559"/>
      <c r="AL177" s="559"/>
      <c r="AM177" s="559"/>
      <c r="AN177" s="559"/>
      <c r="AO177" s="559"/>
      <c r="AP177" s="559"/>
      <c r="AQ177" s="559"/>
      <c r="AR177" s="559"/>
      <c r="AS177" s="559"/>
    </row>
    <row r="178" spans="1:45" ht="30" customHeight="1" x14ac:dyDescent="0.25">
      <c r="A178" s="2063">
        <f>IF(L193=0,"",MAX($A$16:A177)+1)</f>
        <v>8</v>
      </c>
      <c r="B178" s="2090" t="s">
        <v>1366</v>
      </c>
      <c r="C178" s="107" t="s">
        <v>80</v>
      </c>
      <c r="D178" s="850" t="s">
        <v>10</v>
      </c>
      <c r="E178" s="851">
        <v>46258</v>
      </c>
      <c r="F178" s="41">
        <f>$L$7-E178</f>
        <v>28</v>
      </c>
      <c r="G178" s="36">
        <v>126021</v>
      </c>
      <c r="H178" s="36">
        <v>63900</v>
      </c>
      <c r="I178" s="1316"/>
      <c r="J178" s="1294"/>
      <c r="K178" s="1901">
        <v>50000</v>
      </c>
      <c r="L178" s="531">
        <f>+G178+H178+I178-J178-K178</f>
        <v>139921</v>
      </c>
      <c r="M178" s="137"/>
      <c r="N178" s="84"/>
      <c r="O178" s="137"/>
      <c r="P178" s="744"/>
      <c r="Q178" s="795"/>
      <c r="R178" s="785">
        <f>IFERROR(VLOOKUP($Q178,'391'!$P:$W,8,0),"")</f>
        <v>0</v>
      </c>
      <c r="U178" s="787"/>
      <c r="V178" s="787"/>
      <c r="W178" s="802">
        <f>IFERROR(VLOOKUP($Q178,'391'!$P:$AG,15,0),0)</f>
        <v>0</v>
      </c>
      <c r="X178" s="799">
        <f>G178-W178</f>
        <v>126021</v>
      </c>
      <c r="Y178" s="787"/>
      <c r="Z178" s="791"/>
      <c r="AA178" s="787"/>
      <c r="AB178" s="787"/>
      <c r="AC178" s="679"/>
    </row>
    <row r="179" spans="1:45" ht="30" customHeight="1" x14ac:dyDescent="0.25">
      <c r="A179" s="2078"/>
      <c r="B179" s="2091"/>
      <c r="C179" s="107" t="s">
        <v>512</v>
      </c>
      <c r="D179" s="850" t="s">
        <v>10</v>
      </c>
      <c r="E179" s="851">
        <v>46279</v>
      </c>
      <c r="F179" s="41">
        <f>$L$7-E179</f>
        <v>7</v>
      </c>
      <c r="G179" s="36">
        <v>159345</v>
      </c>
      <c r="H179" s="36"/>
      <c r="I179" s="1316"/>
      <c r="J179" s="1294"/>
      <c r="K179" s="1861">
        <v>20000</v>
      </c>
      <c r="L179" s="531">
        <f>+G179+H179+I179-J179-K179</f>
        <v>139345</v>
      </c>
      <c r="M179" s="53"/>
      <c r="N179" s="84"/>
      <c r="O179" s="146"/>
      <c r="P179" s="734"/>
      <c r="Q179" s="795"/>
      <c r="R179" s="785">
        <f>IFERROR(VLOOKUP($Q179,'391'!$P:$W,8,0),"")</f>
        <v>0</v>
      </c>
      <c r="U179" s="787"/>
      <c r="V179" s="787"/>
      <c r="W179" s="802">
        <f>IFERROR(VLOOKUP($Q179,'391'!$P:$AG,15,0),0)</f>
        <v>0</v>
      </c>
      <c r="X179" s="799">
        <f>G179-W179</f>
        <v>159345</v>
      </c>
      <c r="Y179" s="787"/>
      <c r="Z179" s="791"/>
      <c r="AA179" s="787"/>
      <c r="AB179" s="787"/>
      <c r="AC179" s="679"/>
    </row>
    <row r="180" spans="1:45" ht="28.5" hidden="1" customHeight="1" x14ac:dyDescent="0.25">
      <c r="A180" s="2078"/>
      <c r="B180" s="2091"/>
      <c r="C180" s="107" t="s">
        <v>489</v>
      </c>
      <c r="D180" s="850" t="s">
        <v>10</v>
      </c>
      <c r="E180" s="851">
        <v>46111</v>
      </c>
      <c r="F180" s="41">
        <f>$L$7-E180</f>
        <v>175</v>
      </c>
      <c r="G180" s="36">
        <v>0</v>
      </c>
      <c r="H180" s="36"/>
      <c r="I180" s="36"/>
      <c r="J180" s="1294"/>
      <c r="K180" s="296"/>
      <c r="L180" s="531">
        <f>+G180+H180+I180-J180-K180</f>
        <v>0</v>
      </c>
      <c r="M180" s="172"/>
      <c r="N180" s="848"/>
      <c r="O180" s="172"/>
      <c r="P180" s="738"/>
      <c r="Q180" s="795"/>
      <c r="R180" s="785">
        <f>IFERROR(VLOOKUP($Q180,'391'!$P:$W,8,0),"")</f>
        <v>0</v>
      </c>
      <c r="U180" s="787"/>
      <c r="V180" s="787"/>
      <c r="W180" s="802">
        <f>IFERROR(VLOOKUP($Q180,'391'!$P:$AG,15,0),0)</f>
        <v>0</v>
      </c>
      <c r="X180" s="799">
        <f>G180-W180</f>
        <v>0</v>
      </c>
      <c r="Y180" s="787"/>
      <c r="Z180" s="791"/>
      <c r="AA180" s="787"/>
      <c r="AB180" s="787"/>
      <c r="AC180" s="679"/>
    </row>
    <row r="181" spans="1:45" s="6" customFormat="1" ht="30" hidden="1" customHeight="1" x14ac:dyDescent="0.25">
      <c r="A181" s="2078"/>
      <c r="B181" s="2092"/>
      <c r="C181" s="107" t="s">
        <v>850</v>
      </c>
      <c r="D181" s="850" t="s">
        <v>10</v>
      </c>
      <c r="E181" s="851">
        <v>46127</v>
      </c>
      <c r="F181" s="41">
        <f>$L$7-E181</f>
        <v>159</v>
      </c>
      <c r="G181" s="36">
        <v>0</v>
      </c>
      <c r="H181" s="1218"/>
      <c r="I181" s="36"/>
      <c r="J181" s="1294"/>
      <c r="K181" s="296"/>
      <c r="L181" s="531">
        <f>+G181+H181+I181-J181-K181</f>
        <v>0</v>
      </c>
      <c r="M181" s="101"/>
      <c r="N181" s="249"/>
      <c r="O181" s="101"/>
      <c r="P181" s="738"/>
      <c r="Q181" s="795"/>
      <c r="R181" s="785">
        <f>IFERROR(VLOOKUP($Q181,'391'!$P:$W,8,0),"")</f>
        <v>0</v>
      </c>
      <c r="S181" s="786"/>
      <c r="T181" s="787"/>
      <c r="U181" s="787"/>
      <c r="V181" s="787"/>
      <c r="W181" s="802">
        <f>IFERROR(VLOOKUP($Q181,'391'!$P:$AG,15,0),0)</f>
        <v>0</v>
      </c>
      <c r="X181" s="799">
        <f>G181-W181</f>
        <v>0</v>
      </c>
      <c r="Y181" s="787"/>
      <c r="Z181" s="791"/>
      <c r="AA181" s="787"/>
      <c r="AB181" s="787"/>
      <c r="AC181" s="679"/>
      <c r="AD181" s="679"/>
      <c r="AE181" s="679"/>
      <c r="AF181" s="679"/>
      <c r="AG181" s="679"/>
      <c r="AH181" s="679"/>
      <c r="AI181" s="682"/>
      <c r="AJ181" s="682"/>
      <c r="AK181" s="682"/>
      <c r="AL181" s="682"/>
      <c r="AM181" s="682"/>
      <c r="AN181" s="682"/>
      <c r="AO181" s="682"/>
      <c r="AP181" s="682"/>
      <c r="AQ181" s="682"/>
      <c r="AR181" s="682"/>
      <c r="AS181" s="682"/>
    </row>
    <row r="182" spans="1:45" s="6" customFormat="1" ht="30" hidden="1" customHeight="1" x14ac:dyDescent="0.25">
      <c r="A182" s="2078"/>
      <c r="B182" s="2091"/>
      <c r="C182" s="107"/>
      <c r="D182" s="850" t="s">
        <v>10</v>
      </c>
      <c r="E182" s="851">
        <v>45737</v>
      </c>
      <c r="F182" s="41">
        <f>$L$7-E182</f>
        <v>549</v>
      </c>
      <c r="G182" s="36">
        <v>0</v>
      </c>
      <c r="H182" s="1218"/>
      <c r="I182" s="36"/>
      <c r="J182" s="1294"/>
      <c r="K182" s="296"/>
      <c r="L182" s="531">
        <f>+G182+H182+I182-J182-K182</f>
        <v>0</v>
      </c>
      <c r="M182" s="101"/>
      <c r="N182" s="249"/>
      <c r="O182" s="101"/>
      <c r="P182" s="738"/>
      <c r="Q182" s="795"/>
      <c r="R182" s="785">
        <f>IFERROR(VLOOKUP($Q182,'391'!$P:$W,8,0),"")</f>
        <v>0</v>
      </c>
      <c r="S182" s="786"/>
      <c r="T182" s="787"/>
      <c r="U182" s="787"/>
      <c r="V182" s="787"/>
      <c r="W182" s="802">
        <f>IFERROR(VLOOKUP($Q182,'391'!$P:$AG,15,0),0)</f>
        <v>0</v>
      </c>
      <c r="X182" s="799">
        <f>G182-W182</f>
        <v>0</v>
      </c>
      <c r="Y182" s="787"/>
      <c r="Z182" s="791"/>
      <c r="AA182" s="787"/>
      <c r="AB182" s="787"/>
      <c r="AC182" s="679"/>
      <c r="AD182" s="679"/>
      <c r="AE182" s="679"/>
      <c r="AF182" s="679"/>
      <c r="AG182" s="679"/>
      <c r="AH182" s="679"/>
      <c r="AI182" s="682"/>
      <c r="AJ182" s="682"/>
      <c r="AK182" s="682"/>
      <c r="AL182" s="682"/>
      <c r="AM182" s="682"/>
      <c r="AN182" s="682"/>
      <c r="AO182" s="682"/>
      <c r="AP182" s="682"/>
      <c r="AQ182" s="682"/>
      <c r="AR182" s="682"/>
      <c r="AS182" s="682"/>
    </row>
    <row r="183" spans="1:45" s="6" customFormat="1" ht="30" customHeight="1" x14ac:dyDescent="0.25">
      <c r="A183" s="2078"/>
      <c r="B183" s="2091"/>
      <c r="C183" s="135" t="s">
        <v>2214</v>
      </c>
      <c r="D183" s="850" t="s">
        <v>10</v>
      </c>
      <c r="E183" s="851">
        <v>46258</v>
      </c>
      <c r="F183" s="41">
        <f t="shared" ref="F183" si="69">$L$7-E183</f>
        <v>28</v>
      </c>
      <c r="G183" s="36">
        <v>18251</v>
      </c>
      <c r="H183" s="1218"/>
      <c r="I183" s="1316">
        <f>+K180+K182+K179+K181+K178</f>
        <v>70000</v>
      </c>
      <c r="J183" s="1294">
        <f>usage!I20+usage!I21</f>
        <v>73173</v>
      </c>
      <c r="K183" s="296"/>
      <c r="L183" s="531">
        <f t="shared" si="67"/>
        <v>15078</v>
      </c>
      <c r="M183" s="101"/>
      <c r="N183" s="249"/>
      <c r="O183" s="101"/>
      <c r="P183" s="738"/>
      <c r="Q183" s="795"/>
      <c r="R183" s="785">
        <f>IFERROR(VLOOKUP($Q183,'391'!$P:$W,8,0),"")</f>
        <v>0</v>
      </c>
      <c r="S183" s="786"/>
      <c r="T183" s="787"/>
      <c r="U183" s="787"/>
      <c r="V183" s="787"/>
      <c r="W183" s="802">
        <f>IFERROR(VLOOKUP($Q183,'391'!$P:$AG,15,0),0)</f>
        <v>0</v>
      </c>
      <c r="X183" s="799">
        <f t="shared" si="64"/>
        <v>18251</v>
      </c>
      <c r="Y183" s="787"/>
      <c r="Z183" s="791"/>
      <c r="AA183" s="787"/>
      <c r="AB183" s="787"/>
      <c r="AC183" s="679"/>
      <c r="AD183" s="679"/>
      <c r="AE183" s="679"/>
      <c r="AF183" s="679"/>
      <c r="AG183" s="679"/>
      <c r="AH183" s="679"/>
      <c r="AI183" s="682"/>
      <c r="AJ183" s="682"/>
      <c r="AK183" s="682"/>
      <c r="AL183" s="682"/>
      <c r="AM183" s="682"/>
      <c r="AN183" s="682"/>
      <c r="AO183" s="682"/>
      <c r="AP183" s="682"/>
      <c r="AQ183" s="682"/>
      <c r="AR183" s="682"/>
      <c r="AS183" s="682"/>
    </row>
    <row r="184" spans="1:45" s="6" customFormat="1" ht="30" hidden="1" customHeight="1" x14ac:dyDescent="0.25">
      <c r="A184" s="2078"/>
      <c r="B184" s="2091"/>
      <c r="C184" s="2110" t="s">
        <v>1365</v>
      </c>
      <c r="D184" s="2111"/>
      <c r="E184" s="2111"/>
      <c r="F184" s="2111"/>
      <c r="G184" s="1284">
        <v>303617</v>
      </c>
      <c r="H184" s="1284">
        <f>+SUM(H178:H183)</f>
        <v>63900</v>
      </c>
      <c r="I184" s="1284">
        <f t="shared" ref="I184:L184" si="70">+SUM(I178:I183)</f>
        <v>70000</v>
      </c>
      <c r="J184" s="1284">
        <f t="shared" si="70"/>
        <v>73173</v>
      </c>
      <c r="K184" s="1284">
        <f>+SUM(K178:K183)</f>
        <v>70000</v>
      </c>
      <c r="L184" s="1284">
        <f t="shared" si="70"/>
        <v>294344</v>
      </c>
      <c r="M184" s="168">
        <f>+M193-M188</f>
        <v>57317.833333333336</v>
      </c>
      <c r="N184" s="1285">
        <f>+(L184/M184)</f>
        <v>5.1352952978566879</v>
      </c>
      <c r="O184" s="168">
        <f>IFERROR(SUMIF(ETM!$A:$A,$Q184,ETM!$E:$E),"")</f>
        <v>59240</v>
      </c>
      <c r="P184" s="1285">
        <f>+(L184/O184)</f>
        <v>4.9686698176907491</v>
      </c>
      <c r="Q184" s="795" t="s">
        <v>806</v>
      </c>
      <c r="R184" s="785">
        <f>IFERROR(VLOOKUP($Q184,'391'!$P:$W,8,0),"")</f>
        <v>343907</v>
      </c>
      <c r="S184" s="786"/>
      <c r="T184" s="787"/>
      <c r="U184" s="787"/>
      <c r="V184" s="787"/>
      <c r="W184" s="802">
        <f>IFERROR(VLOOKUP($Q184,'391'!$P:$AG,15,0),0)</f>
        <v>303617</v>
      </c>
      <c r="X184" s="799">
        <f t="shared" si="64"/>
        <v>0</v>
      </c>
      <c r="Y184" s="787"/>
      <c r="Z184" s="791"/>
      <c r="AA184" s="787"/>
      <c r="AB184" s="787"/>
      <c r="AC184" s="679"/>
      <c r="AD184" s="679"/>
      <c r="AE184" s="679"/>
      <c r="AF184" s="679"/>
      <c r="AG184" s="679"/>
      <c r="AH184" s="679"/>
      <c r="AI184" s="682"/>
      <c r="AJ184" s="682"/>
      <c r="AK184" s="682"/>
      <c r="AL184" s="682"/>
      <c r="AM184" s="682"/>
      <c r="AN184" s="682"/>
      <c r="AO184" s="682"/>
      <c r="AP184" s="682"/>
      <c r="AQ184" s="682"/>
      <c r="AR184" s="682"/>
      <c r="AS184" s="682"/>
    </row>
    <row r="185" spans="1:45" s="6" customFormat="1" ht="30" hidden="1" customHeight="1" x14ac:dyDescent="0.25">
      <c r="A185" s="2078"/>
      <c r="B185" s="2091"/>
      <c r="C185" s="122" t="s">
        <v>257</v>
      </c>
      <c r="D185" s="887" t="s">
        <v>10</v>
      </c>
      <c r="E185" s="888"/>
      <c r="F185" s="41"/>
      <c r="G185" s="1279">
        <v>0</v>
      </c>
      <c r="H185" s="1279"/>
      <c r="I185" s="1317"/>
      <c r="J185" s="1318"/>
      <c r="K185" s="1279"/>
      <c r="L185" s="531">
        <f t="shared" ref="L185:L192" si="71">+G185+H185+I185-J185-K185</f>
        <v>0</v>
      </c>
      <c r="M185" s="771"/>
      <c r="N185" s="1461"/>
      <c r="O185" s="1280"/>
      <c r="P185" s="1281"/>
      <c r="Q185" s="795"/>
      <c r="R185" s="785">
        <f>IFERROR(VLOOKUP($Q185,'391'!$P:$W,8,0),"")</f>
        <v>0</v>
      </c>
      <c r="S185" s="786"/>
      <c r="T185" s="787"/>
      <c r="U185" s="787"/>
      <c r="V185" s="787"/>
      <c r="W185" s="802">
        <f>IFERROR(VLOOKUP($Q185,'391'!$P:$AG,15,0),0)</f>
        <v>0</v>
      </c>
      <c r="X185" s="799">
        <f t="shared" si="64"/>
        <v>0</v>
      </c>
      <c r="Y185" s="787"/>
      <c r="Z185" s="791"/>
      <c r="AA185" s="787"/>
      <c r="AB185" s="787"/>
      <c r="AC185" s="679"/>
      <c r="AD185" s="679"/>
      <c r="AE185" s="679"/>
      <c r="AF185" s="679"/>
      <c r="AG185" s="679"/>
      <c r="AH185" s="679"/>
      <c r="AI185" s="682"/>
      <c r="AJ185" s="682"/>
      <c r="AK185" s="682"/>
      <c r="AL185" s="682"/>
      <c r="AM185" s="682"/>
      <c r="AN185" s="682"/>
      <c r="AO185" s="682"/>
      <c r="AP185" s="682"/>
      <c r="AQ185" s="682"/>
      <c r="AR185" s="682"/>
      <c r="AS185" s="682"/>
    </row>
    <row r="186" spans="1:45" s="6" customFormat="1" ht="30" hidden="1" customHeight="1" x14ac:dyDescent="0.25">
      <c r="A186" s="2078"/>
      <c r="B186" s="2091"/>
      <c r="C186" s="107"/>
      <c r="D186" s="850" t="s">
        <v>10</v>
      </c>
      <c r="E186" s="851">
        <v>45234</v>
      </c>
      <c r="F186" s="41">
        <f>$L$7-E186</f>
        <v>1052</v>
      </c>
      <c r="G186" s="1282">
        <v>0</v>
      </c>
      <c r="H186" s="1218"/>
      <c r="I186" s="1319"/>
      <c r="J186" s="1320"/>
      <c r="K186" s="1218"/>
      <c r="L186" s="531">
        <f t="shared" si="71"/>
        <v>0</v>
      </c>
      <c r="M186" s="771"/>
      <c r="N186" s="1283"/>
      <c r="O186" s="771"/>
      <c r="P186" s="1175"/>
      <c r="Q186" s="795"/>
      <c r="R186" s="785">
        <f>IFERROR(VLOOKUP($Q186,'391'!$P:$W,8,0),"")</f>
        <v>0</v>
      </c>
      <c r="S186" s="786"/>
      <c r="T186" s="787"/>
      <c r="U186" s="787"/>
      <c r="V186" s="787"/>
      <c r="W186" s="802">
        <f>IFERROR(VLOOKUP($Q186,'391'!$P:$AG,15,0),0)</f>
        <v>0</v>
      </c>
      <c r="X186" s="799">
        <f t="shared" si="64"/>
        <v>0</v>
      </c>
      <c r="Y186" s="787"/>
      <c r="Z186" s="791"/>
      <c r="AA186" s="787"/>
      <c r="AB186" s="787"/>
      <c r="AC186" s="679"/>
      <c r="AD186" s="679"/>
      <c r="AE186" s="679"/>
      <c r="AF186" s="679"/>
      <c r="AG186" s="679"/>
      <c r="AH186" s="679"/>
      <c r="AI186" s="682"/>
      <c r="AJ186" s="682"/>
      <c r="AK186" s="682"/>
      <c r="AL186" s="682"/>
      <c r="AM186" s="682"/>
      <c r="AN186" s="682"/>
      <c r="AO186" s="682"/>
      <c r="AP186" s="682"/>
      <c r="AQ186" s="682"/>
      <c r="AR186" s="682"/>
      <c r="AS186" s="682"/>
    </row>
    <row r="187" spans="1:45" s="6" customFormat="1" ht="30" hidden="1" customHeight="1" x14ac:dyDescent="0.25">
      <c r="A187" s="2078"/>
      <c r="B187" s="2091"/>
      <c r="C187" s="135"/>
      <c r="D187" s="850" t="s">
        <v>10</v>
      </c>
      <c r="E187" s="851">
        <v>45234</v>
      </c>
      <c r="F187" s="41">
        <f>$L$7-E187</f>
        <v>1052</v>
      </c>
      <c r="G187" s="36">
        <v>0</v>
      </c>
      <c r="H187" s="1279"/>
      <c r="I187" s="1316">
        <f>+K186</f>
        <v>0</v>
      </c>
      <c r="J187" s="1294"/>
      <c r="K187" s="296"/>
      <c r="L187" s="531">
        <f t="shared" si="71"/>
        <v>0</v>
      </c>
      <c r="M187" s="771"/>
      <c r="N187" s="1461"/>
      <c r="O187" s="1280"/>
      <c r="P187" s="1281"/>
      <c r="Q187" s="795"/>
      <c r="R187" s="785">
        <f>IFERROR(VLOOKUP($Q187,'391'!$P:$W,8,0),"")</f>
        <v>0</v>
      </c>
      <c r="S187" s="786"/>
      <c r="T187" s="787"/>
      <c r="U187" s="787"/>
      <c r="V187" s="787"/>
      <c r="W187" s="802">
        <f>IFERROR(VLOOKUP($Q187,'391'!$P:$AG,15,0),0)</f>
        <v>0</v>
      </c>
      <c r="X187" s="799">
        <f t="shared" si="64"/>
        <v>0</v>
      </c>
      <c r="Y187" s="787"/>
      <c r="Z187" s="791"/>
      <c r="AA187" s="787"/>
      <c r="AB187" s="787"/>
      <c r="AC187" s="679"/>
      <c r="AD187" s="679"/>
      <c r="AE187" s="679"/>
      <c r="AF187" s="679"/>
      <c r="AG187" s="679"/>
      <c r="AH187" s="679"/>
      <c r="AI187" s="682"/>
      <c r="AJ187" s="682"/>
      <c r="AK187" s="682"/>
      <c r="AL187" s="682"/>
      <c r="AM187" s="682"/>
      <c r="AN187" s="682"/>
      <c r="AO187" s="682"/>
      <c r="AP187" s="682"/>
      <c r="AQ187" s="682"/>
      <c r="AR187" s="682"/>
      <c r="AS187" s="682"/>
    </row>
    <row r="188" spans="1:45" s="6" customFormat="1" ht="30" hidden="1" customHeight="1" x14ac:dyDescent="0.25">
      <c r="A188" s="2078"/>
      <c r="B188" s="2091"/>
      <c r="C188" s="2110" t="s">
        <v>1367</v>
      </c>
      <c r="D188" s="2111"/>
      <c r="E188" s="2111"/>
      <c r="F188" s="2111"/>
      <c r="G188" s="1284">
        <v>0</v>
      </c>
      <c r="H188" s="1284">
        <f t="shared" ref="H188:K188" si="72">+SUM(H186:H187)</f>
        <v>0</v>
      </c>
      <c r="I188" s="1284">
        <f t="shared" si="72"/>
        <v>0</v>
      </c>
      <c r="J188" s="1284">
        <f t="shared" si="72"/>
        <v>0</v>
      </c>
      <c r="K188" s="1284">
        <f t="shared" si="72"/>
        <v>0</v>
      </c>
      <c r="L188" s="531">
        <f t="shared" si="71"/>
        <v>0</v>
      </c>
      <c r="M188" s="168"/>
      <c r="N188" s="1285" t="e">
        <f>+(L188/M188)</f>
        <v>#DIV/0!</v>
      </c>
      <c r="O188" s="168"/>
      <c r="P188" s="1285" t="e">
        <f>+(L188/O188)</f>
        <v>#DIV/0!</v>
      </c>
      <c r="Q188" s="1067" t="s">
        <v>1369</v>
      </c>
      <c r="R188" s="785" t="str">
        <f>IFERROR(VLOOKUP($Q188,'391'!$P:$W,8,0),"")</f>
        <v/>
      </c>
      <c r="S188" s="786"/>
      <c r="T188" s="787"/>
      <c r="U188" s="787"/>
      <c r="V188" s="787"/>
      <c r="W188" s="802">
        <f>IFERROR(VLOOKUP($Q188,'391'!$P:$AG,15,0),0)</f>
        <v>0</v>
      </c>
      <c r="X188" s="799">
        <f t="shared" si="64"/>
        <v>0</v>
      </c>
      <c r="Y188" s="787"/>
      <c r="Z188" s="791"/>
      <c r="AA188" s="787"/>
      <c r="AB188" s="787"/>
      <c r="AC188" s="679"/>
      <c r="AD188" s="679"/>
      <c r="AE188" s="679"/>
      <c r="AF188" s="679"/>
      <c r="AG188" s="679"/>
      <c r="AH188" s="679"/>
      <c r="AI188" s="682"/>
      <c r="AJ188" s="682"/>
      <c r="AK188" s="682"/>
      <c r="AL188" s="682"/>
      <c r="AM188" s="682"/>
      <c r="AN188" s="682"/>
      <c r="AO188" s="682"/>
      <c r="AP188" s="682"/>
      <c r="AQ188" s="682"/>
      <c r="AR188" s="682"/>
      <c r="AS188" s="682"/>
    </row>
    <row r="189" spans="1:45" s="6" customFormat="1" ht="30" hidden="1" customHeight="1" x14ac:dyDescent="0.25">
      <c r="A189" s="2078"/>
      <c r="B189" s="2091"/>
      <c r="C189" s="122" t="s">
        <v>351</v>
      </c>
      <c r="D189" s="887" t="s">
        <v>10</v>
      </c>
      <c r="E189" s="888">
        <v>43141</v>
      </c>
      <c r="F189" s="41">
        <f>$L$7-E189</f>
        <v>3145</v>
      </c>
      <c r="G189" s="312">
        <v>0</v>
      </c>
      <c r="H189" s="312"/>
      <c r="I189" s="1321"/>
      <c r="J189" s="1322"/>
      <c r="K189" s="312"/>
      <c r="L189" s="531">
        <f t="shared" si="71"/>
        <v>0</v>
      </c>
      <c r="M189" s="101"/>
      <c r="N189" s="920"/>
      <c r="O189" s="23"/>
      <c r="P189" s="736"/>
      <c r="Q189" s="795"/>
      <c r="R189" s="785">
        <f>IFERROR(VLOOKUP($Q189,'391'!$P:$W,8,0),"")</f>
        <v>0</v>
      </c>
      <c r="S189" s="786"/>
      <c r="T189" s="787"/>
      <c r="U189" s="787"/>
      <c r="V189" s="787"/>
      <c r="W189" s="802">
        <f>IFERROR(VLOOKUP($Q189,'391'!$P:$AG,15,0),0)</f>
        <v>0</v>
      </c>
      <c r="X189" s="799">
        <f t="shared" si="64"/>
        <v>0</v>
      </c>
      <c r="Y189" s="787"/>
      <c r="Z189" s="791"/>
      <c r="AA189" s="787"/>
      <c r="AB189" s="787"/>
      <c r="AC189" s="679"/>
      <c r="AD189" s="679"/>
      <c r="AE189" s="679"/>
      <c r="AF189" s="679"/>
      <c r="AG189" s="679"/>
      <c r="AH189" s="679"/>
      <c r="AI189" s="682"/>
      <c r="AJ189" s="682"/>
      <c r="AK189" s="682"/>
      <c r="AL189" s="682"/>
      <c r="AM189" s="682"/>
      <c r="AN189" s="682"/>
      <c r="AO189" s="682"/>
      <c r="AP189" s="682"/>
      <c r="AQ189" s="682"/>
      <c r="AR189" s="682"/>
      <c r="AS189" s="682"/>
    </row>
    <row r="190" spans="1:45" s="6" customFormat="1" ht="30" hidden="1" customHeight="1" x14ac:dyDescent="0.25">
      <c r="A190" s="2078"/>
      <c r="B190" s="2091"/>
      <c r="C190" s="122" t="s">
        <v>361</v>
      </c>
      <c r="D190" s="887" t="s">
        <v>10</v>
      </c>
      <c r="E190" s="888">
        <v>43141</v>
      </c>
      <c r="F190" s="41">
        <f>$L$7-E190</f>
        <v>3145</v>
      </c>
      <c r="G190" s="312">
        <v>0</v>
      </c>
      <c r="H190" s="312"/>
      <c r="I190" s="1321"/>
      <c r="J190" s="1322"/>
      <c r="K190" s="312"/>
      <c r="L190" s="531">
        <f t="shared" si="71"/>
        <v>0</v>
      </c>
      <c r="M190" s="101"/>
      <c r="N190" s="920"/>
      <c r="O190" s="23"/>
      <c r="P190" s="736"/>
      <c r="Q190" s="795"/>
      <c r="R190" s="785">
        <f>IFERROR(VLOOKUP($Q190,'391'!$P:$W,8,0),"")</f>
        <v>0</v>
      </c>
      <c r="S190" s="786"/>
      <c r="T190" s="787"/>
      <c r="U190" s="787"/>
      <c r="V190" s="787"/>
      <c r="W190" s="802">
        <f>IFERROR(VLOOKUP($Q190,'391'!$P:$AG,15,0),0)</f>
        <v>0</v>
      </c>
      <c r="X190" s="799">
        <f t="shared" si="64"/>
        <v>0</v>
      </c>
      <c r="Y190" s="787"/>
      <c r="Z190" s="791"/>
      <c r="AA190" s="787"/>
      <c r="AB190" s="787"/>
      <c r="AC190" s="679"/>
      <c r="AD190" s="679"/>
      <c r="AE190" s="679"/>
      <c r="AF190" s="679"/>
      <c r="AG190" s="679"/>
      <c r="AH190" s="679"/>
      <c r="AI190" s="682"/>
      <c r="AJ190" s="682"/>
      <c r="AK190" s="682"/>
      <c r="AL190" s="682"/>
      <c r="AM190" s="682"/>
      <c r="AN190" s="682"/>
      <c r="AO190" s="682"/>
      <c r="AP190" s="682"/>
      <c r="AQ190" s="682"/>
      <c r="AR190" s="682"/>
      <c r="AS190" s="682"/>
    </row>
    <row r="191" spans="1:45" s="6" customFormat="1" ht="30" hidden="1" customHeight="1" x14ac:dyDescent="0.25">
      <c r="A191" s="2078"/>
      <c r="B191" s="2091"/>
      <c r="C191" s="122" t="s">
        <v>257</v>
      </c>
      <c r="D191" s="887" t="s">
        <v>10</v>
      </c>
      <c r="E191" s="888">
        <v>43142</v>
      </c>
      <c r="F191" s="41">
        <f>$L$7-E191</f>
        <v>3144</v>
      </c>
      <c r="G191" s="312">
        <v>0</v>
      </c>
      <c r="H191" s="312"/>
      <c r="I191" s="1321"/>
      <c r="J191" s="1322"/>
      <c r="K191" s="312"/>
      <c r="L191" s="531">
        <f t="shared" si="71"/>
        <v>0</v>
      </c>
      <c r="M191" s="101"/>
      <c r="N191" s="920"/>
      <c r="O191" s="23"/>
      <c r="P191" s="736"/>
      <c r="Q191" s="795"/>
      <c r="R191" s="785">
        <f>IFERROR(VLOOKUP($Q191,'391'!$P:$W,8,0),"")</f>
        <v>0</v>
      </c>
      <c r="S191" s="786"/>
      <c r="T191" s="787"/>
      <c r="U191" s="787"/>
      <c r="V191" s="787"/>
      <c r="W191" s="802">
        <f>IFERROR(VLOOKUP($Q191,'391'!$P:$AG,15,0),0)</f>
        <v>0</v>
      </c>
      <c r="X191" s="799">
        <f t="shared" si="64"/>
        <v>0</v>
      </c>
      <c r="Y191" s="787"/>
      <c r="Z191" s="791"/>
      <c r="AA191" s="787"/>
      <c r="AB191" s="787"/>
      <c r="AC191" s="679"/>
      <c r="AD191" s="679"/>
      <c r="AE191" s="679"/>
      <c r="AF191" s="679"/>
      <c r="AG191" s="679"/>
      <c r="AH191" s="679"/>
      <c r="AI191" s="682"/>
      <c r="AJ191" s="682"/>
      <c r="AK191" s="682"/>
      <c r="AL191" s="682"/>
      <c r="AM191" s="682"/>
      <c r="AN191" s="682"/>
      <c r="AO191" s="682"/>
      <c r="AP191" s="682"/>
      <c r="AQ191" s="682"/>
      <c r="AR191" s="682"/>
      <c r="AS191" s="682"/>
    </row>
    <row r="192" spans="1:45" ht="30" hidden="1" customHeight="1" x14ac:dyDescent="0.25">
      <c r="A192" s="2078"/>
      <c r="B192" s="2091"/>
      <c r="C192" s="135" t="s">
        <v>1321</v>
      </c>
      <c r="D192" s="850" t="s">
        <v>10</v>
      </c>
      <c r="E192" s="851">
        <v>45181</v>
      </c>
      <c r="F192" s="41">
        <f>$L$7-E192</f>
        <v>1105</v>
      </c>
      <c r="G192" s="36">
        <v>0</v>
      </c>
      <c r="H192" s="36"/>
      <c r="I192" s="1316"/>
      <c r="J192" s="1323"/>
      <c r="K192" s="1316"/>
      <c r="L192" s="531">
        <f t="shared" si="71"/>
        <v>0</v>
      </c>
      <c r="M192" s="172"/>
      <c r="N192" s="84"/>
      <c r="O192" s="40"/>
      <c r="P192" s="736"/>
      <c r="Q192" s="666" t="s">
        <v>1228</v>
      </c>
      <c r="R192" s="785" t="str">
        <f>IFERROR(VLOOKUP($Q192,'391'!$P:$W,8,0),"0")</f>
        <v>0</v>
      </c>
      <c r="U192" s="787"/>
      <c r="V192" s="787"/>
      <c r="W192" s="802">
        <f>IFERROR(VLOOKUP($Q192,'391'!$P:$AG,15,0),0)</f>
        <v>0</v>
      </c>
      <c r="X192" s="799">
        <f t="shared" si="64"/>
        <v>0</v>
      </c>
      <c r="Y192" s="787"/>
      <c r="Z192" s="791"/>
      <c r="AA192" s="787"/>
      <c r="AB192" s="787"/>
      <c r="AC192" s="679"/>
    </row>
    <row r="193" spans="1:45" s="402" customFormat="1" ht="30" customHeight="1" x14ac:dyDescent="0.25">
      <c r="A193" s="2019" t="s">
        <v>105</v>
      </c>
      <c r="B193" s="2020"/>
      <c r="C193" s="88"/>
      <c r="D193" s="864"/>
      <c r="E193" s="864"/>
      <c r="F193" s="865"/>
      <c r="G193" s="1296">
        <v>303617</v>
      </c>
      <c r="H193" s="1296">
        <f>+H188+H184</f>
        <v>63900</v>
      </c>
      <c r="I193" s="1296">
        <f t="shared" ref="I193:L193" si="73">+I188+I184</f>
        <v>70000</v>
      </c>
      <c r="J193" s="1296">
        <f t="shared" si="73"/>
        <v>73173</v>
      </c>
      <c r="K193" s="1296">
        <f t="shared" si="73"/>
        <v>70000</v>
      </c>
      <c r="L193" s="1296">
        <f t="shared" si="73"/>
        <v>294344</v>
      </c>
      <c r="M193" s="59">
        <f>IFERROR((S193/$S$2),"")</f>
        <v>57317.833333333336</v>
      </c>
      <c r="N193" s="1185">
        <f>+(L193/M193)</f>
        <v>5.1352952978566879</v>
      </c>
      <c r="O193" s="889">
        <f>+O188+O184</f>
        <v>59240</v>
      </c>
      <c r="P193" s="1186">
        <f>+(L193/O193)</f>
        <v>4.9686698176907491</v>
      </c>
      <c r="Q193" s="795" t="s">
        <v>806</v>
      </c>
      <c r="R193" s="785">
        <f>IFERROR(VLOOKUP($Q193,'391'!$P:$W,8,0),"0")</f>
        <v>343907</v>
      </c>
      <c r="S193" s="796">
        <f>+R192+R193</f>
        <v>343907</v>
      </c>
      <c r="T193" s="797"/>
      <c r="U193" s="797"/>
      <c r="V193" s="797"/>
      <c r="W193" s="802">
        <f>IFERROR(VLOOKUP($Q193,'391'!$P:$AG,15,0),0)</f>
        <v>303617</v>
      </c>
      <c r="X193" s="799">
        <f t="shared" si="64"/>
        <v>0</v>
      </c>
      <c r="Y193" s="1232">
        <f>+W193+W192</f>
        <v>303617</v>
      </c>
      <c r="Z193" s="1088">
        <f>G193-Y193</f>
        <v>0</v>
      </c>
      <c r="AA193" s="797"/>
      <c r="AB193" s="797"/>
      <c r="AC193" s="551"/>
      <c r="AD193" s="551"/>
      <c r="AE193" s="551"/>
      <c r="AF193" s="551"/>
      <c r="AG193" s="551"/>
      <c r="AH193" s="551"/>
      <c r="AI193" s="704"/>
      <c r="AJ193" s="704"/>
      <c r="AK193" s="704"/>
      <c r="AL193" s="704"/>
      <c r="AM193" s="704"/>
      <c r="AN193" s="704"/>
      <c r="AO193" s="704"/>
      <c r="AP193" s="704"/>
      <c r="AQ193" s="704"/>
      <c r="AR193" s="704"/>
      <c r="AS193" s="704"/>
    </row>
    <row r="194" spans="1:45" ht="30" customHeight="1" x14ac:dyDescent="0.25">
      <c r="A194" s="2118" t="s">
        <v>7</v>
      </c>
      <c r="B194" s="2119"/>
      <c r="C194" s="847"/>
      <c r="D194" s="869"/>
      <c r="E194" s="870"/>
      <c r="F194" s="1325"/>
      <c r="G194" s="1325">
        <f t="shared" ref="G194:L194" si="74">SUM(G88,G92,G111,G119,G135,G161,G168,G177,G193,G124,G139,G97)</f>
        <v>24764114</v>
      </c>
      <c r="H194" s="1325">
        <f t="shared" si="74"/>
        <v>248420</v>
      </c>
      <c r="I194" s="1325">
        <f t="shared" si="74"/>
        <v>2042050</v>
      </c>
      <c r="J194" s="1325">
        <f t="shared" si="74"/>
        <v>1296778.6499999999</v>
      </c>
      <c r="K194" s="1325">
        <f t="shared" si="74"/>
        <v>1946000</v>
      </c>
      <c r="L194" s="1325">
        <f t="shared" si="74"/>
        <v>23811805.350000001</v>
      </c>
      <c r="M194" s="1045"/>
      <c r="N194" s="1045"/>
      <c r="O194" s="1046"/>
      <c r="P194" s="1047"/>
      <c r="Q194" s="795"/>
      <c r="U194" s="787"/>
      <c r="V194" s="787"/>
      <c r="W194" s="802">
        <f>IFERROR(VLOOKUP($Q194,'391'!$P:$AG,15,0),0)</f>
        <v>0</v>
      </c>
      <c r="X194" s="799">
        <f t="shared" si="64"/>
        <v>24764114</v>
      </c>
      <c r="Y194" s="787"/>
      <c r="Z194" s="791"/>
      <c r="AA194" s="787"/>
      <c r="AB194" s="787"/>
      <c r="AC194" s="679"/>
    </row>
    <row r="195" spans="1:45" s="400" customFormat="1" ht="30" hidden="1" customHeight="1" x14ac:dyDescent="0.25">
      <c r="A195" s="2021">
        <f>IF(L225=0,"",MAX($A$16:A194)+1)</f>
        <v>9</v>
      </c>
      <c r="B195" s="2024" t="s">
        <v>1239</v>
      </c>
      <c r="C195" s="132"/>
      <c r="D195" s="850" t="s">
        <v>10</v>
      </c>
      <c r="E195" s="853">
        <v>45691</v>
      </c>
      <c r="F195" s="42">
        <f t="shared" ref="F195" si="75">$L$7-E195</f>
        <v>595</v>
      </c>
      <c r="G195" s="36">
        <v>0</v>
      </c>
      <c r="H195" s="1963"/>
      <c r="I195" s="345"/>
      <c r="J195" s="1309"/>
      <c r="K195" s="345"/>
      <c r="L195" s="531">
        <f t="shared" ref="L195:L201" si="76">+G195+H195+I195-J195-K195</f>
        <v>0</v>
      </c>
      <c r="M195" s="48"/>
      <c r="N195" s="163"/>
      <c r="O195" s="48"/>
      <c r="P195" s="738"/>
      <c r="Q195" s="795"/>
      <c r="R195" s="785"/>
      <c r="S195" s="796"/>
      <c r="T195" s="797"/>
      <c r="U195" s="797"/>
      <c r="V195" s="797"/>
      <c r="W195" s="802">
        <f>IFERROR(VLOOKUP($Q195,'391'!$P:$AG,15,0),0)</f>
        <v>0</v>
      </c>
      <c r="X195" s="799">
        <f t="shared" si="64"/>
        <v>0</v>
      </c>
      <c r="Y195" s="797"/>
      <c r="Z195" s="785"/>
      <c r="AA195" s="797"/>
      <c r="AB195" s="797"/>
      <c r="AC195" s="681"/>
      <c r="AD195" s="681"/>
      <c r="AE195" s="681"/>
      <c r="AF195" s="681"/>
      <c r="AG195" s="681"/>
      <c r="AH195" s="681"/>
      <c r="AI195" s="703"/>
      <c r="AJ195" s="703"/>
      <c r="AK195" s="703"/>
      <c r="AL195" s="703"/>
      <c r="AM195" s="703"/>
      <c r="AN195" s="703"/>
      <c r="AO195" s="703"/>
      <c r="AP195" s="703"/>
      <c r="AQ195" s="703"/>
      <c r="AR195" s="703"/>
      <c r="AS195" s="703"/>
    </row>
    <row r="196" spans="1:45" s="400" customFormat="1" ht="30" hidden="1" customHeight="1" x14ac:dyDescent="0.25">
      <c r="A196" s="2022"/>
      <c r="B196" s="2025"/>
      <c r="C196" s="132"/>
      <c r="D196" s="33" t="s">
        <v>10</v>
      </c>
      <c r="E196" s="853">
        <v>45424</v>
      </c>
      <c r="F196" s="1216"/>
      <c r="G196" s="315">
        <v>0</v>
      </c>
      <c r="H196" s="1963"/>
      <c r="I196" s="315"/>
      <c r="J196" s="1310"/>
      <c r="K196" s="1326"/>
      <c r="L196" s="531">
        <f t="shared" si="76"/>
        <v>0</v>
      </c>
      <c r="M196" s="48"/>
      <c r="N196" s="163"/>
      <c r="O196" s="48"/>
      <c r="P196" s="738"/>
      <c r="Q196" s="795"/>
      <c r="R196" s="785"/>
      <c r="S196" s="796"/>
      <c r="T196" s="797"/>
      <c r="U196" s="797"/>
      <c r="V196" s="797"/>
      <c r="W196" s="802">
        <f>IFERROR(VLOOKUP($Q196,'391'!$P:$AG,15,0),0)</f>
        <v>0</v>
      </c>
      <c r="X196" s="799">
        <f t="shared" ref="X196:X229" si="77">G196-W196</f>
        <v>0</v>
      </c>
      <c r="Y196" s="797"/>
      <c r="Z196" s="785"/>
      <c r="AA196" s="797"/>
      <c r="AB196" s="797"/>
      <c r="AC196" s="681"/>
      <c r="AD196" s="681"/>
      <c r="AE196" s="681"/>
      <c r="AF196" s="681"/>
      <c r="AG196" s="681"/>
      <c r="AH196" s="681"/>
      <c r="AI196" s="703"/>
      <c r="AJ196" s="703"/>
      <c r="AK196" s="703"/>
      <c r="AL196" s="703"/>
      <c r="AM196" s="703"/>
      <c r="AN196" s="703"/>
      <c r="AO196" s="703"/>
      <c r="AP196" s="703"/>
      <c r="AQ196" s="703"/>
      <c r="AR196" s="703"/>
      <c r="AS196" s="703"/>
    </row>
    <row r="197" spans="1:45" s="400" customFormat="1" ht="30" hidden="1" customHeight="1" x14ac:dyDescent="0.25">
      <c r="A197" s="2022"/>
      <c r="B197" s="2025"/>
      <c r="C197" s="135"/>
      <c r="D197" s="33" t="s">
        <v>10</v>
      </c>
      <c r="E197" s="853">
        <v>45425</v>
      </c>
      <c r="F197" s="42"/>
      <c r="G197" s="315">
        <v>0</v>
      </c>
      <c r="H197" s="1963"/>
      <c r="I197" s="315"/>
      <c r="J197" s="1310"/>
      <c r="K197" s="315"/>
      <c r="L197" s="531">
        <f t="shared" si="76"/>
        <v>0</v>
      </c>
      <c r="M197" s="46"/>
      <c r="N197" s="163"/>
      <c r="O197" s="48"/>
      <c r="P197" s="738"/>
      <c r="Q197" s="795"/>
      <c r="R197" s="785"/>
      <c r="S197" s="796"/>
      <c r="T197" s="797"/>
      <c r="U197" s="797"/>
      <c r="V197" s="797"/>
      <c r="W197" s="802">
        <f>IFERROR(VLOOKUP($Q197,'391'!$P:$AG,15,0),0)</f>
        <v>0</v>
      </c>
      <c r="X197" s="799">
        <f t="shared" si="77"/>
        <v>0</v>
      </c>
      <c r="Y197" s="797"/>
      <c r="Z197" s="785"/>
      <c r="AA197" s="797"/>
      <c r="AB197" s="797"/>
      <c r="AC197" s="681"/>
      <c r="AD197" s="681"/>
      <c r="AE197" s="681"/>
      <c r="AF197" s="681"/>
      <c r="AG197" s="681"/>
      <c r="AH197" s="681"/>
      <c r="AI197" s="703"/>
      <c r="AJ197" s="703"/>
      <c r="AK197" s="703"/>
      <c r="AL197" s="703"/>
      <c r="AM197" s="703"/>
      <c r="AN197" s="703"/>
      <c r="AO197" s="703"/>
      <c r="AP197" s="703"/>
      <c r="AQ197" s="703"/>
      <c r="AR197" s="703"/>
      <c r="AS197" s="703"/>
    </row>
    <row r="198" spans="1:45" s="400" customFormat="1" ht="30" hidden="1" customHeight="1" x14ac:dyDescent="0.25">
      <c r="A198" s="2022"/>
      <c r="B198" s="2025"/>
      <c r="C198" s="132"/>
      <c r="D198" s="33" t="s">
        <v>10</v>
      </c>
      <c r="E198" s="853">
        <v>45706</v>
      </c>
      <c r="F198" s="42">
        <f>$L$7-E198</f>
        <v>580</v>
      </c>
      <c r="G198" s="296">
        <v>0</v>
      </c>
      <c r="H198" s="1963"/>
      <c r="I198" s="315"/>
      <c r="J198" s="1310"/>
      <c r="K198" s="315"/>
      <c r="L198" s="531">
        <f t="shared" si="76"/>
        <v>0</v>
      </c>
      <c r="M198" s="48"/>
      <c r="N198" s="163"/>
      <c r="O198" s="48"/>
      <c r="P198" s="738"/>
      <c r="Q198" s="795"/>
      <c r="R198" s="785"/>
      <c r="S198" s="796"/>
      <c r="T198" s="797"/>
      <c r="U198" s="797"/>
      <c r="V198" s="797"/>
      <c r="W198" s="802">
        <f>IFERROR(VLOOKUP($Q198,'391'!$P:$AG,15,0),0)</f>
        <v>0</v>
      </c>
      <c r="X198" s="799">
        <f t="shared" si="77"/>
        <v>0</v>
      </c>
      <c r="Y198" s="797"/>
      <c r="Z198" s="785"/>
      <c r="AA198" s="797"/>
      <c r="AB198" s="797"/>
      <c r="AC198" s="681"/>
      <c r="AD198" s="681"/>
      <c r="AE198" s="681"/>
      <c r="AF198" s="681"/>
      <c r="AG198" s="681"/>
      <c r="AH198" s="681"/>
      <c r="AI198" s="703"/>
      <c r="AJ198" s="703"/>
      <c r="AK198" s="703"/>
      <c r="AL198" s="703"/>
      <c r="AM198" s="703"/>
      <c r="AN198" s="703"/>
      <c r="AO198" s="703"/>
      <c r="AP198" s="703"/>
      <c r="AQ198" s="703"/>
      <c r="AR198" s="703"/>
      <c r="AS198" s="703"/>
    </row>
    <row r="199" spans="1:45" s="400" customFormat="1" ht="30" hidden="1" customHeight="1" x14ac:dyDescent="0.25">
      <c r="A199" s="2022"/>
      <c r="B199" s="2025"/>
      <c r="C199" s="132" t="s">
        <v>1510</v>
      </c>
      <c r="D199" s="33" t="s">
        <v>10</v>
      </c>
      <c r="E199" s="853">
        <v>45706</v>
      </c>
      <c r="F199" s="42">
        <f>$L$7-E199</f>
        <v>580</v>
      </c>
      <c r="G199" s="315">
        <v>0</v>
      </c>
      <c r="H199" s="1963"/>
      <c r="I199" s="315"/>
      <c r="J199" s="1298"/>
      <c r="K199" s="296"/>
      <c r="L199" s="531">
        <f t="shared" si="76"/>
        <v>0</v>
      </c>
      <c r="M199" s="48"/>
      <c r="N199" s="163"/>
      <c r="O199" s="48"/>
      <c r="P199" s="738"/>
      <c r="Q199" s="795"/>
      <c r="R199" s="785"/>
      <c r="S199" s="796"/>
      <c r="T199" s="797"/>
      <c r="U199" s="797"/>
      <c r="V199" s="797"/>
      <c r="W199" s="802">
        <f>IFERROR(VLOOKUP($Q199,'391'!$P:$AG,15,0),0)</f>
        <v>0</v>
      </c>
      <c r="X199" s="799">
        <f t="shared" si="77"/>
        <v>0</v>
      </c>
      <c r="Y199" s="797"/>
      <c r="Z199" s="785"/>
      <c r="AA199" s="797"/>
      <c r="AB199" s="797"/>
      <c r="AC199" s="681"/>
      <c r="AD199" s="681"/>
      <c r="AE199" s="681"/>
      <c r="AF199" s="681"/>
      <c r="AG199" s="681"/>
      <c r="AH199" s="681"/>
      <c r="AI199" s="703"/>
      <c r="AJ199" s="703"/>
      <c r="AK199" s="703"/>
      <c r="AL199" s="703"/>
      <c r="AM199" s="703"/>
      <c r="AN199" s="703"/>
      <c r="AO199" s="703"/>
      <c r="AP199" s="703"/>
      <c r="AQ199" s="703"/>
      <c r="AR199" s="703"/>
      <c r="AS199" s="703"/>
    </row>
    <row r="200" spans="1:45" s="400" customFormat="1" ht="30" hidden="1" customHeight="1" x14ac:dyDescent="0.25">
      <c r="A200" s="2022"/>
      <c r="B200" s="2025"/>
      <c r="C200" s="132" t="s">
        <v>1426</v>
      </c>
      <c r="D200" s="33" t="s">
        <v>10</v>
      </c>
      <c r="E200" s="853">
        <v>45708</v>
      </c>
      <c r="F200" s="42">
        <f>$L$7-E200</f>
        <v>578</v>
      </c>
      <c r="G200" s="296">
        <v>0</v>
      </c>
      <c r="H200" s="1963"/>
      <c r="I200" s="315"/>
      <c r="J200" s="1298"/>
      <c r="K200" s="296"/>
      <c r="L200" s="531">
        <f>+G200+H200+I200-J200-K200</f>
        <v>0</v>
      </c>
      <c r="M200" s="48"/>
      <c r="N200" s="163"/>
      <c r="O200" s="48"/>
      <c r="P200" s="738"/>
      <c r="Q200" s="795"/>
      <c r="R200" s="785"/>
      <c r="S200" s="796"/>
      <c r="T200" s="797"/>
      <c r="U200" s="797"/>
      <c r="V200" s="797"/>
      <c r="W200" s="802">
        <f>IFERROR(VLOOKUP($Q200,'391'!$P:$AG,15,0),0)</f>
        <v>0</v>
      </c>
      <c r="X200" s="799">
        <f t="shared" si="77"/>
        <v>0</v>
      </c>
      <c r="Y200" s="797"/>
      <c r="Z200" s="785"/>
      <c r="AA200" s="797"/>
      <c r="AB200" s="797"/>
      <c r="AC200" s="681"/>
      <c r="AD200" s="681"/>
      <c r="AE200" s="681"/>
      <c r="AF200" s="681"/>
      <c r="AG200" s="681"/>
      <c r="AH200" s="681"/>
      <c r="AI200" s="703"/>
      <c r="AJ200" s="703"/>
      <c r="AK200" s="703"/>
      <c r="AL200" s="703"/>
      <c r="AM200" s="703"/>
      <c r="AN200" s="703"/>
      <c r="AO200" s="703"/>
      <c r="AP200" s="703"/>
      <c r="AQ200" s="703"/>
      <c r="AR200" s="703"/>
      <c r="AS200" s="703"/>
    </row>
    <row r="201" spans="1:45" s="400" customFormat="1" ht="30" hidden="1" customHeight="1" x14ac:dyDescent="0.25">
      <c r="A201" s="2022"/>
      <c r="B201" s="2025"/>
      <c r="C201" s="148" t="s">
        <v>1551</v>
      </c>
      <c r="D201" s="29" t="s">
        <v>10</v>
      </c>
      <c r="E201" s="853">
        <v>45691</v>
      </c>
      <c r="F201" s="73">
        <f>$L$7-E201</f>
        <v>595</v>
      </c>
      <c r="G201" s="296">
        <v>0</v>
      </c>
      <c r="H201" s="1963"/>
      <c r="I201" s="315">
        <f>+K199+K200+K198</f>
        <v>0</v>
      </c>
      <c r="J201" s="1302">
        <f>usage!I23</f>
        <v>0</v>
      </c>
      <c r="K201" s="308"/>
      <c r="L201" s="531">
        <f t="shared" si="76"/>
        <v>0</v>
      </c>
      <c r="M201" s="44"/>
      <c r="N201" s="95"/>
      <c r="O201" s="44"/>
      <c r="P201" s="735"/>
      <c r="Q201" s="795"/>
      <c r="R201" s="785"/>
      <c r="S201" s="796"/>
      <c r="T201" s="797"/>
      <c r="U201" s="797"/>
      <c r="V201" s="797"/>
      <c r="W201" s="802">
        <f>IFERROR(VLOOKUP($Q201,'391'!$P:$AG,15,0),0)</f>
        <v>0</v>
      </c>
      <c r="X201" s="799">
        <f t="shared" si="77"/>
        <v>0</v>
      </c>
      <c r="Y201" s="797"/>
      <c r="Z201" s="785"/>
      <c r="AA201" s="797"/>
      <c r="AB201" s="797"/>
      <c r="AC201" s="681"/>
      <c r="AD201" s="681"/>
      <c r="AE201" s="681"/>
      <c r="AF201" s="681"/>
      <c r="AG201" s="681"/>
      <c r="AH201" s="681"/>
      <c r="AI201" s="703"/>
      <c r="AJ201" s="703"/>
      <c r="AK201" s="703"/>
      <c r="AL201" s="703"/>
      <c r="AM201" s="703"/>
      <c r="AN201" s="703"/>
      <c r="AO201" s="703"/>
      <c r="AP201" s="703"/>
      <c r="AQ201" s="703"/>
      <c r="AR201" s="703"/>
      <c r="AS201" s="703"/>
    </row>
    <row r="202" spans="1:45" s="400" customFormat="1" ht="30" hidden="1" customHeight="1" x14ac:dyDescent="0.25">
      <c r="A202" s="2022"/>
      <c r="B202" s="2026"/>
      <c r="C202" s="2110" t="s">
        <v>1392</v>
      </c>
      <c r="D202" s="2111"/>
      <c r="E202" s="2111"/>
      <c r="F202" s="2111"/>
      <c r="G202" s="1775">
        <v>0</v>
      </c>
      <c r="H202" s="1963"/>
      <c r="I202" s="1301">
        <f t="shared" ref="I202:L202" si="78">SUM(I195:I201)</f>
        <v>0</v>
      </c>
      <c r="J202" s="1301">
        <f t="shared" si="78"/>
        <v>0</v>
      </c>
      <c r="K202" s="1301">
        <f t="shared" si="78"/>
        <v>0</v>
      </c>
      <c r="L202" s="1301">
        <f t="shared" si="78"/>
        <v>0</v>
      </c>
      <c r="M202" s="224">
        <f>IFERROR((R202/$S$2),"")</f>
        <v>0</v>
      </c>
      <c r="N202" s="387">
        <f>IFERROR((L202/M202),0)</f>
        <v>0</v>
      </c>
      <c r="O202" s="224">
        <f>IFERROR(SUMIF(ETM!$A:$A,$Q202,ETM!$E:$E),"")</f>
        <v>0</v>
      </c>
      <c r="P202" s="745">
        <f>IFERROR(L202/O202,0)</f>
        <v>0</v>
      </c>
      <c r="Q202" s="666" t="s">
        <v>821</v>
      </c>
      <c r="R202" s="785">
        <f>IFERROR(VLOOKUP($Q202,'391'!$S:$Z,8,0),0)</f>
        <v>0</v>
      </c>
      <c r="S202" s="796"/>
      <c r="T202" s="797"/>
      <c r="U202" s="797"/>
      <c r="V202" s="797"/>
      <c r="W202" s="802">
        <f>IFERROR(VLOOKUP($Q202,'391'!$P:$AG,15,0),0)</f>
        <v>0</v>
      </c>
      <c r="X202" s="799">
        <f t="shared" si="77"/>
        <v>0</v>
      </c>
      <c r="Y202" s="797"/>
      <c r="Z202" s="785"/>
      <c r="AA202" s="797"/>
      <c r="AB202" s="797"/>
      <c r="AC202" s="681"/>
      <c r="AD202" s="681"/>
      <c r="AE202" s="681"/>
      <c r="AF202" s="681"/>
      <c r="AG202" s="681"/>
      <c r="AH202" s="681"/>
      <c r="AI202" s="703"/>
      <c r="AJ202" s="703"/>
      <c r="AK202" s="703"/>
      <c r="AL202" s="703"/>
      <c r="AM202" s="703"/>
      <c r="AN202" s="703"/>
      <c r="AO202" s="703"/>
      <c r="AP202" s="703"/>
      <c r="AQ202" s="703"/>
      <c r="AR202" s="703"/>
      <c r="AS202" s="703"/>
    </row>
    <row r="203" spans="1:45" s="400" customFormat="1" ht="30" hidden="1" customHeight="1" x14ac:dyDescent="0.25">
      <c r="A203" s="2022"/>
      <c r="B203" s="2024" t="s">
        <v>1706</v>
      </c>
      <c r="C203" s="132"/>
      <c r="D203" s="850" t="s">
        <v>10</v>
      </c>
      <c r="E203" s="853"/>
      <c r="F203" s="42"/>
      <c r="G203" s="36">
        <v>0</v>
      </c>
      <c r="H203" s="36"/>
      <c r="I203" s="36"/>
      <c r="J203" s="1294"/>
      <c r="K203" s="1258"/>
      <c r="L203" s="531">
        <f t="shared" ref="L203:L217" si="79">+G203+H203+I203-J203-K203</f>
        <v>0</v>
      </c>
      <c r="M203" s="48"/>
      <c r="N203" s="163"/>
      <c r="O203" s="48"/>
      <c r="P203" s="738"/>
      <c r="Q203" s="795"/>
      <c r="R203" s="785">
        <f>IFERROR(VLOOKUP($Q203,'391'!$S:$Z,8,0),0)</f>
        <v>0</v>
      </c>
      <c r="S203" s="796"/>
      <c r="T203" s="797"/>
      <c r="U203" s="797"/>
      <c r="V203" s="797"/>
      <c r="W203" s="802">
        <f>IFERROR(VLOOKUP($Q203,'391'!$P:$AG,15,0),0)</f>
        <v>0</v>
      </c>
      <c r="X203" s="799">
        <f t="shared" si="77"/>
        <v>0</v>
      </c>
      <c r="Y203" s="797"/>
      <c r="Z203" s="785"/>
      <c r="AA203" s="797"/>
      <c r="AB203" s="797"/>
      <c r="AC203" s="681"/>
      <c r="AD203" s="681"/>
      <c r="AE203" s="681"/>
      <c r="AF203" s="681"/>
      <c r="AG203" s="681"/>
      <c r="AH203" s="681"/>
      <c r="AI203" s="703"/>
      <c r="AJ203" s="703"/>
      <c r="AK203" s="703"/>
      <c r="AL203" s="703"/>
      <c r="AM203" s="703"/>
      <c r="AN203" s="703"/>
      <c r="AO203" s="703"/>
      <c r="AP203" s="703"/>
      <c r="AQ203" s="703"/>
      <c r="AR203" s="703"/>
      <c r="AS203" s="703"/>
    </row>
    <row r="204" spans="1:45" s="400" customFormat="1" ht="30" hidden="1" customHeight="1" x14ac:dyDescent="0.25">
      <c r="A204" s="2022"/>
      <c r="B204" s="2108"/>
      <c r="C204" s="132"/>
      <c r="D204" s="850" t="s">
        <v>10</v>
      </c>
      <c r="E204" s="853"/>
      <c r="F204" s="42"/>
      <c r="G204" s="36">
        <v>0</v>
      </c>
      <c r="H204" s="36"/>
      <c r="I204" s="36"/>
      <c r="J204" s="1294"/>
      <c r="K204" s="36"/>
      <c r="L204" s="531">
        <f t="shared" ref="L204" si="80">+G204+H204+I204-J204-K204</f>
        <v>0</v>
      </c>
      <c r="M204" s="45"/>
      <c r="N204" s="163"/>
      <c r="O204" s="45"/>
      <c r="P204" s="738"/>
      <c r="Q204" s="795"/>
      <c r="R204" s="785">
        <f>IFERROR(VLOOKUP($Q204,'391'!$S:$Z,8,0),0)</f>
        <v>0</v>
      </c>
      <c r="S204" s="796"/>
      <c r="T204" s="797"/>
      <c r="U204" s="797"/>
      <c r="V204" s="797"/>
      <c r="W204" s="802">
        <f>IFERROR(VLOOKUP($Q204,'391'!$P:$AG,15,0),0)</f>
        <v>0</v>
      </c>
      <c r="X204" s="799">
        <f t="shared" ref="X204" si="81">G204-W204</f>
        <v>0</v>
      </c>
      <c r="Y204" s="797"/>
      <c r="Z204" s="785"/>
      <c r="AA204" s="797"/>
      <c r="AB204" s="797"/>
      <c r="AC204" s="681"/>
      <c r="AD204" s="681"/>
      <c r="AE204" s="681"/>
      <c r="AF204" s="681"/>
      <c r="AG204" s="681"/>
      <c r="AH204" s="681"/>
      <c r="AI204" s="703"/>
      <c r="AJ204" s="703"/>
      <c r="AK204" s="703"/>
      <c r="AL204" s="703"/>
      <c r="AM204" s="703"/>
      <c r="AN204" s="703"/>
      <c r="AO204" s="703"/>
      <c r="AP204" s="703"/>
      <c r="AQ204" s="703"/>
      <c r="AR204" s="703"/>
      <c r="AS204" s="703"/>
    </row>
    <row r="205" spans="1:45" s="400" customFormat="1" ht="30" customHeight="1" x14ac:dyDescent="0.25">
      <c r="A205" s="2022"/>
      <c r="B205" s="2025"/>
      <c r="C205" s="132">
        <v>203</v>
      </c>
      <c r="D205" s="850" t="s">
        <v>10</v>
      </c>
      <c r="E205" s="853"/>
      <c r="F205" s="42"/>
      <c r="G205" s="36">
        <v>0</v>
      </c>
      <c r="H205" s="36"/>
      <c r="I205" s="36"/>
      <c r="J205" s="1294"/>
      <c r="K205" s="36"/>
      <c r="L205" s="531">
        <f t="shared" si="79"/>
        <v>0</v>
      </c>
      <c r="M205" s="45"/>
      <c r="N205" s="163"/>
      <c r="O205" s="45"/>
      <c r="P205" s="738"/>
      <c r="Q205" s="795"/>
      <c r="R205" s="785">
        <f>IFERROR(VLOOKUP($Q205,'391'!$S:$Z,8,0),0)</f>
        <v>0</v>
      </c>
      <c r="S205" s="796"/>
      <c r="T205" s="797"/>
      <c r="U205" s="797"/>
      <c r="V205" s="797"/>
      <c r="W205" s="802">
        <f>IFERROR(VLOOKUP($Q205,'391'!$P:$AG,15,0),0)</f>
        <v>0</v>
      </c>
      <c r="X205" s="799">
        <f t="shared" si="77"/>
        <v>0</v>
      </c>
      <c r="Y205" s="797"/>
      <c r="Z205" s="785"/>
      <c r="AA205" s="797"/>
      <c r="AB205" s="797"/>
      <c r="AC205" s="681"/>
      <c r="AD205" s="681"/>
      <c r="AE205" s="681"/>
      <c r="AF205" s="681"/>
      <c r="AG205" s="681"/>
      <c r="AH205" s="681"/>
      <c r="AI205" s="703"/>
      <c r="AJ205" s="703"/>
      <c r="AK205" s="703"/>
      <c r="AL205" s="703"/>
      <c r="AM205" s="703"/>
      <c r="AN205" s="703"/>
      <c r="AO205" s="703"/>
      <c r="AP205" s="703"/>
      <c r="AQ205" s="703"/>
      <c r="AR205" s="703"/>
      <c r="AS205" s="703"/>
    </row>
    <row r="206" spans="1:45" s="400" customFormat="1" ht="30" hidden="1" customHeight="1" x14ac:dyDescent="0.25">
      <c r="A206" s="2022"/>
      <c r="B206" s="2108"/>
      <c r="C206" s="132"/>
      <c r="D206" s="850" t="s">
        <v>10</v>
      </c>
      <c r="E206" s="853">
        <v>46249</v>
      </c>
      <c r="F206" s="42">
        <f t="shared" ref="F206:F208" si="82">$L$7-E206</f>
        <v>37</v>
      </c>
      <c r="G206" s="36">
        <v>0</v>
      </c>
      <c r="H206" s="36"/>
      <c r="I206" s="36"/>
      <c r="J206" s="1294"/>
      <c r="K206" s="36"/>
      <c r="L206" s="531">
        <f t="shared" ref="L206" si="83">+G206+H206+I206-J206-K206</f>
        <v>0</v>
      </c>
      <c r="M206" s="1904"/>
      <c r="N206" s="163"/>
      <c r="O206" s="45"/>
      <c r="P206" s="738"/>
      <c r="Q206" s="666" t="s">
        <v>1408</v>
      </c>
      <c r="R206" s="785">
        <f>IFERROR(VLOOKUP($Q206,'391'!$S:$Z,8,0),0)</f>
        <v>0</v>
      </c>
      <c r="S206" s="796"/>
      <c r="T206" s="797"/>
      <c r="U206" s="797"/>
      <c r="V206" s="797"/>
      <c r="W206" s="802">
        <f>IFERROR(VLOOKUP($Q206,'391'!$P:$AG,15,0),0)</f>
        <v>0</v>
      </c>
      <c r="X206" s="799">
        <f t="shared" ref="X206" si="84">G206-W206</f>
        <v>0</v>
      </c>
      <c r="Y206" s="797"/>
      <c r="Z206" s="785"/>
      <c r="AA206" s="797"/>
      <c r="AB206" s="797"/>
      <c r="AC206" s="681"/>
      <c r="AD206" s="681"/>
      <c r="AE206" s="681"/>
      <c r="AF206" s="681"/>
      <c r="AG206" s="681"/>
      <c r="AH206" s="681"/>
      <c r="AI206" s="703"/>
      <c r="AJ206" s="703"/>
      <c r="AK206" s="703"/>
      <c r="AL206" s="703"/>
      <c r="AM206" s="703"/>
      <c r="AN206" s="703"/>
      <c r="AO206" s="703"/>
      <c r="AP206" s="703"/>
      <c r="AQ206" s="703"/>
      <c r="AR206" s="703"/>
      <c r="AS206" s="703"/>
    </row>
    <row r="207" spans="1:45" s="400" customFormat="1" ht="30" hidden="1" customHeight="1" x14ac:dyDescent="0.25">
      <c r="A207" s="2022"/>
      <c r="B207" s="2025"/>
      <c r="C207" s="132" t="s">
        <v>1510</v>
      </c>
      <c r="D207" s="850" t="s">
        <v>10</v>
      </c>
      <c r="E207" s="853">
        <v>46260</v>
      </c>
      <c r="F207" s="42">
        <f t="shared" si="82"/>
        <v>26</v>
      </c>
      <c r="G207" s="36">
        <v>0</v>
      </c>
      <c r="H207" s="36"/>
      <c r="I207" s="36"/>
      <c r="J207" s="1294"/>
      <c r="K207" s="36"/>
      <c r="L207" s="531">
        <f t="shared" si="79"/>
        <v>0</v>
      </c>
      <c r="M207" s="1904"/>
      <c r="N207" s="163"/>
      <c r="O207" s="45"/>
      <c r="P207" s="738"/>
      <c r="Q207" s="666" t="s">
        <v>1408</v>
      </c>
      <c r="R207" s="785">
        <f>IFERROR(VLOOKUP($Q207,'391'!$S:$Z,8,0),0)</f>
        <v>0</v>
      </c>
      <c r="S207" s="796"/>
      <c r="T207" s="797"/>
      <c r="U207" s="797"/>
      <c r="V207" s="797"/>
      <c r="W207" s="802">
        <f>IFERROR(VLOOKUP($Q207,'391'!$P:$AG,15,0),0)</f>
        <v>0</v>
      </c>
      <c r="X207" s="799">
        <f t="shared" si="77"/>
        <v>0</v>
      </c>
      <c r="Y207" s="797"/>
      <c r="Z207" s="785"/>
      <c r="AA207" s="797"/>
      <c r="AB207" s="797"/>
      <c r="AC207" s="681"/>
      <c r="AD207" s="681"/>
      <c r="AE207" s="681"/>
      <c r="AF207" s="681"/>
      <c r="AG207" s="681"/>
      <c r="AH207" s="681"/>
      <c r="AI207" s="703"/>
      <c r="AJ207" s="703"/>
      <c r="AK207" s="703"/>
      <c r="AL207" s="703"/>
      <c r="AM207" s="703"/>
      <c r="AN207" s="703"/>
      <c r="AO207" s="703"/>
      <c r="AP207" s="703"/>
      <c r="AQ207" s="703"/>
      <c r="AR207" s="703"/>
      <c r="AS207" s="703"/>
    </row>
    <row r="208" spans="1:45" s="400" customFormat="1" ht="30" hidden="1" customHeight="1" x14ac:dyDescent="0.25">
      <c r="A208" s="2022"/>
      <c r="B208" s="2025"/>
      <c r="C208" s="148" t="s">
        <v>1815</v>
      </c>
      <c r="D208" s="850" t="s">
        <v>10</v>
      </c>
      <c r="E208" s="853">
        <v>46260</v>
      </c>
      <c r="F208" s="42">
        <f t="shared" si="82"/>
        <v>26</v>
      </c>
      <c r="G208" s="36">
        <v>0</v>
      </c>
      <c r="H208" s="36"/>
      <c r="I208" s="36">
        <f>+K207+K206</f>
        <v>0</v>
      </c>
      <c r="J208" s="1294"/>
      <c r="K208" s="36"/>
      <c r="L208" s="531">
        <f t="shared" si="79"/>
        <v>0</v>
      </c>
      <c r="M208" s="47"/>
      <c r="N208" s="920"/>
      <c r="O208" s="47"/>
      <c r="P208" s="735"/>
      <c r="Q208" s="795"/>
      <c r="R208" s="785"/>
      <c r="S208" s="796"/>
      <c r="T208" s="797"/>
      <c r="U208" s="797"/>
      <c r="V208" s="797"/>
      <c r="W208" s="802">
        <f>IFERROR(VLOOKUP($Q208,'391'!$P:$AG,15,0),0)</f>
        <v>0</v>
      </c>
      <c r="X208" s="799">
        <f t="shared" si="77"/>
        <v>0</v>
      </c>
      <c r="Y208" s="797"/>
      <c r="Z208" s="785"/>
      <c r="AA208" s="797"/>
      <c r="AB208" s="797"/>
      <c r="AC208" s="681"/>
      <c r="AD208" s="681"/>
      <c r="AE208" s="681"/>
      <c r="AF208" s="681"/>
      <c r="AG208" s="681"/>
      <c r="AH208" s="681"/>
      <c r="AI208" s="703"/>
      <c r="AJ208" s="703"/>
      <c r="AK208" s="703"/>
      <c r="AL208" s="703"/>
      <c r="AM208" s="703"/>
      <c r="AN208" s="703"/>
      <c r="AO208" s="703"/>
      <c r="AP208" s="703"/>
      <c r="AQ208" s="703"/>
      <c r="AR208" s="703"/>
      <c r="AS208" s="703"/>
    </row>
    <row r="209" spans="1:45" s="402" customFormat="1" ht="30" customHeight="1" x14ac:dyDescent="0.25">
      <c r="A209" s="2022"/>
      <c r="B209" s="2109"/>
      <c r="C209" s="2110" t="s">
        <v>1701</v>
      </c>
      <c r="D209" s="2111"/>
      <c r="E209" s="2111"/>
      <c r="F209" s="2111"/>
      <c r="G209" s="1301">
        <v>0</v>
      </c>
      <c r="H209" s="1301">
        <f t="shared" ref="H209:L209" si="85">+SUM(H203:H208)</f>
        <v>0</v>
      </c>
      <c r="I209" s="1301">
        <f t="shared" si="85"/>
        <v>0</v>
      </c>
      <c r="J209" s="1301">
        <f t="shared" si="85"/>
        <v>0</v>
      </c>
      <c r="K209" s="1301">
        <f t="shared" si="85"/>
        <v>0</v>
      </c>
      <c r="L209" s="1301">
        <f t="shared" si="85"/>
        <v>0</v>
      </c>
      <c r="M209" s="285">
        <f>(R209+R207)/$S$2</f>
        <v>0</v>
      </c>
      <c r="N209" s="387">
        <f>IFERROR(L209/M209,0)</f>
        <v>0</v>
      </c>
      <c r="O209" s="285">
        <f>IFERROR(SUMIF(ETM!$A:$A,$Q209,ETM!$E:$E),"")</f>
        <v>0</v>
      </c>
      <c r="P209" s="387">
        <f>IFERROR(L209/O209,0)</f>
        <v>0</v>
      </c>
      <c r="Q209" s="666" t="s">
        <v>1706</v>
      </c>
      <c r="R209" s="785">
        <f>IFERROR(VLOOKUP($Q209,'391'!$S:$Z,8,0),0)</f>
        <v>0</v>
      </c>
      <c r="S209" s="796"/>
      <c r="T209" s="797"/>
      <c r="U209" s="797"/>
      <c r="V209" s="797"/>
      <c r="W209" s="802">
        <f>IFERROR(VLOOKUP($Q209,'391'!$P:$AG,15,0),0)</f>
        <v>0</v>
      </c>
      <c r="X209" s="799">
        <f t="shared" si="77"/>
        <v>0</v>
      </c>
      <c r="Y209" s="797"/>
      <c r="Z209" s="785"/>
      <c r="AA209" s="797"/>
      <c r="AB209" s="797"/>
      <c r="AC209" s="551"/>
      <c r="AD209" s="551"/>
      <c r="AE209" s="551"/>
      <c r="AF209" s="551"/>
      <c r="AG209" s="551"/>
      <c r="AH209" s="551"/>
      <c r="AI209" s="704"/>
      <c r="AJ209" s="704"/>
      <c r="AK209" s="704"/>
      <c r="AL209" s="704"/>
      <c r="AM209" s="704"/>
      <c r="AN209" s="704"/>
      <c r="AO209" s="704"/>
      <c r="AP209" s="704"/>
      <c r="AQ209" s="704"/>
      <c r="AR209" s="704"/>
      <c r="AS209" s="704"/>
    </row>
    <row r="210" spans="1:45" s="400" customFormat="1" ht="30" customHeight="1" x14ac:dyDescent="0.25">
      <c r="A210" s="2022"/>
      <c r="B210" s="2024" t="s">
        <v>1425</v>
      </c>
      <c r="C210" s="132">
        <v>201</v>
      </c>
      <c r="D210" s="850" t="s">
        <v>10</v>
      </c>
      <c r="E210" s="853">
        <v>46258</v>
      </c>
      <c r="F210" s="42">
        <f>$L$7-E210</f>
        <v>28</v>
      </c>
      <c r="G210" s="36">
        <v>600820</v>
      </c>
      <c r="H210" s="36"/>
      <c r="I210" s="36"/>
      <c r="J210" s="1294"/>
      <c r="K210" s="36">
        <v>320000</v>
      </c>
      <c r="L210" s="531">
        <f t="shared" si="79"/>
        <v>280820</v>
      </c>
      <c r="M210" s="48"/>
      <c r="N210" s="163"/>
      <c r="O210" s="48"/>
      <c r="P210" s="738"/>
      <c r="Q210" s="795"/>
      <c r="R210" s="785">
        <f>IFERROR(VLOOKUP($Q210,'391'!$S:$Z,8,0),0)</f>
        <v>0</v>
      </c>
      <c r="S210" s="796"/>
      <c r="T210" s="797"/>
      <c r="U210" s="797"/>
      <c r="V210" s="797"/>
      <c r="W210" s="802">
        <f>IFERROR(VLOOKUP($Q210,'391'!$P:$AG,15,0),0)</f>
        <v>0</v>
      </c>
      <c r="X210" s="799">
        <f t="shared" si="77"/>
        <v>600820</v>
      </c>
      <c r="Y210" s="797"/>
      <c r="Z210" s="785"/>
      <c r="AA210" s="797"/>
      <c r="AB210" s="797"/>
      <c r="AC210" s="681"/>
      <c r="AD210" s="681"/>
      <c r="AE210" s="681"/>
      <c r="AF210" s="681"/>
      <c r="AG210" s="681"/>
      <c r="AH210" s="681"/>
      <c r="AI210" s="703"/>
      <c r="AJ210" s="703"/>
      <c r="AK210" s="703"/>
      <c r="AL210" s="703"/>
      <c r="AM210" s="703"/>
      <c r="AN210" s="703"/>
      <c r="AO210" s="703"/>
      <c r="AP210" s="703"/>
      <c r="AQ210" s="703"/>
      <c r="AR210" s="703"/>
      <c r="AS210" s="703"/>
    </row>
    <row r="211" spans="1:45" s="400" customFormat="1" ht="30" customHeight="1" x14ac:dyDescent="0.25">
      <c r="A211" s="2022"/>
      <c r="B211" s="2107"/>
      <c r="C211" s="132">
        <v>202</v>
      </c>
      <c r="D211" s="850" t="s">
        <v>10</v>
      </c>
      <c r="E211" s="853">
        <v>46272</v>
      </c>
      <c r="F211" s="42">
        <f>$L$7-E211</f>
        <v>14</v>
      </c>
      <c r="G211" s="36">
        <v>3084840</v>
      </c>
      <c r="H211" s="36"/>
      <c r="I211" s="36">
        <v>33000</v>
      </c>
      <c r="J211" s="1294"/>
      <c r="K211" s="36"/>
      <c r="L211" s="531">
        <f t="shared" si="79"/>
        <v>3117840</v>
      </c>
      <c r="M211" s="45"/>
      <c r="N211" s="163"/>
      <c r="O211" s="45"/>
      <c r="P211" s="738"/>
      <c r="Q211" s="795"/>
      <c r="R211" s="785">
        <f>IFERROR(VLOOKUP($Q211,'391'!$S:$Z,8,0),0)</f>
        <v>0</v>
      </c>
      <c r="S211" s="796"/>
      <c r="T211" s="797"/>
      <c r="U211" s="797"/>
      <c r="V211" s="797"/>
      <c r="W211" s="802">
        <f>IFERROR(VLOOKUP($Q211,'391'!$P:$AG,15,0),0)</f>
        <v>0</v>
      </c>
      <c r="X211" s="799">
        <f t="shared" si="77"/>
        <v>3084840</v>
      </c>
      <c r="Y211" s="797"/>
      <c r="Z211" s="785"/>
      <c r="AA211" s="797"/>
      <c r="AB211" s="797"/>
      <c r="AC211" s="681"/>
      <c r="AD211" s="681"/>
      <c r="AE211" s="681"/>
      <c r="AF211" s="681"/>
      <c r="AG211" s="681"/>
      <c r="AH211" s="681"/>
      <c r="AI211" s="703"/>
      <c r="AJ211" s="703"/>
      <c r="AK211" s="703"/>
      <c r="AL211" s="703"/>
      <c r="AM211" s="703"/>
      <c r="AN211" s="703"/>
      <c r="AO211" s="703"/>
      <c r="AP211" s="703"/>
      <c r="AQ211" s="703"/>
      <c r="AR211" s="703"/>
      <c r="AS211" s="703"/>
    </row>
    <row r="212" spans="1:45" s="400" customFormat="1" ht="30" hidden="1" customHeight="1" x14ac:dyDescent="0.25">
      <c r="A212" s="2022"/>
      <c r="B212" s="2025"/>
      <c r="C212" s="132"/>
      <c r="D212" s="850" t="s">
        <v>10</v>
      </c>
      <c r="E212" s="853">
        <v>46102</v>
      </c>
      <c r="F212" s="42">
        <f>$L$7-E212</f>
        <v>184</v>
      </c>
      <c r="G212" s="36">
        <v>0</v>
      </c>
      <c r="H212" s="36"/>
      <c r="I212" s="36"/>
      <c r="J212" s="1294"/>
      <c r="K212" s="36"/>
      <c r="L212" s="531">
        <f t="shared" si="79"/>
        <v>0</v>
      </c>
      <c r="M212" s="45"/>
      <c r="N212" s="163"/>
      <c r="O212" s="45"/>
      <c r="P212" s="738"/>
      <c r="Q212" s="795"/>
      <c r="R212" s="785">
        <f>IFERROR(VLOOKUP($Q212,'391'!$S:$Z,8,0),0)</f>
        <v>0</v>
      </c>
      <c r="S212" s="796"/>
      <c r="T212" s="797"/>
      <c r="U212" s="797"/>
      <c r="V212" s="797"/>
      <c r="W212" s="802">
        <f>IFERROR(VLOOKUP($Q212,'391'!$P:$AG,15,0),0)</f>
        <v>0</v>
      </c>
      <c r="X212" s="799">
        <f t="shared" si="77"/>
        <v>0</v>
      </c>
      <c r="Y212" s="797"/>
      <c r="Z212" s="785"/>
      <c r="AA212" s="797"/>
      <c r="AB212" s="797"/>
      <c r="AC212" s="681"/>
      <c r="AD212" s="681"/>
      <c r="AE212" s="681"/>
      <c r="AF212" s="681"/>
      <c r="AG212" s="681"/>
      <c r="AH212" s="681"/>
      <c r="AI212" s="703"/>
      <c r="AJ212" s="703"/>
      <c r="AK212" s="703"/>
      <c r="AL212" s="703"/>
      <c r="AM212" s="703"/>
      <c r="AN212" s="703"/>
      <c r="AO212" s="703"/>
      <c r="AP212" s="703"/>
      <c r="AQ212" s="703"/>
      <c r="AR212" s="703"/>
      <c r="AS212" s="703"/>
    </row>
    <row r="213" spans="1:45" s="400" customFormat="1" ht="30" hidden="1" customHeight="1" x14ac:dyDescent="0.25">
      <c r="A213" s="2022"/>
      <c r="B213" s="2025"/>
      <c r="C213" s="132"/>
      <c r="D213" s="850" t="s">
        <v>10</v>
      </c>
      <c r="E213" s="853"/>
      <c r="F213" s="42"/>
      <c r="G213" s="36">
        <v>0</v>
      </c>
      <c r="H213" s="36"/>
      <c r="I213" s="36"/>
      <c r="J213" s="1294"/>
      <c r="K213" s="1258"/>
      <c r="L213" s="531">
        <f t="shared" si="79"/>
        <v>0</v>
      </c>
      <c r="M213" s="45"/>
      <c r="N213" s="163"/>
      <c r="O213" s="45"/>
      <c r="P213" s="738"/>
      <c r="Q213" s="666"/>
      <c r="R213" s="785">
        <f>IFERROR(VLOOKUP($Q213,'391'!$S:$Z,8,0),0)</f>
        <v>0</v>
      </c>
      <c r="S213" s="796"/>
      <c r="T213" s="797"/>
      <c r="U213" s="797"/>
      <c r="V213" s="797"/>
      <c r="W213" s="802">
        <f>IFERROR(VLOOKUP($Q213,'391'!$P:$AG,15,0),0)</f>
        <v>0</v>
      </c>
      <c r="X213" s="799">
        <f t="shared" si="77"/>
        <v>0</v>
      </c>
      <c r="Y213" s="797"/>
      <c r="Z213" s="785"/>
      <c r="AA213" s="797"/>
      <c r="AB213" s="797"/>
      <c r="AC213" s="681"/>
      <c r="AD213" s="681"/>
      <c r="AE213" s="681"/>
      <c r="AF213" s="681"/>
      <c r="AG213" s="681"/>
      <c r="AH213" s="681"/>
      <c r="AI213" s="703"/>
      <c r="AJ213" s="703"/>
      <c r="AK213" s="703"/>
      <c r="AL213" s="703"/>
      <c r="AM213" s="703"/>
      <c r="AN213" s="703"/>
      <c r="AO213" s="703"/>
      <c r="AP213" s="703"/>
      <c r="AQ213" s="703"/>
      <c r="AR213" s="703"/>
      <c r="AS213" s="703"/>
    </row>
    <row r="214" spans="1:45" s="400" customFormat="1" ht="30" hidden="1" customHeight="1" x14ac:dyDescent="0.25">
      <c r="A214" s="2022"/>
      <c r="B214" s="2107"/>
      <c r="C214" s="132"/>
      <c r="D214" s="850" t="s">
        <v>10</v>
      </c>
      <c r="E214" s="853">
        <v>45876</v>
      </c>
      <c r="F214" s="42">
        <f>$L$7-E214</f>
        <v>410</v>
      </c>
      <c r="G214" s="36">
        <v>0</v>
      </c>
      <c r="H214" s="36"/>
      <c r="I214" s="36"/>
      <c r="J214" s="1294"/>
      <c r="K214" s="36"/>
      <c r="L214" s="531">
        <f t="shared" si="79"/>
        <v>0</v>
      </c>
      <c r="M214" s="45"/>
      <c r="N214" s="163"/>
      <c r="O214" s="45"/>
      <c r="P214" s="738"/>
      <c r="Q214" s="666"/>
      <c r="R214" s="785">
        <f>IFERROR(VLOOKUP($Q214,'391'!$S:$Z,8,0),0)</f>
        <v>0</v>
      </c>
      <c r="S214" s="796"/>
      <c r="T214" s="797"/>
      <c r="U214" s="797"/>
      <c r="V214" s="797"/>
      <c r="W214" s="802">
        <f>IFERROR(VLOOKUP($Q214,'391'!$P:$AG,15,0),0)</f>
        <v>0</v>
      </c>
      <c r="X214" s="799">
        <f t="shared" si="77"/>
        <v>0</v>
      </c>
      <c r="Y214" s="797"/>
      <c r="Z214" s="785"/>
      <c r="AA214" s="797"/>
      <c r="AB214" s="797"/>
      <c r="AC214" s="681"/>
      <c r="AD214" s="681"/>
      <c r="AE214" s="681"/>
      <c r="AF214" s="681"/>
      <c r="AG214" s="681"/>
      <c r="AH214" s="681"/>
      <c r="AI214" s="703"/>
      <c r="AJ214" s="703"/>
      <c r="AK214" s="703"/>
      <c r="AL214" s="703"/>
      <c r="AM214" s="703"/>
      <c r="AN214" s="703"/>
      <c r="AO214" s="703"/>
      <c r="AP214" s="703"/>
      <c r="AQ214" s="703"/>
      <c r="AR214" s="703"/>
      <c r="AS214" s="703"/>
    </row>
    <row r="215" spans="1:45" s="400" customFormat="1" ht="30" hidden="1" customHeight="1" x14ac:dyDescent="0.25">
      <c r="A215" s="2022"/>
      <c r="B215" s="2107"/>
      <c r="C215" s="132"/>
      <c r="D215" s="850" t="s">
        <v>10</v>
      </c>
      <c r="E215" s="853">
        <v>46104</v>
      </c>
      <c r="F215" s="42">
        <f>$L$7-E215</f>
        <v>182</v>
      </c>
      <c r="G215" s="36">
        <v>0</v>
      </c>
      <c r="H215" s="36"/>
      <c r="I215" s="36"/>
      <c r="J215" s="1294"/>
      <c r="K215" s="36"/>
      <c r="L215" s="531">
        <f t="shared" si="79"/>
        <v>0</v>
      </c>
      <c r="M215" s="45"/>
      <c r="N215" s="163"/>
      <c r="O215" s="45"/>
      <c r="P215" s="738"/>
      <c r="Q215" s="666"/>
      <c r="R215" s="785">
        <f>IFERROR(VLOOKUP($Q215,'391'!$S:$Z,8,0),0)</f>
        <v>0</v>
      </c>
      <c r="S215" s="796"/>
      <c r="T215" s="797"/>
      <c r="U215" s="797"/>
      <c r="V215" s="797"/>
      <c r="W215" s="802">
        <f>IFERROR(VLOOKUP($Q215,'391'!$P:$AG,15,0),0)</f>
        <v>0</v>
      </c>
      <c r="X215" s="799">
        <f t="shared" si="77"/>
        <v>0</v>
      </c>
      <c r="Y215" s="797"/>
      <c r="Z215" s="785"/>
      <c r="AA215" s="797"/>
      <c r="AB215" s="797"/>
      <c r="AC215" s="681"/>
      <c r="AD215" s="681"/>
      <c r="AE215" s="681"/>
      <c r="AF215" s="681"/>
      <c r="AG215" s="681"/>
      <c r="AH215" s="681"/>
      <c r="AI215" s="703"/>
      <c r="AJ215" s="703"/>
      <c r="AK215" s="703"/>
      <c r="AL215" s="703"/>
      <c r="AM215" s="703"/>
      <c r="AN215" s="703"/>
      <c r="AO215" s="703"/>
      <c r="AP215" s="703"/>
      <c r="AQ215" s="703"/>
      <c r="AR215" s="703"/>
      <c r="AS215" s="703"/>
    </row>
    <row r="216" spans="1:45" s="400" customFormat="1" ht="30" customHeight="1" x14ac:dyDescent="0.25">
      <c r="A216" s="2022"/>
      <c r="B216" s="2108"/>
      <c r="C216" s="132" t="s">
        <v>1510</v>
      </c>
      <c r="D216" s="850" t="s">
        <v>10</v>
      </c>
      <c r="E216" s="853">
        <v>46260</v>
      </c>
      <c r="F216" s="42">
        <f>$L$7-E216</f>
        <v>26</v>
      </c>
      <c r="G216" s="36">
        <v>42000</v>
      </c>
      <c r="H216" s="36"/>
      <c r="I216" s="36">
        <v>320000</v>
      </c>
      <c r="J216" s="1294"/>
      <c r="K216" s="36">
        <v>316000</v>
      </c>
      <c r="L216" s="531">
        <f t="shared" ref="L216" si="86">+G216+H216+I216-J216-K216</f>
        <v>46000</v>
      </c>
      <c r="M216" s="45"/>
      <c r="N216" s="163"/>
      <c r="O216" s="45"/>
      <c r="P216" s="738"/>
      <c r="Q216" s="666"/>
      <c r="R216" s="785">
        <f>IFERROR(VLOOKUP($Q216,'391'!$S:$Z,8,0),0)</f>
        <v>0</v>
      </c>
      <c r="S216" s="796"/>
      <c r="T216" s="797"/>
      <c r="U216" s="797"/>
      <c r="V216" s="797"/>
      <c r="W216" s="802">
        <f>IFERROR(VLOOKUP($Q216,'391'!$P:$AG,15,0),0)</f>
        <v>0</v>
      </c>
      <c r="X216" s="799">
        <f t="shared" ref="X216" si="87">G216-W216</f>
        <v>42000</v>
      </c>
      <c r="Y216" s="797"/>
      <c r="Z216" s="785"/>
      <c r="AA216" s="797"/>
      <c r="AB216" s="797"/>
      <c r="AC216" s="681"/>
      <c r="AD216" s="681"/>
      <c r="AE216" s="681"/>
      <c r="AF216" s="681"/>
      <c r="AG216" s="681"/>
      <c r="AH216" s="681"/>
      <c r="AI216" s="703"/>
      <c r="AJ216" s="703"/>
      <c r="AK216" s="703"/>
      <c r="AL216" s="703"/>
      <c r="AM216" s="703"/>
      <c r="AN216" s="703"/>
      <c r="AO216" s="703"/>
      <c r="AP216" s="703"/>
      <c r="AQ216" s="703"/>
      <c r="AR216" s="703"/>
      <c r="AS216" s="703"/>
    </row>
    <row r="217" spans="1:45" s="400" customFormat="1" ht="30" customHeight="1" x14ac:dyDescent="0.25">
      <c r="A217" s="2022"/>
      <c r="B217" s="2025"/>
      <c r="C217" s="148" t="s">
        <v>2215</v>
      </c>
      <c r="D217" s="850" t="s">
        <v>10</v>
      </c>
      <c r="E217" s="853">
        <v>46258</v>
      </c>
      <c r="F217" s="42">
        <f t="shared" ref="F217" si="88">$L$7-E217</f>
        <v>28</v>
      </c>
      <c r="G217" s="36">
        <v>22766</v>
      </c>
      <c r="H217" s="36"/>
      <c r="I217" s="36">
        <f>+K216</f>
        <v>316000</v>
      </c>
      <c r="J217" s="1294">
        <f>usage!I24-J208</f>
        <v>319168</v>
      </c>
      <c r="K217" s="36"/>
      <c r="L217" s="531">
        <f t="shared" si="79"/>
        <v>19598</v>
      </c>
      <c r="M217" s="47"/>
      <c r="N217" s="920"/>
      <c r="O217" s="47"/>
      <c r="P217" s="735"/>
      <c r="Q217" s="795"/>
      <c r="R217" s="785"/>
      <c r="S217" s="796"/>
      <c r="T217" s="797"/>
      <c r="U217" s="797"/>
      <c r="V217" s="797"/>
      <c r="W217" s="802">
        <f>IFERROR(VLOOKUP($Q217,'391'!$P:$AG,15,0),0)</f>
        <v>0</v>
      </c>
      <c r="X217" s="799">
        <f t="shared" si="77"/>
        <v>22766</v>
      </c>
      <c r="Y217" s="797"/>
      <c r="Z217" s="785"/>
      <c r="AA217" s="797"/>
      <c r="AB217" s="797"/>
      <c r="AC217" s="681"/>
      <c r="AD217" s="681"/>
      <c r="AE217" s="681"/>
      <c r="AF217" s="681"/>
      <c r="AG217" s="681"/>
      <c r="AH217" s="681"/>
      <c r="AI217" s="703"/>
      <c r="AJ217" s="703"/>
      <c r="AK217" s="703"/>
      <c r="AL217" s="703"/>
      <c r="AM217" s="703"/>
      <c r="AN217" s="703"/>
      <c r="AO217" s="703"/>
      <c r="AP217" s="703"/>
      <c r="AQ217" s="703"/>
      <c r="AR217" s="703"/>
      <c r="AS217" s="703"/>
    </row>
    <row r="218" spans="1:45" s="402" customFormat="1" ht="30" customHeight="1" x14ac:dyDescent="0.25">
      <c r="A218" s="2022"/>
      <c r="B218" s="2109"/>
      <c r="C218" s="2110" t="s">
        <v>1423</v>
      </c>
      <c r="D218" s="2111"/>
      <c r="E218" s="2111"/>
      <c r="F218" s="2111"/>
      <c r="G218" s="1301">
        <v>3750426</v>
      </c>
      <c r="H218" s="1301">
        <f t="shared" ref="H218:L218" si="89">+SUM(H210:H217)</f>
        <v>0</v>
      </c>
      <c r="I218" s="1301">
        <f t="shared" si="89"/>
        <v>669000</v>
      </c>
      <c r="J218" s="1301">
        <f t="shared" si="89"/>
        <v>319168</v>
      </c>
      <c r="K218" s="1301">
        <f t="shared" si="89"/>
        <v>636000</v>
      </c>
      <c r="L218" s="1301">
        <f t="shared" si="89"/>
        <v>3464258</v>
      </c>
      <c r="M218" s="285">
        <f>R218/$S$2</f>
        <v>334128.16666666669</v>
      </c>
      <c r="N218" s="387">
        <f>IFERROR(L218/M218,0)</f>
        <v>10.368051381480859</v>
      </c>
      <c r="O218" s="285">
        <f>IFERROR(SUMIF(ETM!$A:$A,$Q218,ETM!$E:$E),"")</f>
        <v>313111</v>
      </c>
      <c r="P218" s="387">
        <f>IFERROR(L218/O218,0)</f>
        <v>11.063993280338282</v>
      </c>
      <c r="Q218" s="795" t="s">
        <v>841</v>
      </c>
      <c r="R218" s="785">
        <f>IFERROR(VLOOKUP($Q218,'391'!$S:$Z,8,0),0)</f>
        <v>2004769</v>
      </c>
      <c r="S218" s="796"/>
      <c r="T218" s="797"/>
      <c r="U218" s="797"/>
      <c r="V218" s="797"/>
      <c r="W218" s="802">
        <f>IFERROR(VLOOKUP($Q218,'391'!$P:$AG,15,0),0)</f>
        <v>0</v>
      </c>
      <c r="X218" s="799">
        <f t="shared" si="77"/>
        <v>3750426</v>
      </c>
      <c r="Y218" s="797"/>
      <c r="Z218" s="785"/>
      <c r="AA218" s="797"/>
      <c r="AB218" s="797"/>
      <c r="AC218" s="551"/>
      <c r="AD218" s="551"/>
      <c r="AE218" s="551"/>
      <c r="AF218" s="551"/>
      <c r="AG218" s="551"/>
      <c r="AH218" s="551"/>
      <c r="AI218" s="704"/>
      <c r="AJ218" s="704"/>
      <c r="AK218" s="704"/>
      <c r="AL218" s="704"/>
      <c r="AM218" s="704"/>
      <c r="AN218" s="704"/>
      <c r="AO218" s="704"/>
      <c r="AP218" s="704"/>
      <c r="AQ218" s="704"/>
      <c r="AR218" s="704"/>
      <c r="AS218" s="704"/>
    </row>
    <row r="219" spans="1:45" s="400" customFormat="1" ht="30" hidden="1" customHeight="1" x14ac:dyDescent="0.25">
      <c r="A219" s="2022"/>
      <c r="B219" s="2025" t="s">
        <v>1421</v>
      </c>
      <c r="C219" s="132"/>
      <c r="D219" s="850" t="s">
        <v>10</v>
      </c>
      <c r="E219" s="853">
        <v>46237</v>
      </c>
      <c r="F219" s="42">
        <f t="shared" ref="F219" si="90">$L$7-E219</f>
        <v>49</v>
      </c>
      <c r="G219" s="36">
        <v>0</v>
      </c>
      <c r="H219" s="36"/>
      <c r="I219" s="36"/>
      <c r="J219" s="1294"/>
      <c r="K219" s="36"/>
      <c r="L219" s="531">
        <f t="shared" ref="L219:L223" si="91">+G219+H219+I219-J219-K219</f>
        <v>0</v>
      </c>
      <c r="M219" s="21"/>
      <c r="N219" s="163"/>
      <c r="O219" s="48"/>
      <c r="P219" s="738"/>
      <c r="Q219" s="795"/>
      <c r="R219" s="785">
        <f>IFERROR(VLOOKUP($Q219,'391'!$S:$Z,8,0),0)</f>
        <v>0</v>
      </c>
      <c r="S219" s="796"/>
      <c r="T219" s="797"/>
      <c r="U219" s="797"/>
      <c r="V219" s="797"/>
      <c r="W219" s="802">
        <f>IFERROR(VLOOKUP($Q219,'391'!$P:$AG,15,0),0)</f>
        <v>0</v>
      </c>
      <c r="X219" s="799">
        <f t="shared" si="77"/>
        <v>0</v>
      </c>
      <c r="Y219" s="797"/>
      <c r="Z219" s="785"/>
      <c r="AA219" s="797"/>
      <c r="AB219" s="797"/>
      <c r="AC219" s="681"/>
      <c r="AD219" s="681"/>
      <c r="AE219" s="681"/>
      <c r="AF219" s="681"/>
      <c r="AG219" s="681"/>
      <c r="AH219" s="681"/>
      <c r="AI219" s="703"/>
      <c r="AJ219" s="703"/>
      <c r="AK219" s="703"/>
      <c r="AL219" s="703"/>
      <c r="AM219" s="703"/>
      <c r="AN219" s="703"/>
      <c r="AO219" s="703"/>
      <c r="AP219" s="703"/>
      <c r="AQ219" s="703"/>
      <c r="AR219" s="703"/>
      <c r="AS219" s="703"/>
    </row>
    <row r="220" spans="1:45" s="400" customFormat="1" ht="30" hidden="1" customHeight="1" x14ac:dyDescent="0.25">
      <c r="A220" s="2022"/>
      <c r="B220" s="2107"/>
      <c r="C220" s="132"/>
      <c r="D220" s="850" t="s">
        <v>10</v>
      </c>
      <c r="E220" s="853">
        <v>46167</v>
      </c>
      <c r="F220" s="1216">
        <f>$L$7-E220</f>
        <v>119</v>
      </c>
      <c r="G220" s="36">
        <v>0</v>
      </c>
      <c r="H220" s="296"/>
      <c r="I220" s="36"/>
      <c r="J220" s="1298"/>
      <c r="K220" s="296"/>
      <c r="L220" s="531">
        <f t="shared" si="91"/>
        <v>0</v>
      </c>
      <c r="M220" s="48"/>
      <c r="N220" s="163"/>
      <c r="O220" s="48"/>
      <c r="P220" s="738"/>
      <c r="Q220" s="795"/>
      <c r="R220" s="785">
        <f>IFERROR(VLOOKUP($Q220,'391'!$S:$Z,8,0),0)</f>
        <v>0</v>
      </c>
      <c r="S220" s="796"/>
      <c r="T220" s="797"/>
      <c r="U220" s="797"/>
      <c r="V220" s="797"/>
      <c r="W220" s="802">
        <f>IFERROR(VLOOKUP($Q220,'391'!$P:$AG,15,0),0)</f>
        <v>0</v>
      </c>
      <c r="X220" s="799">
        <f t="shared" si="77"/>
        <v>0</v>
      </c>
      <c r="Y220" s="797"/>
      <c r="Z220" s="785"/>
      <c r="AA220" s="797"/>
      <c r="AB220" s="797"/>
      <c r="AC220" s="681"/>
      <c r="AD220" s="681"/>
      <c r="AE220" s="681"/>
      <c r="AF220" s="681"/>
      <c r="AG220" s="681"/>
      <c r="AH220" s="681"/>
      <c r="AI220" s="703"/>
      <c r="AJ220" s="703"/>
      <c r="AK220" s="703"/>
      <c r="AL220" s="703"/>
      <c r="AM220" s="703"/>
      <c r="AN220" s="703"/>
      <c r="AO220" s="703"/>
      <c r="AP220" s="703"/>
      <c r="AQ220" s="703"/>
      <c r="AR220" s="703"/>
      <c r="AS220" s="703"/>
    </row>
    <row r="221" spans="1:45" s="400" customFormat="1" ht="30" hidden="1" customHeight="1" x14ac:dyDescent="0.25">
      <c r="A221" s="2022"/>
      <c r="B221" s="2025"/>
      <c r="C221" s="132"/>
      <c r="D221" s="850" t="s">
        <v>10</v>
      </c>
      <c r="E221" s="853">
        <v>46182</v>
      </c>
      <c r="F221" s="1216">
        <f>$L$7-E221</f>
        <v>104</v>
      </c>
      <c r="G221" s="36">
        <v>0</v>
      </c>
      <c r="H221" s="36"/>
      <c r="I221" s="36"/>
      <c r="J221" s="1298"/>
      <c r="K221" s="296"/>
      <c r="L221" s="531">
        <f t="shared" si="91"/>
        <v>0</v>
      </c>
      <c r="M221" s="48"/>
      <c r="N221" s="163"/>
      <c r="O221" s="48"/>
      <c r="P221" s="738"/>
      <c r="Q221" s="795"/>
      <c r="R221" s="785">
        <f>IFERROR(VLOOKUP($Q221,'391'!$S:$Z,8,0),0)</f>
        <v>0</v>
      </c>
      <c r="S221" s="796"/>
      <c r="T221" s="797"/>
      <c r="U221" s="797"/>
      <c r="V221" s="797"/>
      <c r="W221" s="802">
        <f>IFERROR(VLOOKUP($Q221,'391'!$P:$AG,15,0),0)</f>
        <v>0</v>
      </c>
      <c r="X221" s="799">
        <f t="shared" si="77"/>
        <v>0</v>
      </c>
      <c r="Y221" s="797"/>
      <c r="Z221" s="785"/>
      <c r="AA221" s="797"/>
      <c r="AB221" s="797"/>
      <c r="AC221" s="681"/>
      <c r="AD221" s="681"/>
      <c r="AE221" s="681"/>
      <c r="AF221" s="681"/>
      <c r="AG221" s="681"/>
      <c r="AH221" s="681"/>
      <c r="AI221" s="703"/>
      <c r="AJ221" s="703"/>
      <c r="AK221" s="703"/>
      <c r="AL221" s="703"/>
      <c r="AM221" s="703"/>
      <c r="AN221" s="703"/>
      <c r="AO221" s="703"/>
      <c r="AP221" s="703"/>
      <c r="AQ221" s="703"/>
      <c r="AR221" s="703"/>
      <c r="AS221" s="703"/>
    </row>
    <row r="222" spans="1:45" s="400" customFormat="1" ht="30" hidden="1" customHeight="1" x14ac:dyDescent="0.25">
      <c r="A222" s="2022"/>
      <c r="B222" s="2025"/>
      <c r="C222" s="132" t="s">
        <v>1426</v>
      </c>
      <c r="D222" s="850" t="s">
        <v>10</v>
      </c>
      <c r="E222" s="853">
        <v>46240</v>
      </c>
      <c r="F222" s="1961">
        <f>$L$7-E222</f>
        <v>46</v>
      </c>
      <c r="G222" s="296">
        <v>0</v>
      </c>
      <c r="H222" s="296"/>
      <c r="I222" s="296"/>
      <c r="J222" s="1298"/>
      <c r="K222" s="296"/>
      <c r="L222" s="531">
        <f t="shared" si="91"/>
        <v>0</v>
      </c>
      <c r="M222" s="48"/>
      <c r="N222" s="163"/>
      <c r="O222" s="48"/>
      <c r="P222" s="738"/>
      <c r="Q222" s="795"/>
      <c r="R222" s="785">
        <f>IFERROR(VLOOKUP($Q222,'391'!$S:$Z,8,0),0)</f>
        <v>0</v>
      </c>
      <c r="S222" s="796"/>
      <c r="T222" s="797"/>
      <c r="U222" s="797"/>
      <c r="V222" s="797"/>
      <c r="W222" s="802">
        <f>IFERROR(VLOOKUP($Q222,'391'!$P:$AG,15,0),0)</f>
        <v>0</v>
      </c>
      <c r="X222" s="799">
        <f t="shared" si="77"/>
        <v>0</v>
      </c>
      <c r="Y222" s="797"/>
      <c r="Z222" s="785"/>
      <c r="AA222" s="797"/>
      <c r="AB222" s="797"/>
      <c r="AC222" s="681"/>
      <c r="AD222" s="681"/>
      <c r="AE222" s="681"/>
      <c r="AF222" s="681"/>
      <c r="AG222" s="681"/>
      <c r="AH222" s="681"/>
      <c r="AI222" s="703"/>
      <c r="AJ222" s="703"/>
      <c r="AK222" s="703"/>
      <c r="AL222" s="703"/>
      <c r="AM222" s="703"/>
      <c r="AN222" s="703"/>
      <c r="AO222" s="703"/>
      <c r="AP222" s="703"/>
      <c r="AQ222" s="703"/>
      <c r="AR222" s="703"/>
      <c r="AS222" s="703"/>
    </row>
    <row r="223" spans="1:45" s="400" customFormat="1" ht="30" hidden="1" customHeight="1" x14ac:dyDescent="0.25">
      <c r="A223" s="2022"/>
      <c r="B223" s="2025"/>
      <c r="C223" s="148" t="s">
        <v>1293</v>
      </c>
      <c r="D223" s="852" t="s">
        <v>10</v>
      </c>
      <c r="E223" s="890">
        <v>46237</v>
      </c>
      <c r="F223" s="39">
        <f>$L$7-E223</f>
        <v>49</v>
      </c>
      <c r="G223" s="28">
        <v>0</v>
      </c>
      <c r="H223" s="28"/>
      <c r="I223" s="28">
        <f>+K221+K220+K222-I221</f>
        <v>0</v>
      </c>
      <c r="J223" s="1295">
        <f>usage!I22</f>
        <v>0</v>
      </c>
      <c r="K223" s="28"/>
      <c r="L223" s="531">
        <f t="shared" si="91"/>
        <v>0</v>
      </c>
      <c r="M223" s="44"/>
      <c r="N223" s="95"/>
      <c r="O223" s="44"/>
      <c r="P223" s="735"/>
      <c r="Q223" s="795"/>
      <c r="R223" s="785">
        <f>IFERROR(VLOOKUP($Q223,'391'!$S:$Z,8,0),0)</f>
        <v>0</v>
      </c>
      <c r="S223" s="796"/>
      <c r="T223" s="797"/>
      <c r="U223" s="797"/>
      <c r="V223" s="797"/>
      <c r="W223" s="802">
        <f>IFERROR(VLOOKUP($Q223,'391'!$P:$AG,15,0),0)</f>
        <v>0</v>
      </c>
      <c r="X223" s="799">
        <f t="shared" si="77"/>
        <v>0</v>
      </c>
      <c r="Y223" s="797"/>
      <c r="Z223" s="785"/>
      <c r="AA223" s="797"/>
      <c r="AB223" s="797"/>
      <c r="AC223" s="681"/>
      <c r="AD223" s="681"/>
      <c r="AE223" s="681"/>
      <c r="AF223" s="681"/>
      <c r="AG223" s="681"/>
      <c r="AH223" s="681"/>
      <c r="AI223" s="703"/>
      <c r="AJ223" s="703"/>
      <c r="AK223" s="703"/>
      <c r="AL223" s="703"/>
      <c r="AM223" s="703"/>
      <c r="AN223" s="703"/>
      <c r="AO223" s="703"/>
      <c r="AP223" s="703"/>
      <c r="AQ223" s="703"/>
      <c r="AR223" s="703"/>
      <c r="AS223" s="703"/>
    </row>
    <row r="224" spans="1:45" s="402" customFormat="1" ht="30" hidden="1" customHeight="1" x14ac:dyDescent="0.25">
      <c r="A224" s="2022"/>
      <c r="B224" s="2025"/>
      <c r="C224" s="2110" t="s">
        <v>1422</v>
      </c>
      <c r="D224" s="2111"/>
      <c r="E224" s="2111"/>
      <c r="F224" s="2111"/>
      <c r="G224" s="1301">
        <v>0</v>
      </c>
      <c r="H224" s="1301">
        <f>+SUM(H219:H223)</f>
        <v>0</v>
      </c>
      <c r="I224" s="1301">
        <f>+SUM(I219:I223)</f>
        <v>0</v>
      </c>
      <c r="J224" s="1301">
        <f>+SUM(J219:J223)</f>
        <v>0</v>
      </c>
      <c r="K224" s="1301">
        <f>+SUM(K219:K223)</f>
        <v>0</v>
      </c>
      <c r="L224" s="1301">
        <f>+SUM(L219:L223)</f>
        <v>0</v>
      </c>
      <c r="M224" s="891">
        <f>+R224/$S$2</f>
        <v>0</v>
      </c>
      <c r="N224" s="892">
        <f>IFERROR(L224/M224,0)</f>
        <v>0</v>
      </c>
      <c r="O224" s="891">
        <f>IFERROR(SUMIF(ETM!$A:$A,$Q224,ETM!$E:$E),"")</f>
        <v>0</v>
      </c>
      <c r="P224" s="868">
        <f>IFERROR(L224/O224,0)</f>
        <v>0</v>
      </c>
      <c r="Q224" s="795" t="s">
        <v>805</v>
      </c>
      <c r="R224" s="785">
        <f>IFERROR(VLOOKUP($Q224,'391'!$S:$Z,8,0),0)</f>
        <v>0</v>
      </c>
      <c r="S224" s="796"/>
      <c r="T224" s="797"/>
      <c r="U224" s="797"/>
      <c r="V224" s="797"/>
      <c r="W224" s="802">
        <f>IFERROR(VLOOKUP($Q224,'391'!$P:$AG,15,0),0)</f>
        <v>0</v>
      </c>
      <c r="X224" s="799">
        <f t="shared" si="77"/>
        <v>0</v>
      </c>
      <c r="Y224" s="797"/>
      <c r="Z224" s="785"/>
      <c r="AA224" s="797"/>
      <c r="AB224" s="797"/>
      <c r="AC224" s="551"/>
      <c r="AD224" s="551"/>
      <c r="AE224" s="551"/>
      <c r="AF224" s="551"/>
      <c r="AG224" s="551"/>
      <c r="AH224" s="551"/>
      <c r="AI224" s="704"/>
      <c r="AJ224" s="704"/>
      <c r="AK224" s="704"/>
      <c r="AL224" s="704"/>
      <c r="AM224" s="704"/>
      <c r="AN224" s="704"/>
      <c r="AO224" s="704"/>
      <c r="AP224" s="704"/>
      <c r="AQ224" s="704"/>
      <c r="AR224" s="704"/>
      <c r="AS224" s="704"/>
    </row>
    <row r="225" spans="1:107" s="402" customFormat="1" ht="30" customHeight="1" x14ac:dyDescent="0.25">
      <c r="A225" s="2019" t="s">
        <v>177</v>
      </c>
      <c r="B225" s="2020"/>
      <c r="C225" s="88"/>
      <c r="D225" s="864"/>
      <c r="E225" s="864"/>
      <c r="F225" s="865"/>
      <c r="G225" s="1296">
        <v>3750426</v>
      </c>
      <c r="H225" s="1296">
        <f>H209+H224+H202+H218</f>
        <v>0</v>
      </c>
      <c r="I225" s="1296">
        <f t="shared" ref="I225:M225" si="92">I209+I224+I202+I218</f>
        <v>669000</v>
      </c>
      <c r="J225" s="1296">
        <f t="shared" si="92"/>
        <v>319168</v>
      </c>
      <c r="K225" s="1296">
        <f t="shared" si="92"/>
        <v>636000</v>
      </c>
      <c r="L225" s="1296">
        <f t="shared" si="92"/>
        <v>3464258</v>
      </c>
      <c r="M225" s="1296">
        <f t="shared" si="92"/>
        <v>334128.16666666669</v>
      </c>
      <c r="N225" s="854">
        <f>+(L225/M225)</f>
        <v>10.368051381480859</v>
      </c>
      <c r="O225" s="59">
        <f>+O224+O209+O202+O218</f>
        <v>313111</v>
      </c>
      <c r="P225" s="855">
        <f>+(L225/O225)</f>
        <v>11.063993280338282</v>
      </c>
      <c r="Q225" s="795" t="s">
        <v>842</v>
      </c>
      <c r="R225" s="785">
        <f>IFERROR(VLOOKUP($Q225,'391'!$P:$W,8,0),"")</f>
        <v>2004769</v>
      </c>
      <c r="S225" s="796"/>
      <c r="T225" s="797"/>
      <c r="U225" s="797"/>
      <c r="V225" s="797"/>
      <c r="W225" s="802">
        <f>IFERROR(VLOOKUP($Q225,'391'!$P:$AG,15,0),0)</f>
        <v>3750426</v>
      </c>
      <c r="X225" s="799">
        <f t="shared" si="77"/>
        <v>0</v>
      </c>
      <c r="Y225" s="797"/>
      <c r="Z225" s="785"/>
      <c r="AA225" s="797"/>
      <c r="AB225" s="797"/>
      <c r="AC225" s="551"/>
      <c r="AD225" s="551"/>
      <c r="AE225" s="551"/>
      <c r="AF225" s="551"/>
      <c r="AG225" s="551"/>
      <c r="AH225" s="551"/>
      <c r="AI225" s="704"/>
      <c r="AJ225" s="704"/>
      <c r="AK225" s="704"/>
      <c r="AL225" s="704"/>
      <c r="AM225" s="704"/>
      <c r="AN225" s="704"/>
      <c r="AO225" s="704"/>
      <c r="AP225" s="704"/>
      <c r="AQ225" s="704"/>
      <c r="AR225" s="704"/>
      <c r="AS225" s="704"/>
    </row>
    <row r="226" spans="1:107" s="407" customFormat="1" ht="30" customHeight="1" x14ac:dyDescent="0.25">
      <c r="A226" s="2021">
        <f>IF(L229=0,"",COUNT($A$16:A225)+1)</f>
        <v>10</v>
      </c>
      <c r="B226" s="2043" t="s">
        <v>130</v>
      </c>
      <c r="C226" s="109"/>
      <c r="D226" s="850" t="s">
        <v>10</v>
      </c>
      <c r="E226" s="853">
        <v>46281</v>
      </c>
      <c r="F226" s="42">
        <f>$L$7-E226</f>
        <v>5</v>
      </c>
      <c r="G226" s="36">
        <v>0</v>
      </c>
      <c r="H226" s="36"/>
      <c r="I226" s="36"/>
      <c r="J226" s="1294"/>
      <c r="K226" s="36"/>
      <c r="L226" s="531">
        <f t="shared" ref="L226:L232" si="93">+G226+H226+I226-J226-K226</f>
        <v>0</v>
      </c>
      <c r="M226" s="1449"/>
      <c r="N226" s="920"/>
      <c r="O226" s="1770"/>
      <c r="P226" s="1865"/>
      <c r="Q226" s="795"/>
      <c r="R226" s="785">
        <f>IFERROR(VLOOKUP($Q226,'391'!$P:$W,8,0),"")</f>
        <v>0</v>
      </c>
      <c r="S226" s="786"/>
      <c r="T226" s="810"/>
      <c r="U226" s="810"/>
      <c r="V226" s="810"/>
      <c r="W226" s="802">
        <f>IFERROR(VLOOKUP($Q226,'391'!$P:$AG,15,0),0)</f>
        <v>0</v>
      </c>
      <c r="X226" s="799">
        <f t="shared" si="77"/>
        <v>0</v>
      </c>
      <c r="Y226" s="810"/>
      <c r="Z226" s="786"/>
      <c r="AA226" s="810"/>
      <c r="AB226" s="810"/>
      <c r="AC226" s="684"/>
      <c r="AD226" s="684"/>
      <c r="AE226" s="684"/>
      <c r="AF226" s="684"/>
      <c r="AG226" s="684"/>
      <c r="AH226" s="684"/>
      <c r="AI226" s="706"/>
      <c r="AJ226" s="706"/>
      <c r="AK226" s="706"/>
      <c r="AL226" s="706"/>
      <c r="AM226" s="706"/>
      <c r="AN226" s="706"/>
      <c r="AO226" s="706"/>
      <c r="AP226" s="706"/>
      <c r="AQ226" s="706"/>
      <c r="AR226" s="706"/>
      <c r="AS226" s="706"/>
      <c r="AT226" s="83"/>
      <c r="AU226" s="83"/>
      <c r="AV226" s="83"/>
      <c r="AW226" s="83"/>
      <c r="AX226" s="83"/>
      <c r="AY226" s="83"/>
      <c r="AZ226" s="83"/>
      <c r="BA226" s="83"/>
      <c r="BB226" s="83"/>
      <c r="BC226" s="83"/>
      <c r="BD226" s="83"/>
      <c r="BE226" s="83"/>
      <c r="BF226" s="83"/>
      <c r="BG226" s="83"/>
      <c r="BH226" s="83"/>
      <c r="BI226" s="83"/>
      <c r="BJ226" s="83"/>
      <c r="BK226" s="83"/>
      <c r="BL226" s="83"/>
      <c r="BM226" s="83"/>
      <c r="BN226" s="83"/>
      <c r="BO226" s="83"/>
      <c r="BP226" s="83"/>
      <c r="BQ226" s="83"/>
      <c r="BR226" s="83"/>
      <c r="BS226" s="83"/>
      <c r="BT226" s="83"/>
      <c r="BU226" s="83"/>
      <c r="BV226" s="83"/>
      <c r="BW226" s="83"/>
      <c r="BX226" s="83"/>
      <c r="BY226" s="83"/>
      <c r="BZ226" s="83"/>
      <c r="CA226" s="83"/>
      <c r="CB226" s="83"/>
      <c r="CC226" s="83"/>
      <c r="CD226" s="83"/>
      <c r="CE226" s="83"/>
      <c r="CF226" s="83"/>
      <c r="CG226" s="83"/>
      <c r="CH226" s="83"/>
      <c r="CI226" s="83"/>
      <c r="CJ226" s="83"/>
      <c r="CK226" s="83"/>
      <c r="CL226" s="83"/>
      <c r="CM226" s="83"/>
      <c r="CN226" s="83"/>
      <c r="CO226" s="83"/>
      <c r="CP226" s="83"/>
      <c r="CQ226" s="83"/>
      <c r="CR226" s="83"/>
      <c r="CS226" s="83"/>
      <c r="CT226" s="83"/>
      <c r="CU226" s="83"/>
      <c r="CV226" s="83"/>
      <c r="CW226" s="83"/>
      <c r="CX226" s="83"/>
      <c r="CY226" s="83"/>
      <c r="CZ226" s="83"/>
      <c r="DA226" s="83"/>
      <c r="DB226" s="83"/>
      <c r="DC226" s="83"/>
    </row>
    <row r="227" spans="1:107" s="83" customFormat="1" ht="30" hidden="1" customHeight="1" x14ac:dyDescent="0.25">
      <c r="A227" s="2022"/>
      <c r="B227" s="2065"/>
      <c r="C227" s="109"/>
      <c r="D227" s="850" t="s">
        <v>10</v>
      </c>
      <c r="E227" s="853">
        <v>43483</v>
      </c>
      <c r="F227" s="42">
        <f>$L$7-E227</f>
        <v>2803</v>
      </c>
      <c r="G227" s="36">
        <v>0</v>
      </c>
      <c r="H227" s="36"/>
      <c r="I227" s="36"/>
      <c r="J227" s="1294"/>
      <c r="K227" s="36"/>
      <c r="L227" s="531">
        <f t="shared" si="93"/>
        <v>0</v>
      </c>
      <c r="M227" s="1450"/>
      <c r="N227" s="1269"/>
      <c r="O227" s="1866"/>
      <c r="P227" s="1867"/>
      <c r="Q227" s="795"/>
      <c r="R227" s="785">
        <f>IFERROR(VLOOKUP($Q227,'391'!$P:$W,8,0),"")</f>
        <v>0</v>
      </c>
      <c r="S227" s="786"/>
      <c r="T227" s="810"/>
      <c r="U227" s="810"/>
      <c r="V227" s="810"/>
      <c r="W227" s="802">
        <f>IFERROR(VLOOKUP($Q227,'391'!$P:$AG,15,0),0)</f>
        <v>0</v>
      </c>
      <c r="X227" s="799">
        <f t="shared" si="77"/>
        <v>0</v>
      </c>
      <c r="Y227" s="810"/>
      <c r="Z227" s="786"/>
      <c r="AA227" s="810"/>
      <c r="AB227" s="810"/>
      <c r="AC227" s="684"/>
      <c r="AD227" s="684"/>
      <c r="AE227" s="684"/>
      <c r="AF227" s="684"/>
      <c r="AG227" s="684"/>
      <c r="AH227" s="684"/>
      <c r="AI227" s="706"/>
      <c r="AJ227" s="706"/>
      <c r="AK227" s="706"/>
      <c r="AL227" s="706"/>
      <c r="AM227" s="706"/>
      <c r="AN227" s="706"/>
      <c r="AO227" s="706"/>
      <c r="AP227" s="706"/>
      <c r="AQ227" s="706"/>
      <c r="AR227" s="706"/>
      <c r="AS227" s="706"/>
    </row>
    <row r="228" spans="1:107" s="400" customFormat="1" ht="30" customHeight="1" x14ac:dyDescent="0.25">
      <c r="A228" s="2022"/>
      <c r="B228" s="2065"/>
      <c r="C228" s="109" t="s">
        <v>924</v>
      </c>
      <c r="D228" s="850" t="s">
        <v>10</v>
      </c>
      <c r="E228" s="853">
        <v>46281</v>
      </c>
      <c r="F228" s="42">
        <f>$L$7-E228</f>
        <v>5</v>
      </c>
      <c r="G228" s="36">
        <v>13494</v>
      </c>
      <c r="H228" s="36"/>
      <c r="I228" s="36">
        <f>+K226</f>
        <v>0</v>
      </c>
      <c r="J228" s="1294">
        <f>usage!I27</f>
        <v>5482</v>
      </c>
      <c r="K228" s="36"/>
      <c r="L228" s="531">
        <f t="shared" si="93"/>
        <v>8012</v>
      </c>
      <c r="M228" s="45"/>
      <c r="N228" s="162"/>
      <c r="O228" s="45"/>
      <c r="P228" s="736"/>
      <c r="Q228" s="795"/>
      <c r="R228" s="785">
        <f>IFERROR(VLOOKUP($Q228,'391'!$P:$W,8,0),"")</f>
        <v>0</v>
      </c>
      <c r="S228" s="796"/>
      <c r="T228" s="797"/>
      <c r="U228" s="797"/>
      <c r="V228" s="797"/>
      <c r="W228" s="802">
        <f>IFERROR(VLOOKUP($Q228,'391'!$P:$AG,15,0),0)</f>
        <v>0</v>
      </c>
      <c r="X228" s="799">
        <f t="shared" si="77"/>
        <v>13494</v>
      </c>
      <c r="Y228" s="797"/>
      <c r="Z228" s="785"/>
      <c r="AA228" s="797"/>
      <c r="AB228" s="797"/>
      <c r="AC228" s="681"/>
      <c r="AD228" s="681"/>
      <c r="AE228" s="681"/>
      <c r="AF228" s="681"/>
      <c r="AG228" s="681"/>
      <c r="AH228" s="681"/>
      <c r="AI228" s="703"/>
      <c r="AJ228" s="703"/>
      <c r="AK228" s="703"/>
      <c r="AL228" s="703"/>
      <c r="AM228" s="703"/>
      <c r="AN228" s="703"/>
      <c r="AO228" s="703"/>
      <c r="AP228" s="703"/>
      <c r="AQ228" s="703"/>
      <c r="AR228" s="703"/>
      <c r="AS228" s="703"/>
    </row>
    <row r="229" spans="1:107" s="402" customFormat="1" ht="30" customHeight="1" x14ac:dyDescent="0.25">
      <c r="A229" s="2019" t="s">
        <v>352</v>
      </c>
      <c r="B229" s="2020"/>
      <c r="C229" s="893"/>
      <c r="D229" s="894"/>
      <c r="E229" s="895"/>
      <c r="F229" s="896"/>
      <c r="G229" s="1327">
        <v>13494</v>
      </c>
      <c r="H229" s="1327">
        <f t="shared" ref="H229:L229" si="94">+SUM(H226:H228)</f>
        <v>0</v>
      </c>
      <c r="I229" s="1327">
        <f t="shared" si="94"/>
        <v>0</v>
      </c>
      <c r="J229" s="1327">
        <f t="shared" si="94"/>
        <v>5482</v>
      </c>
      <c r="K229" s="1327">
        <f t="shared" si="94"/>
        <v>0</v>
      </c>
      <c r="L229" s="1327">
        <f t="shared" si="94"/>
        <v>8012</v>
      </c>
      <c r="M229" s="59">
        <f>IFERROR((R229/$S$2),"")</f>
        <v>2314.3333333333335</v>
      </c>
      <c r="N229" s="854">
        <f>IFERROR(L229/M229,0)</f>
        <v>3.4619040760478179</v>
      </c>
      <c r="O229" s="59">
        <f>IFERROR(SUMIF(ETM!$A:$A,$Q229,ETM!$E:$E),"")</f>
        <v>2243.8333333333335</v>
      </c>
      <c r="P229" s="880">
        <f>IFERROR(L229/O229,0)</f>
        <v>3.5706751838371833</v>
      </c>
      <c r="Q229" s="666" t="s">
        <v>1681</v>
      </c>
      <c r="R229" s="785">
        <f>IFERROR(VLOOKUP($Q229,'391'!$P:$W,8,0),"")</f>
        <v>13886</v>
      </c>
      <c r="S229" s="796"/>
      <c r="T229" s="797"/>
      <c r="U229" s="797"/>
      <c r="V229" s="797"/>
      <c r="W229" s="802">
        <f>IFERROR(VLOOKUP($Q229,'391'!$P:$AG,15,0),0)</f>
        <v>13494</v>
      </c>
      <c r="X229" s="799">
        <f t="shared" si="77"/>
        <v>0</v>
      </c>
      <c r="Y229" s="797"/>
      <c r="Z229" s="785"/>
      <c r="AA229" s="797"/>
      <c r="AB229" s="797"/>
      <c r="AC229" s="551"/>
      <c r="AD229" s="551"/>
      <c r="AE229" s="551"/>
      <c r="AF229" s="551"/>
      <c r="AG229" s="551"/>
      <c r="AH229" s="551"/>
      <c r="AI229" s="704"/>
      <c r="AJ229" s="704"/>
      <c r="AK229" s="704"/>
      <c r="AL229" s="704"/>
      <c r="AM229" s="704"/>
      <c r="AN229" s="704"/>
      <c r="AO229" s="704"/>
      <c r="AP229" s="704"/>
      <c r="AQ229" s="704"/>
      <c r="AR229" s="704"/>
      <c r="AS229" s="704"/>
    </row>
    <row r="230" spans="1:107" s="400" customFormat="1" ht="30" customHeight="1" x14ac:dyDescent="0.25">
      <c r="A230" s="2063">
        <f>IF(L233=0,"", MAX($A$16:A229)+1)</f>
        <v>11</v>
      </c>
      <c r="B230" s="2043" t="s">
        <v>170</v>
      </c>
      <c r="C230" s="109" t="s">
        <v>82</v>
      </c>
      <c r="D230" s="850" t="s">
        <v>10</v>
      </c>
      <c r="E230" s="851">
        <v>46280</v>
      </c>
      <c r="F230" s="42">
        <f>$L$7-E230</f>
        <v>6</v>
      </c>
      <c r="G230" s="308">
        <v>4000</v>
      </c>
      <c r="H230" s="1329"/>
      <c r="I230" s="308">
        <v>25000</v>
      </c>
      <c r="J230" s="1330"/>
      <c r="K230" s="308">
        <v>29000</v>
      </c>
      <c r="L230" s="531">
        <f t="shared" si="93"/>
        <v>0</v>
      </c>
      <c r="M230" s="44"/>
      <c r="N230" s="95"/>
      <c r="O230" s="44"/>
      <c r="P230" s="735"/>
      <c r="Q230" s="795"/>
      <c r="R230" s="785">
        <f>IFERROR(VLOOKUP($Q230,'391'!$P:$W,8,0),"")</f>
        <v>0</v>
      </c>
      <c r="S230" s="796"/>
      <c r="T230" s="797"/>
      <c r="U230" s="797"/>
      <c r="V230" s="797"/>
      <c r="W230" s="802">
        <f>IFERROR(VLOOKUP($Q230,'391'!$P:$AG,15,0),0)</f>
        <v>0</v>
      </c>
      <c r="X230" s="799">
        <f t="shared" ref="X230:X268" si="95">G230-W230</f>
        <v>4000</v>
      </c>
      <c r="Y230" s="797"/>
      <c r="Z230" s="785"/>
      <c r="AA230" s="797"/>
      <c r="AB230" s="797"/>
      <c r="AC230" s="681"/>
      <c r="AD230" s="681"/>
      <c r="AE230" s="681"/>
      <c r="AF230" s="681"/>
      <c r="AG230" s="681"/>
      <c r="AH230" s="681"/>
      <c r="AI230" s="703"/>
      <c r="AJ230" s="703"/>
      <c r="AK230" s="703"/>
      <c r="AL230" s="703"/>
      <c r="AM230" s="703"/>
      <c r="AN230" s="703"/>
      <c r="AO230" s="703"/>
      <c r="AP230" s="703"/>
      <c r="AQ230" s="703"/>
      <c r="AR230" s="703"/>
      <c r="AS230" s="703"/>
    </row>
    <row r="231" spans="1:107" s="400" customFormat="1" ht="30" hidden="1" customHeight="1" x14ac:dyDescent="0.25">
      <c r="A231" s="2078"/>
      <c r="B231" s="2065"/>
      <c r="C231" s="109"/>
      <c r="D231" s="852" t="s">
        <v>10</v>
      </c>
      <c r="E231" s="851">
        <v>46017</v>
      </c>
      <c r="F231" s="73">
        <f>$L$7-E231</f>
        <v>269</v>
      </c>
      <c r="G231" s="296">
        <v>0</v>
      </c>
      <c r="H231" s="300"/>
      <c r="I231" s="296"/>
      <c r="J231" s="1294"/>
      <c r="K231" s="300"/>
      <c r="L231" s="531">
        <f t="shared" si="93"/>
        <v>0</v>
      </c>
      <c r="M231" s="44"/>
      <c r="N231" s="95"/>
      <c r="O231" s="44"/>
      <c r="P231" s="735"/>
      <c r="Q231" s="795"/>
      <c r="R231" s="785">
        <f>IFERROR(VLOOKUP($Q231,'391'!$P:$W,8,0),"")</f>
        <v>0</v>
      </c>
      <c r="S231" s="796"/>
      <c r="T231" s="797"/>
      <c r="U231" s="797"/>
      <c r="V231" s="797"/>
      <c r="W231" s="802">
        <f>IFERROR(VLOOKUP($Q231,'391'!$P:$AG,15,0),0)</f>
        <v>0</v>
      </c>
      <c r="X231" s="799">
        <f t="shared" si="95"/>
        <v>0</v>
      </c>
      <c r="Y231" s="797"/>
      <c r="Z231" s="785"/>
      <c r="AA231" s="797"/>
      <c r="AB231" s="797"/>
      <c r="AC231" s="681"/>
      <c r="AD231" s="681"/>
      <c r="AE231" s="681"/>
      <c r="AF231" s="681"/>
      <c r="AG231" s="681"/>
      <c r="AH231" s="681"/>
      <c r="AI231" s="703"/>
      <c r="AJ231" s="703"/>
      <c r="AK231" s="703"/>
      <c r="AL231" s="703"/>
      <c r="AM231" s="703"/>
      <c r="AN231" s="703"/>
      <c r="AO231" s="703"/>
      <c r="AP231" s="703"/>
      <c r="AQ231" s="703"/>
      <c r="AR231" s="703"/>
      <c r="AS231" s="703"/>
    </row>
    <row r="232" spans="1:107" s="400" customFormat="1" ht="30" customHeight="1" x14ac:dyDescent="0.25">
      <c r="A232" s="2064"/>
      <c r="B232" s="2044"/>
      <c r="C232" s="132" t="s">
        <v>1257</v>
      </c>
      <c r="D232" s="852" t="s">
        <v>10</v>
      </c>
      <c r="E232" s="851">
        <v>46280</v>
      </c>
      <c r="F232" s="73">
        <f>$L$7-E232</f>
        <v>6</v>
      </c>
      <c r="G232" s="296">
        <v>6945</v>
      </c>
      <c r="H232" s="300"/>
      <c r="I232" s="296">
        <f>K230</f>
        <v>29000</v>
      </c>
      <c r="J232" s="1294">
        <f>usage!I25</f>
        <v>27411</v>
      </c>
      <c r="K232" s="300"/>
      <c r="L232" s="531">
        <f t="shared" si="93"/>
        <v>8534</v>
      </c>
      <c r="M232" s="48"/>
      <c r="N232" s="163"/>
      <c r="O232" s="48"/>
      <c r="P232" s="738"/>
      <c r="Q232" s="795"/>
      <c r="R232" s="785">
        <f>IFERROR(VLOOKUP($Q232,'391'!$P:$W,8,0),"")</f>
        <v>0</v>
      </c>
      <c r="S232" s="796"/>
      <c r="T232" s="797"/>
      <c r="U232" s="797"/>
      <c r="V232" s="797"/>
      <c r="W232" s="802">
        <f>IFERROR(VLOOKUP($Q232,'391'!$P:$AG,15,0),0)</f>
        <v>0</v>
      </c>
      <c r="X232" s="799">
        <f t="shared" si="95"/>
        <v>6945</v>
      </c>
      <c r="Y232" s="797"/>
      <c r="Z232" s="785"/>
      <c r="AA232" s="797"/>
      <c r="AB232" s="797"/>
      <c r="AC232" s="681"/>
      <c r="AD232" s="681"/>
      <c r="AE232" s="681"/>
      <c r="AF232" s="681"/>
      <c r="AG232" s="681"/>
      <c r="AH232" s="681"/>
      <c r="AI232" s="703"/>
      <c r="AJ232" s="703"/>
      <c r="AK232" s="703"/>
      <c r="AL232" s="703"/>
      <c r="AM232" s="703"/>
      <c r="AN232" s="703"/>
      <c r="AO232" s="703"/>
      <c r="AP232" s="703"/>
      <c r="AQ232" s="703"/>
      <c r="AR232" s="703"/>
      <c r="AS232" s="703"/>
    </row>
    <row r="233" spans="1:107" s="402" customFormat="1" ht="30" customHeight="1" x14ac:dyDescent="0.25">
      <c r="A233" s="2019" t="s">
        <v>106</v>
      </c>
      <c r="B233" s="2020"/>
      <c r="C233" s="575"/>
      <c r="D233" s="900"/>
      <c r="E233" s="901"/>
      <c r="F233" s="902"/>
      <c r="G233" s="1296">
        <v>10945</v>
      </c>
      <c r="H233" s="1296">
        <f t="shared" ref="H233:L233" si="96">+SUM(H230:H232)</f>
        <v>0</v>
      </c>
      <c r="I233" s="1296">
        <f t="shared" si="96"/>
        <v>54000</v>
      </c>
      <c r="J233" s="1296">
        <f t="shared" si="96"/>
        <v>27411</v>
      </c>
      <c r="K233" s="1296">
        <f t="shared" si="96"/>
        <v>29000</v>
      </c>
      <c r="L233" s="1296">
        <f t="shared" si="96"/>
        <v>8534</v>
      </c>
      <c r="M233" s="59">
        <f>IFERROR((R233/$S$2),"")</f>
        <v>26145</v>
      </c>
      <c r="N233" s="1185">
        <f>IFERROR(L233/M233,0)</f>
        <v>0.32641040351883727</v>
      </c>
      <c r="O233" s="59">
        <f>IFERROR(SUMIF(ETM!$A:$A,$Q233,ETM!$E:$E),"")</f>
        <v>24894.833333333336</v>
      </c>
      <c r="P233" s="1189">
        <f>(L233/O233)</f>
        <v>0.34280205397371605</v>
      </c>
      <c r="Q233" s="795" t="s">
        <v>812</v>
      </c>
      <c r="R233" s="785">
        <f>IFERROR(VLOOKUP($Q233,'391'!$P:$W,8,0),"")</f>
        <v>156870</v>
      </c>
      <c r="S233" s="796"/>
      <c r="T233" s="797"/>
      <c r="U233" s="797"/>
      <c r="V233" s="797"/>
      <c r="W233" s="802">
        <f>IFERROR(VLOOKUP($Q233,'391'!$P:$AG,15,0),0)</f>
        <v>393075</v>
      </c>
      <c r="X233" s="799">
        <f t="shared" si="95"/>
        <v>-382130</v>
      </c>
      <c r="Y233" s="1087">
        <f>G233+G239</f>
        <v>393075</v>
      </c>
      <c r="Z233" s="1088">
        <f>+W233-Y233</f>
        <v>0</v>
      </c>
      <c r="AA233" s="797"/>
      <c r="AB233" s="797"/>
      <c r="AC233" s="551"/>
      <c r="AD233" s="551"/>
      <c r="AE233" s="551"/>
      <c r="AF233" s="551"/>
      <c r="AG233" s="551"/>
      <c r="AH233" s="551"/>
      <c r="AI233" s="704"/>
      <c r="AJ233" s="704"/>
      <c r="AK233" s="704"/>
      <c r="AL233" s="704"/>
      <c r="AM233" s="704"/>
      <c r="AN233" s="704"/>
      <c r="AO233" s="704"/>
      <c r="AP233" s="704"/>
      <c r="AQ233" s="704"/>
      <c r="AR233" s="704"/>
      <c r="AS233" s="704"/>
    </row>
    <row r="234" spans="1:107" s="13" customFormat="1" ht="30" customHeight="1" x14ac:dyDescent="0.25">
      <c r="A234" s="2063">
        <f>IF(L239=0,"",MAX($A$16:A233)+1)</f>
        <v>12</v>
      </c>
      <c r="B234" s="2043" t="s">
        <v>87</v>
      </c>
      <c r="C234" s="112" t="s">
        <v>66</v>
      </c>
      <c r="D234" s="903" t="s">
        <v>10</v>
      </c>
      <c r="E234" s="904">
        <v>46270</v>
      </c>
      <c r="F234" s="357">
        <f>$L$7-E234</f>
        <v>16</v>
      </c>
      <c r="G234" s="308">
        <v>140460</v>
      </c>
      <c r="H234" s="308"/>
      <c r="I234" s="308">
        <f>63840-38000</f>
        <v>25840</v>
      </c>
      <c r="J234" s="1330"/>
      <c r="K234" s="296">
        <v>25000</v>
      </c>
      <c r="L234" s="531">
        <f>+G234+H234+I234-J234-K234</f>
        <v>141300</v>
      </c>
      <c r="M234" s="44"/>
      <c r="N234" s="95"/>
      <c r="O234" s="44"/>
      <c r="P234" s="857"/>
      <c r="Q234" s="795"/>
      <c r="R234" s="785">
        <f>IFERROR(VLOOKUP($Q234,'391'!$P:$W,8,0),"")</f>
        <v>0</v>
      </c>
      <c r="S234" s="796"/>
      <c r="T234" s="797"/>
      <c r="U234" s="797"/>
      <c r="V234" s="797"/>
      <c r="W234" s="802">
        <f>IFERROR(VLOOKUP($Q234,'391'!$P:$AG,15,0),0)</f>
        <v>0</v>
      </c>
      <c r="X234" s="799">
        <f t="shared" si="95"/>
        <v>140460</v>
      </c>
      <c r="Y234" s="797"/>
      <c r="Z234" s="785"/>
      <c r="AA234" s="797"/>
      <c r="AB234" s="797"/>
      <c r="AC234" s="683"/>
      <c r="AD234" s="683"/>
      <c r="AE234" s="683"/>
      <c r="AF234" s="683"/>
      <c r="AG234" s="683"/>
      <c r="AH234" s="683"/>
      <c r="AI234" s="705"/>
      <c r="AJ234" s="705"/>
      <c r="AK234" s="705"/>
      <c r="AL234" s="705"/>
      <c r="AM234" s="705"/>
      <c r="AN234" s="705"/>
      <c r="AO234" s="705"/>
      <c r="AP234" s="705"/>
      <c r="AQ234" s="705"/>
      <c r="AR234" s="705"/>
      <c r="AS234" s="705"/>
    </row>
    <row r="235" spans="1:107" s="13" customFormat="1" ht="30" hidden="1" customHeight="1" x14ac:dyDescent="0.25">
      <c r="A235" s="2078"/>
      <c r="B235" s="2069"/>
      <c r="C235" s="1484" t="s">
        <v>467</v>
      </c>
      <c r="D235" s="850" t="s">
        <v>10</v>
      </c>
      <c r="E235" s="1210">
        <v>46213</v>
      </c>
      <c r="F235" s="1485">
        <f>$L$7-E235</f>
        <v>73</v>
      </c>
      <c r="G235" s="1282">
        <v>0</v>
      </c>
      <c r="H235" s="1282"/>
      <c r="I235" s="1282"/>
      <c r="J235" s="1486"/>
      <c r="K235" s="1282"/>
      <c r="L235" s="531">
        <f>+G235+H235+I235-J235-K235</f>
        <v>0</v>
      </c>
      <c r="M235" s="1487"/>
      <c r="N235" s="1488"/>
      <c r="O235" s="1487"/>
      <c r="P235" s="1489"/>
      <c r="Q235" s="795"/>
      <c r="R235" s="785">
        <f>IFERROR(VLOOKUP($Q235,'391'!$P:$W,8,0),"")</f>
        <v>0</v>
      </c>
      <c r="S235" s="796"/>
      <c r="T235" s="797"/>
      <c r="U235" s="797"/>
      <c r="V235" s="797"/>
      <c r="W235" s="802">
        <f>IFERROR(VLOOKUP($Q235,'391'!$P:$AG,15,0),0)</f>
        <v>0</v>
      </c>
      <c r="X235" s="799">
        <f t="shared" si="95"/>
        <v>0</v>
      </c>
      <c r="Y235" s="797"/>
      <c r="Z235" s="785"/>
      <c r="AA235" s="797"/>
      <c r="AB235" s="797"/>
      <c r="AC235" s="683"/>
      <c r="AD235" s="683"/>
      <c r="AE235" s="683"/>
      <c r="AF235" s="683"/>
      <c r="AG235" s="683"/>
      <c r="AH235" s="683"/>
      <c r="AI235" s="705"/>
      <c r="AJ235" s="705"/>
      <c r="AK235" s="705"/>
      <c r="AL235" s="705"/>
      <c r="AM235" s="705"/>
      <c r="AN235" s="705"/>
      <c r="AO235" s="705"/>
      <c r="AP235" s="705"/>
      <c r="AQ235" s="705"/>
      <c r="AR235" s="705"/>
      <c r="AS235" s="705"/>
    </row>
    <row r="236" spans="1:107" s="13" customFormat="1" ht="30" hidden="1" customHeight="1" x14ac:dyDescent="0.25">
      <c r="A236" s="2078"/>
      <c r="B236" s="2069"/>
      <c r="C236" s="1484" t="s">
        <v>470</v>
      </c>
      <c r="D236" s="850" t="s">
        <v>10</v>
      </c>
      <c r="E236" s="1210">
        <v>46177</v>
      </c>
      <c r="F236" s="1485">
        <f>$L$7-E236</f>
        <v>109</v>
      </c>
      <c r="G236" s="1282">
        <v>0</v>
      </c>
      <c r="H236" s="1282"/>
      <c r="I236" s="1282"/>
      <c r="J236" s="1486"/>
      <c r="K236" s="1282"/>
      <c r="L236" s="531">
        <f>+G236+H236+I236-J236-K236</f>
        <v>0</v>
      </c>
      <c r="M236" s="1487"/>
      <c r="N236" s="1488"/>
      <c r="O236" s="1487"/>
      <c r="P236" s="1489"/>
      <c r="Q236" s="795"/>
      <c r="R236" s="785">
        <f>IFERROR(VLOOKUP($Q236,'391'!$P:$W,8,0),"")</f>
        <v>0</v>
      </c>
      <c r="S236" s="796"/>
      <c r="T236" s="797"/>
      <c r="U236" s="797"/>
      <c r="V236" s="797"/>
      <c r="W236" s="802">
        <f>IFERROR(VLOOKUP($Q236,'391'!$P:$AG,15,0),0)</f>
        <v>0</v>
      </c>
      <c r="X236" s="799">
        <f t="shared" si="95"/>
        <v>0</v>
      </c>
      <c r="Y236" s="797"/>
      <c r="Z236" s="785"/>
      <c r="AA236" s="797"/>
      <c r="AB236" s="797"/>
      <c r="AC236" s="683"/>
      <c r="AD236" s="683"/>
      <c r="AE236" s="683"/>
      <c r="AF236" s="683"/>
      <c r="AG236" s="683"/>
      <c r="AH236" s="683"/>
      <c r="AI236" s="705"/>
      <c r="AJ236" s="705"/>
      <c r="AK236" s="705"/>
      <c r="AL236" s="705"/>
      <c r="AM236" s="705"/>
      <c r="AN236" s="705"/>
      <c r="AO236" s="705"/>
      <c r="AP236" s="705"/>
      <c r="AQ236" s="705"/>
      <c r="AR236" s="705"/>
      <c r="AS236" s="705"/>
    </row>
    <row r="237" spans="1:107" s="13" customFormat="1" ht="30" customHeight="1" x14ac:dyDescent="0.25">
      <c r="A237" s="2078"/>
      <c r="B237" s="2069"/>
      <c r="C237" s="1484" t="s">
        <v>469</v>
      </c>
      <c r="D237" s="850" t="s">
        <v>10</v>
      </c>
      <c r="E237" s="1210">
        <v>46280</v>
      </c>
      <c r="F237" s="1485">
        <f>$L$7-E237</f>
        <v>6</v>
      </c>
      <c r="G237" s="1282">
        <v>241670</v>
      </c>
      <c r="H237" s="1282"/>
      <c r="I237" s="1282">
        <v>38000</v>
      </c>
      <c r="J237" s="1486"/>
      <c r="K237" s="1282"/>
      <c r="L237" s="531">
        <f>+G237+H237+I237-J237-K237</f>
        <v>279670</v>
      </c>
      <c r="M237" s="1487"/>
      <c r="N237" s="1488"/>
      <c r="O237" s="1487"/>
      <c r="P237" s="1489"/>
      <c r="Q237" s="795"/>
      <c r="R237" s="785">
        <f>IFERROR(VLOOKUP($Q237,'391'!$P:$W,8,0),"")</f>
        <v>0</v>
      </c>
      <c r="S237" s="796"/>
      <c r="T237" s="797"/>
      <c r="U237" s="797"/>
      <c r="V237" s="797"/>
      <c r="W237" s="802">
        <f>IFERROR(VLOOKUP($Q237,'391'!$P:$AG,15,0),0)</f>
        <v>0</v>
      </c>
      <c r="X237" s="799">
        <f t="shared" ref="X237" si="97">G237-W237</f>
        <v>241670</v>
      </c>
      <c r="Y237" s="797"/>
      <c r="Z237" s="785"/>
      <c r="AA237" s="797"/>
      <c r="AB237" s="797"/>
      <c r="AC237" s="683"/>
      <c r="AD237" s="683"/>
      <c r="AE237" s="683"/>
      <c r="AF237" s="683"/>
      <c r="AG237" s="683"/>
      <c r="AH237" s="683"/>
      <c r="AI237" s="705"/>
      <c r="AJ237" s="705"/>
      <c r="AK237" s="705"/>
      <c r="AL237" s="705"/>
      <c r="AM237" s="705"/>
      <c r="AN237" s="705"/>
      <c r="AO237" s="705"/>
      <c r="AP237" s="705"/>
      <c r="AQ237" s="705"/>
      <c r="AR237" s="705"/>
      <c r="AS237" s="705"/>
    </row>
    <row r="238" spans="1:107" s="13" customFormat="1" ht="30" hidden="1" customHeight="1" x14ac:dyDescent="0.25">
      <c r="A238" s="2064"/>
      <c r="B238" s="2044"/>
      <c r="C238" s="1484" t="s">
        <v>466</v>
      </c>
      <c r="D238" s="850" t="s">
        <v>10</v>
      </c>
      <c r="E238" s="1210">
        <v>45957</v>
      </c>
      <c r="F238" s="1485">
        <f>$L$7-E238</f>
        <v>329</v>
      </c>
      <c r="G238" s="1282">
        <v>0</v>
      </c>
      <c r="H238" s="1282"/>
      <c r="I238" s="296"/>
      <c r="J238" s="1490"/>
      <c r="K238" s="1331"/>
      <c r="L238" s="531">
        <f>+G238+H238+I238-J238-K238</f>
        <v>0</v>
      </c>
      <c r="M238" s="1491"/>
      <c r="N238" s="1492"/>
      <c r="O238" s="1491"/>
      <c r="P238" s="1493"/>
      <c r="Q238" s="795"/>
      <c r="R238" s="785">
        <f>IFERROR(VLOOKUP($Q238,'391'!$P:$W,8,0),"")</f>
        <v>0</v>
      </c>
      <c r="S238" s="796"/>
      <c r="T238" s="797"/>
      <c r="U238" s="797"/>
      <c r="V238" s="797"/>
      <c r="W238" s="802">
        <f>IFERROR(VLOOKUP($Q238,'391'!$P:$AG,15,0),0)</f>
        <v>0</v>
      </c>
      <c r="X238" s="799">
        <f t="shared" si="95"/>
        <v>0</v>
      </c>
      <c r="Y238" s="797"/>
      <c r="Z238" s="785"/>
      <c r="AA238" s="797"/>
      <c r="AB238" s="797"/>
      <c r="AC238" s="683"/>
      <c r="AD238" s="683"/>
      <c r="AE238" s="683"/>
      <c r="AF238" s="683"/>
      <c r="AG238" s="683"/>
      <c r="AH238" s="683"/>
      <c r="AI238" s="705"/>
      <c r="AJ238" s="705"/>
      <c r="AK238" s="705"/>
      <c r="AL238" s="705"/>
      <c r="AM238" s="705"/>
      <c r="AN238" s="705"/>
      <c r="AO238" s="705"/>
      <c r="AP238" s="705"/>
      <c r="AQ238" s="705"/>
      <c r="AR238" s="705"/>
      <c r="AS238" s="705"/>
    </row>
    <row r="239" spans="1:107" s="402" customFormat="1" ht="30" customHeight="1" x14ac:dyDescent="0.25">
      <c r="A239" s="2019" t="s">
        <v>1129</v>
      </c>
      <c r="B239" s="2020"/>
      <c r="C239" s="906"/>
      <c r="D239" s="907"/>
      <c r="E239" s="908"/>
      <c r="F239" s="909"/>
      <c r="G239" s="1296">
        <v>382130</v>
      </c>
      <c r="H239" s="1296">
        <f>+SUM(H234:H238)</f>
        <v>0</v>
      </c>
      <c r="I239" s="1296">
        <f>+SUM(I234:I238)</f>
        <v>63840</v>
      </c>
      <c r="J239" s="1296">
        <f t="shared" ref="J239:L239" si="98">+SUM(J234:J238)</f>
        <v>0</v>
      </c>
      <c r="K239" s="1296">
        <f>+SUM(K234:K238)</f>
        <v>25000</v>
      </c>
      <c r="L239" s="1296">
        <f t="shared" si="98"/>
        <v>420970</v>
      </c>
      <c r="M239" s="59">
        <f>+M233</f>
        <v>26145</v>
      </c>
      <c r="N239" s="1185">
        <f>(L239/M239)</f>
        <v>16.101357812201186</v>
      </c>
      <c r="O239" s="59">
        <f>O233</f>
        <v>24894.833333333336</v>
      </c>
      <c r="P239" s="1189">
        <f>(L239/O239)</f>
        <v>16.90993445761838</v>
      </c>
      <c r="Q239" s="795" t="s">
        <v>812</v>
      </c>
      <c r="R239" s="785">
        <f>IFERROR(VLOOKUP($Q239,'391'!$P:$W,8,0),"")</f>
        <v>156870</v>
      </c>
      <c r="S239" s="796"/>
      <c r="T239" s="797"/>
      <c r="U239" s="797"/>
      <c r="V239" s="797"/>
      <c r="W239" s="802">
        <f>IFERROR(VLOOKUP($Q239,'391'!$P:$AG,15,0),0)</f>
        <v>393075</v>
      </c>
      <c r="X239" s="799">
        <f t="shared" si="95"/>
        <v>-10945</v>
      </c>
      <c r="Y239" s="797"/>
      <c r="Z239" s="785"/>
      <c r="AA239" s="797"/>
      <c r="AB239" s="797"/>
      <c r="AC239" s="551"/>
      <c r="AD239" s="551"/>
      <c r="AE239" s="551"/>
      <c r="AF239" s="551"/>
      <c r="AG239" s="551"/>
      <c r="AH239" s="551"/>
      <c r="AI239" s="704"/>
      <c r="AJ239" s="704"/>
      <c r="AK239" s="704"/>
      <c r="AL239" s="704"/>
      <c r="AM239" s="704"/>
      <c r="AN239" s="704"/>
      <c r="AO239" s="704"/>
      <c r="AP239" s="704"/>
      <c r="AQ239" s="704"/>
      <c r="AR239" s="704"/>
      <c r="AS239" s="704"/>
    </row>
    <row r="240" spans="1:107" s="408" customFormat="1" ht="30" hidden="1" customHeight="1" x14ac:dyDescent="0.25">
      <c r="A240" s="2063">
        <f>IF(L246=0,"",MAX($A$16:A239)+1)</f>
        <v>13</v>
      </c>
      <c r="B240" s="2043" t="s">
        <v>43</v>
      </c>
      <c r="C240" s="114" t="s">
        <v>152</v>
      </c>
      <c r="D240" s="866" t="s">
        <v>10</v>
      </c>
      <c r="E240" s="867">
        <v>41439</v>
      </c>
      <c r="F240" s="75">
        <f t="shared" ref="F240:F245" si="99">$L$7-E240</f>
        <v>4847</v>
      </c>
      <c r="G240" s="300">
        <v>0</v>
      </c>
      <c r="H240" s="1329"/>
      <c r="I240" s="1329"/>
      <c r="J240" s="1330"/>
      <c r="K240" s="1329"/>
      <c r="L240" s="531">
        <f t="shared" ref="L240:L245" si="100">+G240+H240+I240-J240-K240</f>
        <v>0</v>
      </c>
      <c r="M240" s="44"/>
      <c r="N240" s="920"/>
      <c r="O240" s="44"/>
      <c r="P240" s="857"/>
      <c r="Q240" s="795"/>
      <c r="R240" s="785">
        <f>IFERROR(VLOOKUP($Q240,'391'!$P:$W,8,0),"")</f>
        <v>0</v>
      </c>
      <c r="S240" s="796"/>
      <c r="T240" s="797"/>
      <c r="U240" s="797"/>
      <c r="V240" s="797"/>
      <c r="W240" s="802">
        <f>IFERROR(VLOOKUP($Q240,'391'!$P:$AG,15,0),0)</f>
        <v>0</v>
      </c>
      <c r="X240" s="799">
        <f t="shared" si="95"/>
        <v>0</v>
      </c>
      <c r="Y240" s="797"/>
      <c r="Z240" s="785"/>
      <c r="AA240" s="797"/>
      <c r="AB240" s="797"/>
      <c r="AC240" s="683"/>
      <c r="AD240" s="683"/>
      <c r="AE240" s="683"/>
      <c r="AF240" s="683"/>
      <c r="AG240" s="683"/>
      <c r="AH240" s="683"/>
      <c r="AI240" s="705"/>
      <c r="AJ240" s="705"/>
      <c r="AK240" s="705"/>
      <c r="AL240" s="705"/>
      <c r="AM240" s="705"/>
      <c r="AN240" s="705"/>
      <c r="AO240" s="705"/>
      <c r="AP240" s="705"/>
      <c r="AQ240" s="705"/>
      <c r="AR240" s="705"/>
      <c r="AS240" s="705"/>
    </row>
    <row r="241" spans="1:45" s="408" customFormat="1" ht="30" hidden="1" customHeight="1" x14ac:dyDescent="0.25">
      <c r="A241" s="2078"/>
      <c r="B241" s="2065"/>
      <c r="C241" s="113"/>
      <c r="D241" s="910" t="s">
        <v>10</v>
      </c>
      <c r="E241" s="890">
        <v>43153</v>
      </c>
      <c r="F241" s="292">
        <f t="shared" si="99"/>
        <v>3133</v>
      </c>
      <c r="G241" s="315">
        <v>0</v>
      </c>
      <c r="H241" s="315"/>
      <c r="I241" s="1333"/>
      <c r="J241" s="1334"/>
      <c r="K241" s="36"/>
      <c r="L241" s="531">
        <f t="shared" si="100"/>
        <v>0</v>
      </c>
      <c r="M241" s="48"/>
      <c r="N241" s="163"/>
      <c r="O241" s="48"/>
      <c r="P241" s="857"/>
      <c r="Q241" s="795"/>
      <c r="R241" s="785">
        <f>IFERROR(VLOOKUP($Q241,'391'!$P:$W,8,0),"")</f>
        <v>0</v>
      </c>
      <c r="S241" s="796"/>
      <c r="T241" s="797"/>
      <c r="U241" s="797"/>
      <c r="V241" s="797"/>
      <c r="W241" s="802">
        <f>IFERROR(VLOOKUP($Q241,'391'!$P:$AG,15,0),0)</f>
        <v>0</v>
      </c>
      <c r="X241" s="799">
        <f t="shared" si="95"/>
        <v>0</v>
      </c>
      <c r="Y241" s="797"/>
      <c r="Z241" s="785"/>
      <c r="AA241" s="797"/>
      <c r="AB241" s="797"/>
      <c r="AC241" s="683"/>
      <c r="AD241" s="683"/>
      <c r="AE241" s="683"/>
      <c r="AF241" s="683"/>
      <c r="AG241" s="683"/>
      <c r="AH241" s="683"/>
      <c r="AI241" s="705"/>
      <c r="AJ241" s="705"/>
      <c r="AK241" s="705"/>
      <c r="AL241" s="705"/>
      <c r="AM241" s="705"/>
      <c r="AN241" s="705"/>
      <c r="AO241" s="705"/>
      <c r="AP241" s="705"/>
      <c r="AQ241" s="705"/>
      <c r="AR241" s="705"/>
      <c r="AS241" s="705"/>
    </row>
    <row r="242" spans="1:45" s="408" customFormat="1" ht="30" hidden="1" customHeight="1" x14ac:dyDescent="0.25">
      <c r="A242" s="2078"/>
      <c r="B242" s="2065"/>
      <c r="C242" s="113"/>
      <c r="D242" s="910" t="s">
        <v>10</v>
      </c>
      <c r="E242" s="890">
        <v>43157</v>
      </c>
      <c r="F242" s="292">
        <f t="shared" si="99"/>
        <v>3129</v>
      </c>
      <c r="G242" s="315">
        <v>0</v>
      </c>
      <c r="H242" s="315"/>
      <c r="I242" s="1333"/>
      <c r="J242" s="1334"/>
      <c r="K242" s="36"/>
      <c r="L242" s="531">
        <f t="shared" si="100"/>
        <v>0</v>
      </c>
      <c r="M242" s="46"/>
      <c r="N242" s="920"/>
      <c r="O242" s="46"/>
      <c r="P242" s="857"/>
      <c r="Q242" s="795"/>
      <c r="R242" s="785">
        <f>IFERROR(VLOOKUP($Q242,'391'!$P:$W,8,0),"")</f>
        <v>0</v>
      </c>
      <c r="S242" s="796"/>
      <c r="T242" s="797"/>
      <c r="U242" s="797"/>
      <c r="V242" s="797"/>
      <c r="W242" s="802">
        <f>IFERROR(VLOOKUP($Q242,'391'!$P:$AG,15,0),0)</f>
        <v>0</v>
      </c>
      <c r="X242" s="799">
        <f t="shared" si="95"/>
        <v>0</v>
      </c>
      <c r="Y242" s="797"/>
      <c r="Z242" s="785"/>
      <c r="AA242" s="797"/>
      <c r="AB242" s="797"/>
      <c r="AC242" s="683"/>
      <c r="AD242" s="683"/>
      <c r="AE242" s="683"/>
      <c r="AF242" s="683"/>
      <c r="AG242" s="683"/>
      <c r="AH242" s="683"/>
      <c r="AI242" s="705"/>
      <c r="AJ242" s="705"/>
      <c r="AK242" s="705"/>
      <c r="AL242" s="705"/>
      <c r="AM242" s="705"/>
      <c r="AN242" s="705"/>
      <c r="AO242" s="705"/>
      <c r="AP242" s="705"/>
      <c r="AQ242" s="705"/>
      <c r="AR242" s="705"/>
      <c r="AS242" s="705"/>
    </row>
    <row r="243" spans="1:45" s="13" customFormat="1" ht="30" customHeight="1" x14ac:dyDescent="0.25">
      <c r="A243" s="2078"/>
      <c r="B243" s="2065"/>
      <c r="C243" s="131" t="s">
        <v>199</v>
      </c>
      <c r="D243" s="852" t="s">
        <v>10</v>
      </c>
      <c r="E243" s="853">
        <v>46258</v>
      </c>
      <c r="F243" s="73">
        <f t="shared" si="99"/>
        <v>28</v>
      </c>
      <c r="G243" s="296">
        <v>373950</v>
      </c>
      <c r="H243" s="308">
        <v>103770</v>
      </c>
      <c r="I243" s="296"/>
      <c r="J243" s="1298"/>
      <c r="K243" s="296">
        <v>80000</v>
      </c>
      <c r="L243" s="531">
        <f t="shared" si="100"/>
        <v>397720</v>
      </c>
      <c r="M243" s="46"/>
      <c r="N243" s="176"/>
      <c r="O243" s="46"/>
      <c r="P243" s="857"/>
      <c r="Q243" s="795"/>
      <c r="R243" s="785">
        <f>IFERROR(VLOOKUP($Q243,'391'!$P:$W,8,0),"")</f>
        <v>0</v>
      </c>
      <c r="S243" s="796"/>
      <c r="T243" s="797"/>
      <c r="U243" s="797"/>
      <c r="V243" s="797"/>
      <c r="W243" s="802">
        <f>IFERROR(VLOOKUP($Q243,'391'!$P:$AG,15,0),0)</f>
        <v>0</v>
      </c>
      <c r="X243" s="799">
        <f t="shared" si="95"/>
        <v>373950</v>
      </c>
      <c r="Y243" s="797"/>
      <c r="Z243" s="785"/>
      <c r="AA243" s="797"/>
      <c r="AB243" s="797"/>
      <c r="AC243" s="683"/>
      <c r="AD243" s="683"/>
      <c r="AE243" s="683"/>
      <c r="AF243" s="683"/>
      <c r="AG243" s="683"/>
      <c r="AH243" s="683"/>
      <c r="AI243" s="705"/>
      <c r="AJ243" s="705"/>
      <c r="AK243" s="705"/>
      <c r="AL243" s="705"/>
      <c r="AM243" s="705"/>
      <c r="AN243" s="705"/>
      <c r="AO243" s="705"/>
      <c r="AP243" s="705"/>
      <c r="AQ243" s="705"/>
      <c r="AR243" s="705"/>
      <c r="AS243" s="705"/>
    </row>
    <row r="244" spans="1:45" s="13" customFormat="1" ht="30" hidden="1" customHeight="1" x14ac:dyDescent="0.25">
      <c r="A244" s="2078"/>
      <c r="B244" s="2065"/>
      <c r="C244" s="131"/>
      <c r="D244" s="910" t="s">
        <v>10</v>
      </c>
      <c r="E244" s="904">
        <v>45693</v>
      </c>
      <c r="F244" s="292">
        <f t="shared" si="99"/>
        <v>593</v>
      </c>
      <c r="G244" s="308">
        <v>0</v>
      </c>
      <c r="H244" s="36"/>
      <c r="I244" s="36"/>
      <c r="J244" s="1294"/>
      <c r="K244" s="36"/>
      <c r="L244" s="531">
        <f t="shared" si="100"/>
        <v>0</v>
      </c>
      <c r="M244" s="44"/>
      <c r="N244" s="95"/>
      <c r="O244" s="44"/>
      <c r="P244" s="735"/>
      <c r="Q244" s="795"/>
      <c r="R244" s="785">
        <f>IFERROR(VLOOKUP($Q244,'391'!$P:$W,8,0),"")</f>
        <v>0</v>
      </c>
      <c r="S244" s="796"/>
      <c r="T244" s="797"/>
      <c r="U244" s="797"/>
      <c r="V244" s="797"/>
      <c r="W244" s="802">
        <f>IFERROR(VLOOKUP($Q244,'391'!$P:$AG,15,0),0)</f>
        <v>0</v>
      </c>
      <c r="X244" s="799">
        <f t="shared" si="95"/>
        <v>0</v>
      </c>
      <c r="Y244" s="797"/>
      <c r="Z244" s="785"/>
      <c r="AA244" s="797"/>
      <c r="AB244" s="797"/>
      <c r="AC244" s="683"/>
      <c r="AD244" s="683"/>
      <c r="AE244" s="683"/>
      <c r="AF244" s="683"/>
      <c r="AG244" s="683"/>
      <c r="AH244" s="683"/>
      <c r="AI244" s="705"/>
      <c r="AJ244" s="705"/>
      <c r="AK244" s="705"/>
      <c r="AL244" s="705"/>
      <c r="AM244" s="705"/>
      <c r="AN244" s="705"/>
      <c r="AO244" s="705"/>
      <c r="AP244" s="705"/>
      <c r="AQ244" s="705"/>
      <c r="AR244" s="705"/>
      <c r="AS244" s="705"/>
    </row>
    <row r="245" spans="1:45" s="405" customFormat="1" ht="30" customHeight="1" x14ac:dyDescent="0.25">
      <c r="A245" s="2078"/>
      <c r="B245" s="2065"/>
      <c r="C245" s="61" t="s">
        <v>1320</v>
      </c>
      <c r="D245" s="863" t="s">
        <v>10</v>
      </c>
      <c r="E245" s="851">
        <v>46258</v>
      </c>
      <c r="F245" s="42">
        <f t="shared" si="99"/>
        <v>28</v>
      </c>
      <c r="G245" s="36">
        <f>47517+1</f>
        <v>47518</v>
      </c>
      <c r="H245" s="36"/>
      <c r="I245" s="36">
        <f>K243+K244</f>
        <v>80000</v>
      </c>
      <c r="J245" s="1294">
        <f>usage!I26</f>
        <v>75040</v>
      </c>
      <c r="K245" s="36"/>
      <c r="L245" s="531">
        <f t="shared" si="100"/>
        <v>52478</v>
      </c>
      <c r="M245" s="40"/>
      <c r="N245" s="84"/>
      <c r="O245" s="40"/>
      <c r="P245" s="736"/>
      <c r="Q245" s="795"/>
      <c r="R245" s="785">
        <f>IFERROR(VLOOKUP($Q245,'391'!$P:$W,8,0),"")</f>
        <v>0</v>
      </c>
      <c r="S245" s="796"/>
      <c r="T245" s="797"/>
      <c r="U245" s="797"/>
      <c r="V245" s="797"/>
      <c r="W245" s="802">
        <f>IFERROR(VLOOKUP($Q245,'391'!$P:$AG,15,0),0)</f>
        <v>0</v>
      </c>
      <c r="X245" s="799">
        <f t="shared" si="95"/>
        <v>47518</v>
      </c>
      <c r="Y245" s="797"/>
      <c r="Z245" s="785"/>
      <c r="AA245" s="797"/>
      <c r="AB245" s="797"/>
      <c r="AC245" s="683"/>
      <c r="AD245" s="683"/>
      <c r="AE245" s="683"/>
      <c r="AF245" s="683"/>
      <c r="AG245" s="683"/>
      <c r="AH245" s="683"/>
      <c r="AI245" s="705"/>
      <c r="AJ245" s="705"/>
      <c r="AK245" s="705"/>
      <c r="AL245" s="705"/>
      <c r="AM245" s="705"/>
      <c r="AN245" s="705"/>
      <c r="AO245" s="705"/>
      <c r="AP245" s="705"/>
      <c r="AQ245" s="705"/>
      <c r="AR245" s="705"/>
      <c r="AS245" s="705"/>
    </row>
    <row r="246" spans="1:45" s="402" customFormat="1" ht="30" customHeight="1" x14ac:dyDescent="0.25">
      <c r="A246" s="2019" t="s">
        <v>107</v>
      </c>
      <c r="B246" s="2020"/>
      <c r="C246" s="88"/>
      <c r="D246" s="864"/>
      <c r="E246" s="864"/>
      <c r="F246" s="865"/>
      <c r="G246" s="1296">
        <f>+G245+G243</f>
        <v>421468</v>
      </c>
      <c r="H246" s="1296">
        <f t="shared" ref="H246:L246" si="101">+SUM(H240:H245)</f>
        <v>103770</v>
      </c>
      <c r="I246" s="1296">
        <f t="shared" si="101"/>
        <v>80000</v>
      </c>
      <c r="J246" s="1296">
        <f t="shared" si="101"/>
        <v>75040</v>
      </c>
      <c r="K246" s="1296">
        <f t="shared" si="101"/>
        <v>80000</v>
      </c>
      <c r="L246" s="1296">
        <f t="shared" si="101"/>
        <v>450198</v>
      </c>
      <c r="M246" s="59">
        <f>IFERROR((R246/$S$2),"")</f>
        <v>66601.833333333328</v>
      </c>
      <c r="N246" s="854">
        <f>(L246/M246)</f>
        <v>6.7595436562056603</v>
      </c>
      <c r="O246" s="59">
        <f>IFERROR(SUMIF(ETM!$A:$A,$Q246,ETM!$E:$E),"")</f>
        <v>82251.666666666672</v>
      </c>
      <c r="P246" s="880">
        <f>(L246/O246)</f>
        <v>5.4734210046402296</v>
      </c>
      <c r="Q246" s="795" t="s">
        <v>809</v>
      </c>
      <c r="R246" s="785">
        <f>IFERROR(VLOOKUP($Q246,'391'!$P:$W,8,0),"")</f>
        <v>399611</v>
      </c>
      <c r="S246" s="796"/>
      <c r="T246" s="797"/>
      <c r="U246" s="797"/>
      <c r="V246" s="797"/>
      <c r="W246" s="802">
        <f>IFERROR(VLOOKUP($Q246,'391'!$P:$AG,15,0),0)</f>
        <v>421468</v>
      </c>
      <c r="X246" s="799">
        <f t="shared" si="95"/>
        <v>0</v>
      </c>
      <c r="Y246" s="797"/>
      <c r="Z246" s="785"/>
      <c r="AA246" s="797"/>
      <c r="AB246" s="797"/>
      <c r="AC246" s="551"/>
      <c r="AD246" s="551"/>
      <c r="AE246" s="551"/>
      <c r="AF246" s="551"/>
      <c r="AG246" s="551"/>
      <c r="AH246" s="551"/>
      <c r="AI246" s="704"/>
      <c r="AJ246" s="704"/>
      <c r="AK246" s="704"/>
      <c r="AL246" s="704"/>
      <c r="AM246" s="704"/>
      <c r="AN246" s="704"/>
      <c r="AO246" s="704"/>
      <c r="AP246" s="704"/>
      <c r="AQ246" s="704"/>
      <c r="AR246" s="704"/>
      <c r="AS246" s="704"/>
    </row>
    <row r="247" spans="1:45" s="408" customFormat="1" ht="30" hidden="1" customHeight="1" x14ac:dyDescent="0.25">
      <c r="A247" s="2063">
        <f>IF(L251=0,"",MAX($A$16:A246)+1)</f>
        <v>14</v>
      </c>
      <c r="B247" s="2043" t="s">
        <v>1651</v>
      </c>
      <c r="C247" s="1872" t="s">
        <v>123</v>
      </c>
      <c r="D247" s="1873" t="s">
        <v>10</v>
      </c>
      <c r="E247" s="1874">
        <v>45933</v>
      </c>
      <c r="F247" s="1875">
        <f t="shared" ref="F247:F248" si="102">$L$7-E247</f>
        <v>353</v>
      </c>
      <c r="G247" s="1876">
        <v>0</v>
      </c>
      <c r="H247" s="1861"/>
      <c r="I247" s="1333"/>
      <c r="J247" s="1334"/>
      <c r="K247" s="36"/>
      <c r="L247" s="1669">
        <f t="shared" ref="L247:L250" si="103">+G247+H247+I247-J247-K247</f>
        <v>0</v>
      </c>
      <c r="M247" s="44"/>
      <c r="N247" s="920"/>
      <c r="O247" s="44"/>
      <c r="P247" s="857"/>
      <c r="Q247" s="795"/>
      <c r="R247" s="785">
        <f>IFERROR(VLOOKUP($Q247,'391'!$P:$W,8,0),"")</f>
        <v>0</v>
      </c>
      <c r="S247" s="796"/>
      <c r="T247" s="797"/>
      <c r="U247" s="797"/>
      <c r="V247" s="797"/>
      <c r="W247" s="802">
        <f>IFERROR(VLOOKUP($Q247,'391'!$P:$AG,15,0),0)</f>
        <v>0</v>
      </c>
      <c r="X247" s="799">
        <f t="shared" ref="X247:X250" si="104">G247-W247</f>
        <v>0</v>
      </c>
      <c r="Y247" s="797"/>
      <c r="Z247" s="785"/>
      <c r="AA247" s="797"/>
      <c r="AB247" s="797"/>
      <c r="AC247" s="683"/>
      <c r="AD247" s="683"/>
      <c r="AE247" s="683"/>
      <c r="AF247" s="683"/>
      <c r="AG247" s="683"/>
      <c r="AH247" s="683"/>
      <c r="AI247" s="705"/>
      <c r="AJ247" s="705"/>
      <c r="AK247" s="705"/>
      <c r="AL247" s="705"/>
      <c r="AM247" s="705"/>
      <c r="AN247" s="705"/>
      <c r="AO247" s="705"/>
      <c r="AP247" s="705"/>
      <c r="AQ247" s="705"/>
      <c r="AR247" s="705"/>
      <c r="AS247" s="705"/>
    </row>
    <row r="248" spans="1:45" s="408" customFormat="1" ht="30" hidden="1" customHeight="1" x14ac:dyDescent="0.25">
      <c r="A248" s="2078"/>
      <c r="B248" s="2065"/>
      <c r="C248" s="131" t="s">
        <v>1420</v>
      </c>
      <c r="D248" s="910" t="s">
        <v>10</v>
      </c>
      <c r="E248" s="853">
        <v>46042</v>
      </c>
      <c r="F248" s="42">
        <f t="shared" si="102"/>
        <v>244</v>
      </c>
      <c r="G248" s="36">
        <v>0</v>
      </c>
      <c r="H248" s="305"/>
      <c r="I248" s="312"/>
      <c r="J248" s="1334"/>
      <c r="K248" s="36"/>
      <c r="L248" s="1712">
        <f t="shared" si="103"/>
        <v>0</v>
      </c>
      <c r="M248" s="48"/>
      <c r="N248" s="163"/>
      <c r="O248" s="48"/>
      <c r="P248" s="1878"/>
      <c r="Q248" s="795"/>
      <c r="R248" s="785">
        <f>IFERROR(VLOOKUP($Q248,'391'!$P:$W,8,0),"")</f>
        <v>0</v>
      </c>
      <c r="S248" s="796"/>
      <c r="T248" s="797"/>
      <c r="U248" s="797"/>
      <c r="V248" s="797"/>
      <c r="W248" s="802">
        <f>IFERROR(VLOOKUP($Q248,'391'!$P:$AG,15,0),0)</f>
        <v>0</v>
      </c>
      <c r="X248" s="799">
        <f t="shared" si="104"/>
        <v>0</v>
      </c>
      <c r="Y248" s="797"/>
      <c r="Z248" s="785"/>
      <c r="AA248" s="797"/>
      <c r="AB248" s="797"/>
      <c r="AC248" s="683"/>
      <c r="AD248" s="683"/>
      <c r="AE248" s="683"/>
      <c r="AF248" s="683"/>
      <c r="AG248" s="683"/>
      <c r="AH248" s="683"/>
      <c r="AI248" s="705"/>
      <c r="AJ248" s="705"/>
      <c r="AK248" s="705"/>
      <c r="AL248" s="705"/>
      <c r="AM248" s="705"/>
      <c r="AN248" s="705"/>
      <c r="AO248" s="705"/>
      <c r="AP248" s="705"/>
      <c r="AQ248" s="705"/>
      <c r="AR248" s="705"/>
      <c r="AS248" s="705"/>
    </row>
    <row r="249" spans="1:45" s="408" customFormat="1" ht="30" customHeight="1" x14ac:dyDescent="0.25">
      <c r="A249" s="2078"/>
      <c r="B249" s="2065"/>
      <c r="C249" s="106" t="s">
        <v>1599</v>
      </c>
      <c r="D249" s="910" t="s">
        <v>10</v>
      </c>
      <c r="E249" s="853">
        <v>46261</v>
      </c>
      <c r="F249" s="42">
        <f t="shared" ref="F249:F250" si="105">$L$7-E249</f>
        <v>25</v>
      </c>
      <c r="G249" s="36">
        <v>70780</v>
      </c>
      <c r="H249" s="36"/>
      <c r="I249" s="36"/>
      <c r="J249" s="36"/>
      <c r="K249" s="36"/>
      <c r="L249" s="36">
        <f t="shared" si="103"/>
        <v>70780</v>
      </c>
      <c r="M249" s="46"/>
      <c r="N249" s="920"/>
      <c r="O249" s="46"/>
      <c r="P249" s="857"/>
      <c r="Q249" s="795"/>
      <c r="R249" s="785">
        <f>IFERROR(VLOOKUP($Q249,'391'!$P:$W,8,0),"")</f>
        <v>0</v>
      </c>
      <c r="S249" s="796"/>
      <c r="T249" s="797"/>
      <c r="U249" s="797"/>
      <c r="V249" s="797"/>
      <c r="W249" s="802">
        <f>IFERROR(VLOOKUP($Q249,'391'!$P:$AG,15,0),0)</f>
        <v>0</v>
      </c>
      <c r="X249" s="799">
        <f t="shared" si="104"/>
        <v>70780</v>
      </c>
      <c r="Y249" s="797"/>
      <c r="Z249" s="785"/>
      <c r="AA249" s="797"/>
      <c r="AB249" s="797"/>
      <c r="AC249" s="683"/>
      <c r="AD249" s="683"/>
      <c r="AE249" s="683"/>
      <c r="AF249" s="683"/>
      <c r="AG249" s="683"/>
      <c r="AH249" s="683"/>
      <c r="AI249" s="705"/>
      <c r="AJ249" s="705"/>
      <c r="AK249" s="705"/>
      <c r="AL249" s="705"/>
      <c r="AM249" s="705"/>
      <c r="AN249" s="705"/>
      <c r="AO249" s="705"/>
      <c r="AP249" s="705"/>
      <c r="AQ249" s="705"/>
      <c r="AR249" s="705"/>
      <c r="AS249" s="705"/>
    </row>
    <row r="250" spans="1:45" s="405" customFormat="1" ht="30" customHeight="1" x14ac:dyDescent="0.25">
      <c r="A250" s="2078"/>
      <c r="B250" s="2065"/>
      <c r="C250" s="61" t="s">
        <v>1753</v>
      </c>
      <c r="D250" s="863" t="s">
        <v>10</v>
      </c>
      <c r="E250" s="851">
        <v>46261</v>
      </c>
      <c r="F250" s="42">
        <f t="shared" si="105"/>
        <v>25</v>
      </c>
      <c r="G250" s="36">
        <v>17683</v>
      </c>
      <c r="H250" s="36"/>
      <c r="I250" s="36">
        <f>K249</f>
        <v>0</v>
      </c>
      <c r="J250" s="1294">
        <f>usage!I33</f>
        <v>2718</v>
      </c>
      <c r="K250" s="36"/>
      <c r="L250" s="1331">
        <f t="shared" si="103"/>
        <v>14965</v>
      </c>
      <c r="M250" s="40"/>
      <c r="N250" s="84"/>
      <c r="O250" s="40"/>
      <c r="P250" s="736"/>
      <c r="Q250" s="795"/>
      <c r="R250" s="785">
        <f>IFERROR(VLOOKUP($Q250,'391'!$P:$W,8,0),"")</f>
        <v>0</v>
      </c>
      <c r="S250" s="796"/>
      <c r="T250" s="797"/>
      <c r="U250" s="797"/>
      <c r="V250" s="797"/>
      <c r="W250" s="802">
        <f>IFERROR(VLOOKUP($Q250,'391'!$P:$AG,15,0),0)</f>
        <v>0</v>
      </c>
      <c r="X250" s="799">
        <f t="shared" si="104"/>
        <v>17683</v>
      </c>
      <c r="Y250" s="797"/>
      <c r="Z250" s="785"/>
      <c r="AA250" s="797"/>
      <c r="AB250" s="797"/>
      <c r="AC250" s="683"/>
      <c r="AD250" s="683"/>
      <c r="AE250" s="683"/>
      <c r="AF250" s="683"/>
      <c r="AG250" s="683"/>
      <c r="AH250" s="683"/>
      <c r="AI250" s="705"/>
      <c r="AJ250" s="705"/>
      <c r="AK250" s="705"/>
      <c r="AL250" s="705"/>
      <c r="AM250" s="705"/>
      <c r="AN250" s="705"/>
      <c r="AO250" s="705"/>
      <c r="AP250" s="705"/>
      <c r="AQ250" s="705"/>
      <c r="AR250" s="705"/>
      <c r="AS250" s="705"/>
    </row>
    <row r="251" spans="1:45" s="402" customFormat="1" ht="30" customHeight="1" x14ac:dyDescent="0.25">
      <c r="A251" s="2019" t="s">
        <v>1631</v>
      </c>
      <c r="B251" s="2020"/>
      <c r="C251" s="88"/>
      <c r="D251" s="864"/>
      <c r="E251" s="864"/>
      <c r="F251" s="865"/>
      <c r="G251" s="1296">
        <v>88463</v>
      </c>
      <c r="H251" s="1296">
        <f>+SUM(H247:H250)</f>
        <v>0</v>
      </c>
      <c r="I251" s="1296">
        <f>+SUM(I247:I250)</f>
        <v>0</v>
      </c>
      <c r="J251" s="1296">
        <f>+SUM(J247:J250)</f>
        <v>2718</v>
      </c>
      <c r="K251" s="1296">
        <f>+SUM(K247:K250)</f>
        <v>0</v>
      </c>
      <c r="L251" s="1296">
        <f>+SUM(L247:L250)</f>
        <v>85745</v>
      </c>
      <c r="M251" s="59">
        <f>IFERROR((R251/$S$2),"")</f>
        <v>5393</v>
      </c>
      <c r="N251" s="854">
        <f>IFERROR(L251/M251,0)</f>
        <v>15.899313925458928</v>
      </c>
      <c r="O251" s="59">
        <f>IFERROR(SUMIF(ETM!$A:$A,$Q251,ETM!$E:$E),"")</f>
        <v>4259.5</v>
      </c>
      <c r="P251" s="880">
        <f>IFERROR(L251/O251,0)</f>
        <v>20.130296983213992</v>
      </c>
      <c r="Q251" s="666" t="s">
        <v>1652</v>
      </c>
      <c r="R251" s="785">
        <f>IFERROR(VLOOKUP($Q251,'391'!$P:$W,8,0),"")</f>
        <v>32358</v>
      </c>
      <c r="S251" s="796"/>
      <c r="T251" s="797"/>
      <c r="U251" s="797"/>
      <c r="V251" s="797"/>
      <c r="W251" s="802">
        <f>IFERROR(VLOOKUP($Q251,'391'!$P:$AG,15,0),0)</f>
        <v>88463</v>
      </c>
      <c r="X251" s="799">
        <f>G251-W251</f>
        <v>0</v>
      </c>
      <c r="Y251" s="797"/>
      <c r="Z251" s="785"/>
      <c r="AA251" s="797"/>
      <c r="AB251" s="797"/>
      <c r="AC251" s="551"/>
      <c r="AD251" s="551"/>
      <c r="AE251" s="551"/>
      <c r="AF251" s="551"/>
      <c r="AG251" s="551"/>
      <c r="AH251" s="551"/>
      <c r="AI251" s="704"/>
      <c r="AJ251" s="704"/>
      <c r="AK251" s="704"/>
      <c r="AL251" s="704"/>
      <c r="AM251" s="704"/>
      <c r="AN251" s="704"/>
      <c r="AO251" s="704"/>
      <c r="AP251" s="704"/>
      <c r="AQ251" s="704"/>
      <c r="AR251" s="704"/>
      <c r="AS251" s="704"/>
    </row>
    <row r="252" spans="1:45" s="409" customFormat="1" ht="30" hidden="1" customHeight="1" x14ac:dyDescent="0.25">
      <c r="A252" s="2021">
        <f>IF(L263=0,"",MAX($A$16:A251)+1)</f>
        <v>15</v>
      </c>
      <c r="B252" s="2090" t="s">
        <v>1419</v>
      </c>
      <c r="C252" s="120" t="s">
        <v>481</v>
      </c>
      <c r="D252" s="881" t="s">
        <v>10</v>
      </c>
      <c r="E252" s="888">
        <v>43487</v>
      </c>
      <c r="F252" s="71">
        <f t="shared" ref="F252:F260" si="106">$L$7-E252</f>
        <v>2799</v>
      </c>
      <c r="G252" s="247">
        <v>0</v>
      </c>
      <c r="H252" s="305"/>
      <c r="I252" s="305"/>
      <c r="J252" s="1335"/>
      <c r="K252" s="305"/>
      <c r="L252" s="531">
        <f t="shared" ref="L252:L262" si="107">+G252+H252+I252-J252-K252</f>
        <v>0</v>
      </c>
      <c r="M252" s="147"/>
      <c r="N252" s="248"/>
      <c r="O252" s="147"/>
      <c r="P252" s="857"/>
      <c r="Q252" s="795"/>
      <c r="R252" s="785">
        <f>IFERROR(VLOOKUP($Q252,'391'!$P:$W,8,0),"")</f>
        <v>0</v>
      </c>
      <c r="S252" s="796"/>
      <c r="T252" s="797"/>
      <c r="U252" s="797"/>
      <c r="V252" s="797"/>
      <c r="W252" s="802">
        <f>IFERROR(VLOOKUP($Q252,'391'!$P:$AG,15,0),0)</f>
        <v>0</v>
      </c>
      <c r="X252" s="799">
        <f t="shared" si="95"/>
        <v>0</v>
      </c>
      <c r="Y252" s="797"/>
      <c r="Z252" s="785"/>
      <c r="AA252" s="797"/>
      <c r="AB252" s="797"/>
      <c r="AC252" s="681"/>
      <c r="AD252" s="681"/>
      <c r="AE252" s="681"/>
      <c r="AF252" s="681"/>
      <c r="AG252" s="681"/>
      <c r="AH252" s="681"/>
      <c r="AI252" s="703"/>
      <c r="AJ252" s="703"/>
      <c r="AK252" s="703"/>
      <c r="AL252" s="703"/>
      <c r="AM252" s="703"/>
      <c r="AN252" s="703"/>
      <c r="AO252" s="703"/>
      <c r="AP252" s="703"/>
      <c r="AQ252" s="703"/>
      <c r="AR252" s="703"/>
      <c r="AS252" s="703"/>
    </row>
    <row r="253" spans="1:45" s="409" customFormat="1" ht="30" hidden="1" customHeight="1" x14ac:dyDescent="0.25">
      <c r="A253" s="2022"/>
      <c r="B253" s="2091"/>
      <c r="C253" s="120" t="s">
        <v>257</v>
      </c>
      <c r="D253" s="881" t="s">
        <v>10</v>
      </c>
      <c r="E253" s="888">
        <v>42538</v>
      </c>
      <c r="F253" s="71">
        <f t="shared" si="106"/>
        <v>3748</v>
      </c>
      <c r="G253" s="312">
        <v>0</v>
      </c>
      <c r="H253" s="306"/>
      <c r="I253" s="306"/>
      <c r="J253" s="1305"/>
      <c r="K253" s="306"/>
      <c r="L253" s="531">
        <f t="shared" si="107"/>
        <v>0</v>
      </c>
      <c r="M253" s="147"/>
      <c r="N253" s="248"/>
      <c r="O253" s="147"/>
      <c r="P253" s="857"/>
      <c r="Q253" s="795"/>
      <c r="R253" s="785">
        <f>IFERROR(VLOOKUP($Q253,'391'!$P:$W,8,0),"")</f>
        <v>0</v>
      </c>
      <c r="S253" s="796"/>
      <c r="T253" s="797"/>
      <c r="U253" s="797"/>
      <c r="V253" s="797"/>
      <c r="W253" s="802">
        <f>IFERROR(VLOOKUP($Q253,'391'!$P:$AG,15,0),0)</f>
        <v>0</v>
      </c>
      <c r="X253" s="799">
        <f t="shared" si="95"/>
        <v>0</v>
      </c>
      <c r="Y253" s="797"/>
      <c r="Z253" s="785"/>
      <c r="AA253" s="797"/>
      <c r="AB253" s="797"/>
      <c r="AC253" s="681"/>
      <c r="AD253" s="681"/>
      <c r="AE253" s="681"/>
      <c r="AF253" s="681"/>
      <c r="AG253" s="681"/>
      <c r="AH253" s="681"/>
      <c r="AI253" s="703"/>
      <c r="AJ253" s="703"/>
      <c r="AK253" s="703"/>
      <c r="AL253" s="703"/>
      <c r="AM253" s="703"/>
      <c r="AN253" s="703"/>
      <c r="AO253" s="703"/>
      <c r="AP253" s="703"/>
      <c r="AQ253" s="703"/>
      <c r="AR253" s="703"/>
      <c r="AS253" s="703"/>
    </row>
    <row r="254" spans="1:45" s="400" customFormat="1" ht="30" hidden="1" customHeight="1" x14ac:dyDescent="0.25">
      <c r="A254" s="2022"/>
      <c r="B254" s="2091"/>
      <c r="C254" s="106"/>
      <c r="D254" s="852" t="s">
        <v>10</v>
      </c>
      <c r="E254" s="851">
        <v>43406</v>
      </c>
      <c r="F254" s="73">
        <f t="shared" si="106"/>
        <v>2880</v>
      </c>
      <c r="G254" s="36">
        <v>0</v>
      </c>
      <c r="H254" s="36"/>
      <c r="I254" s="296"/>
      <c r="J254" s="1298"/>
      <c r="K254" s="296"/>
      <c r="L254" s="531">
        <f t="shared" si="107"/>
        <v>0</v>
      </c>
      <c r="M254" s="46"/>
      <c r="N254" s="176"/>
      <c r="O254" s="46"/>
      <c r="P254" s="734"/>
      <c r="Q254" s="795"/>
      <c r="R254" s="785">
        <f>IFERROR(VLOOKUP($Q254,'391'!$P:$W,8,0),"")</f>
        <v>0</v>
      </c>
      <c r="S254" s="796"/>
      <c r="T254" s="797"/>
      <c r="U254" s="797"/>
      <c r="V254" s="797"/>
      <c r="W254" s="802">
        <f>IFERROR(VLOOKUP($Q254,'391'!$P:$AG,15,0),0)</f>
        <v>0</v>
      </c>
      <c r="X254" s="799">
        <f t="shared" si="95"/>
        <v>0</v>
      </c>
      <c r="Y254" s="797"/>
      <c r="Z254" s="785"/>
      <c r="AA254" s="797"/>
      <c r="AB254" s="797"/>
      <c r="AC254" s="681"/>
      <c r="AD254" s="681"/>
      <c r="AE254" s="681"/>
      <c r="AF254" s="681"/>
      <c r="AG254" s="681"/>
      <c r="AH254" s="681"/>
      <c r="AI254" s="703"/>
      <c r="AJ254" s="703"/>
      <c r="AK254" s="703"/>
      <c r="AL254" s="703"/>
      <c r="AM254" s="703"/>
      <c r="AN254" s="703"/>
      <c r="AO254" s="703"/>
      <c r="AP254" s="703"/>
      <c r="AQ254" s="703"/>
      <c r="AR254" s="703"/>
      <c r="AS254" s="703"/>
    </row>
    <row r="255" spans="1:45" s="400" customFormat="1" ht="30" hidden="1" customHeight="1" x14ac:dyDescent="0.25">
      <c r="A255" s="2022"/>
      <c r="B255" s="2091"/>
      <c r="C255" s="106"/>
      <c r="D255" s="852" t="s">
        <v>10</v>
      </c>
      <c r="E255" s="851">
        <v>46157</v>
      </c>
      <c r="F255" s="73">
        <f t="shared" si="106"/>
        <v>129</v>
      </c>
      <c r="G255" s="36">
        <v>0</v>
      </c>
      <c r="H255" s="296"/>
      <c r="I255" s="36"/>
      <c r="J255" s="1294"/>
      <c r="K255" s="36"/>
      <c r="L255" s="531">
        <f t="shared" si="107"/>
        <v>0</v>
      </c>
      <c r="M255" s="48"/>
      <c r="N255" s="163"/>
      <c r="O255" s="48"/>
      <c r="P255" s="738"/>
      <c r="Q255" s="795"/>
      <c r="R255" s="785">
        <f>IFERROR(VLOOKUP($Q255,'391'!$P:$W,8,0),"")</f>
        <v>0</v>
      </c>
      <c r="S255" s="796"/>
      <c r="T255" s="797"/>
      <c r="U255" s="797"/>
      <c r="V255" s="797"/>
      <c r="W255" s="802">
        <f>IFERROR(VLOOKUP($Q255,'391'!$P:$AG,15,0),0)</f>
        <v>0</v>
      </c>
      <c r="X255" s="799">
        <f t="shared" si="95"/>
        <v>0</v>
      </c>
      <c r="Y255" s="797"/>
      <c r="Z255" s="785"/>
      <c r="AA255" s="797"/>
      <c r="AB255" s="797"/>
      <c r="AC255" s="681"/>
      <c r="AD255" s="681"/>
      <c r="AE255" s="681"/>
      <c r="AF255" s="681"/>
      <c r="AG255" s="681"/>
      <c r="AH255" s="681"/>
      <c r="AI255" s="703"/>
      <c r="AJ255" s="703"/>
      <c r="AK255" s="703"/>
      <c r="AL255" s="703"/>
      <c r="AM255" s="703"/>
      <c r="AN255" s="703"/>
      <c r="AO255" s="703"/>
      <c r="AP255" s="703"/>
      <c r="AQ255" s="703"/>
      <c r="AR255" s="703"/>
      <c r="AS255" s="703"/>
    </row>
    <row r="256" spans="1:45" s="400" customFormat="1" ht="30" customHeight="1" x14ac:dyDescent="0.25">
      <c r="A256" s="2022"/>
      <c r="B256" s="2091"/>
      <c r="C256" s="106" t="s">
        <v>505</v>
      </c>
      <c r="D256" s="852" t="s">
        <v>10</v>
      </c>
      <c r="E256" s="851">
        <v>46279</v>
      </c>
      <c r="F256" s="73">
        <f t="shared" ref="F256:F257" si="108">$L$7-E256</f>
        <v>7</v>
      </c>
      <c r="G256" s="36">
        <v>59330</v>
      </c>
      <c r="H256" s="296"/>
      <c r="I256" s="36"/>
      <c r="J256" s="1294"/>
      <c r="K256" s="36"/>
      <c r="L256" s="531">
        <f t="shared" si="107"/>
        <v>59330</v>
      </c>
      <c r="M256" s="48"/>
      <c r="N256" s="163"/>
      <c r="O256" s="48"/>
      <c r="P256" s="738"/>
      <c r="Q256" s="795"/>
      <c r="R256" s="785">
        <f>IFERROR(VLOOKUP($Q256,'391'!$P:$W,8,0),"")</f>
        <v>0</v>
      </c>
      <c r="S256" s="796"/>
      <c r="T256" s="797"/>
      <c r="U256" s="797"/>
      <c r="V256" s="797"/>
      <c r="W256" s="802">
        <f>IFERROR(VLOOKUP($Q256,'391'!$P:$AG,15,0),0)</f>
        <v>0</v>
      </c>
      <c r="X256" s="799">
        <f t="shared" si="95"/>
        <v>59330</v>
      </c>
      <c r="Y256" s="797"/>
      <c r="Z256" s="785"/>
      <c r="AA256" s="797"/>
      <c r="AB256" s="797"/>
      <c r="AC256" s="681"/>
      <c r="AD256" s="681"/>
      <c r="AE256" s="681"/>
      <c r="AF256" s="681"/>
      <c r="AG256" s="681"/>
      <c r="AH256" s="681"/>
      <c r="AI256" s="703"/>
      <c r="AJ256" s="703"/>
      <c r="AK256" s="703"/>
      <c r="AL256" s="703"/>
      <c r="AM256" s="703"/>
      <c r="AN256" s="703"/>
      <c r="AO256" s="703"/>
      <c r="AP256" s="703"/>
      <c r="AQ256" s="703"/>
      <c r="AR256" s="703"/>
      <c r="AS256" s="703"/>
    </row>
    <row r="257" spans="1:45" s="400" customFormat="1" ht="30" hidden="1" customHeight="1" x14ac:dyDescent="0.25">
      <c r="A257" s="2022"/>
      <c r="B257" s="2092"/>
      <c r="C257" s="106"/>
      <c r="D257" s="852" t="s">
        <v>10</v>
      </c>
      <c r="E257" s="851">
        <v>46234</v>
      </c>
      <c r="F257" s="73">
        <f t="shared" si="108"/>
        <v>52</v>
      </c>
      <c r="G257" s="36">
        <v>0</v>
      </c>
      <c r="H257" s="296"/>
      <c r="I257" s="296"/>
      <c r="J257" s="1294"/>
      <c r="K257" s="36"/>
      <c r="L257" s="531">
        <f>+G257+H257+I257-J257-K257</f>
        <v>0</v>
      </c>
      <c r="M257" s="48"/>
      <c r="N257" s="163"/>
      <c r="O257" s="48"/>
      <c r="P257" s="738"/>
      <c r="Q257" s="795"/>
      <c r="R257" s="785">
        <f>IFERROR(VLOOKUP($Q257,'391'!$P:$W,8,0),"")</f>
        <v>0</v>
      </c>
      <c r="S257" s="796"/>
      <c r="T257" s="797"/>
      <c r="U257" s="797"/>
      <c r="V257" s="797"/>
      <c r="W257" s="802">
        <f>IFERROR(VLOOKUP($Q257,'391'!$P:$AG,15,0),0)</f>
        <v>0</v>
      </c>
      <c r="X257" s="799">
        <f t="shared" si="95"/>
        <v>0</v>
      </c>
      <c r="Y257" s="797"/>
      <c r="Z257" s="785"/>
      <c r="AA257" s="797"/>
      <c r="AB257" s="797"/>
      <c r="AC257" s="681"/>
      <c r="AD257" s="681"/>
      <c r="AE257" s="681"/>
      <c r="AF257" s="681"/>
      <c r="AG257" s="681"/>
      <c r="AH257" s="681"/>
      <c r="AI257" s="703"/>
      <c r="AJ257" s="703"/>
      <c r="AK257" s="703"/>
      <c r="AL257" s="703"/>
      <c r="AM257" s="703"/>
      <c r="AN257" s="703"/>
      <c r="AO257" s="703"/>
      <c r="AP257" s="703"/>
      <c r="AQ257" s="703"/>
      <c r="AR257" s="703"/>
      <c r="AS257" s="703"/>
    </row>
    <row r="258" spans="1:45" s="400" customFormat="1" ht="30" hidden="1" customHeight="1" x14ac:dyDescent="0.25">
      <c r="A258" s="2022"/>
      <c r="B258" s="2091"/>
      <c r="C258" s="106" t="s">
        <v>492</v>
      </c>
      <c r="D258" s="852" t="s">
        <v>10</v>
      </c>
      <c r="E258" s="851">
        <v>45694</v>
      </c>
      <c r="F258" s="73">
        <f t="shared" si="106"/>
        <v>592</v>
      </c>
      <c r="G258" s="36">
        <v>0</v>
      </c>
      <c r="H258" s="296"/>
      <c r="I258" s="296"/>
      <c r="J258" s="1294"/>
      <c r="K258" s="36"/>
      <c r="L258" s="531">
        <f>+G258+H258+I258-J258-K258</f>
        <v>0</v>
      </c>
      <c r="M258" s="48"/>
      <c r="N258" s="163"/>
      <c r="O258" s="48"/>
      <c r="P258" s="738"/>
      <c r="Q258" s="795"/>
      <c r="R258" s="785">
        <f>IFERROR(VLOOKUP($Q258,'391'!$P:$W,8,0),"")</f>
        <v>0</v>
      </c>
      <c r="S258" s="796"/>
      <c r="T258" s="797"/>
      <c r="U258" s="797"/>
      <c r="V258" s="797"/>
      <c r="W258" s="802">
        <f>IFERROR(VLOOKUP($Q258,'391'!$P:$AG,15,0),0)</f>
        <v>0</v>
      </c>
      <c r="X258" s="799">
        <f t="shared" si="95"/>
        <v>0</v>
      </c>
      <c r="Y258" s="797"/>
      <c r="Z258" s="785"/>
      <c r="AA258" s="797"/>
      <c r="AB258" s="797"/>
      <c r="AC258" s="681"/>
      <c r="AD258" s="681"/>
      <c r="AE258" s="681"/>
      <c r="AF258" s="681"/>
      <c r="AG258" s="681"/>
      <c r="AH258" s="681"/>
      <c r="AI258" s="703"/>
      <c r="AJ258" s="703"/>
      <c r="AK258" s="703"/>
      <c r="AL258" s="703"/>
      <c r="AM258" s="703"/>
      <c r="AN258" s="703"/>
      <c r="AO258" s="703"/>
      <c r="AP258" s="703"/>
      <c r="AQ258" s="703"/>
      <c r="AR258" s="703"/>
      <c r="AS258" s="703"/>
    </row>
    <row r="259" spans="1:45" s="400" customFormat="1" ht="30" customHeight="1" x14ac:dyDescent="0.25">
      <c r="A259" s="2022"/>
      <c r="B259" s="2091"/>
      <c r="C259" s="65" t="s">
        <v>2212</v>
      </c>
      <c r="D259" s="852" t="s">
        <v>10</v>
      </c>
      <c r="E259" s="851">
        <v>46279</v>
      </c>
      <c r="F259" s="73">
        <f t="shared" si="106"/>
        <v>7</v>
      </c>
      <c r="G259" s="296">
        <v>32871</v>
      </c>
      <c r="H259" s="296"/>
      <c r="I259" s="296">
        <f>K258+K256+K257+K255-I255</f>
        <v>0</v>
      </c>
      <c r="J259" s="1298">
        <f>usage!I29</f>
        <v>15908</v>
      </c>
      <c r="K259" s="296"/>
      <c r="L259" s="531">
        <f t="shared" si="107"/>
        <v>16963</v>
      </c>
      <c r="M259" s="48"/>
      <c r="N259" s="163"/>
      <c r="O259" s="48"/>
      <c r="P259" s="738"/>
      <c r="Q259" s="795"/>
      <c r="R259" s="785">
        <f>IFERROR(VLOOKUP($Q259,'391'!$P:$W,8,0),"")</f>
        <v>0</v>
      </c>
      <c r="S259" s="796"/>
      <c r="T259" s="797"/>
      <c r="U259" s="797"/>
      <c r="V259" s="797"/>
      <c r="W259" s="802">
        <f>IFERROR(VLOOKUP($Q259,'391'!$P:$AG,15,0),0)</f>
        <v>0</v>
      </c>
      <c r="X259" s="799">
        <f t="shared" si="95"/>
        <v>32871</v>
      </c>
      <c r="Y259" s="797"/>
      <c r="Z259" s="785"/>
      <c r="AA259" s="797"/>
      <c r="AB259" s="797"/>
      <c r="AC259" s="681"/>
      <c r="AD259" s="681"/>
      <c r="AE259" s="681"/>
      <c r="AF259" s="681"/>
      <c r="AG259" s="681"/>
      <c r="AH259" s="681"/>
      <c r="AI259" s="703"/>
      <c r="AJ259" s="703"/>
      <c r="AK259" s="703"/>
      <c r="AL259" s="703"/>
      <c r="AM259" s="703"/>
      <c r="AN259" s="703"/>
      <c r="AO259" s="703"/>
      <c r="AP259" s="703"/>
      <c r="AQ259" s="703"/>
      <c r="AR259" s="703"/>
      <c r="AS259" s="703"/>
    </row>
    <row r="260" spans="1:45" s="13" customFormat="1" ht="30" hidden="1" customHeight="1" x14ac:dyDescent="0.25">
      <c r="A260" s="2022"/>
      <c r="B260" s="2091"/>
      <c r="C260" s="108" t="s">
        <v>221</v>
      </c>
      <c r="D260" s="863" t="s">
        <v>10</v>
      </c>
      <c r="E260" s="851">
        <v>42247</v>
      </c>
      <c r="F260" s="42">
        <f t="shared" si="106"/>
        <v>4039</v>
      </c>
      <c r="G260" s="28">
        <v>0</v>
      </c>
      <c r="H260" s="28"/>
      <c r="I260" s="28"/>
      <c r="J260" s="1295"/>
      <c r="K260" s="28"/>
      <c r="L260" s="531">
        <f t="shared" si="107"/>
        <v>0</v>
      </c>
      <c r="M260" s="47"/>
      <c r="N260" s="920"/>
      <c r="O260" s="47"/>
      <c r="P260" s="857"/>
      <c r="Q260" s="795"/>
      <c r="R260" s="785">
        <f>IFERROR(VLOOKUP($Q260,'391'!$P:$W,8,0),"")</f>
        <v>0</v>
      </c>
      <c r="S260" s="796"/>
      <c r="T260" s="797"/>
      <c r="U260" s="797"/>
      <c r="V260" s="797"/>
      <c r="W260" s="802">
        <f>IFERROR(VLOOKUP($Q260,'391'!$P:$AG,15,0),0)</f>
        <v>0</v>
      </c>
      <c r="X260" s="799">
        <f t="shared" si="95"/>
        <v>0</v>
      </c>
      <c r="Y260" s="797"/>
      <c r="Z260" s="785"/>
      <c r="AA260" s="797"/>
      <c r="AB260" s="797"/>
      <c r="AC260" s="683"/>
      <c r="AD260" s="683"/>
      <c r="AE260" s="683"/>
      <c r="AF260" s="683"/>
      <c r="AG260" s="683"/>
      <c r="AH260" s="683"/>
      <c r="AI260" s="705"/>
      <c r="AJ260" s="705"/>
      <c r="AK260" s="705"/>
      <c r="AL260" s="705"/>
      <c r="AM260" s="705"/>
      <c r="AN260" s="705"/>
      <c r="AO260" s="705"/>
      <c r="AP260" s="705"/>
      <c r="AQ260" s="705"/>
      <c r="AR260" s="705"/>
      <c r="AS260" s="705"/>
    </row>
    <row r="261" spans="1:45" s="402" customFormat="1" ht="30" hidden="1" customHeight="1" x14ac:dyDescent="0.25">
      <c r="A261" s="2022"/>
      <c r="B261" s="2091"/>
      <c r="C261" s="2110" t="s">
        <v>225</v>
      </c>
      <c r="D261" s="2111"/>
      <c r="E261" s="2111"/>
      <c r="F261" s="2111"/>
      <c r="G261" s="1311">
        <v>0</v>
      </c>
      <c r="H261" s="1311">
        <f>H260+H252</f>
        <v>0</v>
      </c>
      <c r="I261" s="1311">
        <f>I260+I252</f>
        <v>0</v>
      </c>
      <c r="J261" s="1311">
        <f>J260+J252</f>
        <v>0</v>
      </c>
      <c r="K261" s="1311"/>
      <c r="L261" s="531">
        <f t="shared" si="107"/>
        <v>0</v>
      </c>
      <c r="M261" s="891"/>
      <c r="N261" s="920" t="e">
        <f>(L261/M261)/1000</f>
        <v>#DIV/0!</v>
      </c>
      <c r="O261" s="891"/>
      <c r="P261" s="868" t="e">
        <f>(L261/O261)/1000</f>
        <v>#DIV/0!</v>
      </c>
      <c r="Q261" s="795"/>
      <c r="R261" s="785">
        <f>IFERROR(VLOOKUP($Q261,'391'!$P:$W,8,0),"")</f>
        <v>0</v>
      </c>
      <c r="S261" s="796"/>
      <c r="T261" s="797"/>
      <c r="U261" s="797"/>
      <c r="V261" s="797"/>
      <c r="W261" s="802">
        <f>IFERROR(VLOOKUP($Q261,'391'!$P:$AG,15,0),0)</f>
        <v>0</v>
      </c>
      <c r="X261" s="799">
        <f t="shared" si="95"/>
        <v>0</v>
      </c>
      <c r="Y261" s="797"/>
      <c r="Z261" s="785"/>
      <c r="AA261" s="797"/>
      <c r="AB261" s="797"/>
      <c r="AC261" s="551"/>
      <c r="AD261" s="551"/>
      <c r="AE261" s="551"/>
      <c r="AF261" s="551"/>
      <c r="AG261" s="551"/>
      <c r="AH261" s="551"/>
      <c r="AI261" s="704"/>
      <c r="AJ261" s="704"/>
      <c r="AK261" s="704"/>
      <c r="AL261" s="704"/>
      <c r="AM261" s="704"/>
      <c r="AN261" s="704"/>
      <c r="AO261" s="704"/>
      <c r="AP261" s="704"/>
      <c r="AQ261" s="704"/>
      <c r="AR261" s="704"/>
      <c r="AS261" s="704"/>
    </row>
    <row r="262" spans="1:45" s="403" customFormat="1" ht="30" hidden="1" customHeight="1" x14ac:dyDescent="0.25">
      <c r="A262" s="2023"/>
      <c r="B262" s="2093"/>
      <c r="C262" s="2116"/>
      <c r="D262" s="2117"/>
      <c r="E262" s="2117"/>
      <c r="F262" s="2117"/>
      <c r="G262" s="539" t="e">
        <v>#REF!</v>
      </c>
      <c r="H262" s="301"/>
      <c r="I262" s="301" t="e">
        <f>#REF!</f>
        <v>#REF!</v>
      </c>
      <c r="J262" s="1312"/>
      <c r="K262" s="301"/>
      <c r="L262" s="531" t="e">
        <f t="shared" si="107"/>
        <v>#REF!</v>
      </c>
      <c r="M262" s="178"/>
      <c r="N262" s="920"/>
      <c r="O262" s="178"/>
      <c r="P262" s="857"/>
      <c r="Q262" s="795"/>
      <c r="R262" s="785">
        <f>IFERROR(VLOOKUP($Q262,'391'!$P:$W,8,0),"")</f>
        <v>0</v>
      </c>
      <c r="S262" s="786"/>
      <c r="T262" s="787"/>
      <c r="U262" s="787"/>
      <c r="V262" s="787"/>
      <c r="W262" s="802">
        <f>IFERROR(VLOOKUP($Q262,'391'!$P:$AG,15,0),0)</f>
        <v>0</v>
      </c>
      <c r="X262" s="799" t="e">
        <f t="shared" si="95"/>
        <v>#REF!</v>
      </c>
      <c r="Y262" s="787"/>
      <c r="Z262" s="791"/>
      <c r="AA262" s="787"/>
      <c r="AB262" s="787"/>
      <c r="AC262" s="679"/>
      <c r="AD262" s="679"/>
      <c r="AE262" s="679"/>
      <c r="AF262" s="679"/>
      <c r="AG262" s="679"/>
      <c r="AH262" s="679"/>
      <c r="AI262" s="682"/>
      <c r="AJ262" s="682"/>
      <c r="AK262" s="682"/>
      <c r="AL262" s="682"/>
      <c r="AM262" s="682"/>
      <c r="AN262" s="682"/>
      <c r="AO262" s="682"/>
      <c r="AP262" s="682"/>
      <c r="AQ262" s="682"/>
      <c r="AR262" s="682"/>
      <c r="AS262" s="682"/>
    </row>
    <row r="263" spans="1:45" s="402" customFormat="1" ht="30" customHeight="1" x14ac:dyDescent="0.25">
      <c r="A263" s="2019" t="s">
        <v>217</v>
      </c>
      <c r="B263" s="2020"/>
      <c r="C263" s="88"/>
      <c r="D263" s="864"/>
      <c r="E263" s="864"/>
      <c r="F263" s="865"/>
      <c r="G263" s="1296">
        <v>92201</v>
      </c>
      <c r="H263" s="1296">
        <f t="shared" ref="H263:L263" si="109">+SUM(H252:H259)</f>
        <v>0</v>
      </c>
      <c r="I263" s="1296">
        <f t="shared" si="109"/>
        <v>0</v>
      </c>
      <c r="J263" s="1296">
        <f t="shared" si="109"/>
        <v>15908</v>
      </c>
      <c r="K263" s="1296">
        <f t="shared" si="109"/>
        <v>0</v>
      </c>
      <c r="L263" s="1296">
        <f t="shared" si="109"/>
        <v>76293</v>
      </c>
      <c r="M263" s="59">
        <f>IFERROR((R263/$S$2),"")</f>
        <v>8267.6666666666661</v>
      </c>
      <c r="N263" s="1185">
        <f>(L263/M263)</f>
        <v>9.227875660202395</v>
      </c>
      <c r="O263" s="59">
        <f>IFERROR(SUMIF(ETM!$A:$A,$Q263,ETM!$E:$E),"")</f>
        <v>12019.833333333332</v>
      </c>
      <c r="P263" s="1186">
        <f>(L263/O263)</f>
        <v>6.3472593907292119</v>
      </c>
      <c r="Q263" s="795" t="s">
        <v>814</v>
      </c>
      <c r="R263" s="785">
        <f>IFERROR(VLOOKUP($Q263,'391'!$P:$W,8,0),"")</f>
        <v>49606</v>
      </c>
      <c r="S263" s="796"/>
      <c r="T263" s="797"/>
      <c r="U263" s="797"/>
      <c r="V263" s="797"/>
      <c r="W263" s="802">
        <f>IFERROR(VLOOKUP($Q263,'391'!$P:$AG,15,0),0)</f>
        <v>92201</v>
      </c>
      <c r="X263" s="799">
        <f t="shared" si="95"/>
        <v>0</v>
      </c>
      <c r="Y263" s="797"/>
      <c r="Z263" s="785"/>
      <c r="AA263" s="797"/>
      <c r="AB263" s="797"/>
      <c r="AC263" s="551"/>
      <c r="AD263" s="551"/>
      <c r="AE263" s="551"/>
      <c r="AF263" s="551"/>
      <c r="AG263" s="551"/>
      <c r="AH263" s="551"/>
      <c r="AI263" s="704"/>
      <c r="AJ263" s="704"/>
      <c r="AK263" s="704"/>
      <c r="AL263" s="704"/>
      <c r="AM263" s="704"/>
      <c r="AN263" s="704"/>
      <c r="AO263" s="704"/>
      <c r="AP263" s="704"/>
      <c r="AQ263" s="704"/>
      <c r="AR263" s="704"/>
      <c r="AS263" s="704"/>
    </row>
    <row r="264" spans="1:45" s="400" customFormat="1" ht="30" hidden="1" customHeight="1" x14ac:dyDescent="0.25">
      <c r="A264" s="2063" t="str">
        <f>IF(L268=0,"",MAX($A$16:A263)+1)</f>
        <v/>
      </c>
      <c r="B264" s="2024" t="s">
        <v>42</v>
      </c>
      <c r="C264" s="112"/>
      <c r="D264" s="850" t="s">
        <v>10</v>
      </c>
      <c r="E264" s="851">
        <v>44771</v>
      </c>
      <c r="F264" s="42">
        <f>$L$7-E264</f>
        <v>1515</v>
      </c>
      <c r="G264" s="308">
        <v>0</v>
      </c>
      <c r="H264" s="308"/>
      <c r="I264" s="308"/>
      <c r="J264" s="1302"/>
      <c r="K264" s="308"/>
      <c r="L264" s="531">
        <f>+G264+H264+I264-J264-K264</f>
        <v>0</v>
      </c>
      <c r="M264" s="44"/>
      <c r="N264" s="95"/>
      <c r="O264" s="44"/>
      <c r="P264" s="857"/>
      <c r="Q264" s="795"/>
      <c r="R264" s="785">
        <f>IFERROR(VLOOKUP($Q264,'391'!$P:$W,8,0),"")</f>
        <v>0</v>
      </c>
      <c r="S264" s="796"/>
      <c r="T264" s="797"/>
      <c r="U264" s="797"/>
      <c r="V264" s="797"/>
      <c r="W264" s="802">
        <f>IFERROR(VLOOKUP($Q264,'391'!$P:$AG,15,0),0)</f>
        <v>0</v>
      </c>
      <c r="X264" s="799">
        <f t="shared" si="95"/>
        <v>0</v>
      </c>
      <c r="Y264" s="797"/>
      <c r="Z264" s="785"/>
      <c r="AA264" s="797"/>
      <c r="AB264" s="797"/>
      <c r="AC264" s="681"/>
      <c r="AD264" s="681"/>
      <c r="AE264" s="681"/>
      <c r="AF264" s="681"/>
      <c r="AG264" s="681"/>
      <c r="AH264" s="681"/>
      <c r="AI264" s="703"/>
      <c r="AJ264" s="703"/>
      <c r="AK264" s="703"/>
      <c r="AL264" s="703"/>
      <c r="AM264" s="703"/>
      <c r="AN264" s="703"/>
      <c r="AO264" s="703"/>
      <c r="AP264" s="703"/>
      <c r="AQ264" s="703"/>
      <c r="AR264" s="703"/>
      <c r="AS264" s="703"/>
    </row>
    <row r="265" spans="1:45" s="13" customFormat="1" ht="30" hidden="1" customHeight="1" x14ac:dyDescent="0.25">
      <c r="A265" s="2078"/>
      <c r="B265" s="2107"/>
      <c r="C265" s="106"/>
      <c r="D265" s="850" t="s">
        <v>10</v>
      </c>
      <c r="E265" s="851">
        <v>45737</v>
      </c>
      <c r="F265" s="42">
        <f>$L$7-E265</f>
        <v>549</v>
      </c>
      <c r="G265" s="36">
        <v>0</v>
      </c>
      <c r="H265" s="36"/>
      <c r="I265" s="36"/>
      <c r="J265" s="1294"/>
      <c r="K265" s="36"/>
      <c r="L265" s="531">
        <f>+G265+H265+I265-J265-K265</f>
        <v>0</v>
      </c>
      <c r="M265" s="45"/>
      <c r="N265" s="162"/>
      <c r="O265" s="45"/>
      <c r="P265" s="857"/>
      <c r="Q265" s="795"/>
      <c r="R265" s="785">
        <f>IFERROR(VLOOKUP($Q265,'391'!$P:$W,8,0),"")</f>
        <v>0</v>
      </c>
      <c r="S265" s="796"/>
      <c r="T265" s="797"/>
      <c r="U265" s="797"/>
      <c r="V265" s="797"/>
      <c r="W265" s="802">
        <f>IFERROR(VLOOKUP($Q265,'391'!$P:$AG,15,0),0)</f>
        <v>0</v>
      </c>
      <c r="X265" s="799">
        <f t="shared" si="95"/>
        <v>0</v>
      </c>
      <c r="Y265" s="797"/>
      <c r="Z265" s="785"/>
      <c r="AA265" s="797"/>
      <c r="AB265" s="797"/>
      <c r="AC265" s="683"/>
      <c r="AD265" s="683"/>
      <c r="AE265" s="683"/>
      <c r="AF265" s="683"/>
      <c r="AG265" s="683"/>
      <c r="AH265" s="683"/>
      <c r="AI265" s="705"/>
      <c r="AJ265" s="705"/>
      <c r="AK265" s="705"/>
      <c r="AL265" s="705"/>
      <c r="AM265" s="705"/>
      <c r="AN265" s="705"/>
      <c r="AO265" s="705"/>
      <c r="AP265" s="705"/>
      <c r="AQ265" s="705"/>
      <c r="AR265" s="705"/>
      <c r="AS265" s="705"/>
    </row>
    <row r="266" spans="1:45" s="13" customFormat="1" ht="30" hidden="1" customHeight="1" x14ac:dyDescent="0.25">
      <c r="A266" s="2078"/>
      <c r="B266" s="2107"/>
      <c r="C266" s="109"/>
      <c r="D266" s="850" t="s">
        <v>10</v>
      </c>
      <c r="E266" s="851">
        <v>46062</v>
      </c>
      <c r="F266" s="42">
        <f>$L$7-E266</f>
        <v>224</v>
      </c>
      <c r="G266" s="36">
        <v>0</v>
      </c>
      <c r="H266" s="36"/>
      <c r="I266" s="36"/>
      <c r="J266" s="1294"/>
      <c r="K266" s="36"/>
      <c r="L266" s="531">
        <f>+G266+H266+I266-J266-K266</f>
        <v>0</v>
      </c>
      <c r="M266" s="45"/>
      <c r="N266" s="162"/>
      <c r="O266" s="45"/>
      <c r="P266" s="857"/>
      <c r="Q266" s="795"/>
      <c r="R266" s="785">
        <f>IFERROR(VLOOKUP($Q266,'391'!$P:$W,8,0),"")</f>
        <v>0</v>
      </c>
      <c r="S266" s="796"/>
      <c r="T266" s="797"/>
      <c r="U266" s="797"/>
      <c r="V266" s="797"/>
      <c r="W266" s="802">
        <f>IFERROR(VLOOKUP($Q266,'391'!$P:$AG,15,0),0)</f>
        <v>0</v>
      </c>
      <c r="X266" s="799">
        <f t="shared" si="95"/>
        <v>0</v>
      </c>
      <c r="Y266" s="797"/>
      <c r="Z266" s="785"/>
      <c r="AA266" s="797"/>
      <c r="AB266" s="797"/>
      <c r="AC266" s="683"/>
      <c r="AD266" s="683"/>
      <c r="AE266" s="683"/>
      <c r="AF266" s="683"/>
      <c r="AG266" s="683"/>
      <c r="AH266" s="683"/>
      <c r="AI266" s="705"/>
      <c r="AJ266" s="705"/>
      <c r="AK266" s="705"/>
      <c r="AL266" s="705"/>
      <c r="AM266" s="705"/>
      <c r="AN266" s="705"/>
      <c r="AO266" s="705"/>
      <c r="AP266" s="705"/>
      <c r="AQ266" s="705"/>
      <c r="AR266" s="705"/>
      <c r="AS266" s="705"/>
    </row>
    <row r="267" spans="1:45" s="13" customFormat="1" ht="30" hidden="1" customHeight="1" x14ac:dyDescent="0.25">
      <c r="A267" s="2064"/>
      <c r="B267" s="2026"/>
      <c r="C267" s="138" t="s">
        <v>1302</v>
      </c>
      <c r="D267" s="863" t="s">
        <v>10</v>
      </c>
      <c r="E267" s="851">
        <v>46062</v>
      </c>
      <c r="F267" s="42">
        <f>$L$7-E267</f>
        <v>224</v>
      </c>
      <c r="G267" s="28">
        <v>0</v>
      </c>
      <c r="H267" s="28"/>
      <c r="I267" s="28">
        <f>K265+K266</f>
        <v>0</v>
      </c>
      <c r="J267" s="1295">
        <f>usage!I30</f>
        <v>0</v>
      </c>
      <c r="K267" s="28"/>
      <c r="L267" s="531">
        <f>+G267+H267+I267-J267-K267</f>
        <v>0</v>
      </c>
      <c r="M267" s="47"/>
      <c r="N267" s="1462"/>
      <c r="O267" s="47"/>
      <c r="P267" s="1184"/>
      <c r="Q267" s="795"/>
      <c r="R267" s="785">
        <f>IFERROR(VLOOKUP($Q267,'391'!$P:$W,8,0),"")</f>
        <v>0</v>
      </c>
      <c r="S267" s="796"/>
      <c r="T267" s="797"/>
      <c r="U267" s="797"/>
      <c r="V267" s="797"/>
      <c r="W267" s="802">
        <f>IFERROR(VLOOKUP($Q267,'391'!$P:$AG,15,0),0)</f>
        <v>0</v>
      </c>
      <c r="X267" s="799">
        <f t="shared" si="95"/>
        <v>0</v>
      </c>
      <c r="Y267" s="797"/>
      <c r="Z267" s="785"/>
      <c r="AA267" s="797"/>
      <c r="AB267" s="797"/>
      <c r="AC267" s="683"/>
      <c r="AD267" s="683"/>
      <c r="AE267" s="683"/>
      <c r="AF267" s="683"/>
      <c r="AG267" s="683"/>
      <c r="AH267" s="683"/>
      <c r="AI267" s="705"/>
      <c r="AJ267" s="705"/>
      <c r="AK267" s="705"/>
      <c r="AL267" s="705"/>
      <c r="AM267" s="705"/>
      <c r="AN267" s="705"/>
      <c r="AO267" s="705"/>
      <c r="AP267" s="705"/>
      <c r="AQ267" s="705"/>
      <c r="AR267" s="705"/>
      <c r="AS267" s="705"/>
    </row>
    <row r="268" spans="1:45" s="402" customFormat="1" ht="30" hidden="1" customHeight="1" x14ac:dyDescent="0.25">
      <c r="A268" s="2019" t="s">
        <v>108</v>
      </c>
      <c r="B268" s="2020"/>
      <c r="C268" s="88"/>
      <c r="D268" s="864"/>
      <c r="E268" s="864"/>
      <c r="F268" s="865"/>
      <c r="G268" s="1296">
        <v>0</v>
      </c>
      <c r="H268" s="1296">
        <f t="shared" ref="H268:L268" si="110">+SUM(H264:H267)</f>
        <v>0</v>
      </c>
      <c r="I268" s="1296">
        <f t="shared" si="110"/>
        <v>0</v>
      </c>
      <c r="J268" s="1296">
        <f t="shared" si="110"/>
        <v>0</v>
      </c>
      <c r="K268" s="1296">
        <f>+SUM(K264:K267)</f>
        <v>0</v>
      </c>
      <c r="L268" s="1296">
        <f t="shared" si="110"/>
        <v>0</v>
      </c>
      <c r="M268" s="59" t="str">
        <f>IFERROR((R268/$S$2),"")</f>
        <v/>
      </c>
      <c r="N268" s="854">
        <f>IFERROR(L268/M268,0)</f>
        <v>0</v>
      </c>
      <c r="O268" s="59">
        <f>IFERROR(SUMIF(ETM!$A:$A,$Q268,ETM!$E:$E),"")</f>
        <v>0</v>
      </c>
      <c r="P268" s="855">
        <f>IFERROR(L268/O268,0)</f>
        <v>0</v>
      </c>
      <c r="Q268" s="795" t="s">
        <v>1136</v>
      </c>
      <c r="R268" s="785" t="str">
        <f>IFERROR(VLOOKUP($Q268,'391'!$P:$W,8,0),"")</f>
        <v/>
      </c>
      <c r="S268" s="796"/>
      <c r="T268" s="797"/>
      <c r="U268" s="797"/>
      <c r="V268" s="797"/>
      <c r="W268" s="802">
        <f>IFERROR(VLOOKUP($Q268,'391'!$P:$AG,15,0),0)</f>
        <v>0</v>
      </c>
      <c r="X268" s="799">
        <f t="shared" si="95"/>
        <v>0</v>
      </c>
      <c r="Y268" s="797"/>
      <c r="Z268" s="785"/>
      <c r="AA268" s="797"/>
      <c r="AB268" s="797"/>
      <c r="AC268" s="551"/>
      <c r="AD268" s="551"/>
      <c r="AE268" s="551"/>
      <c r="AF268" s="551"/>
      <c r="AG268" s="551"/>
      <c r="AH268" s="551"/>
      <c r="AI268" s="704"/>
      <c r="AJ268" s="704"/>
      <c r="AK268" s="704"/>
      <c r="AL268" s="704"/>
      <c r="AM268" s="704"/>
      <c r="AN268" s="704"/>
      <c r="AO268" s="704"/>
      <c r="AP268" s="704"/>
      <c r="AQ268" s="704"/>
      <c r="AR268" s="704"/>
      <c r="AS268" s="704"/>
    </row>
    <row r="269" spans="1:45" ht="30" hidden="1" customHeight="1" x14ac:dyDescent="0.25">
      <c r="A269" s="2073">
        <f>IF(L278=0,"",MAX($A$16:A268)+1)</f>
        <v>16</v>
      </c>
      <c r="B269" s="2024" t="s">
        <v>1378</v>
      </c>
      <c r="C269" s="109"/>
      <c r="D269" s="852" t="s">
        <v>10</v>
      </c>
      <c r="E269" s="853">
        <v>42955</v>
      </c>
      <c r="F269" s="856">
        <f t="shared" ref="F269:F277" si="111">$L$7-E269</f>
        <v>3331</v>
      </c>
      <c r="G269" s="351">
        <v>0</v>
      </c>
      <c r="H269" s="36"/>
      <c r="I269" s="36"/>
      <c r="J269" s="1294"/>
      <c r="K269" s="36"/>
      <c r="L269" s="531">
        <f t="shared" ref="L269:L277" si="112">+G269+H269+I269-J269-K269</f>
        <v>0</v>
      </c>
      <c r="M269" s="50"/>
      <c r="N269" s="167"/>
      <c r="O269" s="50"/>
      <c r="P269" s="857"/>
      <c r="Q269" s="795"/>
      <c r="R269" s="785">
        <f>IFERROR(VLOOKUP($Q269,'391'!$P:$W,8,0),"")</f>
        <v>0</v>
      </c>
      <c r="U269" s="787"/>
      <c r="V269" s="787"/>
      <c r="W269" s="802">
        <f>IFERROR(VLOOKUP($Q269,'391'!$P:$AG,15,0),0)</f>
        <v>0</v>
      </c>
      <c r="X269" s="799">
        <f t="shared" ref="X269:X284" si="113">G269-W269</f>
        <v>0</v>
      </c>
      <c r="Y269" s="787"/>
      <c r="Z269" s="791"/>
      <c r="AA269" s="787"/>
      <c r="AB269" s="787"/>
      <c r="AC269" s="679"/>
    </row>
    <row r="270" spans="1:45" ht="30" hidden="1" customHeight="1" x14ac:dyDescent="0.25">
      <c r="A270" s="2070"/>
      <c r="B270" s="2025"/>
      <c r="C270" s="109"/>
      <c r="D270" s="852" t="s">
        <v>10</v>
      </c>
      <c r="E270" s="853">
        <v>42791</v>
      </c>
      <c r="F270" s="856">
        <f t="shared" si="111"/>
        <v>3495</v>
      </c>
      <c r="G270" s="351">
        <v>0</v>
      </c>
      <c r="H270" s="36"/>
      <c r="I270" s="36"/>
      <c r="J270" s="1294"/>
      <c r="K270" s="36"/>
      <c r="L270" s="531">
        <f t="shared" si="112"/>
        <v>0</v>
      </c>
      <c r="M270" s="46"/>
      <c r="N270" s="176"/>
      <c r="O270" s="46"/>
      <c r="P270" s="857"/>
      <c r="Q270" s="795"/>
      <c r="R270" s="785">
        <f>IFERROR(VLOOKUP($Q270,'391'!$P:$W,8,0),"")</f>
        <v>0</v>
      </c>
      <c r="U270" s="787"/>
      <c r="V270" s="787"/>
      <c r="W270" s="802">
        <f>IFERROR(VLOOKUP($Q270,'391'!$P:$AG,15,0),0)</f>
        <v>0</v>
      </c>
      <c r="X270" s="799">
        <f t="shared" si="113"/>
        <v>0</v>
      </c>
      <c r="Y270" s="787"/>
      <c r="Z270" s="791"/>
      <c r="AA270" s="787"/>
      <c r="AB270" s="787"/>
      <c r="AC270" s="679"/>
    </row>
    <row r="271" spans="1:45" ht="30" hidden="1" customHeight="1" x14ac:dyDescent="0.25">
      <c r="A271" s="2070"/>
      <c r="B271" s="2025"/>
      <c r="C271" s="109" t="s">
        <v>1386</v>
      </c>
      <c r="D271" s="852" t="s">
        <v>10</v>
      </c>
      <c r="E271" s="853">
        <v>46155</v>
      </c>
      <c r="F271" s="856">
        <f t="shared" si="111"/>
        <v>131</v>
      </c>
      <c r="G271" s="351">
        <v>0</v>
      </c>
      <c r="H271" s="36"/>
      <c r="I271" s="36"/>
      <c r="J271" s="1294"/>
      <c r="K271" s="36"/>
      <c r="L271" s="531">
        <f>+G271+H271+I271-J271-K271</f>
        <v>0</v>
      </c>
      <c r="M271" s="46"/>
      <c r="N271" s="176"/>
      <c r="O271" s="46"/>
      <c r="P271" s="857"/>
      <c r="Q271" s="795"/>
      <c r="R271" s="785">
        <f>IFERROR(VLOOKUP($Q271,'391'!$P:$W,8,0),"")</f>
        <v>0</v>
      </c>
      <c r="U271" s="787"/>
      <c r="V271" s="787"/>
      <c r="W271" s="802">
        <f>IFERROR(VLOOKUP($Q271,'391'!$P:$AG,15,0),0)</f>
        <v>0</v>
      </c>
      <c r="X271" s="799">
        <f t="shared" si="113"/>
        <v>0</v>
      </c>
      <c r="Y271" s="787"/>
      <c r="Z271" s="791"/>
      <c r="AA271" s="787"/>
      <c r="AB271" s="787"/>
      <c r="AC271" s="679"/>
    </row>
    <row r="272" spans="1:45" ht="30" customHeight="1" x14ac:dyDescent="0.25">
      <c r="A272" s="2070"/>
      <c r="B272" s="2025"/>
      <c r="C272" s="109" t="s">
        <v>949</v>
      </c>
      <c r="D272" s="852" t="s">
        <v>10</v>
      </c>
      <c r="E272" s="853">
        <v>46270</v>
      </c>
      <c r="F272" s="856">
        <f t="shared" si="111"/>
        <v>16</v>
      </c>
      <c r="G272" s="351">
        <v>116350</v>
      </c>
      <c r="H272" s="1258"/>
      <c r="I272" s="1258"/>
      <c r="J272" s="1294"/>
      <c r="K272" s="36">
        <v>116350</v>
      </c>
      <c r="L272" s="531">
        <f>+G272+H272+I272-J272-K272</f>
        <v>0</v>
      </c>
      <c r="M272" s="46"/>
      <c r="N272" s="176"/>
      <c r="O272" s="46"/>
      <c r="P272" s="1860"/>
      <c r="Q272" s="795"/>
      <c r="R272" s="785">
        <f>IFERROR(VLOOKUP($Q272,'391'!$P:$W,8,0),"")</f>
        <v>0</v>
      </c>
      <c r="U272" s="787"/>
      <c r="V272" s="787"/>
      <c r="W272" s="802">
        <f>IFERROR(VLOOKUP($Q272,'391'!$P:$AG,15,0),0)</f>
        <v>0</v>
      </c>
      <c r="X272" s="799">
        <f t="shared" si="113"/>
        <v>116350</v>
      </c>
      <c r="Y272" s="787"/>
      <c r="Z272" s="791"/>
      <c r="AA272" s="787"/>
      <c r="AB272" s="787"/>
      <c r="AC272" s="679"/>
    </row>
    <row r="273" spans="1:45" ht="30" customHeight="1" x14ac:dyDescent="0.25">
      <c r="A273" s="2070"/>
      <c r="B273" s="2025"/>
      <c r="C273" s="109" t="s">
        <v>1424</v>
      </c>
      <c r="D273" s="852" t="s">
        <v>10</v>
      </c>
      <c r="E273" s="853">
        <v>46275</v>
      </c>
      <c r="F273" s="856">
        <f t="shared" ref="F273:F274" si="114">$L$7-E273</f>
        <v>11</v>
      </c>
      <c r="G273" s="351">
        <v>160620</v>
      </c>
      <c r="H273" s="36"/>
      <c r="I273" s="36"/>
      <c r="J273" s="1294"/>
      <c r="K273" s="36"/>
      <c r="L273" s="531">
        <f>+G273+H273+I273-J273-K273</f>
        <v>160620</v>
      </c>
      <c r="M273" s="46"/>
      <c r="N273" s="176"/>
      <c r="O273" s="46"/>
      <c r="P273" s="734"/>
      <c r="Q273" s="795"/>
      <c r="R273" s="785">
        <f>IFERROR(VLOOKUP($Q273,'391'!$P:$W,8,0),"")</f>
        <v>0</v>
      </c>
      <c r="U273" s="787"/>
      <c r="V273" s="787"/>
      <c r="W273" s="802">
        <f>IFERROR(VLOOKUP($Q273,'391'!$P:$AG,15,0),0)</f>
        <v>0</v>
      </c>
      <c r="X273" s="799">
        <f t="shared" si="113"/>
        <v>160620</v>
      </c>
      <c r="Y273" s="787"/>
      <c r="Z273" s="791"/>
      <c r="AA273" s="787"/>
      <c r="AB273" s="787"/>
      <c r="AC273" s="679"/>
    </row>
    <row r="274" spans="1:45" ht="30" customHeight="1" x14ac:dyDescent="0.25">
      <c r="A274" s="2070"/>
      <c r="B274" s="2025"/>
      <c r="C274" s="109" t="s">
        <v>850</v>
      </c>
      <c r="D274" s="852" t="s">
        <v>10</v>
      </c>
      <c r="E274" s="853">
        <v>46283</v>
      </c>
      <c r="F274" s="856">
        <f t="shared" si="114"/>
        <v>3</v>
      </c>
      <c r="G274" s="351">
        <v>40180</v>
      </c>
      <c r="H274" s="36">
        <v>105990</v>
      </c>
      <c r="I274" s="36">
        <v>32010</v>
      </c>
      <c r="J274" s="1294"/>
      <c r="K274" s="36"/>
      <c r="L274" s="531">
        <f t="shared" si="112"/>
        <v>178180</v>
      </c>
      <c r="M274" s="46"/>
      <c r="N274" s="176"/>
      <c r="O274" s="46"/>
      <c r="P274" s="734"/>
      <c r="Q274" s="795"/>
      <c r="R274" s="785">
        <f>IFERROR(VLOOKUP($Q274,'391'!$P:$W,8,0),"")</f>
        <v>0</v>
      </c>
      <c r="U274" s="787"/>
      <c r="V274" s="787"/>
      <c r="W274" s="802">
        <f>IFERROR(VLOOKUP($Q274,'391'!$P:$AG,15,0),0)</f>
        <v>0</v>
      </c>
      <c r="X274" s="799">
        <f t="shared" si="113"/>
        <v>40180</v>
      </c>
      <c r="Y274" s="787"/>
      <c r="Z274" s="791"/>
      <c r="AA274" s="787"/>
      <c r="AB274" s="787"/>
      <c r="AC274" s="679"/>
    </row>
    <row r="275" spans="1:45" ht="30" customHeight="1" x14ac:dyDescent="0.25">
      <c r="A275" s="2070"/>
      <c r="B275" s="2025"/>
      <c r="C275" s="109" t="s">
        <v>1549</v>
      </c>
      <c r="D275" s="852" t="s">
        <v>10</v>
      </c>
      <c r="E275" s="853">
        <v>46281</v>
      </c>
      <c r="F275" s="856">
        <f t="shared" si="111"/>
        <v>5</v>
      </c>
      <c r="G275" s="351">
        <v>138080</v>
      </c>
      <c r="H275" s="36"/>
      <c r="I275" s="36"/>
      <c r="J275" s="1294"/>
      <c r="K275" s="36"/>
      <c r="L275" s="531">
        <f t="shared" si="112"/>
        <v>138080</v>
      </c>
      <c r="M275" s="46"/>
      <c r="N275" s="176"/>
      <c r="O275" s="46"/>
      <c r="P275" s="734"/>
      <c r="Q275" s="795"/>
      <c r="R275" s="785">
        <f>IFERROR(VLOOKUP($Q275,'391'!$P:$W,8,0),"")</f>
        <v>0</v>
      </c>
      <c r="U275" s="787"/>
      <c r="V275" s="787"/>
      <c r="W275" s="802">
        <f>IFERROR(VLOOKUP($Q275,'391'!$P:$AG,15,0),0)</f>
        <v>0</v>
      </c>
      <c r="X275" s="799">
        <f t="shared" si="113"/>
        <v>138080</v>
      </c>
      <c r="Y275" s="787"/>
      <c r="Z275" s="791"/>
      <c r="AA275" s="787"/>
      <c r="AB275" s="787"/>
      <c r="AC275" s="679"/>
    </row>
    <row r="276" spans="1:45" ht="30" hidden="1" customHeight="1" x14ac:dyDescent="0.25">
      <c r="A276" s="2070"/>
      <c r="B276" s="2025"/>
      <c r="C276" s="109" t="s">
        <v>1420</v>
      </c>
      <c r="D276" s="852" t="s">
        <v>10</v>
      </c>
      <c r="E276" s="853">
        <v>45913</v>
      </c>
      <c r="F276" s="856">
        <f t="shared" si="111"/>
        <v>373</v>
      </c>
      <c r="G276" s="351">
        <v>0</v>
      </c>
      <c r="H276" s="36"/>
      <c r="I276" s="36"/>
      <c r="J276" s="1294"/>
      <c r="K276" s="36"/>
      <c r="L276" s="531">
        <f t="shared" si="112"/>
        <v>0</v>
      </c>
      <c r="M276" s="46"/>
      <c r="N276" s="176"/>
      <c r="O276" s="46"/>
      <c r="P276" s="734"/>
      <c r="Q276" s="795"/>
      <c r="R276" s="785">
        <f>IFERROR(VLOOKUP($Q276,'391'!$P:$W,8,0),"")</f>
        <v>0</v>
      </c>
      <c r="U276" s="787"/>
      <c r="V276" s="787"/>
      <c r="W276" s="802">
        <f>IFERROR(VLOOKUP($Q276,'391'!$P:$AG,15,0),0)</f>
        <v>0</v>
      </c>
      <c r="X276" s="799">
        <f t="shared" si="113"/>
        <v>0</v>
      </c>
      <c r="Y276" s="787"/>
      <c r="Z276" s="791"/>
      <c r="AA276" s="787"/>
      <c r="AB276" s="787"/>
      <c r="AC276" s="679"/>
    </row>
    <row r="277" spans="1:45" ht="30" customHeight="1" x14ac:dyDescent="0.25">
      <c r="A277" s="2070"/>
      <c r="B277" s="2025"/>
      <c r="C277" s="109" t="s">
        <v>1623</v>
      </c>
      <c r="D277" s="852" t="s">
        <v>10</v>
      </c>
      <c r="E277" s="853">
        <v>46270</v>
      </c>
      <c r="F277" s="856">
        <f t="shared" si="111"/>
        <v>16</v>
      </c>
      <c r="G277" s="549">
        <v>7513</v>
      </c>
      <c r="H277" s="36"/>
      <c r="I277" s="36">
        <f>+SUM(K271:K276)</f>
        <v>116350</v>
      </c>
      <c r="J277" s="1294">
        <f>usage!I31</f>
        <v>119602</v>
      </c>
      <c r="K277" s="36"/>
      <c r="L277" s="531">
        <f t="shared" si="112"/>
        <v>4261</v>
      </c>
      <c r="M277" s="48"/>
      <c r="N277" s="249"/>
      <c r="O277" s="101"/>
      <c r="P277" s="738"/>
      <c r="Q277" s="795"/>
      <c r="R277" s="785">
        <f>IFERROR(VLOOKUP($Q277,'391'!$P:$W,8,0),"")</f>
        <v>0</v>
      </c>
      <c r="U277" s="787"/>
      <c r="V277" s="787"/>
      <c r="W277" s="802">
        <f>IFERROR(VLOOKUP($Q277,'391'!$P:$AG,15,0),0)</f>
        <v>0</v>
      </c>
      <c r="X277" s="799">
        <f t="shared" si="113"/>
        <v>7513</v>
      </c>
      <c r="Y277" s="787"/>
      <c r="Z277" s="791"/>
      <c r="AA277" s="787"/>
      <c r="AB277" s="787"/>
      <c r="AC277" s="679"/>
    </row>
    <row r="278" spans="1:45" s="402" customFormat="1" ht="30" customHeight="1" x14ac:dyDescent="0.25">
      <c r="A278" s="2019" t="s">
        <v>109</v>
      </c>
      <c r="B278" s="2020"/>
      <c r="C278" s="88"/>
      <c r="D278" s="864"/>
      <c r="E278" s="939"/>
      <c r="F278" s="865"/>
      <c r="G278" s="1336">
        <v>462743</v>
      </c>
      <c r="H278" s="1336">
        <f t="shared" ref="H278:J278" si="115">+SUM(H271:H277)</f>
        <v>105990</v>
      </c>
      <c r="I278" s="1336">
        <f t="shared" si="115"/>
        <v>148360</v>
      </c>
      <c r="J278" s="1336">
        <f t="shared" si="115"/>
        <v>119602</v>
      </c>
      <c r="K278" s="1336">
        <f>+SUM(K271:K277)</f>
        <v>116350</v>
      </c>
      <c r="L278" s="1336">
        <f>+SUM(L271:L277)</f>
        <v>481141</v>
      </c>
      <c r="M278" s="59">
        <f>IFERROR((R278/$S$2),"")</f>
        <v>110715.83333333333</v>
      </c>
      <c r="N278" s="1185">
        <f>(L278/M278)</f>
        <v>4.3457289306708615</v>
      </c>
      <c r="O278" s="59">
        <f>IFERROR(SUMIF(ETM!$A:$A,$Q278,ETM!$E:$E),"")</f>
        <v>115166.16666666667</v>
      </c>
      <c r="P278" s="1186">
        <f>(L278/O278)</f>
        <v>4.1777981669963831</v>
      </c>
      <c r="Q278" s="795" t="s">
        <v>807</v>
      </c>
      <c r="R278" s="785">
        <f>IFERROR(VLOOKUP($Q278,'391'!$P:$W,8,0),"")</f>
        <v>664295</v>
      </c>
      <c r="S278" s="796"/>
      <c r="T278" s="787"/>
      <c r="U278" s="797"/>
      <c r="V278" s="797"/>
      <c r="W278" s="802">
        <f>IFERROR(VLOOKUP($Q278,'391'!$P:$AG,15,0),0)</f>
        <v>462743</v>
      </c>
      <c r="X278" s="799">
        <f t="shared" si="113"/>
        <v>0</v>
      </c>
      <c r="Y278" s="797"/>
      <c r="Z278" s="785"/>
      <c r="AA278" s="797"/>
      <c r="AB278" s="797"/>
      <c r="AC278" s="551"/>
      <c r="AD278" s="551"/>
      <c r="AE278" s="551"/>
      <c r="AF278" s="551"/>
      <c r="AG278" s="551"/>
      <c r="AH278" s="551"/>
      <c r="AI278" s="704"/>
      <c r="AJ278" s="704"/>
      <c r="AK278" s="704"/>
      <c r="AL278" s="704"/>
      <c r="AM278" s="704"/>
      <c r="AN278" s="704"/>
      <c r="AO278" s="704"/>
      <c r="AP278" s="704"/>
      <c r="AQ278" s="704"/>
      <c r="AR278" s="704"/>
      <c r="AS278" s="704"/>
    </row>
    <row r="279" spans="1:45" s="402" customFormat="1" ht="30" hidden="1" customHeight="1" x14ac:dyDescent="0.25">
      <c r="A279" s="2073" t="str">
        <f>IF(L286=0,"",MAX($A$16:A278)+1)</f>
        <v/>
      </c>
      <c r="B279" s="2043" t="s">
        <v>270</v>
      </c>
      <c r="C279" s="109" t="s">
        <v>478</v>
      </c>
      <c r="D279" s="852" t="s">
        <v>10</v>
      </c>
      <c r="E279" s="853">
        <v>45645</v>
      </c>
      <c r="F279" s="856">
        <f t="shared" ref="F279:F285" si="116">$L$7-E279</f>
        <v>641</v>
      </c>
      <c r="G279" s="296">
        <v>0</v>
      </c>
      <c r="H279" s="36"/>
      <c r="I279" s="36"/>
      <c r="J279" s="1294"/>
      <c r="K279" s="36"/>
      <c r="L279" s="531">
        <f t="shared" ref="L279:L285" si="117">+G279+H279+I279-J279-K279</f>
        <v>0</v>
      </c>
      <c r="M279" s="50"/>
      <c r="N279" s="167"/>
      <c r="O279" s="50"/>
      <c r="P279" s="1719"/>
      <c r="Q279" s="795"/>
      <c r="R279" s="785">
        <f>IFERROR(VLOOKUP($Q279,'391'!$P:$W,8,0),"")</f>
        <v>0</v>
      </c>
      <c r="S279" s="796"/>
      <c r="T279" s="787" t="str">
        <f t="shared" ref="T279:T291" si="118">$Q$293&amp;C279&amp;E279</f>
        <v>MUNG BEAN MEALWB0845645</v>
      </c>
      <c r="U279" s="797"/>
      <c r="V279" s="797"/>
      <c r="W279" s="802">
        <f>IFERROR(VLOOKUP($Q279,'391'!$P:$AG,15,0),0)</f>
        <v>0</v>
      </c>
      <c r="X279" s="799">
        <f t="shared" si="113"/>
        <v>0</v>
      </c>
      <c r="Y279" s="797"/>
      <c r="Z279" s="785"/>
      <c r="AA279" s="797"/>
      <c r="AB279" s="797"/>
      <c r="AC279" s="551"/>
      <c r="AD279" s="551"/>
      <c r="AE279" s="551"/>
      <c r="AF279" s="551"/>
      <c r="AG279" s="551"/>
      <c r="AH279" s="551"/>
      <c r="AI279" s="704"/>
      <c r="AJ279" s="704"/>
      <c r="AK279" s="704"/>
      <c r="AL279" s="704"/>
      <c r="AM279" s="704"/>
      <c r="AN279" s="704"/>
      <c r="AO279" s="704"/>
      <c r="AP279" s="704"/>
      <c r="AQ279" s="704"/>
      <c r="AR279" s="704"/>
      <c r="AS279" s="704"/>
    </row>
    <row r="280" spans="1:45" s="402" customFormat="1" ht="30" hidden="1" customHeight="1" x14ac:dyDescent="0.25">
      <c r="A280" s="2070"/>
      <c r="B280" s="2069"/>
      <c r="C280" s="109" t="s">
        <v>466</v>
      </c>
      <c r="D280" s="852" t="s">
        <v>10</v>
      </c>
      <c r="E280" s="853">
        <v>45617</v>
      </c>
      <c r="F280" s="856">
        <f t="shared" ref="F280" si="119">$L$7-E280</f>
        <v>669</v>
      </c>
      <c r="G280" s="296">
        <v>0</v>
      </c>
      <c r="H280" s="36"/>
      <c r="I280" s="36"/>
      <c r="J280" s="1320"/>
      <c r="K280" s="1282"/>
      <c r="L280" s="531">
        <f t="shared" ref="L280" si="120">+G280+H280+I280-J280-K280</f>
        <v>0</v>
      </c>
      <c r="M280" s="46"/>
      <c r="N280" s="176"/>
      <c r="O280" s="46"/>
      <c r="P280" s="954"/>
      <c r="Q280" s="795"/>
      <c r="R280" s="785"/>
      <c r="S280" s="796"/>
      <c r="T280" s="787" t="str">
        <f t="shared" si="118"/>
        <v>MUNG BEAN MEALWB0945617</v>
      </c>
      <c r="U280" s="797"/>
      <c r="V280" s="797"/>
      <c r="W280" s="802"/>
      <c r="X280" s="799"/>
      <c r="Y280" s="797"/>
      <c r="Z280" s="785"/>
      <c r="AA280" s="797"/>
      <c r="AB280" s="797"/>
      <c r="AC280" s="551"/>
      <c r="AD280" s="551"/>
      <c r="AE280" s="551"/>
      <c r="AF280" s="551"/>
      <c r="AG280" s="551"/>
      <c r="AH280" s="551"/>
      <c r="AI280" s="704"/>
      <c r="AJ280" s="704"/>
      <c r="AK280" s="704"/>
      <c r="AL280" s="704"/>
      <c r="AM280" s="704"/>
      <c r="AN280" s="704"/>
      <c r="AO280" s="704"/>
      <c r="AP280" s="704"/>
      <c r="AQ280" s="704"/>
      <c r="AR280" s="704"/>
      <c r="AS280" s="704"/>
    </row>
    <row r="281" spans="1:45" s="402" customFormat="1" ht="30" hidden="1" customHeight="1" x14ac:dyDescent="0.25">
      <c r="A281" s="2070"/>
      <c r="B281" s="2069"/>
      <c r="C281" s="109" t="s">
        <v>476</v>
      </c>
      <c r="D281" s="852" t="s">
        <v>10</v>
      </c>
      <c r="E281" s="853">
        <v>45609</v>
      </c>
      <c r="F281" s="856">
        <f t="shared" si="116"/>
        <v>677</v>
      </c>
      <c r="G281" s="296">
        <v>0</v>
      </c>
      <c r="H281" s="36"/>
      <c r="I281" s="36"/>
      <c r="J281" s="1320"/>
      <c r="K281" s="1282"/>
      <c r="L281" s="531">
        <f t="shared" si="117"/>
        <v>0</v>
      </c>
      <c r="M281" s="46"/>
      <c r="N281" s="176"/>
      <c r="O281" s="46"/>
      <c r="P281" s="1740"/>
      <c r="Q281" s="795"/>
      <c r="R281" s="785"/>
      <c r="S281" s="796"/>
      <c r="T281" s="787" t="str">
        <f t="shared" si="118"/>
        <v>MUNG BEAN MEALWB1145609</v>
      </c>
      <c r="U281" s="797"/>
      <c r="V281" s="797"/>
      <c r="W281" s="802"/>
      <c r="X281" s="799"/>
      <c r="Y281" s="797"/>
      <c r="Z281" s="785"/>
      <c r="AA281" s="797"/>
      <c r="AB281" s="797"/>
      <c r="AC281" s="551"/>
      <c r="AD281" s="551"/>
      <c r="AE281" s="551"/>
      <c r="AF281" s="551"/>
      <c r="AG281" s="551"/>
      <c r="AH281" s="551"/>
      <c r="AI281" s="704"/>
      <c r="AJ281" s="704"/>
      <c r="AK281" s="704"/>
      <c r="AL281" s="704"/>
      <c r="AM281" s="704"/>
      <c r="AN281" s="704"/>
      <c r="AO281" s="704"/>
      <c r="AP281" s="704"/>
      <c r="AQ281" s="704"/>
      <c r="AR281" s="704"/>
      <c r="AS281" s="704"/>
    </row>
    <row r="282" spans="1:45" s="402" customFormat="1" ht="30" hidden="1" customHeight="1" x14ac:dyDescent="0.25">
      <c r="A282" s="2070"/>
      <c r="B282" s="2069"/>
      <c r="C282" s="109"/>
      <c r="D282" s="852" t="s">
        <v>10</v>
      </c>
      <c r="E282" s="853">
        <v>45618</v>
      </c>
      <c r="F282" s="856">
        <f t="shared" ref="F282" si="121">$L$7-E282</f>
        <v>668</v>
      </c>
      <c r="G282" s="296">
        <v>0</v>
      </c>
      <c r="H282" s="36"/>
      <c r="I282" s="36"/>
      <c r="J282" s="1320"/>
      <c r="K282" s="1282"/>
      <c r="L282" s="531">
        <f t="shared" si="117"/>
        <v>0</v>
      </c>
      <c r="M282" s="46"/>
      <c r="N282" s="176"/>
      <c r="O282" s="46"/>
      <c r="P282" s="1740"/>
      <c r="Q282" s="795"/>
      <c r="R282" s="785"/>
      <c r="S282" s="796"/>
      <c r="T282" s="787" t="str">
        <f t="shared" si="118"/>
        <v>MUNG BEAN MEAL45618</v>
      </c>
      <c r="U282" s="797"/>
      <c r="V282" s="797"/>
      <c r="W282" s="802"/>
      <c r="X282" s="799"/>
      <c r="Y282" s="797"/>
      <c r="Z282" s="785"/>
      <c r="AA282" s="797"/>
      <c r="AB282" s="797"/>
      <c r="AC282" s="551"/>
      <c r="AD282" s="551"/>
      <c r="AE282" s="551"/>
      <c r="AF282" s="551"/>
      <c r="AG282" s="551"/>
      <c r="AH282" s="551"/>
      <c r="AI282" s="704"/>
      <c r="AJ282" s="704"/>
      <c r="AK282" s="704"/>
      <c r="AL282" s="704"/>
      <c r="AM282" s="704"/>
      <c r="AN282" s="704"/>
      <c r="AO282" s="704"/>
      <c r="AP282" s="704"/>
      <c r="AQ282" s="704"/>
      <c r="AR282" s="704"/>
      <c r="AS282" s="704"/>
    </row>
    <row r="283" spans="1:45" s="402" customFormat="1" ht="30" hidden="1" customHeight="1" x14ac:dyDescent="0.25">
      <c r="A283" s="2070"/>
      <c r="B283" s="2069"/>
      <c r="C283" s="109" t="s">
        <v>1510</v>
      </c>
      <c r="D283" s="852" t="s">
        <v>10</v>
      </c>
      <c r="E283" s="853">
        <v>45605</v>
      </c>
      <c r="F283" s="856">
        <f t="shared" si="116"/>
        <v>681</v>
      </c>
      <c r="G283" s="296">
        <v>0</v>
      </c>
      <c r="H283" s="36"/>
      <c r="I283" s="36"/>
      <c r="J283" s="1294"/>
      <c r="K283" s="36"/>
      <c r="L283" s="531">
        <f t="shared" si="117"/>
        <v>0</v>
      </c>
      <c r="M283" s="46"/>
      <c r="N283" s="176"/>
      <c r="O283" s="46"/>
      <c r="P283" s="1740"/>
      <c r="Q283" s="795"/>
      <c r="R283" s="785">
        <f>IFERROR(VLOOKUP($Q283,'391'!$P:$W,8,0),"")</f>
        <v>0</v>
      </c>
      <c r="S283" s="796"/>
      <c r="T283" s="787" t="str">
        <f t="shared" si="118"/>
        <v>MUNG BEAN MEALWH4245605</v>
      </c>
      <c r="U283" s="797"/>
      <c r="V283" s="797"/>
      <c r="W283" s="802">
        <f>IFERROR(VLOOKUP($Q283,'391'!$P:$AG,15,0),0)</f>
        <v>0</v>
      </c>
      <c r="X283" s="799">
        <f t="shared" si="113"/>
        <v>0</v>
      </c>
      <c r="Y283" s="797"/>
      <c r="Z283" s="785"/>
      <c r="AA283" s="797"/>
      <c r="AB283" s="797"/>
      <c r="AC283" s="551"/>
      <c r="AD283" s="551"/>
      <c r="AE283" s="551"/>
      <c r="AF283" s="551"/>
      <c r="AG283" s="551"/>
      <c r="AH283" s="551"/>
      <c r="AI283" s="704"/>
      <c r="AJ283" s="704"/>
      <c r="AK283" s="704"/>
      <c r="AL283" s="704"/>
      <c r="AM283" s="704"/>
      <c r="AN283" s="704"/>
      <c r="AO283" s="704"/>
      <c r="AP283" s="704"/>
      <c r="AQ283" s="704"/>
      <c r="AR283" s="704"/>
      <c r="AS283" s="704"/>
    </row>
    <row r="284" spans="1:45" s="402" customFormat="1" ht="30" hidden="1" customHeight="1" x14ac:dyDescent="0.25">
      <c r="A284" s="2070"/>
      <c r="B284" s="2069"/>
      <c r="C284" s="109"/>
      <c r="D284" s="852" t="s">
        <v>10</v>
      </c>
      <c r="E284" s="853">
        <v>45625</v>
      </c>
      <c r="F284" s="856">
        <f t="shared" si="116"/>
        <v>661</v>
      </c>
      <c r="G284" s="296">
        <v>0</v>
      </c>
      <c r="H284" s="36"/>
      <c r="I284" s="36"/>
      <c r="J284" s="1294"/>
      <c r="K284" s="36"/>
      <c r="L284" s="531">
        <f t="shared" si="117"/>
        <v>0</v>
      </c>
      <c r="M284" s="46"/>
      <c r="N284" s="176"/>
      <c r="O284" s="46"/>
      <c r="P284" s="1756"/>
      <c r="Q284" s="795"/>
      <c r="R284" s="785">
        <f>IFERROR(VLOOKUP($Q284,'391'!$P:$W,8,0),"")</f>
        <v>0</v>
      </c>
      <c r="S284" s="796"/>
      <c r="T284" s="787" t="str">
        <f t="shared" si="118"/>
        <v>MUNG BEAN MEAL45625</v>
      </c>
      <c r="U284" s="797"/>
      <c r="V284" s="797"/>
      <c r="W284" s="802">
        <f>IFERROR(VLOOKUP($Q284,'391'!$P:$AG,15,0),0)</f>
        <v>0</v>
      </c>
      <c r="X284" s="799">
        <f t="shared" si="113"/>
        <v>0</v>
      </c>
      <c r="Y284" s="797"/>
      <c r="Z284" s="785"/>
      <c r="AA284" s="797"/>
      <c r="AB284" s="797"/>
      <c r="AC284" s="551"/>
      <c r="AD284" s="551"/>
      <c r="AE284" s="551"/>
      <c r="AF284" s="551"/>
      <c r="AG284" s="551"/>
      <c r="AH284" s="551"/>
      <c r="AI284" s="704"/>
      <c r="AJ284" s="704"/>
      <c r="AK284" s="704"/>
      <c r="AL284" s="704"/>
      <c r="AM284" s="704"/>
      <c r="AN284" s="704"/>
      <c r="AO284" s="704"/>
      <c r="AP284" s="704"/>
      <c r="AQ284" s="704"/>
      <c r="AR284" s="704"/>
      <c r="AS284" s="704"/>
    </row>
    <row r="285" spans="1:45" s="402" customFormat="1" ht="30" hidden="1" customHeight="1" x14ac:dyDescent="0.25">
      <c r="A285" s="2074"/>
      <c r="B285" s="2044"/>
      <c r="C285" s="109" t="s">
        <v>1163</v>
      </c>
      <c r="D285" s="852" t="s">
        <v>10</v>
      </c>
      <c r="E285" s="853">
        <v>45625</v>
      </c>
      <c r="F285" s="856">
        <f t="shared" si="116"/>
        <v>661</v>
      </c>
      <c r="G285" s="296">
        <v>0</v>
      </c>
      <c r="H285" s="36"/>
      <c r="I285" s="36">
        <f>+K284+K283+K282+K281+K279</f>
        <v>0</v>
      </c>
      <c r="J285" s="1294">
        <f>usage!I32</f>
        <v>0</v>
      </c>
      <c r="K285" s="36"/>
      <c r="L285" s="531">
        <f t="shared" si="117"/>
        <v>0</v>
      </c>
      <c r="M285" s="46"/>
      <c r="N285" s="176"/>
      <c r="O285" s="46"/>
      <c r="P285" s="1293"/>
      <c r="Q285" s="666" t="s">
        <v>1412</v>
      </c>
      <c r="R285" s="785" t="str">
        <f>IFERROR(VLOOKUP($Q285,'391'!$P:$W,8,0),"0")</f>
        <v>0</v>
      </c>
      <c r="S285" s="796"/>
      <c r="T285" s="787" t="str">
        <f t="shared" si="118"/>
        <v>MUNG BEAN MEALFM6745625</v>
      </c>
      <c r="U285" s="797"/>
      <c r="V285" s="797"/>
      <c r="W285" s="802">
        <f>IFERROR(VLOOKUP($Q285,'391'!$P:$AG,15,0),0)</f>
        <v>0</v>
      </c>
      <c r="X285" s="799">
        <f>G285-W285</f>
        <v>0</v>
      </c>
      <c r="Y285" s="797"/>
      <c r="Z285" s="785"/>
      <c r="AA285" s="797"/>
      <c r="AB285" s="797"/>
      <c r="AC285" s="551"/>
      <c r="AD285" s="551"/>
      <c r="AE285" s="551"/>
      <c r="AF285" s="551"/>
      <c r="AG285" s="551"/>
      <c r="AH285" s="551"/>
      <c r="AI285" s="704"/>
      <c r="AJ285" s="704"/>
      <c r="AK285" s="704"/>
      <c r="AL285" s="704"/>
      <c r="AM285" s="704"/>
      <c r="AN285" s="704"/>
      <c r="AO285" s="704"/>
      <c r="AP285" s="704"/>
      <c r="AQ285" s="704"/>
      <c r="AR285" s="704"/>
      <c r="AS285" s="704"/>
    </row>
    <row r="286" spans="1:45" s="402" customFormat="1" ht="30" hidden="1" customHeight="1" x14ac:dyDescent="0.25">
      <c r="A286" s="2019" t="s">
        <v>269</v>
      </c>
      <c r="B286" s="2020"/>
      <c r="C286" s="88"/>
      <c r="D286" s="864"/>
      <c r="E286" s="939"/>
      <c r="F286" s="865"/>
      <c r="G286" s="1296">
        <v>0</v>
      </c>
      <c r="H286" s="1336">
        <f t="shared" ref="H286:L286" si="122">+SUM(H279:H285)</f>
        <v>0</v>
      </c>
      <c r="I286" s="1336">
        <f t="shared" si="122"/>
        <v>0</v>
      </c>
      <c r="J286" s="1336">
        <f t="shared" si="122"/>
        <v>0</v>
      </c>
      <c r="K286" s="1336">
        <f t="shared" si="122"/>
        <v>0</v>
      </c>
      <c r="L286" s="1336">
        <f t="shared" si="122"/>
        <v>0</v>
      </c>
      <c r="M286" s="59">
        <f>IFERROR((S286/$S$2),"")</f>
        <v>0</v>
      </c>
      <c r="N286" s="854">
        <f>IFERROR(L286/M286,0)</f>
        <v>0</v>
      </c>
      <c r="O286" s="59">
        <f>IFERROR(SUMIF(ETM!$A:$A,$Q286,ETM!$E:$E),"")</f>
        <v>0</v>
      </c>
      <c r="P286" s="855" t="e">
        <f>(L286/O286)</f>
        <v>#DIV/0!</v>
      </c>
      <c r="Q286" s="666" t="s">
        <v>1402</v>
      </c>
      <c r="R286" s="785" t="str">
        <f>IFERROR(VLOOKUP($Q286,'391'!$P:$W,8,0),"0")</f>
        <v>0</v>
      </c>
      <c r="S286" s="796">
        <f>+R285+R286</f>
        <v>0</v>
      </c>
      <c r="T286" s="787" t="str">
        <f t="shared" si="118"/>
        <v>MUNG BEAN MEAL</v>
      </c>
      <c r="U286" s="797"/>
      <c r="V286" s="797"/>
      <c r="W286" s="802">
        <f>IFERROR(VLOOKUP($Q286,'391'!$P:$AG,15,0),0)</f>
        <v>0</v>
      </c>
      <c r="X286" s="1090">
        <f>G286-W286-W285</f>
        <v>0</v>
      </c>
      <c r="Y286" s="797"/>
      <c r="Z286" s="785"/>
      <c r="AA286" s="797"/>
      <c r="AB286" s="797"/>
      <c r="AC286" s="551"/>
      <c r="AD286" s="551"/>
      <c r="AE286" s="551"/>
      <c r="AF286" s="551"/>
      <c r="AG286" s="551"/>
      <c r="AH286" s="551"/>
      <c r="AI286" s="704"/>
      <c r="AJ286" s="704"/>
      <c r="AK286" s="704"/>
      <c r="AL286" s="704"/>
      <c r="AM286" s="704"/>
      <c r="AN286" s="704"/>
      <c r="AO286" s="704"/>
      <c r="AP286" s="704"/>
      <c r="AQ286" s="704"/>
      <c r="AR286" s="704"/>
      <c r="AS286" s="704"/>
    </row>
    <row r="287" spans="1:45" s="400" customFormat="1" ht="30" hidden="1" customHeight="1" x14ac:dyDescent="0.25">
      <c r="A287" s="2073">
        <f>IF(L293=0,"",MAX($A$16:A279)+1)</f>
        <v>17</v>
      </c>
      <c r="B287" s="2043" t="s">
        <v>1781</v>
      </c>
      <c r="C287" s="1951"/>
      <c r="D287" s="887" t="s">
        <v>10</v>
      </c>
      <c r="E287" s="888">
        <v>46128</v>
      </c>
      <c r="F287" s="70">
        <f t="shared" ref="F287:F292" si="123">$L$7-E287</f>
        <v>158</v>
      </c>
      <c r="G287" s="1941">
        <v>0</v>
      </c>
      <c r="H287" s="247"/>
      <c r="I287" s="247"/>
      <c r="J287" s="1942"/>
      <c r="K287" s="12">
        <f>IFERROR(SUMIF(INTAKE!$A:$A,$T287,INTAKE!$P:$P),0)</f>
        <v>0</v>
      </c>
      <c r="L287" s="1669">
        <f t="shared" ref="L287:L292" si="124">+G287+H287+I287-J287-K287</f>
        <v>0</v>
      </c>
      <c r="M287" s="1715"/>
      <c r="N287" s="1716"/>
      <c r="O287" s="1717"/>
      <c r="P287" s="1718"/>
      <c r="Q287" s="666" t="s">
        <v>1781</v>
      </c>
      <c r="R287" s="785" t="str">
        <f>IFERROR(VLOOKUP($Q287,'391'!$P:$W,8,0),"")</f>
        <v/>
      </c>
      <c r="S287" s="787"/>
      <c r="T287" s="787" t="str">
        <f>Q287&amp;C287&amp;E287</f>
        <v>Mung Bean Shell46128</v>
      </c>
      <c r="U287" s="797"/>
      <c r="V287" s="797"/>
      <c r="W287" s="802">
        <f>IFERROR(VLOOKUP($Q287,'391'!$P:$AG,15,0),0)</f>
        <v>0</v>
      </c>
      <c r="X287" s="799">
        <f t="shared" ref="X287:X292" si="125">G287-W287</f>
        <v>0</v>
      </c>
      <c r="Y287" s="797"/>
      <c r="Z287" s="785"/>
      <c r="AA287" s="797"/>
      <c r="AB287" s="797"/>
      <c r="AC287" s="681"/>
      <c r="AD287" s="681"/>
      <c r="AE287" s="681"/>
      <c r="AF287" s="681"/>
      <c r="AG287" s="681"/>
      <c r="AH287" s="681"/>
      <c r="AI287" s="703"/>
      <c r="AJ287" s="703"/>
      <c r="AK287" s="703"/>
      <c r="AL287" s="703"/>
      <c r="AM287" s="703"/>
      <c r="AN287" s="703"/>
      <c r="AO287" s="703"/>
      <c r="AP287" s="703"/>
      <c r="AQ287" s="703"/>
      <c r="AR287" s="703"/>
      <c r="AS287" s="703"/>
    </row>
    <row r="288" spans="1:45" ht="30" hidden="1" customHeight="1" x14ac:dyDescent="0.25">
      <c r="A288" s="2070"/>
      <c r="B288" s="2069"/>
      <c r="C288" s="1952"/>
      <c r="D288" s="887" t="s">
        <v>10</v>
      </c>
      <c r="E288" s="888">
        <v>46206</v>
      </c>
      <c r="F288" s="70">
        <f t="shared" si="123"/>
        <v>80</v>
      </c>
      <c r="G288" s="247">
        <v>0</v>
      </c>
      <c r="H288" s="312"/>
      <c r="I288" s="312"/>
      <c r="J288" s="1322"/>
      <c r="K288" s="1379">
        <f>IFERROR(SUMIF(INTAKE!$A:$A,$T288,INTAKE!$P:$P),0)</f>
        <v>0</v>
      </c>
      <c r="L288" s="1669">
        <f t="shared" si="124"/>
        <v>0</v>
      </c>
      <c r="M288" s="46"/>
      <c r="N288" s="176"/>
      <c r="O288" s="46"/>
      <c r="P288" s="857"/>
      <c r="Q288" s="666" t="s">
        <v>1781</v>
      </c>
      <c r="R288" s="785" t="str">
        <f>IFERROR(VLOOKUP($Q288,'391'!$P:$W,8,0),"")</f>
        <v/>
      </c>
      <c r="T288" s="787" t="str">
        <f>$Q$288&amp;C288&amp;E288</f>
        <v>Mung Bean Shell46206</v>
      </c>
      <c r="U288" s="787"/>
      <c r="V288" s="787"/>
      <c r="W288" s="802">
        <f>IFERROR(VLOOKUP($Q288,'391'!$P:$AG,15,0),0)</f>
        <v>0</v>
      </c>
      <c r="X288" s="799">
        <f t="shared" si="125"/>
        <v>0</v>
      </c>
      <c r="Y288" s="787"/>
      <c r="Z288" s="791"/>
      <c r="AA288" s="787"/>
      <c r="AB288" s="787"/>
      <c r="AC288" s="679"/>
    </row>
    <row r="289" spans="1:45" ht="30" hidden="1" customHeight="1" x14ac:dyDescent="0.25">
      <c r="A289" s="2070"/>
      <c r="B289" s="2069"/>
      <c r="C289" s="1009"/>
      <c r="D289" s="887" t="s">
        <v>10</v>
      </c>
      <c r="E289" s="888">
        <v>42305</v>
      </c>
      <c r="F289" s="70">
        <f t="shared" si="123"/>
        <v>3981</v>
      </c>
      <c r="G289" s="312">
        <v>0</v>
      </c>
      <c r="H289" s="312"/>
      <c r="I289" s="312"/>
      <c r="J289" s="1322"/>
      <c r="K289" s="312"/>
      <c r="L289" s="1669">
        <f t="shared" si="124"/>
        <v>0</v>
      </c>
      <c r="M289" s="48"/>
      <c r="N289" s="163"/>
      <c r="O289" s="48"/>
      <c r="P289" s="857"/>
      <c r="Q289" s="795"/>
      <c r="R289" s="785">
        <f>IFERROR(VLOOKUP($Q289,'391'!$P:$W,8,0),"")</f>
        <v>0</v>
      </c>
      <c r="T289" s="787" t="str">
        <f t="shared" si="118"/>
        <v>MUNG BEAN MEAL42305</v>
      </c>
      <c r="U289" s="787"/>
      <c r="V289" s="787"/>
      <c r="W289" s="802">
        <f>IFERROR(VLOOKUP($Q289,'391'!$P:$AG,15,0),0)</f>
        <v>0</v>
      </c>
      <c r="X289" s="799">
        <f t="shared" si="125"/>
        <v>0</v>
      </c>
      <c r="Y289" s="787"/>
      <c r="Z289" s="791"/>
      <c r="AA289" s="787"/>
      <c r="AB289" s="787"/>
      <c r="AC289" s="679"/>
    </row>
    <row r="290" spans="1:45" ht="30" hidden="1" customHeight="1" x14ac:dyDescent="0.25">
      <c r="A290" s="2070"/>
      <c r="B290" s="2069"/>
      <c r="C290" s="135"/>
      <c r="D290" s="850" t="s">
        <v>10</v>
      </c>
      <c r="E290" s="851">
        <v>43689</v>
      </c>
      <c r="F290" s="42">
        <f t="shared" si="123"/>
        <v>2597</v>
      </c>
      <c r="G290" s="36">
        <v>0</v>
      </c>
      <c r="H290" s="36"/>
      <c r="I290" s="36"/>
      <c r="J290" s="36"/>
      <c r="K290" s="36"/>
      <c r="L290" s="531">
        <f t="shared" si="124"/>
        <v>0</v>
      </c>
      <c r="M290" s="45"/>
      <c r="N290" s="45"/>
      <c r="O290" s="45"/>
      <c r="P290" s="736"/>
      <c r="Q290" s="795"/>
      <c r="R290" s="785">
        <f>IFERROR(VLOOKUP($Q290,'391'!$P:$W,8,0),"")</f>
        <v>0</v>
      </c>
      <c r="T290" s="787" t="str">
        <f t="shared" si="118"/>
        <v>MUNG BEAN MEAL43689</v>
      </c>
      <c r="U290" s="787"/>
      <c r="V290" s="787"/>
      <c r="W290" s="802">
        <f>IFERROR(VLOOKUP($Q290,'391'!$P:$AG,15,0),0)</f>
        <v>0</v>
      </c>
      <c r="X290" s="799">
        <f t="shared" si="125"/>
        <v>0</v>
      </c>
      <c r="Y290" s="787"/>
      <c r="Z290" s="791"/>
      <c r="AA290" s="787"/>
      <c r="AB290" s="787"/>
      <c r="AC290" s="679"/>
    </row>
    <row r="291" spans="1:45" ht="30" hidden="1" customHeight="1" x14ac:dyDescent="0.25">
      <c r="A291" s="2070"/>
      <c r="B291" s="2069"/>
      <c r="C291" s="135"/>
      <c r="D291" s="850" t="s">
        <v>10</v>
      </c>
      <c r="E291" s="851">
        <v>43194</v>
      </c>
      <c r="F291" s="42">
        <f t="shared" si="123"/>
        <v>3092</v>
      </c>
      <c r="G291" s="36">
        <v>0</v>
      </c>
      <c r="H291" s="36"/>
      <c r="I291" s="36"/>
      <c r="J291" s="36"/>
      <c r="K291" s="36"/>
      <c r="L291" s="531">
        <f t="shared" si="124"/>
        <v>0</v>
      </c>
      <c r="M291" s="45"/>
      <c r="N291" s="45"/>
      <c r="O291" s="45"/>
      <c r="P291" s="736"/>
      <c r="Q291" s="795"/>
      <c r="R291" s="785">
        <f>IFERROR(VLOOKUP($Q291,'391'!$P:$W,8,0),"")</f>
        <v>0</v>
      </c>
      <c r="T291" s="787" t="str">
        <f t="shared" si="118"/>
        <v>MUNG BEAN MEAL43194</v>
      </c>
      <c r="U291" s="787"/>
      <c r="V291" s="787"/>
      <c r="W291" s="802">
        <f>IFERROR(VLOOKUP($Q291,'391'!$P:$AG,15,0),0)</f>
        <v>0</v>
      </c>
      <c r="X291" s="799">
        <f t="shared" si="125"/>
        <v>0</v>
      </c>
      <c r="Y291" s="787"/>
      <c r="Z291" s="791"/>
      <c r="AA291" s="787"/>
      <c r="AB291" s="787"/>
      <c r="AC291" s="679"/>
    </row>
    <row r="292" spans="1:45" ht="30" customHeight="1" x14ac:dyDescent="0.25">
      <c r="A292" s="2070"/>
      <c r="B292" s="2069"/>
      <c r="C292" s="138" t="s">
        <v>1812</v>
      </c>
      <c r="D292" s="850" t="s">
        <v>10</v>
      </c>
      <c r="E292" s="851">
        <v>46206</v>
      </c>
      <c r="F292" s="42">
        <f t="shared" si="123"/>
        <v>80</v>
      </c>
      <c r="G292" s="28">
        <v>7400</v>
      </c>
      <c r="H292" s="36"/>
      <c r="I292" s="36">
        <f>+K288</f>
        <v>0</v>
      </c>
      <c r="J292" s="36">
        <f>usage!I66</f>
        <v>0</v>
      </c>
      <c r="K292" s="36"/>
      <c r="L292" s="531">
        <f t="shared" si="124"/>
        <v>7400</v>
      </c>
      <c r="M292" s="47"/>
      <c r="N292" s="47"/>
      <c r="O292" s="47"/>
      <c r="P292" s="740"/>
      <c r="Q292" s="795"/>
      <c r="R292" s="785">
        <f>IFERROR(VLOOKUP($Q292,'391'!$P:$W,8,0),"")</f>
        <v>0</v>
      </c>
      <c r="U292" s="787"/>
      <c r="V292" s="787"/>
      <c r="W292" s="802">
        <f>IFERROR(VLOOKUP($Q292,'391'!$P:$AG,15,0),0)</f>
        <v>0</v>
      </c>
      <c r="X292" s="799">
        <f t="shared" si="125"/>
        <v>7400</v>
      </c>
      <c r="Y292" s="787"/>
      <c r="Z292" s="791"/>
      <c r="AA292" s="787"/>
      <c r="AB292" s="787"/>
      <c r="AC292" s="679"/>
    </row>
    <row r="293" spans="1:45" s="402" customFormat="1" ht="30" customHeight="1" x14ac:dyDescent="0.25">
      <c r="A293" s="2019" t="s">
        <v>1782</v>
      </c>
      <c r="B293" s="2020"/>
      <c r="C293" s="88"/>
      <c r="D293" s="864"/>
      <c r="E293" s="864"/>
      <c r="F293" s="865"/>
      <c r="G293" s="1296">
        <v>7400</v>
      </c>
      <c r="H293" s="1296">
        <f>+SUM(H287:H292)</f>
        <v>0</v>
      </c>
      <c r="I293" s="1296">
        <f t="shared" ref="I293:L293" si="126">+SUM(I287:I292)</f>
        <v>0</v>
      </c>
      <c r="J293" s="1296">
        <f t="shared" si="126"/>
        <v>0</v>
      </c>
      <c r="K293" s="1296">
        <f t="shared" si="126"/>
        <v>0</v>
      </c>
      <c r="L293" s="1296">
        <f t="shared" si="126"/>
        <v>7400</v>
      </c>
      <c r="M293" s="59">
        <f>IFERROR((R293/$S$2),"")</f>
        <v>481.16666666666669</v>
      </c>
      <c r="N293" s="854">
        <f>IFERROR(L293/M293,0)</f>
        <v>15.379286456529268</v>
      </c>
      <c r="O293" s="59">
        <f>IFERROR(SUMIF(ETM!$A:$A,$Q293,ETM!$E:$E),"")</f>
        <v>67.166666666666671</v>
      </c>
      <c r="P293" s="855">
        <f>IFERROR(L293/O293,0)</f>
        <v>110.17369727047145</v>
      </c>
      <c r="Q293" s="666" t="s">
        <v>1787</v>
      </c>
      <c r="R293" s="785">
        <f>IFERROR(VLOOKUP($Q293,'391'!$P:$W,8,0),"")</f>
        <v>2887</v>
      </c>
      <c r="S293" s="796"/>
      <c r="T293" s="797"/>
      <c r="U293" s="797"/>
      <c r="V293" s="797"/>
      <c r="W293" s="802">
        <f>IFERROR(VLOOKUP($Q293,'391'!$P:$AG,15,0),0)</f>
        <v>7400</v>
      </c>
      <c r="X293" s="799">
        <f>G293-W293</f>
        <v>0</v>
      </c>
      <c r="Y293" s="797"/>
      <c r="Z293" s="785"/>
      <c r="AA293" s="797"/>
      <c r="AB293" s="797"/>
      <c r="AC293" s="551"/>
      <c r="AD293" s="551"/>
      <c r="AE293" s="551"/>
      <c r="AF293" s="551"/>
      <c r="AG293" s="551"/>
      <c r="AH293" s="551"/>
      <c r="AI293" s="704"/>
      <c r="AJ293" s="704"/>
      <c r="AK293" s="704"/>
      <c r="AL293" s="704"/>
      <c r="AM293" s="704"/>
      <c r="AN293" s="704"/>
      <c r="AO293" s="704"/>
      <c r="AP293" s="704"/>
      <c r="AQ293" s="704"/>
      <c r="AR293" s="704"/>
      <c r="AS293" s="704"/>
    </row>
    <row r="294" spans="1:45" s="400" customFormat="1" ht="30" hidden="1" customHeight="1" x14ac:dyDescent="0.25">
      <c r="A294" s="2073" t="str">
        <f>IF(L300=0,"",MAX($A$16:A286)+1)</f>
        <v/>
      </c>
      <c r="B294" s="2043" t="s">
        <v>1493</v>
      </c>
      <c r="C294" s="1958"/>
      <c r="D294" s="850" t="s">
        <v>10</v>
      </c>
      <c r="E294" s="1210">
        <v>46178</v>
      </c>
      <c r="F294" s="1674">
        <f t="shared" ref="F294:F299" si="127">$L$7-E294</f>
        <v>108</v>
      </c>
      <c r="G294" s="1901">
        <v>0</v>
      </c>
      <c r="H294" s="1959"/>
      <c r="I294" s="1959"/>
      <c r="J294" s="1330"/>
      <c r="K294" s="1720"/>
      <c r="L294" s="531">
        <f t="shared" ref="L294:L313" si="128">+G294+H294+I294-J294-K294</f>
        <v>0</v>
      </c>
      <c r="M294" s="1715"/>
      <c r="N294" s="1716"/>
      <c r="O294" s="1717"/>
      <c r="P294" s="1718"/>
      <c r="Q294" s="795"/>
      <c r="R294" s="785">
        <f>IFERROR(VLOOKUP($Q294,'391'!$P:$W,8,0),"")</f>
        <v>0</v>
      </c>
      <c r="S294" s="796"/>
      <c r="T294" s="797"/>
      <c r="U294" s="797"/>
      <c r="V294" s="797"/>
      <c r="W294" s="802">
        <f>IFERROR(VLOOKUP($Q294,'391'!$P:$AG,15,0),0)</f>
        <v>0</v>
      </c>
      <c r="X294" s="799">
        <f t="shared" ref="X294:X321" si="129">G294-W294</f>
        <v>0</v>
      </c>
      <c r="Y294" s="797"/>
      <c r="Z294" s="785"/>
      <c r="AA294" s="797"/>
      <c r="AB294" s="797"/>
      <c r="AC294" s="681"/>
      <c r="AD294" s="681"/>
      <c r="AE294" s="681"/>
      <c r="AF294" s="681"/>
      <c r="AG294" s="681"/>
      <c r="AH294" s="681"/>
      <c r="AI294" s="703"/>
      <c r="AJ294" s="703"/>
      <c r="AK294" s="703"/>
      <c r="AL294" s="703"/>
      <c r="AM294" s="703"/>
      <c r="AN294" s="703"/>
      <c r="AO294" s="703"/>
      <c r="AP294" s="703"/>
      <c r="AQ294" s="703"/>
      <c r="AR294" s="703"/>
      <c r="AS294" s="703"/>
    </row>
    <row r="295" spans="1:45" ht="30" hidden="1" customHeight="1" x14ac:dyDescent="0.25">
      <c r="A295" s="2070"/>
      <c r="B295" s="2069"/>
      <c r="C295" s="1960" t="s">
        <v>347</v>
      </c>
      <c r="D295" s="852" t="s">
        <v>10</v>
      </c>
      <c r="E295" s="853">
        <v>46147</v>
      </c>
      <c r="F295" s="1961">
        <f t="shared" ref="F295" si="130">$L$7-E295</f>
        <v>139</v>
      </c>
      <c r="G295" s="1861">
        <v>0</v>
      </c>
      <c r="H295" s="1861"/>
      <c r="I295" s="1861"/>
      <c r="J295" s="1294"/>
      <c r="K295" s="36"/>
      <c r="L295" s="531">
        <f t="shared" si="128"/>
        <v>0</v>
      </c>
      <c r="M295" s="46"/>
      <c r="N295" s="176"/>
      <c r="O295" s="46"/>
      <c r="P295" s="857"/>
      <c r="Q295" s="795"/>
      <c r="R295" s="785">
        <f>IFERROR(VLOOKUP($Q295,'391'!$P:$W,8,0),"")</f>
        <v>0</v>
      </c>
      <c r="U295" s="787"/>
      <c r="V295" s="787"/>
      <c r="W295" s="802">
        <f>IFERROR(VLOOKUP($Q295,'391'!$P:$AG,15,0),0)</f>
        <v>0</v>
      </c>
      <c r="X295" s="799">
        <f t="shared" si="129"/>
        <v>0</v>
      </c>
      <c r="Y295" s="787"/>
      <c r="Z295" s="791"/>
      <c r="AA295" s="787"/>
      <c r="AB295" s="787"/>
      <c r="AC295" s="679"/>
    </row>
    <row r="296" spans="1:45" ht="30" hidden="1" customHeight="1" x14ac:dyDescent="0.25">
      <c r="A296" s="2070"/>
      <c r="B296" s="2069"/>
      <c r="C296" s="135"/>
      <c r="D296" s="850" t="s">
        <v>10</v>
      </c>
      <c r="E296" s="851">
        <v>42305</v>
      </c>
      <c r="F296" s="42">
        <f t="shared" si="127"/>
        <v>3981</v>
      </c>
      <c r="G296" s="36">
        <v>0</v>
      </c>
      <c r="H296" s="36"/>
      <c r="I296" s="36"/>
      <c r="J296" s="1294"/>
      <c r="K296" s="36"/>
      <c r="L296" s="531">
        <f t="shared" si="128"/>
        <v>0</v>
      </c>
      <c r="M296" s="48"/>
      <c r="N296" s="163"/>
      <c r="O296" s="48"/>
      <c r="P296" s="857"/>
      <c r="Q296" s="795"/>
      <c r="R296" s="785">
        <f>IFERROR(VLOOKUP($Q296,'391'!$P:$W,8,0),"")</f>
        <v>0</v>
      </c>
      <c r="U296" s="787"/>
      <c r="V296" s="787"/>
      <c r="W296" s="802">
        <f>IFERROR(VLOOKUP($Q296,'391'!$P:$AG,15,0),0)</f>
        <v>0</v>
      </c>
      <c r="X296" s="799">
        <f t="shared" si="129"/>
        <v>0</v>
      </c>
      <c r="Y296" s="787"/>
      <c r="Z296" s="791"/>
      <c r="AA296" s="787"/>
      <c r="AB296" s="787"/>
      <c r="AC296" s="679"/>
    </row>
    <row r="297" spans="1:45" ht="30" hidden="1" customHeight="1" x14ac:dyDescent="0.25">
      <c r="A297" s="2070"/>
      <c r="B297" s="2069"/>
      <c r="C297" s="135"/>
      <c r="D297" s="850" t="s">
        <v>10</v>
      </c>
      <c r="E297" s="851">
        <v>43689</v>
      </c>
      <c r="F297" s="42">
        <f t="shared" si="127"/>
        <v>2597</v>
      </c>
      <c r="G297" s="36">
        <v>0</v>
      </c>
      <c r="H297" s="36"/>
      <c r="I297" s="36"/>
      <c r="J297" s="36"/>
      <c r="K297" s="36"/>
      <c r="L297" s="531">
        <f t="shared" si="128"/>
        <v>0</v>
      </c>
      <c r="M297" s="45"/>
      <c r="N297" s="45"/>
      <c r="O297" s="45"/>
      <c r="P297" s="736"/>
      <c r="Q297" s="795"/>
      <c r="R297" s="785">
        <f>IFERROR(VLOOKUP($Q297,'391'!$P:$W,8,0),"")</f>
        <v>0</v>
      </c>
      <c r="U297" s="787"/>
      <c r="V297" s="787"/>
      <c r="W297" s="802">
        <f>IFERROR(VLOOKUP($Q297,'391'!$P:$AG,15,0),0)</f>
        <v>0</v>
      </c>
      <c r="X297" s="799">
        <f t="shared" si="129"/>
        <v>0</v>
      </c>
      <c r="Y297" s="787"/>
      <c r="Z297" s="791"/>
      <c r="AA297" s="787"/>
      <c r="AB297" s="787"/>
      <c r="AC297" s="679"/>
    </row>
    <row r="298" spans="1:45" ht="30" hidden="1" customHeight="1" x14ac:dyDescent="0.25">
      <c r="A298" s="2070"/>
      <c r="B298" s="2069"/>
      <c r="C298" s="135"/>
      <c r="D298" s="850" t="s">
        <v>10</v>
      </c>
      <c r="E298" s="851">
        <v>43194</v>
      </c>
      <c r="F298" s="42">
        <f t="shared" si="127"/>
        <v>3092</v>
      </c>
      <c r="G298" s="36">
        <v>0</v>
      </c>
      <c r="H298" s="36"/>
      <c r="I298" s="36"/>
      <c r="J298" s="36"/>
      <c r="K298" s="36"/>
      <c r="L298" s="531">
        <f t="shared" si="128"/>
        <v>0</v>
      </c>
      <c r="M298" s="45"/>
      <c r="N298" s="45"/>
      <c r="O298" s="45"/>
      <c r="P298" s="736"/>
      <c r="Q298" s="795"/>
      <c r="R298" s="785">
        <f>IFERROR(VLOOKUP($Q298,'391'!$P:$W,8,0),"")</f>
        <v>0</v>
      </c>
      <c r="U298" s="787"/>
      <c r="V298" s="787"/>
      <c r="W298" s="802">
        <f>IFERROR(VLOOKUP($Q298,'391'!$P:$AG,15,0),0)</f>
        <v>0</v>
      </c>
      <c r="X298" s="799">
        <f t="shared" si="129"/>
        <v>0</v>
      </c>
      <c r="Y298" s="787"/>
      <c r="Z298" s="791"/>
      <c r="AA298" s="787"/>
      <c r="AB298" s="787"/>
      <c r="AC298" s="679"/>
    </row>
    <row r="299" spans="1:45" ht="30" hidden="1" customHeight="1" x14ac:dyDescent="0.25">
      <c r="A299" s="2070"/>
      <c r="B299" s="2069"/>
      <c r="C299" s="138" t="s">
        <v>1847</v>
      </c>
      <c r="D299" s="850" t="s">
        <v>10</v>
      </c>
      <c r="E299" s="851">
        <v>46178</v>
      </c>
      <c r="F299" s="42">
        <f t="shared" si="127"/>
        <v>108</v>
      </c>
      <c r="G299" s="28">
        <v>0</v>
      </c>
      <c r="H299" s="36"/>
      <c r="I299" s="36">
        <f>K294+K295</f>
        <v>0</v>
      </c>
      <c r="J299" s="36">
        <f>usage!I63</f>
        <v>0</v>
      </c>
      <c r="K299" s="36"/>
      <c r="L299" s="531">
        <f t="shared" si="128"/>
        <v>0</v>
      </c>
      <c r="M299" s="47"/>
      <c r="N299" s="47"/>
      <c r="O299" s="47"/>
      <c r="P299" s="740"/>
      <c r="Q299" s="795"/>
      <c r="R299" s="785">
        <f>IFERROR(VLOOKUP($Q299,'391'!$P:$W,8,0),"")</f>
        <v>0</v>
      </c>
      <c r="U299" s="787"/>
      <c r="V299" s="787"/>
      <c r="W299" s="802">
        <f>IFERROR(VLOOKUP($Q299,'391'!$P:$AG,15,0),0)</f>
        <v>0</v>
      </c>
      <c r="X299" s="799">
        <f t="shared" si="129"/>
        <v>0</v>
      </c>
      <c r="Y299" s="787"/>
      <c r="Z299" s="791"/>
      <c r="AA299" s="787"/>
      <c r="AB299" s="787"/>
      <c r="AC299" s="679"/>
    </row>
    <row r="300" spans="1:45" s="402" customFormat="1" ht="30" hidden="1" customHeight="1" x14ac:dyDescent="0.25">
      <c r="A300" s="2019" t="s">
        <v>1494</v>
      </c>
      <c r="B300" s="2020"/>
      <c r="C300" s="88"/>
      <c r="D300" s="864"/>
      <c r="E300" s="864"/>
      <c r="F300" s="865"/>
      <c r="G300" s="1296">
        <v>0</v>
      </c>
      <c r="H300" s="1296">
        <f>+SUM(H294:H299)</f>
        <v>0</v>
      </c>
      <c r="I300" s="1296">
        <f t="shared" ref="I300:L300" si="131">+SUM(I294:I299)</f>
        <v>0</v>
      </c>
      <c r="J300" s="1296">
        <f t="shared" si="131"/>
        <v>0</v>
      </c>
      <c r="K300" s="1296">
        <f t="shared" si="131"/>
        <v>0</v>
      </c>
      <c r="L300" s="1296">
        <f t="shared" si="131"/>
        <v>0</v>
      </c>
      <c r="M300" s="59" t="str">
        <f>IFERROR((R300/$S$2),"")</f>
        <v/>
      </c>
      <c r="N300" s="854">
        <f>IFERROR(L300/M300,0)</f>
        <v>0</v>
      </c>
      <c r="O300" s="59">
        <f>IFERROR(SUMIF(ETM!$A:$A,$Q300,ETM!$E:$E),"")</f>
        <v>0</v>
      </c>
      <c r="P300" s="855">
        <f>IFERROR(L300/O300,0)</f>
        <v>0</v>
      </c>
      <c r="Q300" s="666" t="s">
        <v>1499</v>
      </c>
      <c r="R300" s="785" t="str">
        <f>IFERROR(VLOOKUP($Q300,'391'!$P:$W,8,0),"")</f>
        <v/>
      </c>
      <c r="S300" s="796"/>
      <c r="T300" s="797"/>
      <c r="U300" s="797"/>
      <c r="V300" s="797"/>
      <c r="W300" s="802">
        <f>IFERROR(VLOOKUP($Q300,'391'!$P:$AG,15,0),0)</f>
        <v>0</v>
      </c>
      <c r="X300" s="799">
        <f t="shared" si="129"/>
        <v>0</v>
      </c>
      <c r="Y300" s="797"/>
      <c r="Z300" s="785"/>
      <c r="AA300" s="797"/>
      <c r="AB300" s="797"/>
      <c r="AC300" s="551"/>
      <c r="AD300" s="551"/>
      <c r="AE300" s="551"/>
      <c r="AF300" s="551"/>
      <c r="AG300" s="551"/>
      <c r="AH300" s="551"/>
      <c r="AI300" s="704"/>
      <c r="AJ300" s="704"/>
      <c r="AK300" s="704"/>
      <c r="AL300" s="704"/>
      <c r="AM300" s="704"/>
      <c r="AN300" s="704"/>
      <c r="AO300" s="704"/>
      <c r="AP300" s="704"/>
      <c r="AQ300" s="704"/>
      <c r="AR300" s="704"/>
      <c r="AS300" s="704"/>
    </row>
    <row r="301" spans="1:45" s="400" customFormat="1" ht="30" customHeight="1" x14ac:dyDescent="0.25">
      <c r="A301" s="2021">
        <f>IF(L314=0,"",MAX($A$16:A300)+1)</f>
        <v>18</v>
      </c>
      <c r="B301" s="393" t="s">
        <v>2253</v>
      </c>
      <c r="C301" s="1199" t="s">
        <v>1950</v>
      </c>
      <c r="D301" s="887" t="s">
        <v>10</v>
      </c>
      <c r="E301" s="1776">
        <v>46268</v>
      </c>
      <c r="F301" s="1673">
        <f t="shared" ref="F301:F304" si="132">$L$7-E301</f>
        <v>18</v>
      </c>
      <c r="G301" s="1777">
        <v>17333.080000000002</v>
      </c>
      <c r="H301" s="1777"/>
      <c r="I301" s="1777"/>
      <c r="J301" s="1486"/>
      <c r="K301" s="12">
        <f>IFERROR(SUMIF(INTAKE!$A:$A,$T301,INTAKE!$P:$P),0)</f>
        <v>6666.5499999999993</v>
      </c>
      <c r="L301" s="1669">
        <f t="shared" si="128"/>
        <v>10666.530000000002</v>
      </c>
      <c r="M301" s="50"/>
      <c r="N301" s="167"/>
      <c r="O301" s="50"/>
      <c r="P301" s="747"/>
      <c r="Q301" s="795"/>
      <c r="R301" s="785">
        <f>IFERROR(VLOOKUP($Q301,'391'!$P:$W,8,0),"")</f>
        <v>0</v>
      </c>
      <c r="S301" s="796"/>
      <c r="T301" s="787" t="str">
        <f>$Q$303&amp;C301&amp;E301</f>
        <v>Feather Meal (Australia)B25.146268</v>
      </c>
      <c r="U301" s="797"/>
      <c r="V301" s="797"/>
      <c r="W301" s="802">
        <f>IFERROR(VLOOKUP($Q301,'391'!$P:$AG,15,0),0)</f>
        <v>0</v>
      </c>
      <c r="X301" s="799">
        <f t="shared" si="129"/>
        <v>17333.080000000002</v>
      </c>
      <c r="Y301" s="797"/>
      <c r="Z301" s="785"/>
      <c r="AA301" s="797"/>
      <c r="AB301" s="797"/>
      <c r="AC301" s="681"/>
      <c r="AD301" s="681"/>
      <c r="AE301" s="681"/>
      <c r="AF301" s="681"/>
      <c r="AG301" s="681"/>
      <c r="AH301" s="681"/>
      <c r="AI301" s="703"/>
      <c r="AJ301" s="703"/>
      <c r="AK301" s="703"/>
      <c r="AL301" s="703"/>
      <c r="AM301" s="703"/>
      <c r="AN301" s="703"/>
      <c r="AO301" s="703"/>
      <c r="AP301" s="703"/>
      <c r="AQ301" s="703"/>
      <c r="AR301" s="703"/>
      <c r="AS301" s="703"/>
    </row>
    <row r="302" spans="1:45" s="400" customFormat="1" ht="30" customHeight="1" x14ac:dyDescent="0.25">
      <c r="A302" s="2022"/>
      <c r="B302" s="393" t="s">
        <v>2254</v>
      </c>
      <c r="C302" s="1199" t="s">
        <v>325</v>
      </c>
      <c r="D302" s="887" t="s">
        <v>10</v>
      </c>
      <c r="E302" s="1776">
        <v>46269</v>
      </c>
      <c r="F302" s="1673">
        <f t="shared" si="132"/>
        <v>17</v>
      </c>
      <c r="G302" s="1777">
        <v>23820</v>
      </c>
      <c r="H302" s="1777"/>
      <c r="I302" s="1777"/>
      <c r="J302" s="1486"/>
      <c r="K302" s="12">
        <f>IFERROR(SUMIF(INTAKE!$A:$A,$T302,INTAKE!$P:$P),0)</f>
        <v>0</v>
      </c>
      <c r="L302" s="1669">
        <f t="shared" si="128"/>
        <v>23820</v>
      </c>
      <c r="M302" s="46"/>
      <c r="N302" s="176"/>
      <c r="O302" s="46"/>
      <c r="P302" s="748"/>
      <c r="Q302" s="795"/>
      <c r="R302" s="785">
        <f>IFERROR(VLOOKUP($Q302,'391'!$P:$W,8,0),"")</f>
        <v>0</v>
      </c>
      <c r="S302" s="796"/>
      <c r="T302" s="787" t="str">
        <f>$Q$306&amp;C302&amp;E302</f>
        <v>Feather Meal (USA)B24.146269</v>
      </c>
      <c r="U302" s="797"/>
      <c r="V302" s="797"/>
      <c r="W302" s="802">
        <f>IFERROR(VLOOKUP($Q302,'391'!$P:$AG,15,0),0)</f>
        <v>0</v>
      </c>
      <c r="X302" s="799">
        <f t="shared" si="129"/>
        <v>23820</v>
      </c>
      <c r="Y302" s="797"/>
      <c r="Z302" s="785"/>
      <c r="AA302" s="797"/>
      <c r="AB302" s="797"/>
      <c r="AC302" s="681"/>
      <c r="AD302" s="681"/>
      <c r="AE302" s="681"/>
      <c r="AF302" s="681"/>
      <c r="AG302" s="681"/>
      <c r="AH302" s="681"/>
      <c r="AI302" s="703"/>
      <c r="AJ302" s="703"/>
      <c r="AK302" s="703"/>
      <c r="AL302" s="703"/>
      <c r="AM302" s="703"/>
      <c r="AN302" s="703"/>
      <c r="AO302" s="703"/>
      <c r="AP302" s="703"/>
      <c r="AQ302" s="703"/>
      <c r="AR302" s="703"/>
      <c r="AS302" s="703"/>
    </row>
    <row r="303" spans="1:45" s="400" customFormat="1" ht="30.75" customHeight="1" x14ac:dyDescent="0.25">
      <c r="A303" s="2022"/>
      <c r="B303" s="393" t="s">
        <v>2222</v>
      </c>
      <c r="C303" s="1199" t="s">
        <v>1745</v>
      </c>
      <c r="D303" s="887" t="s">
        <v>10</v>
      </c>
      <c r="E303" s="1776">
        <v>46275</v>
      </c>
      <c r="F303" s="1673">
        <f t="shared" ref="F303" si="133">$L$7-E303</f>
        <v>11</v>
      </c>
      <c r="G303" s="1777">
        <v>25580</v>
      </c>
      <c r="H303" s="1777"/>
      <c r="I303" s="1777"/>
      <c r="J303" s="1486"/>
      <c r="K303" s="12">
        <f>IFERROR(SUMIF(INTAKE!$A:$A,$T303,INTAKE!$P:$P),0)</f>
        <v>0</v>
      </c>
      <c r="L303" s="1669">
        <f t="shared" si="128"/>
        <v>25580</v>
      </c>
      <c r="M303" s="46"/>
      <c r="N303" s="176"/>
      <c r="O303" s="46"/>
      <c r="P303" s="748"/>
      <c r="Q303" s="795" t="s">
        <v>1901</v>
      </c>
      <c r="R303" s="785" t="str">
        <f>IFERROR(VLOOKUP($Q303,'391'!$P:$W,8,0),"")</f>
        <v/>
      </c>
      <c r="S303" s="796"/>
      <c r="T303" s="787" t="str">
        <f>$Q$306&amp;C303&amp;E303</f>
        <v>Feather Meal (USA)B21.146275</v>
      </c>
      <c r="U303" s="797"/>
      <c r="V303" s="797"/>
      <c r="W303" s="802">
        <f>IFERROR(VLOOKUP($Q303,'391'!$P:$AG,15,0),0)</f>
        <v>0</v>
      </c>
      <c r="X303" s="799">
        <f t="shared" si="129"/>
        <v>25580</v>
      </c>
      <c r="Y303" s="797"/>
      <c r="Z303" s="785"/>
      <c r="AA303" s="797"/>
      <c r="AB303" s="797"/>
      <c r="AC303" s="681"/>
      <c r="AD303" s="681"/>
      <c r="AE303" s="681"/>
      <c r="AF303" s="681"/>
      <c r="AG303" s="681"/>
      <c r="AH303" s="681"/>
      <c r="AI303" s="703"/>
      <c r="AJ303" s="703"/>
      <c r="AK303" s="703"/>
      <c r="AL303" s="703"/>
      <c r="AM303" s="703"/>
      <c r="AN303" s="703"/>
      <c r="AO303" s="703"/>
      <c r="AP303" s="703"/>
      <c r="AQ303" s="703"/>
      <c r="AR303" s="703"/>
      <c r="AS303" s="703"/>
    </row>
    <row r="304" spans="1:45" s="400" customFormat="1" ht="30.75" hidden="1" customHeight="1" x14ac:dyDescent="0.25">
      <c r="A304" s="2022"/>
      <c r="B304" s="393" t="s">
        <v>2222</v>
      </c>
      <c r="C304" s="1199"/>
      <c r="D304" s="887" t="s">
        <v>10</v>
      </c>
      <c r="E304" s="1776">
        <v>46275</v>
      </c>
      <c r="F304" s="1673">
        <f t="shared" si="132"/>
        <v>11</v>
      </c>
      <c r="G304" s="1777">
        <v>0</v>
      </c>
      <c r="H304" s="1777"/>
      <c r="I304" s="1777"/>
      <c r="J304" s="1486"/>
      <c r="K304" s="12">
        <f>IFERROR(SUMIF(INTAKE!$A:$A,$T304,INTAKE!$P:$P),0)</f>
        <v>0</v>
      </c>
      <c r="L304" s="1779">
        <f t="shared" ref="L304" si="134">+G304+H304+I304-J304-K304</f>
        <v>0</v>
      </c>
      <c r="M304" s="1770"/>
      <c r="N304" s="1780"/>
      <c r="O304" s="1770"/>
      <c r="P304" s="1781"/>
      <c r="Q304" s="795"/>
      <c r="R304" s="785">
        <f>IFERROR(VLOOKUP($Q304,'391'!$P:$W,8,0),"")</f>
        <v>0</v>
      </c>
      <c r="S304" s="796"/>
      <c r="T304" s="787" t="str">
        <f>$Q$306&amp;C304&amp;E304</f>
        <v>Feather Meal (USA)46275</v>
      </c>
      <c r="U304" s="797"/>
      <c r="V304" s="797"/>
      <c r="W304" s="802">
        <f>IFERROR(VLOOKUP($Q304,'391'!$P:$AG,15,0),0)</f>
        <v>0</v>
      </c>
      <c r="X304" s="799">
        <f t="shared" ref="X304" si="135">G304-W304</f>
        <v>0</v>
      </c>
      <c r="Y304" s="797"/>
      <c r="Z304" s="785"/>
      <c r="AA304" s="797"/>
      <c r="AB304" s="797"/>
      <c r="AC304" s="681"/>
      <c r="AD304" s="681"/>
      <c r="AE304" s="681"/>
      <c r="AF304" s="681"/>
      <c r="AG304" s="681"/>
      <c r="AH304" s="681"/>
      <c r="AI304" s="703"/>
      <c r="AJ304" s="703"/>
      <c r="AK304" s="703"/>
      <c r="AL304" s="703"/>
      <c r="AM304" s="703"/>
      <c r="AN304" s="703"/>
      <c r="AO304" s="703"/>
      <c r="AP304" s="703"/>
      <c r="AQ304" s="703"/>
      <c r="AR304" s="703"/>
      <c r="AS304" s="703"/>
    </row>
    <row r="305" spans="1:45" s="400" customFormat="1" ht="30.75" hidden="1" customHeight="1" x14ac:dyDescent="0.25">
      <c r="A305" s="2022"/>
      <c r="B305" s="393" t="s">
        <v>88</v>
      </c>
      <c r="C305" s="1199"/>
      <c r="D305" s="887" t="s">
        <v>10</v>
      </c>
      <c r="E305" s="1776">
        <v>46275</v>
      </c>
      <c r="F305" s="1673">
        <f t="shared" ref="F305:F313" si="136">$L$7-E305</f>
        <v>11</v>
      </c>
      <c r="G305" s="1777">
        <v>0</v>
      </c>
      <c r="H305" s="1777"/>
      <c r="I305" s="1777"/>
      <c r="J305" s="1486"/>
      <c r="K305" s="12">
        <f>IFERROR(SUMIF(INTAKE!$A:$A,$T305,INTAKE!$P:$P),0)</f>
        <v>0</v>
      </c>
      <c r="L305" s="1943">
        <f t="shared" si="128"/>
        <v>0</v>
      </c>
      <c r="M305" s="47"/>
      <c r="N305" s="1944"/>
      <c r="O305" s="47"/>
      <c r="P305" s="1945"/>
      <c r="Q305" s="795"/>
      <c r="R305" s="785">
        <f>IFERROR(VLOOKUP($Q305,'391'!$P:$W,8,0),"")</f>
        <v>0</v>
      </c>
      <c r="S305" s="796"/>
      <c r="T305" s="787" t="str">
        <f>$Q$306&amp;C305&amp;E305</f>
        <v>Feather Meal (USA)46275</v>
      </c>
      <c r="U305" s="797"/>
      <c r="V305" s="797"/>
      <c r="W305" s="802">
        <f>IFERROR(VLOOKUP($Q305,'391'!$P:$AG,15,0),0)</f>
        <v>0</v>
      </c>
      <c r="X305" s="799">
        <f t="shared" si="129"/>
        <v>0</v>
      </c>
      <c r="Y305" s="797"/>
      <c r="Z305" s="785"/>
      <c r="AA305" s="797"/>
      <c r="AB305" s="797"/>
      <c r="AC305" s="681"/>
      <c r="AD305" s="681"/>
      <c r="AE305" s="681"/>
      <c r="AF305" s="681"/>
      <c r="AG305" s="681"/>
      <c r="AH305" s="681"/>
      <c r="AI305" s="703"/>
      <c r="AJ305" s="703"/>
      <c r="AK305" s="703"/>
      <c r="AL305" s="703"/>
      <c r="AM305" s="703"/>
      <c r="AN305" s="703"/>
      <c r="AO305" s="703"/>
      <c r="AP305" s="703"/>
      <c r="AQ305" s="703"/>
      <c r="AR305" s="703"/>
      <c r="AS305" s="703"/>
    </row>
    <row r="306" spans="1:45" s="400" customFormat="1" ht="30.75" customHeight="1" x14ac:dyDescent="0.25">
      <c r="A306" s="2022"/>
      <c r="B306" s="2033" t="s">
        <v>1554</v>
      </c>
      <c r="C306" s="2034"/>
      <c r="D306" s="1782"/>
      <c r="E306" s="1783"/>
      <c r="F306" s="1784"/>
      <c r="G306" s="1785">
        <v>66733.08</v>
      </c>
      <c r="H306" s="1785">
        <f t="shared" ref="H306:K306" si="137">+SUM(H301:H305)</f>
        <v>0</v>
      </c>
      <c r="I306" s="1785">
        <f t="shared" si="137"/>
        <v>0</v>
      </c>
      <c r="J306" s="1785">
        <f t="shared" si="137"/>
        <v>0</v>
      </c>
      <c r="K306" s="1785">
        <f t="shared" si="137"/>
        <v>6666.5499999999993</v>
      </c>
      <c r="L306" s="1785">
        <f t="shared" ref="L306" si="138">+SUM(L301:L305)</f>
        <v>60066.53</v>
      </c>
      <c r="M306" s="2030"/>
      <c r="N306" s="2031"/>
      <c r="O306" s="2031"/>
      <c r="P306" s="2032"/>
      <c r="Q306" s="666" t="s">
        <v>1653</v>
      </c>
      <c r="R306" s="785" t="str">
        <f>IFERROR(VLOOKUP($Q306,'391'!$P:$W,8,0),"")</f>
        <v/>
      </c>
      <c r="S306" s="796"/>
      <c r="T306" s="797"/>
      <c r="U306" s="797"/>
      <c r="V306" s="797"/>
      <c r="W306" s="802">
        <f>IFERROR(VLOOKUP($Q306,'391'!$P:$AG,15,0),0)</f>
        <v>0</v>
      </c>
      <c r="X306" s="799">
        <f t="shared" si="129"/>
        <v>66733.08</v>
      </c>
      <c r="Y306" s="797"/>
      <c r="Z306" s="785"/>
      <c r="AA306" s="797"/>
      <c r="AB306" s="797"/>
      <c r="AC306" s="681"/>
      <c r="AD306" s="681"/>
      <c r="AE306" s="681"/>
      <c r="AF306" s="681"/>
      <c r="AG306" s="681"/>
      <c r="AH306" s="681"/>
      <c r="AI306" s="703"/>
      <c r="AJ306" s="703"/>
      <c r="AK306" s="703"/>
      <c r="AL306" s="703"/>
      <c r="AM306" s="703"/>
      <c r="AN306" s="703"/>
      <c r="AO306" s="703"/>
      <c r="AP306" s="703"/>
      <c r="AQ306" s="703"/>
      <c r="AR306" s="703"/>
      <c r="AS306" s="703"/>
    </row>
    <row r="307" spans="1:45" s="400" customFormat="1" ht="30.75" hidden="1" customHeight="1" x14ac:dyDescent="0.25">
      <c r="A307" s="2022"/>
      <c r="B307" s="393" t="s">
        <v>1748</v>
      </c>
      <c r="C307" s="1199" t="s">
        <v>1745</v>
      </c>
      <c r="D307" s="887" t="s">
        <v>10</v>
      </c>
      <c r="E307" s="888">
        <v>46059</v>
      </c>
      <c r="F307" s="70">
        <f t="shared" ref="F307" si="139">$L$7-E307</f>
        <v>227</v>
      </c>
      <c r="G307" s="300">
        <v>0</v>
      </c>
      <c r="H307" s="18"/>
      <c r="I307" s="18"/>
      <c r="J307" s="1338"/>
      <c r="K307" s="12">
        <f>IFERROR(SUMIF(INTAKE!$A:$A,$T307,INTAKE!$P:$P),0)</f>
        <v>0</v>
      </c>
      <c r="L307" s="1669">
        <f t="shared" si="128"/>
        <v>0</v>
      </c>
      <c r="M307" s="46"/>
      <c r="N307" s="176"/>
      <c r="O307" s="46"/>
      <c r="P307" s="734"/>
      <c r="Q307" s="795"/>
      <c r="R307" s="785">
        <f>IFERROR(VLOOKUP($Q307,'391'!$P:$W,8,0),"")</f>
        <v>0</v>
      </c>
      <c r="S307" s="796"/>
      <c r="T307" s="787" t="str">
        <f>$Q$313&amp;C307&amp;E307</f>
        <v>Feather Meal (Argentina)B21.146059</v>
      </c>
      <c r="U307" s="797"/>
      <c r="V307" s="797"/>
      <c r="W307" s="802">
        <f>IFERROR(VLOOKUP($Q307,'391'!$P:$AG,15,0),0)</f>
        <v>0</v>
      </c>
      <c r="X307" s="799">
        <f t="shared" si="129"/>
        <v>0</v>
      </c>
      <c r="Y307" s="797"/>
      <c r="Z307" s="785"/>
      <c r="AA307" s="797"/>
      <c r="AB307" s="797"/>
      <c r="AC307" s="681"/>
      <c r="AD307" s="681"/>
      <c r="AE307" s="681"/>
      <c r="AF307" s="681"/>
      <c r="AG307" s="681"/>
      <c r="AH307" s="681"/>
      <c r="AI307" s="703"/>
      <c r="AJ307" s="703"/>
      <c r="AK307" s="703"/>
      <c r="AL307" s="703"/>
      <c r="AM307" s="703"/>
      <c r="AN307" s="703"/>
      <c r="AO307" s="703"/>
      <c r="AP307" s="703"/>
      <c r="AQ307" s="703"/>
      <c r="AR307" s="703"/>
      <c r="AS307" s="703"/>
    </row>
    <row r="308" spans="1:45" s="400" customFormat="1" ht="30.75" hidden="1" customHeight="1" x14ac:dyDescent="0.25">
      <c r="A308" s="2022"/>
      <c r="B308" s="393" t="s">
        <v>1579</v>
      </c>
      <c r="C308" s="114"/>
      <c r="D308" s="887" t="s">
        <v>10</v>
      </c>
      <c r="E308" s="888">
        <v>45780</v>
      </c>
      <c r="F308" s="70">
        <f t="shared" ref="F308" si="140">$L$7-E308</f>
        <v>506</v>
      </c>
      <c r="G308" s="300">
        <v>0</v>
      </c>
      <c r="H308" s="300"/>
      <c r="I308" s="18"/>
      <c r="J308" s="1338"/>
      <c r="K308" s="18"/>
      <c r="L308" s="1669">
        <f t="shared" si="128"/>
        <v>0</v>
      </c>
      <c r="M308" s="48"/>
      <c r="N308" s="163"/>
      <c r="O308" s="48"/>
      <c r="P308" s="738"/>
      <c r="Q308" s="795"/>
      <c r="R308" s="785">
        <f>IFERROR(VLOOKUP($Q308,'391'!$P:$W,8,0),"")</f>
        <v>0</v>
      </c>
      <c r="S308" s="796"/>
      <c r="T308" s="797"/>
      <c r="U308" s="797"/>
      <c r="V308" s="797"/>
      <c r="W308" s="802">
        <f>IFERROR(VLOOKUP($Q308,'391'!$P:$AG,15,0),0)</f>
        <v>0</v>
      </c>
      <c r="X308" s="799">
        <f t="shared" si="129"/>
        <v>0</v>
      </c>
      <c r="Y308" s="797"/>
      <c r="Z308" s="785"/>
      <c r="AA308" s="797"/>
      <c r="AB308" s="797"/>
      <c r="AC308" s="681"/>
      <c r="AD308" s="681"/>
      <c r="AE308" s="681"/>
      <c r="AF308" s="681"/>
      <c r="AG308" s="681"/>
      <c r="AH308" s="681"/>
      <c r="AI308" s="703"/>
      <c r="AJ308" s="703"/>
      <c r="AK308" s="703"/>
      <c r="AL308" s="703"/>
      <c r="AM308" s="703"/>
      <c r="AN308" s="703"/>
      <c r="AO308" s="703"/>
      <c r="AP308" s="703"/>
      <c r="AQ308" s="703"/>
      <c r="AR308" s="703"/>
      <c r="AS308" s="703"/>
    </row>
    <row r="309" spans="1:45" s="400" customFormat="1" ht="30.75" hidden="1" customHeight="1" x14ac:dyDescent="0.25">
      <c r="A309" s="2022"/>
      <c r="B309" s="393" t="s">
        <v>88</v>
      </c>
      <c r="C309" s="114"/>
      <c r="D309" s="887" t="s">
        <v>10</v>
      </c>
      <c r="E309" s="888">
        <v>45790</v>
      </c>
      <c r="F309" s="70">
        <f t="shared" ref="F309" si="141">$L$7-E309</f>
        <v>496</v>
      </c>
      <c r="G309" s="300">
        <v>0</v>
      </c>
      <c r="H309" s="300"/>
      <c r="I309" s="18"/>
      <c r="J309" s="1338"/>
      <c r="K309" s="18"/>
      <c r="L309" s="1669">
        <f t="shared" si="128"/>
        <v>0</v>
      </c>
      <c r="M309" s="48"/>
      <c r="N309" s="163"/>
      <c r="O309" s="48"/>
      <c r="P309" s="738"/>
      <c r="Q309" s="795"/>
      <c r="R309" s="785">
        <f>IFERROR(VLOOKUP($Q309,'391'!$P:$W,8,0),"")</f>
        <v>0</v>
      </c>
      <c r="S309" s="796"/>
      <c r="T309" s="797"/>
      <c r="U309" s="797"/>
      <c r="V309" s="797"/>
      <c r="W309" s="802">
        <f>IFERROR(VLOOKUP($Q309,'391'!$P:$AG,15,0),0)</f>
        <v>0</v>
      </c>
      <c r="X309" s="799">
        <f t="shared" si="129"/>
        <v>0</v>
      </c>
      <c r="Y309" s="797"/>
      <c r="Z309" s="785"/>
      <c r="AA309" s="797"/>
      <c r="AB309" s="797"/>
      <c r="AC309" s="681"/>
      <c r="AD309" s="681"/>
      <c r="AE309" s="681"/>
      <c r="AF309" s="681"/>
      <c r="AG309" s="681"/>
      <c r="AH309" s="681"/>
      <c r="AI309" s="703"/>
      <c r="AJ309" s="703"/>
      <c r="AK309" s="703"/>
      <c r="AL309" s="703"/>
      <c r="AM309" s="703"/>
      <c r="AN309" s="703"/>
      <c r="AO309" s="703"/>
      <c r="AP309" s="703"/>
      <c r="AQ309" s="703"/>
      <c r="AR309" s="703"/>
      <c r="AS309" s="703"/>
    </row>
    <row r="310" spans="1:45" s="400" customFormat="1" ht="30.75" hidden="1" customHeight="1" x14ac:dyDescent="0.25">
      <c r="A310" s="2022"/>
      <c r="B310" s="393" t="s">
        <v>88</v>
      </c>
      <c r="C310" s="127"/>
      <c r="D310" s="887" t="s">
        <v>10</v>
      </c>
      <c r="E310" s="888">
        <v>45217</v>
      </c>
      <c r="F310" s="70">
        <f t="shared" si="136"/>
        <v>1069</v>
      </c>
      <c r="G310" s="300">
        <v>0</v>
      </c>
      <c r="H310" s="18"/>
      <c r="I310" s="18"/>
      <c r="J310" s="1338"/>
      <c r="K310" s="18"/>
      <c r="L310" s="531">
        <f t="shared" si="128"/>
        <v>0</v>
      </c>
      <c r="M310" s="48"/>
      <c r="N310" s="163"/>
      <c r="O310" s="48"/>
      <c r="P310" s="738"/>
      <c r="Q310" s="795"/>
      <c r="R310" s="785">
        <f>IFERROR(VLOOKUP($Q310,'391'!$P:$W,8,0),"")</f>
        <v>0</v>
      </c>
      <c r="S310" s="796"/>
      <c r="T310" s="797"/>
      <c r="U310" s="797"/>
      <c r="V310" s="797"/>
      <c r="W310" s="802">
        <f>IFERROR(VLOOKUP($Q310,'391'!$P:$AG,15,0),0)</f>
        <v>0</v>
      </c>
      <c r="X310" s="799">
        <f t="shared" si="129"/>
        <v>0</v>
      </c>
      <c r="Y310" s="797"/>
      <c r="Z310" s="785"/>
      <c r="AA310" s="797"/>
      <c r="AB310" s="797"/>
      <c r="AC310" s="681"/>
      <c r="AD310" s="681"/>
      <c r="AE310" s="681"/>
      <c r="AF310" s="681"/>
      <c r="AG310" s="681"/>
      <c r="AH310" s="681"/>
      <c r="AI310" s="703"/>
      <c r="AJ310" s="703"/>
      <c r="AK310" s="703"/>
      <c r="AL310" s="703"/>
      <c r="AM310" s="703"/>
      <c r="AN310" s="703"/>
      <c r="AO310" s="703"/>
      <c r="AP310" s="703"/>
      <c r="AQ310" s="703"/>
      <c r="AR310" s="703"/>
      <c r="AS310" s="703"/>
    </row>
    <row r="311" spans="1:45" s="400" customFormat="1" ht="30.75" hidden="1" customHeight="1" x14ac:dyDescent="0.25">
      <c r="A311" s="2022"/>
      <c r="B311" s="393" t="s">
        <v>88</v>
      </c>
      <c r="C311" s="127"/>
      <c r="D311" s="887" t="s">
        <v>10</v>
      </c>
      <c r="E311" s="888">
        <v>44890</v>
      </c>
      <c r="F311" s="70">
        <f t="shared" si="136"/>
        <v>1396</v>
      </c>
      <c r="G311" s="300">
        <v>0</v>
      </c>
      <c r="H311" s="18"/>
      <c r="I311" s="18"/>
      <c r="J311" s="1338"/>
      <c r="K311" s="18"/>
      <c r="L311" s="531">
        <f t="shared" si="128"/>
        <v>0</v>
      </c>
      <c r="M311" s="48"/>
      <c r="N311" s="163"/>
      <c r="O311" s="48"/>
      <c r="P311" s="738"/>
      <c r="Q311" s="795"/>
      <c r="R311" s="785">
        <f>IFERROR(VLOOKUP($Q311,'391'!$P:$W,8,0),"")</f>
        <v>0</v>
      </c>
      <c r="S311" s="796"/>
      <c r="T311" s="797"/>
      <c r="U311" s="797"/>
      <c r="V311" s="797"/>
      <c r="W311" s="802">
        <f>IFERROR(VLOOKUP($Q311,'391'!$P:$AG,15,0),0)</f>
        <v>0</v>
      </c>
      <c r="X311" s="799">
        <f t="shared" si="129"/>
        <v>0</v>
      </c>
      <c r="Y311" s="797"/>
      <c r="Z311" s="785"/>
      <c r="AA311" s="797"/>
      <c r="AB311" s="797"/>
      <c r="AC311" s="681"/>
      <c r="AD311" s="681"/>
      <c r="AE311" s="681"/>
      <c r="AF311" s="681"/>
      <c r="AG311" s="681"/>
      <c r="AH311" s="681"/>
      <c r="AI311" s="703"/>
      <c r="AJ311" s="703"/>
      <c r="AK311" s="703"/>
      <c r="AL311" s="703"/>
      <c r="AM311" s="703"/>
      <c r="AN311" s="703"/>
      <c r="AO311" s="703"/>
      <c r="AP311" s="703"/>
      <c r="AQ311" s="703"/>
      <c r="AR311" s="703"/>
      <c r="AS311" s="703"/>
    </row>
    <row r="312" spans="1:45" s="400" customFormat="1" ht="30.6" hidden="1" customHeight="1" x14ac:dyDescent="0.25">
      <c r="A312" s="2022"/>
      <c r="B312" s="2033" t="s">
        <v>1555</v>
      </c>
      <c r="C312" s="2034"/>
      <c r="D312" s="1782"/>
      <c r="E312" s="1783"/>
      <c r="F312" s="1784"/>
      <c r="G312" s="1785">
        <v>0</v>
      </c>
      <c r="H312" s="1785">
        <f t="shared" ref="H312:K312" si="142">+SUM(H307:H311)</f>
        <v>0</v>
      </c>
      <c r="I312" s="1785">
        <f t="shared" si="142"/>
        <v>0</v>
      </c>
      <c r="J312" s="1785">
        <f t="shared" si="142"/>
        <v>0</v>
      </c>
      <c r="K312" s="1785">
        <f t="shared" si="142"/>
        <v>0</v>
      </c>
      <c r="L312" s="1785">
        <f>+SUM(L307:L311)</f>
        <v>0</v>
      </c>
      <c r="M312" s="2030"/>
      <c r="N312" s="2031"/>
      <c r="O312" s="2031"/>
      <c r="P312" s="2032"/>
      <c r="Q312" s="795"/>
      <c r="R312" s="785">
        <f>IFERROR(VLOOKUP($Q312,'391'!$P:$W,8,0),"")</f>
        <v>0</v>
      </c>
      <c r="S312" s="796"/>
      <c r="T312" s="797"/>
      <c r="U312" s="797"/>
      <c r="V312" s="797"/>
      <c r="W312" s="802">
        <f>IFERROR(VLOOKUP($Q312,'391'!$P:$AG,15,0),0)</f>
        <v>0</v>
      </c>
      <c r="X312" s="799">
        <f t="shared" si="129"/>
        <v>0</v>
      </c>
      <c r="Y312" s="797"/>
      <c r="Z312" s="785"/>
      <c r="AA312" s="797"/>
      <c r="AB312" s="797"/>
      <c r="AC312" s="681"/>
      <c r="AD312" s="681"/>
      <c r="AE312" s="681"/>
      <c r="AF312" s="681"/>
      <c r="AG312" s="681"/>
      <c r="AH312" s="681"/>
      <c r="AI312" s="703"/>
      <c r="AJ312" s="703"/>
      <c r="AK312" s="703"/>
      <c r="AL312" s="703"/>
      <c r="AM312" s="703"/>
      <c r="AN312" s="703"/>
      <c r="AO312" s="703"/>
      <c r="AP312" s="703"/>
      <c r="AQ312" s="703"/>
      <c r="AR312" s="703"/>
      <c r="AS312" s="703"/>
    </row>
    <row r="313" spans="1:45" s="401" customFormat="1" ht="30.75" customHeight="1" x14ac:dyDescent="0.25">
      <c r="A313" s="2022"/>
      <c r="B313" s="923" t="s">
        <v>2253</v>
      </c>
      <c r="C313" s="138" t="s">
        <v>1341</v>
      </c>
      <c r="D313" s="863" t="s">
        <v>10</v>
      </c>
      <c r="E313" s="886">
        <v>46268</v>
      </c>
      <c r="F313" s="39">
        <f t="shared" si="136"/>
        <v>18</v>
      </c>
      <c r="G313" s="28">
        <v>23687.919999999998</v>
      </c>
      <c r="H313" s="28"/>
      <c r="I313" s="37">
        <f>SUM(K301:K305)+K307</f>
        <v>6666.5499999999993</v>
      </c>
      <c r="J313" s="1295">
        <f>usage!I34</f>
        <v>3220</v>
      </c>
      <c r="K313" s="1845"/>
      <c r="L313" s="531">
        <f t="shared" si="128"/>
        <v>27134.469999999998</v>
      </c>
      <c r="M313" s="40"/>
      <c r="N313" s="84"/>
      <c r="O313" s="40"/>
      <c r="P313" s="736"/>
      <c r="Q313" s="666" t="s">
        <v>1666</v>
      </c>
      <c r="R313" s="785" t="str">
        <f>IFERROR(VLOOKUP($Q313,'391'!$P:$W,8,0),"")</f>
        <v/>
      </c>
      <c r="S313" s="796"/>
      <c r="T313" s="797"/>
      <c r="U313" s="797"/>
      <c r="V313" s="797"/>
      <c r="W313" s="802">
        <f>IFERROR(VLOOKUP($Q313,'391'!$P:$AG,15,0),0)</f>
        <v>0</v>
      </c>
      <c r="X313" s="799">
        <f t="shared" si="129"/>
        <v>23687.919999999998</v>
      </c>
      <c r="Y313" s="797"/>
      <c r="Z313" s="785"/>
      <c r="AA313" s="797"/>
      <c r="AB313" s="797"/>
      <c r="AC313" s="681"/>
      <c r="AD313" s="681"/>
      <c r="AE313" s="681"/>
      <c r="AF313" s="681"/>
      <c r="AG313" s="681"/>
      <c r="AH313" s="681"/>
      <c r="AI313" s="703"/>
      <c r="AJ313" s="703"/>
      <c r="AK313" s="703"/>
      <c r="AL313" s="703"/>
      <c r="AM313" s="703"/>
      <c r="AN313" s="703"/>
      <c r="AO313" s="703"/>
      <c r="AP313" s="703"/>
      <c r="AQ313" s="703"/>
      <c r="AR313" s="703"/>
      <c r="AS313" s="703"/>
    </row>
    <row r="314" spans="1:45" s="402" customFormat="1" ht="30" customHeight="1" x14ac:dyDescent="0.25">
      <c r="A314" s="2019" t="s">
        <v>110</v>
      </c>
      <c r="B314" s="2020"/>
      <c r="C314" s="2035"/>
      <c r="D314" s="2036"/>
      <c r="E314" s="2036"/>
      <c r="F314" s="2036"/>
      <c r="G314" s="1296">
        <v>90421</v>
      </c>
      <c r="H314" s="1296">
        <f t="shared" ref="H314:L314" si="143">+H306+H312+H313</f>
        <v>0</v>
      </c>
      <c r="I314" s="1296">
        <f t="shared" si="143"/>
        <v>6666.5499999999993</v>
      </c>
      <c r="J314" s="1296">
        <f>SUM(J301:J313)</f>
        <v>3220</v>
      </c>
      <c r="K314" s="1296">
        <f t="shared" si="143"/>
        <v>6666.5499999999993</v>
      </c>
      <c r="L314" s="1296">
        <f t="shared" si="143"/>
        <v>87201</v>
      </c>
      <c r="M314" s="59">
        <f>IFERROR((R314/$S$2),"")</f>
        <v>4283</v>
      </c>
      <c r="N314" s="854">
        <f>IFERROR(L314/M314,0)</f>
        <v>20.359794536539809</v>
      </c>
      <c r="O314" s="59">
        <f>IFERROR(SUMIF(ETM!$A:$A,$Q314,ETM!$E:$E),"")</f>
        <v>3545.833333333333</v>
      </c>
      <c r="P314" s="880">
        <f>IFERROR(L314/O314,0)</f>
        <v>24.592526439482963</v>
      </c>
      <c r="Q314" s="795" t="s">
        <v>820</v>
      </c>
      <c r="R314" s="785">
        <f>IFERROR(VLOOKUP($Q314,'391'!$P:$W,8,0),"")</f>
        <v>25698</v>
      </c>
      <c r="S314" s="796"/>
      <c r="T314" s="797"/>
      <c r="U314" s="797"/>
      <c r="V314" s="797"/>
      <c r="W314" s="802">
        <f>IFERROR(VLOOKUP($Q314,'391'!$P:$AG,15,0),0)</f>
        <v>90421</v>
      </c>
      <c r="X314" s="799">
        <f t="shared" si="129"/>
        <v>0</v>
      </c>
      <c r="Y314" s="797"/>
      <c r="Z314" s="785"/>
      <c r="AA314" s="797"/>
      <c r="AB314" s="797"/>
      <c r="AC314" s="551"/>
      <c r="AD314" s="551"/>
      <c r="AE314" s="551"/>
      <c r="AF314" s="551"/>
      <c r="AG314" s="551"/>
      <c r="AH314" s="551"/>
      <c r="AI314" s="704"/>
      <c r="AJ314" s="704"/>
      <c r="AK314" s="704"/>
      <c r="AL314" s="704"/>
      <c r="AM314" s="704"/>
      <c r="AN314" s="704"/>
      <c r="AO314" s="704"/>
      <c r="AP314" s="704"/>
      <c r="AQ314" s="704"/>
      <c r="AR314" s="704"/>
      <c r="AS314" s="704"/>
    </row>
    <row r="315" spans="1:45" s="400" customFormat="1" ht="30" hidden="1" customHeight="1" x14ac:dyDescent="0.25">
      <c r="A315" s="2063" t="str">
        <f>IF(L318=0,"",MAX($A$16:$A$313)+1)</f>
        <v/>
      </c>
      <c r="B315" s="2043" t="s">
        <v>1348</v>
      </c>
      <c r="C315" s="127" t="s">
        <v>987</v>
      </c>
      <c r="D315" s="887" t="s">
        <v>10</v>
      </c>
      <c r="E315" s="888">
        <v>44842</v>
      </c>
      <c r="F315" s="70">
        <f>$L$7-E315</f>
        <v>1444</v>
      </c>
      <c r="G315" s="300">
        <v>0</v>
      </c>
      <c r="H315" s="18"/>
      <c r="I315" s="18"/>
      <c r="J315" s="1338"/>
      <c r="K315" s="18"/>
      <c r="L315" s="531">
        <f t="shared" ref="L315:L340" si="144">+G315+H315+I315-J315-K315</f>
        <v>0</v>
      </c>
      <c r="M315" s="48"/>
      <c r="N315" s="163"/>
      <c r="O315" s="48"/>
      <c r="P315" s="738"/>
      <c r="Q315" s="795"/>
      <c r="R315" s="785">
        <f>IFERROR(VLOOKUP($Q315,'391'!$P:$W,8,0),"")</f>
        <v>0</v>
      </c>
      <c r="S315" s="796"/>
      <c r="T315" s="797"/>
      <c r="U315" s="797"/>
      <c r="V315" s="797"/>
      <c r="W315" s="802">
        <f>IFERROR(VLOOKUP($Q315,'391'!$P:$AG,15,0),0)</f>
        <v>0</v>
      </c>
      <c r="X315" s="799">
        <f t="shared" si="129"/>
        <v>0</v>
      </c>
      <c r="Y315" s="797"/>
      <c r="Z315" s="785"/>
      <c r="AA315" s="797"/>
      <c r="AB315" s="797"/>
      <c r="AC315" s="681"/>
      <c r="AD315" s="681"/>
      <c r="AE315" s="681"/>
      <c r="AF315" s="681"/>
      <c r="AG315" s="681"/>
      <c r="AH315" s="681"/>
      <c r="AI315" s="703"/>
      <c r="AJ315" s="703"/>
      <c r="AK315" s="703"/>
      <c r="AL315" s="703"/>
      <c r="AM315" s="703"/>
      <c r="AN315" s="703"/>
      <c r="AO315" s="703"/>
      <c r="AP315" s="703"/>
      <c r="AQ315" s="703"/>
      <c r="AR315" s="703"/>
      <c r="AS315" s="703"/>
    </row>
    <row r="316" spans="1:45" s="400" customFormat="1" ht="30" hidden="1" customHeight="1" x14ac:dyDescent="0.25">
      <c r="A316" s="2078"/>
      <c r="B316" s="2112"/>
      <c r="C316" s="127" t="s">
        <v>324</v>
      </c>
      <c r="D316" s="887" t="s">
        <v>10</v>
      </c>
      <c r="E316" s="888">
        <v>45001</v>
      </c>
      <c r="F316" s="70">
        <f>$L$7-E316</f>
        <v>1285</v>
      </c>
      <c r="G316" s="300">
        <v>0</v>
      </c>
      <c r="H316" s="18"/>
      <c r="I316" s="18"/>
      <c r="J316" s="1338"/>
      <c r="K316" s="18"/>
      <c r="L316" s="531">
        <f t="shared" si="144"/>
        <v>0</v>
      </c>
      <c r="M316" s="48"/>
      <c r="N316" s="163"/>
      <c r="O316" s="48"/>
      <c r="P316" s="738"/>
      <c r="Q316" s="795"/>
      <c r="R316" s="785">
        <f>IFERROR(VLOOKUP($Q316,'391'!$P:$W,8,0),"")</f>
        <v>0</v>
      </c>
      <c r="S316" s="796"/>
      <c r="T316" s="797"/>
      <c r="U316" s="797"/>
      <c r="V316" s="797"/>
      <c r="W316" s="802">
        <f>IFERROR(VLOOKUP($Q316,'391'!$P:$AG,15,0),0)</f>
        <v>0</v>
      </c>
      <c r="X316" s="799">
        <f t="shared" si="129"/>
        <v>0</v>
      </c>
      <c r="Y316" s="797"/>
      <c r="Z316" s="785"/>
      <c r="AA316" s="797"/>
      <c r="AB316" s="797"/>
      <c r="AC316" s="681"/>
      <c r="AD316" s="681"/>
      <c r="AE316" s="681"/>
      <c r="AF316" s="681"/>
      <c r="AG316" s="681"/>
      <c r="AH316" s="681"/>
      <c r="AI316" s="703"/>
      <c r="AJ316" s="703"/>
      <c r="AK316" s="703"/>
      <c r="AL316" s="703"/>
      <c r="AM316" s="703"/>
      <c r="AN316" s="703"/>
      <c r="AO316" s="703"/>
      <c r="AP316" s="703"/>
      <c r="AQ316" s="703"/>
      <c r="AR316" s="703"/>
      <c r="AS316" s="703"/>
    </row>
    <row r="317" spans="1:45" s="401" customFormat="1" ht="30" hidden="1" customHeight="1" x14ac:dyDescent="0.25">
      <c r="A317" s="2064"/>
      <c r="B317" s="923" t="s">
        <v>1348</v>
      </c>
      <c r="C317" s="138" t="s">
        <v>158</v>
      </c>
      <c r="D317" s="863" t="s">
        <v>10</v>
      </c>
      <c r="E317" s="886">
        <v>45001</v>
      </c>
      <c r="F317" s="39">
        <f>$L$7-E317</f>
        <v>1285</v>
      </c>
      <c r="G317" s="28">
        <v>0</v>
      </c>
      <c r="H317" s="28"/>
      <c r="I317" s="28">
        <f>K315+K316</f>
        <v>0</v>
      </c>
      <c r="J317" s="1295">
        <f>usage!I35</f>
        <v>0</v>
      </c>
      <c r="K317" s="28"/>
      <c r="L317" s="531">
        <f t="shared" si="144"/>
        <v>0</v>
      </c>
      <c r="M317" s="40"/>
      <c r="N317" s="84"/>
      <c r="O317" s="40"/>
      <c r="P317" s="736"/>
      <c r="Q317" s="666"/>
      <c r="R317" s="785">
        <f>IFERROR(VLOOKUP($Q317,'391'!$P:$W,8,0),"")</f>
        <v>0</v>
      </c>
      <c r="S317" s="796"/>
      <c r="T317" s="797"/>
      <c r="U317" s="797"/>
      <c r="V317" s="797"/>
      <c r="W317" s="802">
        <f>IFERROR(VLOOKUP($Q317,'391'!$P:$AG,15,0),0)</f>
        <v>0</v>
      </c>
      <c r="X317" s="799">
        <f t="shared" si="129"/>
        <v>0</v>
      </c>
      <c r="Y317" s="797"/>
      <c r="Z317" s="785"/>
      <c r="AA317" s="797"/>
      <c r="AB317" s="797"/>
      <c r="AC317" s="681"/>
      <c r="AD317" s="681"/>
      <c r="AE317" s="681"/>
      <c r="AF317" s="681"/>
      <c r="AG317" s="681"/>
      <c r="AH317" s="681"/>
      <c r="AI317" s="703"/>
      <c r="AJ317" s="703"/>
      <c r="AK317" s="703"/>
      <c r="AL317" s="703"/>
      <c r="AM317" s="703"/>
      <c r="AN317" s="703"/>
      <c r="AO317" s="703"/>
      <c r="AP317" s="703"/>
      <c r="AQ317" s="703"/>
      <c r="AR317" s="703"/>
      <c r="AS317" s="703"/>
    </row>
    <row r="318" spans="1:45" s="402" customFormat="1" ht="30" hidden="1" customHeight="1" x14ac:dyDescent="0.25">
      <c r="A318" s="2019" t="s">
        <v>1357</v>
      </c>
      <c r="B318" s="2020"/>
      <c r="C318" s="2035"/>
      <c r="D318" s="2036"/>
      <c r="E318" s="2036"/>
      <c r="F318" s="2036"/>
      <c r="G318" s="1296">
        <v>0</v>
      </c>
      <c r="H318" s="1296">
        <f t="shared" ref="H318:K318" si="145">+SUM(H315:H317)</f>
        <v>0</v>
      </c>
      <c r="I318" s="1296">
        <f t="shared" si="145"/>
        <v>0</v>
      </c>
      <c r="J318" s="1296">
        <f t="shared" si="145"/>
        <v>0</v>
      </c>
      <c r="K318" s="1296">
        <f t="shared" si="145"/>
        <v>0</v>
      </c>
      <c r="L318" s="531">
        <f t="shared" si="144"/>
        <v>0</v>
      </c>
      <c r="M318" s="59" t="str">
        <f>IFERROR((R318/$S$2),"")</f>
        <v/>
      </c>
      <c r="N318" s="854">
        <f>IFERROR(L318/M318,0)</f>
        <v>0</v>
      </c>
      <c r="O318" s="59">
        <f>IFERROR(SUMIF(ETM!$A:$A,$Q318,ETM!$E:$E),"")</f>
        <v>0</v>
      </c>
      <c r="P318" s="880">
        <f>IFERROR(L318/O318,0)</f>
        <v>0</v>
      </c>
      <c r="Q318" s="666" t="s">
        <v>1283</v>
      </c>
      <c r="R318" s="785" t="str">
        <f>IFERROR(VLOOKUP($Q318,'391'!$P:$W,8,0),"")</f>
        <v/>
      </c>
      <c r="S318" s="796"/>
      <c r="T318" s="797"/>
      <c r="U318" s="797"/>
      <c r="V318" s="797"/>
      <c r="W318" s="802">
        <f>IFERROR(VLOOKUP($Q318,'391'!$P:$AG,15,0),0)</f>
        <v>0</v>
      </c>
      <c r="X318" s="799">
        <f t="shared" si="129"/>
        <v>0</v>
      </c>
      <c r="Y318" s="799"/>
      <c r="Z318" s="1088"/>
      <c r="AA318" s="797"/>
      <c r="AB318" s="797"/>
      <c r="AC318" s="551"/>
      <c r="AD318" s="551"/>
      <c r="AE318" s="551"/>
      <c r="AF318" s="551"/>
      <c r="AG318" s="551"/>
      <c r="AH318" s="551"/>
      <c r="AI318" s="704"/>
      <c r="AJ318" s="704"/>
      <c r="AK318" s="704"/>
      <c r="AL318" s="704"/>
      <c r="AM318" s="704"/>
      <c r="AN318" s="704"/>
      <c r="AO318" s="704"/>
      <c r="AP318" s="704"/>
      <c r="AQ318" s="704"/>
      <c r="AR318" s="704"/>
      <c r="AS318" s="704"/>
    </row>
    <row r="319" spans="1:45" ht="30" hidden="1" customHeight="1" x14ac:dyDescent="0.25">
      <c r="A319" s="2010" t="str">
        <f>IF(L322=0,"",MAX($A$16:A314)+1)</f>
        <v/>
      </c>
      <c r="B319" s="2058" t="s">
        <v>120</v>
      </c>
      <c r="C319" s="115" t="s">
        <v>83</v>
      </c>
      <c r="D319" s="887" t="s">
        <v>10</v>
      </c>
      <c r="E319" s="888">
        <v>41328</v>
      </c>
      <c r="F319" s="70">
        <f>$L$7-E319</f>
        <v>4958</v>
      </c>
      <c r="G319" s="18">
        <v>0</v>
      </c>
      <c r="H319" s="1339"/>
      <c r="I319" s="36"/>
      <c r="J319" s="1294"/>
      <c r="K319" s="36"/>
      <c r="L319" s="531">
        <f t="shared" si="144"/>
        <v>0</v>
      </c>
      <c r="M319" s="46"/>
      <c r="N319" s="248"/>
      <c r="O319" s="147"/>
      <c r="P319" s="857"/>
      <c r="Q319" s="795"/>
      <c r="R319" s="785">
        <f>IFERROR(VLOOKUP($Q319,'391'!$P:$W,8,0),"")</f>
        <v>0</v>
      </c>
      <c r="U319" s="787"/>
      <c r="V319" s="787"/>
      <c r="W319" s="802">
        <f>IFERROR(VLOOKUP($Q319,'391'!$P:$AG,15,0),0)</f>
        <v>0</v>
      </c>
      <c r="X319" s="799">
        <f t="shared" si="129"/>
        <v>0</v>
      </c>
      <c r="Y319" s="787"/>
      <c r="Z319" s="791"/>
      <c r="AA319" s="787"/>
      <c r="AB319" s="787"/>
      <c r="AC319" s="679"/>
    </row>
    <row r="320" spans="1:45" ht="30" hidden="1" customHeight="1" x14ac:dyDescent="0.25">
      <c r="A320" s="2002"/>
      <c r="B320" s="2059"/>
      <c r="C320" s="115" t="s">
        <v>83</v>
      </c>
      <c r="D320" s="887" t="s">
        <v>10</v>
      </c>
      <c r="E320" s="888">
        <v>41418</v>
      </c>
      <c r="F320" s="70">
        <f>$L$7-E320</f>
        <v>4868</v>
      </c>
      <c r="G320" s="18">
        <v>0</v>
      </c>
      <c r="H320" s="1339"/>
      <c r="I320" s="36"/>
      <c r="J320" s="1294"/>
      <c r="K320" s="36"/>
      <c r="L320" s="531">
        <f t="shared" si="144"/>
        <v>0</v>
      </c>
      <c r="M320" s="46"/>
      <c r="N320" s="248"/>
      <c r="O320" s="147"/>
      <c r="P320" s="857"/>
      <c r="Q320" s="795"/>
      <c r="R320" s="785">
        <f>IFERROR(VLOOKUP($Q320,'391'!$P:$W,8,0),"")</f>
        <v>0</v>
      </c>
      <c r="U320" s="787"/>
      <c r="V320" s="787"/>
      <c r="W320" s="802">
        <f>IFERROR(VLOOKUP($Q320,'391'!$P:$AG,15,0),0)</f>
        <v>0</v>
      </c>
      <c r="X320" s="799">
        <f t="shared" si="129"/>
        <v>0</v>
      </c>
      <c r="Y320" s="787"/>
      <c r="Z320" s="791"/>
      <c r="AA320" s="787"/>
      <c r="AB320" s="787"/>
      <c r="AC320" s="679"/>
    </row>
    <row r="321" spans="1:45" s="410" customFormat="1" ht="30" hidden="1" customHeight="1" x14ac:dyDescent="0.25">
      <c r="A321" s="2011"/>
      <c r="B321" s="2061"/>
      <c r="C321" s="171" t="s">
        <v>126</v>
      </c>
      <c r="D321" s="912" t="s">
        <v>10</v>
      </c>
      <c r="E321" s="913">
        <v>41328</v>
      </c>
      <c r="F321" s="911">
        <f>$L$7-E321</f>
        <v>4958</v>
      </c>
      <c r="G321" s="914">
        <v>0</v>
      </c>
      <c r="H321" s="1340"/>
      <c r="I321" s="914"/>
      <c r="J321" s="1341"/>
      <c r="K321" s="914"/>
      <c r="L321" s="531">
        <f t="shared" si="144"/>
        <v>0</v>
      </c>
      <c r="M321" s="177"/>
      <c r="N321" s="920"/>
      <c r="O321" s="177"/>
      <c r="P321" s="857"/>
      <c r="Q321" s="795"/>
      <c r="R321" s="785">
        <f>IFERROR(VLOOKUP($Q321,'391'!$P:$W,8,0),"")</f>
        <v>0</v>
      </c>
      <c r="S321" s="786"/>
      <c r="T321" s="787"/>
      <c r="U321" s="787"/>
      <c r="V321" s="787"/>
      <c r="W321" s="802">
        <f>IFERROR(VLOOKUP($Q321,'391'!$P:$AG,15,0),0)</f>
        <v>0</v>
      </c>
      <c r="X321" s="799">
        <f t="shared" si="129"/>
        <v>0</v>
      </c>
      <c r="Y321" s="787"/>
      <c r="Z321" s="791"/>
      <c r="AA321" s="787"/>
      <c r="AB321" s="787"/>
      <c r="AC321" s="679"/>
      <c r="AD321" s="679"/>
      <c r="AE321" s="679"/>
      <c r="AF321" s="679"/>
      <c r="AG321" s="679"/>
      <c r="AH321" s="679"/>
      <c r="AI321" s="682"/>
      <c r="AJ321" s="682"/>
      <c r="AK321" s="682"/>
      <c r="AL321" s="682"/>
      <c r="AM321" s="682"/>
      <c r="AN321" s="682"/>
      <c r="AO321" s="682"/>
      <c r="AP321" s="682"/>
      <c r="AQ321" s="682"/>
      <c r="AR321" s="682"/>
      <c r="AS321" s="682"/>
    </row>
    <row r="322" spans="1:45" s="402" customFormat="1" ht="30" hidden="1" customHeight="1" x14ac:dyDescent="0.25">
      <c r="A322" s="2019" t="s">
        <v>951</v>
      </c>
      <c r="B322" s="2020"/>
      <c r="C322" s="915"/>
      <c r="D322" s="900"/>
      <c r="E322" s="901"/>
      <c r="F322" s="902"/>
      <c r="G322" s="1296">
        <v>0</v>
      </c>
      <c r="H322" s="1342">
        <f>SUM(H319:H321)</f>
        <v>0</v>
      </c>
      <c r="I322" s="1342">
        <f>SUM(I319:I321)</f>
        <v>0</v>
      </c>
      <c r="J322" s="1343">
        <f>SUM(J319:J321)</f>
        <v>0</v>
      </c>
      <c r="K322" s="1342"/>
      <c r="L322" s="531">
        <f t="shared" si="144"/>
        <v>0</v>
      </c>
      <c r="M322" s="59"/>
      <c r="N322" s="366" t="e">
        <f>(L322/M322)/1000</f>
        <v>#DIV/0!</v>
      </c>
      <c r="O322" s="59"/>
      <c r="P322" s="857"/>
      <c r="Q322" s="795"/>
      <c r="R322" s="785">
        <f>IFERROR(VLOOKUP($Q322,'391'!$P:$W,8,0),"")</f>
        <v>0</v>
      </c>
      <c r="S322" s="796"/>
      <c r="T322" s="797"/>
      <c r="U322" s="797"/>
      <c r="V322" s="797"/>
      <c r="W322" s="802">
        <f>IFERROR(VLOOKUP($Q322,'391'!$P:$AG,15,0),0)</f>
        <v>0</v>
      </c>
      <c r="X322" s="799">
        <f t="shared" ref="X322:X340" si="146">G322-W322</f>
        <v>0</v>
      </c>
      <c r="Y322" s="797"/>
      <c r="Z322" s="785"/>
      <c r="AA322" s="797"/>
      <c r="AB322" s="797"/>
      <c r="AC322" s="551"/>
      <c r="AD322" s="551"/>
      <c r="AE322" s="551"/>
      <c r="AF322" s="551"/>
      <c r="AG322" s="551"/>
      <c r="AH322" s="551"/>
      <c r="AI322" s="704"/>
      <c r="AJ322" s="704"/>
      <c r="AK322" s="704"/>
      <c r="AL322" s="704"/>
      <c r="AM322" s="704"/>
      <c r="AN322" s="704"/>
      <c r="AO322" s="704"/>
      <c r="AP322" s="704"/>
      <c r="AQ322" s="704"/>
      <c r="AR322" s="704"/>
      <c r="AS322" s="704"/>
    </row>
    <row r="323" spans="1:45" s="13" customFormat="1" ht="30" hidden="1" customHeight="1" x14ac:dyDescent="0.25">
      <c r="A323" s="2063" t="str">
        <f>IF(L328=0,"",MAX($A$16:A322)+1)</f>
        <v/>
      </c>
      <c r="B323" s="393" t="s">
        <v>953</v>
      </c>
      <c r="C323" s="114" t="s">
        <v>330</v>
      </c>
      <c r="D323" s="887" t="s">
        <v>10</v>
      </c>
      <c r="E323" s="888">
        <v>44361</v>
      </c>
      <c r="F323" s="70">
        <f>$L$7-E323</f>
        <v>1925</v>
      </c>
      <c r="G323" s="300">
        <v>0</v>
      </c>
      <c r="H323" s="300"/>
      <c r="I323" s="300"/>
      <c r="J323" s="1300"/>
      <c r="K323" s="300"/>
      <c r="L323" s="531">
        <f t="shared" si="144"/>
        <v>0</v>
      </c>
      <c r="M323" s="51"/>
      <c r="N323" s="920"/>
      <c r="O323" s="48"/>
      <c r="P323" s="738"/>
      <c r="Q323" s="795"/>
      <c r="R323" s="785">
        <f>IFERROR(VLOOKUP($Q323,'391'!$P:$W,8,0),"")</f>
        <v>0</v>
      </c>
      <c r="S323" s="796"/>
      <c r="T323" s="797"/>
      <c r="U323" s="797"/>
      <c r="V323" s="797"/>
      <c r="W323" s="802">
        <f>IFERROR(VLOOKUP($Q323,'391'!$P:$AG,15,0),0)</f>
        <v>0</v>
      </c>
      <c r="X323" s="799">
        <f t="shared" si="146"/>
        <v>0</v>
      </c>
      <c r="Y323" s="797"/>
      <c r="Z323" s="785"/>
      <c r="AA323" s="797"/>
      <c r="AB323" s="797"/>
      <c r="AC323" s="683"/>
      <c r="AD323" s="683"/>
      <c r="AE323" s="683"/>
      <c r="AF323" s="683"/>
      <c r="AG323" s="683"/>
      <c r="AH323" s="683"/>
      <c r="AI323" s="705"/>
      <c r="AJ323" s="705"/>
      <c r="AK323" s="705"/>
      <c r="AL323" s="705"/>
      <c r="AM323" s="705"/>
      <c r="AN323" s="705"/>
      <c r="AO323" s="705"/>
      <c r="AP323" s="705"/>
      <c r="AQ323" s="705"/>
      <c r="AR323" s="705"/>
      <c r="AS323" s="705"/>
    </row>
    <row r="324" spans="1:45" s="13" customFormat="1" ht="30" hidden="1" customHeight="1" x14ac:dyDescent="0.25">
      <c r="A324" s="2078"/>
      <c r="B324" s="393" t="s">
        <v>952</v>
      </c>
      <c r="C324" s="259" t="s">
        <v>515</v>
      </c>
      <c r="D324" s="887" t="s">
        <v>10</v>
      </c>
      <c r="E324" s="888">
        <v>44352</v>
      </c>
      <c r="F324" s="70">
        <f>$L$7-E324</f>
        <v>1934</v>
      </c>
      <c r="G324" s="300">
        <v>0</v>
      </c>
      <c r="H324" s="300"/>
      <c r="I324" s="300"/>
      <c r="J324" s="1300"/>
      <c r="K324" s="300"/>
      <c r="L324" s="531">
        <f t="shared" si="144"/>
        <v>0</v>
      </c>
      <c r="M324" s="560"/>
      <c r="N324" s="1463"/>
      <c r="O324" s="48"/>
      <c r="P324" s="738"/>
      <c r="Q324" s="795"/>
      <c r="R324" s="785">
        <f>IFERROR(VLOOKUP($Q324,'391'!$P:$W,8,0),"")</f>
        <v>0</v>
      </c>
      <c r="S324" s="796"/>
      <c r="T324" s="797"/>
      <c r="U324" s="797"/>
      <c r="V324" s="797"/>
      <c r="W324" s="802">
        <f>IFERROR(VLOOKUP($Q324,'391'!$P:$AG,15,0),0)</f>
        <v>0</v>
      </c>
      <c r="X324" s="799">
        <f t="shared" si="146"/>
        <v>0</v>
      </c>
      <c r="Y324" s="797"/>
      <c r="Z324" s="785"/>
      <c r="AA324" s="797"/>
      <c r="AB324" s="797"/>
      <c r="AC324" s="683"/>
      <c r="AD324" s="683"/>
      <c r="AE324" s="683"/>
      <c r="AF324" s="683"/>
      <c r="AG324" s="683"/>
      <c r="AH324" s="683"/>
      <c r="AI324" s="705"/>
      <c r="AJ324" s="705"/>
      <c r="AK324" s="705"/>
      <c r="AL324" s="705"/>
      <c r="AM324" s="705"/>
      <c r="AN324" s="705"/>
      <c r="AO324" s="705"/>
      <c r="AP324" s="705"/>
      <c r="AQ324" s="705"/>
      <c r="AR324" s="705"/>
      <c r="AS324" s="705"/>
    </row>
    <row r="325" spans="1:45" s="13" customFormat="1" ht="30" hidden="1" customHeight="1" x14ac:dyDescent="0.25">
      <c r="A325" s="2078"/>
      <c r="B325" s="393" t="s">
        <v>953</v>
      </c>
      <c r="C325" s="114" t="s">
        <v>330</v>
      </c>
      <c r="D325" s="887" t="s">
        <v>10</v>
      </c>
      <c r="E325" s="888">
        <v>44361</v>
      </c>
      <c r="F325" s="70">
        <f>$L$7-E325</f>
        <v>1925</v>
      </c>
      <c r="G325" s="300">
        <v>0</v>
      </c>
      <c r="H325" s="300"/>
      <c r="I325" s="300"/>
      <c r="J325" s="1300"/>
      <c r="K325" s="300"/>
      <c r="L325" s="531">
        <f t="shared" si="144"/>
        <v>0</v>
      </c>
      <c r="M325" s="560"/>
      <c r="N325" s="1463"/>
      <c r="O325" s="48"/>
      <c r="P325" s="738"/>
      <c r="Q325" s="795"/>
      <c r="R325" s="785">
        <f>IFERROR(VLOOKUP($Q325,'391'!$P:$W,8,0),"")</f>
        <v>0</v>
      </c>
      <c r="S325" s="796"/>
      <c r="T325" s="797"/>
      <c r="U325" s="797"/>
      <c r="V325" s="797"/>
      <c r="W325" s="802">
        <f>IFERROR(VLOOKUP($Q325,'391'!$P:$AG,15,0),0)</f>
        <v>0</v>
      </c>
      <c r="X325" s="799">
        <f t="shared" si="146"/>
        <v>0</v>
      </c>
      <c r="Y325" s="797"/>
      <c r="Z325" s="785"/>
      <c r="AA325" s="797"/>
      <c r="AB325" s="797"/>
      <c r="AC325" s="683"/>
      <c r="AD325" s="683"/>
      <c r="AE325" s="683"/>
      <c r="AF325" s="683"/>
      <c r="AG325" s="683"/>
      <c r="AH325" s="683"/>
      <c r="AI325" s="705"/>
      <c r="AJ325" s="705"/>
      <c r="AK325" s="705"/>
      <c r="AL325" s="705"/>
      <c r="AM325" s="705"/>
      <c r="AN325" s="705"/>
      <c r="AO325" s="705"/>
      <c r="AP325" s="705"/>
      <c r="AQ325" s="705"/>
      <c r="AR325" s="705"/>
      <c r="AS325" s="705"/>
    </row>
    <row r="326" spans="1:45" s="13" customFormat="1" ht="30" hidden="1" customHeight="1" x14ac:dyDescent="0.25">
      <c r="A326" s="2078"/>
      <c r="B326" s="393" t="s">
        <v>953</v>
      </c>
      <c r="C326" s="114" t="s">
        <v>330</v>
      </c>
      <c r="D326" s="887" t="s">
        <v>10</v>
      </c>
      <c r="E326" s="888">
        <v>44361</v>
      </c>
      <c r="F326" s="70">
        <f>$L$7-E326</f>
        <v>1925</v>
      </c>
      <c r="G326" s="300">
        <v>0</v>
      </c>
      <c r="H326" s="300"/>
      <c r="I326" s="300"/>
      <c r="J326" s="1300"/>
      <c r="K326" s="300"/>
      <c r="L326" s="531">
        <f t="shared" si="144"/>
        <v>0</v>
      </c>
      <c r="M326" s="560"/>
      <c r="N326" s="1463"/>
      <c r="O326" s="48"/>
      <c r="P326" s="738"/>
      <c r="Q326" s="795"/>
      <c r="R326" s="785">
        <f>IFERROR(VLOOKUP($Q326,'391'!$P:$W,8,0),"")</f>
        <v>0</v>
      </c>
      <c r="S326" s="796"/>
      <c r="T326" s="797"/>
      <c r="U326" s="797"/>
      <c r="V326" s="797"/>
      <c r="W326" s="802">
        <f>IFERROR(VLOOKUP($Q326,'391'!$P:$AG,15,0),0)</f>
        <v>0</v>
      </c>
      <c r="X326" s="799">
        <f t="shared" si="146"/>
        <v>0</v>
      </c>
      <c r="Y326" s="797"/>
      <c r="Z326" s="785"/>
      <c r="AA326" s="797"/>
      <c r="AB326" s="797"/>
      <c r="AC326" s="683"/>
      <c r="AD326" s="683"/>
      <c r="AE326" s="683"/>
      <c r="AF326" s="683"/>
      <c r="AG326" s="683"/>
      <c r="AH326" s="683"/>
      <c r="AI326" s="705"/>
      <c r="AJ326" s="705"/>
      <c r="AK326" s="705"/>
      <c r="AL326" s="705"/>
      <c r="AM326" s="705"/>
      <c r="AN326" s="705"/>
      <c r="AO326" s="705"/>
      <c r="AP326" s="705"/>
      <c r="AQ326" s="705"/>
      <c r="AR326" s="705"/>
      <c r="AS326" s="705"/>
    </row>
    <row r="327" spans="1:45" s="13" customFormat="1" ht="30" hidden="1" customHeight="1" x14ac:dyDescent="0.25">
      <c r="A327" s="2064"/>
      <c r="B327" s="923" t="s">
        <v>953</v>
      </c>
      <c r="C327" s="106" t="s">
        <v>521</v>
      </c>
      <c r="D327" s="850" t="s">
        <v>10</v>
      </c>
      <c r="E327" s="851">
        <v>44361</v>
      </c>
      <c r="F327" s="42">
        <f>$L$7-E327</f>
        <v>1925</v>
      </c>
      <c r="G327" s="296">
        <v>0</v>
      </c>
      <c r="H327" s="296"/>
      <c r="I327" s="296">
        <f>K323+K326+K324+K325</f>
        <v>0</v>
      </c>
      <c r="J327" s="1295">
        <f>usage!I38</f>
        <v>0</v>
      </c>
      <c r="K327" s="296"/>
      <c r="L327" s="531">
        <f t="shared" si="144"/>
        <v>0</v>
      </c>
      <c r="M327" s="48"/>
      <c r="N327" s="163"/>
      <c r="O327" s="48"/>
      <c r="P327" s="857"/>
      <c r="Q327" s="795"/>
      <c r="R327" s="785">
        <f>IFERROR(VLOOKUP($Q327,'391'!$P:$W,8,0),"")</f>
        <v>0</v>
      </c>
      <c r="S327" s="796"/>
      <c r="T327" s="797"/>
      <c r="U327" s="797"/>
      <c r="V327" s="797"/>
      <c r="W327" s="802">
        <f>IFERROR(VLOOKUP($Q327,'391'!$P:$AG,15,0),0)</f>
        <v>0</v>
      </c>
      <c r="X327" s="799">
        <f t="shared" si="146"/>
        <v>0</v>
      </c>
      <c r="Y327" s="797"/>
      <c r="Z327" s="785"/>
      <c r="AA327" s="797"/>
      <c r="AB327" s="797"/>
      <c r="AC327" s="683"/>
      <c r="AD327" s="683"/>
      <c r="AE327" s="683"/>
      <c r="AF327" s="683"/>
      <c r="AG327" s="683"/>
      <c r="AH327" s="683"/>
      <c r="AI327" s="705"/>
      <c r="AJ327" s="705"/>
      <c r="AK327" s="705"/>
      <c r="AL327" s="705"/>
      <c r="AM327" s="705"/>
      <c r="AN327" s="705"/>
      <c r="AO327" s="705"/>
      <c r="AP327" s="705"/>
      <c r="AQ327" s="705"/>
      <c r="AR327" s="705"/>
      <c r="AS327" s="705"/>
    </row>
    <row r="328" spans="1:45" s="13" customFormat="1" ht="30" hidden="1" customHeight="1" x14ac:dyDescent="0.25">
      <c r="A328" s="2019" t="s">
        <v>519</v>
      </c>
      <c r="B328" s="2020"/>
      <c r="C328" s="88"/>
      <c r="D328" s="864"/>
      <c r="E328" s="864"/>
      <c r="F328" s="865"/>
      <c r="G328" s="1296">
        <v>0</v>
      </c>
      <c r="H328" s="1342">
        <f>SUM(H323:H327)</f>
        <v>0</v>
      </c>
      <c r="I328" s="1296">
        <f>SUM(I323:I327)</f>
        <v>0</v>
      </c>
      <c r="J328" s="1296">
        <f>SUM(J323:J327)</f>
        <v>0</v>
      </c>
      <c r="K328" s="1296">
        <f>+SUM(K323:K327)</f>
        <v>0</v>
      </c>
      <c r="L328" s="531">
        <f t="shared" si="144"/>
        <v>0</v>
      </c>
      <c r="M328" s="59" t="str">
        <f>IFERROR((R328/$S$2),"")</f>
        <v/>
      </c>
      <c r="N328" s="854">
        <f>IFERROR((L328/M328),0)</f>
        <v>0</v>
      </c>
      <c r="O328" s="59">
        <f>IFERROR(SUMIF(ETM!$A:$A,$Q328,ETM!$E:$E),"")</f>
        <v>0</v>
      </c>
      <c r="P328" s="880">
        <f>IFERROR(L328/O328,0)</f>
        <v>0</v>
      </c>
      <c r="Q328" s="795" t="s">
        <v>827</v>
      </c>
      <c r="R328" s="785" t="str">
        <f>IFERROR(VLOOKUP($Q328,'391'!$P:$W,8,0),"")</f>
        <v/>
      </c>
      <c r="S328" s="796"/>
      <c r="T328" s="797"/>
      <c r="U328" s="797"/>
      <c r="V328" s="797"/>
      <c r="W328" s="802">
        <f>IFERROR(VLOOKUP($Q328,'391'!$P:$AG,15,0),0)</f>
        <v>0</v>
      </c>
      <c r="X328" s="799">
        <f t="shared" si="146"/>
        <v>0</v>
      </c>
      <c r="Y328" s="797"/>
      <c r="Z328" s="785"/>
      <c r="AA328" s="797"/>
      <c r="AB328" s="797"/>
      <c r="AC328" s="683"/>
      <c r="AD328" s="683"/>
      <c r="AE328" s="683"/>
      <c r="AF328" s="683"/>
      <c r="AG328" s="683"/>
      <c r="AH328" s="683"/>
      <c r="AI328" s="705"/>
      <c r="AJ328" s="705"/>
      <c r="AK328" s="705"/>
      <c r="AL328" s="705"/>
      <c r="AM328" s="705"/>
      <c r="AN328" s="705"/>
      <c r="AO328" s="705"/>
      <c r="AP328" s="705"/>
      <c r="AQ328" s="705"/>
      <c r="AR328" s="705"/>
      <c r="AS328" s="705"/>
    </row>
    <row r="329" spans="1:45" s="13" customFormat="1" ht="30" hidden="1" customHeight="1" x14ac:dyDescent="0.25">
      <c r="A329" s="2022" t="str">
        <f>IF(L341=0,"",MAX($A$16:A328)+1)</f>
        <v/>
      </c>
      <c r="B329" s="393" t="s">
        <v>1542</v>
      </c>
      <c r="C329" s="114" t="s">
        <v>325</v>
      </c>
      <c r="D329" s="887" t="s">
        <v>10</v>
      </c>
      <c r="E329" s="888">
        <v>45681</v>
      </c>
      <c r="F329" s="70">
        <f t="shared" ref="F329" si="147">$L$7-E329</f>
        <v>605</v>
      </c>
      <c r="G329" s="300">
        <v>0</v>
      </c>
      <c r="H329" s="1345"/>
      <c r="I329" s="1345"/>
      <c r="J329" s="1346"/>
      <c r="K329" s="1347"/>
      <c r="L329" s="1669">
        <f t="shared" si="144"/>
        <v>0</v>
      </c>
      <c r="M329" s="48"/>
      <c r="N329" s="163"/>
      <c r="O329" s="48"/>
      <c r="P329" s="857"/>
      <c r="Q329" s="795"/>
      <c r="R329" s="785">
        <f>IFERROR(VLOOKUP($Q329,'391'!$P:$W,8,0),"")</f>
        <v>0</v>
      </c>
      <c r="S329" s="796"/>
      <c r="T329" s="797"/>
      <c r="U329" s="797"/>
      <c r="V329" s="797"/>
      <c r="W329" s="802">
        <f>IFERROR(VLOOKUP($Q329,'391'!$P:$AG,15,0),0)</f>
        <v>0</v>
      </c>
      <c r="X329" s="799">
        <f t="shared" si="146"/>
        <v>0</v>
      </c>
      <c r="Y329" s="797"/>
      <c r="Z329" s="785"/>
      <c r="AA329" s="797"/>
      <c r="AB329" s="797"/>
      <c r="AC329" s="683"/>
      <c r="AD329" s="683"/>
      <c r="AE329" s="683"/>
      <c r="AF329" s="683"/>
      <c r="AG329" s="683"/>
      <c r="AH329" s="683"/>
      <c r="AI329" s="705"/>
      <c r="AJ329" s="705"/>
      <c r="AK329" s="705"/>
      <c r="AL329" s="705"/>
      <c r="AM329" s="705"/>
      <c r="AN329" s="705"/>
      <c r="AO329" s="705"/>
      <c r="AP329" s="705"/>
      <c r="AQ329" s="705"/>
      <c r="AR329" s="705"/>
      <c r="AS329" s="705"/>
    </row>
    <row r="330" spans="1:45" s="13" customFormat="1" ht="30" hidden="1" customHeight="1" x14ac:dyDescent="0.25">
      <c r="A330" s="2022"/>
      <c r="B330" s="2033" t="s">
        <v>1558</v>
      </c>
      <c r="C330" s="2034"/>
      <c r="D330" s="1782"/>
      <c r="E330" s="1783"/>
      <c r="F330" s="1784"/>
      <c r="G330" s="1785">
        <v>0</v>
      </c>
      <c r="H330" s="1785">
        <f t="shared" ref="H330:L330" si="148">+H329</f>
        <v>0</v>
      </c>
      <c r="I330" s="1785">
        <f t="shared" si="148"/>
        <v>0</v>
      </c>
      <c r="J330" s="1785">
        <f t="shared" si="148"/>
        <v>0</v>
      </c>
      <c r="K330" s="1785">
        <f t="shared" si="148"/>
        <v>0</v>
      </c>
      <c r="L330" s="1785">
        <f t="shared" si="148"/>
        <v>0</v>
      </c>
      <c r="M330" s="2030"/>
      <c r="N330" s="2031"/>
      <c r="O330" s="2031"/>
      <c r="P330" s="2032"/>
      <c r="Q330" s="795"/>
      <c r="R330" s="785">
        <f>IFERROR(VLOOKUP($Q330,'391'!$P:$W,8,0),"")</f>
        <v>0</v>
      </c>
      <c r="S330" s="796"/>
      <c r="T330" s="797"/>
      <c r="U330" s="797"/>
      <c r="V330" s="797"/>
      <c r="W330" s="802">
        <f>IFERROR(VLOOKUP($Q330,'391'!$P:$AG,15,0),0)</f>
        <v>0</v>
      </c>
      <c r="X330" s="799">
        <f t="shared" si="146"/>
        <v>0</v>
      </c>
      <c r="Y330" s="797"/>
      <c r="Z330" s="785"/>
      <c r="AA330" s="797"/>
      <c r="AB330" s="797"/>
      <c r="AC330" s="683"/>
      <c r="AD330" s="683"/>
      <c r="AE330" s="683"/>
      <c r="AF330" s="683"/>
      <c r="AG330" s="683"/>
      <c r="AH330" s="683"/>
      <c r="AI330" s="705"/>
      <c r="AJ330" s="705"/>
      <c r="AK330" s="705"/>
      <c r="AL330" s="705"/>
      <c r="AM330" s="705"/>
      <c r="AN330" s="705"/>
      <c r="AO330" s="705"/>
      <c r="AP330" s="705"/>
      <c r="AQ330" s="705"/>
      <c r="AR330" s="705"/>
      <c r="AS330" s="705"/>
    </row>
    <row r="331" spans="1:45" s="13" customFormat="1" ht="30" hidden="1" customHeight="1" x14ac:dyDescent="0.25">
      <c r="A331" s="2022"/>
      <c r="B331" s="393" t="s">
        <v>1749</v>
      </c>
      <c r="C331" s="114"/>
      <c r="D331" s="887" t="s">
        <v>10</v>
      </c>
      <c r="E331" s="888">
        <v>46059</v>
      </c>
      <c r="F331" s="70">
        <f t="shared" ref="F331:F334" si="149">$L$7-E331</f>
        <v>227</v>
      </c>
      <c r="G331" s="64">
        <v>0</v>
      </c>
      <c r="H331" s="300"/>
      <c r="I331" s="300"/>
      <c r="J331" s="1300"/>
      <c r="K331" s="12">
        <f>IFERROR(SUMIF(INTAKE!$A:$A,$T331,INTAKE!$P:$P),0)</f>
        <v>0</v>
      </c>
      <c r="L331" s="1702">
        <f t="shared" ref="L331:L336" si="150">+G331+H331+I331-J331-K331</f>
        <v>0</v>
      </c>
      <c r="M331" s="48"/>
      <c r="N331" s="163"/>
      <c r="O331" s="48"/>
      <c r="P331" s="738"/>
      <c r="Q331" s="666" t="s">
        <v>1704</v>
      </c>
      <c r="R331" s="785" t="str">
        <f>IFERROR(VLOOKUP($Q331,'391'!$P:$W,8,0),"")</f>
        <v/>
      </c>
      <c r="S331" s="796"/>
      <c r="T331" s="787" t="str">
        <f t="shared" ref="T331" si="151">$Q$340&amp;C331&amp;E331</f>
        <v>Fish Meal # 1-60% Without Anti Oxydant46059</v>
      </c>
      <c r="U331" s="797"/>
      <c r="V331" s="797"/>
      <c r="W331" s="802">
        <f>IFERROR(VLOOKUP($Q331,'391'!$P:$AG,15,0),0)</f>
        <v>0</v>
      </c>
      <c r="X331" s="799">
        <f t="shared" si="146"/>
        <v>0</v>
      </c>
      <c r="Y331" s="797"/>
      <c r="Z331" s="785"/>
      <c r="AA331" s="797"/>
      <c r="AB331" s="797"/>
      <c r="AC331" s="683"/>
      <c r="AD331" s="683"/>
      <c r="AE331" s="683"/>
      <c r="AF331" s="683"/>
      <c r="AG331" s="683"/>
      <c r="AH331" s="683"/>
      <c r="AI331" s="705"/>
      <c r="AJ331" s="705"/>
      <c r="AK331" s="705"/>
      <c r="AL331" s="705"/>
      <c r="AM331" s="705"/>
      <c r="AN331" s="705"/>
      <c r="AO331" s="705"/>
      <c r="AP331" s="705"/>
      <c r="AQ331" s="705"/>
      <c r="AR331" s="705"/>
      <c r="AS331" s="705"/>
    </row>
    <row r="332" spans="1:45" s="13" customFormat="1" ht="30" hidden="1" customHeight="1" x14ac:dyDescent="0.25">
      <c r="A332" s="2022"/>
      <c r="B332" s="393" t="s">
        <v>1789</v>
      </c>
      <c r="C332" s="114"/>
      <c r="D332" s="887" t="s">
        <v>10</v>
      </c>
      <c r="E332" s="888">
        <v>46107</v>
      </c>
      <c r="F332" s="70">
        <f t="shared" si="149"/>
        <v>179</v>
      </c>
      <c r="G332" s="64">
        <v>0</v>
      </c>
      <c r="H332" s="300"/>
      <c r="I332" s="300"/>
      <c r="J332" s="1300"/>
      <c r="K332" s="12">
        <f>IFERROR(SUMIF(INTAKE!$A:$A,$T332,INTAKE!$P:$P),0)</f>
        <v>0</v>
      </c>
      <c r="L332" s="1702">
        <f>+G332+H332+I332-J332-K332</f>
        <v>0</v>
      </c>
      <c r="M332" s="48"/>
      <c r="N332" s="163"/>
      <c r="O332" s="48"/>
      <c r="P332" s="738"/>
      <c r="Q332" s="795"/>
      <c r="R332" s="785">
        <f>IFERROR(VLOOKUP($Q332,'391'!$P:$W,8,0),"")</f>
        <v>0</v>
      </c>
      <c r="S332" s="796"/>
      <c r="T332" s="787" t="str">
        <f>$Q$339&amp;C332&amp;E332</f>
        <v>Fish Meal # 3-60% Without Anti Oxydant46107</v>
      </c>
      <c r="U332" s="797"/>
      <c r="V332" s="797"/>
      <c r="W332" s="802">
        <f>IFERROR(VLOOKUP($Q332,'391'!$P:$AG,15,0),0)</f>
        <v>0</v>
      </c>
      <c r="X332" s="799">
        <f t="shared" si="146"/>
        <v>0</v>
      </c>
      <c r="Y332" s="797"/>
      <c r="Z332" s="785"/>
      <c r="AA332" s="797"/>
      <c r="AB332" s="797"/>
      <c r="AC332" s="683"/>
      <c r="AD332" s="683"/>
      <c r="AE332" s="683"/>
      <c r="AF332" s="683"/>
      <c r="AG332" s="683"/>
      <c r="AH332" s="683"/>
      <c r="AI332" s="705"/>
      <c r="AJ332" s="705"/>
      <c r="AK332" s="705"/>
      <c r="AL332" s="705"/>
      <c r="AM332" s="705"/>
      <c r="AN332" s="705"/>
      <c r="AO332" s="705"/>
      <c r="AP332" s="705"/>
      <c r="AQ332" s="705"/>
      <c r="AR332" s="705"/>
      <c r="AS332" s="705"/>
    </row>
    <row r="333" spans="1:45" s="13" customFormat="1" ht="30" hidden="1" customHeight="1" x14ac:dyDescent="0.25">
      <c r="A333" s="2022"/>
      <c r="B333" s="393" t="s">
        <v>1790</v>
      </c>
      <c r="C333" s="114" t="s">
        <v>1613</v>
      </c>
      <c r="D333" s="887" t="s">
        <v>10</v>
      </c>
      <c r="E333" s="888">
        <v>46111</v>
      </c>
      <c r="F333" s="70">
        <f t="shared" si="149"/>
        <v>175</v>
      </c>
      <c r="G333" s="64">
        <v>0</v>
      </c>
      <c r="H333" s="300"/>
      <c r="I333" s="300"/>
      <c r="J333" s="1300"/>
      <c r="K333" s="12">
        <f>IFERROR(SUMIF(INTAKE!$A:$A,$T333,INTAKE!$P:$P),0)</f>
        <v>0</v>
      </c>
      <c r="L333" s="1702">
        <f>+G333+H333+I333-J333-K333</f>
        <v>0</v>
      </c>
      <c r="M333" s="48"/>
      <c r="N333" s="163"/>
      <c r="O333" s="48"/>
      <c r="P333" s="738"/>
      <c r="Q333" s="795"/>
      <c r="R333" s="785">
        <f>IFERROR(VLOOKUP($Q333,'391'!$P:$W,8,0),"")</f>
        <v>0</v>
      </c>
      <c r="S333" s="796"/>
      <c r="T333" s="787" t="str">
        <f>$Q$340&amp;C333&amp;E333</f>
        <v>Fish Meal # 1-60% Without Anti OxydantB24.246111</v>
      </c>
      <c r="U333" s="797"/>
      <c r="V333" s="797"/>
      <c r="W333" s="802">
        <f>IFERROR(VLOOKUP($Q333,'391'!$P:$AG,15,0),0)</f>
        <v>0</v>
      </c>
      <c r="X333" s="799">
        <f t="shared" si="146"/>
        <v>0</v>
      </c>
      <c r="Y333" s="797"/>
      <c r="Z333" s="785"/>
      <c r="AA333" s="797"/>
      <c r="AB333" s="797"/>
      <c r="AC333" s="683"/>
      <c r="AD333" s="683"/>
      <c r="AE333" s="683"/>
      <c r="AF333" s="683"/>
      <c r="AG333" s="683"/>
      <c r="AH333" s="683"/>
      <c r="AI333" s="705"/>
      <c r="AJ333" s="705"/>
      <c r="AK333" s="705"/>
      <c r="AL333" s="705"/>
      <c r="AM333" s="705"/>
      <c r="AN333" s="705"/>
      <c r="AO333" s="705"/>
      <c r="AP333" s="705"/>
      <c r="AQ333" s="705"/>
      <c r="AR333" s="705"/>
      <c r="AS333" s="705"/>
    </row>
    <row r="334" spans="1:45" s="13" customFormat="1" ht="30" hidden="1" customHeight="1" x14ac:dyDescent="0.25">
      <c r="A334" s="2022"/>
      <c r="B334" s="393" t="s">
        <v>1796</v>
      </c>
      <c r="C334" s="114" t="s">
        <v>515</v>
      </c>
      <c r="D334" s="887" t="s">
        <v>10</v>
      </c>
      <c r="E334" s="888">
        <v>46114</v>
      </c>
      <c r="F334" s="70">
        <f t="shared" si="149"/>
        <v>172</v>
      </c>
      <c r="G334" s="64">
        <v>0</v>
      </c>
      <c r="H334" s="300"/>
      <c r="I334" s="300"/>
      <c r="J334" s="1300"/>
      <c r="K334" s="12">
        <f>IFERROR(SUMIF(INTAKE!$A:$A,$T334,INTAKE!$P:$P),0)</f>
        <v>0</v>
      </c>
      <c r="L334" s="1702">
        <f t="shared" si="150"/>
        <v>0</v>
      </c>
      <c r="M334" s="48"/>
      <c r="N334" s="163"/>
      <c r="O334" s="48"/>
      <c r="P334" s="738"/>
      <c r="Q334" s="795"/>
      <c r="R334" s="785">
        <f>IFERROR(VLOOKUP($Q334,'391'!$P:$W,8,0),"")</f>
        <v>0</v>
      </c>
      <c r="S334" s="796"/>
      <c r="T334" s="787" t="str">
        <f>$Q$340&amp;C334&amp;E334</f>
        <v>Fish Meal # 1-60% Without Anti OxydantB21.246114</v>
      </c>
      <c r="U334" s="797"/>
      <c r="V334" s="797"/>
      <c r="W334" s="802">
        <f>IFERROR(VLOOKUP($Q334,'391'!$P:$AG,15,0),0)</f>
        <v>0</v>
      </c>
      <c r="X334" s="799">
        <f t="shared" si="146"/>
        <v>0</v>
      </c>
      <c r="Y334" s="797"/>
      <c r="Z334" s="785"/>
      <c r="AA334" s="797"/>
      <c r="AB334" s="797"/>
      <c r="AC334" s="683"/>
      <c r="AD334" s="683"/>
      <c r="AE334" s="683"/>
      <c r="AF334" s="683"/>
      <c r="AG334" s="683"/>
      <c r="AH334" s="683"/>
      <c r="AI334" s="705"/>
      <c r="AJ334" s="705"/>
      <c r="AK334" s="705"/>
      <c r="AL334" s="705"/>
      <c r="AM334" s="705"/>
      <c r="AN334" s="705"/>
      <c r="AO334" s="705"/>
      <c r="AP334" s="705"/>
      <c r="AQ334" s="705"/>
      <c r="AR334" s="705"/>
      <c r="AS334" s="705"/>
    </row>
    <row r="335" spans="1:45" s="13" customFormat="1" ht="30" hidden="1" customHeight="1" x14ac:dyDescent="0.25">
      <c r="A335" s="2022"/>
      <c r="B335" s="393" t="s">
        <v>145</v>
      </c>
      <c r="C335" s="114"/>
      <c r="D335" s="887" t="s">
        <v>10</v>
      </c>
      <c r="E335" s="888">
        <v>46114</v>
      </c>
      <c r="F335" s="70">
        <f t="shared" ref="F335" si="152">$L$7-E335</f>
        <v>172</v>
      </c>
      <c r="G335" s="64">
        <v>0</v>
      </c>
      <c r="H335" s="300"/>
      <c r="I335" s="300"/>
      <c r="J335" s="1300"/>
      <c r="K335" s="1347"/>
      <c r="L335" s="1669">
        <f t="shared" si="150"/>
        <v>0</v>
      </c>
      <c r="M335" s="48"/>
      <c r="N335" s="163"/>
      <c r="O335" s="48"/>
      <c r="P335" s="738"/>
      <c r="Q335" s="795"/>
      <c r="R335" s="785">
        <f>IFERROR(VLOOKUP($Q335,'391'!$P:$W,8,0),"")</f>
        <v>0</v>
      </c>
      <c r="S335" s="796"/>
      <c r="T335" s="797"/>
      <c r="U335" s="797"/>
      <c r="V335" s="797"/>
      <c r="W335" s="802">
        <f>IFERROR(VLOOKUP($Q335,'391'!$P:$AG,15,0),0)</f>
        <v>0</v>
      </c>
      <c r="X335" s="799">
        <f t="shared" si="146"/>
        <v>0</v>
      </c>
      <c r="Y335" s="797"/>
      <c r="Z335" s="785"/>
      <c r="AA335" s="797"/>
      <c r="AB335" s="797"/>
      <c r="AC335" s="683"/>
      <c r="AD335" s="683"/>
      <c r="AE335" s="683"/>
      <c r="AF335" s="683"/>
      <c r="AG335" s="683"/>
      <c r="AH335" s="683"/>
      <c r="AI335" s="705"/>
      <c r="AJ335" s="705"/>
      <c r="AK335" s="705"/>
      <c r="AL335" s="705"/>
      <c r="AM335" s="705"/>
      <c r="AN335" s="705"/>
      <c r="AO335" s="705"/>
      <c r="AP335" s="705"/>
      <c r="AQ335" s="705"/>
      <c r="AR335" s="705"/>
      <c r="AS335" s="705"/>
    </row>
    <row r="336" spans="1:45" s="13" customFormat="1" ht="30" hidden="1" customHeight="1" x14ac:dyDescent="0.25">
      <c r="A336" s="2022"/>
      <c r="B336" s="393" t="s">
        <v>1717</v>
      </c>
      <c r="C336" s="114"/>
      <c r="D336" s="887" t="s">
        <v>10</v>
      </c>
      <c r="E336" s="888">
        <v>46017</v>
      </c>
      <c r="F336" s="70">
        <f t="shared" ref="F336:F340" si="153">$L$7-E336</f>
        <v>269</v>
      </c>
      <c r="G336" s="64">
        <v>0</v>
      </c>
      <c r="H336" s="300"/>
      <c r="I336" s="300"/>
      <c r="J336" s="1300"/>
      <c r="K336" s="1347"/>
      <c r="L336" s="1669">
        <f t="shared" si="150"/>
        <v>0</v>
      </c>
      <c r="M336" s="45"/>
      <c r="N336" s="162"/>
      <c r="O336" s="45"/>
      <c r="P336" s="736"/>
      <c r="Q336" s="795"/>
      <c r="R336" s="785">
        <f>IFERROR(VLOOKUP($Q336,'391'!$P:$W,8,0),"")</f>
        <v>0</v>
      </c>
      <c r="S336" s="796"/>
      <c r="T336" s="797"/>
      <c r="U336" s="797"/>
      <c r="V336" s="797"/>
      <c r="W336" s="802">
        <f>IFERROR(VLOOKUP($Q336,'391'!$P:$AG,15,0),0)</f>
        <v>0</v>
      </c>
      <c r="X336" s="799">
        <f t="shared" si="146"/>
        <v>0</v>
      </c>
      <c r="Y336" s="797"/>
      <c r="Z336" s="785"/>
      <c r="AA336" s="797"/>
      <c r="AB336" s="797"/>
      <c r="AC336" s="683"/>
      <c r="AD336" s="683"/>
      <c r="AE336" s="683"/>
      <c r="AF336" s="683"/>
      <c r="AG336" s="683"/>
      <c r="AH336" s="683"/>
      <c r="AI336" s="705"/>
      <c r="AJ336" s="705"/>
      <c r="AK336" s="705"/>
      <c r="AL336" s="705"/>
      <c r="AM336" s="705"/>
      <c r="AN336" s="705"/>
      <c r="AO336" s="705"/>
      <c r="AP336" s="705"/>
      <c r="AQ336" s="705"/>
      <c r="AR336" s="705"/>
      <c r="AS336" s="705"/>
    </row>
    <row r="337" spans="1:45" s="13" customFormat="1" ht="30" hidden="1" customHeight="1" x14ac:dyDescent="0.25">
      <c r="A337" s="2022"/>
      <c r="B337" s="393" t="s">
        <v>1397</v>
      </c>
      <c r="C337" s="114"/>
      <c r="D337" s="887" t="s">
        <v>10</v>
      </c>
      <c r="E337" s="888">
        <v>45327</v>
      </c>
      <c r="F337" s="70">
        <f t="shared" si="153"/>
        <v>959</v>
      </c>
      <c r="G337" s="300">
        <v>0</v>
      </c>
      <c r="H337" s="300"/>
      <c r="I337" s="300"/>
      <c r="J337" s="1300"/>
      <c r="K337" s="306"/>
      <c r="L337" s="531">
        <f t="shared" si="144"/>
        <v>0</v>
      </c>
      <c r="M337" s="45"/>
      <c r="N337" s="162"/>
      <c r="O337" s="45"/>
      <c r="P337" s="736"/>
      <c r="Q337" s="795"/>
      <c r="R337" s="785">
        <f>IFERROR(VLOOKUP($Q337,'391'!$P:$W,8,0),"")</f>
        <v>0</v>
      </c>
      <c r="S337" s="796"/>
      <c r="T337" s="797"/>
      <c r="U337" s="797"/>
      <c r="V337" s="797"/>
      <c r="W337" s="802">
        <f>IFERROR(VLOOKUP($Q337,'391'!$P:$AG,15,0),0)</f>
        <v>0</v>
      </c>
      <c r="X337" s="799">
        <f t="shared" si="146"/>
        <v>0</v>
      </c>
      <c r="Y337" s="797"/>
      <c r="Z337" s="785"/>
      <c r="AA337" s="797"/>
      <c r="AB337" s="797"/>
      <c r="AC337" s="683"/>
      <c r="AD337" s="683"/>
      <c r="AE337" s="683"/>
      <c r="AF337" s="683"/>
      <c r="AG337" s="683"/>
      <c r="AH337" s="683"/>
      <c r="AI337" s="705"/>
      <c r="AJ337" s="705"/>
      <c r="AK337" s="705"/>
      <c r="AL337" s="705"/>
      <c r="AM337" s="705"/>
      <c r="AN337" s="705"/>
      <c r="AO337" s="705"/>
      <c r="AP337" s="705"/>
      <c r="AQ337" s="705"/>
      <c r="AR337" s="705"/>
      <c r="AS337" s="705"/>
    </row>
    <row r="338" spans="1:45" s="13" customFormat="1" ht="30" hidden="1" customHeight="1" x14ac:dyDescent="0.25">
      <c r="A338" s="2022"/>
      <c r="B338" s="393" t="s">
        <v>145</v>
      </c>
      <c r="C338" s="114" t="s">
        <v>487</v>
      </c>
      <c r="D338" s="887" t="s">
        <v>10</v>
      </c>
      <c r="E338" s="888">
        <v>44247</v>
      </c>
      <c r="F338" s="70">
        <f t="shared" si="153"/>
        <v>2039</v>
      </c>
      <c r="G338" s="300">
        <v>0</v>
      </c>
      <c r="H338" s="300"/>
      <c r="I338" s="300"/>
      <c r="J338" s="1300"/>
      <c r="K338" s="306"/>
      <c r="L338" s="531">
        <f t="shared" si="144"/>
        <v>0</v>
      </c>
      <c r="M338" s="45"/>
      <c r="N338" s="162"/>
      <c r="O338" s="45"/>
      <c r="P338" s="736"/>
      <c r="Q338" s="795"/>
      <c r="R338" s="785">
        <f>IFERROR(VLOOKUP($Q338,'391'!$P:$W,8,0),"")</f>
        <v>0</v>
      </c>
      <c r="S338" s="796"/>
      <c r="T338" s="797"/>
      <c r="U338" s="797"/>
      <c r="V338" s="797"/>
      <c r="W338" s="802">
        <f>IFERROR(VLOOKUP($Q338,'391'!$P:$AG,15,0),0)</f>
        <v>0</v>
      </c>
      <c r="X338" s="799">
        <f t="shared" si="146"/>
        <v>0</v>
      </c>
      <c r="Y338" s="797"/>
      <c r="Z338" s="785"/>
      <c r="AA338" s="797"/>
      <c r="AB338" s="797"/>
      <c r="AC338" s="683"/>
      <c r="AD338" s="683"/>
      <c r="AE338" s="683"/>
      <c r="AF338" s="683"/>
      <c r="AG338" s="683"/>
      <c r="AH338" s="683"/>
      <c r="AI338" s="705"/>
      <c r="AJ338" s="705"/>
      <c r="AK338" s="705"/>
      <c r="AL338" s="705"/>
      <c r="AM338" s="705"/>
      <c r="AN338" s="705"/>
      <c r="AO338" s="705"/>
      <c r="AP338" s="705"/>
      <c r="AQ338" s="705"/>
      <c r="AR338" s="705"/>
      <c r="AS338" s="705"/>
    </row>
    <row r="339" spans="1:45" s="13" customFormat="1" ht="30" hidden="1" customHeight="1" x14ac:dyDescent="0.25">
      <c r="A339" s="2022"/>
      <c r="B339" s="2033" t="s">
        <v>1559</v>
      </c>
      <c r="C339" s="2034"/>
      <c r="D339" s="1782"/>
      <c r="E339" s="1783"/>
      <c r="F339" s="1784"/>
      <c r="G339" s="1785">
        <v>0</v>
      </c>
      <c r="H339" s="1785">
        <f t="shared" ref="H339:L339" si="154">+SUM(H331:H338)</f>
        <v>0</v>
      </c>
      <c r="I339" s="1785">
        <f t="shared" si="154"/>
        <v>0</v>
      </c>
      <c r="J339" s="1785">
        <f t="shared" si="154"/>
        <v>0</v>
      </c>
      <c r="K339" s="1785">
        <f t="shared" si="154"/>
        <v>0</v>
      </c>
      <c r="L339" s="1785">
        <f t="shared" si="154"/>
        <v>0</v>
      </c>
      <c r="M339" s="2030"/>
      <c r="N339" s="2031"/>
      <c r="O339" s="2031"/>
      <c r="P339" s="2032"/>
      <c r="Q339" s="795" t="s">
        <v>1692</v>
      </c>
      <c r="R339" s="785" t="str">
        <f>IFERROR(VLOOKUP($Q339,'391'!$P:$W,8,0),"")</f>
        <v/>
      </c>
      <c r="S339" s="796"/>
      <c r="T339" s="797"/>
      <c r="U339" s="797"/>
      <c r="V339" s="797"/>
      <c r="W339" s="802">
        <f>IFERROR(VLOOKUP($Q339,'391'!$P:$AG,15,0),0)</f>
        <v>0</v>
      </c>
      <c r="X339" s="799">
        <f t="shared" si="146"/>
        <v>0</v>
      </c>
      <c r="Y339" s="797"/>
      <c r="Z339" s="785"/>
      <c r="AA339" s="797"/>
      <c r="AB339" s="797"/>
      <c r="AC339" s="683"/>
      <c r="AD339" s="683"/>
      <c r="AE339" s="683"/>
      <c r="AF339" s="683"/>
      <c r="AG339" s="683"/>
      <c r="AH339" s="683"/>
      <c r="AI339" s="705"/>
      <c r="AJ339" s="705"/>
      <c r="AK339" s="705"/>
      <c r="AL339" s="705"/>
      <c r="AM339" s="705"/>
      <c r="AN339" s="705"/>
      <c r="AO339" s="705"/>
      <c r="AP339" s="705"/>
      <c r="AQ339" s="705"/>
      <c r="AR339" s="705"/>
      <c r="AS339" s="705"/>
    </row>
    <row r="340" spans="1:45" s="405" customFormat="1" ht="30" hidden="1" customHeight="1" x14ac:dyDescent="0.25">
      <c r="A340" s="2022"/>
      <c r="B340" s="923" t="s">
        <v>1796</v>
      </c>
      <c r="C340" s="106" t="s">
        <v>1318</v>
      </c>
      <c r="D340" s="850" t="s">
        <v>10</v>
      </c>
      <c r="E340" s="851">
        <v>46114</v>
      </c>
      <c r="F340" s="39">
        <f t="shared" si="153"/>
        <v>172</v>
      </c>
      <c r="G340" s="296">
        <v>0</v>
      </c>
      <c r="H340" s="296"/>
      <c r="I340" s="58">
        <f>+K339+K330</f>
        <v>0</v>
      </c>
      <c r="J340" s="296">
        <f>usage!I36</f>
        <v>0</v>
      </c>
      <c r="K340" s="296"/>
      <c r="L340" s="531">
        <f t="shared" si="144"/>
        <v>0</v>
      </c>
      <c r="M340" s="40"/>
      <c r="N340" s="84"/>
      <c r="O340" s="40"/>
      <c r="P340" s="736"/>
      <c r="Q340" s="666" t="s">
        <v>1619</v>
      </c>
      <c r="R340" s="785" t="str">
        <f>IFERROR(VLOOKUP($Q340,'391'!$P:$W,8,0),"")</f>
        <v/>
      </c>
      <c r="S340" s="796"/>
      <c r="T340" s="797"/>
      <c r="U340" s="797"/>
      <c r="V340" s="797"/>
      <c r="W340" s="802">
        <f>IFERROR(VLOOKUP($Q340,'391'!$P:$AG,15,0),0)</f>
        <v>0</v>
      </c>
      <c r="X340" s="799">
        <f t="shared" si="146"/>
        <v>0</v>
      </c>
      <c r="Y340" s="797"/>
      <c r="Z340" s="785"/>
      <c r="AA340" s="797"/>
      <c r="AB340" s="797"/>
      <c r="AC340" s="683"/>
      <c r="AD340" s="683"/>
      <c r="AE340" s="683"/>
      <c r="AF340" s="683"/>
      <c r="AG340" s="683"/>
      <c r="AH340" s="683"/>
      <c r="AI340" s="705"/>
      <c r="AJ340" s="705"/>
      <c r="AK340" s="705"/>
      <c r="AL340" s="705"/>
      <c r="AM340" s="705"/>
      <c r="AN340" s="705"/>
      <c r="AO340" s="705"/>
      <c r="AP340" s="705"/>
      <c r="AQ340" s="705"/>
      <c r="AR340" s="705"/>
      <c r="AS340" s="705"/>
    </row>
    <row r="341" spans="1:45" s="402" customFormat="1" ht="30" hidden="1" customHeight="1" x14ac:dyDescent="0.25">
      <c r="A341" s="2019" t="s">
        <v>294</v>
      </c>
      <c r="B341" s="2020"/>
      <c r="C341" s="88"/>
      <c r="D341" s="864"/>
      <c r="E341" s="864"/>
      <c r="F341" s="865"/>
      <c r="G341" s="1296">
        <v>0</v>
      </c>
      <c r="H341" s="1296">
        <f t="shared" ref="H341:I341" si="155">+H340+H339+H330</f>
        <v>0</v>
      </c>
      <c r="I341" s="1296">
        <f t="shared" si="155"/>
        <v>0</v>
      </c>
      <c r="J341" s="1296">
        <f t="shared" ref="J341" si="156">SUM(J329:J340)</f>
        <v>0</v>
      </c>
      <c r="K341" s="1296">
        <f>+K340+K339+K330</f>
        <v>0</v>
      </c>
      <c r="L341" s="1296">
        <f>+L340+L339+L330</f>
        <v>0</v>
      </c>
      <c r="M341" s="59" t="str">
        <f>IFERROR((S341/$S$2),"")</f>
        <v/>
      </c>
      <c r="N341" s="854" t="e">
        <f>(L341/M341)</f>
        <v>#VALUE!</v>
      </c>
      <c r="O341" s="59">
        <f>IFERROR(SUMIF(ETM!$A:$A,$Q341,ETM!$E:$E),"")</f>
        <v>0</v>
      </c>
      <c r="P341" s="880" t="e">
        <f>(L341/O341)</f>
        <v>#DIV/0!</v>
      </c>
      <c r="Q341" s="666" t="s">
        <v>1394</v>
      </c>
      <c r="R341" s="785" t="str">
        <f>IFERROR(VLOOKUP($Q341,'391'!$P:$W,8,0),"")</f>
        <v/>
      </c>
      <c r="S341" s="796" t="str">
        <f>+R341</f>
        <v/>
      </c>
      <c r="T341" s="797"/>
      <c r="U341" s="797"/>
      <c r="V341" s="797"/>
      <c r="W341" s="802">
        <f>IFERROR(VLOOKUP($Q341,'391'!$P:$AG,15,0),0)</f>
        <v>0</v>
      </c>
      <c r="X341" s="799">
        <f>G341-W341-W340</f>
        <v>0</v>
      </c>
      <c r="Y341" s="797"/>
      <c r="Z341" s="785"/>
      <c r="AA341" s="797"/>
      <c r="AB341" s="797"/>
      <c r="AC341" s="551"/>
      <c r="AD341" s="551"/>
      <c r="AE341" s="551"/>
      <c r="AF341" s="551"/>
      <c r="AG341" s="551"/>
      <c r="AH341" s="551"/>
      <c r="AI341" s="704"/>
      <c r="AJ341" s="704"/>
      <c r="AK341" s="704"/>
      <c r="AL341" s="704"/>
      <c r="AM341" s="704"/>
      <c r="AN341" s="704"/>
      <c r="AO341" s="704"/>
      <c r="AP341" s="704"/>
      <c r="AQ341" s="704"/>
      <c r="AR341" s="704"/>
      <c r="AS341" s="704"/>
    </row>
    <row r="342" spans="1:45" ht="30" customHeight="1" x14ac:dyDescent="0.25">
      <c r="A342" s="2073">
        <f>IF(L377=0,"",MAX($A$16:A341)+1)</f>
        <v>19</v>
      </c>
      <c r="B342" s="394" t="s">
        <v>2223</v>
      </c>
      <c r="C342" s="139" t="s">
        <v>515</v>
      </c>
      <c r="D342" s="1948" t="s">
        <v>10</v>
      </c>
      <c r="E342" s="1949">
        <v>46276</v>
      </c>
      <c r="F342" s="1950">
        <f t="shared" ref="F342:F345" si="157">$L$7-E342</f>
        <v>10</v>
      </c>
      <c r="G342" s="311">
        <v>29950</v>
      </c>
      <c r="H342" s="1854"/>
      <c r="I342" s="1777"/>
      <c r="J342" s="1486"/>
      <c r="K342" s="12">
        <f>IFERROR(SUMIF(INTAKE!$A:$A,$T342,INTAKE!$P:$P),0)</f>
        <v>11980</v>
      </c>
      <c r="L342" s="1702">
        <f t="shared" ref="L342:L376" si="158">+G342+H342+I342-J342-K342</f>
        <v>17970</v>
      </c>
      <c r="M342" s="50"/>
      <c r="N342" s="1464"/>
      <c r="O342" s="66"/>
      <c r="P342" s="744"/>
      <c r="Q342" s="795"/>
      <c r="R342" s="785">
        <f>IFERROR(VLOOKUP($Q342,'391'!$P:$W,8,0),"")</f>
        <v>0</v>
      </c>
      <c r="T342" s="787" t="str">
        <f t="shared" ref="T342:T358" si="159">$Q$376&amp;C342&amp;E342</f>
        <v>Pork Meat Bone Meal (USA)B21.246276</v>
      </c>
      <c r="U342" s="787"/>
      <c r="V342" s="787"/>
      <c r="W342" s="802">
        <f>IFERROR(VLOOKUP($Q342,'391'!$P:$AG,15,0),0)</f>
        <v>0</v>
      </c>
      <c r="X342" s="799">
        <f t="shared" ref="X342:X390" si="160">G342-W342</f>
        <v>29950</v>
      </c>
      <c r="Y342" s="787"/>
      <c r="Z342" s="791"/>
      <c r="AA342" s="787"/>
      <c r="AB342" s="787"/>
      <c r="AC342" s="679"/>
    </row>
    <row r="343" spans="1:45" ht="30" customHeight="1" x14ac:dyDescent="0.25">
      <c r="A343" s="2070"/>
      <c r="B343" s="394" t="s">
        <v>2224</v>
      </c>
      <c r="C343" s="139" t="s">
        <v>487</v>
      </c>
      <c r="D343" s="1948" t="s">
        <v>10</v>
      </c>
      <c r="E343" s="1949">
        <v>46276</v>
      </c>
      <c r="F343" s="1950">
        <f t="shared" si="157"/>
        <v>10</v>
      </c>
      <c r="G343" s="311">
        <v>28760</v>
      </c>
      <c r="H343" s="1854"/>
      <c r="I343" s="1777"/>
      <c r="J343" s="1486"/>
      <c r="K343" s="12">
        <f>IFERROR(SUMIF(INTAKE!$A:$A,$T343,INTAKE!$P:$P),0)</f>
        <v>0</v>
      </c>
      <c r="L343" s="1702">
        <f t="shared" ref="L343:L345" si="161">+G343+H343+I343-J343-K343</f>
        <v>28760</v>
      </c>
      <c r="M343" s="46"/>
      <c r="N343" s="1465"/>
      <c r="O343" s="147"/>
      <c r="P343" s="734"/>
      <c r="Q343" s="795"/>
      <c r="R343" s="785">
        <f>IFERROR(VLOOKUP($Q343,'391'!$P:$W,8,0),"")</f>
        <v>0</v>
      </c>
      <c r="T343" s="787" t="str">
        <f t="shared" si="159"/>
        <v>Pork Meat Bone Meal (USA)B22.146276</v>
      </c>
      <c r="U343" s="787"/>
      <c r="V343" s="787"/>
      <c r="W343" s="802">
        <f>IFERROR(VLOOKUP($Q343,'391'!$P:$AG,15,0),0)</f>
        <v>0</v>
      </c>
      <c r="X343" s="799">
        <f t="shared" ref="X343" si="162">G343-W343</f>
        <v>28760</v>
      </c>
      <c r="Y343" s="787"/>
      <c r="Z343" s="791"/>
      <c r="AA343" s="787"/>
      <c r="AB343" s="787"/>
      <c r="AC343" s="679"/>
    </row>
    <row r="344" spans="1:45" ht="30" customHeight="1" x14ac:dyDescent="0.25">
      <c r="A344" s="2070"/>
      <c r="B344" s="394" t="s">
        <v>2444</v>
      </c>
      <c r="C344" s="139" t="s">
        <v>330</v>
      </c>
      <c r="D344" s="1948" t="s">
        <v>10</v>
      </c>
      <c r="E344" s="1949">
        <v>46283</v>
      </c>
      <c r="F344" s="1950">
        <f t="shared" si="157"/>
        <v>3</v>
      </c>
      <c r="G344" s="311">
        <v>32933</v>
      </c>
      <c r="H344" s="1854"/>
      <c r="I344" s="1777"/>
      <c r="J344" s="1486"/>
      <c r="K344" s="1778"/>
      <c r="L344" s="1702">
        <f t="shared" si="161"/>
        <v>32933</v>
      </c>
      <c r="M344" s="46"/>
      <c r="N344" s="1465"/>
      <c r="O344" s="147"/>
      <c r="P344" s="734"/>
      <c r="Q344" s="795"/>
      <c r="R344" s="785">
        <f>IFERROR(VLOOKUP($Q344,'391'!$P:$W,8,0),"")</f>
        <v>0</v>
      </c>
      <c r="T344" s="787" t="str">
        <f t="shared" si="159"/>
        <v>Pork Meat Bone Meal (USA)B22.246283</v>
      </c>
      <c r="U344" s="787"/>
      <c r="V344" s="787"/>
      <c r="W344" s="802">
        <f>IFERROR(VLOOKUP($Q344,'391'!$P:$AG,15,0),0)</f>
        <v>0</v>
      </c>
      <c r="X344" s="799">
        <f t="shared" ref="X344" si="163">G344-W344</f>
        <v>32933</v>
      </c>
      <c r="Y344" s="787"/>
      <c r="Z344" s="791"/>
      <c r="AA344" s="787"/>
      <c r="AB344" s="787"/>
      <c r="AC344" s="679"/>
    </row>
    <row r="345" spans="1:45" ht="30" customHeight="1" x14ac:dyDescent="0.25">
      <c r="A345" s="2070"/>
      <c r="B345" s="394" t="s">
        <v>2445</v>
      </c>
      <c r="C345" s="139" t="s">
        <v>2256</v>
      </c>
      <c r="D345" s="1948" t="s">
        <v>10</v>
      </c>
      <c r="E345" s="1949">
        <v>46284</v>
      </c>
      <c r="F345" s="1950">
        <f t="shared" si="157"/>
        <v>2</v>
      </c>
      <c r="G345" s="311">
        <v>33800</v>
      </c>
      <c r="H345" s="1854"/>
      <c r="I345" s="1777"/>
      <c r="J345" s="1486"/>
      <c r="K345" s="1778"/>
      <c r="L345" s="1702">
        <f t="shared" si="161"/>
        <v>33800</v>
      </c>
      <c r="M345" s="46"/>
      <c r="N345" s="1465"/>
      <c r="O345" s="147"/>
      <c r="P345" s="734"/>
      <c r="Q345" s="666" t="s">
        <v>1702</v>
      </c>
      <c r="R345" s="785" t="str">
        <f>IFERROR(VLOOKUP($Q345,'391'!$P:$W,8,0),"")</f>
        <v/>
      </c>
      <c r="T345" s="787" t="str">
        <f t="shared" si="159"/>
        <v>Pork Meat Bone Meal (USA)B23.146284</v>
      </c>
      <c r="U345" s="787"/>
      <c r="V345" s="787"/>
      <c r="W345" s="802">
        <f>IFERROR(VLOOKUP($Q345,'391'!$P:$AG,15,0),0)</f>
        <v>0</v>
      </c>
      <c r="X345" s="799">
        <f t="shared" si="160"/>
        <v>33800</v>
      </c>
      <c r="Y345" s="787"/>
      <c r="Z345" s="791"/>
      <c r="AA345" s="787"/>
      <c r="AB345" s="787"/>
      <c r="AC345" s="679"/>
    </row>
    <row r="346" spans="1:45" ht="30" hidden="1" customHeight="1" x14ac:dyDescent="0.25">
      <c r="A346" s="2070"/>
      <c r="B346" s="394" t="s">
        <v>1526</v>
      </c>
      <c r="C346" s="139"/>
      <c r="D346" s="1948" t="s">
        <v>10</v>
      </c>
      <c r="E346" s="1949">
        <v>46284</v>
      </c>
      <c r="F346" s="1950">
        <f t="shared" ref="F346" si="164">$L$7-E346</f>
        <v>2</v>
      </c>
      <c r="G346" s="311"/>
      <c r="H346" s="1854"/>
      <c r="I346" s="1777"/>
      <c r="J346" s="1486"/>
      <c r="K346" s="1778"/>
      <c r="L346" s="1702">
        <f>+G346+H346+I346-J346-K346</f>
        <v>0</v>
      </c>
      <c r="M346" s="46"/>
      <c r="N346" s="249"/>
      <c r="O346" s="147"/>
      <c r="P346" s="734"/>
      <c r="Q346" s="795"/>
      <c r="R346" s="785">
        <f>IFERROR(VLOOKUP($Q346,'391'!$P:$W,8,0),"")</f>
        <v>0</v>
      </c>
      <c r="T346" s="787" t="str">
        <f t="shared" si="159"/>
        <v>Pork Meat Bone Meal (USA)46284</v>
      </c>
      <c r="U346" s="787"/>
      <c r="V346" s="787"/>
      <c r="W346" s="802">
        <f>IFERROR(VLOOKUP($Q346,'391'!$P:$AG,15,0),0)</f>
        <v>0</v>
      </c>
      <c r="X346" s="799">
        <f t="shared" ref="X346:X349" si="165">G346-W346</f>
        <v>0</v>
      </c>
      <c r="Y346" s="787"/>
      <c r="Z346" s="791"/>
      <c r="AA346" s="787"/>
      <c r="AB346" s="787"/>
      <c r="AC346" s="679"/>
    </row>
    <row r="347" spans="1:45" ht="30" hidden="1" customHeight="1" x14ac:dyDescent="0.25">
      <c r="A347" s="2070"/>
      <c r="B347" s="394" t="s">
        <v>2224</v>
      </c>
      <c r="C347" s="139"/>
      <c r="D347" s="1948" t="s">
        <v>10</v>
      </c>
      <c r="E347" s="1949">
        <v>46276</v>
      </c>
      <c r="F347" s="1950">
        <f t="shared" ref="F347" si="166">$L$7-E347</f>
        <v>10</v>
      </c>
      <c r="G347" s="311">
        <v>0</v>
      </c>
      <c r="H347" s="1854"/>
      <c r="I347" s="1777"/>
      <c r="J347" s="1486"/>
      <c r="K347" s="1778"/>
      <c r="L347" s="1702">
        <f>+G347+H347+I347-J347-K347</f>
        <v>0</v>
      </c>
      <c r="M347" s="46"/>
      <c r="N347" s="249"/>
      <c r="O347" s="147"/>
      <c r="P347" s="734"/>
      <c r="Q347" s="795"/>
      <c r="R347" s="785">
        <f>IFERROR(VLOOKUP($Q347,'391'!$P:$W,8,0),"")</f>
        <v>0</v>
      </c>
      <c r="T347" s="787" t="str">
        <f t="shared" si="159"/>
        <v>Pork Meat Bone Meal (USA)46276</v>
      </c>
      <c r="U347" s="787"/>
      <c r="V347" s="787"/>
      <c r="W347" s="802">
        <f>IFERROR(VLOOKUP($Q347,'391'!$P:$AG,15,0),0)</f>
        <v>0</v>
      </c>
      <c r="X347" s="799">
        <f t="shared" si="165"/>
        <v>0</v>
      </c>
      <c r="Y347" s="787"/>
      <c r="Z347" s="791"/>
      <c r="AA347" s="787"/>
      <c r="AB347" s="787"/>
      <c r="AC347" s="679"/>
    </row>
    <row r="348" spans="1:45" ht="30" hidden="1" customHeight="1" x14ac:dyDescent="0.25">
      <c r="A348" s="2070"/>
      <c r="B348" s="394" t="s">
        <v>1526</v>
      </c>
      <c r="C348" s="139"/>
      <c r="D348" s="1948" t="s">
        <v>10</v>
      </c>
      <c r="E348" s="1949">
        <v>46231</v>
      </c>
      <c r="F348" s="1950">
        <f t="shared" ref="F348" si="167">$L$7-E348</f>
        <v>55</v>
      </c>
      <c r="G348" s="311">
        <v>0</v>
      </c>
      <c r="H348" s="1854"/>
      <c r="I348" s="1777"/>
      <c r="J348" s="1486"/>
      <c r="K348" s="1778"/>
      <c r="L348" s="1702">
        <f t="shared" ref="L348:L349" si="168">+G348+H348+I348-J348-K348</f>
        <v>0</v>
      </c>
      <c r="M348" s="46"/>
      <c r="N348" s="249"/>
      <c r="O348" s="147"/>
      <c r="P348" s="734"/>
      <c r="Q348" s="795"/>
      <c r="R348" s="785">
        <f>IFERROR(VLOOKUP($Q348,'391'!$P:$W,8,0),"")</f>
        <v>0</v>
      </c>
      <c r="T348" s="787" t="str">
        <f t="shared" si="159"/>
        <v>Pork Meat Bone Meal (USA)46231</v>
      </c>
      <c r="U348" s="787"/>
      <c r="V348" s="787"/>
      <c r="W348" s="802">
        <f>IFERROR(VLOOKUP($Q348,'391'!$P:$AG,15,0),0)</f>
        <v>0</v>
      </c>
      <c r="X348" s="799">
        <f t="shared" si="165"/>
        <v>0</v>
      </c>
      <c r="Y348" s="787"/>
      <c r="Z348" s="791"/>
      <c r="AA348" s="787"/>
      <c r="AB348" s="787"/>
      <c r="AC348" s="679"/>
    </row>
    <row r="349" spans="1:45" ht="29.25" hidden="1" customHeight="1" x14ac:dyDescent="0.25">
      <c r="A349" s="2070"/>
      <c r="B349" s="394" t="s">
        <v>1526</v>
      </c>
      <c r="C349" s="139"/>
      <c r="D349" s="1948" t="s">
        <v>10</v>
      </c>
      <c r="E349" s="1949">
        <v>46211</v>
      </c>
      <c r="F349" s="1950">
        <f t="shared" ref="F349" si="169">$L$7-E349</f>
        <v>75</v>
      </c>
      <c r="G349" s="311">
        <v>0</v>
      </c>
      <c r="H349" s="1854"/>
      <c r="I349" s="1777"/>
      <c r="J349" s="1486"/>
      <c r="K349" s="1778"/>
      <c r="L349" s="1702">
        <f t="shared" si="168"/>
        <v>0</v>
      </c>
      <c r="M349" s="46"/>
      <c r="N349" s="249"/>
      <c r="O349" s="147"/>
      <c r="P349" s="734"/>
      <c r="Q349" s="795"/>
      <c r="R349" s="785">
        <f>IFERROR(VLOOKUP($Q349,'391'!$P:$W,8,0),"")</f>
        <v>0</v>
      </c>
      <c r="T349" s="787" t="str">
        <f t="shared" si="159"/>
        <v>Pork Meat Bone Meal (USA)46211</v>
      </c>
      <c r="U349" s="787"/>
      <c r="V349" s="787"/>
      <c r="W349" s="802">
        <f>IFERROR(VLOOKUP($Q349,'391'!$P:$AG,15,0),0)</f>
        <v>0</v>
      </c>
      <c r="X349" s="799">
        <f t="shared" si="165"/>
        <v>0</v>
      </c>
      <c r="Y349" s="787"/>
      <c r="Z349" s="791"/>
      <c r="AA349" s="787"/>
      <c r="AB349" s="787"/>
      <c r="AC349" s="679"/>
    </row>
    <row r="350" spans="1:45" ht="30" hidden="1" customHeight="1" x14ac:dyDescent="0.25">
      <c r="A350" s="2070"/>
      <c r="B350" s="394" t="s">
        <v>1839</v>
      </c>
      <c r="C350" s="139"/>
      <c r="D350" s="1948" t="s">
        <v>10</v>
      </c>
      <c r="E350" s="1949">
        <v>46198</v>
      </c>
      <c r="F350" s="1950">
        <f t="shared" ref="F350" si="170">$L$7-E350</f>
        <v>88</v>
      </c>
      <c r="G350" s="311">
        <v>0</v>
      </c>
      <c r="H350" s="1854"/>
      <c r="I350" s="1777"/>
      <c r="J350" s="1486"/>
      <c r="K350" s="1778"/>
      <c r="L350" s="11">
        <f t="shared" si="158"/>
        <v>0</v>
      </c>
      <c r="M350" s="48"/>
      <c r="N350" s="249"/>
      <c r="O350" s="101"/>
      <c r="P350" s="1819"/>
      <c r="Q350" s="795"/>
      <c r="R350" s="785">
        <f>IFERROR(VLOOKUP($Q350,'391'!$P:$W,8,0),"")</f>
        <v>0</v>
      </c>
      <c r="T350" s="787" t="str">
        <f t="shared" si="159"/>
        <v>Pork Meat Bone Meal (USA)46198</v>
      </c>
      <c r="U350" s="787"/>
      <c r="V350" s="787"/>
      <c r="W350" s="802">
        <f>IFERROR(VLOOKUP($Q350,'391'!$P:$AG,15,0),0)</f>
        <v>0</v>
      </c>
      <c r="X350" s="799">
        <f t="shared" si="160"/>
        <v>0</v>
      </c>
      <c r="Y350" s="787"/>
      <c r="Z350" s="791"/>
      <c r="AA350" s="787"/>
      <c r="AB350" s="787"/>
      <c r="AC350" s="679"/>
    </row>
    <row r="351" spans="1:45" ht="30" hidden="1" customHeight="1" x14ac:dyDescent="0.25">
      <c r="A351" s="2070"/>
      <c r="B351" s="394" t="s">
        <v>242</v>
      </c>
      <c r="C351" s="139"/>
      <c r="D351" s="1948" t="s">
        <v>10</v>
      </c>
      <c r="E351" s="1949">
        <v>46198</v>
      </c>
      <c r="F351" s="1950">
        <f t="shared" ref="F351" si="171">$L$7-E351</f>
        <v>88</v>
      </c>
      <c r="G351" s="311">
        <v>0</v>
      </c>
      <c r="H351" s="1854"/>
      <c r="I351" s="1777"/>
      <c r="J351" s="1486"/>
      <c r="K351" s="1778"/>
      <c r="L351" s="1890">
        <f t="shared" si="158"/>
        <v>0</v>
      </c>
      <c r="M351" s="48"/>
      <c r="N351" s="249"/>
      <c r="O351" s="101"/>
      <c r="P351" s="1819"/>
      <c r="Q351" s="1818"/>
      <c r="T351" s="787" t="str">
        <f t="shared" si="159"/>
        <v>Pork Meat Bone Meal (USA)46198</v>
      </c>
      <c r="U351" s="787"/>
      <c r="V351" s="787"/>
      <c r="W351" s="802"/>
      <c r="X351" s="799"/>
      <c r="Y351" s="787"/>
      <c r="Z351" s="791"/>
      <c r="AA351" s="787"/>
      <c r="AB351" s="787"/>
      <c r="AC351" s="679"/>
    </row>
    <row r="352" spans="1:45" ht="30" hidden="1" customHeight="1" x14ac:dyDescent="0.25">
      <c r="A352" s="2070"/>
      <c r="B352" s="394" t="s">
        <v>242</v>
      </c>
      <c r="C352" s="139"/>
      <c r="D352" s="1948" t="s">
        <v>10</v>
      </c>
      <c r="E352" s="1949">
        <v>46177</v>
      </c>
      <c r="F352" s="1950">
        <f t="shared" ref="F352" si="172">$L$7-E352</f>
        <v>109</v>
      </c>
      <c r="G352" s="311">
        <v>0</v>
      </c>
      <c r="H352" s="1854"/>
      <c r="I352" s="1777"/>
      <c r="J352" s="1486"/>
      <c r="K352" s="1778"/>
      <c r="L352" s="1890">
        <f t="shared" si="158"/>
        <v>0</v>
      </c>
      <c r="M352" s="1487"/>
      <c r="N352" s="1907"/>
      <c r="O352" s="1280"/>
      <c r="P352" s="1281"/>
      <c r="Q352" s="1818"/>
      <c r="T352" s="787" t="str">
        <f t="shared" si="159"/>
        <v>Pork Meat Bone Meal (USA)46177</v>
      </c>
      <c r="U352" s="787"/>
      <c r="V352" s="787"/>
      <c r="W352" s="802"/>
      <c r="X352" s="799"/>
      <c r="Y352" s="787"/>
      <c r="Z352" s="791"/>
      <c r="AA352" s="787"/>
      <c r="AB352" s="787"/>
      <c r="AC352" s="679"/>
    </row>
    <row r="353" spans="1:29" ht="30" hidden="1" customHeight="1" x14ac:dyDescent="0.25">
      <c r="A353" s="2070"/>
      <c r="B353" s="394" t="s">
        <v>1831</v>
      </c>
      <c r="C353" s="139"/>
      <c r="D353" s="1948" t="s">
        <v>10</v>
      </c>
      <c r="E353" s="1949">
        <v>46170</v>
      </c>
      <c r="F353" s="1950">
        <f t="shared" ref="F353" si="173">$L$7-E353</f>
        <v>116</v>
      </c>
      <c r="G353" s="311">
        <v>0</v>
      </c>
      <c r="H353" s="1854"/>
      <c r="I353" s="1777"/>
      <c r="J353" s="1486"/>
      <c r="K353" s="1778"/>
      <c r="L353" s="1913">
        <f t="shared" si="158"/>
        <v>0</v>
      </c>
      <c r="M353" s="1866"/>
      <c r="N353" s="1914"/>
      <c r="O353" s="1915"/>
      <c r="P353" s="1860"/>
      <c r="Q353" s="1818"/>
      <c r="T353" s="787" t="str">
        <f t="shared" si="159"/>
        <v>Pork Meat Bone Meal (USA)46170</v>
      </c>
      <c r="U353" s="787"/>
      <c r="V353" s="787"/>
      <c r="W353" s="802"/>
      <c r="X353" s="799"/>
      <c r="Y353" s="787"/>
      <c r="Z353" s="791"/>
      <c r="AA353" s="787"/>
      <c r="AB353" s="787"/>
      <c r="AC353" s="679"/>
    </row>
    <row r="354" spans="1:29" ht="30" hidden="1" customHeight="1" x14ac:dyDescent="0.25">
      <c r="A354" s="2070"/>
      <c r="B354" s="394" t="s">
        <v>242</v>
      </c>
      <c r="C354" s="139"/>
      <c r="D354" s="1948" t="s">
        <v>10</v>
      </c>
      <c r="E354" s="1949">
        <v>46170</v>
      </c>
      <c r="F354" s="1950">
        <f t="shared" ref="F354" si="174">$L$7-E354</f>
        <v>116</v>
      </c>
      <c r="G354" s="311">
        <v>0</v>
      </c>
      <c r="H354" s="1854"/>
      <c r="I354" s="1777"/>
      <c r="J354" s="1486"/>
      <c r="K354" s="1778"/>
      <c r="L354" s="1913">
        <f t="shared" ref="L354:L357" si="175">+G354+H354+I354-J354-K354</f>
        <v>0</v>
      </c>
      <c r="M354" s="1866"/>
      <c r="N354" s="1914"/>
      <c r="O354" s="1915"/>
      <c r="P354" s="1860"/>
      <c r="Q354" s="1818"/>
      <c r="T354" s="787" t="str">
        <f t="shared" si="159"/>
        <v>Pork Meat Bone Meal (USA)46170</v>
      </c>
      <c r="U354" s="787"/>
      <c r="V354" s="787"/>
      <c r="W354" s="802"/>
      <c r="X354" s="799"/>
      <c r="Y354" s="787"/>
      <c r="Z354" s="791"/>
      <c r="AA354" s="787"/>
      <c r="AB354" s="787"/>
      <c r="AC354" s="679"/>
    </row>
    <row r="355" spans="1:29" ht="30" hidden="1" customHeight="1" x14ac:dyDescent="0.25">
      <c r="A355" s="2070"/>
      <c r="B355" s="394" t="s">
        <v>1526</v>
      </c>
      <c r="C355" s="139"/>
      <c r="D355" s="1948" t="s">
        <v>10</v>
      </c>
      <c r="E355" s="1949">
        <v>46136</v>
      </c>
      <c r="F355" s="1950">
        <f t="shared" ref="F355" si="176">$L$7-E355</f>
        <v>150</v>
      </c>
      <c r="G355" s="311">
        <v>0</v>
      </c>
      <c r="H355" s="311"/>
      <c r="I355" s="1854"/>
      <c r="J355" s="1911"/>
      <c r="K355" s="1912"/>
      <c r="L355" s="1922">
        <f t="shared" ref="L355:L356" si="177">+G355+H355+I355-J355-K355</f>
        <v>0</v>
      </c>
      <c r="M355" s="1770"/>
      <c r="N355" s="1923"/>
      <c r="O355" s="1924"/>
      <c r="P355" s="1771"/>
      <c r="Q355" s="1818"/>
      <c r="T355" s="787" t="str">
        <f t="shared" si="159"/>
        <v>Pork Meat Bone Meal (USA)46136</v>
      </c>
      <c r="U355" s="787"/>
      <c r="V355" s="787"/>
      <c r="W355" s="802"/>
      <c r="X355" s="799"/>
      <c r="Y355" s="787"/>
      <c r="Z355" s="791"/>
      <c r="AA355" s="787"/>
      <c r="AB355" s="787"/>
      <c r="AC355" s="679"/>
    </row>
    <row r="356" spans="1:29" ht="30" hidden="1" customHeight="1" x14ac:dyDescent="0.25">
      <c r="A356" s="2070"/>
      <c r="B356" s="394" t="s">
        <v>1526</v>
      </c>
      <c r="C356" s="139"/>
      <c r="D356" s="1948" t="s">
        <v>10</v>
      </c>
      <c r="E356" s="1949">
        <v>46136</v>
      </c>
      <c r="F356" s="1950">
        <f t="shared" ref="F356" si="178">$L$7-E356</f>
        <v>150</v>
      </c>
      <c r="G356" s="311">
        <v>0</v>
      </c>
      <c r="H356" s="311"/>
      <c r="I356" s="1854"/>
      <c r="J356" s="1911"/>
      <c r="K356" s="1912"/>
      <c r="L356" s="1913">
        <f t="shared" si="177"/>
        <v>0</v>
      </c>
      <c r="M356" s="1866"/>
      <c r="N356" s="1914"/>
      <c r="O356" s="1915"/>
      <c r="P356" s="1860"/>
      <c r="Q356" s="1818"/>
      <c r="T356" s="787" t="str">
        <f t="shared" si="159"/>
        <v>Pork Meat Bone Meal (USA)46136</v>
      </c>
      <c r="U356" s="787"/>
      <c r="V356" s="787"/>
      <c r="W356" s="802"/>
      <c r="X356" s="799"/>
      <c r="Y356" s="787"/>
      <c r="Z356" s="791"/>
      <c r="AA356" s="787"/>
      <c r="AB356" s="787"/>
      <c r="AC356" s="679"/>
    </row>
    <row r="357" spans="1:29" ht="30" hidden="1" customHeight="1" x14ac:dyDescent="0.25">
      <c r="A357" s="2070"/>
      <c r="B357" s="394" t="s">
        <v>1526</v>
      </c>
      <c r="C357" s="1879"/>
      <c r="D357" s="866" t="s">
        <v>10</v>
      </c>
      <c r="E357" s="867">
        <v>46066</v>
      </c>
      <c r="F357" s="1880">
        <f t="shared" ref="F357" si="179">$L$7-E357</f>
        <v>220</v>
      </c>
      <c r="G357" s="1854">
        <v>0</v>
      </c>
      <c r="H357" s="1854"/>
      <c r="I357" s="1854"/>
      <c r="J357" s="1911"/>
      <c r="K357" s="1912"/>
      <c r="L357" s="1913">
        <f t="shared" si="175"/>
        <v>0</v>
      </c>
      <c r="M357" s="1866"/>
      <c r="N357" s="1914"/>
      <c r="O357" s="1915"/>
      <c r="P357" s="1860"/>
      <c r="Q357" s="1818"/>
      <c r="T357" s="787" t="str">
        <f t="shared" si="159"/>
        <v>Pork Meat Bone Meal (USA)46066</v>
      </c>
      <c r="U357" s="787"/>
      <c r="V357" s="787"/>
      <c r="W357" s="802"/>
      <c r="X357" s="799"/>
      <c r="Y357" s="787"/>
      <c r="Z357" s="791"/>
      <c r="AA357" s="787"/>
      <c r="AB357" s="787"/>
      <c r="AC357" s="679"/>
    </row>
    <row r="358" spans="1:29" ht="30" hidden="1" customHeight="1" x14ac:dyDescent="0.25">
      <c r="A358" s="2070"/>
      <c r="B358" s="394" t="s">
        <v>1526</v>
      </c>
      <c r="C358" s="139"/>
      <c r="D358" s="1115" t="s">
        <v>10</v>
      </c>
      <c r="E358" s="1925">
        <v>46066</v>
      </c>
      <c r="F358" s="1926">
        <f t="shared" ref="F358" si="180">$L$7-E358</f>
        <v>220</v>
      </c>
      <c r="G358" s="1927">
        <v>0</v>
      </c>
      <c r="H358" s="311"/>
      <c r="I358" s="1927"/>
      <c r="J358" s="1928"/>
      <c r="K358" s="1929"/>
      <c r="L358" s="1908">
        <f t="shared" si="158"/>
        <v>0</v>
      </c>
      <c r="M358" s="49"/>
      <c r="N358" s="1909"/>
      <c r="O358" s="381"/>
      <c r="P358" s="1910"/>
      <c r="Q358" s="1818"/>
      <c r="T358" s="787" t="str">
        <f t="shared" si="159"/>
        <v>Pork Meat Bone Meal (USA)46066</v>
      </c>
      <c r="U358" s="787"/>
      <c r="V358" s="787"/>
      <c r="W358" s="802"/>
      <c r="X358" s="799"/>
      <c r="Y358" s="787"/>
      <c r="Z358" s="791"/>
      <c r="AA358" s="787"/>
      <c r="AB358" s="787"/>
      <c r="AC358" s="679"/>
    </row>
    <row r="359" spans="1:29" ht="30" customHeight="1" x14ac:dyDescent="0.25">
      <c r="A359" s="2070"/>
      <c r="B359" s="2033" t="s">
        <v>1556</v>
      </c>
      <c r="C359" s="2034"/>
      <c r="D359" s="1782"/>
      <c r="E359" s="1783"/>
      <c r="F359" s="1784"/>
      <c r="G359" s="1785">
        <v>125443</v>
      </c>
      <c r="H359" s="1785">
        <f t="shared" ref="H359:L359" si="181">+SUM(H342:H358)</f>
        <v>0</v>
      </c>
      <c r="I359" s="1785">
        <f t="shared" si="181"/>
        <v>0</v>
      </c>
      <c r="J359" s="1785">
        <f t="shared" si="181"/>
        <v>0</v>
      </c>
      <c r="K359" s="1785">
        <f t="shared" si="181"/>
        <v>11980</v>
      </c>
      <c r="L359" s="1891">
        <f t="shared" si="181"/>
        <v>113463</v>
      </c>
      <c r="M359" s="2030"/>
      <c r="N359" s="2031"/>
      <c r="O359" s="2031"/>
      <c r="P359" s="2032"/>
      <c r="Q359" s="795"/>
      <c r="R359" s="785">
        <f>IFERROR(VLOOKUP($Q359,'391'!$P:$W,8,0),"")</f>
        <v>0</v>
      </c>
      <c r="U359" s="787"/>
      <c r="V359" s="787"/>
      <c r="W359" s="802">
        <f>IFERROR(VLOOKUP($Q359,'391'!$P:$AG,15,0),0)</f>
        <v>0</v>
      </c>
      <c r="X359" s="799">
        <f t="shared" si="160"/>
        <v>125443</v>
      </c>
      <c r="Y359" s="787"/>
      <c r="Z359" s="791"/>
      <c r="AA359" s="787"/>
      <c r="AB359" s="787"/>
      <c r="AC359" s="679"/>
    </row>
    <row r="360" spans="1:29" ht="30" hidden="1" customHeight="1" x14ac:dyDescent="0.25">
      <c r="A360" s="2070"/>
      <c r="B360" s="394" t="s">
        <v>1893</v>
      </c>
      <c r="C360" s="139"/>
      <c r="D360" s="1948" t="s">
        <v>10</v>
      </c>
      <c r="E360" s="1949">
        <v>46233</v>
      </c>
      <c r="F360" s="1950">
        <f t="shared" ref="F360" si="182">$L$7-E360</f>
        <v>53</v>
      </c>
      <c r="G360" s="311">
        <v>0</v>
      </c>
      <c r="H360" s="1854"/>
      <c r="I360" s="18"/>
      <c r="J360" s="1338"/>
      <c r="K360" s="12">
        <f>IFERROR(SUMIF(INTAKE!$A:$A,$T360,INTAKE!$P:$P),0)</f>
        <v>0</v>
      </c>
      <c r="L360" s="1702">
        <f t="shared" si="158"/>
        <v>0</v>
      </c>
      <c r="M360" s="46"/>
      <c r="N360" s="1465"/>
      <c r="O360" s="147"/>
      <c r="P360" s="734"/>
      <c r="Q360" s="795"/>
      <c r="R360" s="785">
        <f>IFERROR(VLOOKUP($Q360,'391'!$P:$W,8,0),"")</f>
        <v>0</v>
      </c>
      <c r="T360" s="787" t="str">
        <f>$Q$376&amp;C360&amp;E360</f>
        <v>Pork Meat Bone Meal (USA)46233</v>
      </c>
      <c r="U360" s="787"/>
      <c r="V360" s="787"/>
      <c r="W360" s="802">
        <f>IFERROR(VLOOKUP($Q360,'391'!$P:$AG,15,0),0)</f>
        <v>0</v>
      </c>
      <c r="X360" s="799">
        <f t="shared" si="160"/>
        <v>0</v>
      </c>
      <c r="Y360" s="787"/>
      <c r="Z360" s="791"/>
      <c r="AA360" s="787"/>
      <c r="AB360" s="787"/>
      <c r="AC360" s="679"/>
    </row>
    <row r="361" spans="1:29" ht="30" hidden="1" customHeight="1" x14ac:dyDescent="0.25">
      <c r="A361" s="2070"/>
      <c r="B361" s="394" t="s">
        <v>1605</v>
      </c>
      <c r="C361" s="225" t="s">
        <v>83</v>
      </c>
      <c r="D361" s="916" t="s">
        <v>10</v>
      </c>
      <c r="E361" s="917">
        <v>45826</v>
      </c>
      <c r="F361" s="918">
        <f t="shared" ref="F361" si="183">$L$7-E361</f>
        <v>460</v>
      </c>
      <c r="G361" s="300">
        <v>0</v>
      </c>
      <c r="H361" s="18"/>
      <c r="I361" s="18"/>
      <c r="J361" s="1338"/>
      <c r="K361" s="1345"/>
      <c r="L361" s="1702">
        <f t="shared" si="158"/>
        <v>0</v>
      </c>
      <c r="M361" s="46"/>
      <c r="N361" s="249"/>
      <c r="O361" s="147"/>
      <c r="P361" s="734"/>
      <c r="Q361" s="795"/>
      <c r="R361" s="785">
        <f>IFERROR(VLOOKUP($Q361,'391'!$P:$W,8,0),"")</f>
        <v>0</v>
      </c>
      <c r="U361" s="787"/>
      <c r="V361" s="787"/>
      <c r="W361" s="802">
        <f>IFERROR(VLOOKUP($Q361,'391'!$P:$AG,15,0),0)</f>
        <v>0</v>
      </c>
      <c r="X361" s="799">
        <f t="shared" si="160"/>
        <v>0</v>
      </c>
      <c r="Y361" s="787"/>
      <c r="Z361" s="791"/>
      <c r="AA361" s="787"/>
      <c r="AB361" s="787"/>
      <c r="AC361" s="679"/>
    </row>
    <row r="362" spans="1:29" ht="30" hidden="1" customHeight="1" x14ac:dyDescent="0.25">
      <c r="A362" s="2070"/>
      <c r="B362" s="394" t="s">
        <v>1605</v>
      </c>
      <c r="C362" s="225" t="s">
        <v>83</v>
      </c>
      <c r="D362" s="916" t="s">
        <v>10</v>
      </c>
      <c r="E362" s="917">
        <v>45826</v>
      </c>
      <c r="F362" s="918">
        <f t="shared" ref="F362" si="184">$L$7-E362</f>
        <v>460</v>
      </c>
      <c r="G362" s="300">
        <v>0</v>
      </c>
      <c r="H362" s="18"/>
      <c r="I362" s="18"/>
      <c r="J362" s="1338"/>
      <c r="K362" s="1345"/>
      <c r="L362" s="1702">
        <f t="shared" si="158"/>
        <v>0</v>
      </c>
      <c r="M362" s="46"/>
      <c r="N362" s="249"/>
      <c r="O362" s="147"/>
      <c r="P362" s="734"/>
      <c r="Q362" s="795"/>
      <c r="R362" s="785">
        <f>IFERROR(VLOOKUP($Q362,'391'!$P:$W,8,0),"")</f>
        <v>0</v>
      </c>
      <c r="U362" s="787"/>
      <c r="V362" s="787"/>
      <c r="W362" s="802">
        <f>IFERROR(VLOOKUP($Q362,'391'!$P:$AG,15,0),0)</f>
        <v>0</v>
      </c>
      <c r="X362" s="799">
        <f t="shared" si="160"/>
        <v>0</v>
      </c>
      <c r="Y362" s="787"/>
      <c r="Z362" s="791"/>
      <c r="AA362" s="787"/>
      <c r="AB362" s="787"/>
      <c r="AC362" s="679"/>
    </row>
    <row r="363" spans="1:29" ht="30" hidden="1" customHeight="1" x14ac:dyDescent="0.25">
      <c r="A363" s="2070"/>
      <c r="B363" s="394" t="s">
        <v>1526</v>
      </c>
      <c r="C363" s="225" t="s">
        <v>487</v>
      </c>
      <c r="D363" s="916" t="s">
        <v>10</v>
      </c>
      <c r="E363" s="917">
        <v>45825</v>
      </c>
      <c r="F363" s="918">
        <f t="shared" ref="F363:F364" si="185">$L$7-E363</f>
        <v>461</v>
      </c>
      <c r="G363" s="300">
        <v>0</v>
      </c>
      <c r="H363" s="18"/>
      <c r="I363" s="18"/>
      <c r="J363" s="1338"/>
      <c r="K363" s="300"/>
      <c r="L363" s="1702">
        <f t="shared" si="158"/>
        <v>0</v>
      </c>
      <c r="M363" s="46"/>
      <c r="N363" s="249"/>
      <c r="O363" s="147"/>
      <c r="P363" s="734"/>
      <c r="Q363" s="795"/>
      <c r="R363" s="785">
        <f>IFERROR(VLOOKUP($Q363,'391'!$P:$W,8,0),"")</f>
        <v>0</v>
      </c>
      <c r="U363" s="787"/>
      <c r="V363" s="787"/>
      <c r="W363" s="802">
        <f>IFERROR(VLOOKUP($Q363,'391'!$P:$AG,15,0),0)</f>
        <v>0</v>
      </c>
      <c r="X363" s="799">
        <f t="shared" si="160"/>
        <v>0</v>
      </c>
      <c r="Y363" s="787"/>
      <c r="Z363" s="791"/>
      <c r="AA363" s="787"/>
      <c r="AB363" s="787"/>
      <c r="AC363" s="679"/>
    </row>
    <row r="364" spans="1:29" ht="27.95" hidden="1" customHeight="1" x14ac:dyDescent="0.25">
      <c r="A364" s="2070"/>
      <c r="B364" s="394" t="s">
        <v>1526</v>
      </c>
      <c r="C364" s="225" t="s">
        <v>83</v>
      </c>
      <c r="D364" s="916" t="s">
        <v>10</v>
      </c>
      <c r="E364" s="917">
        <v>45826</v>
      </c>
      <c r="F364" s="918">
        <f t="shared" si="185"/>
        <v>460</v>
      </c>
      <c r="G364" s="300">
        <v>0</v>
      </c>
      <c r="H364" s="18"/>
      <c r="I364" s="18"/>
      <c r="J364" s="1338"/>
      <c r="K364" s="300"/>
      <c r="L364" s="1702">
        <f t="shared" si="158"/>
        <v>0</v>
      </c>
      <c r="M364" s="46"/>
      <c r="N364" s="249"/>
      <c r="O364" s="147"/>
      <c r="P364" s="734"/>
      <c r="Q364" s="795"/>
      <c r="R364" s="785">
        <f>IFERROR(VLOOKUP($Q364,'391'!$P:$W,8,0),"")</f>
        <v>0</v>
      </c>
      <c r="U364" s="787"/>
      <c r="V364" s="787"/>
      <c r="W364" s="802">
        <f>IFERROR(VLOOKUP($Q364,'391'!$P:$AG,15,0),0)</f>
        <v>0</v>
      </c>
      <c r="X364" s="799">
        <f t="shared" si="160"/>
        <v>0</v>
      </c>
      <c r="Y364" s="787"/>
      <c r="Z364" s="791"/>
      <c r="AA364" s="787"/>
      <c r="AB364" s="787"/>
      <c r="AC364" s="679"/>
    </row>
    <row r="365" spans="1:29" ht="27.95" hidden="1" customHeight="1" x14ac:dyDescent="0.25">
      <c r="A365" s="2070"/>
      <c r="B365" s="394" t="s">
        <v>1526</v>
      </c>
      <c r="C365" s="225" t="s">
        <v>83</v>
      </c>
      <c r="D365" s="916" t="s">
        <v>10</v>
      </c>
      <c r="E365" s="917">
        <v>45826</v>
      </c>
      <c r="F365" s="918">
        <f t="shared" ref="F365" si="186">$L$7-E365</f>
        <v>460</v>
      </c>
      <c r="G365" s="300">
        <v>0</v>
      </c>
      <c r="H365" s="18"/>
      <c r="I365" s="18"/>
      <c r="J365" s="1338"/>
      <c r="K365" s="300"/>
      <c r="L365" s="1702">
        <f t="shared" si="158"/>
        <v>0</v>
      </c>
      <c r="M365" s="46"/>
      <c r="N365" s="1465"/>
      <c r="O365" s="147"/>
      <c r="P365" s="734"/>
      <c r="Q365" s="795"/>
      <c r="R365" s="785">
        <f>IFERROR(VLOOKUP($Q365,'391'!$P:$W,8,0),"")</f>
        <v>0</v>
      </c>
      <c r="U365" s="787"/>
      <c r="V365" s="787"/>
      <c r="W365" s="802">
        <f>IFERROR(VLOOKUP($Q365,'391'!$P:$AG,15,0),0)</f>
        <v>0</v>
      </c>
      <c r="X365" s="799">
        <f t="shared" si="160"/>
        <v>0</v>
      </c>
      <c r="Y365" s="787"/>
      <c r="Z365" s="791"/>
      <c r="AA365" s="787"/>
      <c r="AB365" s="787"/>
      <c r="AC365" s="679"/>
    </row>
    <row r="366" spans="1:29" ht="27.95" hidden="1" customHeight="1" x14ac:dyDescent="0.25">
      <c r="A366" s="2070"/>
      <c r="B366" s="394" t="s">
        <v>1526</v>
      </c>
      <c r="C366" s="225"/>
      <c r="D366" s="916" t="s">
        <v>10</v>
      </c>
      <c r="E366" s="917">
        <v>45730</v>
      </c>
      <c r="F366" s="918">
        <f t="shared" ref="F366" si="187">$L$7-E366</f>
        <v>556</v>
      </c>
      <c r="G366" s="300">
        <v>0</v>
      </c>
      <c r="H366" s="18"/>
      <c r="I366" s="18"/>
      <c r="J366" s="1338"/>
      <c r="K366" s="300"/>
      <c r="L366" s="1702">
        <f t="shared" si="158"/>
        <v>0</v>
      </c>
      <c r="M366" s="46"/>
      <c r="N366" s="249"/>
      <c r="O366" s="147"/>
      <c r="P366" s="734"/>
      <c r="Q366" s="795"/>
      <c r="R366" s="785">
        <f>IFERROR(VLOOKUP($Q366,'391'!$P:$W,8,0),"")</f>
        <v>0</v>
      </c>
      <c r="U366" s="787"/>
      <c r="V366" s="787"/>
      <c r="W366" s="802">
        <f>IFERROR(VLOOKUP($Q366,'391'!$P:$AG,15,0),0)</f>
        <v>0</v>
      </c>
      <c r="X366" s="799">
        <f t="shared" si="160"/>
        <v>0</v>
      </c>
      <c r="Y366" s="787"/>
      <c r="Z366" s="791"/>
      <c r="AA366" s="787"/>
      <c r="AB366" s="787"/>
      <c r="AC366" s="679"/>
    </row>
    <row r="367" spans="1:29" ht="27.75" hidden="1" customHeight="1" x14ac:dyDescent="0.25">
      <c r="A367" s="2070"/>
      <c r="B367" s="394" t="s">
        <v>1526</v>
      </c>
      <c r="C367" s="225" t="s">
        <v>330</v>
      </c>
      <c r="D367" s="916" t="s">
        <v>10</v>
      </c>
      <c r="E367" s="917">
        <v>45730</v>
      </c>
      <c r="F367" s="918">
        <f t="shared" ref="F367:F370" si="188">$L$7-E367</f>
        <v>556</v>
      </c>
      <c r="G367" s="300">
        <v>0</v>
      </c>
      <c r="H367" s="18"/>
      <c r="I367" s="18"/>
      <c r="J367" s="1338"/>
      <c r="K367" s="1345"/>
      <c r="L367" s="1702">
        <f t="shared" si="158"/>
        <v>0</v>
      </c>
      <c r="M367" s="46"/>
      <c r="N367" s="249"/>
      <c r="O367" s="147"/>
      <c r="P367" s="734"/>
      <c r="Q367" s="795"/>
      <c r="R367" s="785">
        <f>IFERROR(VLOOKUP($Q367,'391'!$P:$W,8,0),"")</f>
        <v>0</v>
      </c>
      <c r="U367" s="787"/>
      <c r="V367" s="787"/>
      <c r="W367" s="802">
        <f>IFERROR(VLOOKUP($Q367,'391'!$P:$AG,15,0),0)</f>
        <v>0</v>
      </c>
      <c r="X367" s="799">
        <f t="shared" si="160"/>
        <v>0</v>
      </c>
      <c r="Y367" s="787"/>
      <c r="Z367" s="791"/>
      <c r="AA367" s="787"/>
      <c r="AB367" s="787"/>
      <c r="AC367" s="679"/>
    </row>
    <row r="368" spans="1:29" ht="27.75" hidden="1" customHeight="1" x14ac:dyDescent="0.25">
      <c r="A368" s="2070"/>
      <c r="B368" s="394" t="s">
        <v>1526</v>
      </c>
      <c r="C368" s="225"/>
      <c r="D368" s="916" t="s">
        <v>10</v>
      </c>
      <c r="E368" s="917">
        <v>45679</v>
      </c>
      <c r="F368" s="918">
        <f t="shared" si="188"/>
        <v>607</v>
      </c>
      <c r="G368" s="300">
        <v>0</v>
      </c>
      <c r="H368" s="18"/>
      <c r="I368" s="18"/>
      <c r="J368" s="1338"/>
      <c r="K368" s="300"/>
      <c r="L368" s="1702">
        <f t="shared" si="158"/>
        <v>0</v>
      </c>
      <c r="M368" s="46"/>
      <c r="N368" s="249"/>
      <c r="O368" s="147"/>
      <c r="P368" s="734"/>
      <c r="Q368" s="795"/>
      <c r="R368" s="785">
        <f>IFERROR(VLOOKUP($Q368,'391'!$P:$W,8,0),"")</f>
        <v>0</v>
      </c>
      <c r="U368" s="787"/>
      <c r="V368" s="787"/>
      <c r="W368" s="802">
        <f>IFERROR(VLOOKUP($Q368,'391'!$P:$AG,15,0),0)</f>
        <v>0</v>
      </c>
      <c r="X368" s="799">
        <f t="shared" si="160"/>
        <v>0</v>
      </c>
      <c r="Y368" s="787"/>
      <c r="Z368" s="791"/>
      <c r="AA368" s="787"/>
      <c r="AB368" s="787"/>
      <c r="AC368" s="679"/>
    </row>
    <row r="369" spans="1:45" ht="27.95" hidden="1" customHeight="1" x14ac:dyDescent="0.25">
      <c r="A369" s="2070"/>
      <c r="B369" s="394" t="s">
        <v>1526</v>
      </c>
      <c r="C369" s="225"/>
      <c r="D369" s="916" t="s">
        <v>10</v>
      </c>
      <c r="E369" s="917">
        <v>45679</v>
      </c>
      <c r="F369" s="918">
        <f t="shared" si="188"/>
        <v>607</v>
      </c>
      <c r="G369" s="300">
        <v>0</v>
      </c>
      <c r="H369" s="18"/>
      <c r="I369" s="18"/>
      <c r="J369" s="1338"/>
      <c r="K369" s="300"/>
      <c r="L369" s="1702">
        <f t="shared" ref="L369:L370" si="189">+G369+H369+I369-J369-K369</f>
        <v>0</v>
      </c>
      <c r="M369" s="46"/>
      <c r="N369" s="249"/>
      <c r="O369" s="147"/>
      <c r="P369" s="734"/>
      <c r="Q369" s="795"/>
      <c r="R369" s="785">
        <f>IFERROR(VLOOKUP($Q369,'391'!$P:$W,8,0),"")</f>
        <v>0</v>
      </c>
      <c r="U369" s="787"/>
      <c r="V369" s="787"/>
      <c r="W369" s="802">
        <f>IFERROR(VLOOKUP($Q369,'391'!$P:$AG,15,0),0)</f>
        <v>0</v>
      </c>
      <c r="X369" s="799">
        <f t="shared" ref="X369:X370" si="190">G369-W369</f>
        <v>0</v>
      </c>
      <c r="Y369" s="787"/>
      <c r="Z369" s="791"/>
      <c r="AA369" s="787"/>
      <c r="AB369" s="787"/>
      <c r="AC369" s="679"/>
    </row>
    <row r="370" spans="1:45" ht="27.75" hidden="1" customHeight="1" x14ac:dyDescent="0.25">
      <c r="A370" s="2070"/>
      <c r="B370" s="394" t="s">
        <v>1526</v>
      </c>
      <c r="C370" s="225" t="s">
        <v>515</v>
      </c>
      <c r="D370" s="916" t="s">
        <v>10</v>
      </c>
      <c r="E370" s="917">
        <v>45622</v>
      </c>
      <c r="F370" s="918">
        <f t="shared" si="188"/>
        <v>664</v>
      </c>
      <c r="G370" s="300">
        <v>0</v>
      </c>
      <c r="H370" s="18"/>
      <c r="I370" s="18"/>
      <c r="J370" s="1338"/>
      <c r="K370" s="300"/>
      <c r="L370" s="1702">
        <f t="shared" si="189"/>
        <v>0</v>
      </c>
      <c r="M370" s="46"/>
      <c r="N370" s="249"/>
      <c r="O370" s="147"/>
      <c r="P370" s="734"/>
      <c r="Q370" s="795"/>
      <c r="R370" s="785">
        <f>IFERROR(VLOOKUP($Q370,'391'!$P:$W,8,0),"")</f>
        <v>0</v>
      </c>
      <c r="U370" s="787"/>
      <c r="V370" s="787"/>
      <c r="W370" s="802">
        <f>IFERROR(VLOOKUP($Q370,'391'!$P:$AG,15,0),0)</f>
        <v>0</v>
      </c>
      <c r="X370" s="799">
        <f t="shared" si="190"/>
        <v>0</v>
      </c>
      <c r="Y370" s="787"/>
      <c r="Z370" s="791"/>
      <c r="AA370" s="787"/>
      <c r="AB370" s="787"/>
      <c r="AC370" s="679"/>
    </row>
    <row r="371" spans="1:45" ht="27.95" hidden="1" customHeight="1" x14ac:dyDescent="0.25">
      <c r="A371" s="2070"/>
      <c r="B371" s="394" t="s">
        <v>1526</v>
      </c>
      <c r="C371" s="225"/>
      <c r="D371" s="916" t="s">
        <v>10</v>
      </c>
      <c r="E371" s="917">
        <v>45679</v>
      </c>
      <c r="F371" s="918">
        <f t="shared" ref="F371" si="191">$L$7-E371</f>
        <v>607</v>
      </c>
      <c r="G371" s="300">
        <v>0</v>
      </c>
      <c r="H371" s="18"/>
      <c r="I371" s="18"/>
      <c r="J371" s="1338"/>
      <c r="K371" s="300"/>
      <c r="L371" s="1702">
        <f t="shared" si="158"/>
        <v>0</v>
      </c>
      <c r="M371" s="46"/>
      <c r="N371" s="249"/>
      <c r="O371" s="147"/>
      <c r="P371" s="734"/>
      <c r="Q371" s="795"/>
      <c r="R371" s="785">
        <f>IFERROR(VLOOKUP($Q371,'391'!$P:$W,8,0),"")</f>
        <v>0</v>
      </c>
      <c r="U371" s="787"/>
      <c r="V371" s="787"/>
      <c r="W371" s="802">
        <f>IFERROR(VLOOKUP($Q371,'391'!$P:$AG,15,0),0)</f>
        <v>0</v>
      </c>
      <c r="X371" s="799">
        <f t="shared" si="160"/>
        <v>0</v>
      </c>
      <c r="Y371" s="787"/>
      <c r="Z371" s="791"/>
      <c r="AA371" s="787"/>
      <c r="AB371" s="787"/>
      <c r="AC371" s="679"/>
    </row>
    <row r="372" spans="1:45" ht="27.75" hidden="1" customHeight="1" x14ac:dyDescent="0.25">
      <c r="A372" s="2070"/>
      <c r="B372" s="394" t="s">
        <v>1526</v>
      </c>
      <c r="C372" s="225" t="s">
        <v>515</v>
      </c>
      <c r="D372" s="916" t="s">
        <v>10</v>
      </c>
      <c r="E372" s="917">
        <v>45622</v>
      </c>
      <c r="F372" s="918">
        <f t="shared" ref="F372:F373" si="192">$L$7-E372</f>
        <v>664</v>
      </c>
      <c r="G372" s="300">
        <v>0</v>
      </c>
      <c r="H372" s="18"/>
      <c r="I372" s="18"/>
      <c r="J372" s="1338"/>
      <c r="K372" s="300"/>
      <c r="L372" s="1702">
        <f t="shared" si="158"/>
        <v>0</v>
      </c>
      <c r="M372" s="46"/>
      <c r="N372" s="249"/>
      <c r="O372" s="147"/>
      <c r="P372" s="734"/>
      <c r="Q372" s="795"/>
      <c r="R372" s="785">
        <f>IFERROR(VLOOKUP($Q372,'391'!$P:$W,8,0),"")</f>
        <v>0</v>
      </c>
      <c r="U372" s="787"/>
      <c r="V372" s="787"/>
      <c r="W372" s="802">
        <f>IFERROR(VLOOKUP($Q372,'391'!$P:$AG,15,0),0)</f>
        <v>0</v>
      </c>
      <c r="X372" s="799">
        <f t="shared" si="160"/>
        <v>0</v>
      </c>
      <c r="Y372" s="787"/>
      <c r="Z372" s="791"/>
      <c r="AA372" s="787"/>
      <c r="AB372" s="787"/>
      <c r="AC372" s="679"/>
    </row>
    <row r="373" spans="1:45" ht="27.95" hidden="1" customHeight="1" x14ac:dyDescent="0.25">
      <c r="A373" s="2070"/>
      <c r="B373" s="394" t="s">
        <v>1526</v>
      </c>
      <c r="C373" s="225" t="s">
        <v>487</v>
      </c>
      <c r="D373" s="916" t="s">
        <v>10</v>
      </c>
      <c r="E373" s="917">
        <v>45622</v>
      </c>
      <c r="F373" s="918">
        <f t="shared" si="192"/>
        <v>664</v>
      </c>
      <c r="G373" s="300">
        <v>0</v>
      </c>
      <c r="H373" s="18"/>
      <c r="I373" s="18"/>
      <c r="J373" s="1338"/>
      <c r="K373" s="300"/>
      <c r="L373" s="1702">
        <f t="shared" ref="L373:L374" si="193">+G373+H373+I373-J373-K373</f>
        <v>0</v>
      </c>
      <c r="M373" s="46"/>
      <c r="N373" s="249"/>
      <c r="O373" s="147"/>
      <c r="P373" s="734"/>
      <c r="Q373" s="795"/>
      <c r="R373" s="785">
        <f>IFERROR(VLOOKUP($Q373,'391'!$P:$W,8,0),"")</f>
        <v>0</v>
      </c>
      <c r="U373" s="787"/>
      <c r="V373" s="787"/>
      <c r="W373" s="802">
        <f>IFERROR(VLOOKUP($Q373,'391'!$P:$AG,15,0),0)</f>
        <v>0</v>
      </c>
      <c r="X373" s="799">
        <f t="shared" ref="X373:X375" si="194">G373-W373</f>
        <v>0</v>
      </c>
      <c r="Y373" s="787"/>
      <c r="Z373" s="791"/>
      <c r="AA373" s="787"/>
      <c r="AB373" s="787"/>
      <c r="AC373" s="679"/>
    </row>
    <row r="374" spans="1:45" ht="27.75" hidden="1" customHeight="1" x14ac:dyDescent="0.25">
      <c r="A374" s="2070"/>
      <c r="B374" s="394" t="s">
        <v>1511</v>
      </c>
      <c r="C374" s="225" t="s">
        <v>1509</v>
      </c>
      <c r="D374" s="916" t="s">
        <v>10</v>
      </c>
      <c r="E374" s="917">
        <v>45591</v>
      </c>
      <c r="F374" s="918">
        <f t="shared" ref="F374" si="195">$L$7-E374</f>
        <v>695</v>
      </c>
      <c r="G374" s="300">
        <v>0</v>
      </c>
      <c r="H374" s="18"/>
      <c r="I374" s="18"/>
      <c r="J374" s="1338"/>
      <c r="K374" s="300"/>
      <c r="L374" s="1702">
        <f t="shared" si="193"/>
        <v>0</v>
      </c>
      <c r="M374" s="46"/>
      <c r="N374" s="249"/>
      <c r="O374" s="147"/>
      <c r="P374" s="734"/>
      <c r="Q374" s="795"/>
      <c r="R374" s="785">
        <f>IFERROR(VLOOKUP($Q374,'391'!$P:$W,8,0),"")</f>
        <v>0</v>
      </c>
      <c r="U374" s="787"/>
      <c r="V374" s="787"/>
      <c r="W374" s="802">
        <f>IFERROR(VLOOKUP($Q374,'391'!$P:$AG,15,0),0)</f>
        <v>0</v>
      </c>
      <c r="X374" s="799">
        <f t="shared" si="194"/>
        <v>0</v>
      </c>
      <c r="Y374" s="787"/>
      <c r="Z374" s="791"/>
      <c r="AA374" s="787"/>
      <c r="AB374" s="787"/>
      <c r="AC374" s="679"/>
    </row>
    <row r="375" spans="1:45" ht="27.95" hidden="1" customHeight="1" x14ac:dyDescent="0.25">
      <c r="A375" s="2070"/>
      <c r="B375" s="2033" t="s">
        <v>1557</v>
      </c>
      <c r="C375" s="2034"/>
      <c r="D375" s="1782"/>
      <c r="E375" s="1783"/>
      <c r="F375" s="1784"/>
      <c r="G375" s="1785">
        <v>0</v>
      </c>
      <c r="H375" s="1785">
        <f t="shared" ref="H375:K375" si="196">+SUM(H360:H374)</f>
        <v>0</v>
      </c>
      <c r="I375" s="1785">
        <f t="shared" si="196"/>
        <v>0</v>
      </c>
      <c r="J375" s="1785">
        <f t="shared" si="196"/>
        <v>0</v>
      </c>
      <c r="K375" s="1785">
        <f t="shared" si="196"/>
        <v>0</v>
      </c>
      <c r="L375" s="1891">
        <f>+SUM(L360:L374)</f>
        <v>0</v>
      </c>
      <c r="M375" s="2030"/>
      <c r="N375" s="2031"/>
      <c r="O375" s="2031"/>
      <c r="P375" s="2032"/>
      <c r="Q375" s="795"/>
      <c r="R375" s="785">
        <f>IFERROR(VLOOKUP($Q375,'391'!$P:$W,8,0),"")</f>
        <v>0</v>
      </c>
      <c r="U375" s="787"/>
      <c r="V375" s="787"/>
      <c r="W375" s="802">
        <f>IFERROR(VLOOKUP($Q375,'391'!$P:$AG,15,0),0)</f>
        <v>0</v>
      </c>
      <c r="X375" s="799">
        <f t="shared" si="194"/>
        <v>0</v>
      </c>
      <c r="Y375" s="787"/>
      <c r="Z375" s="791"/>
      <c r="AA375" s="787"/>
      <c r="AB375" s="787"/>
      <c r="AC375" s="679"/>
    </row>
    <row r="376" spans="1:45" s="406" customFormat="1" ht="27.95" customHeight="1" x14ac:dyDescent="0.25">
      <c r="A376" s="2070"/>
      <c r="B376" s="923" t="s">
        <v>2223</v>
      </c>
      <c r="C376" s="106" t="s">
        <v>343</v>
      </c>
      <c r="D376" s="1705" t="s">
        <v>10</v>
      </c>
      <c r="E376" s="1706">
        <v>46276</v>
      </c>
      <c r="F376" s="918">
        <f t="shared" ref="F376" si="197">$L$7-E376</f>
        <v>10</v>
      </c>
      <c r="G376" s="296">
        <v>1521</v>
      </c>
      <c r="H376" s="919"/>
      <c r="I376" s="28">
        <f>+K375+K359</f>
        <v>11980</v>
      </c>
      <c r="J376" s="1307">
        <f>+usage!I37</f>
        <v>13500</v>
      </c>
      <c r="K376" s="919"/>
      <c r="L376" s="1533">
        <f t="shared" si="158"/>
        <v>1</v>
      </c>
      <c r="M376" s="40"/>
      <c r="N376" s="84"/>
      <c r="O376" s="40"/>
      <c r="P376" s="736"/>
      <c r="Q376" s="666" t="s">
        <v>1589</v>
      </c>
      <c r="R376" s="785" t="str">
        <f>IFERROR(VLOOKUP($Q376,'391'!$P:$W,8,0),"")</f>
        <v/>
      </c>
      <c r="S376" s="786"/>
      <c r="T376" s="787"/>
      <c r="U376" s="787"/>
      <c r="V376" s="787"/>
      <c r="W376" s="802">
        <f>IFERROR(VLOOKUP($Q376,'391'!$P:$AG,15,0),0)</f>
        <v>0</v>
      </c>
      <c r="X376" s="799">
        <f t="shared" si="160"/>
        <v>1521</v>
      </c>
      <c r="Y376" s="787"/>
      <c r="Z376" s="791"/>
      <c r="AA376" s="787"/>
      <c r="AB376" s="787"/>
      <c r="AC376" s="679"/>
      <c r="AD376" s="679"/>
      <c r="AE376" s="679"/>
      <c r="AF376" s="679"/>
      <c r="AG376" s="679"/>
      <c r="AH376" s="679"/>
      <c r="AI376" s="682"/>
      <c r="AJ376" s="682"/>
      <c r="AK376" s="682"/>
      <c r="AL376" s="682"/>
      <c r="AM376" s="682"/>
      <c r="AN376" s="682"/>
      <c r="AO376" s="682"/>
      <c r="AP376" s="682"/>
      <c r="AQ376" s="682"/>
      <c r="AR376" s="682"/>
      <c r="AS376" s="682"/>
    </row>
    <row r="377" spans="1:45" s="402" customFormat="1" ht="30" customHeight="1" x14ac:dyDescent="0.25">
      <c r="A377" s="2019" t="s">
        <v>111</v>
      </c>
      <c r="B377" s="2020"/>
      <c r="C377" s="1814"/>
      <c r="D377" s="921"/>
      <c r="E377" s="921"/>
      <c r="F377" s="865"/>
      <c r="G377" s="1296">
        <f>+G376+G359</f>
        <v>126964</v>
      </c>
      <c r="H377" s="1296">
        <f t="shared" ref="H377" si="198">+H375+H359+H376</f>
        <v>0</v>
      </c>
      <c r="I377" s="1296">
        <f>+I375+I359+I376</f>
        <v>11980</v>
      </c>
      <c r="J377" s="1296">
        <f>+SUM(J342:J376)</f>
        <v>13500</v>
      </c>
      <c r="K377" s="1296">
        <f>+K376+K375+K359</f>
        <v>11980</v>
      </c>
      <c r="L377" s="1296">
        <f>+L376+L375+L359</f>
        <v>113464</v>
      </c>
      <c r="M377" s="59">
        <f>IFERROR((R377/$S$2),"")</f>
        <v>15934.5</v>
      </c>
      <c r="N377" s="854">
        <f>IFERROR((L377/M377),"")</f>
        <v>7.1206501615990465</v>
      </c>
      <c r="O377" s="59">
        <f>IFERROR(SUMIF(ETM!$A:$A,$Q377,ETM!$E:$E),"")</f>
        <v>13490.666666666668</v>
      </c>
      <c r="P377" s="880">
        <f>IFERROR(L377/O377,0)</f>
        <v>8.4105554457402647</v>
      </c>
      <c r="Q377" s="795" t="s">
        <v>1202</v>
      </c>
      <c r="R377" s="785">
        <f>IFERROR(VLOOKUP($Q377,'391'!$P:$W,8,0),"")</f>
        <v>95607</v>
      </c>
      <c r="S377" s="796"/>
      <c r="T377" s="797"/>
      <c r="U377" s="797"/>
      <c r="V377" s="797"/>
      <c r="W377" s="802">
        <f>IFERROR(VLOOKUP($Q377,'391'!$P:$AG,15,0),0)</f>
        <v>121467</v>
      </c>
      <c r="X377" s="799">
        <f t="shared" si="160"/>
        <v>5497</v>
      </c>
      <c r="Y377" s="797"/>
      <c r="Z377" s="785"/>
      <c r="AA377" s="797"/>
      <c r="AB377" s="797"/>
      <c r="AC377" s="551"/>
      <c r="AD377" s="551"/>
      <c r="AE377" s="551"/>
      <c r="AF377" s="551"/>
      <c r="AG377" s="551"/>
      <c r="AH377" s="551"/>
      <c r="AI377" s="704"/>
      <c r="AJ377" s="704"/>
      <c r="AK377" s="704"/>
      <c r="AL377" s="704"/>
      <c r="AM377" s="704"/>
      <c r="AN377" s="704"/>
      <c r="AO377" s="704"/>
      <c r="AP377" s="704"/>
      <c r="AQ377" s="704"/>
      <c r="AR377" s="704"/>
      <c r="AS377" s="704"/>
    </row>
    <row r="378" spans="1:45" s="13" customFormat="1" ht="30" customHeight="1" x14ac:dyDescent="0.25">
      <c r="A378" s="2118" t="s">
        <v>8</v>
      </c>
      <c r="B378" s="2119"/>
      <c r="C378" s="1203"/>
      <c r="D378" s="869"/>
      <c r="E378" s="922"/>
      <c r="F378" s="1048"/>
      <c r="G378" s="1817">
        <f t="shared" ref="G378:L378" si="199">SUM(G225,G229,G233,G239,G246,G263,G268,G278,,G286,G300,G314,G341,G377,G328,G318,G251,G293)</f>
        <v>5446655</v>
      </c>
      <c r="H378" s="1817">
        <f t="shared" si="199"/>
        <v>209760</v>
      </c>
      <c r="I378" s="1817">
        <f t="shared" si="199"/>
        <v>1033846.55</v>
      </c>
      <c r="J378" s="1817">
        <f t="shared" si="199"/>
        <v>582049</v>
      </c>
      <c r="K378" s="1817">
        <f t="shared" si="199"/>
        <v>904996.55</v>
      </c>
      <c r="L378" s="1817">
        <f t="shared" si="199"/>
        <v>5203216</v>
      </c>
      <c r="M378" s="1045"/>
      <c r="N378" s="1045"/>
      <c r="O378" s="1046"/>
      <c r="P378" s="1047"/>
      <c r="Q378" s="795"/>
      <c r="R378" s="785"/>
      <c r="S378" s="796"/>
      <c r="T378" s="797"/>
      <c r="U378" s="797"/>
      <c r="V378" s="797"/>
      <c r="W378" s="802">
        <f>IFERROR(VLOOKUP($Q378,'391'!$P:$AG,15,0),0)</f>
        <v>0</v>
      </c>
      <c r="X378" s="799">
        <f t="shared" si="160"/>
        <v>5446655</v>
      </c>
      <c r="Y378" s="797"/>
      <c r="Z378" s="785"/>
      <c r="AA378" s="797"/>
      <c r="AB378" s="797"/>
      <c r="AC378" s="683"/>
      <c r="AD378" s="683"/>
      <c r="AE378" s="683"/>
      <c r="AF378" s="683"/>
      <c r="AG378" s="683"/>
      <c r="AH378" s="683"/>
      <c r="AI378" s="705"/>
      <c r="AJ378" s="705"/>
      <c r="AK378" s="705"/>
      <c r="AL378" s="705"/>
      <c r="AM378" s="705"/>
      <c r="AN378" s="705"/>
      <c r="AO378" s="705"/>
      <c r="AP378" s="705"/>
      <c r="AQ378" s="705"/>
      <c r="AR378" s="705"/>
      <c r="AS378" s="705"/>
    </row>
    <row r="379" spans="1:45" ht="30" hidden="1" customHeight="1" x14ac:dyDescent="0.25">
      <c r="A379" s="1997" t="str">
        <f>IF(L391=0,"",MAX($A$16:A377)+1)</f>
        <v/>
      </c>
      <c r="B379" s="2043" t="s">
        <v>195</v>
      </c>
      <c r="C379" s="1202" t="s">
        <v>151</v>
      </c>
      <c r="D379" s="881" t="s">
        <v>10</v>
      </c>
      <c r="E379" s="888">
        <v>44749</v>
      </c>
      <c r="F379" s="72">
        <f t="shared" ref="F379:F390" si="200">$L$7-E379</f>
        <v>1537</v>
      </c>
      <c r="G379" s="18">
        <v>0</v>
      </c>
      <c r="H379" s="1983"/>
      <c r="I379" s="312"/>
      <c r="J379" s="1322"/>
      <c r="K379" s="312"/>
      <c r="L379" s="531">
        <f t="shared" ref="L379:L422" si="201">+G379+H379+I379-J379-K379</f>
        <v>0</v>
      </c>
      <c r="M379" s="1206"/>
      <c r="N379" s="248"/>
      <c r="O379" s="147">
        <f>+G378+H378+I378-J378-K378-L378</f>
        <v>0</v>
      </c>
      <c r="P379" s="734"/>
      <c r="Q379" s="795"/>
      <c r="U379" s="787"/>
      <c r="V379" s="787"/>
      <c r="W379" s="802">
        <f>IFERROR(VLOOKUP($Q379,'391'!$P:$AG,15,0),0)</f>
        <v>0</v>
      </c>
      <c r="X379" s="799">
        <f t="shared" si="160"/>
        <v>0</v>
      </c>
      <c r="Y379" s="787"/>
      <c r="Z379" s="791"/>
      <c r="AA379" s="787"/>
      <c r="AB379" s="787"/>
      <c r="AC379" s="679"/>
    </row>
    <row r="380" spans="1:45" ht="30" hidden="1" customHeight="1" x14ac:dyDescent="0.25">
      <c r="A380" s="1998"/>
      <c r="B380" s="2065"/>
      <c r="C380" s="110" t="s">
        <v>151</v>
      </c>
      <c r="D380" s="881" t="s">
        <v>10</v>
      </c>
      <c r="E380" s="888">
        <v>44750</v>
      </c>
      <c r="F380" s="72">
        <f t="shared" si="200"/>
        <v>1536</v>
      </c>
      <c r="G380" s="18">
        <v>0</v>
      </c>
      <c r="H380" s="1983"/>
      <c r="I380" s="312"/>
      <c r="J380" s="1322"/>
      <c r="K380" s="312"/>
      <c r="L380" s="531">
        <f t="shared" si="201"/>
        <v>0</v>
      </c>
      <c r="M380" s="32"/>
      <c r="N380" s="248"/>
      <c r="O380" s="147"/>
      <c r="P380" s="734"/>
      <c r="Q380" s="795"/>
      <c r="U380" s="787"/>
      <c r="V380" s="787"/>
      <c r="W380" s="802">
        <f>IFERROR(VLOOKUP($Q380,'391'!$P:$AG,15,0),0)</f>
        <v>0</v>
      </c>
      <c r="X380" s="799">
        <f t="shared" si="160"/>
        <v>0</v>
      </c>
      <c r="Y380" s="787"/>
      <c r="Z380" s="791"/>
      <c r="AA380" s="787"/>
      <c r="AB380" s="787"/>
      <c r="AC380" s="679"/>
    </row>
    <row r="381" spans="1:45" ht="30" hidden="1" customHeight="1" x14ac:dyDescent="0.25">
      <c r="A381" s="1998"/>
      <c r="B381" s="2065"/>
      <c r="C381" s="110" t="s">
        <v>506</v>
      </c>
      <c r="D381" s="881" t="s">
        <v>10</v>
      </c>
      <c r="E381" s="888">
        <v>44750</v>
      </c>
      <c r="F381" s="72">
        <f t="shared" si="200"/>
        <v>1536</v>
      </c>
      <c r="G381" s="18">
        <v>0</v>
      </c>
      <c r="H381" s="1983"/>
      <c r="I381" s="312"/>
      <c r="J381" s="1322"/>
      <c r="K381" s="312"/>
      <c r="L381" s="531">
        <f t="shared" si="201"/>
        <v>0</v>
      </c>
      <c r="M381" s="48"/>
      <c r="N381" s="249"/>
      <c r="O381" s="101"/>
      <c r="P381" s="738"/>
      <c r="Q381" s="795"/>
      <c r="U381" s="787"/>
      <c r="V381" s="787"/>
      <c r="W381" s="802">
        <f>IFERROR(VLOOKUP($Q381,'391'!$P:$AG,15,0),0)</f>
        <v>0</v>
      </c>
      <c r="X381" s="799">
        <f t="shared" si="160"/>
        <v>0</v>
      </c>
      <c r="Y381" s="787"/>
      <c r="Z381" s="791"/>
      <c r="AA381" s="787"/>
      <c r="AB381" s="787"/>
      <c r="AC381" s="679"/>
    </row>
    <row r="382" spans="1:45" ht="30" hidden="1" customHeight="1" x14ac:dyDescent="0.25">
      <c r="A382" s="1998"/>
      <c r="B382" s="2065"/>
      <c r="C382" s="110" t="s">
        <v>360</v>
      </c>
      <c r="D382" s="881" t="s">
        <v>10</v>
      </c>
      <c r="E382" s="888">
        <v>44676</v>
      </c>
      <c r="F382" s="72">
        <f t="shared" si="200"/>
        <v>1610</v>
      </c>
      <c r="G382" s="18">
        <v>0</v>
      </c>
      <c r="H382" s="1983"/>
      <c r="I382" s="312"/>
      <c r="J382" s="1322"/>
      <c r="K382" s="312"/>
      <c r="L382" s="531">
        <f t="shared" si="201"/>
        <v>0</v>
      </c>
      <c r="M382" s="48"/>
      <c r="N382" s="249"/>
      <c r="O382" s="101"/>
      <c r="P382" s="738"/>
      <c r="Q382" s="795"/>
      <c r="U382" s="787"/>
      <c r="V382" s="787"/>
      <c r="W382" s="802">
        <f>IFERROR(VLOOKUP($Q382,'391'!$P:$AG,15,0),0)</f>
        <v>0</v>
      </c>
      <c r="X382" s="799">
        <f t="shared" si="160"/>
        <v>0</v>
      </c>
      <c r="Y382" s="787"/>
      <c r="Z382" s="791"/>
      <c r="AA382" s="787"/>
      <c r="AB382" s="787"/>
      <c r="AC382" s="679"/>
    </row>
    <row r="383" spans="1:45" ht="30" hidden="1" customHeight="1" x14ac:dyDescent="0.25">
      <c r="A383" s="1998"/>
      <c r="B383" s="2065"/>
      <c r="C383" s="110" t="s">
        <v>360</v>
      </c>
      <c r="D383" s="881" t="s">
        <v>10</v>
      </c>
      <c r="E383" s="888">
        <v>44676</v>
      </c>
      <c r="F383" s="72">
        <f t="shared" si="200"/>
        <v>1610</v>
      </c>
      <c r="G383" s="18">
        <v>0</v>
      </c>
      <c r="H383" s="1983"/>
      <c r="I383" s="312"/>
      <c r="J383" s="1322"/>
      <c r="K383" s="312"/>
      <c r="L383" s="531">
        <f t="shared" si="201"/>
        <v>0</v>
      </c>
      <c r="M383" s="48"/>
      <c r="N383" s="249"/>
      <c r="O383" s="101"/>
      <c r="P383" s="738"/>
      <c r="Q383" s="795"/>
      <c r="U383" s="787"/>
      <c r="V383" s="787"/>
      <c r="W383" s="802">
        <f>IFERROR(VLOOKUP($Q383,'391'!$P:$AG,15,0),0)</f>
        <v>0</v>
      </c>
      <c r="X383" s="799">
        <f t="shared" si="160"/>
        <v>0</v>
      </c>
      <c r="Y383" s="787"/>
      <c r="Z383" s="791"/>
      <c r="AA383" s="787"/>
      <c r="AB383" s="787"/>
      <c r="AC383" s="679"/>
    </row>
    <row r="384" spans="1:45" ht="30" hidden="1" customHeight="1" x14ac:dyDescent="0.25">
      <c r="A384" s="1998"/>
      <c r="B384" s="2065"/>
      <c r="C384" s="110"/>
      <c r="D384" s="881" t="s">
        <v>10</v>
      </c>
      <c r="E384" s="888">
        <v>44676</v>
      </c>
      <c r="F384" s="72">
        <f t="shared" si="200"/>
        <v>1610</v>
      </c>
      <c r="G384" s="18">
        <v>0</v>
      </c>
      <c r="H384" s="1983"/>
      <c r="I384" s="312"/>
      <c r="J384" s="1322"/>
      <c r="K384" s="312"/>
      <c r="L384" s="531">
        <f t="shared" si="201"/>
        <v>0</v>
      </c>
      <c r="M384" s="48"/>
      <c r="N384" s="249"/>
      <c r="O384" s="101"/>
      <c r="P384" s="738"/>
      <c r="Q384" s="795"/>
      <c r="U384" s="787"/>
      <c r="V384" s="787"/>
      <c r="W384" s="802">
        <f>IFERROR(VLOOKUP($Q384,'391'!$P:$AG,15,0),0)</f>
        <v>0</v>
      </c>
      <c r="X384" s="799">
        <f t="shared" si="160"/>
        <v>0</v>
      </c>
      <c r="Y384" s="787"/>
      <c r="Z384" s="791"/>
      <c r="AA384" s="787"/>
      <c r="AB384" s="787"/>
      <c r="AC384" s="679"/>
    </row>
    <row r="385" spans="1:45" ht="30" hidden="1" customHeight="1" x14ac:dyDescent="0.25">
      <c r="A385" s="1998"/>
      <c r="B385" s="2065"/>
      <c r="C385" s="110"/>
      <c r="D385" s="881" t="s">
        <v>10</v>
      </c>
      <c r="E385" s="888">
        <v>44676</v>
      </c>
      <c r="F385" s="72">
        <f t="shared" si="200"/>
        <v>1610</v>
      </c>
      <c r="G385" s="18">
        <v>0</v>
      </c>
      <c r="H385" s="1983"/>
      <c r="I385" s="312"/>
      <c r="J385" s="1322"/>
      <c r="K385" s="312"/>
      <c r="L385" s="531">
        <f t="shared" si="201"/>
        <v>0</v>
      </c>
      <c r="M385" s="48"/>
      <c r="N385" s="249"/>
      <c r="O385" s="101"/>
      <c r="P385" s="738"/>
      <c r="Q385" s="795"/>
      <c r="U385" s="787"/>
      <c r="V385" s="787"/>
      <c r="W385" s="802">
        <f>IFERROR(VLOOKUP($Q385,'391'!$P:$AG,15,0),0)</f>
        <v>0</v>
      </c>
      <c r="X385" s="799">
        <f t="shared" si="160"/>
        <v>0</v>
      </c>
      <c r="Y385" s="787"/>
      <c r="Z385" s="791"/>
      <c r="AA385" s="787"/>
      <c r="AB385" s="787"/>
      <c r="AC385" s="679"/>
    </row>
    <row r="386" spans="1:45" ht="30" hidden="1" customHeight="1" x14ac:dyDescent="0.25">
      <c r="A386" s="1998"/>
      <c r="B386" s="2065"/>
      <c r="C386" s="110" t="s">
        <v>360</v>
      </c>
      <c r="D386" s="881" t="s">
        <v>10</v>
      </c>
      <c r="E386" s="888">
        <v>44676</v>
      </c>
      <c r="F386" s="72">
        <f t="shared" si="200"/>
        <v>1610</v>
      </c>
      <c r="G386" s="18">
        <v>0</v>
      </c>
      <c r="H386" s="1983"/>
      <c r="I386" s="312"/>
      <c r="J386" s="1322"/>
      <c r="K386" s="312"/>
      <c r="L386" s="531">
        <f t="shared" si="201"/>
        <v>0</v>
      </c>
      <c r="M386" s="48"/>
      <c r="N386" s="249"/>
      <c r="O386" s="101"/>
      <c r="P386" s="738"/>
      <c r="Q386" s="795"/>
      <c r="U386" s="787"/>
      <c r="V386" s="787"/>
      <c r="W386" s="802">
        <f>IFERROR(VLOOKUP($Q386,'391'!$P:$AG,15,0),0)</f>
        <v>0</v>
      </c>
      <c r="X386" s="799">
        <f t="shared" si="160"/>
        <v>0</v>
      </c>
      <c r="Y386" s="787"/>
      <c r="Z386" s="791"/>
      <c r="AA386" s="787"/>
      <c r="AB386" s="787"/>
      <c r="AC386" s="679"/>
    </row>
    <row r="387" spans="1:45" ht="30" hidden="1" customHeight="1" x14ac:dyDescent="0.25">
      <c r="A387" s="1998"/>
      <c r="B387" s="2065"/>
      <c r="C387" s="110" t="s">
        <v>578</v>
      </c>
      <c r="D387" s="881" t="s">
        <v>10</v>
      </c>
      <c r="E387" s="888">
        <v>44369</v>
      </c>
      <c r="F387" s="72">
        <f t="shared" si="200"/>
        <v>1917</v>
      </c>
      <c r="G387" s="18">
        <v>0</v>
      </c>
      <c r="H387" s="1983"/>
      <c r="I387" s="312"/>
      <c r="J387" s="1322"/>
      <c r="K387" s="312"/>
      <c r="L387" s="531">
        <f t="shared" si="201"/>
        <v>0</v>
      </c>
      <c r="M387" s="48"/>
      <c r="N387" s="249"/>
      <c r="O387" s="101"/>
      <c r="P387" s="738"/>
      <c r="Q387" s="795"/>
      <c r="U387" s="787"/>
      <c r="V387" s="787"/>
      <c r="W387" s="802">
        <f>IFERROR(VLOOKUP($Q387,'391'!$P:$AG,15,0),0)</f>
        <v>0</v>
      </c>
      <c r="X387" s="799">
        <f t="shared" si="160"/>
        <v>0</v>
      </c>
      <c r="Y387" s="787"/>
      <c r="Z387" s="791"/>
      <c r="AA387" s="787"/>
      <c r="AB387" s="787"/>
      <c r="AC387" s="679"/>
    </row>
    <row r="388" spans="1:45" ht="30" hidden="1" customHeight="1" x14ac:dyDescent="0.25">
      <c r="A388" s="1998"/>
      <c r="B388" s="2065"/>
      <c r="C388" s="110" t="s">
        <v>351</v>
      </c>
      <c r="D388" s="881" t="s">
        <v>10</v>
      </c>
      <c r="E388" s="888">
        <v>44084</v>
      </c>
      <c r="F388" s="72">
        <f t="shared" si="200"/>
        <v>2202</v>
      </c>
      <c r="G388" s="18">
        <v>0</v>
      </c>
      <c r="H388" s="1983"/>
      <c r="I388" s="312"/>
      <c r="J388" s="1322"/>
      <c r="K388" s="312"/>
      <c r="L388" s="531">
        <f t="shared" si="201"/>
        <v>0</v>
      </c>
      <c r="M388" s="48"/>
      <c r="N388" s="249"/>
      <c r="O388" s="101"/>
      <c r="P388" s="738"/>
      <c r="Q388" s="795"/>
      <c r="U388" s="787"/>
      <c r="V388" s="787"/>
      <c r="W388" s="802">
        <f>IFERROR(VLOOKUP($Q388,'391'!$P:$AG,15,0),0)</f>
        <v>0</v>
      </c>
      <c r="X388" s="799">
        <f t="shared" si="160"/>
        <v>0</v>
      </c>
      <c r="Y388" s="787"/>
      <c r="Z388" s="791"/>
      <c r="AA388" s="787"/>
      <c r="AB388" s="787"/>
      <c r="AC388" s="679"/>
    </row>
    <row r="389" spans="1:45" ht="30" hidden="1" customHeight="1" x14ac:dyDescent="0.25">
      <c r="A389" s="1998"/>
      <c r="B389" s="2065"/>
      <c r="C389" s="110" t="s">
        <v>256</v>
      </c>
      <c r="D389" s="881" t="s">
        <v>10</v>
      </c>
      <c r="E389" s="888">
        <v>44072</v>
      </c>
      <c r="F389" s="72">
        <f t="shared" si="200"/>
        <v>2214</v>
      </c>
      <c r="G389" s="18">
        <v>0</v>
      </c>
      <c r="H389" s="1983"/>
      <c r="I389" s="312"/>
      <c r="J389" s="1322"/>
      <c r="K389" s="312"/>
      <c r="L389" s="531">
        <f t="shared" si="201"/>
        <v>0</v>
      </c>
      <c r="M389" s="48"/>
      <c r="N389" s="249"/>
      <c r="O389" s="101"/>
      <c r="P389" s="738"/>
      <c r="Q389" s="795"/>
      <c r="U389" s="787"/>
      <c r="V389" s="787"/>
      <c r="W389" s="802">
        <f>IFERROR(VLOOKUP($Q389,'391'!$P:$AG,15,0),0)</f>
        <v>0</v>
      </c>
      <c r="X389" s="799">
        <f t="shared" si="160"/>
        <v>0</v>
      </c>
      <c r="Y389" s="787"/>
      <c r="Z389" s="791"/>
      <c r="AA389" s="787"/>
      <c r="AB389" s="787"/>
      <c r="AC389" s="679"/>
    </row>
    <row r="390" spans="1:45" s="406" customFormat="1" ht="30" hidden="1" customHeight="1" x14ac:dyDescent="0.25">
      <c r="A390" s="1998"/>
      <c r="B390" s="2065"/>
      <c r="C390" s="61" t="s">
        <v>1121</v>
      </c>
      <c r="D390" s="863" t="s">
        <v>10</v>
      </c>
      <c r="E390" s="886">
        <v>44749</v>
      </c>
      <c r="F390" s="39">
        <f t="shared" si="200"/>
        <v>1537</v>
      </c>
      <c r="G390" s="28">
        <v>0</v>
      </c>
      <c r="H390" s="1983"/>
      <c r="I390" s="28">
        <f>SUM(K379:K389)</f>
        <v>0</v>
      </c>
      <c r="J390" s="1295">
        <f>usage!I39</f>
        <v>0</v>
      </c>
      <c r="K390" s="28"/>
      <c r="L390" s="531">
        <f t="shared" si="201"/>
        <v>0</v>
      </c>
      <c r="M390" s="35"/>
      <c r="N390" s="87"/>
      <c r="O390" s="35"/>
      <c r="P390" s="740"/>
      <c r="Q390" s="795"/>
      <c r="R390" s="785"/>
      <c r="S390" s="786"/>
      <c r="T390" s="787"/>
      <c r="U390" s="787"/>
      <c r="V390" s="787"/>
      <c r="W390" s="802">
        <f>IFERROR(VLOOKUP($Q390,'391'!$P:$AG,15,0),0)</f>
        <v>0</v>
      </c>
      <c r="X390" s="799">
        <f t="shared" si="160"/>
        <v>0</v>
      </c>
      <c r="Y390" s="787"/>
      <c r="Z390" s="791"/>
      <c r="AA390" s="787"/>
      <c r="AB390" s="787"/>
      <c r="AC390" s="679"/>
      <c r="AD390" s="679"/>
      <c r="AE390" s="679"/>
      <c r="AF390" s="679"/>
      <c r="AG390" s="679"/>
      <c r="AH390" s="679"/>
      <c r="AI390" s="682"/>
      <c r="AJ390" s="682"/>
      <c r="AK390" s="682"/>
      <c r="AL390" s="682"/>
      <c r="AM390" s="682"/>
      <c r="AN390" s="682"/>
      <c r="AO390" s="682"/>
      <c r="AP390" s="682"/>
      <c r="AQ390" s="682"/>
      <c r="AR390" s="682"/>
      <c r="AS390" s="682"/>
    </row>
    <row r="391" spans="1:45" s="402" customFormat="1" ht="30" hidden="1" customHeight="1" x14ac:dyDescent="0.25">
      <c r="A391" s="2019" t="s">
        <v>1167</v>
      </c>
      <c r="B391" s="2020"/>
      <c r="C391" s="88"/>
      <c r="D391" s="864"/>
      <c r="E391" s="864"/>
      <c r="F391" s="865"/>
      <c r="G391" s="1296">
        <v>0</v>
      </c>
      <c r="H391" s="1296">
        <f>+SUM(H379:H390)</f>
        <v>0</v>
      </c>
      <c r="I391" s="1296">
        <f>+SUM(I379:I390)</f>
        <v>0</v>
      </c>
      <c r="J391" s="1296">
        <f>+SUM(J379:J390)</f>
        <v>0</v>
      </c>
      <c r="K391" s="1296">
        <f>+SUM(K379:K390)</f>
        <v>0</v>
      </c>
      <c r="L391" s="531">
        <f t="shared" si="201"/>
        <v>0</v>
      </c>
      <c r="M391" s="59">
        <f>IFERROR((S391/$S$2),"")</f>
        <v>12123.666666666666</v>
      </c>
      <c r="N391" s="854">
        <f>(L391/M391)</f>
        <v>0</v>
      </c>
      <c r="O391" s="59">
        <f>IFERROR(SUMIF(ETM!$A:$A,$Q391,ETM!$E:$E),"")</f>
        <v>12404.000000000002</v>
      </c>
      <c r="P391" s="855">
        <f>(L391/O391)</f>
        <v>0</v>
      </c>
      <c r="Q391" s="795" t="s">
        <v>819</v>
      </c>
      <c r="R391" s="785" t="str">
        <f>IFERROR(VLOOKUP($Q391,'391'!$P:$W,8,0),"0")</f>
        <v>0</v>
      </c>
      <c r="S391" s="800">
        <f>+R391+R401+R423</f>
        <v>72742</v>
      </c>
      <c r="T391" s="797"/>
      <c r="U391" s="797"/>
      <c r="V391" s="797"/>
      <c r="W391" s="802">
        <f>IFERROR(VLOOKUP($Q391,'391'!$P:$AG,15,0),0)</f>
        <v>0</v>
      </c>
      <c r="X391" s="799">
        <f t="shared" ref="X391:X429" si="202">G391-W391</f>
        <v>0</v>
      </c>
      <c r="Y391" s="797"/>
      <c r="Z391" s="785"/>
      <c r="AA391" s="797"/>
      <c r="AB391" s="797"/>
      <c r="AC391" s="551"/>
      <c r="AD391" s="551"/>
      <c r="AE391" s="551"/>
      <c r="AF391" s="551"/>
      <c r="AG391" s="551"/>
      <c r="AH391" s="551"/>
      <c r="AI391" s="704"/>
      <c r="AJ391" s="704"/>
      <c r="AK391" s="704"/>
      <c r="AL391" s="704"/>
      <c r="AM391" s="704"/>
      <c r="AN391" s="704"/>
      <c r="AO391" s="704"/>
      <c r="AP391" s="704"/>
      <c r="AQ391" s="704"/>
      <c r="AR391" s="704"/>
      <c r="AS391" s="704"/>
    </row>
    <row r="392" spans="1:45" s="400" customFormat="1" ht="30" hidden="1" customHeight="1" x14ac:dyDescent="0.25">
      <c r="A392" s="2021" t="str">
        <f>IF(L401=0,"",MAX($A$16:A391)+1)</f>
        <v/>
      </c>
      <c r="B392" s="2058" t="s">
        <v>527</v>
      </c>
      <c r="C392" s="110" t="s">
        <v>351</v>
      </c>
      <c r="D392" s="881" t="s">
        <v>10</v>
      </c>
      <c r="E392" s="888">
        <v>44427</v>
      </c>
      <c r="F392" s="72">
        <f t="shared" ref="F392:F400" si="203">$L$7-E392</f>
        <v>1859</v>
      </c>
      <c r="G392" s="18">
        <v>0</v>
      </c>
      <c r="H392" s="1983"/>
      <c r="I392" s="312"/>
      <c r="J392" s="1338"/>
      <c r="K392" s="18"/>
      <c r="L392" s="531">
        <f t="shared" si="201"/>
        <v>0</v>
      </c>
      <c r="M392" s="50"/>
      <c r="N392" s="167"/>
      <c r="O392" s="50"/>
      <c r="P392" s="738"/>
      <c r="Q392" s="795"/>
      <c r="R392" s="785">
        <f>IFERROR(VLOOKUP($Q392,'391'!$P:$W,8,0),"")</f>
        <v>0</v>
      </c>
      <c r="S392" s="796"/>
      <c r="T392" s="797"/>
      <c r="U392" s="797"/>
      <c r="V392" s="797"/>
      <c r="W392" s="802">
        <f>IFERROR(VLOOKUP($Q392,'391'!$P:$AG,15,0),0)</f>
        <v>0</v>
      </c>
      <c r="X392" s="799">
        <f t="shared" si="202"/>
        <v>0</v>
      </c>
      <c r="Y392" s="797"/>
      <c r="Z392" s="785"/>
      <c r="AA392" s="797"/>
      <c r="AB392" s="797"/>
      <c r="AC392" s="681"/>
      <c r="AD392" s="681"/>
      <c r="AE392" s="681"/>
      <c r="AF392" s="681"/>
      <c r="AG392" s="681"/>
      <c r="AH392" s="681"/>
      <c r="AI392" s="703"/>
      <c r="AJ392" s="703"/>
      <c r="AK392" s="703"/>
      <c r="AL392" s="703"/>
      <c r="AM392" s="703"/>
      <c r="AN392" s="703"/>
      <c r="AO392" s="703"/>
      <c r="AP392" s="703"/>
      <c r="AQ392" s="703"/>
      <c r="AR392" s="703"/>
      <c r="AS392" s="703"/>
    </row>
    <row r="393" spans="1:45" s="400" customFormat="1" ht="30" hidden="1" customHeight="1" x14ac:dyDescent="0.25">
      <c r="A393" s="2022"/>
      <c r="B393" s="2025"/>
      <c r="C393" s="110" t="s">
        <v>128</v>
      </c>
      <c r="D393" s="881" t="s">
        <v>10</v>
      </c>
      <c r="E393" s="888">
        <v>44432</v>
      </c>
      <c r="F393" s="72">
        <f t="shared" si="203"/>
        <v>1854</v>
      </c>
      <c r="G393" s="18">
        <v>0</v>
      </c>
      <c r="H393" s="1983"/>
      <c r="I393" s="300"/>
      <c r="J393" s="1338"/>
      <c r="K393" s="18"/>
      <c r="L393" s="531">
        <f t="shared" si="201"/>
        <v>0</v>
      </c>
      <c r="M393" s="48"/>
      <c r="N393" s="255"/>
      <c r="O393" s="48"/>
      <c r="P393" s="738"/>
      <c r="Q393" s="795"/>
      <c r="R393" s="785">
        <f>IFERROR(VLOOKUP($Q393,'391'!$P:$W,8,0),"")</f>
        <v>0</v>
      </c>
      <c r="S393" s="796"/>
      <c r="T393" s="797"/>
      <c r="U393" s="797"/>
      <c r="V393" s="797"/>
      <c r="W393" s="802">
        <f>IFERROR(VLOOKUP($Q393,'391'!$P:$AG,15,0),0)</f>
        <v>0</v>
      </c>
      <c r="X393" s="799">
        <f t="shared" si="202"/>
        <v>0</v>
      </c>
      <c r="Y393" s="797"/>
      <c r="Z393" s="785"/>
      <c r="AA393" s="797"/>
      <c r="AB393" s="797"/>
      <c r="AC393" s="681"/>
      <c r="AD393" s="681"/>
      <c r="AE393" s="681"/>
      <c r="AF393" s="681"/>
      <c r="AG393" s="681"/>
      <c r="AH393" s="681"/>
      <c r="AI393" s="703"/>
      <c r="AJ393" s="703"/>
      <c r="AK393" s="703"/>
      <c r="AL393" s="703"/>
      <c r="AM393" s="703"/>
      <c r="AN393" s="703"/>
      <c r="AO393" s="703"/>
      <c r="AP393" s="703"/>
      <c r="AQ393" s="703"/>
      <c r="AR393" s="703"/>
      <c r="AS393" s="703"/>
    </row>
    <row r="394" spans="1:45" s="400" customFormat="1" ht="30" hidden="1" customHeight="1" x14ac:dyDescent="0.25">
      <c r="A394" s="2022"/>
      <c r="B394" s="2025"/>
      <c r="C394" s="110" t="s">
        <v>351</v>
      </c>
      <c r="D394" s="881" t="s">
        <v>10</v>
      </c>
      <c r="E394" s="888">
        <v>44427</v>
      </c>
      <c r="F394" s="72">
        <f t="shared" si="203"/>
        <v>1859</v>
      </c>
      <c r="G394" s="18">
        <v>0</v>
      </c>
      <c r="H394" s="1983"/>
      <c r="I394" s="18"/>
      <c r="J394" s="1338"/>
      <c r="K394" s="18"/>
      <c r="L394" s="531">
        <f t="shared" si="201"/>
        <v>0</v>
      </c>
      <c r="M394" s="48"/>
      <c r="N394" s="255"/>
      <c r="O394" s="48"/>
      <c r="P394" s="738"/>
      <c r="Q394" s="795"/>
      <c r="R394" s="785">
        <f>IFERROR(VLOOKUP($Q394,'391'!$P:$W,8,0),"")</f>
        <v>0</v>
      </c>
      <c r="S394" s="796"/>
      <c r="T394" s="797"/>
      <c r="U394" s="797"/>
      <c r="V394" s="797"/>
      <c r="W394" s="802">
        <f>IFERROR(VLOOKUP($Q394,'391'!$P:$AG,15,0),0)</f>
        <v>0</v>
      </c>
      <c r="X394" s="799">
        <f t="shared" si="202"/>
        <v>0</v>
      </c>
      <c r="Y394" s="797"/>
      <c r="Z394" s="785"/>
      <c r="AA394" s="797"/>
      <c r="AB394" s="797"/>
      <c r="AC394" s="681"/>
      <c r="AD394" s="681"/>
      <c r="AE394" s="681"/>
      <c r="AF394" s="681"/>
      <c r="AG394" s="681"/>
      <c r="AH394" s="681"/>
      <c r="AI394" s="703"/>
      <c r="AJ394" s="703"/>
      <c r="AK394" s="703"/>
      <c r="AL394" s="703"/>
      <c r="AM394" s="703"/>
      <c r="AN394" s="703"/>
      <c r="AO394" s="703"/>
      <c r="AP394" s="703"/>
      <c r="AQ394" s="703"/>
      <c r="AR394" s="703"/>
      <c r="AS394" s="703"/>
    </row>
    <row r="395" spans="1:45" s="400" customFormat="1" ht="30" hidden="1" customHeight="1" x14ac:dyDescent="0.25">
      <c r="A395" s="2022"/>
      <c r="B395" s="2025"/>
      <c r="C395" s="110" t="s">
        <v>256</v>
      </c>
      <c r="D395" s="881" t="s">
        <v>10</v>
      </c>
      <c r="E395" s="888">
        <v>44386</v>
      </c>
      <c r="F395" s="72">
        <f t="shared" si="203"/>
        <v>1900</v>
      </c>
      <c r="G395" s="18">
        <v>0</v>
      </c>
      <c r="H395" s="1983"/>
      <c r="I395" s="1349"/>
      <c r="J395" s="1338"/>
      <c r="K395" s="18"/>
      <c r="L395" s="531">
        <f t="shared" si="201"/>
        <v>0</v>
      </c>
      <c r="M395" s="48"/>
      <c r="N395" s="163"/>
      <c r="O395" s="48"/>
      <c r="P395" s="738"/>
      <c r="Q395" s="795"/>
      <c r="R395" s="785">
        <f>IFERROR(VLOOKUP($Q395,'391'!$P:$W,8,0),"")</f>
        <v>0</v>
      </c>
      <c r="S395" s="796"/>
      <c r="T395" s="797"/>
      <c r="U395" s="797"/>
      <c r="V395" s="797"/>
      <c r="W395" s="802">
        <f>IFERROR(VLOOKUP($Q395,'391'!$P:$AG,15,0),0)</f>
        <v>0</v>
      </c>
      <c r="X395" s="799">
        <f t="shared" si="202"/>
        <v>0</v>
      </c>
      <c r="Y395" s="797"/>
      <c r="Z395" s="785"/>
      <c r="AA395" s="797"/>
      <c r="AB395" s="797"/>
      <c r="AC395" s="681"/>
      <c r="AD395" s="681"/>
      <c r="AE395" s="681"/>
      <c r="AF395" s="681"/>
      <c r="AG395" s="681"/>
      <c r="AH395" s="681"/>
      <c r="AI395" s="703"/>
      <c r="AJ395" s="703"/>
      <c r="AK395" s="703"/>
      <c r="AL395" s="703"/>
      <c r="AM395" s="703"/>
      <c r="AN395" s="703"/>
      <c r="AO395" s="703"/>
      <c r="AP395" s="703"/>
      <c r="AQ395" s="703"/>
      <c r="AR395" s="703"/>
      <c r="AS395" s="703"/>
    </row>
    <row r="396" spans="1:45" s="400" customFormat="1" ht="30" hidden="1" customHeight="1" x14ac:dyDescent="0.25">
      <c r="A396" s="2022"/>
      <c r="B396" s="2025"/>
      <c r="C396" s="110" t="s">
        <v>256</v>
      </c>
      <c r="D396" s="881" t="s">
        <v>10</v>
      </c>
      <c r="E396" s="888">
        <v>44386</v>
      </c>
      <c r="F396" s="72">
        <f t="shared" si="203"/>
        <v>1900</v>
      </c>
      <c r="G396" s="18">
        <v>0</v>
      </c>
      <c r="H396" s="1983"/>
      <c r="I396" s="1349"/>
      <c r="J396" s="1338"/>
      <c r="K396" s="18"/>
      <c r="L396" s="531">
        <f t="shared" si="201"/>
        <v>0</v>
      </c>
      <c r="M396" s="48"/>
      <c r="N396" s="255"/>
      <c r="O396" s="48"/>
      <c r="P396" s="738"/>
      <c r="Q396" s="795"/>
      <c r="R396" s="785">
        <f>IFERROR(VLOOKUP($Q396,'391'!$P:$W,8,0),"")</f>
        <v>0</v>
      </c>
      <c r="S396" s="796"/>
      <c r="T396" s="797"/>
      <c r="U396" s="797"/>
      <c r="V396" s="797"/>
      <c r="W396" s="802">
        <f>IFERROR(VLOOKUP($Q396,'391'!$P:$AG,15,0),0)</f>
        <v>0</v>
      </c>
      <c r="X396" s="799">
        <f t="shared" si="202"/>
        <v>0</v>
      </c>
      <c r="Y396" s="797"/>
      <c r="Z396" s="785"/>
      <c r="AA396" s="797"/>
      <c r="AB396" s="797"/>
      <c r="AC396" s="681"/>
      <c r="AD396" s="681"/>
      <c r="AE396" s="681"/>
      <c r="AF396" s="681"/>
      <c r="AG396" s="681"/>
      <c r="AH396" s="681"/>
      <c r="AI396" s="703"/>
      <c r="AJ396" s="703"/>
      <c r="AK396" s="703"/>
      <c r="AL396" s="703"/>
      <c r="AM396" s="703"/>
      <c r="AN396" s="703"/>
      <c r="AO396" s="703"/>
      <c r="AP396" s="703"/>
      <c r="AQ396" s="703"/>
      <c r="AR396" s="703"/>
      <c r="AS396" s="703"/>
    </row>
    <row r="397" spans="1:45" s="400" customFormat="1" ht="30" hidden="1" customHeight="1" x14ac:dyDescent="0.25">
      <c r="A397" s="2022"/>
      <c r="B397" s="2025"/>
      <c r="C397" s="110" t="s">
        <v>620</v>
      </c>
      <c r="D397" s="881" t="s">
        <v>10</v>
      </c>
      <c r="E397" s="888">
        <v>44203</v>
      </c>
      <c r="F397" s="72">
        <f t="shared" si="203"/>
        <v>2083</v>
      </c>
      <c r="G397" s="18">
        <v>0</v>
      </c>
      <c r="H397" s="1983"/>
      <c r="I397" s="1349"/>
      <c r="J397" s="1338"/>
      <c r="K397" s="18"/>
      <c r="L397" s="531">
        <f t="shared" si="201"/>
        <v>0</v>
      </c>
      <c r="M397" s="45"/>
      <c r="N397" s="162"/>
      <c r="O397" s="45"/>
      <c r="P397" s="857"/>
      <c r="Q397" s="795"/>
      <c r="R397" s="785">
        <f>IFERROR(VLOOKUP($Q397,'391'!$P:$W,8,0),"")</f>
        <v>0</v>
      </c>
      <c r="S397" s="796"/>
      <c r="T397" s="797"/>
      <c r="U397" s="797"/>
      <c r="V397" s="797"/>
      <c r="W397" s="802">
        <f>IFERROR(VLOOKUP($Q397,'391'!$P:$AG,15,0),0)</f>
        <v>0</v>
      </c>
      <c r="X397" s="799">
        <f t="shared" si="202"/>
        <v>0</v>
      </c>
      <c r="Y397" s="797"/>
      <c r="Z397" s="785"/>
      <c r="AA397" s="797"/>
      <c r="AB397" s="797"/>
      <c r="AC397" s="681"/>
      <c r="AD397" s="681"/>
      <c r="AE397" s="681"/>
      <c r="AF397" s="681"/>
      <c r="AG397" s="681"/>
      <c r="AH397" s="681"/>
      <c r="AI397" s="703"/>
      <c r="AJ397" s="703"/>
      <c r="AK397" s="703"/>
      <c r="AL397" s="703"/>
      <c r="AM397" s="703"/>
      <c r="AN397" s="703"/>
      <c r="AO397" s="703"/>
      <c r="AP397" s="703"/>
      <c r="AQ397" s="703"/>
      <c r="AR397" s="703"/>
      <c r="AS397" s="703"/>
    </row>
    <row r="398" spans="1:45" s="400" customFormat="1" ht="30" hidden="1" customHeight="1" x14ac:dyDescent="0.25">
      <c r="A398" s="2022"/>
      <c r="B398" s="2025"/>
      <c r="C398" s="110" t="s">
        <v>351</v>
      </c>
      <c r="D398" s="881" t="s">
        <v>10</v>
      </c>
      <c r="E398" s="888">
        <v>44203</v>
      </c>
      <c r="F398" s="72">
        <f t="shared" si="203"/>
        <v>2083</v>
      </c>
      <c r="G398" s="18">
        <v>0</v>
      </c>
      <c r="H398" s="1983"/>
      <c r="I398" s="18"/>
      <c r="J398" s="1338"/>
      <c r="K398" s="18"/>
      <c r="L398" s="531">
        <f t="shared" si="201"/>
        <v>0</v>
      </c>
      <c r="M398" s="45"/>
      <c r="N398" s="162"/>
      <c r="O398" s="45"/>
      <c r="P398" s="924"/>
      <c r="Q398" s="795"/>
      <c r="R398" s="785">
        <f>IFERROR(VLOOKUP($Q398,'391'!$P:$W,8,0),"")</f>
        <v>0</v>
      </c>
      <c r="S398" s="796"/>
      <c r="T398" s="797"/>
      <c r="U398" s="797"/>
      <c r="V398" s="797"/>
      <c r="W398" s="802">
        <f>IFERROR(VLOOKUP($Q398,'391'!$P:$AG,15,0),0)</f>
        <v>0</v>
      </c>
      <c r="X398" s="799">
        <f t="shared" si="202"/>
        <v>0</v>
      </c>
      <c r="Y398" s="797"/>
      <c r="Z398" s="785"/>
      <c r="AA398" s="797"/>
      <c r="AB398" s="797"/>
      <c r="AC398" s="681"/>
      <c r="AD398" s="681"/>
      <c r="AE398" s="681"/>
      <c r="AF398" s="681"/>
      <c r="AG398" s="681"/>
      <c r="AH398" s="681"/>
      <c r="AI398" s="703"/>
      <c r="AJ398" s="703"/>
      <c r="AK398" s="703"/>
      <c r="AL398" s="703"/>
      <c r="AM398" s="703"/>
      <c r="AN398" s="703"/>
      <c r="AO398" s="703"/>
      <c r="AP398" s="703"/>
      <c r="AQ398" s="703"/>
      <c r="AR398" s="703"/>
      <c r="AS398" s="703"/>
    </row>
    <row r="399" spans="1:45" s="400" customFormat="1" ht="30" hidden="1" customHeight="1" x14ac:dyDescent="0.25">
      <c r="A399" s="2022"/>
      <c r="B399" s="2025"/>
      <c r="C399" s="110" t="s">
        <v>351</v>
      </c>
      <c r="D399" s="881" t="s">
        <v>10</v>
      </c>
      <c r="E399" s="888">
        <v>44203</v>
      </c>
      <c r="F399" s="72">
        <f t="shared" si="203"/>
        <v>2083</v>
      </c>
      <c r="G399" s="18">
        <v>0</v>
      </c>
      <c r="H399" s="1983"/>
      <c r="I399" s="1349"/>
      <c r="J399" s="1338"/>
      <c r="K399" s="18"/>
      <c r="L399" s="531">
        <f t="shared" si="201"/>
        <v>0</v>
      </c>
      <c r="M399" s="45"/>
      <c r="N399" s="162"/>
      <c r="O399" s="45"/>
      <c r="P399" s="857"/>
      <c r="Q399" s="795"/>
      <c r="R399" s="785">
        <f>IFERROR(VLOOKUP($Q399,'391'!$P:$W,8,0),"")</f>
        <v>0</v>
      </c>
      <c r="S399" s="796"/>
      <c r="T399" s="797"/>
      <c r="U399" s="797"/>
      <c r="V399" s="797"/>
      <c r="W399" s="802">
        <f>IFERROR(VLOOKUP($Q399,'391'!$P:$AG,15,0),0)</f>
        <v>0</v>
      </c>
      <c r="X399" s="799">
        <f t="shared" si="202"/>
        <v>0</v>
      </c>
      <c r="Y399" s="797"/>
      <c r="Z399" s="785"/>
      <c r="AA399" s="797"/>
      <c r="AB399" s="797"/>
      <c r="AC399" s="681"/>
      <c r="AD399" s="681"/>
      <c r="AE399" s="681"/>
      <c r="AF399" s="681"/>
      <c r="AG399" s="681"/>
      <c r="AH399" s="681"/>
      <c r="AI399" s="703"/>
      <c r="AJ399" s="703"/>
      <c r="AK399" s="703"/>
      <c r="AL399" s="703"/>
      <c r="AM399" s="703"/>
      <c r="AN399" s="703"/>
      <c r="AO399" s="703"/>
      <c r="AP399" s="703"/>
      <c r="AQ399" s="703"/>
      <c r="AR399" s="703"/>
      <c r="AS399" s="703"/>
    </row>
    <row r="400" spans="1:45" s="401" customFormat="1" ht="30" hidden="1" customHeight="1" x14ac:dyDescent="0.25">
      <c r="A400" s="2023"/>
      <c r="B400" s="2026"/>
      <c r="C400" s="61" t="s">
        <v>185</v>
      </c>
      <c r="D400" s="925" t="s">
        <v>10</v>
      </c>
      <c r="E400" s="926">
        <v>44427</v>
      </c>
      <c r="F400" s="927">
        <f t="shared" si="203"/>
        <v>1859</v>
      </c>
      <c r="G400" s="1350">
        <v>0</v>
      </c>
      <c r="H400" s="1983"/>
      <c r="I400" s="1350">
        <f>SUM(K392:K398)</f>
        <v>0</v>
      </c>
      <c r="J400" s="1351">
        <f>usage!I40</f>
        <v>0</v>
      </c>
      <c r="K400" s="1350"/>
      <c r="L400" s="531">
        <f t="shared" si="201"/>
        <v>0</v>
      </c>
      <c r="M400" s="35"/>
      <c r="N400" s="87"/>
      <c r="O400" s="35"/>
      <c r="P400" s="857"/>
      <c r="Q400" s="795"/>
      <c r="R400" s="785">
        <f>IFERROR(VLOOKUP($Q400,'391'!$P:$W,8,0),"")</f>
        <v>0</v>
      </c>
      <c r="S400" s="796"/>
      <c r="T400" s="797"/>
      <c r="U400" s="797"/>
      <c r="V400" s="797"/>
      <c r="W400" s="802">
        <f>IFERROR(VLOOKUP($Q400,'391'!$P:$AG,15,0),0)</f>
        <v>0</v>
      </c>
      <c r="X400" s="799">
        <f t="shared" si="202"/>
        <v>0</v>
      </c>
      <c r="Y400" s="797"/>
      <c r="Z400" s="785"/>
      <c r="AA400" s="797"/>
      <c r="AB400" s="797"/>
      <c r="AC400" s="681"/>
      <c r="AD400" s="681"/>
      <c r="AE400" s="681"/>
      <c r="AF400" s="681"/>
      <c r="AG400" s="681"/>
      <c r="AH400" s="681"/>
      <c r="AI400" s="703"/>
      <c r="AJ400" s="703"/>
      <c r="AK400" s="703"/>
      <c r="AL400" s="703"/>
      <c r="AM400" s="703"/>
      <c r="AN400" s="703"/>
      <c r="AO400" s="703"/>
      <c r="AP400" s="703"/>
      <c r="AQ400" s="703"/>
      <c r="AR400" s="703"/>
      <c r="AS400" s="703"/>
    </row>
    <row r="401" spans="1:45" s="402" customFormat="1" ht="30" hidden="1" customHeight="1" x14ac:dyDescent="0.25">
      <c r="A401" s="2019" t="s">
        <v>625</v>
      </c>
      <c r="B401" s="2020"/>
      <c r="C401" s="88"/>
      <c r="D401" s="864"/>
      <c r="E401" s="864"/>
      <c r="F401" s="865"/>
      <c r="G401" s="1336">
        <v>0</v>
      </c>
      <c r="H401" s="1817"/>
      <c r="I401" s="1336">
        <f t="shared" ref="I401:K401" si="204">+SUM(I392:I400)</f>
        <v>0</v>
      </c>
      <c r="J401" s="1336">
        <f t="shared" si="204"/>
        <v>0</v>
      </c>
      <c r="K401" s="1336">
        <f t="shared" si="204"/>
        <v>0</v>
      </c>
      <c r="L401" s="531">
        <f t="shared" si="201"/>
        <v>0</v>
      </c>
      <c r="M401" s="59">
        <f>+M391</f>
        <v>12123.666666666666</v>
      </c>
      <c r="N401" s="366">
        <f>(L401/M401)</f>
        <v>0</v>
      </c>
      <c r="O401" s="59">
        <f>+O391</f>
        <v>12404.000000000002</v>
      </c>
      <c r="P401" s="855">
        <f>IF(O401=0,"",(L401/O401))</f>
        <v>0</v>
      </c>
      <c r="Q401" s="795" t="s">
        <v>843</v>
      </c>
      <c r="R401" s="785" t="str">
        <f>IFERROR(VLOOKUP($Q401,'391'!$P:$W,8,0),"0")</f>
        <v>0</v>
      </c>
      <c r="S401" s="796"/>
      <c r="T401" s="797"/>
      <c r="U401" s="797"/>
      <c r="V401" s="797"/>
      <c r="W401" s="802">
        <f>IFERROR(VLOOKUP($Q401,'391'!$P:$AG,15,0),0)</f>
        <v>0</v>
      </c>
      <c r="X401" s="799">
        <f t="shared" si="202"/>
        <v>0</v>
      </c>
      <c r="Y401" s="797"/>
      <c r="Z401" s="785"/>
      <c r="AA401" s="797"/>
      <c r="AB401" s="797"/>
      <c r="AC401" s="551"/>
      <c r="AD401" s="551"/>
      <c r="AE401" s="551"/>
      <c r="AF401" s="551"/>
      <c r="AG401" s="551"/>
      <c r="AH401" s="551"/>
      <c r="AI401" s="704"/>
      <c r="AJ401" s="704"/>
      <c r="AK401" s="704"/>
      <c r="AL401" s="704"/>
      <c r="AM401" s="704"/>
      <c r="AN401" s="704"/>
      <c r="AO401" s="704"/>
      <c r="AP401" s="704"/>
      <c r="AQ401" s="704"/>
      <c r="AR401" s="704"/>
      <c r="AS401" s="704"/>
    </row>
    <row r="402" spans="1:45" ht="30" hidden="1" customHeight="1" x14ac:dyDescent="0.25">
      <c r="A402" s="2073">
        <f>IF(L423=0,"",MAX($A$16:A401)+1)</f>
        <v>20</v>
      </c>
      <c r="B402" s="2043" t="s">
        <v>863</v>
      </c>
      <c r="C402" s="114"/>
      <c r="D402" s="881" t="s">
        <v>10</v>
      </c>
      <c r="E402" s="882">
        <v>46101</v>
      </c>
      <c r="F402" s="71">
        <f t="shared" ref="F402" si="205">$L$7-E402</f>
        <v>185</v>
      </c>
      <c r="G402" s="18">
        <v>0</v>
      </c>
      <c r="H402" s="1984"/>
      <c r="I402" s="312"/>
      <c r="J402" s="1322"/>
      <c r="K402" s="12">
        <f>IFERROR(SUMIF(INTAKE!$A:$A,$T402,INTAKE!$P:$P),0)</f>
        <v>0</v>
      </c>
      <c r="L402" s="1669">
        <f>+G402+H402+I402-J402-K402</f>
        <v>0</v>
      </c>
      <c r="M402" s="50"/>
      <c r="N402" s="1466"/>
      <c r="O402" s="1456"/>
      <c r="P402" s="1478"/>
      <c r="Q402" s="795"/>
      <c r="R402" s="785">
        <f>IFERROR(VLOOKUP($Q402,'391'!$P:$W,8,0),"")</f>
        <v>0</v>
      </c>
      <c r="T402" s="787" t="str">
        <f t="shared" ref="T402:T421" si="206">$Q$422&amp;C402&amp;E402</f>
        <v>Monocalcium Phosphate (China)46101</v>
      </c>
      <c r="U402" s="787"/>
      <c r="V402" s="787"/>
      <c r="W402" s="802">
        <f>IFERROR(VLOOKUP($Q402,'391'!$P:$AG,15,0),0)</f>
        <v>0</v>
      </c>
      <c r="X402" s="799">
        <f t="shared" si="202"/>
        <v>0</v>
      </c>
      <c r="Y402" s="787"/>
      <c r="Z402" s="791"/>
      <c r="AA402" s="787"/>
      <c r="AB402" s="787"/>
      <c r="AC402" s="679"/>
    </row>
    <row r="403" spans="1:45" ht="30" customHeight="1" x14ac:dyDescent="0.25">
      <c r="A403" s="2070"/>
      <c r="B403" s="2065"/>
      <c r="C403" s="114" t="s">
        <v>2184</v>
      </c>
      <c r="D403" s="881" t="s">
        <v>10</v>
      </c>
      <c r="E403" s="882">
        <v>46273</v>
      </c>
      <c r="F403" s="71">
        <f t="shared" ref="F403:F406" si="207">$L$7-E403</f>
        <v>13</v>
      </c>
      <c r="G403" s="18">
        <v>16000</v>
      </c>
      <c r="H403" s="312"/>
      <c r="I403" s="312"/>
      <c r="J403" s="1322"/>
      <c r="K403" s="12">
        <f>IFERROR(SUMIF(INTAKE!$A:$A,$T403,INTAKE!$P:$P),0)</f>
        <v>12000</v>
      </c>
      <c r="L403" s="1669">
        <f>+G403+H403+I403-J403-K403</f>
        <v>4000</v>
      </c>
      <c r="M403" s="48"/>
      <c r="N403" s="249"/>
      <c r="O403" s="101"/>
      <c r="P403" s="738"/>
      <c r="Q403" s="795"/>
      <c r="R403" s="785">
        <f>IFERROR(VLOOKUP($Q403,'391'!$P:$W,8,0),"")</f>
        <v>0</v>
      </c>
      <c r="T403" s="787" t="str">
        <f t="shared" si="206"/>
        <v>Monocalcium Phosphate (China)A146273</v>
      </c>
      <c r="U403" s="787"/>
      <c r="V403" s="787"/>
      <c r="W403" s="802">
        <f>IFERROR(VLOOKUP($Q403,'391'!$P:$AG,15,0),0)</f>
        <v>0</v>
      </c>
      <c r="X403" s="799">
        <f t="shared" si="202"/>
        <v>16000</v>
      </c>
      <c r="Y403" s="787"/>
      <c r="Z403" s="791"/>
      <c r="AA403" s="787"/>
      <c r="AB403" s="787"/>
      <c r="AC403" s="679"/>
    </row>
    <row r="404" spans="1:45" ht="30" customHeight="1" x14ac:dyDescent="0.25">
      <c r="A404" s="2070"/>
      <c r="B404" s="2065"/>
      <c r="C404" s="114" t="s">
        <v>2184</v>
      </c>
      <c r="D404" s="881" t="s">
        <v>10</v>
      </c>
      <c r="E404" s="882">
        <v>46274</v>
      </c>
      <c r="F404" s="71">
        <f t="shared" si="207"/>
        <v>12</v>
      </c>
      <c r="G404" s="18">
        <v>20000</v>
      </c>
      <c r="H404" s="312"/>
      <c r="I404" s="312"/>
      <c r="J404" s="1322"/>
      <c r="K404" s="12">
        <f>IFERROR(SUMIF(INTAKE!$A:$A,$T404,INTAKE!$P:$P),0)</f>
        <v>0</v>
      </c>
      <c r="L404" s="1669">
        <f t="shared" si="201"/>
        <v>20000</v>
      </c>
      <c r="M404" s="48"/>
      <c r="N404" s="249"/>
      <c r="O404" s="101"/>
      <c r="P404" s="738"/>
      <c r="Q404" s="795"/>
      <c r="R404" s="785">
        <f>IFERROR(VLOOKUP($Q404,'391'!$P:$W,8,0),"")</f>
        <v>0</v>
      </c>
      <c r="T404" s="787" t="str">
        <f t="shared" si="206"/>
        <v>Monocalcium Phosphate (China)A146274</v>
      </c>
      <c r="U404" s="787"/>
      <c r="V404" s="787"/>
      <c r="W404" s="802">
        <f>IFERROR(VLOOKUP($Q404,'391'!$P:$AG,15,0),0)</f>
        <v>0</v>
      </c>
      <c r="X404" s="799">
        <f t="shared" si="202"/>
        <v>20000</v>
      </c>
      <c r="Y404" s="787"/>
      <c r="Z404" s="791"/>
      <c r="AA404" s="787"/>
      <c r="AB404" s="787"/>
      <c r="AC404" s="679"/>
    </row>
    <row r="405" spans="1:45" ht="29.25" customHeight="1" x14ac:dyDescent="0.25">
      <c r="A405" s="2070"/>
      <c r="B405" s="2065"/>
      <c r="C405" s="114" t="s">
        <v>2185</v>
      </c>
      <c r="D405" s="881" t="s">
        <v>10</v>
      </c>
      <c r="E405" s="882">
        <v>46274</v>
      </c>
      <c r="F405" s="71">
        <f t="shared" si="207"/>
        <v>12</v>
      </c>
      <c r="G405" s="18">
        <v>60000</v>
      </c>
      <c r="H405" s="312"/>
      <c r="I405" s="312"/>
      <c r="J405" s="1322"/>
      <c r="K405" s="12">
        <f>IFERROR(SUMIF(INTAKE!$A:$A,$T405,INTAKE!$P:$P),0)</f>
        <v>0</v>
      </c>
      <c r="L405" s="1669">
        <f t="shared" si="201"/>
        <v>60000</v>
      </c>
      <c r="M405" s="48"/>
      <c r="N405" s="249"/>
      <c r="O405" s="101"/>
      <c r="P405" s="738"/>
      <c r="Q405" s="795"/>
      <c r="R405" s="785">
        <f>IFERROR(VLOOKUP($Q405,'391'!$P:$W,8,0),"")</f>
        <v>0</v>
      </c>
      <c r="T405" s="787" t="str">
        <f t="shared" si="206"/>
        <v>Monocalcium Phosphate (China)A246274</v>
      </c>
      <c r="U405" s="787"/>
      <c r="V405" s="787"/>
      <c r="W405" s="802">
        <f>IFERROR(VLOOKUP($Q405,'391'!$P:$AG,15,0),0)</f>
        <v>0</v>
      </c>
      <c r="X405" s="799">
        <f t="shared" si="202"/>
        <v>60000</v>
      </c>
      <c r="Y405" s="787"/>
      <c r="Z405" s="791"/>
      <c r="AA405" s="787"/>
      <c r="AB405" s="787"/>
      <c r="AC405" s="679"/>
    </row>
    <row r="406" spans="1:45" ht="29.25" customHeight="1" x14ac:dyDescent="0.25">
      <c r="A406" s="2070"/>
      <c r="B406" s="2065"/>
      <c r="C406" s="114" t="s">
        <v>2251</v>
      </c>
      <c r="D406" s="881" t="s">
        <v>10</v>
      </c>
      <c r="E406" s="882">
        <v>46283</v>
      </c>
      <c r="F406" s="71">
        <f t="shared" si="207"/>
        <v>3</v>
      </c>
      <c r="G406" s="18">
        <v>12000</v>
      </c>
      <c r="H406" s="312"/>
      <c r="I406" s="312"/>
      <c r="J406" s="1322"/>
      <c r="K406" s="12">
        <f>IFERROR(SUMIF(INTAKE!$A:$A,$T406,INTAKE!$P:$P),0)</f>
        <v>0</v>
      </c>
      <c r="L406" s="1669">
        <f t="shared" si="201"/>
        <v>12000</v>
      </c>
      <c r="M406" s="45"/>
      <c r="N406" s="249"/>
      <c r="O406" s="23"/>
      <c r="P406" s="736"/>
      <c r="Q406" s="795"/>
      <c r="R406" s="785">
        <f>IFERROR(VLOOKUP($Q406,'391'!$P:$W,8,0),"")</f>
        <v>0</v>
      </c>
      <c r="T406" s="787" t="str">
        <f t="shared" si="206"/>
        <v>Monocalcium Phosphate (China)B746283</v>
      </c>
      <c r="U406" s="787"/>
      <c r="V406" s="787"/>
      <c r="W406" s="802">
        <f>IFERROR(VLOOKUP($Q406,'391'!$P:$AG,15,0),0)</f>
        <v>0</v>
      </c>
      <c r="X406" s="799">
        <f t="shared" si="202"/>
        <v>12000</v>
      </c>
      <c r="Y406" s="787"/>
      <c r="Z406" s="791"/>
      <c r="AA406" s="787"/>
      <c r="AB406" s="787"/>
      <c r="AC406" s="679"/>
    </row>
    <row r="407" spans="1:45" ht="29.25" hidden="1" customHeight="1" x14ac:dyDescent="0.25">
      <c r="A407" s="2070"/>
      <c r="B407" s="2120"/>
      <c r="C407" s="114"/>
      <c r="D407" s="881" t="s">
        <v>10</v>
      </c>
      <c r="E407" s="882">
        <v>46283</v>
      </c>
      <c r="F407" s="71">
        <f t="shared" ref="F407" si="208">$L$7-E407</f>
        <v>3</v>
      </c>
      <c r="G407" s="18">
        <v>0</v>
      </c>
      <c r="H407" s="312"/>
      <c r="I407" s="312"/>
      <c r="J407" s="1322"/>
      <c r="K407" s="12">
        <f>IFERROR(SUMIF(INTAKE!$A:$A,$T407,INTAKE!$P:$P),0)</f>
        <v>0</v>
      </c>
      <c r="L407" s="1669">
        <f t="shared" si="201"/>
        <v>0</v>
      </c>
      <c r="M407" s="45"/>
      <c r="N407" s="249"/>
      <c r="O407" s="23"/>
      <c r="P407" s="736"/>
      <c r="Q407" s="795"/>
      <c r="T407" s="787" t="str">
        <f t="shared" si="206"/>
        <v>Monocalcium Phosphate (China)46283</v>
      </c>
      <c r="U407" s="787"/>
      <c r="V407" s="787"/>
      <c r="W407" s="802">
        <f>IFERROR(VLOOKUP($Q407,'391'!$P:$AG,15,0),0)</f>
        <v>0</v>
      </c>
      <c r="X407" s="799">
        <f t="shared" si="202"/>
        <v>0</v>
      </c>
      <c r="Y407" s="787"/>
      <c r="Z407" s="791"/>
      <c r="AA407" s="787"/>
      <c r="AB407" s="787"/>
      <c r="AC407" s="679"/>
    </row>
    <row r="408" spans="1:45" ht="29.25" hidden="1" customHeight="1" x14ac:dyDescent="0.25">
      <c r="A408" s="2070"/>
      <c r="B408" s="2120"/>
      <c r="C408" s="114"/>
      <c r="D408" s="881" t="s">
        <v>10</v>
      </c>
      <c r="E408" s="882">
        <v>46274</v>
      </c>
      <c r="F408" s="71">
        <f t="shared" ref="F408" si="209">$L$7-E408</f>
        <v>12</v>
      </c>
      <c r="G408" s="18">
        <v>0</v>
      </c>
      <c r="H408" s="312"/>
      <c r="I408" s="312"/>
      <c r="J408" s="1322"/>
      <c r="K408" s="12">
        <f>IFERROR(SUMIF(INTAKE!$A:$A,$T408,INTAKE!$P:$P),0)</f>
        <v>0</v>
      </c>
      <c r="L408" s="1669">
        <f t="shared" si="201"/>
        <v>0</v>
      </c>
      <c r="M408" s="45"/>
      <c r="N408" s="249"/>
      <c r="O408" s="23"/>
      <c r="P408" s="736"/>
      <c r="Q408" s="795"/>
      <c r="T408" s="787" t="str">
        <f t="shared" si="206"/>
        <v>Monocalcium Phosphate (China)46274</v>
      </c>
      <c r="U408" s="787"/>
      <c r="V408" s="787"/>
      <c r="W408" s="802">
        <f>IFERROR(VLOOKUP($Q408,'391'!$P:$AG,15,0),0)</f>
        <v>0</v>
      </c>
      <c r="X408" s="799">
        <f t="shared" si="202"/>
        <v>0</v>
      </c>
      <c r="Y408" s="787"/>
      <c r="Z408" s="791"/>
      <c r="AA408" s="787"/>
      <c r="AB408" s="787"/>
      <c r="AC408" s="679"/>
    </row>
    <row r="409" spans="1:45" ht="29.25" hidden="1" customHeight="1" x14ac:dyDescent="0.25">
      <c r="A409" s="2070"/>
      <c r="B409" s="2120"/>
      <c r="C409" s="114"/>
      <c r="D409" s="881" t="s">
        <v>10</v>
      </c>
      <c r="E409" s="882">
        <v>46256</v>
      </c>
      <c r="F409" s="71">
        <f t="shared" ref="F409" si="210">$L$7-E409</f>
        <v>30</v>
      </c>
      <c r="G409" s="18">
        <v>0</v>
      </c>
      <c r="H409" s="312"/>
      <c r="I409" s="312"/>
      <c r="J409" s="1322"/>
      <c r="K409" s="12">
        <f>IFERROR(SUMIF(INTAKE!$A:$A,$T409,INTAKE!$P:$P),0)</f>
        <v>0</v>
      </c>
      <c r="L409" s="1669">
        <f t="shared" si="201"/>
        <v>0</v>
      </c>
      <c r="M409" s="45"/>
      <c r="N409" s="249"/>
      <c r="O409" s="23"/>
      <c r="P409" s="736"/>
      <c r="Q409" s="795"/>
      <c r="R409" s="785">
        <f>IFERROR(VLOOKUP($Q409,'391'!$P:$W,8,0),"")</f>
        <v>0</v>
      </c>
      <c r="T409" s="787" t="str">
        <f t="shared" si="206"/>
        <v>Monocalcium Phosphate (China)46256</v>
      </c>
      <c r="U409" s="787"/>
      <c r="V409" s="787"/>
      <c r="W409" s="802">
        <f>IFERROR(VLOOKUP($Q409,'391'!$P:$AG,15,0),0)</f>
        <v>0</v>
      </c>
      <c r="X409" s="799">
        <f t="shared" si="202"/>
        <v>0</v>
      </c>
      <c r="Y409" s="787"/>
      <c r="Z409" s="791"/>
      <c r="AA409" s="787"/>
      <c r="AB409" s="787"/>
      <c r="AC409" s="679"/>
    </row>
    <row r="410" spans="1:45" ht="29.25" hidden="1" customHeight="1" x14ac:dyDescent="0.25">
      <c r="A410" s="2070"/>
      <c r="B410" s="2069"/>
      <c r="C410" s="114"/>
      <c r="D410" s="881" t="s">
        <v>10</v>
      </c>
      <c r="E410" s="882">
        <v>46256</v>
      </c>
      <c r="F410" s="71">
        <f t="shared" ref="F410" si="211">$L$7-E410</f>
        <v>30</v>
      </c>
      <c r="G410" s="18">
        <v>0</v>
      </c>
      <c r="H410" s="312"/>
      <c r="I410" s="312"/>
      <c r="J410" s="1322"/>
      <c r="K410" s="12">
        <f>IFERROR(SUMIF(INTAKE!$A:$A,$T410,INTAKE!$P:$P),0)</f>
        <v>0</v>
      </c>
      <c r="L410" s="1669">
        <f t="shared" si="201"/>
        <v>0</v>
      </c>
      <c r="M410" s="45"/>
      <c r="N410" s="249"/>
      <c r="O410" s="23"/>
      <c r="P410" s="736"/>
      <c r="Q410" s="795"/>
      <c r="R410" s="785">
        <f>IFERROR(VLOOKUP($Q410,'391'!$P:$W,8,0),"")</f>
        <v>0</v>
      </c>
      <c r="T410" s="787" t="str">
        <f t="shared" si="206"/>
        <v>Monocalcium Phosphate (China)46256</v>
      </c>
      <c r="U410" s="787"/>
      <c r="V410" s="787"/>
      <c r="W410" s="802">
        <f>IFERROR(VLOOKUP($Q410,'391'!$P:$AG,15,0),0)</f>
        <v>0</v>
      </c>
      <c r="X410" s="799">
        <f t="shared" si="202"/>
        <v>0</v>
      </c>
      <c r="Y410" s="787"/>
      <c r="Z410" s="791"/>
      <c r="AA410" s="787"/>
      <c r="AB410" s="787"/>
      <c r="AC410" s="679"/>
    </row>
    <row r="411" spans="1:45" ht="29.25" hidden="1" customHeight="1" x14ac:dyDescent="0.25">
      <c r="A411" s="2070"/>
      <c r="B411" s="2065"/>
      <c r="C411" s="114"/>
      <c r="D411" s="881" t="s">
        <v>10</v>
      </c>
      <c r="E411" s="882">
        <v>46256</v>
      </c>
      <c r="F411" s="71">
        <f t="shared" ref="F411" si="212">$L$7-E411</f>
        <v>30</v>
      </c>
      <c r="G411" s="18">
        <v>0</v>
      </c>
      <c r="H411" s="312"/>
      <c r="I411" s="312"/>
      <c r="J411" s="1322"/>
      <c r="K411" s="12">
        <f>IFERROR(SUMIF(INTAKE!$A:$A,$T411,INTAKE!$P:$P),0)</f>
        <v>0</v>
      </c>
      <c r="L411" s="1669">
        <f t="shared" si="201"/>
        <v>0</v>
      </c>
      <c r="M411" s="45"/>
      <c r="N411" s="249"/>
      <c r="O411" s="23"/>
      <c r="P411" s="736"/>
      <c r="Q411" s="795"/>
      <c r="R411" s="785">
        <f>IFERROR(VLOOKUP($Q411,'391'!$P:$W,8,0),"")</f>
        <v>0</v>
      </c>
      <c r="T411" s="787" t="str">
        <f t="shared" si="206"/>
        <v>Monocalcium Phosphate (China)46256</v>
      </c>
      <c r="U411" s="787"/>
      <c r="V411" s="787"/>
      <c r="W411" s="802">
        <f>IFERROR(VLOOKUP($Q411,'391'!$P:$AG,15,0),0)</f>
        <v>0</v>
      </c>
      <c r="X411" s="799">
        <f t="shared" si="202"/>
        <v>0</v>
      </c>
      <c r="Y411" s="787"/>
      <c r="Z411" s="791"/>
      <c r="AA411" s="787"/>
      <c r="AB411" s="787"/>
      <c r="AC411" s="679"/>
    </row>
    <row r="412" spans="1:45" ht="29.25" hidden="1" customHeight="1" x14ac:dyDescent="0.25">
      <c r="A412" s="2070"/>
      <c r="B412" s="2069"/>
      <c r="C412" s="114"/>
      <c r="D412" s="881" t="s">
        <v>10</v>
      </c>
      <c r="E412" s="882">
        <v>45966</v>
      </c>
      <c r="F412" s="71">
        <f t="shared" ref="F412" si="213">$L$7-E412</f>
        <v>320</v>
      </c>
      <c r="G412" s="18">
        <v>0</v>
      </c>
      <c r="H412" s="312"/>
      <c r="I412" s="312"/>
      <c r="J412" s="1322"/>
      <c r="K412" s="12">
        <f>IFERROR(SUMIF(INTAKE!$A:$A,$T412,INTAKE!$P:$P),0)</f>
        <v>0</v>
      </c>
      <c r="L412" s="1669">
        <f t="shared" ref="L412" si="214">+G412+H412+I412-J412-K412</f>
        <v>0</v>
      </c>
      <c r="M412" s="45"/>
      <c r="N412" s="249"/>
      <c r="O412" s="23"/>
      <c r="P412" s="736"/>
      <c r="Q412" s="795"/>
      <c r="R412" s="785">
        <f>IFERROR(VLOOKUP($Q412,'391'!$P:$W,8,0),"")</f>
        <v>0</v>
      </c>
      <c r="T412" s="787" t="str">
        <f t="shared" si="206"/>
        <v>Monocalcium Phosphate (China)45966</v>
      </c>
      <c r="U412" s="787"/>
      <c r="V412" s="787"/>
      <c r="W412" s="802">
        <f>IFERROR(VLOOKUP($Q412,'391'!$P:$AG,15,0),0)</f>
        <v>0</v>
      </c>
      <c r="X412" s="799">
        <f t="shared" ref="X412" si="215">G412-W412</f>
        <v>0</v>
      </c>
      <c r="Y412" s="787"/>
      <c r="Z412" s="791"/>
      <c r="AA412" s="787"/>
      <c r="AB412" s="787"/>
      <c r="AC412" s="679"/>
    </row>
    <row r="413" spans="1:45" ht="29.25" hidden="1" customHeight="1" x14ac:dyDescent="0.25">
      <c r="A413" s="2070"/>
      <c r="B413" s="2069"/>
      <c r="C413" s="114"/>
      <c r="D413" s="881" t="s">
        <v>10</v>
      </c>
      <c r="E413" s="882">
        <v>45966</v>
      </c>
      <c r="F413" s="71">
        <f t="shared" ref="F413" si="216">$L$7-E413</f>
        <v>320</v>
      </c>
      <c r="G413" s="18">
        <v>0</v>
      </c>
      <c r="H413" s="312"/>
      <c r="I413" s="312"/>
      <c r="J413" s="1322"/>
      <c r="K413" s="12">
        <f>IFERROR(SUMIF(INTAKE!$A:$A,$T413,INTAKE!$P:$P),0)</f>
        <v>0</v>
      </c>
      <c r="L413" s="1669">
        <f t="shared" si="201"/>
        <v>0</v>
      </c>
      <c r="M413" s="45"/>
      <c r="N413" s="249"/>
      <c r="O413" s="23"/>
      <c r="P413" s="736"/>
      <c r="Q413" s="795"/>
      <c r="R413" s="785">
        <f>IFERROR(VLOOKUP($Q413,'391'!$P:$W,8,0),"")</f>
        <v>0</v>
      </c>
      <c r="T413" s="787" t="str">
        <f t="shared" si="206"/>
        <v>Monocalcium Phosphate (China)45966</v>
      </c>
      <c r="U413" s="787"/>
      <c r="V413" s="787"/>
      <c r="W413" s="802">
        <f>IFERROR(VLOOKUP($Q413,'391'!$P:$AG,15,0),0)</f>
        <v>0</v>
      </c>
      <c r="X413" s="799">
        <f t="shared" si="202"/>
        <v>0</v>
      </c>
      <c r="Y413" s="787"/>
      <c r="Z413" s="791"/>
      <c r="AA413" s="787"/>
      <c r="AB413" s="787"/>
      <c r="AC413" s="679"/>
    </row>
    <row r="414" spans="1:45" ht="29.25" hidden="1" customHeight="1" x14ac:dyDescent="0.25">
      <c r="A414" s="2070"/>
      <c r="B414" s="2069"/>
      <c r="C414" s="114"/>
      <c r="D414" s="881" t="s">
        <v>10</v>
      </c>
      <c r="E414" s="882">
        <v>45966</v>
      </c>
      <c r="F414" s="71">
        <f t="shared" ref="F414" si="217">$L$7-E414</f>
        <v>320</v>
      </c>
      <c r="G414" s="18">
        <v>0</v>
      </c>
      <c r="H414" s="312"/>
      <c r="I414" s="312"/>
      <c r="J414" s="1322"/>
      <c r="K414" s="12">
        <f>IFERROR(SUMIF(INTAKE!$A:$A,$T414,INTAKE!$P:$P),0)</f>
        <v>0</v>
      </c>
      <c r="L414" s="1669">
        <f t="shared" si="201"/>
        <v>0</v>
      </c>
      <c r="M414" s="45"/>
      <c r="N414" s="249"/>
      <c r="O414" s="23"/>
      <c r="P414" s="736"/>
      <c r="Q414" s="795"/>
      <c r="R414" s="785">
        <f>IFERROR(VLOOKUP($Q414,'391'!$P:$W,8,0),"")</f>
        <v>0</v>
      </c>
      <c r="T414" s="787" t="str">
        <f t="shared" si="206"/>
        <v>Monocalcium Phosphate (China)45966</v>
      </c>
      <c r="U414" s="787"/>
      <c r="V414" s="787"/>
      <c r="W414" s="802">
        <f>IFERROR(VLOOKUP($Q414,'391'!$P:$AG,15,0),0)</f>
        <v>0</v>
      </c>
      <c r="X414" s="799">
        <f t="shared" si="202"/>
        <v>0</v>
      </c>
      <c r="Y414" s="787"/>
      <c r="Z414" s="791"/>
      <c r="AA414" s="787"/>
      <c r="AB414" s="787"/>
      <c r="AC414" s="679"/>
    </row>
    <row r="415" spans="1:45" ht="29.25" hidden="1" customHeight="1" x14ac:dyDescent="0.25">
      <c r="A415" s="2070"/>
      <c r="B415" s="2069"/>
      <c r="C415" s="114"/>
      <c r="D415" s="881" t="s">
        <v>10</v>
      </c>
      <c r="E415" s="882">
        <v>45966</v>
      </c>
      <c r="F415" s="71">
        <f t="shared" ref="F415" si="218">$L$7-E415</f>
        <v>320</v>
      </c>
      <c r="G415" s="18">
        <v>0</v>
      </c>
      <c r="H415" s="312"/>
      <c r="I415" s="312"/>
      <c r="J415" s="1322"/>
      <c r="K415" s="12">
        <f>IFERROR(SUMIF(INTAKE!$A:$A,$T415,INTAKE!$P:$P),0)</f>
        <v>0</v>
      </c>
      <c r="L415" s="1669">
        <f t="shared" si="201"/>
        <v>0</v>
      </c>
      <c r="M415" s="45"/>
      <c r="N415" s="249"/>
      <c r="O415" s="23"/>
      <c r="P415" s="736"/>
      <c r="Q415" s="795"/>
      <c r="R415" s="785">
        <f>IFERROR(VLOOKUP($Q415,'391'!$P:$W,8,0),"")</f>
        <v>0</v>
      </c>
      <c r="T415" s="787" t="str">
        <f t="shared" si="206"/>
        <v>Monocalcium Phosphate (China)45966</v>
      </c>
      <c r="U415" s="787"/>
      <c r="V415" s="787"/>
      <c r="W415" s="802">
        <f>IFERROR(VLOOKUP($Q415,'391'!$P:$AG,15,0),0)</f>
        <v>0</v>
      </c>
      <c r="X415" s="799">
        <f t="shared" si="202"/>
        <v>0</v>
      </c>
      <c r="Y415" s="787"/>
      <c r="Z415" s="791"/>
      <c r="AA415" s="787"/>
      <c r="AB415" s="787"/>
      <c r="AC415" s="679"/>
    </row>
    <row r="416" spans="1:45" ht="29.25" hidden="1" customHeight="1" x14ac:dyDescent="0.25">
      <c r="A416" s="2070"/>
      <c r="B416" s="2069"/>
      <c r="C416" s="114"/>
      <c r="D416" s="881" t="s">
        <v>10</v>
      </c>
      <c r="E416" s="882">
        <v>45959</v>
      </c>
      <c r="F416" s="71">
        <f t="shared" ref="F416" si="219">$L$7-E416</f>
        <v>327</v>
      </c>
      <c r="G416" s="18">
        <v>0</v>
      </c>
      <c r="H416" s="312"/>
      <c r="I416" s="312"/>
      <c r="J416" s="1322"/>
      <c r="K416" s="12">
        <f>IFERROR(SUMIF(INTAKE!$A:$A,$T416,INTAKE!$P:$P),0)</f>
        <v>0</v>
      </c>
      <c r="L416" s="1669">
        <f t="shared" ref="L416" si="220">+G416+H416+I416-J416-K416</f>
        <v>0</v>
      </c>
      <c r="M416" s="45"/>
      <c r="N416" s="249"/>
      <c r="O416" s="23"/>
      <c r="P416" s="736"/>
      <c r="Q416" s="795"/>
      <c r="R416" s="785">
        <f>IFERROR(VLOOKUP($Q416,'391'!$P:$W,8,0),"")</f>
        <v>0</v>
      </c>
      <c r="T416" s="787" t="str">
        <f t="shared" si="206"/>
        <v>Monocalcium Phosphate (China)45959</v>
      </c>
      <c r="U416" s="787"/>
      <c r="V416" s="787"/>
      <c r="W416" s="802">
        <f>IFERROR(VLOOKUP($Q416,'391'!$P:$AG,15,0),0)</f>
        <v>0</v>
      </c>
      <c r="X416" s="799">
        <f t="shared" ref="X416" si="221">G416-W416</f>
        <v>0</v>
      </c>
      <c r="Y416" s="787"/>
      <c r="Z416" s="791"/>
      <c r="AA416" s="787"/>
      <c r="AB416" s="787"/>
      <c r="AC416" s="679"/>
    </row>
    <row r="417" spans="1:45" ht="29.25" hidden="1" customHeight="1" x14ac:dyDescent="0.25">
      <c r="A417" s="2070"/>
      <c r="B417" s="2069"/>
      <c r="C417" s="114"/>
      <c r="D417" s="881" t="s">
        <v>10</v>
      </c>
      <c r="E417" s="882">
        <v>45947</v>
      </c>
      <c r="F417" s="71">
        <f t="shared" ref="F417" si="222">$L$7-E417</f>
        <v>339</v>
      </c>
      <c r="G417" s="18">
        <v>0</v>
      </c>
      <c r="H417" s="312"/>
      <c r="I417" s="312"/>
      <c r="J417" s="1322"/>
      <c r="K417" s="12">
        <f>IFERROR(SUMIF(INTAKE!$A:$A,$T417,INTAKE!$P:$P),0)</f>
        <v>0</v>
      </c>
      <c r="L417" s="1669">
        <f t="shared" ref="L417" si="223">+G417+H417+I417-J417-K417</f>
        <v>0</v>
      </c>
      <c r="M417" s="45"/>
      <c r="N417" s="249"/>
      <c r="O417" s="23"/>
      <c r="P417" s="736"/>
      <c r="Q417" s="795"/>
      <c r="R417" s="785">
        <f>IFERROR(VLOOKUP($Q417,'391'!$P:$W,8,0),"")</f>
        <v>0</v>
      </c>
      <c r="T417" s="787" t="str">
        <f t="shared" si="206"/>
        <v>Monocalcium Phosphate (China)45947</v>
      </c>
      <c r="U417" s="787"/>
      <c r="V417" s="787"/>
      <c r="W417" s="802">
        <f>IFERROR(VLOOKUP($Q417,'391'!$P:$AG,15,0),0)</f>
        <v>0</v>
      </c>
      <c r="X417" s="799">
        <f t="shared" ref="X417" si="224">G417-W417</f>
        <v>0</v>
      </c>
      <c r="Y417" s="787"/>
      <c r="Z417" s="791"/>
      <c r="AA417" s="787"/>
      <c r="AB417" s="787"/>
      <c r="AC417" s="679"/>
    </row>
    <row r="418" spans="1:45" ht="29.25" hidden="1" customHeight="1" x14ac:dyDescent="0.25">
      <c r="A418" s="2070"/>
      <c r="B418" s="2069"/>
      <c r="C418" s="114"/>
      <c r="D418" s="881" t="s">
        <v>10</v>
      </c>
      <c r="E418" s="882">
        <v>45918</v>
      </c>
      <c r="F418" s="71">
        <f t="shared" ref="F418" si="225">$L$7-E418</f>
        <v>368</v>
      </c>
      <c r="G418" s="18">
        <v>0</v>
      </c>
      <c r="H418" s="312"/>
      <c r="I418" s="312"/>
      <c r="J418" s="1322"/>
      <c r="K418" s="12">
        <f>IFERROR(SUMIF(INTAKE!$A:$A,$T418,INTAKE!$P:$P),0)</f>
        <v>0</v>
      </c>
      <c r="L418" s="1669">
        <f t="shared" ref="L418:L419" si="226">+G418+H418+I418-J418-K418</f>
        <v>0</v>
      </c>
      <c r="M418" s="45"/>
      <c r="N418" s="249"/>
      <c r="O418" s="23"/>
      <c r="P418" s="736"/>
      <c r="Q418" s="795"/>
      <c r="R418" s="785">
        <f>IFERROR(VLOOKUP($Q418,'391'!$P:$W,8,0),"")</f>
        <v>0</v>
      </c>
      <c r="T418" s="787" t="str">
        <f t="shared" si="206"/>
        <v>Monocalcium Phosphate (China)45918</v>
      </c>
      <c r="U418" s="787"/>
      <c r="V418" s="787"/>
      <c r="W418" s="802">
        <f>IFERROR(VLOOKUP($Q418,'391'!$P:$AG,15,0),0)</f>
        <v>0</v>
      </c>
      <c r="X418" s="799">
        <f t="shared" ref="X418:X419" si="227">G418-W418</f>
        <v>0</v>
      </c>
      <c r="Y418" s="787"/>
      <c r="Z418" s="791"/>
      <c r="AA418" s="787"/>
      <c r="AB418" s="787"/>
      <c r="AC418" s="679"/>
    </row>
    <row r="419" spans="1:45" ht="29.25" hidden="1" customHeight="1" x14ac:dyDescent="0.25">
      <c r="A419" s="2070"/>
      <c r="B419" s="2069"/>
      <c r="C419" s="114"/>
      <c r="D419" s="881" t="s">
        <v>10</v>
      </c>
      <c r="E419" s="882">
        <v>45918</v>
      </c>
      <c r="F419" s="71">
        <f t="shared" ref="F419" si="228">$L$7-E419</f>
        <v>368</v>
      </c>
      <c r="G419" s="18">
        <v>0</v>
      </c>
      <c r="H419" s="312"/>
      <c r="I419" s="312"/>
      <c r="J419" s="1322"/>
      <c r="K419" s="12">
        <f>IFERROR(SUMIF(INTAKE!$A:$A,$T419,INTAKE!$P:$P),0)</f>
        <v>0</v>
      </c>
      <c r="L419" s="1669">
        <f t="shared" si="226"/>
        <v>0</v>
      </c>
      <c r="M419" s="45"/>
      <c r="N419" s="249"/>
      <c r="O419" s="23"/>
      <c r="P419" s="736"/>
      <c r="Q419" s="795"/>
      <c r="R419" s="785">
        <f>IFERROR(VLOOKUP($Q419,'391'!$P:$W,8,0),"")</f>
        <v>0</v>
      </c>
      <c r="T419" s="787" t="str">
        <f t="shared" si="206"/>
        <v>Monocalcium Phosphate (China)45918</v>
      </c>
      <c r="U419" s="787"/>
      <c r="V419" s="787"/>
      <c r="W419" s="802">
        <f>IFERROR(VLOOKUP($Q419,'391'!$P:$AG,15,0),0)</f>
        <v>0</v>
      </c>
      <c r="X419" s="799">
        <f t="shared" si="227"/>
        <v>0</v>
      </c>
      <c r="Y419" s="787"/>
      <c r="Z419" s="791"/>
      <c r="AA419" s="787"/>
      <c r="AB419" s="787"/>
      <c r="AC419" s="679"/>
    </row>
    <row r="420" spans="1:45" ht="29.25" hidden="1" customHeight="1" x14ac:dyDescent="0.25">
      <c r="A420" s="2070"/>
      <c r="B420" s="2069"/>
      <c r="C420" s="114"/>
      <c r="D420" s="881" t="s">
        <v>10</v>
      </c>
      <c r="E420" s="882">
        <v>45918</v>
      </c>
      <c r="F420" s="71">
        <f t="shared" ref="F420" si="229">$L$7-E420</f>
        <v>368</v>
      </c>
      <c r="G420" s="18">
        <v>0</v>
      </c>
      <c r="H420" s="312"/>
      <c r="I420" s="312"/>
      <c r="J420" s="1322"/>
      <c r="K420" s="12">
        <f>IFERROR(SUMIF(INTAKE!$A:$A,$T420,INTAKE!$P:$P),0)</f>
        <v>0</v>
      </c>
      <c r="L420" s="1669">
        <f t="shared" ref="L420" si="230">+G420+H420+I420-J420-K420</f>
        <v>0</v>
      </c>
      <c r="M420" s="45"/>
      <c r="N420" s="249"/>
      <c r="O420" s="23"/>
      <c r="P420" s="736"/>
      <c r="Q420" s="795"/>
      <c r="R420" s="785">
        <f>IFERROR(VLOOKUP($Q420,'391'!$P:$W,8,0),"")</f>
        <v>0</v>
      </c>
      <c r="T420" s="787" t="str">
        <f t="shared" si="206"/>
        <v>Monocalcium Phosphate (China)45918</v>
      </c>
      <c r="U420" s="787"/>
      <c r="V420" s="787"/>
      <c r="W420" s="802">
        <f>IFERROR(VLOOKUP($Q420,'391'!$P:$AG,15,0),0)</f>
        <v>0</v>
      </c>
      <c r="X420" s="799">
        <f t="shared" ref="X420" si="231">G420-W420</f>
        <v>0</v>
      </c>
      <c r="Y420" s="787"/>
      <c r="Z420" s="791"/>
      <c r="AA420" s="787"/>
      <c r="AB420" s="787"/>
      <c r="AC420" s="679"/>
    </row>
    <row r="421" spans="1:45" ht="29.25" hidden="1" customHeight="1" x14ac:dyDescent="0.25">
      <c r="A421" s="2070"/>
      <c r="B421" s="2069"/>
      <c r="C421" s="114"/>
      <c r="D421" s="881" t="s">
        <v>10</v>
      </c>
      <c r="E421" s="882">
        <v>45910</v>
      </c>
      <c r="F421" s="71">
        <f t="shared" ref="F421:F422" si="232">$L$7-E421</f>
        <v>376</v>
      </c>
      <c r="G421" s="18">
        <v>0</v>
      </c>
      <c r="H421" s="312"/>
      <c r="I421" s="312"/>
      <c r="J421" s="1322"/>
      <c r="K421" s="12">
        <f>IFERROR(SUMIF(INTAKE!$A:$A,$T421,INTAKE!$P:$P),0)</f>
        <v>0</v>
      </c>
      <c r="L421" s="1669">
        <f t="shared" ref="L421" si="233">+G421+H421+I421-J421-K421</f>
        <v>0</v>
      </c>
      <c r="M421" s="45"/>
      <c r="N421" s="249"/>
      <c r="O421" s="23"/>
      <c r="P421" s="736"/>
      <c r="Q421" s="795"/>
      <c r="R421" s="785">
        <f>IFERROR(VLOOKUP($Q421,'391'!$P:$W,8,0),"")</f>
        <v>0</v>
      </c>
      <c r="T421" s="787" t="str">
        <f t="shared" si="206"/>
        <v>Monocalcium Phosphate (China)45910</v>
      </c>
      <c r="U421" s="787"/>
      <c r="V421" s="787"/>
      <c r="W421" s="802">
        <f>IFERROR(VLOOKUP($Q421,'391'!$P:$AG,15,0),0)</f>
        <v>0</v>
      </c>
      <c r="X421" s="799">
        <f t="shared" ref="X421" si="234">G421-W421</f>
        <v>0</v>
      </c>
      <c r="Y421" s="787"/>
      <c r="Z421" s="791"/>
      <c r="AA421" s="787"/>
      <c r="AB421" s="787"/>
      <c r="AC421" s="679"/>
    </row>
    <row r="422" spans="1:45" s="406" customFormat="1" ht="29.25" customHeight="1" x14ac:dyDescent="0.25">
      <c r="A422" s="2070"/>
      <c r="B422" s="2044"/>
      <c r="C422" s="61" t="s">
        <v>1377</v>
      </c>
      <c r="D422" s="863" t="s">
        <v>10</v>
      </c>
      <c r="E422" s="886">
        <v>46273</v>
      </c>
      <c r="F422" s="38">
        <f t="shared" si="232"/>
        <v>13</v>
      </c>
      <c r="G422" s="1294">
        <v>11156</v>
      </c>
      <c r="H422" s="28"/>
      <c r="I422" s="28">
        <f>+SUM(K402:K421)</f>
        <v>12000</v>
      </c>
      <c r="J422" s="1351">
        <f>usage!I41</f>
        <v>10708</v>
      </c>
      <c r="K422" s="28"/>
      <c r="L422" s="531">
        <f t="shared" si="201"/>
        <v>12448</v>
      </c>
      <c r="M422" s="35"/>
      <c r="N422" s="87"/>
      <c r="O422" s="35"/>
      <c r="P422" s="740"/>
      <c r="Q422" s="666" t="s">
        <v>1584</v>
      </c>
      <c r="R422" s="785" t="str">
        <f>IFERROR(VLOOKUP($Q422,'391'!$P:$W,8,0),"")</f>
        <v/>
      </c>
      <c r="S422" s="786"/>
      <c r="T422" s="787"/>
      <c r="U422" s="787"/>
      <c r="V422" s="787"/>
      <c r="W422" s="802">
        <f>IFERROR(VLOOKUP($Q422,'391'!$P:$AG,15,0),0)</f>
        <v>0</v>
      </c>
      <c r="X422" s="799">
        <f t="shared" si="202"/>
        <v>11156</v>
      </c>
      <c r="Y422" s="787"/>
      <c r="Z422" s="791"/>
      <c r="AA422" s="787"/>
      <c r="AB422" s="787"/>
      <c r="AC422" s="679"/>
      <c r="AD422" s="679"/>
      <c r="AE422" s="679"/>
      <c r="AF422" s="679"/>
      <c r="AG422" s="679"/>
      <c r="AH422" s="679"/>
      <c r="AI422" s="682"/>
      <c r="AJ422" s="682"/>
      <c r="AK422" s="682"/>
      <c r="AL422" s="682"/>
      <c r="AM422" s="682"/>
      <c r="AN422" s="682"/>
      <c r="AO422" s="682"/>
      <c r="AP422" s="682"/>
      <c r="AQ422" s="682"/>
      <c r="AR422" s="682"/>
      <c r="AS422" s="682"/>
    </row>
    <row r="423" spans="1:45" s="14" customFormat="1" ht="30" customHeight="1" x14ac:dyDescent="0.25">
      <c r="A423" s="2019" t="s">
        <v>464</v>
      </c>
      <c r="B423" s="2020"/>
      <c r="C423" s="88"/>
      <c r="D423" s="864"/>
      <c r="E423" s="864"/>
      <c r="F423" s="865"/>
      <c r="G423" s="1327">
        <v>119156</v>
      </c>
      <c r="H423" s="1352">
        <f>+SUM(H402:H422)</f>
        <v>0</v>
      </c>
      <c r="I423" s="1352">
        <f>+SUM(I402:I422)</f>
        <v>12000</v>
      </c>
      <c r="J423" s="1352">
        <f>+SUM(J402:J422)</f>
        <v>10708</v>
      </c>
      <c r="K423" s="1352">
        <f>+SUM(K402:K422)</f>
        <v>12000</v>
      </c>
      <c r="L423" s="1352">
        <f>+SUM(L402:L422)</f>
        <v>108448</v>
      </c>
      <c r="M423" s="59">
        <f>IFERROR((R423/$S$2),"")</f>
        <v>12123.666666666666</v>
      </c>
      <c r="N423" s="854">
        <f>IFERROR(L423/M423,0)</f>
        <v>8.9451486074070008</v>
      </c>
      <c r="O423" s="889">
        <f>+O391</f>
        <v>12404.000000000002</v>
      </c>
      <c r="P423" s="880">
        <f>IF(O423=0,"",(L423/O423))</f>
        <v>8.7429861335053189</v>
      </c>
      <c r="Q423" s="795" t="s">
        <v>844</v>
      </c>
      <c r="R423" s="785">
        <f>IFERROR(VLOOKUP($Q423,'391'!$P:$W,8,0),"0")</f>
        <v>72742</v>
      </c>
      <c r="S423" s="796"/>
      <c r="T423" s="797"/>
      <c r="U423" s="797"/>
      <c r="V423" s="797"/>
      <c r="W423" s="802">
        <f>IFERROR(VLOOKUP($Q423,'391'!$P:$AG,15,0),0)</f>
        <v>119157</v>
      </c>
      <c r="X423" s="799">
        <f t="shared" si="202"/>
        <v>-1</v>
      </c>
      <c r="Y423" s="797"/>
      <c r="Z423" s="785"/>
      <c r="AA423" s="797"/>
      <c r="AB423" s="797"/>
      <c r="AC423" s="683"/>
      <c r="AD423" s="683"/>
      <c r="AE423" s="683"/>
      <c r="AF423" s="683"/>
      <c r="AG423" s="683"/>
      <c r="AH423" s="683"/>
      <c r="AI423" s="705"/>
      <c r="AJ423" s="705"/>
      <c r="AK423" s="705"/>
      <c r="AL423" s="705"/>
      <c r="AM423" s="705"/>
      <c r="AN423" s="705"/>
      <c r="AO423" s="705"/>
      <c r="AP423" s="705"/>
      <c r="AQ423" s="705"/>
      <c r="AR423" s="705"/>
      <c r="AS423" s="705"/>
    </row>
    <row r="424" spans="1:45" ht="30" customHeight="1" x14ac:dyDescent="0.25">
      <c r="A424" s="1997">
        <f>IF(L439=0,"",MAX($A$16:A423)+1)</f>
        <v>21</v>
      </c>
      <c r="B424" s="2066" t="s">
        <v>89</v>
      </c>
      <c r="C424" s="238" t="s">
        <v>1496</v>
      </c>
      <c r="D424" s="887" t="s">
        <v>10</v>
      </c>
      <c r="E424" s="888">
        <v>46263</v>
      </c>
      <c r="F424" s="283">
        <f t="shared" ref="F424:F426" si="235">$L$7-E424</f>
        <v>23</v>
      </c>
      <c r="G424" s="312">
        <v>6016</v>
      </c>
      <c r="H424" s="312"/>
      <c r="I424" s="312"/>
      <c r="J424" s="1322"/>
      <c r="K424" s="12">
        <f>IFERROR(SUMIF(INTAKE!$A:$A,$T424,INTAKE!$P:$P),0)</f>
        <v>0</v>
      </c>
      <c r="L424" s="1702">
        <f t="shared" ref="L424:L438" si="236">+G424+H424+I424-J424-K424</f>
        <v>6016</v>
      </c>
      <c r="M424" s="50"/>
      <c r="N424" s="50"/>
      <c r="O424" s="50"/>
      <c r="P424" s="744"/>
      <c r="Q424" s="795"/>
      <c r="R424" s="785">
        <f>IFERROR(VLOOKUP($Q424,'391'!$P:$W,8,0),"")</f>
        <v>0</v>
      </c>
      <c r="T424" s="787" t="str">
        <f t="shared" ref="T424:T429" si="237">$Q$439&amp;C424&amp;E424</f>
        <v>Limestone (Fine)B13.246263</v>
      </c>
      <c r="U424" s="787"/>
      <c r="V424" s="787"/>
      <c r="W424" s="802">
        <f>IFERROR(VLOOKUP($Q424,'391'!$P:$AG,15,0),0)</f>
        <v>0</v>
      </c>
      <c r="X424" s="799">
        <f t="shared" si="202"/>
        <v>6016</v>
      </c>
      <c r="Y424" s="787"/>
      <c r="Z424" s="791"/>
      <c r="AA424" s="787"/>
      <c r="AB424" s="787"/>
      <c r="AC424" s="679"/>
    </row>
    <row r="425" spans="1:45" ht="30" customHeight="1" x14ac:dyDescent="0.25">
      <c r="A425" s="1998"/>
      <c r="B425" s="2067"/>
      <c r="C425" s="238" t="s">
        <v>1496</v>
      </c>
      <c r="D425" s="887" t="s">
        <v>10</v>
      </c>
      <c r="E425" s="888">
        <v>46265</v>
      </c>
      <c r="F425" s="283">
        <f t="shared" si="235"/>
        <v>21</v>
      </c>
      <c r="G425" s="312">
        <v>30590</v>
      </c>
      <c r="H425" s="312"/>
      <c r="I425" s="312"/>
      <c r="J425" s="1322"/>
      <c r="K425" s="12">
        <f>IFERROR(SUMIF(INTAKE!$A:$A,$T425,INTAKE!$P:$P),0)</f>
        <v>0</v>
      </c>
      <c r="L425" s="1702">
        <f t="shared" si="236"/>
        <v>30590</v>
      </c>
      <c r="M425" s="611"/>
      <c r="N425" s="48"/>
      <c r="O425" s="48"/>
      <c r="P425" s="738"/>
      <c r="Q425" s="795"/>
      <c r="R425" s="785">
        <f>IFERROR(VLOOKUP($Q425,'391'!$P:$W,8,0),"")</f>
        <v>0</v>
      </c>
      <c r="T425" s="787" t="str">
        <f t="shared" si="237"/>
        <v>Limestone (Fine)B13.246265</v>
      </c>
      <c r="U425" s="787"/>
      <c r="V425" s="787"/>
      <c r="W425" s="802">
        <f>IFERROR(VLOOKUP($Q425,'391'!$P:$AG,15,0),0)</f>
        <v>0</v>
      </c>
      <c r="X425" s="799">
        <f t="shared" si="202"/>
        <v>30590</v>
      </c>
      <c r="Y425" s="787"/>
      <c r="Z425" s="791"/>
      <c r="AA425" s="787"/>
      <c r="AB425" s="787"/>
      <c r="AC425" s="679"/>
    </row>
    <row r="426" spans="1:45" ht="30" customHeight="1" x14ac:dyDescent="0.25">
      <c r="A426" s="1998"/>
      <c r="B426" s="2067"/>
      <c r="C426" s="238" t="s">
        <v>1951</v>
      </c>
      <c r="D426" s="887" t="s">
        <v>10</v>
      </c>
      <c r="E426" s="888">
        <v>46269</v>
      </c>
      <c r="F426" s="283">
        <f t="shared" si="235"/>
        <v>17</v>
      </c>
      <c r="G426" s="312">
        <v>29070</v>
      </c>
      <c r="H426" s="312"/>
      <c r="I426" s="312"/>
      <c r="J426" s="1322"/>
      <c r="K426" s="12"/>
      <c r="L426" s="1702">
        <f t="shared" si="236"/>
        <v>29070</v>
      </c>
      <c r="M426" s="48"/>
      <c r="N426" s="48"/>
      <c r="O426" s="48"/>
      <c r="P426" s="738"/>
      <c r="Q426" s="795"/>
      <c r="R426" s="785">
        <f>IFERROR(VLOOKUP($Q426,'391'!$P:$W,8,0),"")</f>
        <v>0</v>
      </c>
      <c r="T426" s="787" t="str">
        <f t="shared" si="237"/>
        <v>Limestone (Fine)A12.146269</v>
      </c>
      <c r="U426" s="787"/>
      <c r="V426" s="787"/>
      <c r="W426" s="802">
        <f>IFERROR(VLOOKUP($Q426,'391'!$P:$AG,15,0),0)</f>
        <v>0</v>
      </c>
      <c r="X426" s="799">
        <f t="shared" si="202"/>
        <v>29070</v>
      </c>
      <c r="Y426" s="787"/>
      <c r="Z426" s="791"/>
      <c r="AA426" s="787"/>
      <c r="AB426" s="787"/>
      <c r="AC426" s="679"/>
    </row>
    <row r="427" spans="1:45" ht="30" customHeight="1" x14ac:dyDescent="0.25">
      <c r="A427" s="1998"/>
      <c r="B427" s="2067"/>
      <c r="C427" s="238" t="s">
        <v>2220</v>
      </c>
      <c r="D427" s="887" t="s">
        <v>10</v>
      </c>
      <c r="E427" s="888">
        <v>46277</v>
      </c>
      <c r="F427" s="283">
        <f t="shared" ref="F427" si="238">$L$7-E427</f>
        <v>9</v>
      </c>
      <c r="G427" s="312">
        <v>14535</v>
      </c>
      <c r="H427" s="312"/>
      <c r="I427" s="312"/>
      <c r="J427" s="1322"/>
      <c r="K427" s="12"/>
      <c r="L427" s="1702">
        <f t="shared" si="236"/>
        <v>14535</v>
      </c>
      <c r="M427" s="1211"/>
      <c r="N427" s="48"/>
      <c r="O427" s="48"/>
      <c r="P427" s="738"/>
      <c r="Q427" s="795"/>
      <c r="R427" s="785">
        <f>IFERROR(VLOOKUP($Q427,'391'!$P:$W,8,0),"")</f>
        <v>0</v>
      </c>
      <c r="T427" s="787" t="str">
        <f t="shared" si="237"/>
        <v>Limestone (Fine)A11.246277</v>
      </c>
      <c r="U427" s="787"/>
      <c r="V427" s="787"/>
      <c r="W427" s="802">
        <f>IFERROR(VLOOKUP($Q427,'391'!$P:$AG,15,0),0)</f>
        <v>0</v>
      </c>
      <c r="X427" s="799">
        <f t="shared" si="202"/>
        <v>14535</v>
      </c>
      <c r="Y427" s="787"/>
      <c r="Z427" s="791"/>
      <c r="AA427" s="787"/>
      <c r="AB427" s="787"/>
      <c r="AC427" s="679"/>
    </row>
    <row r="428" spans="1:45" ht="30" customHeight="1" x14ac:dyDescent="0.25">
      <c r="A428" s="1998"/>
      <c r="B428" s="2067"/>
      <c r="C428" s="238" t="s">
        <v>1303</v>
      </c>
      <c r="D428" s="887" t="s">
        <v>10</v>
      </c>
      <c r="E428" s="888">
        <v>46277</v>
      </c>
      <c r="F428" s="283">
        <f t="shared" ref="F428" si="239">$L$7-E428</f>
        <v>9</v>
      </c>
      <c r="G428" s="312">
        <v>14535</v>
      </c>
      <c r="H428" s="312"/>
      <c r="I428" s="312"/>
      <c r="J428" s="1322"/>
      <c r="K428" s="12"/>
      <c r="L428" s="1702">
        <f t="shared" si="236"/>
        <v>14535</v>
      </c>
      <c r="M428" s="48"/>
      <c r="N428" s="48"/>
      <c r="O428" s="48"/>
      <c r="P428" s="738"/>
      <c r="Q428" s="795"/>
      <c r="R428" s="785">
        <f>IFERROR(VLOOKUP($Q428,'391'!$P:$W,8,0),"")</f>
        <v>0</v>
      </c>
      <c r="T428" s="787" t="str">
        <f t="shared" si="237"/>
        <v>Limestone (Fine)A12.246277</v>
      </c>
      <c r="U428" s="787"/>
      <c r="V428" s="787"/>
      <c r="W428" s="802">
        <f>IFERROR(VLOOKUP($Q428,'391'!$P:$AG,15,0),0)</f>
        <v>0</v>
      </c>
      <c r="X428" s="799">
        <f t="shared" si="202"/>
        <v>14535</v>
      </c>
      <c r="Y428" s="787"/>
      <c r="Z428" s="791"/>
      <c r="AA428" s="787"/>
      <c r="AB428" s="787"/>
      <c r="AC428" s="679"/>
    </row>
    <row r="429" spans="1:45" ht="30" hidden="1" customHeight="1" x14ac:dyDescent="0.25">
      <c r="A429" s="1998"/>
      <c r="B429" s="2067"/>
      <c r="C429" s="238"/>
      <c r="D429" s="887" t="s">
        <v>10</v>
      </c>
      <c r="E429" s="888">
        <v>46214</v>
      </c>
      <c r="F429" s="283">
        <f t="shared" ref="F429" si="240">$L$7-E429</f>
        <v>72</v>
      </c>
      <c r="G429" s="312">
        <v>0</v>
      </c>
      <c r="H429" s="312"/>
      <c r="I429" s="312"/>
      <c r="J429" s="1322"/>
      <c r="K429" s="12"/>
      <c r="L429" s="1702">
        <f t="shared" si="236"/>
        <v>0</v>
      </c>
      <c r="M429" s="48"/>
      <c r="N429" s="48"/>
      <c r="O429" s="48"/>
      <c r="P429" s="738"/>
      <c r="Q429" s="795"/>
      <c r="R429" s="785">
        <f>IFERROR(VLOOKUP($Q429,'391'!$P:$W,8,0),"")</f>
        <v>0</v>
      </c>
      <c r="T429" s="787" t="str">
        <f t="shared" si="237"/>
        <v>Limestone (Fine)46214</v>
      </c>
      <c r="U429" s="787"/>
      <c r="V429" s="787"/>
      <c r="W429" s="802">
        <f>IFERROR(VLOOKUP($Q429,'391'!$P:$AG,15,0),0)</f>
        <v>0</v>
      </c>
      <c r="X429" s="799">
        <f t="shared" si="202"/>
        <v>0</v>
      </c>
      <c r="Y429" s="787"/>
      <c r="Z429" s="791"/>
      <c r="AA429" s="787"/>
      <c r="AB429" s="787"/>
      <c r="AC429" s="679">
        <f>81630/50</f>
        <v>1632.6</v>
      </c>
    </row>
    <row r="430" spans="1:45" ht="30" hidden="1" customHeight="1" x14ac:dyDescent="0.25">
      <c r="A430" s="1998"/>
      <c r="B430" s="2067"/>
      <c r="C430" s="238"/>
      <c r="D430" s="887" t="s">
        <v>10</v>
      </c>
      <c r="E430" s="888">
        <v>46063</v>
      </c>
      <c r="F430" s="283">
        <f t="shared" ref="F430" si="241">$L$7-E430</f>
        <v>223</v>
      </c>
      <c r="G430" s="312">
        <v>0</v>
      </c>
      <c r="H430" s="312"/>
      <c r="I430" s="312"/>
      <c r="J430" s="1322"/>
      <c r="K430" s="12"/>
      <c r="L430" s="1702">
        <f t="shared" si="236"/>
        <v>0</v>
      </c>
      <c r="M430" s="48"/>
      <c r="N430" s="48"/>
      <c r="O430" s="48"/>
      <c r="P430" s="738"/>
      <c r="Q430" s="795"/>
      <c r="R430" s="785">
        <f>IFERROR(VLOOKUP($Q430,'391'!$P:$W,8,0),"")</f>
        <v>0</v>
      </c>
      <c r="U430" s="787"/>
      <c r="V430" s="787"/>
      <c r="W430" s="802">
        <f>IFERROR(VLOOKUP($Q430,'391'!$P:$AG,15,0),0)</f>
        <v>0</v>
      </c>
      <c r="X430" s="799">
        <f t="shared" ref="X430:X459" si="242">G430-W430</f>
        <v>0</v>
      </c>
      <c r="Y430" s="787"/>
      <c r="Z430" s="791"/>
      <c r="AA430" s="787"/>
      <c r="AB430" s="787"/>
      <c r="AC430" s="679"/>
    </row>
    <row r="431" spans="1:45" ht="30" hidden="1" customHeight="1" x14ac:dyDescent="0.25">
      <c r="A431" s="1998"/>
      <c r="B431" s="2067"/>
      <c r="C431" s="238"/>
      <c r="D431" s="887" t="s">
        <v>10</v>
      </c>
      <c r="E431" s="888">
        <v>46063</v>
      </c>
      <c r="F431" s="283">
        <f t="shared" ref="F431" si="243">$L$7-E431</f>
        <v>223</v>
      </c>
      <c r="G431" s="312">
        <v>0</v>
      </c>
      <c r="H431" s="312"/>
      <c r="I431" s="312"/>
      <c r="J431" s="1322"/>
      <c r="K431" s="12"/>
      <c r="L431" s="1702">
        <f t="shared" si="236"/>
        <v>0</v>
      </c>
      <c r="M431" s="48"/>
      <c r="N431" s="48"/>
      <c r="O431" s="48"/>
      <c r="P431" s="738"/>
      <c r="Q431" s="795"/>
      <c r="R431" s="785">
        <f>IFERROR(VLOOKUP($Q431,'391'!$P:$W,8,0),"")</f>
        <v>0</v>
      </c>
      <c r="U431" s="787"/>
      <c r="V431" s="787"/>
      <c r="W431" s="802">
        <f>IFERROR(VLOOKUP($Q431,'391'!$P:$AG,15,0),0)</f>
        <v>0</v>
      </c>
      <c r="X431" s="799">
        <f t="shared" si="242"/>
        <v>0</v>
      </c>
      <c r="Y431" s="787"/>
      <c r="Z431" s="791"/>
      <c r="AA431" s="787"/>
      <c r="AB431" s="787"/>
      <c r="AC431" s="679"/>
    </row>
    <row r="432" spans="1:45" ht="30" hidden="1" customHeight="1" x14ac:dyDescent="0.25">
      <c r="A432" s="1998"/>
      <c r="B432" s="2067"/>
      <c r="C432" s="238"/>
      <c r="D432" s="887" t="s">
        <v>10</v>
      </c>
      <c r="E432" s="888">
        <v>46064</v>
      </c>
      <c r="F432" s="283">
        <f t="shared" ref="F432" si="244">$L$7-E432</f>
        <v>222</v>
      </c>
      <c r="G432" s="312">
        <v>0</v>
      </c>
      <c r="H432" s="312"/>
      <c r="I432" s="312"/>
      <c r="J432" s="1322"/>
      <c r="K432" s="12"/>
      <c r="L432" s="1702">
        <f t="shared" si="236"/>
        <v>0</v>
      </c>
      <c r="M432" s="48"/>
      <c r="N432" s="48"/>
      <c r="O432" s="48"/>
      <c r="P432" s="738"/>
      <c r="Q432" s="795"/>
      <c r="R432" s="785">
        <f>IFERROR(VLOOKUP($Q432,'391'!$P:$W,8,0),"")</f>
        <v>0</v>
      </c>
      <c r="U432" s="787"/>
      <c r="V432" s="787"/>
      <c r="W432" s="802">
        <f>IFERROR(VLOOKUP($Q432,'391'!$P:$AG,15,0),0)</f>
        <v>0</v>
      </c>
      <c r="X432" s="799">
        <f t="shared" si="242"/>
        <v>0</v>
      </c>
      <c r="Y432" s="787"/>
      <c r="Z432" s="791"/>
      <c r="AA432" s="787"/>
      <c r="AB432" s="787"/>
      <c r="AC432" s="679"/>
    </row>
    <row r="433" spans="1:45" ht="30" hidden="1" customHeight="1" x14ac:dyDescent="0.25">
      <c r="A433" s="1998"/>
      <c r="B433" s="2067"/>
      <c r="C433" s="238"/>
      <c r="D433" s="887" t="s">
        <v>10</v>
      </c>
      <c r="E433" s="888">
        <v>45791</v>
      </c>
      <c r="F433" s="283">
        <f t="shared" ref="F433" si="245">$L$7-E433</f>
        <v>495</v>
      </c>
      <c r="G433" s="312">
        <v>0</v>
      </c>
      <c r="H433" s="312"/>
      <c r="I433" s="312"/>
      <c r="J433" s="1322"/>
      <c r="K433" s="12"/>
      <c r="L433" s="1702">
        <f t="shared" si="236"/>
        <v>0</v>
      </c>
      <c r="M433" s="48"/>
      <c r="N433" s="48"/>
      <c r="O433" s="48"/>
      <c r="P433" s="738"/>
      <c r="Q433" s="795"/>
      <c r="R433" s="785">
        <f>IFERROR(VLOOKUP($Q433,'391'!$P:$W,8,0),"")</f>
        <v>0</v>
      </c>
      <c r="U433" s="787"/>
      <c r="V433" s="787"/>
      <c r="W433" s="802">
        <f>IFERROR(VLOOKUP($Q433,'391'!$P:$AG,15,0),0)</f>
        <v>0</v>
      </c>
      <c r="X433" s="799">
        <f t="shared" si="242"/>
        <v>0</v>
      </c>
      <c r="Y433" s="787"/>
      <c r="Z433" s="791"/>
      <c r="AA433" s="787"/>
      <c r="AB433" s="787"/>
      <c r="AC433" s="679"/>
    </row>
    <row r="434" spans="1:45" ht="30" hidden="1" customHeight="1" x14ac:dyDescent="0.25">
      <c r="A434" s="1998"/>
      <c r="B434" s="2067"/>
      <c r="C434" s="238"/>
      <c r="D434" s="887" t="s">
        <v>10</v>
      </c>
      <c r="E434" s="888">
        <v>45747</v>
      </c>
      <c r="F434" s="283">
        <f t="shared" ref="F434" si="246">$L$7-E434</f>
        <v>539</v>
      </c>
      <c r="G434" s="312">
        <v>0</v>
      </c>
      <c r="H434" s="312"/>
      <c r="I434" s="312"/>
      <c r="J434" s="1322"/>
      <c r="K434" s="12"/>
      <c r="L434" s="1702">
        <f t="shared" si="236"/>
        <v>0</v>
      </c>
      <c r="M434" s="45"/>
      <c r="N434" s="45"/>
      <c r="O434" s="45"/>
      <c r="P434" s="736"/>
      <c r="Q434" s="795"/>
      <c r="R434" s="785">
        <f>IFERROR(VLOOKUP($Q434,'391'!$P:$W,8,0),"")</f>
        <v>0</v>
      </c>
      <c r="U434" s="787"/>
      <c r="V434" s="787"/>
      <c r="W434" s="802">
        <f>IFERROR(VLOOKUP($Q434,'391'!$P:$AG,15,0),0)</f>
        <v>0</v>
      </c>
      <c r="X434" s="799">
        <f t="shared" si="242"/>
        <v>0</v>
      </c>
      <c r="Y434" s="787"/>
      <c r="Z434" s="791"/>
      <c r="AA434" s="787"/>
      <c r="AB434" s="787"/>
      <c r="AC434" s="679"/>
    </row>
    <row r="435" spans="1:45" ht="30" hidden="1" customHeight="1" x14ac:dyDescent="0.25">
      <c r="A435" s="1998"/>
      <c r="B435" s="2067"/>
      <c r="C435" s="238" t="s">
        <v>152</v>
      </c>
      <c r="D435" s="887" t="s">
        <v>10</v>
      </c>
      <c r="E435" s="888">
        <v>45580</v>
      </c>
      <c r="F435" s="329">
        <f t="shared" ref="F435:F437" si="247">$L$7-E435</f>
        <v>706</v>
      </c>
      <c r="G435" s="312">
        <v>0</v>
      </c>
      <c r="H435" s="312"/>
      <c r="I435" s="312"/>
      <c r="J435" s="1322"/>
      <c r="K435" s="12"/>
      <c r="L435" s="1702">
        <f t="shared" si="236"/>
        <v>0</v>
      </c>
      <c r="M435" s="45"/>
      <c r="N435" s="45"/>
      <c r="O435" s="45"/>
      <c r="P435" s="736"/>
      <c r="Q435" s="795"/>
      <c r="R435" s="785">
        <f>IFERROR(VLOOKUP($Q435,'391'!$P:$W,8,0),"")</f>
        <v>0</v>
      </c>
      <c r="U435" s="787"/>
      <c r="V435" s="787"/>
      <c r="W435" s="802">
        <f>IFERROR(VLOOKUP($Q435,'391'!$P:$AG,15,0),0)</f>
        <v>0</v>
      </c>
      <c r="X435" s="799">
        <f t="shared" si="242"/>
        <v>0</v>
      </c>
      <c r="Y435" s="787"/>
      <c r="Z435" s="791"/>
      <c r="AA435" s="787"/>
      <c r="AB435" s="787"/>
      <c r="AC435" s="679"/>
    </row>
    <row r="436" spans="1:45" ht="30" hidden="1" customHeight="1" x14ac:dyDescent="0.25">
      <c r="A436" s="1998"/>
      <c r="B436" s="2072"/>
      <c r="C436" s="238"/>
      <c r="D436" s="887" t="s">
        <v>10</v>
      </c>
      <c r="E436" s="888">
        <v>45580</v>
      </c>
      <c r="F436" s="329">
        <f t="shared" si="247"/>
        <v>706</v>
      </c>
      <c r="G436" s="312">
        <v>0</v>
      </c>
      <c r="H436" s="312"/>
      <c r="I436" s="312"/>
      <c r="J436" s="1322"/>
      <c r="K436" s="12"/>
      <c r="L436" s="1702">
        <f t="shared" ref="L436" si="248">+G436+H436+I436-J436-K436</f>
        <v>0</v>
      </c>
      <c r="M436" s="45"/>
      <c r="N436" s="45"/>
      <c r="O436" s="45"/>
      <c r="P436" s="736"/>
      <c r="Q436" s="795"/>
      <c r="R436" s="785">
        <f>IFERROR(VLOOKUP($Q436,'391'!$P:$W,8,0),"")</f>
        <v>0</v>
      </c>
      <c r="U436" s="787"/>
      <c r="V436" s="787"/>
      <c r="W436" s="802">
        <f>IFERROR(VLOOKUP($Q436,'391'!$P:$AG,15,0),0)</f>
        <v>0</v>
      </c>
      <c r="X436" s="799">
        <f t="shared" ref="X436" si="249">G436-W436</f>
        <v>0</v>
      </c>
      <c r="Y436" s="787"/>
      <c r="Z436" s="791"/>
      <c r="AA436" s="787"/>
      <c r="AB436" s="787"/>
      <c r="AC436" s="679"/>
    </row>
    <row r="437" spans="1:45" ht="30" hidden="1" customHeight="1" x14ac:dyDescent="0.25">
      <c r="A437" s="1998"/>
      <c r="B437" s="2072"/>
      <c r="C437" s="238" t="s">
        <v>1496</v>
      </c>
      <c r="D437" s="887" t="s">
        <v>10</v>
      </c>
      <c r="E437" s="888">
        <v>45569</v>
      </c>
      <c r="F437" s="1768">
        <f t="shared" si="247"/>
        <v>717</v>
      </c>
      <c r="G437" s="312">
        <v>0</v>
      </c>
      <c r="H437" s="312"/>
      <c r="I437" s="312"/>
      <c r="J437" s="1322"/>
      <c r="K437" s="12"/>
      <c r="L437" s="1702">
        <f t="shared" si="236"/>
        <v>0</v>
      </c>
      <c r="M437" s="45"/>
      <c r="N437" s="45"/>
      <c r="O437" s="45"/>
      <c r="P437" s="736"/>
      <c r="Q437" s="795"/>
      <c r="R437" s="785">
        <f>IFERROR(VLOOKUP($Q437,'391'!$P:$W,8,0),"")</f>
        <v>0</v>
      </c>
      <c r="U437" s="787"/>
      <c r="V437" s="787"/>
      <c r="W437" s="802">
        <f>IFERROR(VLOOKUP($Q437,'391'!$P:$AG,15,0),0)</f>
        <v>0</v>
      </c>
      <c r="X437" s="799">
        <f t="shared" si="242"/>
        <v>0</v>
      </c>
      <c r="Y437" s="787"/>
      <c r="Z437" s="791"/>
      <c r="AA437" s="787"/>
      <c r="AB437" s="787"/>
      <c r="AC437" s="679"/>
    </row>
    <row r="438" spans="1:45" ht="30" customHeight="1" x14ac:dyDescent="0.25">
      <c r="A438" s="1998"/>
      <c r="B438" s="2067"/>
      <c r="C438" s="119" t="s">
        <v>1819</v>
      </c>
      <c r="D438" s="863" t="s">
        <v>10</v>
      </c>
      <c r="E438" s="886">
        <v>46284</v>
      </c>
      <c r="F438" s="1768">
        <f t="shared" ref="F438" si="250">$L$7-E438</f>
        <v>2</v>
      </c>
      <c r="G438" s="1294">
        <v>17876</v>
      </c>
      <c r="H438" s="312">
        <v>31890</v>
      </c>
      <c r="I438" s="37">
        <f>+SUM(K424:K437)</f>
        <v>0</v>
      </c>
      <c r="J438" s="1294">
        <f>usage!I42</f>
        <v>19391</v>
      </c>
      <c r="K438" s="37"/>
      <c r="L438" s="1533">
        <f t="shared" si="236"/>
        <v>30375</v>
      </c>
      <c r="M438" s="47"/>
      <c r="N438" s="47"/>
      <c r="O438" s="47"/>
      <c r="P438" s="740"/>
      <c r="Q438" s="795"/>
      <c r="R438" s="785">
        <f>IFERROR(VLOOKUP($Q438,'391'!$P:$W,8,0),"")</f>
        <v>0</v>
      </c>
      <c r="U438" s="787"/>
      <c r="V438" s="787"/>
      <c r="W438" s="802">
        <f>IFERROR(VLOOKUP($Q438,'391'!$P:$AG,15,0),0)</f>
        <v>0</v>
      </c>
      <c r="X438" s="799">
        <f t="shared" si="242"/>
        <v>17876</v>
      </c>
      <c r="Y438" s="787"/>
      <c r="Z438" s="791"/>
      <c r="AA438" s="787"/>
      <c r="AB438" s="787"/>
      <c r="AC438" s="679"/>
    </row>
    <row r="439" spans="1:45" s="402" customFormat="1" ht="30" customHeight="1" x14ac:dyDescent="0.25">
      <c r="A439" s="2019" t="s">
        <v>290</v>
      </c>
      <c r="B439" s="2020"/>
      <c r="C439" s="88"/>
      <c r="D439" s="864"/>
      <c r="E439" s="864"/>
      <c r="F439" s="1833"/>
      <c r="G439" s="1296">
        <v>112622</v>
      </c>
      <c r="H439" s="1296">
        <f t="shared" ref="H439:L439" si="251">+SUM(H424:H438)</f>
        <v>31890</v>
      </c>
      <c r="I439" s="1296">
        <f t="shared" si="251"/>
        <v>0</v>
      </c>
      <c r="J439" s="1296">
        <f t="shared" si="251"/>
        <v>19391</v>
      </c>
      <c r="K439" s="1296">
        <f t="shared" si="251"/>
        <v>0</v>
      </c>
      <c r="L439" s="1296">
        <f t="shared" si="251"/>
        <v>125121</v>
      </c>
      <c r="M439" s="59">
        <f>IFERROR((R439/$S$2),"")</f>
        <v>22862</v>
      </c>
      <c r="N439" s="854">
        <f>(L439/M439)</f>
        <v>5.4728807628378968</v>
      </c>
      <c r="O439" s="59">
        <f>IFERROR(SUMIF(ETM!$A:$A,$Q439,ETM!$E:$E),"")</f>
        <v>23448.999999999996</v>
      </c>
      <c r="P439" s="880">
        <f>(L439/O439)</f>
        <v>5.3358778625954209</v>
      </c>
      <c r="Q439" s="795" t="s">
        <v>811</v>
      </c>
      <c r="R439" s="785">
        <f>IFERROR(VLOOKUP($Q439,'391'!$S:$Z,8,0),"")</f>
        <v>137172</v>
      </c>
      <c r="S439" s="796"/>
      <c r="T439" s="797"/>
      <c r="U439" s="797"/>
      <c r="V439" s="797"/>
      <c r="W439" s="802">
        <f>IFERROR(VLOOKUP($Q439,'391'!$S:$AG,15,0),0)</f>
        <v>112620</v>
      </c>
      <c r="X439" s="799">
        <f t="shared" si="242"/>
        <v>2</v>
      </c>
      <c r="Y439" s="797"/>
      <c r="Z439" s="785"/>
      <c r="AA439" s="797"/>
      <c r="AB439" s="797"/>
      <c r="AC439" s="551"/>
      <c r="AD439" s="551"/>
      <c r="AE439" s="551"/>
      <c r="AF439" s="551"/>
      <c r="AG439" s="551"/>
      <c r="AH439" s="551"/>
      <c r="AI439" s="704"/>
      <c r="AJ439" s="704"/>
      <c r="AK439" s="704"/>
      <c r="AL439" s="704"/>
      <c r="AM439" s="704"/>
      <c r="AN439" s="704"/>
      <c r="AO439" s="704"/>
      <c r="AP439" s="704"/>
      <c r="AQ439" s="704"/>
      <c r="AR439" s="704"/>
      <c r="AS439" s="704"/>
    </row>
    <row r="440" spans="1:45" ht="30" hidden="1" customHeight="1" x14ac:dyDescent="0.25">
      <c r="A440" s="1997">
        <f>IF(L445=0,"",MAX($A$16:A439)+1)</f>
        <v>22</v>
      </c>
      <c r="B440" s="2066" t="s">
        <v>499</v>
      </c>
      <c r="C440" s="238"/>
      <c r="D440" s="887" t="s">
        <v>10</v>
      </c>
      <c r="E440" s="888">
        <v>45887</v>
      </c>
      <c r="F440" s="359">
        <f>$L$7-E440</f>
        <v>399</v>
      </c>
      <c r="G440" s="312">
        <v>0</v>
      </c>
      <c r="H440" s="312"/>
      <c r="I440" s="312"/>
      <c r="J440" s="1322"/>
      <c r="K440" s="312"/>
      <c r="L440" s="1669">
        <f>+G440+H440+I440-J440-K440</f>
        <v>0</v>
      </c>
      <c r="M440" s="50"/>
      <c r="N440" s="50"/>
      <c r="O440" s="50"/>
      <c r="P440" s="744"/>
      <c r="Q440" s="795"/>
      <c r="R440" s="785">
        <f>IFERROR(VLOOKUP($Q440,'391'!$S:$Z,8,0),"")</f>
        <v>0</v>
      </c>
      <c r="U440" s="787"/>
      <c r="V440" s="787"/>
      <c r="W440" s="802">
        <f>IFERROR(VLOOKUP($Q440,'391'!$S:$AG,15,0),0)</f>
        <v>0</v>
      </c>
      <c r="X440" s="799">
        <f t="shared" si="242"/>
        <v>0</v>
      </c>
      <c r="Y440" s="787"/>
      <c r="Z440" s="791"/>
      <c r="AA440" s="787"/>
      <c r="AB440" s="787"/>
      <c r="AC440" s="679"/>
    </row>
    <row r="441" spans="1:45" ht="30" customHeight="1" x14ac:dyDescent="0.25">
      <c r="A441" s="1998"/>
      <c r="B441" s="2067"/>
      <c r="C441" s="238" t="s">
        <v>2183</v>
      </c>
      <c r="D441" s="887" t="s">
        <v>10</v>
      </c>
      <c r="E441" s="888">
        <v>46272</v>
      </c>
      <c r="F441" s="359">
        <f>$L$7-E441</f>
        <v>14</v>
      </c>
      <c r="G441" s="312">
        <v>17856</v>
      </c>
      <c r="H441" s="1962"/>
      <c r="I441" s="312"/>
      <c r="J441" s="1322"/>
      <c r="K441" s="12">
        <f>IFERROR(SUMIF(INTAKE!$A:$A,$T441,INTAKE!$P:$P),0)</f>
        <v>2976</v>
      </c>
      <c r="L441" s="1712">
        <f>+G441+H441+I441-J441-K441</f>
        <v>14880</v>
      </c>
      <c r="M441" s="48"/>
      <c r="N441" s="48"/>
      <c r="O441" s="48"/>
      <c r="P441" s="738"/>
      <c r="Q441" s="795"/>
      <c r="R441" s="785">
        <f>IFERROR(VLOOKUP($Q441,'391'!$S:$Z,8,0),"")</f>
        <v>0</v>
      </c>
      <c r="T441" s="787" t="str">
        <f>$Q$445&amp;C441&amp;E441</f>
        <v>Calcium feedA13.146272</v>
      </c>
      <c r="U441" s="787"/>
      <c r="V441" s="787"/>
      <c r="W441" s="802">
        <f>IFERROR(VLOOKUP($Q441,'391'!$S:$AG,15,0),0)</f>
        <v>0</v>
      </c>
      <c r="X441" s="799">
        <f t="shared" si="242"/>
        <v>17856</v>
      </c>
      <c r="Y441" s="787"/>
      <c r="Z441" s="791"/>
      <c r="AA441" s="787"/>
      <c r="AB441" s="787"/>
      <c r="AC441" s="679"/>
    </row>
    <row r="442" spans="1:45" ht="30" hidden="1" customHeight="1" x14ac:dyDescent="0.25">
      <c r="A442" s="1998"/>
      <c r="B442" s="2067"/>
      <c r="C442" s="238"/>
      <c r="D442" s="887" t="s">
        <v>10</v>
      </c>
      <c r="E442" s="888">
        <v>46272</v>
      </c>
      <c r="F442" s="359">
        <f>$L$7-E442</f>
        <v>14</v>
      </c>
      <c r="G442" s="312">
        <v>0</v>
      </c>
      <c r="H442" s="1962"/>
      <c r="I442" s="312"/>
      <c r="J442" s="1322"/>
      <c r="K442" s="12">
        <f>IFERROR(SUMIF(INTAKE!$A:$A,$T442,INTAKE!$P:$P),0)</f>
        <v>0</v>
      </c>
      <c r="L442" s="1669">
        <f>+G442+H442+I442-J442-K442</f>
        <v>0</v>
      </c>
      <c r="M442" s="48"/>
      <c r="N442" s="48"/>
      <c r="O442" s="48"/>
      <c r="P442" s="738"/>
      <c r="Q442" s="795"/>
      <c r="R442" s="785">
        <f>IFERROR(VLOOKUP($Q442,'391'!$S:$Z,8,0),"")</f>
        <v>0</v>
      </c>
      <c r="T442" s="787" t="str">
        <f>$Q$445&amp;C442&amp;E442</f>
        <v>Calcium feed46272</v>
      </c>
      <c r="U442" s="787"/>
      <c r="V442" s="787"/>
      <c r="W442" s="802">
        <f>IFERROR(VLOOKUP($Q442,'391'!$S:$AG,15,0),0)</f>
        <v>0</v>
      </c>
      <c r="X442" s="799">
        <f t="shared" si="242"/>
        <v>0</v>
      </c>
      <c r="Y442" s="787"/>
      <c r="Z442" s="791"/>
      <c r="AA442" s="787"/>
      <c r="AB442" s="787"/>
      <c r="AC442" s="679"/>
    </row>
    <row r="443" spans="1:45" ht="30" hidden="1" customHeight="1" x14ac:dyDescent="0.25">
      <c r="A443" s="1998"/>
      <c r="B443" s="2067"/>
      <c r="C443" s="238"/>
      <c r="D443" s="887" t="s">
        <v>10</v>
      </c>
      <c r="E443" s="888">
        <v>46161</v>
      </c>
      <c r="F443" s="359">
        <f>$L$7-E443</f>
        <v>125</v>
      </c>
      <c r="G443" s="312">
        <v>0</v>
      </c>
      <c r="H443" s="1962"/>
      <c r="I443" s="312"/>
      <c r="J443" s="1322"/>
      <c r="K443" s="12">
        <f>IFERROR(SUMIF(INTAKE!$A:$A,$T443,INTAKE!$P:$P),0)</f>
        <v>0</v>
      </c>
      <c r="L443" s="1669">
        <f>+G443+H443+I443-J443-K443</f>
        <v>0</v>
      </c>
      <c r="M443" s="48"/>
      <c r="N443" s="48"/>
      <c r="O443" s="48"/>
      <c r="P443" s="738"/>
      <c r="Q443" s="795"/>
      <c r="R443" s="785">
        <f>IFERROR(VLOOKUP($Q443,'391'!$S:$Z,8,0),"")</f>
        <v>0</v>
      </c>
      <c r="T443" s="787" t="str">
        <f>$Q$445&amp;C443&amp;E443</f>
        <v>Calcium feed46161</v>
      </c>
      <c r="U443" s="787"/>
      <c r="V443" s="787"/>
      <c r="W443" s="802">
        <f>IFERROR(VLOOKUP($Q443,'391'!$S:$AG,15,0),0)</f>
        <v>0</v>
      </c>
      <c r="X443" s="799">
        <f t="shared" si="242"/>
        <v>0</v>
      </c>
      <c r="Y443" s="787"/>
      <c r="Z443" s="791"/>
      <c r="AA443" s="787"/>
      <c r="AB443" s="787"/>
      <c r="AC443" s="679"/>
    </row>
    <row r="444" spans="1:45" ht="30" customHeight="1" x14ac:dyDescent="0.25">
      <c r="A444" s="1998"/>
      <c r="B444" s="2067"/>
      <c r="C444" s="119" t="s">
        <v>501</v>
      </c>
      <c r="D444" s="863" t="s">
        <v>10</v>
      </c>
      <c r="E444" s="886">
        <v>46272</v>
      </c>
      <c r="F444" s="329">
        <f>$L$7-E444</f>
        <v>14</v>
      </c>
      <c r="G444" s="1294">
        <v>9699</v>
      </c>
      <c r="H444" s="28"/>
      <c r="I444" s="37">
        <f>+SUM(K440:K443)</f>
        <v>2976</v>
      </c>
      <c r="J444" s="1294">
        <f>+usage!I43</f>
        <v>3174</v>
      </c>
      <c r="K444" s="28"/>
      <c r="L444" s="531">
        <f>+G444+H444+I444-J444-K444</f>
        <v>9501</v>
      </c>
      <c r="M444" s="44"/>
      <c r="N444" s="44"/>
      <c r="O444" s="44"/>
      <c r="P444" s="735"/>
      <c r="Q444" s="795"/>
      <c r="R444" s="785">
        <f>IFERROR(VLOOKUP($Q444,'391'!$S:$Z,8,0),"")</f>
        <v>0</v>
      </c>
      <c r="U444" s="787"/>
      <c r="V444" s="787"/>
      <c r="W444" s="802">
        <f>IFERROR(VLOOKUP($Q444,'391'!$S:$AG,15,0),0)</f>
        <v>0</v>
      </c>
      <c r="X444" s="799">
        <f t="shared" si="242"/>
        <v>9699</v>
      </c>
      <c r="Y444" s="787"/>
      <c r="Z444" s="791"/>
      <c r="AA444" s="787"/>
      <c r="AB444" s="787"/>
      <c r="AC444" s="679"/>
    </row>
    <row r="445" spans="1:45" s="402" customFormat="1" ht="30" customHeight="1" x14ac:dyDescent="0.25">
      <c r="A445" s="2019" t="s">
        <v>1349</v>
      </c>
      <c r="B445" s="2020"/>
      <c r="C445" s="88"/>
      <c r="D445" s="864"/>
      <c r="E445" s="864"/>
      <c r="F445" s="865"/>
      <c r="G445" s="1296">
        <v>27555</v>
      </c>
      <c r="H445" s="1296">
        <f>+SUM(H440:H444)</f>
        <v>0</v>
      </c>
      <c r="I445" s="1296">
        <f t="shared" ref="I445:L445" si="252">+SUM(I440:I444)</f>
        <v>2976</v>
      </c>
      <c r="J445" s="1296">
        <f t="shared" si="252"/>
        <v>3174</v>
      </c>
      <c r="K445" s="1296">
        <f t="shared" si="252"/>
        <v>2976</v>
      </c>
      <c r="L445" s="1296">
        <f t="shared" si="252"/>
        <v>24381</v>
      </c>
      <c r="M445" s="59">
        <f>IFERROR((R445/$S$2),"")</f>
        <v>1387.6666666666667</v>
      </c>
      <c r="N445" s="854">
        <f>(L445/M445)</f>
        <v>17.569781407638722</v>
      </c>
      <c r="O445" s="59">
        <f>IFERROR(SUMIF(ETM!$A:$A,$Q445,ETM!$E:$E),"")</f>
        <v>1490</v>
      </c>
      <c r="P445" s="880">
        <f>(L445/O445)</f>
        <v>16.363087248322149</v>
      </c>
      <c r="Q445" s="795" t="s">
        <v>829</v>
      </c>
      <c r="R445" s="785">
        <f>IFERROR(VLOOKUP($Q445,'391'!$S:$Z,8,0),"")</f>
        <v>8326</v>
      </c>
      <c r="S445" s="796"/>
      <c r="T445" s="797"/>
      <c r="U445" s="797"/>
      <c r="V445" s="797"/>
      <c r="W445" s="802">
        <f>IFERROR(VLOOKUP($Q445,'391'!$S:$AG,15,0),0)</f>
        <v>27555</v>
      </c>
      <c r="X445" s="799">
        <f t="shared" si="242"/>
        <v>0</v>
      </c>
      <c r="Y445" s="797"/>
      <c r="Z445" s="785"/>
      <c r="AA445" s="797"/>
      <c r="AB445" s="797"/>
      <c r="AC445" s="551"/>
      <c r="AD445" s="551"/>
      <c r="AE445" s="551"/>
      <c r="AF445" s="551"/>
      <c r="AG445" s="551"/>
      <c r="AH445" s="551"/>
      <c r="AI445" s="704"/>
      <c r="AJ445" s="704"/>
      <c r="AK445" s="704"/>
      <c r="AL445" s="704"/>
      <c r="AM445" s="704"/>
      <c r="AN445" s="704"/>
      <c r="AO445" s="704"/>
      <c r="AP445" s="704"/>
      <c r="AQ445" s="704"/>
      <c r="AR445" s="704"/>
      <c r="AS445" s="704"/>
    </row>
    <row r="446" spans="1:45" ht="30" hidden="1" customHeight="1" x14ac:dyDescent="0.25">
      <c r="A446" s="1997">
        <f>IF(L454=0,"",MAX($A$16:A445)+1)</f>
        <v>23</v>
      </c>
      <c r="B446" s="2043" t="s">
        <v>1183</v>
      </c>
      <c r="C446" s="111" t="s">
        <v>856</v>
      </c>
      <c r="D446" s="881" t="s">
        <v>10</v>
      </c>
      <c r="E446" s="882">
        <v>44655</v>
      </c>
      <c r="F446" s="41">
        <f t="shared" ref="F446:F453" si="253">$L$7-E446</f>
        <v>1631</v>
      </c>
      <c r="G446" s="300">
        <v>0</v>
      </c>
      <c r="H446" s="306"/>
      <c r="I446" s="1354"/>
      <c r="J446" s="1305"/>
      <c r="K446" s="1347"/>
      <c r="L446" s="531">
        <f t="shared" ref="L446:L453" si="254">+G446+H446+I446-J446-K446</f>
        <v>0</v>
      </c>
      <c r="M446" s="48"/>
      <c r="N446" s="249"/>
      <c r="O446" s="369"/>
      <c r="P446" s="744"/>
      <c r="Q446" s="795"/>
      <c r="U446" s="787"/>
      <c r="V446" s="787"/>
      <c r="W446" s="802">
        <f>IFERROR(VLOOKUP($Q446,'391'!$P:$AG,15,0),0)</f>
        <v>0</v>
      </c>
      <c r="X446" s="799">
        <f t="shared" si="242"/>
        <v>0</v>
      </c>
      <c r="Y446" s="787"/>
      <c r="Z446" s="791"/>
      <c r="AA446" s="787"/>
      <c r="AB446" s="787"/>
      <c r="AC446" s="679"/>
    </row>
    <row r="447" spans="1:45" ht="30" hidden="1" customHeight="1" x14ac:dyDescent="0.25">
      <c r="A447" s="1998"/>
      <c r="B447" s="2065"/>
      <c r="C447" s="111"/>
      <c r="D447" s="881" t="s">
        <v>10</v>
      </c>
      <c r="E447" s="882">
        <v>45854</v>
      </c>
      <c r="F447" s="41">
        <f t="shared" ref="F447:F449" si="255">$L$7-E447</f>
        <v>432</v>
      </c>
      <c r="G447" s="300">
        <v>0</v>
      </c>
      <c r="H447" s="306"/>
      <c r="I447" s="1354"/>
      <c r="J447" s="1305"/>
      <c r="K447" s="306"/>
      <c r="L447" s="1669">
        <f t="shared" si="254"/>
        <v>0</v>
      </c>
      <c r="M447" s="48"/>
      <c r="N447" s="249"/>
      <c r="O447" s="369"/>
      <c r="P447" s="734"/>
      <c r="Q447" s="795"/>
      <c r="U447" s="787"/>
      <c r="V447" s="787"/>
      <c r="W447" s="802">
        <f>IFERROR(VLOOKUP($Q447,'391'!$P:$AG,15,0),0)</f>
        <v>0</v>
      </c>
      <c r="X447" s="799">
        <f t="shared" si="242"/>
        <v>0</v>
      </c>
      <c r="Y447" s="787"/>
      <c r="Z447" s="791"/>
      <c r="AA447" s="787"/>
      <c r="AB447" s="787"/>
      <c r="AC447" s="679"/>
    </row>
    <row r="448" spans="1:45" ht="29.1" hidden="1" customHeight="1" x14ac:dyDescent="0.25">
      <c r="A448" s="1998"/>
      <c r="B448" s="2065"/>
      <c r="C448" s="111"/>
      <c r="D448" s="881" t="s">
        <v>10</v>
      </c>
      <c r="E448" s="882">
        <v>45863</v>
      </c>
      <c r="F448" s="41">
        <f t="shared" si="255"/>
        <v>423</v>
      </c>
      <c r="G448" s="300">
        <v>0</v>
      </c>
      <c r="H448" s="306"/>
      <c r="I448" s="1354"/>
      <c r="J448" s="1305"/>
      <c r="K448" s="306"/>
      <c r="L448" s="1669">
        <f t="shared" si="254"/>
        <v>0</v>
      </c>
      <c r="M448" s="48"/>
      <c r="N448" s="249"/>
      <c r="O448" s="369"/>
      <c r="P448" s="738"/>
      <c r="Q448" s="795"/>
      <c r="U448" s="787"/>
      <c r="V448" s="787"/>
      <c r="W448" s="802">
        <f>IFERROR(VLOOKUP($Q448,'391'!$P:$AG,15,0),0)</f>
        <v>0</v>
      </c>
      <c r="X448" s="799">
        <f t="shared" si="242"/>
        <v>0</v>
      </c>
      <c r="Y448" s="787"/>
      <c r="Z448" s="791"/>
      <c r="AA448" s="787"/>
      <c r="AB448" s="787"/>
      <c r="AC448" s="679"/>
    </row>
    <row r="449" spans="1:45" ht="28.5" customHeight="1" x14ac:dyDescent="0.25">
      <c r="A449" s="1998"/>
      <c r="B449" s="2065"/>
      <c r="C449" s="111" t="s">
        <v>1941</v>
      </c>
      <c r="D449" s="881" t="s">
        <v>10</v>
      </c>
      <c r="E449" s="882">
        <v>46263</v>
      </c>
      <c r="F449" s="41">
        <f t="shared" si="255"/>
        <v>23</v>
      </c>
      <c r="G449" s="300">
        <v>23224</v>
      </c>
      <c r="H449" s="306"/>
      <c r="I449" s="1354"/>
      <c r="J449" s="1305"/>
      <c r="K449" s="12">
        <f>IFERROR(SUMIF(INTAKE!$A:$A,$T449,INTAKE!$P:$P),0)</f>
        <v>0</v>
      </c>
      <c r="L449" s="1669">
        <f t="shared" si="254"/>
        <v>23224</v>
      </c>
      <c r="M449" s="48"/>
      <c r="N449" s="249"/>
      <c r="O449" s="369"/>
      <c r="P449" s="738"/>
      <c r="Q449" s="795"/>
      <c r="T449" s="787" t="str">
        <f>$Q$453&amp;C449&amp;E449</f>
        <v>Limestone Coarse (S3.5)A11.146263</v>
      </c>
      <c r="U449" s="787"/>
      <c r="V449" s="787"/>
      <c r="W449" s="802">
        <f>IFERROR(VLOOKUP($Q449,'391'!$P:$AG,15,0),0)</f>
        <v>0</v>
      </c>
      <c r="X449" s="799">
        <f t="shared" si="242"/>
        <v>23224</v>
      </c>
      <c r="Y449" s="787"/>
      <c r="Z449" s="791"/>
      <c r="AA449" s="787"/>
      <c r="AB449" s="787"/>
      <c r="AC449" s="679"/>
    </row>
    <row r="450" spans="1:45" ht="30" hidden="1" customHeight="1" x14ac:dyDescent="0.25">
      <c r="A450" s="1998"/>
      <c r="B450" s="2065"/>
      <c r="C450" s="111"/>
      <c r="D450" s="881" t="s">
        <v>10</v>
      </c>
      <c r="E450" s="882">
        <v>46263</v>
      </c>
      <c r="F450" s="41">
        <f t="shared" ref="F450" si="256">$L$7-E450</f>
        <v>23</v>
      </c>
      <c r="G450" s="300">
        <v>0</v>
      </c>
      <c r="H450" s="306"/>
      <c r="I450" s="1354"/>
      <c r="J450" s="1305"/>
      <c r="K450" s="12">
        <f>IFERROR(SUMIF(INTAKE!$A:$A,$T450,INTAKE!$P:$P),0)</f>
        <v>0</v>
      </c>
      <c r="L450" s="1669">
        <f t="shared" si="254"/>
        <v>0</v>
      </c>
      <c r="M450" s="48"/>
      <c r="N450" s="249"/>
      <c r="O450" s="369"/>
      <c r="P450" s="738"/>
      <c r="Q450" s="795"/>
      <c r="T450" s="787" t="str">
        <f t="shared" ref="T450:T451" si="257">$Q$453&amp;C450&amp;E450</f>
        <v>Limestone Coarse (S3.5)46263</v>
      </c>
      <c r="U450" s="787"/>
      <c r="V450" s="787"/>
      <c r="W450" s="802">
        <f>IFERROR(VLOOKUP($Q450,'391'!$P:$AG,15,0),0)</f>
        <v>0</v>
      </c>
      <c r="X450" s="799">
        <f t="shared" si="242"/>
        <v>0</v>
      </c>
      <c r="Y450" s="787"/>
      <c r="Z450" s="791"/>
      <c r="AA450" s="787"/>
      <c r="AB450" s="787"/>
      <c r="AC450" s="679"/>
    </row>
    <row r="451" spans="1:45" ht="30" hidden="1" customHeight="1" x14ac:dyDescent="0.25">
      <c r="A451" s="1998"/>
      <c r="B451" s="2065"/>
      <c r="C451" s="111"/>
      <c r="D451" s="881" t="s">
        <v>10</v>
      </c>
      <c r="E451" s="882">
        <v>46263</v>
      </c>
      <c r="F451" s="41">
        <f t="shared" ref="F451" si="258">$L$7-E451</f>
        <v>23</v>
      </c>
      <c r="G451" s="300">
        <v>0</v>
      </c>
      <c r="H451" s="306"/>
      <c r="I451" s="1354"/>
      <c r="J451" s="1305"/>
      <c r="K451" s="12">
        <f>IFERROR(SUMIF(INTAKE!$A:$A,$T451,INTAKE!$P:$P),0)</f>
        <v>0</v>
      </c>
      <c r="L451" s="1669">
        <f t="shared" si="254"/>
        <v>0</v>
      </c>
      <c r="M451" s="48"/>
      <c r="N451" s="249"/>
      <c r="O451" s="369"/>
      <c r="P451" s="738"/>
      <c r="Q451" s="795"/>
      <c r="T451" s="787" t="str">
        <f t="shared" si="257"/>
        <v>Limestone Coarse (S3.5)46263</v>
      </c>
      <c r="U451" s="787"/>
      <c r="V451" s="787"/>
      <c r="W451" s="802">
        <f>IFERROR(VLOOKUP($Q451,'391'!$P:$AG,15,0),0)</f>
        <v>0</v>
      </c>
      <c r="X451" s="799">
        <f t="shared" si="242"/>
        <v>0</v>
      </c>
      <c r="Y451" s="787"/>
      <c r="Z451" s="791"/>
      <c r="AA451" s="787"/>
      <c r="AB451" s="787"/>
      <c r="AC451" s="679"/>
    </row>
    <row r="452" spans="1:45" ht="30" hidden="1" customHeight="1" x14ac:dyDescent="0.25">
      <c r="A452" s="1998"/>
      <c r="B452" s="2065"/>
      <c r="C452" s="111"/>
      <c r="D452" s="881" t="s">
        <v>10</v>
      </c>
      <c r="E452" s="882">
        <v>46206</v>
      </c>
      <c r="F452" s="41">
        <f t="shared" ref="F452" si="259">$L$7-E452</f>
        <v>80</v>
      </c>
      <c r="G452" s="300">
        <v>0</v>
      </c>
      <c r="H452" s="306"/>
      <c r="I452" s="1354"/>
      <c r="J452" s="1305"/>
      <c r="K452" s="12">
        <f>IFERROR(SUMIF(INTAKE!$A:$A,$T452,INTAKE!$P:$P),0)</f>
        <v>0</v>
      </c>
      <c r="L452" s="1669">
        <f t="shared" si="254"/>
        <v>0</v>
      </c>
      <c r="M452" s="48"/>
      <c r="N452" s="163"/>
      <c r="O452" s="373"/>
      <c r="P452" s="738"/>
      <c r="Q452" s="795"/>
      <c r="U452" s="787"/>
      <c r="V452" s="787"/>
      <c r="W452" s="802">
        <f>IFERROR(VLOOKUP($Q452,'391'!$P:$AG,15,0),0)</f>
        <v>0</v>
      </c>
      <c r="X452" s="799">
        <f t="shared" si="242"/>
        <v>0</v>
      </c>
      <c r="Y452" s="787"/>
      <c r="Z452" s="791"/>
      <c r="AA452" s="787"/>
      <c r="AB452" s="787"/>
      <c r="AC452" s="679"/>
    </row>
    <row r="453" spans="1:45" ht="29.1" customHeight="1" x14ac:dyDescent="0.25">
      <c r="A453" s="1998"/>
      <c r="B453" s="2044"/>
      <c r="C453" s="109" t="s">
        <v>1148</v>
      </c>
      <c r="D453" s="850" t="s">
        <v>10</v>
      </c>
      <c r="E453" s="853">
        <v>46256</v>
      </c>
      <c r="F453" s="41">
        <f t="shared" si="253"/>
        <v>30</v>
      </c>
      <c r="G453" s="36">
        <v>19165</v>
      </c>
      <c r="H453" s="36"/>
      <c r="I453" s="36">
        <f>+SUM(K446:K452)</f>
        <v>0</v>
      </c>
      <c r="J453" s="1295">
        <f>usage!I44</f>
        <v>0</v>
      </c>
      <c r="K453" s="36"/>
      <c r="L453" s="531">
        <f t="shared" si="254"/>
        <v>19165</v>
      </c>
      <c r="M453" s="45"/>
      <c r="N453" s="920"/>
      <c r="O453" s="379"/>
      <c r="P453" s="740"/>
      <c r="Q453" s="666" t="s">
        <v>1586</v>
      </c>
      <c r="U453" s="787"/>
      <c r="V453" s="787"/>
      <c r="W453" s="802">
        <f>IFERROR(VLOOKUP($Q453,'391'!$P:$AG,15,0),0)</f>
        <v>0</v>
      </c>
      <c r="X453" s="799">
        <f t="shared" si="242"/>
        <v>19165</v>
      </c>
      <c r="Y453" s="787"/>
      <c r="Z453" s="791"/>
      <c r="AA453" s="787"/>
      <c r="AB453" s="787"/>
      <c r="AC453" s="679"/>
    </row>
    <row r="454" spans="1:45" s="402" customFormat="1" ht="30" customHeight="1" x14ac:dyDescent="0.25">
      <c r="A454" s="2019" t="s">
        <v>291</v>
      </c>
      <c r="B454" s="2020"/>
      <c r="C454" s="88"/>
      <c r="D454" s="864"/>
      <c r="E454" s="864"/>
      <c r="F454" s="865"/>
      <c r="G454" s="1296">
        <v>42389</v>
      </c>
      <c r="H454" s="1296">
        <f t="shared" ref="H454:L454" si="260">SUM(H446:H453)</f>
        <v>0</v>
      </c>
      <c r="I454" s="1296">
        <f t="shared" si="260"/>
        <v>0</v>
      </c>
      <c r="J454" s="1296">
        <f t="shared" si="260"/>
        <v>0</v>
      </c>
      <c r="K454" s="1296">
        <f t="shared" si="260"/>
        <v>0</v>
      </c>
      <c r="L454" s="1296">
        <f t="shared" si="260"/>
        <v>42389</v>
      </c>
      <c r="M454" s="59">
        <f>IFERROR((R454/$S$2),"")</f>
        <v>1613.8333333333333</v>
      </c>
      <c r="N454" s="854">
        <f>(L454/M454)</f>
        <v>26.26603325415677</v>
      </c>
      <c r="O454" s="59">
        <f>IFERROR(SUMIF(ETM!$A:$A,$Q454,ETM!$E:$E),"")</f>
        <v>2633.3333333333335</v>
      </c>
      <c r="P454" s="880">
        <f>(L454/O454)</f>
        <v>16.097088607594937</v>
      </c>
      <c r="Q454" s="795" t="s">
        <v>823</v>
      </c>
      <c r="R454" s="785">
        <f>IFERROR(VLOOKUP($Q454,'391'!$P:$W,8,0),"")</f>
        <v>9683</v>
      </c>
      <c r="S454" s="796"/>
      <c r="T454" s="797"/>
      <c r="U454" s="797"/>
      <c r="V454" s="797"/>
      <c r="W454" s="802">
        <f>IFERROR(VLOOKUP($Q454,'391'!$P:$AG,15,0),0)</f>
        <v>42389</v>
      </c>
      <c r="X454" s="799">
        <f t="shared" si="242"/>
        <v>0</v>
      </c>
      <c r="Y454" s="797"/>
      <c r="Z454" s="785"/>
      <c r="AA454" s="797"/>
      <c r="AB454" s="797"/>
      <c r="AC454" s="551"/>
      <c r="AD454" s="551"/>
      <c r="AE454" s="551"/>
      <c r="AF454" s="551"/>
      <c r="AG454" s="551"/>
      <c r="AH454" s="551"/>
      <c r="AI454" s="704"/>
      <c r="AJ454" s="704"/>
      <c r="AK454" s="704"/>
      <c r="AL454" s="704"/>
      <c r="AM454" s="704"/>
      <c r="AN454" s="704"/>
      <c r="AO454" s="704"/>
      <c r="AP454" s="704"/>
      <c r="AQ454" s="704"/>
      <c r="AR454" s="704"/>
      <c r="AS454" s="704"/>
    </row>
    <row r="455" spans="1:45" s="6" customFormat="1" ht="30" customHeight="1" x14ac:dyDescent="0.25">
      <c r="A455" s="1997">
        <f>IF(L465=0,"",MAX($A$16:A454)+1)</f>
        <v>24</v>
      </c>
      <c r="B455" s="2066" t="s">
        <v>36</v>
      </c>
      <c r="C455" s="116" t="s">
        <v>128</v>
      </c>
      <c r="D455" s="881" t="s">
        <v>10</v>
      </c>
      <c r="E455" s="882">
        <v>46280</v>
      </c>
      <c r="F455" s="72">
        <f t="shared" ref="F455:F456" si="261">$L$7-E455</f>
        <v>6</v>
      </c>
      <c r="G455" s="312">
        <v>17500</v>
      </c>
      <c r="H455" s="312"/>
      <c r="I455" s="312"/>
      <c r="J455" s="1322"/>
      <c r="K455" s="12">
        <f>IFERROR(SUMIF(INTAKE!$A:$A,$T455,INTAKE!$P:$P),0)</f>
        <v>0</v>
      </c>
      <c r="L455" s="1669">
        <f t="shared" ref="L455:L464" si="262">+G455+H455+I455-J455-K455</f>
        <v>17500</v>
      </c>
      <c r="M455" s="147"/>
      <c r="N455" s="248"/>
      <c r="O455" s="147"/>
      <c r="P455" s="857"/>
      <c r="Q455" s="795"/>
      <c r="R455" s="785">
        <f>IFERROR(VLOOKUP($Q455,'391'!$P:$W,8,0),"")</f>
        <v>0</v>
      </c>
      <c r="S455" s="786"/>
      <c r="T455" s="787" t="str">
        <f>$Q$464&amp;C455&amp;E455</f>
        <v>Dextrose MonohydrateB16.246280</v>
      </c>
      <c r="U455" s="787"/>
      <c r="V455" s="787"/>
      <c r="W455" s="802">
        <f>IFERROR(VLOOKUP($Q455,'391'!$P:$AG,15,0),0)</f>
        <v>0</v>
      </c>
      <c r="X455" s="799">
        <f t="shared" si="242"/>
        <v>17500</v>
      </c>
      <c r="Y455" s="787"/>
      <c r="Z455" s="791"/>
      <c r="AA455" s="787"/>
      <c r="AB455" s="787"/>
      <c r="AC455" s="679"/>
      <c r="AD455" s="679"/>
      <c r="AE455" s="679"/>
      <c r="AF455" s="679"/>
      <c r="AG455" s="679"/>
      <c r="AH455" s="679"/>
      <c r="AI455" s="682"/>
      <c r="AJ455" s="682"/>
      <c r="AK455" s="682"/>
      <c r="AL455" s="682"/>
      <c r="AM455" s="682"/>
      <c r="AN455" s="682"/>
      <c r="AO455" s="682"/>
      <c r="AP455" s="682"/>
      <c r="AQ455" s="682"/>
      <c r="AR455" s="682"/>
      <c r="AS455" s="682"/>
    </row>
    <row r="456" spans="1:45" s="6" customFormat="1" ht="30" customHeight="1" x14ac:dyDescent="0.25">
      <c r="A456" s="1998"/>
      <c r="B456" s="2067"/>
      <c r="C456" s="116" t="s">
        <v>1867</v>
      </c>
      <c r="D456" s="881" t="s">
        <v>10</v>
      </c>
      <c r="E456" s="882">
        <v>46281</v>
      </c>
      <c r="F456" s="72">
        <f t="shared" si="261"/>
        <v>5</v>
      </c>
      <c r="G456" s="312">
        <v>12500</v>
      </c>
      <c r="H456" s="312"/>
      <c r="I456" s="312"/>
      <c r="J456" s="1322"/>
      <c r="K456" s="12">
        <f>IFERROR(SUMIF(INTAKE!$A:$A,$T456,INTAKE!$P:$P),0)</f>
        <v>0</v>
      </c>
      <c r="L456" s="1669">
        <f t="shared" si="262"/>
        <v>12500</v>
      </c>
      <c r="M456" s="101"/>
      <c r="N456" s="249"/>
      <c r="O456" s="101"/>
      <c r="P456" s="738"/>
      <c r="Q456" s="795"/>
      <c r="R456" s="785">
        <f>IFERROR(VLOOKUP($Q456,'391'!$P:$W,8,0),"")</f>
        <v>0</v>
      </c>
      <c r="S456" s="786"/>
      <c r="T456" s="787" t="str">
        <f>$Q$464&amp;C456&amp;E456</f>
        <v>Dextrose MonohydrateA18.346281</v>
      </c>
      <c r="U456" s="787"/>
      <c r="V456" s="787"/>
      <c r="W456" s="802">
        <f>IFERROR(VLOOKUP($Q456,'391'!$P:$AG,15,0),0)</f>
        <v>0</v>
      </c>
      <c r="X456" s="799">
        <f t="shared" si="242"/>
        <v>12500</v>
      </c>
      <c r="Y456" s="787"/>
      <c r="Z456" s="791"/>
      <c r="AA456" s="787"/>
      <c r="AB456" s="787"/>
      <c r="AC456" s="679"/>
      <c r="AD456" s="679"/>
      <c r="AE456" s="679"/>
      <c r="AF456" s="679"/>
      <c r="AG456" s="679"/>
      <c r="AH456" s="679"/>
      <c r="AI456" s="682"/>
      <c r="AJ456" s="682"/>
      <c r="AK456" s="682"/>
      <c r="AL456" s="682"/>
      <c r="AM456" s="682"/>
      <c r="AN456" s="682"/>
      <c r="AO456" s="682"/>
      <c r="AP456" s="682"/>
      <c r="AQ456" s="682"/>
      <c r="AR456" s="682"/>
      <c r="AS456" s="682"/>
    </row>
    <row r="457" spans="1:45" s="6" customFormat="1" ht="30" hidden="1" customHeight="1" x14ac:dyDescent="0.25">
      <c r="A457" s="1998"/>
      <c r="B457" s="2067"/>
      <c r="C457" s="116"/>
      <c r="D457" s="881" t="s">
        <v>10</v>
      </c>
      <c r="E457" s="882">
        <v>46281</v>
      </c>
      <c r="F457" s="72">
        <f t="shared" ref="F455:F457" si="263">$L$7-E457</f>
        <v>5</v>
      </c>
      <c r="G457" s="312"/>
      <c r="H457" s="312"/>
      <c r="I457" s="312"/>
      <c r="J457" s="1322"/>
      <c r="K457" s="12">
        <f>IFERROR(SUMIF(INTAKE!$A:$A,$T457,INTAKE!$P:$P),0)</f>
        <v>0</v>
      </c>
      <c r="L457" s="1669">
        <f t="shared" si="262"/>
        <v>0</v>
      </c>
      <c r="M457" s="101"/>
      <c r="N457" s="249"/>
      <c r="O457" s="101"/>
      <c r="P457" s="738"/>
      <c r="Q457" s="795"/>
      <c r="R457" s="785">
        <f>IFERROR(VLOOKUP($Q457,'391'!$P:$W,8,0),"")</f>
        <v>0</v>
      </c>
      <c r="S457" s="786"/>
      <c r="T457" s="787" t="str">
        <f>$Q$464&amp;C457&amp;E457</f>
        <v>Dextrose Monohydrate46281</v>
      </c>
      <c r="U457" s="787"/>
      <c r="V457" s="787"/>
      <c r="W457" s="802">
        <f>IFERROR(VLOOKUP($Q457,'391'!$P:$AG,15,0),0)</f>
        <v>0</v>
      </c>
      <c r="X457" s="799">
        <f t="shared" si="242"/>
        <v>0</v>
      </c>
      <c r="Y457" s="787"/>
      <c r="Z457" s="791"/>
      <c r="AA457" s="787"/>
      <c r="AB457" s="787"/>
      <c r="AC457" s="679"/>
      <c r="AD457" s="679"/>
      <c r="AE457" s="679"/>
      <c r="AF457" s="679"/>
      <c r="AG457" s="679"/>
      <c r="AH457" s="679"/>
      <c r="AI457" s="682"/>
      <c r="AJ457" s="682"/>
      <c r="AK457" s="682"/>
      <c r="AL457" s="682"/>
      <c r="AM457" s="682"/>
      <c r="AN457" s="682"/>
      <c r="AO457" s="682"/>
      <c r="AP457" s="682"/>
      <c r="AQ457" s="682"/>
      <c r="AR457" s="682"/>
      <c r="AS457" s="682"/>
    </row>
    <row r="458" spans="1:45" s="6" customFormat="1" ht="30" hidden="1" customHeight="1" x14ac:dyDescent="0.25">
      <c r="A458" s="1998"/>
      <c r="B458" s="2067"/>
      <c r="C458" s="116"/>
      <c r="D458" s="881" t="s">
        <v>10</v>
      </c>
      <c r="E458" s="882">
        <v>46281</v>
      </c>
      <c r="F458" s="72">
        <f t="shared" ref="F458" si="264">$L$7-E458</f>
        <v>5</v>
      </c>
      <c r="G458" s="312">
        <v>0</v>
      </c>
      <c r="H458" s="312"/>
      <c r="I458" s="312"/>
      <c r="J458" s="1322"/>
      <c r="K458" s="12">
        <f>IFERROR(SUMIF(INTAKE!$A:$A,$T458,INTAKE!$P:$P),0)</f>
        <v>0</v>
      </c>
      <c r="L458" s="1669">
        <f t="shared" si="262"/>
        <v>0</v>
      </c>
      <c r="M458" s="101"/>
      <c r="N458" s="249"/>
      <c r="O458" s="101"/>
      <c r="P458" s="738"/>
      <c r="Q458" s="795"/>
      <c r="R458" s="785">
        <f>IFERROR(VLOOKUP($Q458,'391'!$P:$W,8,0),"")</f>
        <v>0</v>
      </c>
      <c r="S458" s="786"/>
      <c r="T458" s="787" t="str">
        <f t="shared" ref="T458:T463" si="265">$Q$4754&amp;C458&amp;E458</f>
        <v>46281</v>
      </c>
      <c r="U458" s="787"/>
      <c r="V458" s="787"/>
      <c r="W458" s="802">
        <f>IFERROR(VLOOKUP($Q458,'391'!$P:$AG,15,0),0)</f>
        <v>0</v>
      </c>
      <c r="X458" s="799">
        <f t="shared" si="242"/>
        <v>0</v>
      </c>
      <c r="Y458" s="787"/>
      <c r="Z458" s="791"/>
      <c r="AA458" s="787"/>
      <c r="AB458" s="787"/>
      <c r="AC458" s="679"/>
      <c r="AD458" s="679"/>
      <c r="AE458" s="679"/>
      <c r="AF458" s="679"/>
      <c r="AG458" s="679"/>
      <c r="AH458" s="679"/>
      <c r="AI458" s="682"/>
      <c r="AJ458" s="682"/>
      <c r="AK458" s="682"/>
      <c r="AL458" s="682"/>
      <c r="AM458" s="682"/>
      <c r="AN458" s="682"/>
      <c r="AO458" s="682"/>
      <c r="AP458" s="682"/>
      <c r="AQ458" s="682"/>
      <c r="AR458" s="682"/>
      <c r="AS458" s="682"/>
    </row>
    <row r="459" spans="1:45" s="6" customFormat="1" ht="30" hidden="1" customHeight="1" x14ac:dyDescent="0.25">
      <c r="A459" s="1998"/>
      <c r="B459" s="2067"/>
      <c r="C459" s="116"/>
      <c r="D459" s="881" t="s">
        <v>10</v>
      </c>
      <c r="E459" s="882">
        <v>46253</v>
      </c>
      <c r="F459" s="72">
        <f t="shared" ref="F459" si="266">$L$7-E459</f>
        <v>33</v>
      </c>
      <c r="G459" s="312">
        <v>0</v>
      </c>
      <c r="H459" s="312"/>
      <c r="I459" s="312"/>
      <c r="J459" s="1322"/>
      <c r="K459" s="12">
        <f>IFERROR(SUMIF(INTAKE!$A:$A,$T459,INTAKE!$P:$P),0)</f>
        <v>0</v>
      </c>
      <c r="L459" s="1669">
        <f t="shared" si="262"/>
        <v>0</v>
      </c>
      <c r="M459" s="101"/>
      <c r="N459" s="249"/>
      <c r="O459" s="101"/>
      <c r="P459" s="738"/>
      <c r="Q459" s="795"/>
      <c r="R459" s="785">
        <f>IFERROR(VLOOKUP($Q459,'391'!$P:$W,8,0),"")</f>
        <v>0</v>
      </c>
      <c r="S459" s="786"/>
      <c r="T459" s="787" t="str">
        <f t="shared" si="265"/>
        <v>46253</v>
      </c>
      <c r="U459" s="787"/>
      <c r="V459" s="787"/>
      <c r="W459" s="802">
        <f>IFERROR(VLOOKUP($Q459,'391'!$P:$AG,15,0),0)</f>
        <v>0</v>
      </c>
      <c r="X459" s="799">
        <f t="shared" si="242"/>
        <v>0</v>
      </c>
      <c r="Y459" s="787"/>
      <c r="Z459" s="791"/>
      <c r="AA459" s="787"/>
      <c r="AB459" s="787"/>
      <c r="AC459" s="679"/>
      <c r="AD459" s="679"/>
      <c r="AE459" s="679"/>
      <c r="AF459" s="679"/>
      <c r="AG459" s="679"/>
      <c r="AH459" s="679"/>
      <c r="AI459" s="682"/>
      <c r="AJ459" s="682"/>
      <c r="AK459" s="682"/>
      <c r="AL459" s="682"/>
      <c r="AM459" s="682"/>
      <c r="AN459" s="682"/>
      <c r="AO459" s="682"/>
      <c r="AP459" s="682"/>
      <c r="AQ459" s="682"/>
      <c r="AR459" s="682"/>
      <c r="AS459" s="682"/>
    </row>
    <row r="460" spans="1:45" s="6" customFormat="1" ht="30" hidden="1" customHeight="1" x14ac:dyDescent="0.25">
      <c r="A460" s="1998"/>
      <c r="B460" s="2067"/>
      <c r="C460" s="116"/>
      <c r="D460" s="881" t="s">
        <v>10</v>
      </c>
      <c r="E460" s="882">
        <v>46234</v>
      </c>
      <c r="F460" s="72">
        <f t="shared" ref="F460" si="267">$L$7-E460</f>
        <v>52</v>
      </c>
      <c r="G460" s="312">
        <v>0</v>
      </c>
      <c r="H460" s="312"/>
      <c r="I460" s="312"/>
      <c r="J460" s="1322"/>
      <c r="K460" s="12">
        <f>IFERROR(SUMIF(INTAKE!$A:$A,$T460,INTAKE!$P:$P),0)</f>
        <v>0</v>
      </c>
      <c r="L460" s="1669">
        <f t="shared" si="262"/>
        <v>0</v>
      </c>
      <c r="M460" s="23"/>
      <c r="N460" s="920"/>
      <c r="O460" s="23"/>
      <c r="P460" s="736"/>
      <c r="Q460" s="795"/>
      <c r="R460" s="785">
        <f>IFERROR(VLOOKUP($Q460,'391'!$P:$W,8,0),"")</f>
        <v>0</v>
      </c>
      <c r="S460" s="786"/>
      <c r="T460" s="787" t="str">
        <f t="shared" si="265"/>
        <v>46234</v>
      </c>
      <c r="U460" s="787"/>
      <c r="V460" s="787"/>
      <c r="W460" s="802">
        <f>IFERROR(VLOOKUP($Q460,'391'!$P:$AG,15,0),0)</f>
        <v>0</v>
      </c>
      <c r="X460" s="799">
        <f t="shared" ref="X460:X500" si="268">G460-W460</f>
        <v>0</v>
      </c>
      <c r="Y460" s="787"/>
      <c r="Z460" s="791"/>
      <c r="AA460" s="787"/>
      <c r="AB460" s="787"/>
      <c r="AC460" s="679"/>
      <c r="AD460" s="679"/>
      <c r="AE460" s="679"/>
      <c r="AF460" s="679"/>
      <c r="AG460" s="679"/>
      <c r="AH460" s="679"/>
      <c r="AI460" s="682"/>
      <c r="AJ460" s="682"/>
      <c r="AK460" s="682"/>
      <c r="AL460" s="682"/>
      <c r="AM460" s="682"/>
      <c r="AN460" s="682"/>
      <c r="AO460" s="682"/>
      <c r="AP460" s="682"/>
      <c r="AQ460" s="682"/>
      <c r="AR460" s="682"/>
      <c r="AS460" s="682"/>
    </row>
    <row r="461" spans="1:45" s="6" customFormat="1" ht="30" hidden="1" customHeight="1" x14ac:dyDescent="0.25">
      <c r="A461" s="1998"/>
      <c r="B461" s="2072"/>
      <c r="C461" s="116"/>
      <c r="D461" s="881" t="s">
        <v>10</v>
      </c>
      <c r="E461" s="882">
        <v>46111</v>
      </c>
      <c r="F461" s="72">
        <f t="shared" ref="F461" si="269">$L$7-E461</f>
        <v>175</v>
      </c>
      <c r="G461" s="312">
        <v>0</v>
      </c>
      <c r="H461" s="312"/>
      <c r="I461" s="312"/>
      <c r="J461" s="1322"/>
      <c r="K461" s="12">
        <f>IFERROR(SUMIF(INTAKE!$A:$A,$T461,INTAKE!$P:$P),0)</f>
        <v>0</v>
      </c>
      <c r="L461" s="1669">
        <f t="shared" ref="L461:L462" si="270">+G461+H461+I461-J461-K461</f>
        <v>0</v>
      </c>
      <c r="M461" s="23"/>
      <c r="N461" s="1467"/>
      <c r="O461" s="23"/>
      <c r="P461" s="736"/>
      <c r="Q461" s="795"/>
      <c r="R461" s="785">
        <f>IFERROR(VLOOKUP($Q461,'391'!$P:$W,8,0),"")</f>
        <v>0</v>
      </c>
      <c r="S461" s="786"/>
      <c r="T461" s="787" t="str">
        <f t="shared" si="265"/>
        <v>46111</v>
      </c>
      <c r="U461" s="787"/>
      <c r="V461" s="787"/>
      <c r="W461" s="802">
        <f>IFERROR(VLOOKUP($Q461,'391'!$P:$AG,15,0),0)</f>
        <v>0</v>
      </c>
      <c r="X461" s="799">
        <f t="shared" ref="X461:X462" si="271">G461-W461</f>
        <v>0</v>
      </c>
      <c r="Y461" s="787"/>
      <c r="Z461" s="791"/>
      <c r="AA461" s="787"/>
      <c r="AB461" s="787"/>
      <c r="AC461" s="679"/>
      <c r="AD461" s="679"/>
      <c r="AE461" s="679"/>
      <c r="AF461" s="679"/>
      <c r="AG461" s="679"/>
      <c r="AH461" s="679"/>
      <c r="AI461" s="682"/>
      <c r="AJ461" s="682"/>
      <c r="AK461" s="682"/>
      <c r="AL461" s="682"/>
      <c r="AM461" s="682"/>
      <c r="AN461" s="682"/>
      <c r="AO461" s="682"/>
      <c r="AP461" s="682"/>
      <c r="AQ461" s="682"/>
      <c r="AR461" s="682"/>
      <c r="AS461" s="682"/>
    </row>
    <row r="462" spans="1:45" s="6" customFormat="1" ht="30" hidden="1" customHeight="1" x14ac:dyDescent="0.25">
      <c r="A462" s="1998"/>
      <c r="B462" s="2072"/>
      <c r="C462" s="116"/>
      <c r="D462" s="881" t="s">
        <v>10</v>
      </c>
      <c r="E462" s="882">
        <v>46111</v>
      </c>
      <c r="F462" s="72">
        <f t="shared" ref="F462" si="272">$L$7-E462</f>
        <v>175</v>
      </c>
      <c r="G462" s="312">
        <v>0</v>
      </c>
      <c r="H462" s="312"/>
      <c r="I462" s="312"/>
      <c r="J462" s="1322"/>
      <c r="K462" s="12">
        <f>IFERROR(SUMIF(INTAKE!$A:$A,$T462,INTAKE!$P:$P),0)</f>
        <v>0</v>
      </c>
      <c r="L462" s="1669">
        <f t="shared" si="270"/>
        <v>0</v>
      </c>
      <c r="M462" s="23"/>
      <c r="N462" s="1467"/>
      <c r="O462" s="23"/>
      <c r="P462" s="736"/>
      <c r="Q462" s="795"/>
      <c r="R462" s="785">
        <f>IFERROR(VLOOKUP($Q462,'391'!$P:$W,8,0),"")</f>
        <v>0</v>
      </c>
      <c r="S462" s="786"/>
      <c r="T462" s="787" t="str">
        <f t="shared" si="265"/>
        <v>46111</v>
      </c>
      <c r="U462" s="787"/>
      <c r="V462" s="787"/>
      <c r="W462" s="802">
        <f>IFERROR(VLOOKUP($Q462,'391'!$P:$AG,15,0),0)</f>
        <v>0</v>
      </c>
      <c r="X462" s="799">
        <f t="shared" si="271"/>
        <v>0</v>
      </c>
      <c r="Y462" s="787"/>
      <c r="Z462" s="791"/>
      <c r="AA462" s="787"/>
      <c r="AB462" s="787"/>
      <c r="AC462" s="679"/>
      <c r="AD462" s="679"/>
      <c r="AE462" s="679"/>
      <c r="AF462" s="679"/>
      <c r="AG462" s="679"/>
      <c r="AH462" s="679"/>
      <c r="AI462" s="682"/>
      <c r="AJ462" s="682"/>
      <c r="AK462" s="682"/>
      <c r="AL462" s="682"/>
      <c r="AM462" s="682"/>
      <c r="AN462" s="682"/>
      <c r="AO462" s="682"/>
      <c r="AP462" s="682"/>
      <c r="AQ462" s="682"/>
      <c r="AR462" s="682"/>
      <c r="AS462" s="682"/>
    </row>
    <row r="463" spans="1:45" s="6" customFormat="1" ht="30" hidden="1" customHeight="1" x14ac:dyDescent="0.25">
      <c r="A463" s="1998"/>
      <c r="B463" s="2067"/>
      <c r="C463" s="116"/>
      <c r="D463" s="881" t="s">
        <v>10</v>
      </c>
      <c r="E463" s="882">
        <v>46063</v>
      </c>
      <c r="F463" s="72">
        <f t="shared" ref="F463:F464" si="273">$L$7-E463</f>
        <v>223</v>
      </c>
      <c r="G463" s="312">
        <v>0</v>
      </c>
      <c r="H463" s="312"/>
      <c r="I463" s="312"/>
      <c r="J463" s="1322"/>
      <c r="K463" s="12">
        <f>IFERROR(SUMIF(INTAKE!$A:$A,$T463,INTAKE!$P:$P),0)</f>
        <v>0</v>
      </c>
      <c r="L463" s="1669">
        <f t="shared" si="262"/>
        <v>0</v>
      </c>
      <c r="M463" s="23"/>
      <c r="N463" s="1467"/>
      <c r="O463" s="23"/>
      <c r="P463" s="736"/>
      <c r="Q463" s="795"/>
      <c r="R463" s="785">
        <f>IFERROR(VLOOKUP($Q463,'391'!$P:$W,8,0),"")</f>
        <v>0</v>
      </c>
      <c r="S463" s="786"/>
      <c r="T463" s="787" t="str">
        <f t="shared" si="265"/>
        <v>46063</v>
      </c>
      <c r="U463" s="787"/>
      <c r="V463" s="787"/>
      <c r="W463" s="802">
        <f>IFERROR(VLOOKUP($Q463,'391'!$P:$AG,15,0),0)</f>
        <v>0</v>
      </c>
      <c r="X463" s="799">
        <f t="shared" si="268"/>
        <v>0</v>
      </c>
      <c r="Y463" s="787"/>
      <c r="Z463" s="791"/>
      <c r="AA463" s="787"/>
      <c r="AB463" s="787"/>
      <c r="AC463" s="679"/>
      <c r="AD463" s="679"/>
      <c r="AE463" s="679"/>
      <c r="AF463" s="679"/>
      <c r="AG463" s="679"/>
      <c r="AH463" s="679"/>
      <c r="AI463" s="682"/>
      <c r="AJ463" s="682"/>
      <c r="AK463" s="682"/>
      <c r="AL463" s="682"/>
      <c r="AM463" s="682"/>
      <c r="AN463" s="682"/>
      <c r="AO463" s="682"/>
      <c r="AP463" s="682"/>
      <c r="AQ463" s="682"/>
      <c r="AR463" s="682"/>
      <c r="AS463" s="682"/>
    </row>
    <row r="464" spans="1:45" s="406" customFormat="1" ht="30" customHeight="1" x14ac:dyDescent="0.25">
      <c r="A464" s="1998"/>
      <c r="B464" s="2068"/>
      <c r="C464" s="61" t="s">
        <v>1624</v>
      </c>
      <c r="D464" s="863" t="s">
        <v>10</v>
      </c>
      <c r="E464" s="886">
        <v>46275</v>
      </c>
      <c r="F464" s="38">
        <f t="shared" si="273"/>
        <v>11</v>
      </c>
      <c r="G464" s="28">
        <v>19313</v>
      </c>
      <c r="H464" s="28"/>
      <c r="I464" s="28">
        <f>+SUM(K455:K463)</f>
        <v>0</v>
      </c>
      <c r="J464" s="1295">
        <f>usage!I45</f>
        <v>0</v>
      </c>
      <c r="K464" s="28"/>
      <c r="L464" s="1670">
        <f t="shared" si="262"/>
        <v>19313</v>
      </c>
      <c r="M464" s="35"/>
      <c r="N464" s="87"/>
      <c r="O464" s="35"/>
      <c r="P464" s="740"/>
      <c r="Q464" s="666" t="s">
        <v>36</v>
      </c>
      <c r="R464" s="785" t="str">
        <f>IFERROR(VLOOKUP($Q464,'391'!$P:$W,8,0),"")</f>
        <v/>
      </c>
      <c r="S464" s="786"/>
      <c r="T464" s="787"/>
      <c r="U464" s="787"/>
      <c r="V464" s="787"/>
      <c r="W464" s="802">
        <f>IFERROR(VLOOKUP($Q464,'391'!$P:$AG,15,0),0)</f>
        <v>0</v>
      </c>
      <c r="X464" s="799">
        <f t="shared" si="268"/>
        <v>19313</v>
      </c>
      <c r="Y464" s="787"/>
      <c r="Z464" s="791"/>
      <c r="AA464" s="787"/>
      <c r="AB464" s="787"/>
      <c r="AC464" s="679"/>
      <c r="AD464" s="679"/>
      <c r="AE464" s="679"/>
      <c r="AF464" s="679"/>
      <c r="AG464" s="679"/>
      <c r="AH464" s="679"/>
      <c r="AI464" s="682"/>
      <c r="AJ464" s="682"/>
      <c r="AK464" s="682"/>
      <c r="AL464" s="682"/>
      <c r="AM464" s="682"/>
      <c r="AN464" s="682"/>
      <c r="AO464" s="682"/>
      <c r="AP464" s="682"/>
      <c r="AQ464" s="682"/>
      <c r="AR464" s="682"/>
      <c r="AS464" s="682"/>
    </row>
    <row r="465" spans="1:45" s="402" customFormat="1" ht="30" customHeight="1" x14ac:dyDescent="0.25">
      <c r="A465" s="2019" t="s">
        <v>112</v>
      </c>
      <c r="B465" s="2020"/>
      <c r="C465" s="929"/>
      <c r="D465" s="930"/>
      <c r="E465" s="930"/>
      <c r="F465" s="931"/>
      <c r="G465" s="1296">
        <v>49313</v>
      </c>
      <c r="H465" s="1355">
        <f t="shared" ref="H465:J465" si="274">SUM(H455:H464)</f>
        <v>0</v>
      </c>
      <c r="I465" s="1355">
        <f t="shared" si="274"/>
        <v>0</v>
      </c>
      <c r="J465" s="1355">
        <f t="shared" si="274"/>
        <v>0</v>
      </c>
      <c r="K465" s="1355">
        <f>SUM(K455:K464)</f>
        <v>0</v>
      </c>
      <c r="L465" s="1296">
        <f>SUM(L455:L464)</f>
        <v>49313</v>
      </c>
      <c r="M465" s="932">
        <f>IFERROR((R465/$S$2),"")</f>
        <v>5143</v>
      </c>
      <c r="N465" s="854">
        <f>(L465/M465)</f>
        <v>9.5883725452070774</v>
      </c>
      <c r="O465" s="932">
        <f>IFERROR(SUMIF(ETM!$A:$A,$Q465,ETM!$E:$E),"")</f>
        <v>4020.833333333333</v>
      </c>
      <c r="P465" s="880">
        <f>(L465/O465)</f>
        <v>12.26437305699482</v>
      </c>
      <c r="Q465" s="795" t="s">
        <v>828</v>
      </c>
      <c r="R465" s="785">
        <f>IFERROR(VLOOKUP($Q465,'391'!$P:$W,8,0),"")</f>
        <v>30858</v>
      </c>
      <c r="S465" s="796"/>
      <c r="T465" s="797"/>
      <c r="U465" s="797"/>
      <c r="V465" s="797"/>
      <c r="W465" s="802">
        <f>IFERROR(VLOOKUP($Q465,'391'!$P:$AG,15,0),0)</f>
        <v>49313</v>
      </c>
      <c r="X465" s="799">
        <f t="shared" si="268"/>
        <v>0</v>
      </c>
      <c r="Y465" s="797"/>
      <c r="Z465" s="785"/>
      <c r="AA465" s="797"/>
      <c r="AB465" s="797"/>
      <c r="AC465" s="551"/>
      <c r="AD465" s="551"/>
      <c r="AE465" s="551"/>
      <c r="AF465" s="551"/>
      <c r="AG465" s="551"/>
      <c r="AH465" s="551"/>
      <c r="AI465" s="704"/>
      <c r="AJ465" s="704"/>
      <c r="AK465" s="704"/>
      <c r="AL465" s="704"/>
      <c r="AM465" s="704"/>
      <c r="AN465" s="704"/>
      <c r="AO465" s="704"/>
      <c r="AP465" s="704"/>
      <c r="AQ465" s="704"/>
      <c r="AR465" s="704"/>
      <c r="AS465" s="704"/>
    </row>
    <row r="466" spans="1:45" s="13" customFormat="1" ht="30" hidden="1" customHeight="1" x14ac:dyDescent="0.25">
      <c r="A466" s="1998">
        <f>IF(L489=0,"",MAX($A$16:A465)+1)</f>
        <v>25</v>
      </c>
      <c r="B466" s="2065" t="s">
        <v>1696</v>
      </c>
      <c r="C466" s="110"/>
      <c r="D466" s="887" t="s">
        <v>10</v>
      </c>
      <c r="E466" s="888">
        <v>46224</v>
      </c>
      <c r="F466" s="856">
        <f t="shared" ref="F466:F469" si="275">$L$7-E466</f>
        <v>62</v>
      </c>
      <c r="G466" s="18">
        <v>0</v>
      </c>
      <c r="H466" s="18"/>
      <c r="I466" s="18"/>
      <c r="J466" s="1338"/>
      <c r="K466" s="1921">
        <f>IFERROR(SUMIF(INTAKE!$A:$A,$T466,INTAKE!$P:$P),0)</f>
        <v>0</v>
      </c>
      <c r="L466" s="1669">
        <f t="shared" ref="L466:L488" si="276">+G466+H466+I466-J466-K466</f>
        <v>0</v>
      </c>
      <c r="M466" s="45"/>
      <c r="N466" s="162"/>
      <c r="O466" s="45"/>
      <c r="P466" s="736"/>
      <c r="Q466" s="795"/>
      <c r="R466" s="785">
        <f>IFERROR(VLOOKUP($Q466,'391'!$P:$W,8,0),"")</f>
        <v>0</v>
      </c>
      <c r="S466" s="796"/>
      <c r="T466" s="787" t="str">
        <f>$Q$469&amp;C466&amp;E466</f>
        <v>Sweet Whey Powder (USA)46224</v>
      </c>
      <c r="U466" s="797"/>
      <c r="V466" s="797"/>
      <c r="W466" s="802">
        <f>IFERROR(VLOOKUP($Q466,'391'!$P:$AG,15,0),0)</f>
        <v>0</v>
      </c>
      <c r="X466" s="799">
        <f t="shared" si="268"/>
        <v>0</v>
      </c>
      <c r="Y466" s="797"/>
      <c r="Z466" s="785"/>
      <c r="AA466" s="797"/>
      <c r="AB466" s="797"/>
      <c r="AC466" s="683"/>
      <c r="AD466" s="683"/>
      <c r="AE466" s="683"/>
      <c r="AF466" s="683"/>
      <c r="AG466" s="683"/>
      <c r="AH466" s="683"/>
      <c r="AI466" s="705"/>
      <c r="AJ466" s="705"/>
      <c r="AK466" s="705"/>
      <c r="AL466" s="705"/>
      <c r="AM466" s="705"/>
      <c r="AN466" s="705"/>
      <c r="AO466" s="705"/>
      <c r="AP466" s="705"/>
      <c r="AQ466" s="705"/>
      <c r="AR466" s="705"/>
      <c r="AS466" s="705"/>
    </row>
    <row r="467" spans="1:45" s="13" customFormat="1" ht="30" hidden="1" customHeight="1" x14ac:dyDescent="0.25">
      <c r="A467" s="1998"/>
      <c r="B467" s="2065"/>
      <c r="C467" s="110"/>
      <c r="D467" s="887" t="s">
        <v>10</v>
      </c>
      <c r="E467" s="888">
        <v>46224</v>
      </c>
      <c r="F467" s="856">
        <f t="shared" si="275"/>
        <v>62</v>
      </c>
      <c r="G467" s="18">
        <v>0</v>
      </c>
      <c r="H467" s="18"/>
      <c r="I467" s="18"/>
      <c r="J467" s="1338"/>
      <c r="K467" s="1921">
        <f>IFERROR(SUMIF(INTAKE!$A:$A,$T467,INTAKE!$P:$P),0)</f>
        <v>0</v>
      </c>
      <c r="L467" s="1669">
        <f t="shared" si="276"/>
        <v>0</v>
      </c>
      <c r="M467" s="45"/>
      <c r="N467" s="162"/>
      <c r="O467" s="45"/>
      <c r="P467" s="736"/>
      <c r="Q467" s="795"/>
      <c r="R467" s="785">
        <f>IFERROR(VLOOKUP($Q467,'391'!$P:$W,8,0),"")</f>
        <v>0</v>
      </c>
      <c r="S467" s="796"/>
      <c r="T467" s="787" t="str">
        <f t="shared" ref="T467:T470" si="277">$Q$469&amp;C467&amp;E467</f>
        <v>Sweet Whey Powder (USA)46224</v>
      </c>
      <c r="U467" s="797"/>
      <c r="V467" s="797"/>
      <c r="W467" s="802">
        <f>IFERROR(VLOOKUP($Q467,'391'!$P:$AG,15,0),0)</f>
        <v>0</v>
      </c>
      <c r="X467" s="799">
        <f t="shared" si="268"/>
        <v>0</v>
      </c>
      <c r="Y467" s="797"/>
      <c r="Z467" s="785"/>
      <c r="AA467" s="797"/>
      <c r="AB467" s="797"/>
      <c r="AC467" s="683"/>
      <c r="AD467" s="683"/>
      <c r="AE467" s="683"/>
      <c r="AF467" s="683"/>
      <c r="AG467" s="683"/>
      <c r="AH467" s="683"/>
      <c r="AI467" s="705"/>
      <c r="AJ467" s="705"/>
      <c r="AK467" s="705"/>
      <c r="AL467" s="705"/>
      <c r="AM467" s="705"/>
      <c r="AN467" s="705"/>
      <c r="AO467" s="705"/>
      <c r="AP467" s="705"/>
      <c r="AQ467" s="705"/>
      <c r="AR467" s="705"/>
      <c r="AS467" s="705"/>
    </row>
    <row r="468" spans="1:45" s="13" customFormat="1" ht="30" hidden="1" customHeight="1" x14ac:dyDescent="0.25">
      <c r="A468" s="1998"/>
      <c r="B468" s="2065"/>
      <c r="C468" s="110"/>
      <c r="D468" s="887" t="s">
        <v>10</v>
      </c>
      <c r="E468" s="888">
        <v>46224</v>
      </c>
      <c r="F468" s="856">
        <f t="shared" si="275"/>
        <v>62</v>
      </c>
      <c r="G468" s="18">
        <v>0</v>
      </c>
      <c r="H468" s="18"/>
      <c r="I468" s="18"/>
      <c r="J468" s="1338"/>
      <c r="K468" s="1921">
        <f>IFERROR(SUMIF(INTAKE!$A:$A,$T468,INTAKE!$P:$P),0)</f>
        <v>0</v>
      </c>
      <c r="L468" s="1669">
        <f t="shared" si="276"/>
        <v>0</v>
      </c>
      <c r="M468" s="45"/>
      <c r="N468" s="162"/>
      <c r="O468" s="45"/>
      <c r="P468" s="736"/>
      <c r="Q468" s="666" t="s">
        <v>1760</v>
      </c>
      <c r="R468" s="785" t="str">
        <f>IFERROR(VLOOKUP($Q468,'391'!$P:$W,8,0),"")</f>
        <v/>
      </c>
      <c r="S468" s="796"/>
      <c r="T468" s="787" t="str">
        <f t="shared" si="277"/>
        <v>Sweet Whey Powder (USA)46224</v>
      </c>
      <c r="U468" s="797"/>
      <c r="V468" s="797"/>
      <c r="W468" s="802">
        <f>IFERROR(VLOOKUP($Q468,'391'!$P:$AG,15,0),0)</f>
        <v>0</v>
      </c>
      <c r="X468" s="799">
        <f t="shared" si="268"/>
        <v>0</v>
      </c>
      <c r="Y468" s="797"/>
      <c r="Z468" s="785"/>
      <c r="AA468" s="797"/>
      <c r="AB468" s="797"/>
      <c r="AC468" s="683"/>
      <c r="AD468" s="683"/>
      <c r="AE468" s="683"/>
      <c r="AF468" s="683"/>
      <c r="AG468" s="683"/>
      <c r="AH468" s="683"/>
      <c r="AI468" s="705"/>
      <c r="AJ468" s="705"/>
      <c r="AK468" s="705"/>
      <c r="AL468" s="705"/>
      <c r="AM468" s="705"/>
      <c r="AN468" s="705"/>
      <c r="AO468" s="705"/>
      <c r="AP468" s="705"/>
      <c r="AQ468" s="705"/>
      <c r="AR468" s="705"/>
      <c r="AS468" s="705"/>
    </row>
    <row r="469" spans="1:45" s="13" customFormat="1" ht="33" hidden="1" customHeight="1" x14ac:dyDescent="0.25">
      <c r="A469" s="1998"/>
      <c r="B469" s="2065"/>
      <c r="C469" s="110"/>
      <c r="D469" s="887" t="s">
        <v>10</v>
      </c>
      <c r="E469" s="888">
        <v>46225</v>
      </c>
      <c r="F469" s="856">
        <f t="shared" si="275"/>
        <v>61</v>
      </c>
      <c r="G469" s="18">
        <v>0</v>
      </c>
      <c r="H469" s="18"/>
      <c r="I469" s="18"/>
      <c r="J469" s="1338"/>
      <c r="K469" s="1921">
        <f>IFERROR(SUMIF(INTAKE!$A:$A,$T469,INTAKE!$P:$P),0)</f>
        <v>0</v>
      </c>
      <c r="L469" s="1669">
        <f t="shared" si="276"/>
        <v>0</v>
      </c>
      <c r="M469" s="45"/>
      <c r="N469" s="162"/>
      <c r="O469" s="45"/>
      <c r="P469" s="736"/>
      <c r="Q469" s="666" t="s">
        <v>1880</v>
      </c>
      <c r="R469" s="785" t="str">
        <f>IFERROR(VLOOKUP($Q469,'391'!$P:$W,8,0),"")</f>
        <v/>
      </c>
      <c r="S469" s="796"/>
      <c r="T469" s="787" t="str">
        <f t="shared" si="277"/>
        <v>Sweet Whey Powder (USA)46225</v>
      </c>
      <c r="U469" s="797"/>
      <c r="V469" s="797"/>
      <c r="W469" s="802">
        <f>IFERROR(VLOOKUP($Q469,'391'!$P:$AG,15,0),0)</f>
        <v>0</v>
      </c>
      <c r="X469" s="799">
        <f t="shared" si="268"/>
        <v>0</v>
      </c>
      <c r="Y469" s="797"/>
      <c r="Z469" s="785"/>
      <c r="AA469" s="797"/>
      <c r="AB469" s="797"/>
      <c r="AC469" s="683"/>
      <c r="AD469" s="683"/>
      <c r="AE469" s="683"/>
      <c r="AF469" s="683"/>
      <c r="AG469" s="683"/>
      <c r="AH469" s="683"/>
      <c r="AI469" s="705"/>
      <c r="AJ469" s="705"/>
      <c r="AK469" s="705"/>
      <c r="AL469" s="705"/>
      <c r="AM469" s="705"/>
      <c r="AN469" s="705"/>
      <c r="AO469" s="705"/>
      <c r="AP469" s="705"/>
      <c r="AQ469" s="705"/>
      <c r="AR469" s="705"/>
      <c r="AS469" s="705"/>
    </row>
    <row r="470" spans="1:45" s="13" customFormat="1" ht="33" hidden="1" customHeight="1" x14ac:dyDescent="0.25">
      <c r="A470" s="1998"/>
      <c r="B470" s="2065"/>
      <c r="C470" s="110"/>
      <c r="D470" s="887" t="s">
        <v>10</v>
      </c>
      <c r="E470" s="888">
        <v>46225</v>
      </c>
      <c r="F470" s="856">
        <f t="shared" ref="F470:F479" si="278">$L$7-E470</f>
        <v>61</v>
      </c>
      <c r="G470" s="18">
        <v>0</v>
      </c>
      <c r="H470" s="18"/>
      <c r="I470" s="18"/>
      <c r="J470" s="1338"/>
      <c r="K470" s="1921">
        <f>IFERROR(SUMIF(INTAKE!$A:$A,$T470,INTAKE!$P:$P),0)</f>
        <v>0</v>
      </c>
      <c r="L470" s="1669">
        <f t="shared" si="276"/>
        <v>0</v>
      </c>
      <c r="M470" s="45"/>
      <c r="N470" s="162"/>
      <c r="O470" s="45"/>
      <c r="P470" s="736"/>
      <c r="Q470" s="666"/>
      <c r="R470" s="785">
        <f>IFERROR(VLOOKUP($Q470,'391'!$P:$W,8,0),"")</f>
        <v>0</v>
      </c>
      <c r="S470" s="796"/>
      <c r="T470" s="787" t="str">
        <f t="shared" si="277"/>
        <v>Sweet Whey Powder (USA)46225</v>
      </c>
      <c r="U470" s="797"/>
      <c r="V470" s="797"/>
      <c r="W470" s="802">
        <f>IFERROR(VLOOKUP($Q470,'391'!$P:$AG,15,0),0)</f>
        <v>0</v>
      </c>
      <c r="X470" s="799">
        <f t="shared" si="268"/>
        <v>0</v>
      </c>
      <c r="Y470" s="797"/>
      <c r="Z470" s="785"/>
      <c r="AA470" s="797"/>
      <c r="AB470" s="797"/>
      <c r="AC470" s="683"/>
      <c r="AD470" s="683"/>
      <c r="AE470" s="683"/>
      <c r="AF470" s="683"/>
      <c r="AG470" s="683"/>
      <c r="AH470" s="683"/>
      <c r="AI470" s="705"/>
      <c r="AJ470" s="705"/>
      <c r="AK470" s="705"/>
      <c r="AL470" s="705"/>
      <c r="AM470" s="705"/>
      <c r="AN470" s="705"/>
      <c r="AO470" s="705"/>
      <c r="AP470" s="705"/>
      <c r="AQ470" s="705"/>
      <c r="AR470" s="705"/>
      <c r="AS470" s="705"/>
    </row>
    <row r="471" spans="1:45" s="13" customFormat="1" ht="30" customHeight="1" x14ac:dyDescent="0.25">
      <c r="A471" s="1998"/>
      <c r="B471" s="2065"/>
      <c r="C471" s="110"/>
      <c r="D471" s="887" t="s">
        <v>10</v>
      </c>
      <c r="E471" s="888">
        <v>46254</v>
      </c>
      <c r="F471" s="856">
        <f t="shared" si="278"/>
        <v>32</v>
      </c>
      <c r="G471" s="18">
        <v>0</v>
      </c>
      <c r="H471" s="18"/>
      <c r="I471" s="18"/>
      <c r="J471" s="1338"/>
      <c r="K471" s="1921">
        <f>IFERROR(SUMIF(INTAKE!$A:$A,$T471,INTAKE!$P:$P),0)</f>
        <v>0</v>
      </c>
      <c r="L471" s="1669">
        <f t="shared" si="276"/>
        <v>0</v>
      </c>
      <c r="M471" s="45"/>
      <c r="N471" s="162"/>
      <c r="O471" s="45"/>
      <c r="P471" s="736"/>
      <c r="Q471" s="795"/>
      <c r="R471" s="785">
        <f>IFERROR(VLOOKUP($Q471,'391'!$P:$W,8,0),"")</f>
        <v>0</v>
      </c>
      <c r="S471" s="796"/>
      <c r="T471" s="787" t="str">
        <f>$Q$474&amp;C471&amp;E471</f>
        <v>Sweet Whey Powder  (Turkey)46254</v>
      </c>
      <c r="U471" s="797"/>
      <c r="V471" s="797"/>
      <c r="W471" s="802">
        <f>IFERROR(VLOOKUP($Q471,'391'!$P:$AG,15,0),0)</f>
        <v>0</v>
      </c>
      <c r="X471" s="799">
        <f t="shared" si="268"/>
        <v>0</v>
      </c>
      <c r="Y471" s="797"/>
      <c r="Z471" s="785"/>
      <c r="AA471" s="797"/>
      <c r="AB471" s="797"/>
      <c r="AC471" s="683"/>
      <c r="AD471" s="683"/>
      <c r="AE471" s="683"/>
      <c r="AF471" s="683"/>
      <c r="AG471" s="683"/>
      <c r="AH471" s="683"/>
      <c r="AI471" s="705"/>
      <c r="AJ471" s="705"/>
      <c r="AK471" s="705"/>
      <c r="AL471" s="705"/>
      <c r="AM471" s="705"/>
      <c r="AN471" s="705"/>
      <c r="AO471" s="705"/>
      <c r="AP471" s="705"/>
      <c r="AQ471" s="705"/>
      <c r="AR471" s="705"/>
      <c r="AS471" s="705"/>
    </row>
    <row r="472" spans="1:45" s="13" customFormat="1" ht="30" customHeight="1" x14ac:dyDescent="0.25">
      <c r="A472" s="1998"/>
      <c r="B472" s="2069"/>
      <c r="C472" s="110" t="s">
        <v>1932</v>
      </c>
      <c r="D472" s="887" t="s">
        <v>10</v>
      </c>
      <c r="E472" s="888">
        <v>46262</v>
      </c>
      <c r="F472" s="856">
        <f t="shared" si="278"/>
        <v>24</v>
      </c>
      <c r="G472" s="18">
        <v>40500</v>
      </c>
      <c r="H472" s="18"/>
      <c r="I472" s="18"/>
      <c r="J472" s="1338"/>
      <c r="K472" s="1921">
        <f>IFERROR(SUMIF(INTAKE!$A:$A,$T472,INTAKE!$P:$P),0)</f>
        <v>0</v>
      </c>
      <c r="L472" s="1712">
        <f t="shared" ref="L472:L482" si="279">+G472+H472+I472-J472-K472</f>
        <v>40500</v>
      </c>
      <c r="M472" s="45"/>
      <c r="N472" s="162"/>
      <c r="O472" s="45"/>
      <c r="P472" s="736"/>
      <c r="Q472" s="666" t="s">
        <v>1588</v>
      </c>
      <c r="R472" s="785" t="str">
        <f>IFERROR(VLOOKUP($Q472,'391'!$P:$W,8,0),"")</f>
        <v/>
      </c>
      <c r="S472" s="796"/>
      <c r="T472" s="787" t="str">
        <f>$Q$475&amp;C472&amp;E472</f>
        <v>Sweet whey powder (Spain)B346262</v>
      </c>
      <c r="U472" s="797"/>
      <c r="V472" s="797"/>
      <c r="W472" s="802">
        <f>IFERROR(VLOOKUP($Q472,'391'!$P:$AG,15,0),0)</f>
        <v>0</v>
      </c>
      <c r="X472" s="799">
        <f t="shared" ref="X472:X482" si="280">G472-W472</f>
        <v>40500</v>
      </c>
      <c r="Y472" s="797"/>
      <c r="Z472" s="785"/>
      <c r="AA472" s="797"/>
      <c r="AB472" s="797"/>
      <c r="AC472" s="683"/>
      <c r="AD472" s="683"/>
      <c r="AE472" s="683"/>
      <c r="AF472" s="683"/>
      <c r="AG472" s="683"/>
      <c r="AH472" s="683"/>
      <c r="AI472" s="705"/>
      <c r="AJ472" s="705"/>
      <c r="AK472" s="705"/>
      <c r="AL472" s="705"/>
      <c r="AM472" s="705"/>
      <c r="AN472" s="705"/>
      <c r="AO472" s="705"/>
      <c r="AP472" s="705"/>
      <c r="AQ472" s="705"/>
      <c r="AR472" s="705"/>
      <c r="AS472" s="705"/>
    </row>
    <row r="473" spans="1:45" s="13" customFormat="1" ht="30" customHeight="1" x14ac:dyDescent="0.25">
      <c r="A473" s="1998"/>
      <c r="B473" s="2069"/>
      <c r="C473" s="110" t="s">
        <v>1942</v>
      </c>
      <c r="D473" s="887" t="s">
        <v>10</v>
      </c>
      <c r="E473" s="888">
        <v>46263</v>
      </c>
      <c r="F473" s="856">
        <f t="shared" si="278"/>
        <v>23</v>
      </c>
      <c r="G473" s="18">
        <v>48000</v>
      </c>
      <c r="H473" s="18"/>
      <c r="I473" s="18"/>
      <c r="J473" s="1338"/>
      <c r="K473" s="1921">
        <f>IFERROR(SUMIF(INTAKE!$A:$A,$T473,INTAKE!$P:$P),0)</f>
        <v>0</v>
      </c>
      <c r="L473" s="1712">
        <f t="shared" ref="L473:L478" si="281">+G473+H473+I473-J473-K473</f>
        <v>48000</v>
      </c>
      <c r="M473" s="45"/>
      <c r="N473" s="162"/>
      <c r="O473" s="45"/>
      <c r="P473" s="736"/>
      <c r="Q473" s="666"/>
      <c r="R473" s="785">
        <f>IFERROR(VLOOKUP($Q473,'391'!$P:$W,8,0),"")</f>
        <v>0</v>
      </c>
      <c r="S473" s="796"/>
      <c r="T473" s="787" t="str">
        <f>$Q$474&amp;C473&amp;E473</f>
        <v>Sweet Whey Powder  (Turkey)B546263</v>
      </c>
      <c r="U473" s="797"/>
      <c r="V473" s="797"/>
      <c r="W473" s="802">
        <f>IFERROR(VLOOKUP($Q473,'391'!$P:$AG,15,0),0)</f>
        <v>0</v>
      </c>
      <c r="X473" s="799">
        <f t="shared" ref="X473:X478" si="282">G473-W473</f>
        <v>48000</v>
      </c>
      <c r="Y473" s="797"/>
      <c r="Z473" s="785"/>
      <c r="AA473" s="797"/>
      <c r="AB473" s="797"/>
      <c r="AC473" s="683"/>
      <c r="AD473" s="683"/>
      <c r="AE473" s="683"/>
      <c r="AF473" s="683"/>
      <c r="AG473" s="683"/>
      <c r="AH473" s="683"/>
      <c r="AI473" s="705"/>
      <c r="AJ473" s="705"/>
      <c r="AK473" s="705"/>
      <c r="AL473" s="705"/>
      <c r="AM473" s="705"/>
      <c r="AN473" s="705"/>
      <c r="AO473" s="705"/>
      <c r="AP473" s="705"/>
      <c r="AQ473" s="705"/>
      <c r="AR473" s="705"/>
      <c r="AS473" s="705"/>
    </row>
    <row r="474" spans="1:45" s="13" customFormat="1" ht="30" customHeight="1" x14ac:dyDescent="0.25">
      <c r="A474" s="1998"/>
      <c r="B474" s="2069"/>
      <c r="C474" s="110" t="s">
        <v>2187</v>
      </c>
      <c r="D474" s="887" t="s">
        <v>10</v>
      </c>
      <c r="E474" s="888">
        <v>46275</v>
      </c>
      <c r="F474" s="856">
        <f t="shared" si="278"/>
        <v>11</v>
      </c>
      <c r="G474" s="18">
        <v>38250</v>
      </c>
      <c r="H474" s="18"/>
      <c r="I474" s="18"/>
      <c r="J474" s="1338"/>
      <c r="K474" s="1921">
        <f>IFERROR(SUMIF(INTAKE!$A:$A,$T474,INTAKE!$P:$P),0)</f>
        <v>0</v>
      </c>
      <c r="L474" s="1712">
        <f t="shared" si="281"/>
        <v>38250</v>
      </c>
      <c r="M474" s="45"/>
      <c r="N474" s="162"/>
      <c r="O474" s="45"/>
      <c r="P474" s="736"/>
      <c r="Q474" s="666" t="s">
        <v>1780</v>
      </c>
      <c r="R474" s="785" t="str">
        <f>IFERROR(VLOOKUP($Q474,'391'!$P:$W,8,0),"")</f>
        <v/>
      </c>
      <c r="S474" s="796"/>
      <c r="T474" s="787" t="str">
        <f t="shared" ref="T474" si="283">$Q$472&amp;C474&amp;E474</f>
        <v>Sweet Whey Powder (Italy)C1246275</v>
      </c>
      <c r="U474" s="797"/>
      <c r="V474" s="797"/>
      <c r="W474" s="802">
        <f>IFERROR(VLOOKUP($Q474,'391'!$P:$AG,15,0),0)</f>
        <v>0</v>
      </c>
      <c r="X474" s="799">
        <f t="shared" si="282"/>
        <v>38250</v>
      </c>
      <c r="Y474" s="797"/>
      <c r="Z474" s="785"/>
      <c r="AA474" s="797"/>
      <c r="AB474" s="797"/>
      <c r="AC474" s="683"/>
      <c r="AD474" s="683"/>
      <c r="AE474" s="683"/>
      <c r="AF474" s="683"/>
      <c r="AG474" s="683"/>
      <c r="AH474" s="683"/>
      <c r="AI474" s="705"/>
      <c r="AJ474" s="705"/>
      <c r="AK474" s="705"/>
      <c r="AL474" s="705"/>
      <c r="AM474" s="705"/>
      <c r="AN474" s="705"/>
      <c r="AO474" s="705"/>
      <c r="AP474" s="705"/>
      <c r="AQ474" s="705"/>
      <c r="AR474" s="705"/>
      <c r="AS474" s="705"/>
    </row>
    <row r="475" spans="1:45" s="13" customFormat="1" ht="30" customHeight="1" x14ac:dyDescent="0.25">
      <c r="A475" s="1998"/>
      <c r="B475" s="2069"/>
      <c r="C475" s="110" t="s">
        <v>2217</v>
      </c>
      <c r="D475" s="887" t="s">
        <v>10</v>
      </c>
      <c r="E475" s="888">
        <v>46276</v>
      </c>
      <c r="F475" s="856">
        <f t="shared" si="278"/>
        <v>10</v>
      </c>
      <c r="G475" s="18">
        <v>29250</v>
      </c>
      <c r="H475" s="18"/>
      <c r="I475" s="18"/>
      <c r="J475" s="1338"/>
      <c r="K475" s="1921">
        <f>IFERROR(SUMIF(INTAKE!$A:$A,$T475,INTAKE!$P:$P),0)</f>
        <v>0</v>
      </c>
      <c r="L475" s="1712">
        <f t="shared" si="281"/>
        <v>29250</v>
      </c>
      <c r="M475" s="45"/>
      <c r="N475" s="162"/>
      <c r="O475" s="45"/>
      <c r="P475" s="736"/>
      <c r="Q475" s="666" t="s">
        <v>1697</v>
      </c>
      <c r="R475" s="785" t="str">
        <f>IFERROR(VLOOKUP($Q475,'391'!$P:$W,8,0),"")</f>
        <v/>
      </c>
      <c r="S475" s="796"/>
      <c r="T475" s="787" t="str">
        <f t="shared" ref="T475" si="284">$Q$470&amp;C475&amp;E475</f>
        <v>C1146276</v>
      </c>
      <c r="U475" s="797"/>
      <c r="V475" s="797"/>
      <c r="W475" s="802">
        <f>IFERROR(VLOOKUP($Q475,'391'!$P:$AG,15,0),0)</f>
        <v>0</v>
      </c>
      <c r="X475" s="799">
        <f t="shared" si="282"/>
        <v>29250</v>
      </c>
      <c r="Y475" s="797"/>
      <c r="Z475" s="785"/>
      <c r="AA475" s="797"/>
      <c r="AB475" s="797"/>
      <c r="AC475" s="683"/>
      <c r="AD475" s="683"/>
      <c r="AE475" s="683"/>
      <c r="AF475" s="683"/>
      <c r="AG475" s="683"/>
      <c r="AH475" s="683"/>
      <c r="AI475" s="705"/>
      <c r="AJ475" s="705"/>
      <c r="AK475" s="705"/>
      <c r="AL475" s="705"/>
      <c r="AM475" s="705"/>
      <c r="AN475" s="705"/>
      <c r="AO475" s="705"/>
      <c r="AP475" s="705"/>
      <c r="AQ475" s="705"/>
      <c r="AR475" s="705"/>
      <c r="AS475" s="705"/>
    </row>
    <row r="476" spans="1:45" s="13" customFormat="1" ht="30" customHeight="1" x14ac:dyDescent="0.25">
      <c r="A476" s="1998"/>
      <c r="B476" s="2069"/>
      <c r="C476" s="110" t="s">
        <v>2218</v>
      </c>
      <c r="D476" s="887" t="s">
        <v>10</v>
      </c>
      <c r="E476" s="888">
        <v>46276</v>
      </c>
      <c r="F476" s="856">
        <f t="shared" si="278"/>
        <v>10</v>
      </c>
      <c r="G476" s="18">
        <v>28050</v>
      </c>
      <c r="H476" s="18"/>
      <c r="I476" s="18"/>
      <c r="J476" s="1338"/>
      <c r="K476" s="1921">
        <f>IFERROR(SUMIF(INTAKE!$A:$A,$T476,INTAKE!$P:$P),0)</f>
        <v>0</v>
      </c>
      <c r="L476" s="1712">
        <f t="shared" ref="L476:L477" si="285">+G476+H476+I476-J476-K476</f>
        <v>28050</v>
      </c>
      <c r="M476" s="45"/>
      <c r="N476" s="162"/>
      <c r="O476" s="45"/>
      <c r="P476" s="736"/>
      <c r="Q476" s="666"/>
      <c r="R476" s="785">
        <f>IFERROR(VLOOKUP($Q476,'391'!$P:$W,8,0),"")</f>
        <v>0</v>
      </c>
      <c r="S476" s="796"/>
      <c r="T476" s="787" t="str">
        <f>$Q$474&amp;C476&amp;E476</f>
        <v>Sweet Whey Powder  (Turkey)C1046276</v>
      </c>
      <c r="U476" s="797"/>
      <c r="V476" s="797"/>
      <c r="W476" s="802">
        <f>IFERROR(VLOOKUP($Q476,'391'!$P:$AG,15,0),0)</f>
        <v>0</v>
      </c>
      <c r="X476" s="799">
        <f t="shared" ref="X476:X477" si="286">G476-W476</f>
        <v>28050</v>
      </c>
      <c r="Y476" s="797"/>
      <c r="Z476" s="785"/>
      <c r="AA476" s="797"/>
      <c r="AB476" s="797"/>
      <c r="AC476" s="683"/>
      <c r="AD476" s="683"/>
      <c r="AE476" s="683"/>
      <c r="AF476" s="683"/>
      <c r="AG476" s="683"/>
      <c r="AH476" s="683"/>
      <c r="AI476" s="705"/>
      <c r="AJ476" s="705"/>
      <c r="AK476" s="705"/>
      <c r="AL476" s="705"/>
      <c r="AM476" s="705"/>
      <c r="AN476" s="705"/>
      <c r="AO476" s="705"/>
      <c r="AP476" s="705"/>
      <c r="AQ476" s="705"/>
      <c r="AR476" s="705"/>
      <c r="AS476" s="705"/>
    </row>
    <row r="477" spans="1:45" s="13" customFormat="1" ht="30" customHeight="1" x14ac:dyDescent="0.25">
      <c r="A477" s="1998"/>
      <c r="B477" s="2069"/>
      <c r="C477" s="110" t="s">
        <v>2221</v>
      </c>
      <c r="D477" s="887" t="s">
        <v>10</v>
      </c>
      <c r="E477" s="888">
        <v>46277</v>
      </c>
      <c r="F477" s="856">
        <f t="shared" si="278"/>
        <v>9</v>
      </c>
      <c r="G477" s="18">
        <v>19100</v>
      </c>
      <c r="H477" s="18"/>
      <c r="I477" s="18"/>
      <c r="J477" s="1338"/>
      <c r="K477" s="1921">
        <f>IFERROR(SUMIF(INTAKE!$A:$A,$T477,INTAKE!$P:$P),0)</f>
        <v>0</v>
      </c>
      <c r="L477" s="1712">
        <f t="shared" si="285"/>
        <v>19100</v>
      </c>
      <c r="M477" s="45"/>
      <c r="N477" s="162"/>
      <c r="O477" s="45"/>
      <c r="P477" s="736"/>
      <c r="Q477" s="666"/>
      <c r="R477" s="785">
        <f>IFERROR(VLOOKUP($Q477,'391'!$P:$W,8,0),"")</f>
        <v>0</v>
      </c>
      <c r="S477" s="796"/>
      <c r="T477" s="787" t="str">
        <f>$Q$469&amp;C477&amp;E477</f>
        <v>Sweet Whey Powder (USA)C946277</v>
      </c>
      <c r="U477" s="797"/>
      <c r="V477" s="797"/>
      <c r="W477" s="802">
        <f>IFERROR(VLOOKUP($Q477,'391'!$P:$AG,15,0),0)</f>
        <v>0</v>
      </c>
      <c r="X477" s="799">
        <f t="shared" si="286"/>
        <v>19100</v>
      </c>
      <c r="Y477" s="797"/>
      <c r="Z477" s="785"/>
      <c r="AA477" s="797"/>
      <c r="AB477" s="797"/>
      <c r="AC477" s="683"/>
      <c r="AD477" s="683"/>
      <c r="AE477" s="683"/>
      <c r="AF477" s="683"/>
      <c r="AG477" s="683"/>
      <c r="AH477" s="683"/>
      <c r="AI477" s="705"/>
      <c r="AJ477" s="705"/>
      <c r="AK477" s="705"/>
      <c r="AL477" s="705"/>
      <c r="AM477" s="705"/>
      <c r="AN477" s="705"/>
      <c r="AO477" s="705"/>
      <c r="AP477" s="705"/>
      <c r="AQ477" s="705"/>
      <c r="AR477" s="705"/>
      <c r="AS477" s="705"/>
    </row>
    <row r="478" spans="1:45" s="13" customFormat="1" ht="30" customHeight="1" x14ac:dyDescent="0.25">
      <c r="A478" s="1998"/>
      <c r="B478" s="2069"/>
      <c r="C478" s="110" t="s">
        <v>2221</v>
      </c>
      <c r="D478" s="887" t="s">
        <v>10</v>
      </c>
      <c r="E478" s="888">
        <v>46277</v>
      </c>
      <c r="F478" s="856">
        <f t="shared" si="278"/>
        <v>9</v>
      </c>
      <c r="G478" s="18">
        <v>14600</v>
      </c>
      <c r="H478" s="18"/>
      <c r="I478" s="18"/>
      <c r="J478" s="1338"/>
      <c r="K478" s="1921">
        <f>IFERROR(SUMIF(INTAKE!$A:$A,$T478,INTAKE!$P:$P),0)</f>
        <v>0</v>
      </c>
      <c r="L478" s="1712">
        <f t="shared" si="281"/>
        <v>14600</v>
      </c>
      <c r="M478" s="45"/>
      <c r="N478" s="162"/>
      <c r="O478" s="45"/>
      <c r="P478" s="736"/>
      <c r="Q478" s="666"/>
      <c r="R478" s="785">
        <f>IFERROR(VLOOKUP($Q478,'391'!$P:$W,8,0),"")</f>
        <v>0</v>
      </c>
      <c r="S478" s="796"/>
      <c r="T478" s="787" t="str">
        <f t="shared" ref="T478:T480" si="287">$Q$469&amp;C478&amp;E478</f>
        <v>Sweet Whey Powder (USA)C946277</v>
      </c>
      <c r="U478" s="797"/>
      <c r="V478" s="797"/>
      <c r="W478" s="802">
        <f>IFERROR(VLOOKUP($Q478,'391'!$P:$AG,15,0),0)</f>
        <v>0</v>
      </c>
      <c r="X478" s="799">
        <f t="shared" si="282"/>
        <v>14600</v>
      </c>
      <c r="Y478" s="797"/>
      <c r="Z478" s="785"/>
      <c r="AA478" s="797"/>
      <c r="AB478" s="797"/>
      <c r="AC478" s="683"/>
      <c r="AD478" s="683"/>
      <c r="AE478" s="683"/>
      <c r="AF478" s="683"/>
      <c r="AG478" s="683"/>
      <c r="AH478" s="683"/>
      <c r="AI478" s="705"/>
      <c r="AJ478" s="705"/>
      <c r="AK478" s="705"/>
      <c r="AL478" s="705"/>
      <c r="AM478" s="705"/>
      <c r="AN478" s="705"/>
      <c r="AO478" s="705"/>
      <c r="AP478" s="705"/>
      <c r="AQ478" s="705"/>
      <c r="AR478" s="705"/>
      <c r="AS478" s="705"/>
    </row>
    <row r="479" spans="1:45" s="13" customFormat="1" ht="30" customHeight="1" x14ac:dyDescent="0.25">
      <c r="A479" s="1998"/>
      <c r="B479" s="2069"/>
      <c r="C479" s="110" t="s">
        <v>613</v>
      </c>
      <c r="D479" s="887" t="s">
        <v>10</v>
      </c>
      <c r="E479" s="888">
        <v>46277</v>
      </c>
      <c r="F479" s="856">
        <f t="shared" si="278"/>
        <v>9</v>
      </c>
      <c r="G479" s="18">
        <v>23625</v>
      </c>
      <c r="H479" s="18"/>
      <c r="I479" s="18"/>
      <c r="J479" s="1338"/>
      <c r="K479" s="1921">
        <f>IFERROR(SUMIF(INTAKE!$A:$A,$T479,INTAKE!$P:$P),0)</f>
        <v>0</v>
      </c>
      <c r="L479" s="1712">
        <f t="shared" si="279"/>
        <v>23625</v>
      </c>
      <c r="M479" s="45"/>
      <c r="N479" s="162"/>
      <c r="O479" s="45"/>
      <c r="P479" s="736"/>
      <c r="Q479" s="666"/>
      <c r="R479" s="785">
        <f>IFERROR(VLOOKUP($Q479,'391'!$P:$W,8,0),"")</f>
        <v>0</v>
      </c>
      <c r="S479" s="796"/>
      <c r="T479" s="787" t="str">
        <f t="shared" si="287"/>
        <v>Sweet Whey Powder (USA)C846277</v>
      </c>
      <c r="U479" s="797"/>
      <c r="V479" s="797"/>
      <c r="W479" s="802">
        <f>IFERROR(VLOOKUP($Q479,'391'!$P:$AG,15,0),0)</f>
        <v>0</v>
      </c>
      <c r="X479" s="799">
        <f t="shared" si="280"/>
        <v>23625</v>
      </c>
      <c r="Y479" s="797"/>
      <c r="Z479" s="785"/>
      <c r="AA479" s="797"/>
      <c r="AB479" s="797"/>
      <c r="AC479" s="683"/>
      <c r="AD479" s="683"/>
      <c r="AE479" s="683"/>
      <c r="AF479" s="683"/>
      <c r="AG479" s="683"/>
      <c r="AH479" s="683"/>
      <c r="AI479" s="705"/>
      <c r="AJ479" s="705"/>
      <c r="AK479" s="705"/>
      <c r="AL479" s="705"/>
      <c r="AM479" s="705"/>
      <c r="AN479" s="705"/>
      <c r="AO479" s="705"/>
      <c r="AP479" s="705"/>
      <c r="AQ479" s="705"/>
      <c r="AR479" s="705"/>
      <c r="AS479" s="705"/>
    </row>
    <row r="480" spans="1:45" s="13" customFormat="1" ht="30" hidden="1" customHeight="1" x14ac:dyDescent="0.25">
      <c r="A480" s="1998"/>
      <c r="B480" s="2069"/>
      <c r="C480" s="110"/>
      <c r="D480" s="887" t="s">
        <v>10</v>
      </c>
      <c r="E480" s="888">
        <v>46277</v>
      </c>
      <c r="F480" s="856">
        <f t="shared" ref="F480:F481" si="288">$L$7-E480</f>
        <v>9</v>
      </c>
      <c r="G480" s="18">
        <v>0</v>
      </c>
      <c r="H480" s="18"/>
      <c r="I480" s="18"/>
      <c r="J480" s="1338"/>
      <c r="K480" s="1921">
        <f>IFERROR(SUMIF(INTAKE!$A:$A,$T480,INTAKE!$P:$P),0)</f>
        <v>0</v>
      </c>
      <c r="L480" s="1712">
        <f t="shared" ref="L480" si="289">+G480+H480+I480-J480-K480</f>
        <v>0</v>
      </c>
      <c r="M480" s="45"/>
      <c r="N480" s="162"/>
      <c r="O480" s="45"/>
      <c r="P480" s="736"/>
      <c r="Q480" s="666"/>
      <c r="R480" s="785">
        <f>IFERROR(VLOOKUP($Q480,'391'!$P:$W,8,0),"")</f>
        <v>0</v>
      </c>
      <c r="S480" s="796"/>
      <c r="T480" s="787" t="str">
        <f t="shared" si="287"/>
        <v>Sweet Whey Powder (USA)46277</v>
      </c>
      <c r="U480" s="797"/>
      <c r="V480" s="797"/>
      <c r="W480" s="802">
        <f>IFERROR(VLOOKUP($Q480,'391'!$P:$AG,15,0),0)</f>
        <v>0</v>
      </c>
      <c r="X480" s="799">
        <f t="shared" ref="X480" si="290">G480-W480</f>
        <v>0</v>
      </c>
      <c r="Y480" s="797"/>
      <c r="Z480" s="785"/>
      <c r="AA480" s="797"/>
      <c r="AB480" s="797"/>
      <c r="AC480" s="683"/>
      <c r="AD480" s="683"/>
      <c r="AE480" s="683"/>
      <c r="AF480" s="683"/>
      <c r="AG480" s="683"/>
      <c r="AH480" s="683"/>
      <c r="AI480" s="705"/>
      <c r="AJ480" s="705"/>
      <c r="AK480" s="705"/>
      <c r="AL480" s="705"/>
      <c r="AM480" s="705"/>
      <c r="AN480" s="705"/>
      <c r="AO480" s="705"/>
      <c r="AP480" s="705"/>
      <c r="AQ480" s="705"/>
      <c r="AR480" s="705"/>
      <c r="AS480" s="705"/>
    </row>
    <row r="481" spans="1:45" s="13" customFormat="1" ht="30" hidden="1" customHeight="1" x14ac:dyDescent="0.25">
      <c r="A481" s="1998"/>
      <c r="B481" s="2069"/>
      <c r="C481" s="110"/>
      <c r="D481" s="887" t="s">
        <v>10</v>
      </c>
      <c r="E481" s="888">
        <v>46277</v>
      </c>
      <c r="F481" s="856">
        <f t="shared" si="288"/>
        <v>9</v>
      </c>
      <c r="G481" s="18">
        <v>0</v>
      </c>
      <c r="H481" s="18"/>
      <c r="I481" s="18"/>
      <c r="J481" s="1338"/>
      <c r="K481" s="1921">
        <f>IFERROR(SUMIF(INTAKE!$A:$A,$T481,INTAKE!$P:$P),0)</f>
        <v>0</v>
      </c>
      <c r="L481" s="1712">
        <f t="shared" si="279"/>
        <v>0</v>
      </c>
      <c r="M481" s="45"/>
      <c r="N481" s="162"/>
      <c r="O481" s="45"/>
      <c r="P481" s="736"/>
      <c r="Q481" s="666"/>
      <c r="R481" s="785">
        <f>IFERROR(VLOOKUP($Q481,'391'!$P:$W,8,0),"")</f>
        <v>0</v>
      </c>
      <c r="S481" s="796"/>
      <c r="T481" s="787" t="str">
        <f t="shared" ref="T481:T487" si="291">$Q$474&amp;C481&amp;E481</f>
        <v>Sweet Whey Powder  (Turkey)46277</v>
      </c>
      <c r="U481" s="797"/>
      <c r="V481" s="797"/>
      <c r="W481" s="802">
        <f>IFERROR(VLOOKUP($Q481,'391'!$P:$AG,15,0),0)</f>
        <v>0</v>
      </c>
      <c r="X481" s="799">
        <f t="shared" si="280"/>
        <v>0</v>
      </c>
      <c r="Y481" s="797"/>
      <c r="Z481" s="785"/>
      <c r="AA481" s="797"/>
      <c r="AB481" s="797"/>
      <c r="AC481" s="683"/>
      <c r="AD481" s="683"/>
      <c r="AE481" s="683"/>
      <c r="AF481" s="683"/>
      <c r="AG481" s="683"/>
      <c r="AH481" s="683"/>
      <c r="AI481" s="705"/>
      <c r="AJ481" s="705"/>
      <c r="AK481" s="705"/>
      <c r="AL481" s="705"/>
      <c r="AM481" s="705"/>
      <c r="AN481" s="705"/>
      <c r="AO481" s="705"/>
      <c r="AP481" s="705"/>
      <c r="AQ481" s="705"/>
      <c r="AR481" s="705"/>
      <c r="AS481" s="705"/>
    </row>
    <row r="482" spans="1:45" s="13" customFormat="1" ht="30" hidden="1" customHeight="1" x14ac:dyDescent="0.25">
      <c r="A482" s="1998"/>
      <c r="B482" s="2069"/>
      <c r="C482" s="110"/>
      <c r="D482" s="887" t="s">
        <v>10</v>
      </c>
      <c r="E482" s="888">
        <v>46277</v>
      </c>
      <c r="F482" s="856">
        <f t="shared" ref="F482" si="292">$L$7-E482</f>
        <v>9</v>
      </c>
      <c r="G482" s="18">
        <v>0</v>
      </c>
      <c r="H482" s="18"/>
      <c r="I482" s="18"/>
      <c r="J482" s="1338"/>
      <c r="K482" s="1921">
        <f>IFERROR(SUMIF(INTAKE!$A:$A,$T482,INTAKE!$P:$P),0)</f>
        <v>0</v>
      </c>
      <c r="L482" s="1712">
        <f t="shared" si="279"/>
        <v>0</v>
      </c>
      <c r="M482" s="45"/>
      <c r="N482" s="162"/>
      <c r="O482" s="45"/>
      <c r="P482" s="736"/>
      <c r="Q482" s="666"/>
      <c r="R482" s="785">
        <f>IFERROR(VLOOKUP($Q482,'391'!$P:$W,8,0),"")</f>
        <v>0</v>
      </c>
      <c r="S482" s="796"/>
      <c r="T482" s="787" t="str">
        <f t="shared" si="291"/>
        <v>Sweet Whey Powder  (Turkey)46277</v>
      </c>
      <c r="U482" s="797"/>
      <c r="V482" s="797"/>
      <c r="W482" s="802">
        <f>IFERROR(VLOOKUP($Q482,'391'!$P:$AG,15,0),0)</f>
        <v>0</v>
      </c>
      <c r="X482" s="799">
        <f t="shared" si="280"/>
        <v>0</v>
      </c>
      <c r="Y482" s="797"/>
      <c r="Z482" s="785"/>
      <c r="AA482" s="797"/>
      <c r="AB482" s="797"/>
      <c r="AC482" s="683"/>
      <c r="AD482" s="683"/>
      <c r="AE482" s="683"/>
      <c r="AF482" s="683"/>
      <c r="AG482" s="683"/>
      <c r="AH482" s="683"/>
      <c r="AI482" s="705"/>
      <c r="AJ482" s="705"/>
      <c r="AK482" s="705"/>
      <c r="AL482" s="705"/>
      <c r="AM482" s="705"/>
      <c r="AN482" s="705"/>
      <c r="AO482" s="705"/>
      <c r="AP482" s="705"/>
      <c r="AQ482" s="705"/>
      <c r="AR482" s="705"/>
      <c r="AS482" s="705"/>
    </row>
    <row r="483" spans="1:45" s="13" customFormat="1" ht="30" hidden="1" customHeight="1" x14ac:dyDescent="0.25">
      <c r="A483" s="1998"/>
      <c r="B483" s="2069"/>
      <c r="C483" s="110"/>
      <c r="D483" s="887" t="s">
        <v>10</v>
      </c>
      <c r="E483" s="888">
        <v>46101</v>
      </c>
      <c r="F483" s="856">
        <f t="shared" ref="F483" si="293">$L$7-E483</f>
        <v>185</v>
      </c>
      <c r="G483" s="18">
        <v>0</v>
      </c>
      <c r="H483" s="18"/>
      <c r="I483" s="18"/>
      <c r="J483" s="1338"/>
      <c r="K483" s="1921">
        <f>IFERROR(SUMIF(INTAKE!$A:$A,$T483,INTAKE!$P:$P),0)</f>
        <v>0</v>
      </c>
      <c r="L483" s="1712">
        <f t="shared" ref="L483:L484" si="294">+G483+H483+I483-J483-K483</f>
        <v>0</v>
      </c>
      <c r="M483" s="45"/>
      <c r="N483" s="162"/>
      <c r="O483" s="45"/>
      <c r="P483" s="736"/>
      <c r="Q483" s="666"/>
      <c r="R483" s="785">
        <f>IFERROR(VLOOKUP($Q483,'391'!$P:$W,8,0),"")</f>
        <v>0</v>
      </c>
      <c r="S483" s="796"/>
      <c r="T483" s="787" t="str">
        <f t="shared" si="291"/>
        <v>Sweet Whey Powder  (Turkey)46101</v>
      </c>
      <c r="U483" s="797"/>
      <c r="V483" s="797"/>
      <c r="W483" s="802">
        <f>IFERROR(VLOOKUP($Q483,'391'!$P:$AG,15,0),0)</f>
        <v>0</v>
      </c>
      <c r="X483" s="799">
        <f t="shared" ref="X483:X484" si="295">G483-W483</f>
        <v>0</v>
      </c>
      <c r="Y483" s="797"/>
      <c r="Z483" s="785"/>
      <c r="AA483" s="797"/>
      <c r="AB483" s="797"/>
      <c r="AC483" s="683"/>
      <c r="AD483" s="683"/>
      <c r="AE483" s="683"/>
      <c r="AF483" s="683"/>
      <c r="AG483" s="683"/>
      <c r="AH483" s="683"/>
      <c r="AI483" s="705"/>
      <c r="AJ483" s="705"/>
      <c r="AK483" s="705"/>
      <c r="AL483" s="705"/>
      <c r="AM483" s="705"/>
      <c r="AN483" s="705"/>
      <c r="AO483" s="705"/>
      <c r="AP483" s="705"/>
      <c r="AQ483" s="705"/>
      <c r="AR483" s="705"/>
      <c r="AS483" s="705"/>
    </row>
    <row r="484" spans="1:45" s="13" customFormat="1" ht="30" hidden="1" customHeight="1" x14ac:dyDescent="0.25">
      <c r="A484" s="1998"/>
      <c r="B484" s="2069"/>
      <c r="C484" s="110"/>
      <c r="D484" s="887" t="s">
        <v>10</v>
      </c>
      <c r="E484" s="888">
        <v>46100</v>
      </c>
      <c r="F484" s="856">
        <f t="shared" ref="F484" si="296">$L$7-E484</f>
        <v>186</v>
      </c>
      <c r="G484" s="18">
        <v>0</v>
      </c>
      <c r="H484" s="18"/>
      <c r="I484" s="18"/>
      <c r="J484" s="1338"/>
      <c r="K484" s="1921">
        <f>IFERROR(SUMIF(INTAKE!$A:$A,$T484,INTAKE!$P:$P),0)</f>
        <v>0</v>
      </c>
      <c r="L484" s="1712">
        <f t="shared" si="294"/>
        <v>0</v>
      </c>
      <c r="M484" s="45"/>
      <c r="N484" s="162"/>
      <c r="O484" s="45"/>
      <c r="P484" s="736"/>
      <c r="Q484" s="666"/>
      <c r="R484" s="785">
        <f>IFERROR(VLOOKUP($Q484,'391'!$P:$W,8,0),"")</f>
        <v>0</v>
      </c>
      <c r="S484" s="796"/>
      <c r="T484" s="787" t="str">
        <f t="shared" si="291"/>
        <v>Sweet Whey Powder  (Turkey)46100</v>
      </c>
      <c r="U484" s="797"/>
      <c r="V484" s="797"/>
      <c r="W484" s="802">
        <f>IFERROR(VLOOKUP($Q484,'391'!$P:$AG,15,0),0)</f>
        <v>0</v>
      </c>
      <c r="X484" s="799">
        <f t="shared" si="295"/>
        <v>0</v>
      </c>
      <c r="Y484" s="797"/>
      <c r="Z484" s="785"/>
      <c r="AA484" s="797"/>
      <c r="AB484" s="797"/>
      <c r="AC484" s="683"/>
      <c r="AD484" s="683"/>
      <c r="AE484" s="683"/>
      <c r="AF484" s="683"/>
      <c r="AG484" s="683"/>
      <c r="AH484" s="683"/>
      <c r="AI484" s="705"/>
      <c r="AJ484" s="705"/>
      <c r="AK484" s="705"/>
      <c r="AL484" s="705"/>
      <c r="AM484" s="705"/>
      <c r="AN484" s="705"/>
      <c r="AO484" s="705"/>
      <c r="AP484" s="705"/>
      <c r="AQ484" s="705"/>
      <c r="AR484" s="705"/>
      <c r="AS484" s="705"/>
    </row>
    <row r="485" spans="1:45" s="13" customFormat="1" ht="30" hidden="1" customHeight="1" x14ac:dyDescent="0.25">
      <c r="A485" s="1998"/>
      <c r="B485" s="2069"/>
      <c r="C485" s="110"/>
      <c r="D485" s="887" t="s">
        <v>10</v>
      </c>
      <c r="E485" s="888">
        <v>46100</v>
      </c>
      <c r="F485" s="856">
        <f t="shared" ref="F485:F486" si="297">$L$7-E485</f>
        <v>186</v>
      </c>
      <c r="G485" s="18">
        <v>0</v>
      </c>
      <c r="H485" s="18"/>
      <c r="I485" s="18"/>
      <c r="J485" s="1338"/>
      <c r="K485" s="1921">
        <f>IFERROR(SUMIF(INTAKE!$A:$A,$T485,INTAKE!$P:$P),0)</f>
        <v>0</v>
      </c>
      <c r="L485" s="1712">
        <f t="shared" ref="L485:L486" si="298">+G485+H485+I485-J485-K485</f>
        <v>0</v>
      </c>
      <c r="M485" s="45"/>
      <c r="N485" s="162"/>
      <c r="O485" s="45"/>
      <c r="P485" s="736"/>
      <c r="Q485" s="666"/>
      <c r="R485" s="785">
        <f>IFERROR(VLOOKUP($Q485,'391'!$P:$W,8,0),"")</f>
        <v>0</v>
      </c>
      <c r="S485" s="796"/>
      <c r="T485" s="787" t="str">
        <f t="shared" si="291"/>
        <v>Sweet Whey Powder  (Turkey)46100</v>
      </c>
      <c r="U485" s="797"/>
      <c r="V485" s="797"/>
      <c r="W485" s="802">
        <f>IFERROR(VLOOKUP($Q485,'391'!$P:$AG,15,0),0)</f>
        <v>0</v>
      </c>
      <c r="X485" s="799">
        <f t="shared" ref="X485:X486" si="299">G485-W485</f>
        <v>0</v>
      </c>
      <c r="Y485" s="797"/>
      <c r="Z485" s="785"/>
      <c r="AA485" s="797"/>
      <c r="AB485" s="797"/>
      <c r="AC485" s="683"/>
      <c r="AD485" s="683"/>
      <c r="AE485" s="683"/>
      <c r="AF485" s="683"/>
      <c r="AG485" s="683"/>
      <c r="AH485" s="683"/>
      <c r="AI485" s="705"/>
      <c r="AJ485" s="705"/>
      <c r="AK485" s="705"/>
      <c r="AL485" s="705"/>
      <c r="AM485" s="705"/>
      <c r="AN485" s="705"/>
      <c r="AO485" s="705"/>
      <c r="AP485" s="705"/>
      <c r="AQ485" s="705"/>
      <c r="AR485" s="705"/>
      <c r="AS485" s="705"/>
    </row>
    <row r="486" spans="1:45" s="13" customFormat="1" ht="30" hidden="1" customHeight="1" x14ac:dyDescent="0.25">
      <c r="A486" s="1998"/>
      <c r="B486" s="2069"/>
      <c r="C486" s="110"/>
      <c r="D486" s="887" t="s">
        <v>10</v>
      </c>
      <c r="E486" s="888">
        <v>46101</v>
      </c>
      <c r="F486" s="856">
        <f t="shared" si="297"/>
        <v>185</v>
      </c>
      <c r="G486" s="18">
        <v>0</v>
      </c>
      <c r="H486" s="18"/>
      <c r="I486" s="18"/>
      <c r="J486" s="1338"/>
      <c r="K486" s="1921">
        <f>IFERROR(SUMIF(INTAKE!$A:$A,$T486,INTAKE!$P:$P),0)</f>
        <v>0</v>
      </c>
      <c r="L486" s="1712">
        <f t="shared" si="298"/>
        <v>0</v>
      </c>
      <c r="M486" s="45"/>
      <c r="N486" s="162"/>
      <c r="O486" s="45"/>
      <c r="P486" s="736"/>
      <c r="Q486" s="666"/>
      <c r="R486" s="785">
        <f>IFERROR(VLOOKUP($Q486,'391'!$P:$W,8,0),"")</f>
        <v>0</v>
      </c>
      <c r="S486" s="796"/>
      <c r="T486" s="787" t="str">
        <f t="shared" si="291"/>
        <v>Sweet Whey Powder  (Turkey)46101</v>
      </c>
      <c r="U486" s="797"/>
      <c r="V486" s="797"/>
      <c r="W486" s="802">
        <f>IFERROR(VLOOKUP($Q486,'391'!$P:$AG,15,0),0)</f>
        <v>0</v>
      </c>
      <c r="X486" s="799">
        <f t="shared" si="299"/>
        <v>0</v>
      </c>
      <c r="Y486" s="797"/>
      <c r="Z486" s="785"/>
      <c r="AA486" s="797"/>
      <c r="AB486" s="797"/>
      <c r="AC486" s="683"/>
      <c r="AD486" s="683"/>
      <c r="AE486" s="683"/>
      <c r="AF486" s="683"/>
      <c r="AG486" s="683"/>
      <c r="AH486" s="683"/>
      <c r="AI486" s="705"/>
      <c r="AJ486" s="705"/>
      <c r="AK486" s="705"/>
      <c r="AL486" s="705"/>
      <c r="AM486" s="705"/>
      <c r="AN486" s="705"/>
      <c r="AO486" s="705"/>
      <c r="AP486" s="705"/>
      <c r="AQ486" s="705"/>
      <c r="AR486" s="705"/>
      <c r="AS486" s="705"/>
    </row>
    <row r="487" spans="1:45" s="13" customFormat="1" ht="30" hidden="1" customHeight="1" x14ac:dyDescent="0.25">
      <c r="A487" s="1998"/>
      <c r="B487" s="2065"/>
      <c r="C487" s="110"/>
      <c r="D487" s="887" t="s">
        <v>10</v>
      </c>
      <c r="E487" s="888">
        <v>46101</v>
      </c>
      <c r="F487" s="856">
        <f t="shared" ref="F487" si="300">$L$7-E487</f>
        <v>185</v>
      </c>
      <c r="G487" s="18">
        <v>0</v>
      </c>
      <c r="H487" s="18"/>
      <c r="I487" s="18"/>
      <c r="J487" s="1338"/>
      <c r="K487" s="1921">
        <f>IFERROR(SUMIF(INTAKE!$A:$A,$T487,INTAKE!$P:$P),0)</f>
        <v>0</v>
      </c>
      <c r="L487" s="1712">
        <f t="shared" si="276"/>
        <v>0</v>
      </c>
      <c r="M487" s="45"/>
      <c r="N487" s="162"/>
      <c r="O487" s="45"/>
      <c r="P487" s="736"/>
      <c r="Q487" s="666"/>
      <c r="R487" s="785">
        <f>IFERROR(VLOOKUP($Q487,'391'!$P:$W,8,0),"")</f>
        <v>0</v>
      </c>
      <c r="S487" s="796"/>
      <c r="T487" s="787" t="str">
        <f t="shared" si="291"/>
        <v>Sweet Whey Powder  (Turkey)46101</v>
      </c>
      <c r="U487" s="797"/>
      <c r="V487" s="797"/>
      <c r="W487" s="802">
        <f>IFERROR(VLOOKUP($Q487,'391'!$P:$AG,15,0),0)</f>
        <v>0</v>
      </c>
      <c r="X487" s="799">
        <f t="shared" si="268"/>
        <v>0</v>
      </c>
      <c r="Y487" s="797"/>
      <c r="Z487" s="785"/>
      <c r="AA487" s="797"/>
      <c r="AB487" s="797"/>
      <c r="AC487" s="683"/>
      <c r="AD487" s="683"/>
      <c r="AE487" s="683"/>
      <c r="AF487" s="683"/>
      <c r="AG487" s="683"/>
      <c r="AH487" s="683"/>
      <c r="AI487" s="705"/>
      <c r="AJ487" s="705"/>
      <c r="AK487" s="705"/>
      <c r="AL487" s="705"/>
      <c r="AM487" s="705"/>
      <c r="AN487" s="705"/>
      <c r="AO487" s="705"/>
      <c r="AP487" s="705"/>
      <c r="AQ487" s="705"/>
      <c r="AR487" s="705"/>
      <c r="AS487" s="705"/>
    </row>
    <row r="488" spans="1:45" s="13" customFormat="1" ht="30" customHeight="1" x14ac:dyDescent="0.25">
      <c r="A488" s="1998"/>
      <c r="B488" s="2065"/>
      <c r="C488" s="65" t="s">
        <v>1663</v>
      </c>
      <c r="D488" s="852" t="s">
        <v>10</v>
      </c>
      <c r="E488" s="853">
        <v>46254</v>
      </c>
      <c r="F488" s="856">
        <f t="shared" ref="F488" si="301">$L$7-E488</f>
        <v>32</v>
      </c>
      <c r="G488" s="919">
        <f>11000-653</f>
        <v>10347</v>
      </c>
      <c r="H488" s="300"/>
      <c r="I488" s="36">
        <f>+SUM(K466:K488)</f>
        <v>0</v>
      </c>
      <c r="J488" s="1294">
        <f>usage!I47</f>
        <v>2800</v>
      </c>
      <c r="K488" s="1345"/>
      <c r="L488" s="531">
        <f t="shared" si="276"/>
        <v>7547</v>
      </c>
      <c r="M488" s="45"/>
      <c r="N488" s="162"/>
      <c r="O488" s="45"/>
      <c r="P488" s="736"/>
      <c r="Q488" s="795"/>
      <c r="R488" s="785">
        <f>IFERROR(VLOOKUP($Q488,'391'!$P:$W,8,0),"")</f>
        <v>0</v>
      </c>
      <c r="S488" s="796"/>
      <c r="T488" s="797"/>
      <c r="U488" s="797"/>
      <c r="V488" s="797"/>
      <c r="W488" s="802">
        <f>IFERROR(VLOOKUP($Q488,'391'!$P:$AG,15,0),0)</f>
        <v>0</v>
      </c>
      <c r="X488" s="799">
        <f t="shared" si="268"/>
        <v>10347</v>
      </c>
      <c r="Y488" s="797"/>
      <c r="Z488" s="785"/>
      <c r="AA488" s="797"/>
      <c r="AB488" s="797"/>
      <c r="AC488" s="683"/>
      <c r="AD488" s="683"/>
      <c r="AE488" s="683"/>
      <c r="AF488" s="683"/>
      <c r="AG488" s="683"/>
      <c r="AH488" s="683"/>
      <c r="AI488" s="705"/>
      <c r="AJ488" s="705"/>
      <c r="AK488" s="705"/>
      <c r="AL488" s="705"/>
      <c r="AM488" s="705"/>
      <c r="AN488" s="705"/>
      <c r="AO488" s="705"/>
      <c r="AP488" s="705"/>
      <c r="AQ488" s="705"/>
      <c r="AR488" s="705"/>
      <c r="AS488" s="705"/>
    </row>
    <row r="489" spans="1:45" s="402" customFormat="1" ht="30" customHeight="1" x14ac:dyDescent="0.25">
      <c r="A489" s="2019" t="s">
        <v>113</v>
      </c>
      <c r="B489" s="2020"/>
      <c r="C489" s="88"/>
      <c r="D489" s="864"/>
      <c r="E489" s="939"/>
      <c r="F489" s="865"/>
      <c r="G489" s="1296">
        <f>+SUM(G471:G488)</f>
        <v>251722</v>
      </c>
      <c r="H489" s="1296">
        <f>SUM(H466:H488)</f>
        <v>0</v>
      </c>
      <c r="I489" s="1296">
        <f>SUM(I466:I488)</f>
        <v>0</v>
      </c>
      <c r="J489" s="1296">
        <f>SUM(J466:J488)</f>
        <v>2800</v>
      </c>
      <c r="K489" s="1296">
        <f>SUM(K466:K488)</f>
        <v>0</v>
      </c>
      <c r="L489" s="1296">
        <f>SUM(L466:L488)</f>
        <v>248922</v>
      </c>
      <c r="M489" s="59">
        <f>IFERROR(S489/$S$2,"")</f>
        <v>16329.5</v>
      </c>
      <c r="N489" s="854">
        <f>(L489/M489)</f>
        <v>15.243700052053033</v>
      </c>
      <c r="O489" s="59">
        <f>IFERROR(SUMIF(ETM!$A:$A,$Q489,ETM!$E:$E),"")</f>
        <v>13005.166666666668</v>
      </c>
      <c r="P489" s="880">
        <f>(L489/O489)</f>
        <v>19.140239135728105</v>
      </c>
      <c r="Q489" s="795" t="s">
        <v>826</v>
      </c>
      <c r="R489" s="785">
        <f>IFERROR(VLOOKUP($Q489,'391'!$P:$W,8,0),"")</f>
        <v>150359</v>
      </c>
      <c r="S489" s="800">
        <f>+R489-R509</f>
        <v>97977</v>
      </c>
      <c r="T489" s="797"/>
      <c r="U489" s="797"/>
      <c r="V489" s="797"/>
      <c r="W489" s="802">
        <f>IFERROR(VLOOKUP($Q489,'391'!$P:$AG,15,0),0)</f>
        <v>401273</v>
      </c>
      <c r="X489" s="799">
        <f t="shared" si="268"/>
        <v>-149551</v>
      </c>
      <c r="Y489" s="1087">
        <f>+G489+G509</f>
        <v>401273</v>
      </c>
      <c r="Z489" s="1088">
        <f>+W489-Y489</f>
        <v>0</v>
      </c>
      <c r="AA489" s="797"/>
      <c r="AB489" s="797"/>
      <c r="AC489" s="551"/>
      <c r="AD489" s="551"/>
      <c r="AE489" s="551"/>
      <c r="AF489" s="551"/>
      <c r="AG489" s="551"/>
      <c r="AH489" s="551"/>
      <c r="AI489" s="704"/>
      <c r="AJ489" s="704"/>
      <c r="AK489" s="704"/>
      <c r="AL489" s="704"/>
      <c r="AM489" s="704"/>
      <c r="AN489" s="704"/>
      <c r="AO489" s="704"/>
      <c r="AP489" s="704"/>
      <c r="AQ489" s="704"/>
      <c r="AR489" s="704"/>
      <c r="AS489" s="704"/>
    </row>
    <row r="490" spans="1:45" s="13" customFormat="1" ht="30" hidden="1" customHeight="1" x14ac:dyDescent="0.25">
      <c r="A490" s="2021">
        <f>IF(L509=0," ",MAX($A$16:A489)+1)</f>
        <v>26</v>
      </c>
      <c r="B490" s="2024" t="s">
        <v>39</v>
      </c>
      <c r="C490" s="1199"/>
      <c r="D490" s="887" t="s">
        <v>10</v>
      </c>
      <c r="E490" s="888">
        <v>45724</v>
      </c>
      <c r="F490" s="359">
        <f t="shared" ref="F490:F506" si="302">$L$7-E490</f>
        <v>562</v>
      </c>
      <c r="G490" s="300">
        <v>0</v>
      </c>
      <c r="H490" s="300"/>
      <c r="I490" s="300"/>
      <c r="J490" s="1300"/>
      <c r="K490" s="1345"/>
      <c r="L490" s="1669">
        <f t="shared" ref="L490:L508" si="303">+G490+H490+I490-J490-K490</f>
        <v>0</v>
      </c>
      <c r="M490" s="50"/>
      <c r="N490" s="167"/>
      <c r="O490" s="376"/>
      <c r="P490" s="744"/>
      <c r="Q490" s="795"/>
      <c r="R490" s="785">
        <f>IFERROR(VLOOKUP($Q490,'391'!$P:$W,8,0),"")</f>
        <v>0</v>
      </c>
      <c r="S490" s="796"/>
      <c r="T490" s="797"/>
      <c r="U490" s="797"/>
      <c r="V490" s="797"/>
      <c r="W490" s="802">
        <f>IFERROR(VLOOKUP($Q490,'391'!$P:$AG,15,0),0)</f>
        <v>0</v>
      </c>
      <c r="X490" s="799">
        <f t="shared" si="268"/>
        <v>0</v>
      </c>
      <c r="Y490" s="797"/>
      <c r="Z490" s="785"/>
      <c r="AA490" s="797"/>
      <c r="AB490" s="797"/>
      <c r="AC490" s="683"/>
      <c r="AD490" s="683"/>
      <c r="AE490" s="683"/>
      <c r="AF490" s="683"/>
      <c r="AG490" s="683"/>
      <c r="AH490" s="683"/>
      <c r="AI490" s="705"/>
      <c r="AJ490" s="705"/>
      <c r="AK490" s="705"/>
      <c r="AL490" s="705"/>
      <c r="AM490" s="705"/>
      <c r="AN490" s="705"/>
      <c r="AO490" s="705"/>
      <c r="AP490" s="705"/>
      <c r="AQ490" s="705"/>
      <c r="AR490" s="705"/>
      <c r="AS490" s="705"/>
    </row>
    <row r="491" spans="1:45" s="13" customFormat="1" ht="30" hidden="1" customHeight="1" x14ac:dyDescent="0.25">
      <c r="A491" s="2022"/>
      <c r="B491" s="2025"/>
      <c r="C491" s="127"/>
      <c r="D491" s="887" t="s">
        <v>10</v>
      </c>
      <c r="E491" s="888">
        <v>46001</v>
      </c>
      <c r="F491" s="359">
        <f t="shared" ref="F491" si="304">$L$7-E491</f>
        <v>285</v>
      </c>
      <c r="G491" s="300">
        <v>0</v>
      </c>
      <c r="H491" s="300"/>
      <c r="I491" s="300"/>
      <c r="J491" s="1300"/>
      <c r="K491" s="1379">
        <f>IFERROR(SUMIF(INTAKE!$A:$A,$T491,INTAKE!$P:$P),0)</f>
        <v>0</v>
      </c>
      <c r="L491" s="1669">
        <f t="shared" si="303"/>
        <v>0</v>
      </c>
      <c r="M491" s="48"/>
      <c r="N491" s="163"/>
      <c r="O491" s="373"/>
      <c r="P491" s="738"/>
      <c r="Q491" s="795"/>
      <c r="R491" s="785">
        <f>IFERROR(VLOOKUP($Q491,'391'!$P:$W,8,0),"")</f>
        <v>0</v>
      </c>
      <c r="S491" s="796"/>
      <c r="T491" s="787" t="str">
        <f>$Q$509&amp;C491&amp;E491</f>
        <v>Deproteinized Whey46001</v>
      </c>
      <c r="U491" s="797"/>
      <c r="V491" s="797"/>
      <c r="W491" s="802">
        <f>IFERROR(VLOOKUP($Q491,'391'!$P:$AG,15,0),0)</f>
        <v>0</v>
      </c>
      <c r="X491" s="799">
        <f t="shared" si="268"/>
        <v>0</v>
      </c>
      <c r="Y491" s="797"/>
      <c r="Z491" s="785"/>
      <c r="AA491" s="797"/>
      <c r="AB491" s="797"/>
      <c r="AC491" s="683"/>
      <c r="AD491" s="683"/>
      <c r="AE491" s="683"/>
      <c r="AF491" s="683"/>
      <c r="AG491" s="683"/>
      <c r="AH491" s="683"/>
      <c r="AI491" s="705"/>
      <c r="AJ491" s="705"/>
      <c r="AK491" s="705"/>
      <c r="AL491" s="705"/>
      <c r="AM491" s="705"/>
      <c r="AN491" s="705"/>
      <c r="AO491" s="705"/>
      <c r="AP491" s="705"/>
      <c r="AQ491" s="705"/>
      <c r="AR491" s="705"/>
      <c r="AS491" s="705"/>
    </row>
    <row r="492" spans="1:45" s="13" customFormat="1" ht="30" hidden="1" customHeight="1" x14ac:dyDescent="0.25">
      <c r="A492" s="2022"/>
      <c r="B492" s="2025"/>
      <c r="C492" s="127"/>
      <c r="D492" s="887" t="s">
        <v>10</v>
      </c>
      <c r="E492" s="888">
        <v>46002</v>
      </c>
      <c r="F492" s="359">
        <f t="shared" ref="F492:F493" si="305">$L$7-E492</f>
        <v>284</v>
      </c>
      <c r="G492" s="300">
        <v>0</v>
      </c>
      <c r="H492" s="1895"/>
      <c r="I492" s="300"/>
      <c r="J492" s="1300"/>
      <c r="K492" s="1379">
        <f>IFERROR(SUMIF(INTAKE!$A:$A,$T492,INTAKE!$P:$P),0)</f>
        <v>0</v>
      </c>
      <c r="L492" s="1669">
        <f t="shared" si="303"/>
        <v>0</v>
      </c>
      <c r="M492" s="48"/>
      <c r="N492" s="163"/>
      <c r="O492" s="373"/>
      <c r="P492" s="738"/>
      <c r="Q492" s="795"/>
      <c r="R492" s="785">
        <f>IFERROR(VLOOKUP($Q492,'391'!$P:$W,8,0),"")</f>
        <v>0</v>
      </c>
      <c r="S492" s="796"/>
      <c r="T492" s="787" t="str">
        <f t="shared" ref="T492:T506" si="306">$Q$509&amp;C492&amp;E492</f>
        <v>Deproteinized Whey46002</v>
      </c>
      <c r="U492" s="797"/>
      <c r="V492" s="797"/>
      <c r="W492" s="802">
        <f>IFERROR(VLOOKUP($Q492,'391'!$P:$AG,15,0),0)</f>
        <v>0</v>
      </c>
      <c r="X492" s="799">
        <f t="shared" si="268"/>
        <v>0</v>
      </c>
      <c r="Y492" s="797"/>
      <c r="Z492" s="785"/>
      <c r="AA492" s="797"/>
      <c r="AB492" s="797"/>
      <c r="AC492" s="683"/>
      <c r="AD492" s="683"/>
      <c r="AE492" s="683"/>
      <c r="AF492" s="683"/>
      <c r="AG492" s="683"/>
      <c r="AH492" s="683"/>
      <c r="AI492" s="705"/>
      <c r="AJ492" s="705"/>
      <c r="AK492" s="705"/>
      <c r="AL492" s="705"/>
      <c r="AM492" s="705"/>
      <c r="AN492" s="705"/>
      <c r="AO492" s="705"/>
      <c r="AP492" s="705"/>
      <c r="AQ492" s="705"/>
      <c r="AR492" s="705"/>
      <c r="AS492" s="705"/>
    </row>
    <row r="493" spans="1:45" s="13" customFormat="1" ht="30" hidden="1" customHeight="1" x14ac:dyDescent="0.25">
      <c r="A493" s="2022"/>
      <c r="B493" s="2025"/>
      <c r="C493" s="127"/>
      <c r="D493" s="887" t="s">
        <v>10</v>
      </c>
      <c r="E493" s="888">
        <v>46046</v>
      </c>
      <c r="F493" s="359">
        <f t="shared" si="305"/>
        <v>240</v>
      </c>
      <c r="G493" s="300">
        <v>0</v>
      </c>
      <c r="H493" s="300"/>
      <c r="I493" s="300"/>
      <c r="J493" s="1300"/>
      <c r="K493" s="1379">
        <f>IFERROR(SUMIF(INTAKE!$A:$A,$T493,INTAKE!$P:$P),0)</f>
        <v>0</v>
      </c>
      <c r="L493" s="1669">
        <f t="shared" si="303"/>
        <v>0</v>
      </c>
      <c r="M493" s="48"/>
      <c r="N493" s="163"/>
      <c r="O493" s="373"/>
      <c r="P493" s="738"/>
      <c r="Q493" s="795"/>
      <c r="R493" s="785">
        <f>IFERROR(VLOOKUP($Q493,'391'!$P:$W,8,0),"")</f>
        <v>0</v>
      </c>
      <c r="S493" s="796"/>
      <c r="T493" s="787" t="str">
        <f t="shared" si="306"/>
        <v>Deproteinized Whey46046</v>
      </c>
      <c r="U493" s="797"/>
      <c r="V493" s="797"/>
      <c r="W493" s="802">
        <f>IFERROR(VLOOKUP($Q493,'391'!$P:$AG,15,0),0)</f>
        <v>0</v>
      </c>
      <c r="X493" s="799">
        <f t="shared" si="268"/>
        <v>0</v>
      </c>
      <c r="Y493" s="797"/>
      <c r="Z493" s="785"/>
      <c r="AA493" s="797"/>
      <c r="AB493" s="797"/>
      <c r="AC493" s="683"/>
      <c r="AD493" s="683"/>
      <c r="AE493" s="683"/>
      <c r="AF493" s="683"/>
      <c r="AG493" s="683"/>
      <c r="AH493" s="683"/>
      <c r="AI493" s="705"/>
      <c r="AJ493" s="705"/>
      <c r="AK493" s="705"/>
      <c r="AL493" s="705"/>
      <c r="AM493" s="705"/>
      <c r="AN493" s="705"/>
      <c r="AO493" s="705"/>
      <c r="AP493" s="705"/>
      <c r="AQ493" s="705"/>
      <c r="AR493" s="705"/>
      <c r="AS493" s="705"/>
    </row>
    <row r="494" spans="1:45" s="13" customFormat="1" ht="30" hidden="1" customHeight="1" x14ac:dyDescent="0.25">
      <c r="A494" s="2022"/>
      <c r="B494" s="2025"/>
      <c r="C494" s="127"/>
      <c r="D494" s="887" t="s">
        <v>10</v>
      </c>
      <c r="E494" s="888">
        <v>46111</v>
      </c>
      <c r="F494" s="359">
        <f t="shared" ref="F494" si="307">$L$7-E494</f>
        <v>175</v>
      </c>
      <c r="G494" s="300">
        <v>0</v>
      </c>
      <c r="H494" s="300"/>
      <c r="I494" s="300"/>
      <c r="J494" s="1300"/>
      <c r="K494" s="1379">
        <f>IFERROR(SUMIF(INTAKE!$A:$A,$T494,INTAKE!$P:$P),0)</f>
        <v>0</v>
      </c>
      <c r="L494" s="1669">
        <f t="shared" ref="L494:L501" si="308">+G494+H494+I494-J494-K494</f>
        <v>0</v>
      </c>
      <c r="M494" s="48"/>
      <c r="N494" s="163"/>
      <c r="O494" s="373"/>
      <c r="P494" s="738"/>
      <c r="Q494" s="795"/>
      <c r="R494" s="785">
        <f>IFERROR(VLOOKUP($Q494,'391'!$P:$W,8,0),"")</f>
        <v>0</v>
      </c>
      <c r="S494" s="796"/>
      <c r="T494" s="787" t="str">
        <f t="shared" si="306"/>
        <v>Deproteinized Whey46111</v>
      </c>
      <c r="U494" s="797"/>
      <c r="V494" s="797"/>
      <c r="W494" s="802">
        <f>IFERROR(VLOOKUP($Q494,'391'!$P:$AG,15,0),0)</f>
        <v>0</v>
      </c>
      <c r="X494" s="799">
        <f t="shared" si="268"/>
        <v>0</v>
      </c>
      <c r="Y494" s="797"/>
      <c r="Z494" s="785"/>
      <c r="AA494" s="797"/>
      <c r="AB494" s="797"/>
      <c r="AC494" s="683"/>
      <c r="AD494" s="683"/>
      <c r="AE494" s="683"/>
      <c r="AF494" s="683"/>
      <c r="AG494" s="683"/>
      <c r="AH494" s="683"/>
      <c r="AI494" s="705"/>
      <c r="AJ494" s="705"/>
      <c r="AK494" s="705"/>
      <c r="AL494" s="705"/>
      <c r="AM494" s="705"/>
      <c r="AN494" s="705"/>
      <c r="AO494" s="705"/>
      <c r="AP494" s="705"/>
      <c r="AQ494" s="705"/>
      <c r="AR494" s="705"/>
      <c r="AS494" s="705"/>
    </row>
    <row r="495" spans="1:45" s="13" customFormat="1" ht="30" hidden="1" customHeight="1" x14ac:dyDescent="0.25">
      <c r="A495" s="2022"/>
      <c r="B495" s="2025"/>
      <c r="C495" s="127"/>
      <c r="D495" s="887" t="s">
        <v>10</v>
      </c>
      <c r="E495" s="888">
        <v>46112</v>
      </c>
      <c r="F495" s="359">
        <f t="shared" ref="F495:F505" si="309">$L$7-E495</f>
        <v>174</v>
      </c>
      <c r="G495" s="300">
        <v>0</v>
      </c>
      <c r="H495" s="300"/>
      <c r="I495" s="300"/>
      <c r="J495" s="1300"/>
      <c r="K495" s="1379">
        <f>IFERROR(SUMIF(INTAKE!$A:$A,$T495,INTAKE!$P:$P),0)</f>
        <v>0</v>
      </c>
      <c r="L495" s="1669">
        <f t="shared" si="308"/>
        <v>0</v>
      </c>
      <c r="M495" s="45"/>
      <c r="N495" s="162"/>
      <c r="O495" s="370"/>
      <c r="P495" s="736"/>
      <c r="Q495" s="795"/>
      <c r="R495" s="785">
        <f>IFERROR(VLOOKUP($Q495,'391'!$P:$W,8,0),"")</f>
        <v>0</v>
      </c>
      <c r="S495" s="796"/>
      <c r="T495" s="787" t="str">
        <f t="shared" si="306"/>
        <v>Deproteinized Whey46112</v>
      </c>
      <c r="U495" s="797"/>
      <c r="V495" s="797"/>
      <c r="W495" s="802">
        <f>IFERROR(VLOOKUP($Q495,'391'!$P:$AG,15,0),0)</f>
        <v>0</v>
      </c>
      <c r="X495" s="799">
        <f t="shared" si="268"/>
        <v>0</v>
      </c>
      <c r="Y495" s="797"/>
      <c r="Z495" s="785"/>
      <c r="AA495" s="797"/>
      <c r="AB495" s="797"/>
      <c r="AC495" s="683"/>
      <c r="AD495" s="683"/>
      <c r="AE495" s="683"/>
      <c r="AF495" s="683"/>
      <c r="AG495" s="683"/>
      <c r="AH495" s="683"/>
      <c r="AI495" s="705"/>
      <c r="AJ495" s="705"/>
      <c r="AK495" s="705"/>
      <c r="AL495" s="705"/>
      <c r="AM495" s="705"/>
      <c r="AN495" s="705"/>
      <c r="AO495" s="705"/>
      <c r="AP495" s="705"/>
      <c r="AQ495" s="705"/>
      <c r="AR495" s="705"/>
      <c r="AS495" s="705"/>
    </row>
    <row r="496" spans="1:45" s="13" customFormat="1" ht="30" hidden="1" customHeight="1" x14ac:dyDescent="0.25">
      <c r="A496" s="2022"/>
      <c r="B496" s="2025"/>
      <c r="C496" s="127"/>
      <c r="D496" s="887" t="s">
        <v>10</v>
      </c>
      <c r="E496" s="888">
        <v>46113</v>
      </c>
      <c r="F496" s="359">
        <f t="shared" si="309"/>
        <v>173</v>
      </c>
      <c r="G496" s="300">
        <v>0</v>
      </c>
      <c r="H496" s="300"/>
      <c r="I496" s="300"/>
      <c r="J496" s="1300"/>
      <c r="K496" s="1379">
        <f>IFERROR(SUMIF(INTAKE!$A:$A,$T496,INTAKE!$P:$P),0)</f>
        <v>0</v>
      </c>
      <c r="L496" s="1669">
        <f t="shared" si="308"/>
        <v>0</v>
      </c>
      <c r="M496" s="45"/>
      <c r="N496" s="162"/>
      <c r="O496" s="370"/>
      <c r="P496" s="736"/>
      <c r="Q496" s="795"/>
      <c r="R496" s="785">
        <f>IFERROR(VLOOKUP($Q496,'391'!$P:$W,8,0),"")</f>
        <v>0</v>
      </c>
      <c r="S496" s="796"/>
      <c r="T496" s="787" t="str">
        <f t="shared" si="306"/>
        <v>Deproteinized Whey46113</v>
      </c>
      <c r="U496" s="797"/>
      <c r="V496" s="797"/>
      <c r="W496" s="802">
        <f>IFERROR(VLOOKUP($Q496,'391'!$P:$AG,15,0),0)</f>
        <v>0</v>
      </c>
      <c r="X496" s="799">
        <f t="shared" si="268"/>
        <v>0</v>
      </c>
      <c r="Y496" s="797"/>
      <c r="Z496" s="785"/>
      <c r="AA496" s="797"/>
      <c r="AB496" s="797"/>
      <c r="AC496" s="1940"/>
      <c r="AD496" s="683"/>
      <c r="AE496" s="683"/>
      <c r="AF496" s="683"/>
      <c r="AG496" s="683"/>
      <c r="AH496" s="683"/>
      <c r="AI496" s="705"/>
      <c r="AJ496" s="705"/>
      <c r="AK496" s="705"/>
      <c r="AL496" s="705"/>
      <c r="AM496" s="705"/>
      <c r="AN496" s="705"/>
      <c r="AO496" s="705"/>
      <c r="AP496" s="705"/>
      <c r="AQ496" s="705"/>
      <c r="AR496" s="705"/>
      <c r="AS496" s="705"/>
    </row>
    <row r="497" spans="1:45" s="13" customFormat="1" ht="28.5" hidden="1" customHeight="1" x14ac:dyDescent="0.25">
      <c r="A497" s="2022"/>
      <c r="B497" s="2025"/>
      <c r="C497" s="127"/>
      <c r="D497" s="887" t="s">
        <v>10</v>
      </c>
      <c r="E497" s="888">
        <v>46146</v>
      </c>
      <c r="F497" s="359">
        <f t="shared" si="309"/>
        <v>140</v>
      </c>
      <c r="G497" s="300">
        <v>0</v>
      </c>
      <c r="H497" s="300"/>
      <c r="I497" s="300"/>
      <c r="J497" s="1300"/>
      <c r="K497" s="1379">
        <f>IFERROR(SUMIF(INTAKE!$A:$A,$T497,INTAKE!$P:$P),0)</f>
        <v>0</v>
      </c>
      <c r="L497" s="1669">
        <f t="shared" si="308"/>
        <v>0</v>
      </c>
      <c r="M497" s="45"/>
      <c r="N497" s="162"/>
      <c r="O497" s="370"/>
      <c r="P497" s="736"/>
      <c r="Q497" s="795"/>
      <c r="R497" s="785">
        <f>IFERROR(VLOOKUP($Q497,'391'!$P:$W,8,0),"")</f>
        <v>0</v>
      </c>
      <c r="S497" s="796"/>
      <c r="T497" s="787" t="str">
        <f t="shared" si="306"/>
        <v>Deproteinized Whey46146</v>
      </c>
      <c r="U497" s="797"/>
      <c r="V497" s="797"/>
      <c r="W497" s="802">
        <f>IFERROR(VLOOKUP($Q497,'391'!$P:$AG,15,0),0)</f>
        <v>0</v>
      </c>
      <c r="X497" s="799">
        <f t="shared" si="268"/>
        <v>0</v>
      </c>
      <c r="Y497" s="797"/>
      <c r="Z497" s="785"/>
      <c r="AA497" s="797"/>
      <c r="AB497" s="797"/>
      <c r="AC497" s="683"/>
      <c r="AD497" s="683"/>
      <c r="AE497" s="683"/>
      <c r="AF497" s="683"/>
      <c r="AG497" s="683"/>
      <c r="AH497" s="683"/>
      <c r="AI497" s="705"/>
      <c r="AJ497" s="705"/>
      <c r="AK497" s="705"/>
      <c r="AL497" s="705"/>
      <c r="AM497" s="705"/>
      <c r="AN497" s="705"/>
      <c r="AO497" s="705"/>
      <c r="AP497" s="705"/>
      <c r="AQ497" s="705"/>
      <c r="AR497" s="705"/>
      <c r="AS497" s="705"/>
    </row>
    <row r="498" spans="1:45" s="13" customFormat="1" ht="26.25" hidden="1" customHeight="1" x14ac:dyDescent="0.25">
      <c r="A498" s="2022"/>
      <c r="B498" s="2025"/>
      <c r="C498" s="127"/>
      <c r="D498" s="887" t="s">
        <v>10</v>
      </c>
      <c r="E498" s="888">
        <v>46226</v>
      </c>
      <c r="F498" s="359">
        <f t="shared" ref="F498:F502" si="310">$L$7-E498</f>
        <v>60</v>
      </c>
      <c r="G498" s="300">
        <v>0</v>
      </c>
      <c r="H498" s="300"/>
      <c r="I498" s="300"/>
      <c r="J498" s="1300"/>
      <c r="K498" s="12">
        <f>IFERROR(SUMIF(INTAKE!$A:$A,$T498,INTAKE!$P:$P),0)</f>
        <v>0</v>
      </c>
      <c r="L498" s="1669">
        <f t="shared" si="308"/>
        <v>0</v>
      </c>
      <c r="M498" s="45"/>
      <c r="N498" s="162"/>
      <c r="O498" s="370"/>
      <c r="P498" s="736"/>
      <c r="Q498" s="795"/>
      <c r="R498" s="785">
        <f>IFERROR(VLOOKUP($Q498,'391'!$P:$W,8,0),"")</f>
        <v>0</v>
      </c>
      <c r="S498" s="796"/>
      <c r="T498" s="787" t="str">
        <f t="shared" si="306"/>
        <v>Deproteinized Whey46226</v>
      </c>
      <c r="U498" s="797"/>
      <c r="V498" s="797"/>
      <c r="W498" s="802">
        <f>IFERROR(VLOOKUP($Q498,'391'!$P:$AG,15,0),0)</f>
        <v>0</v>
      </c>
      <c r="X498" s="799">
        <f t="shared" si="268"/>
        <v>0</v>
      </c>
      <c r="Y498" s="797"/>
      <c r="Z498" s="785"/>
      <c r="AA498" s="797"/>
      <c r="AB498" s="797"/>
      <c r="AC498" s="683"/>
      <c r="AD498" s="683"/>
      <c r="AE498" s="683"/>
      <c r="AF498" s="683"/>
      <c r="AG498" s="683"/>
      <c r="AH498" s="683"/>
      <c r="AI498" s="705"/>
      <c r="AJ498" s="705"/>
      <c r="AK498" s="705"/>
      <c r="AL498" s="705"/>
      <c r="AM498" s="705"/>
      <c r="AN498" s="705"/>
      <c r="AO498" s="705"/>
      <c r="AP498" s="705"/>
      <c r="AQ498" s="705"/>
      <c r="AR498" s="705"/>
      <c r="AS498" s="705"/>
    </row>
    <row r="499" spans="1:45" s="13" customFormat="1" ht="29.1" customHeight="1" x14ac:dyDescent="0.25">
      <c r="A499" s="2022"/>
      <c r="B499" s="2025"/>
      <c r="C499" s="127" t="s">
        <v>1548</v>
      </c>
      <c r="D499" s="887" t="s">
        <v>10</v>
      </c>
      <c r="E499" s="888">
        <v>46256</v>
      </c>
      <c r="F499" s="359">
        <f t="shared" ref="F499:F501" si="311">$L$7-E499</f>
        <v>30</v>
      </c>
      <c r="G499" s="300">
        <v>50000</v>
      </c>
      <c r="H499" s="300"/>
      <c r="I499" s="300"/>
      <c r="J499" s="1300"/>
      <c r="K499" s="12">
        <f>IFERROR(SUMIF(INTAKE!$A:$A,$T499,INTAKE!$P:$P),0)</f>
        <v>5000</v>
      </c>
      <c r="L499" s="1669">
        <f t="shared" si="308"/>
        <v>45000</v>
      </c>
      <c r="M499" s="45"/>
      <c r="N499" s="162"/>
      <c r="O499" s="370"/>
      <c r="P499" s="736"/>
      <c r="Q499" s="795"/>
      <c r="R499" s="785">
        <f>IFERROR(VLOOKUP($Q499,'391'!$P:$W,8,0),"")</f>
        <v>0</v>
      </c>
      <c r="S499" s="796"/>
      <c r="T499" s="787" t="str">
        <f t="shared" si="306"/>
        <v>Deproteinized WheyB14.246256</v>
      </c>
      <c r="U499" s="797"/>
      <c r="V499" s="797"/>
      <c r="W499" s="802">
        <f>IFERROR(VLOOKUP($Q499,'391'!$P:$AG,15,0),0)</f>
        <v>0</v>
      </c>
      <c r="X499" s="799">
        <f t="shared" si="268"/>
        <v>50000</v>
      </c>
      <c r="Y499" s="797"/>
      <c r="Z499" s="785"/>
      <c r="AA499" s="797"/>
      <c r="AB499" s="797"/>
      <c r="AC499" s="683"/>
      <c r="AD499" s="683"/>
      <c r="AE499" s="683"/>
      <c r="AF499" s="683"/>
      <c r="AG499" s="683"/>
      <c r="AH499" s="683"/>
      <c r="AI499" s="705"/>
      <c r="AJ499" s="705"/>
      <c r="AK499" s="705"/>
      <c r="AL499" s="705"/>
      <c r="AM499" s="705"/>
      <c r="AN499" s="705"/>
      <c r="AO499" s="705"/>
      <c r="AP499" s="705"/>
      <c r="AQ499" s="705"/>
      <c r="AR499" s="705"/>
      <c r="AS499" s="705"/>
    </row>
    <row r="500" spans="1:45" s="13" customFormat="1" ht="29.1" customHeight="1" x14ac:dyDescent="0.25">
      <c r="A500" s="2022"/>
      <c r="B500" s="2108"/>
      <c r="C500" s="127" t="s">
        <v>2255</v>
      </c>
      <c r="D500" s="887" t="s">
        <v>10</v>
      </c>
      <c r="E500" s="888">
        <v>46284</v>
      </c>
      <c r="F500" s="359">
        <f t="shared" si="311"/>
        <v>2</v>
      </c>
      <c r="G500" s="300">
        <v>37500</v>
      </c>
      <c r="H500" s="300"/>
      <c r="I500" s="300"/>
      <c r="J500" s="1300"/>
      <c r="K500" s="300"/>
      <c r="L500" s="1669">
        <f t="shared" si="308"/>
        <v>37500</v>
      </c>
      <c r="M500" s="45"/>
      <c r="N500" s="162"/>
      <c r="O500" s="370"/>
      <c r="P500" s="736"/>
      <c r="Q500" s="795"/>
      <c r="R500" s="785"/>
      <c r="S500" s="796"/>
      <c r="T500" s="787" t="str">
        <f t="shared" si="306"/>
        <v>Deproteinized WheyC746284</v>
      </c>
      <c r="U500" s="797"/>
      <c r="V500" s="797"/>
      <c r="W500" s="802">
        <f>IFERROR(VLOOKUP($Q500,'391'!$P:$AG,15,0),0)</f>
        <v>0</v>
      </c>
      <c r="X500" s="799">
        <f t="shared" si="268"/>
        <v>37500</v>
      </c>
      <c r="Y500" s="797"/>
      <c r="Z500" s="785"/>
      <c r="AA500" s="797"/>
      <c r="AB500" s="797"/>
      <c r="AC500" s="683"/>
      <c r="AD500" s="683"/>
      <c r="AE500" s="683"/>
      <c r="AF500" s="683"/>
      <c r="AG500" s="683"/>
      <c r="AH500" s="683"/>
      <c r="AI500" s="705"/>
      <c r="AJ500" s="705"/>
      <c r="AK500" s="705"/>
      <c r="AL500" s="705"/>
      <c r="AM500" s="705"/>
      <c r="AN500" s="705"/>
      <c r="AO500" s="705"/>
      <c r="AP500" s="705"/>
      <c r="AQ500" s="705"/>
      <c r="AR500" s="705"/>
      <c r="AS500" s="705"/>
    </row>
    <row r="501" spans="1:45" s="13" customFormat="1" ht="29.1" customHeight="1" x14ac:dyDescent="0.25">
      <c r="A501" s="2022"/>
      <c r="B501" s="2108"/>
      <c r="C501" s="127" t="s">
        <v>624</v>
      </c>
      <c r="D501" s="887" t="s">
        <v>10</v>
      </c>
      <c r="E501" s="888">
        <v>46284</v>
      </c>
      <c r="F501" s="359">
        <f t="shared" si="311"/>
        <v>2</v>
      </c>
      <c r="G501" s="300">
        <v>22500</v>
      </c>
      <c r="H501" s="300"/>
      <c r="I501" s="300"/>
      <c r="J501" s="1300"/>
      <c r="K501" s="300"/>
      <c r="L501" s="1669">
        <f t="shared" si="308"/>
        <v>22500</v>
      </c>
      <c r="M501" s="45"/>
      <c r="N501" s="162"/>
      <c r="O501" s="370"/>
      <c r="P501" s="736"/>
      <c r="Q501" s="795"/>
      <c r="R501" s="785"/>
      <c r="S501" s="796"/>
      <c r="T501" s="787" t="str">
        <f t="shared" si="306"/>
        <v>Deproteinized WheyC646284</v>
      </c>
      <c r="U501" s="797"/>
      <c r="V501" s="797"/>
      <c r="W501" s="802">
        <f>IFERROR(VLOOKUP($Q501,'391'!$P:$AG,15,0),0)</f>
        <v>0</v>
      </c>
      <c r="X501" s="799">
        <f t="shared" ref="X501:X534" si="312">G501-W501</f>
        <v>22500</v>
      </c>
      <c r="Y501" s="797"/>
      <c r="Z501" s="785"/>
      <c r="AA501" s="797"/>
      <c r="AB501" s="797"/>
      <c r="AC501" s="683"/>
      <c r="AD501" s="683"/>
      <c r="AE501" s="683"/>
      <c r="AF501" s="683"/>
      <c r="AG501" s="683"/>
      <c r="AH501" s="683"/>
      <c r="AI501" s="705"/>
      <c r="AJ501" s="705"/>
      <c r="AK501" s="705"/>
      <c r="AL501" s="705"/>
      <c r="AM501" s="705"/>
      <c r="AN501" s="705"/>
      <c r="AO501" s="705"/>
      <c r="AP501" s="705"/>
      <c r="AQ501" s="705"/>
      <c r="AR501" s="705"/>
      <c r="AS501" s="705"/>
    </row>
    <row r="502" spans="1:45" s="13" customFormat="1" ht="29.1" customHeight="1" x14ac:dyDescent="0.25">
      <c r="A502" s="2022"/>
      <c r="B502" s="2108"/>
      <c r="C502" s="127" t="s">
        <v>624</v>
      </c>
      <c r="D502" s="887" t="s">
        <v>10</v>
      </c>
      <c r="E502" s="888">
        <v>46286</v>
      </c>
      <c r="F502" s="359">
        <f t="shared" si="310"/>
        <v>0</v>
      </c>
      <c r="G502" s="300"/>
      <c r="H502" s="300">
        <v>15000</v>
      </c>
      <c r="I502" s="300"/>
      <c r="J502" s="1300"/>
      <c r="K502" s="300"/>
      <c r="L502" s="1669">
        <f t="shared" si="303"/>
        <v>15000</v>
      </c>
      <c r="M502" s="45"/>
      <c r="N502" s="162"/>
      <c r="O502" s="370"/>
      <c r="P502" s="736"/>
      <c r="Q502" s="795"/>
      <c r="R502" s="785"/>
      <c r="S502" s="796"/>
      <c r="T502" s="787" t="str">
        <f t="shared" si="306"/>
        <v>Deproteinized WheyC646286</v>
      </c>
      <c r="U502" s="797"/>
      <c r="V502" s="797"/>
      <c r="W502" s="802">
        <f>IFERROR(VLOOKUP($Q502,'391'!$P:$AG,15,0),0)</f>
        <v>0</v>
      </c>
      <c r="X502" s="799">
        <f t="shared" si="312"/>
        <v>0</v>
      </c>
      <c r="Y502" s="797"/>
      <c r="Z502" s="785"/>
      <c r="AA502" s="797"/>
      <c r="AB502" s="797"/>
      <c r="AC502" s="683"/>
      <c r="AD502" s="683"/>
      <c r="AE502" s="683"/>
      <c r="AF502" s="683"/>
      <c r="AG502" s="683"/>
      <c r="AH502" s="683"/>
      <c r="AI502" s="705"/>
      <c r="AJ502" s="705"/>
      <c r="AK502" s="705"/>
      <c r="AL502" s="705"/>
      <c r="AM502" s="705"/>
      <c r="AN502" s="705"/>
      <c r="AO502" s="705"/>
      <c r="AP502" s="705"/>
      <c r="AQ502" s="705"/>
      <c r="AR502" s="705"/>
      <c r="AS502" s="705"/>
    </row>
    <row r="503" spans="1:45" s="13" customFormat="1" ht="29.1" customHeight="1" x14ac:dyDescent="0.25">
      <c r="A503" s="2022"/>
      <c r="B503" s="2025"/>
      <c r="C503" s="127" t="s">
        <v>2443</v>
      </c>
      <c r="D503" s="887" t="s">
        <v>10</v>
      </c>
      <c r="E503" s="888">
        <v>46286</v>
      </c>
      <c r="F503" s="359">
        <f t="shared" si="309"/>
        <v>0</v>
      </c>
      <c r="G503" s="300">
        <v>0</v>
      </c>
      <c r="H503" s="300">
        <v>25000</v>
      </c>
      <c r="I503" s="300"/>
      <c r="J503" s="1300"/>
      <c r="K503" s="300"/>
      <c r="L503" s="1669">
        <f t="shared" si="303"/>
        <v>25000</v>
      </c>
      <c r="M503" s="45"/>
      <c r="N503" s="162"/>
      <c r="O503" s="370"/>
      <c r="P503" s="736"/>
      <c r="Q503" s="795"/>
      <c r="R503" s="785">
        <f>IFERROR(VLOOKUP($Q503,'391'!$P:$W,8,0),"")</f>
        <v>0</v>
      </c>
      <c r="S503" s="796"/>
      <c r="T503" s="787" t="str">
        <f t="shared" si="306"/>
        <v>Deproteinized WheyC546286</v>
      </c>
      <c r="U503" s="797"/>
      <c r="V503" s="797"/>
      <c r="W503" s="802">
        <f>IFERROR(VLOOKUP($Q503,'391'!$P:$AG,15,0),0)</f>
        <v>0</v>
      </c>
      <c r="X503" s="799">
        <f t="shared" si="312"/>
        <v>0</v>
      </c>
      <c r="Y503" s="797"/>
      <c r="Z503" s="785"/>
      <c r="AA503" s="797"/>
      <c r="AB503" s="797"/>
      <c r="AC503" s="683"/>
      <c r="AD503" s="683"/>
      <c r="AE503" s="683"/>
      <c r="AF503" s="683"/>
      <c r="AG503" s="683"/>
      <c r="AH503" s="683"/>
      <c r="AI503" s="705"/>
      <c r="AJ503" s="705"/>
      <c r="AK503" s="705"/>
      <c r="AL503" s="705"/>
      <c r="AM503" s="705"/>
      <c r="AN503" s="705"/>
      <c r="AO503" s="705"/>
      <c r="AP503" s="705"/>
      <c r="AQ503" s="705"/>
      <c r="AR503" s="705"/>
      <c r="AS503" s="705"/>
    </row>
    <row r="504" spans="1:45" s="13" customFormat="1" ht="29.1" hidden="1" customHeight="1" x14ac:dyDescent="0.25">
      <c r="A504" s="2022"/>
      <c r="B504" s="2107"/>
      <c r="C504" s="127"/>
      <c r="D504" s="887" t="s">
        <v>10</v>
      </c>
      <c r="E504" s="888">
        <v>46235</v>
      </c>
      <c r="F504" s="359">
        <f t="shared" ref="F504" si="313">$L$7-E504</f>
        <v>51</v>
      </c>
      <c r="G504" s="300">
        <v>0</v>
      </c>
      <c r="H504" s="300"/>
      <c r="I504" s="300"/>
      <c r="J504" s="1300"/>
      <c r="K504" s="300"/>
      <c r="L504" s="1669">
        <f t="shared" si="303"/>
        <v>0</v>
      </c>
      <c r="M504" s="45"/>
      <c r="N504" s="162"/>
      <c r="O504" s="370"/>
      <c r="P504" s="736"/>
      <c r="Q504" s="795"/>
      <c r="R504" s="785"/>
      <c r="S504" s="796"/>
      <c r="T504" s="787" t="str">
        <f t="shared" si="306"/>
        <v>Deproteinized Whey46235</v>
      </c>
      <c r="U504" s="797"/>
      <c r="V504" s="797"/>
      <c r="W504" s="802">
        <f>IFERROR(VLOOKUP($Q504,'391'!$P:$AG,15,0),0)</f>
        <v>0</v>
      </c>
      <c r="X504" s="799">
        <f t="shared" si="312"/>
        <v>0</v>
      </c>
      <c r="Y504" s="797"/>
      <c r="Z504" s="785"/>
      <c r="AA504" s="797"/>
      <c r="AB504" s="797"/>
      <c r="AC504" s="683"/>
      <c r="AD504" s="683"/>
      <c r="AE504" s="683"/>
      <c r="AF504" s="683"/>
      <c r="AG504" s="683"/>
      <c r="AH504" s="683"/>
      <c r="AI504" s="705"/>
      <c r="AJ504" s="705"/>
      <c r="AK504" s="705"/>
      <c r="AL504" s="705"/>
      <c r="AM504" s="705"/>
      <c r="AN504" s="705"/>
      <c r="AO504" s="705"/>
      <c r="AP504" s="705"/>
      <c r="AQ504" s="705"/>
      <c r="AR504" s="705"/>
      <c r="AS504" s="705"/>
    </row>
    <row r="505" spans="1:45" s="13" customFormat="1" ht="29.1" hidden="1" customHeight="1" x14ac:dyDescent="0.25">
      <c r="A505" s="2022"/>
      <c r="B505" s="2107"/>
      <c r="C505" s="127"/>
      <c r="D505" s="887" t="s">
        <v>10</v>
      </c>
      <c r="E505" s="888">
        <v>46207</v>
      </c>
      <c r="F505" s="359">
        <f t="shared" si="309"/>
        <v>79</v>
      </c>
      <c r="G505" s="300">
        <v>0</v>
      </c>
      <c r="H505" s="300"/>
      <c r="I505" s="300"/>
      <c r="J505" s="1300"/>
      <c r="K505" s="300"/>
      <c r="L505" s="1669">
        <f t="shared" si="303"/>
        <v>0</v>
      </c>
      <c r="M505" s="45"/>
      <c r="N505" s="162"/>
      <c r="O505" s="370"/>
      <c r="P505" s="736"/>
      <c r="Q505" s="795"/>
      <c r="R505" s="785"/>
      <c r="S505" s="796"/>
      <c r="T505" s="797" t="str">
        <f t="shared" si="306"/>
        <v>Deproteinized Whey46207</v>
      </c>
      <c r="U505" s="797"/>
      <c r="V505" s="797"/>
      <c r="W505" s="802">
        <f>IFERROR(VLOOKUP($Q505,'391'!$P:$AG,15,0),0)</f>
        <v>0</v>
      </c>
      <c r="X505" s="799">
        <f t="shared" si="312"/>
        <v>0</v>
      </c>
      <c r="Y505" s="797"/>
      <c r="Z505" s="785"/>
      <c r="AA505" s="797"/>
      <c r="AB505" s="797"/>
      <c r="AC505" s="683"/>
      <c r="AD505" s="683"/>
      <c r="AE505" s="683"/>
      <c r="AF505" s="683"/>
      <c r="AG505" s="683"/>
      <c r="AH505" s="683"/>
      <c r="AI505" s="705"/>
      <c r="AJ505" s="705"/>
      <c r="AK505" s="705"/>
      <c r="AL505" s="705"/>
      <c r="AM505" s="705"/>
      <c r="AN505" s="705"/>
      <c r="AO505" s="705"/>
      <c r="AP505" s="705"/>
      <c r="AQ505" s="705"/>
      <c r="AR505" s="705"/>
      <c r="AS505" s="705"/>
    </row>
    <row r="506" spans="1:45" s="13" customFormat="1" ht="29.1" hidden="1" customHeight="1" x14ac:dyDescent="0.25">
      <c r="A506" s="2022"/>
      <c r="B506" s="2108"/>
      <c r="C506" s="127"/>
      <c r="D506" s="887" t="s">
        <v>10</v>
      </c>
      <c r="E506" s="888">
        <v>46186</v>
      </c>
      <c r="F506" s="359">
        <f t="shared" si="302"/>
        <v>100</v>
      </c>
      <c r="G506" s="300">
        <v>0</v>
      </c>
      <c r="H506" s="300"/>
      <c r="I506" s="300"/>
      <c r="J506" s="1300"/>
      <c r="K506" s="300"/>
      <c r="L506" s="1669">
        <f t="shared" si="303"/>
        <v>0</v>
      </c>
      <c r="M506" s="45"/>
      <c r="N506" s="162"/>
      <c r="O506" s="370"/>
      <c r="P506" s="736"/>
      <c r="Q506" s="795"/>
      <c r="R506" s="785"/>
      <c r="S506" s="796"/>
      <c r="T506" s="797" t="str">
        <f t="shared" si="306"/>
        <v>Deproteinized Whey46186</v>
      </c>
      <c r="U506" s="797"/>
      <c r="V506" s="797"/>
      <c r="W506" s="802">
        <f>IFERROR(VLOOKUP($Q506,'391'!$P:$AG,15,0),0)</f>
        <v>0</v>
      </c>
      <c r="X506" s="799">
        <f t="shared" si="312"/>
        <v>0</v>
      </c>
      <c r="Y506" s="797"/>
      <c r="Z506" s="785"/>
      <c r="AA506" s="797"/>
      <c r="AB506" s="797"/>
      <c r="AC506" s="683"/>
      <c r="AD506" s="683"/>
      <c r="AE506" s="683"/>
      <c r="AF506" s="683"/>
      <c r="AG506" s="683"/>
      <c r="AH506" s="683"/>
      <c r="AI506" s="705"/>
      <c r="AJ506" s="705"/>
      <c r="AK506" s="705"/>
      <c r="AL506" s="705"/>
      <c r="AM506" s="705"/>
      <c r="AN506" s="705"/>
      <c r="AO506" s="705"/>
      <c r="AP506" s="705"/>
      <c r="AQ506" s="705"/>
      <c r="AR506" s="705"/>
      <c r="AS506" s="705"/>
    </row>
    <row r="507" spans="1:45" s="13" customFormat="1" ht="29.1" hidden="1" customHeight="1" x14ac:dyDescent="0.25">
      <c r="A507" s="2022"/>
      <c r="B507" s="2108"/>
      <c r="C507" s="127"/>
      <c r="D507" s="887" t="s">
        <v>10</v>
      </c>
      <c r="E507" s="888">
        <v>45934</v>
      </c>
      <c r="F507" s="359">
        <f t="shared" ref="F507" si="314">$L$7-E507</f>
        <v>352</v>
      </c>
      <c r="G507" s="300">
        <v>0</v>
      </c>
      <c r="H507" s="300"/>
      <c r="I507" s="300"/>
      <c r="J507" s="1300"/>
      <c r="K507" s="300"/>
      <c r="L507" s="1669">
        <f t="shared" ref="L507" si="315">+G507+H507+I507-J507-K507</f>
        <v>0</v>
      </c>
      <c r="M507" s="45"/>
      <c r="N507" s="162"/>
      <c r="O507" s="370"/>
      <c r="P507" s="736"/>
      <c r="Q507" s="795"/>
      <c r="R507" s="785"/>
      <c r="S507" s="796"/>
      <c r="T507" s="797"/>
      <c r="U507" s="797"/>
      <c r="V507" s="797"/>
      <c r="W507" s="802">
        <f>IFERROR(VLOOKUP($Q507,'391'!$P:$AG,15,0),0)</f>
        <v>0</v>
      </c>
      <c r="X507" s="799">
        <f t="shared" ref="X507" si="316">G507-W507</f>
        <v>0</v>
      </c>
      <c r="Y507" s="797"/>
      <c r="Z507" s="785"/>
      <c r="AA507" s="797"/>
      <c r="AB507" s="797"/>
      <c r="AC507" s="683"/>
      <c r="AD507" s="683"/>
      <c r="AE507" s="683"/>
      <c r="AF507" s="683"/>
      <c r="AG507" s="683"/>
      <c r="AH507" s="683"/>
      <c r="AI507" s="705"/>
      <c r="AJ507" s="705"/>
      <c r="AK507" s="705"/>
      <c r="AL507" s="705"/>
      <c r="AM507" s="705"/>
      <c r="AN507" s="705"/>
      <c r="AO507" s="705"/>
      <c r="AP507" s="705"/>
      <c r="AQ507" s="705"/>
      <c r="AR507" s="705"/>
      <c r="AS507" s="705"/>
    </row>
    <row r="508" spans="1:45" s="13" customFormat="1" ht="29.1" customHeight="1" x14ac:dyDescent="0.25">
      <c r="A508" s="2022"/>
      <c r="B508" s="2025"/>
      <c r="C508" s="132" t="s">
        <v>1664</v>
      </c>
      <c r="D508" s="852" t="s">
        <v>10</v>
      </c>
      <c r="E508" s="853">
        <v>46256</v>
      </c>
      <c r="F508" s="856">
        <f t="shared" ref="F508" si="317">$L$7-E508</f>
        <v>30</v>
      </c>
      <c r="G508" s="296">
        <v>39551</v>
      </c>
      <c r="H508" s="18"/>
      <c r="I508" s="296">
        <f>+SUM(K490:K505)</f>
        <v>5000</v>
      </c>
      <c r="J508" s="1295">
        <f>usage!I48</f>
        <v>2800</v>
      </c>
      <c r="K508" s="300"/>
      <c r="L508" s="531">
        <f t="shared" si="303"/>
        <v>41751</v>
      </c>
      <c r="M508" s="45"/>
      <c r="N508" s="162"/>
      <c r="O508" s="370"/>
      <c r="P508" s="740"/>
      <c r="Q508" s="795"/>
      <c r="R508" s="785">
        <f>IFERROR(VLOOKUP($Q508,'391'!$P:$W,8,0),"")</f>
        <v>0</v>
      </c>
      <c r="S508" s="796"/>
      <c r="T508" s="797"/>
      <c r="U508" s="797"/>
      <c r="V508" s="797"/>
      <c r="W508" s="802">
        <f>IFERROR(VLOOKUP($Q508,'391'!$P:$AG,15,0),0)</f>
        <v>0</v>
      </c>
      <c r="X508" s="799">
        <f t="shared" si="312"/>
        <v>39551</v>
      </c>
      <c r="Y508" s="797"/>
      <c r="Z508" s="785"/>
      <c r="AA508" s="797"/>
      <c r="AB508" s="797"/>
      <c r="AC508" s="683"/>
      <c r="AD508" s="683"/>
      <c r="AE508" s="683"/>
      <c r="AF508" s="683"/>
      <c r="AG508" s="683"/>
      <c r="AH508" s="683"/>
      <c r="AI508" s="705"/>
      <c r="AJ508" s="705"/>
      <c r="AK508" s="705"/>
      <c r="AL508" s="705"/>
      <c r="AM508" s="705"/>
      <c r="AN508" s="705"/>
      <c r="AO508" s="705"/>
      <c r="AP508" s="705"/>
      <c r="AQ508" s="705"/>
      <c r="AR508" s="705"/>
      <c r="AS508" s="705"/>
    </row>
    <row r="509" spans="1:45" s="402" customFormat="1" ht="30" customHeight="1" x14ac:dyDescent="0.25">
      <c r="A509" s="2019" t="s">
        <v>114</v>
      </c>
      <c r="B509" s="2020"/>
      <c r="C509" s="88"/>
      <c r="D509" s="864"/>
      <c r="E509" s="864"/>
      <c r="F509" s="865"/>
      <c r="G509" s="1296">
        <v>149551</v>
      </c>
      <c r="H509" s="1296">
        <f t="shared" ref="H509:L509" si="318">SUM(H490:H508)</f>
        <v>40000</v>
      </c>
      <c r="I509" s="1296">
        <f t="shared" si="318"/>
        <v>5000</v>
      </c>
      <c r="J509" s="1296">
        <f t="shared" si="318"/>
        <v>2800</v>
      </c>
      <c r="K509" s="1296">
        <f t="shared" si="318"/>
        <v>5000</v>
      </c>
      <c r="L509" s="1296">
        <f t="shared" si="318"/>
        <v>186751</v>
      </c>
      <c r="M509" s="889">
        <f>IFERROR((R509/$S$2),"")</f>
        <v>8730.3333333333339</v>
      </c>
      <c r="N509" s="854">
        <f>IFERROR(L509/M509,0)</f>
        <v>21.391050360810965</v>
      </c>
      <c r="O509" s="59">
        <f>IFERROR(SUMIF(ETM!$A:$A,$Q509,ETM!$E:$E),"")</f>
        <v>7194.8333333333321</v>
      </c>
      <c r="P509" s="880">
        <f>(L509/O509)</f>
        <v>25.956264912321345</v>
      </c>
      <c r="Q509" s="795" t="s">
        <v>39</v>
      </c>
      <c r="R509" s="785">
        <f>IFERROR(VLOOKUP($Q509,'391'!$S:$Z,8,0),"")</f>
        <v>52382</v>
      </c>
      <c r="S509" s="796"/>
      <c r="T509" s="797"/>
      <c r="U509" s="797"/>
      <c r="V509" s="797"/>
      <c r="W509" s="802">
        <f>IFERROR(VLOOKUP($Q509,'391'!$P:$AG,15,0),0)</f>
        <v>0</v>
      </c>
      <c r="X509" s="799">
        <f t="shared" si="312"/>
        <v>149551</v>
      </c>
      <c r="Y509" s="797"/>
      <c r="Z509" s="785"/>
      <c r="AA509" s="797"/>
      <c r="AB509" s="797"/>
      <c r="AC509" s="551"/>
      <c r="AD509" s="551"/>
      <c r="AE509" s="551"/>
      <c r="AF509" s="551"/>
      <c r="AG509" s="551"/>
      <c r="AH509" s="551"/>
      <c r="AI509" s="704"/>
      <c r="AJ509" s="704"/>
      <c r="AK509" s="704"/>
      <c r="AL509" s="704"/>
      <c r="AM509" s="704"/>
      <c r="AN509" s="704"/>
      <c r="AO509" s="704"/>
      <c r="AP509" s="704"/>
      <c r="AQ509" s="704"/>
      <c r="AR509" s="704"/>
      <c r="AS509" s="704"/>
    </row>
    <row r="510" spans="1:45" s="402" customFormat="1" ht="30" hidden="1" customHeight="1" x14ac:dyDescent="0.25">
      <c r="A510" s="2063" t="str">
        <f>IF(L517=0,"",MAX($A$16:A509)+1)</f>
        <v/>
      </c>
      <c r="B510" s="2099" t="s">
        <v>274</v>
      </c>
      <c r="C510" s="127"/>
      <c r="D510" s="866" t="s">
        <v>10</v>
      </c>
      <c r="E510" s="933">
        <v>46176</v>
      </c>
      <c r="F510" s="75">
        <f t="shared" ref="F510" si="319">$L$7-E510</f>
        <v>110</v>
      </c>
      <c r="G510" s="1356">
        <v>0</v>
      </c>
      <c r="H510" s="300"/>
      <c r="I510" s="300"/>
      <c r="J510" s="1300"/>
      <c r="K510" s="12">
        <f>IFERROR(SUMIF(INTAKE!$A:$A,$T510,INTAKE!$P:$P),0)</f>
        <v>0</v>
      </c>
      <c r="L510" s="1669">
        <f t="shared" ref="L510:L537" si="320">+G510+H510+I510-J510-K510</f>
        <v>0</v>
      </c>
      <c r="M510" s="50"/>
      <c r="N510" s="167"/>
      <c r="O510" s="50"/>
      <c r="P510" s="744"/>
      <c r="Q510" s="795"/>
      <c r="R510" s="785">
        <f>IFERROR(VLOOKUP($Q510,'391'!$S:$Z,8,0),"")</f>
        <v>0</v>
      </c>
      <c r="S510" s="796"/>
      <c r="T510" s="787" t="str">
        <f>$Q$517&amp;C510&amp;E510</f>
        <v>Dairylac 80 (USA)46176</v>
      </c>
      <c r="U510" s="797"/>
      <c r="V510" s="797"/>
      <c r="W510" s="802">
        <f>IFERROR(VLOOKUP($Q510,'391'!$P:$AG,15,0),0)</f>
        <v>0</v>
      </c>
      <c r="X510" s="799">
        <f t="shared" si="312"/>
        <v>0</v>
      </c>
      <c r="Y510" s="797"/>
      <c r="Z510" s="785"/>
      <c r="AA510" s="797"/>
      <c r="AB510" s="797"/>
      <c r="AC510" s="551"/>
      <c r="AD510" s="551"/>
      <c r="AE510" s="551"/>
      <c r="AF510" s="551"/>
      <c r="AG510" s="551"/>
      <c r="AH510" s="551"/>
      <c r="AI510" s="704"/>
      <c r="AJ510" s="704"/>
      <c r="AK510" s="704"/>
      <c r="AL510" s="704"/>
      <c r="AM510" s="704"/>
      <c r="AN510" s="704"/>
      <c r="AO510" s="704"/>
      <c r="AP510" s="704"/>
      <c r="AQ510" s="704"/>
      <c r="AR510" s="704"/>
      <c r="AS510" s="704"/>
    </row>
    <row r="511" spans="1:45" s="402" customFormat="1" ht="30" hidden="1" customHeight="1" x14ac:dyDescent="0.25">
      <c r="A511" s="2078"/>
      <c r="B511" s="2100"/>
      <c r="C511" s="127"/>
      <c r="D511" s="866" t="s">
        <v>10</v>
      </c>
      <c r="E511" s="933">
        <v>46176</v>
      </c>
      <c r="F511" s="75">
        <f t="shared" ref="F511" si="321">$L$7-E511</f>
        <v>110</v>
      </c>
      <c r="G511" s="1356">
        <v>0</v>
      </c>
      <c r="H511" s="300"/>
      <c r="I511" s="300"/>
      <c r="J511" s="1300"/>
      <c r="K511" s="300"/>
      <c r="L511" s="1669">
        <f t="shared" si="320"/>
        <v>0</v>
      </c>
      <c r="M511" s="48"/>
      <c r="N511" s="163"/>
      <c r="O511" s="48"/>
      <c r="P511" s="738"/>
      <c r="Q511" s="795"/>
      <c r="R511" s="785">
        <f>IFERROR(VLOOKUP($Q511,'391'!$S:$Z,8,0),"")</f>
        <v>0</v>
      </c>
      <c r="S511" s="796"/>
      <c r="T511" s="787" t="str">
        <f t="shared" ref="T511:T513" si="322">$Q$517&amp;C511&amp;E511</f>
        <v>Dairylac 80 (USA)46176</v>
      </c>
      <c r="U511" s="797"/>
      <c r="V511" s="797"/>
      <c r="W511" s="802">
        <f>IFERROR(VLOOKUP($Q511,'391'!$P:$AG,15,0),0)</f>
        <v>0</v>
      </c>
      <c r="X511" s="799">
        <f t="shared" si="312"/>
        <v>0</v>
      </c>
      <c r="Y511" s="797"/>
      <c r="Z511" s="785"/>
      <c r="AA511" s="797"/>
      <c r="AB511" s="797"/>
      <c r="AC511" s="551"/>
      <c r="AD511" s="551"/>
      <c r="AE511" s="551"/>
      <c r="AF511" s="551"/>
      <c r="AG511" s="551"/>
      <c r="AH511" s="551"/>
      <c r="AI511" s="704"/>
      <c r="AJ511" s="704"/>
      <c r="AK511" s="704"/>
      <c r="AL511" s="704"/>
      <c r="AM511" s="704"/>
      <c r="AN511" s="704"/>
      <c r="AO511" s="704"/>
      <c r="AP511" s="704"/>
      <c r="AQ511" s="704"/>
      <c r="AR511" s="704"/>
      <c r="AS511" s="704"/>
    </row>
    <row r="512" spans="1:45" s="402" customFormat="1" ht="30" hidden="1" customHeight="1" x14ac:dyDescent="0.25">
      <c r="A512" s="2078"/>
      <c r="B512" s="2100"/>
      <c r="C512" s="127"/>
      <c r="D512" s="866" t="s">
        <v>10</v>
      </c>
      <c r="E512" s="933">
        <v>46176</v>
      </c>
      <c r="F512" s="75">
        <f t="shared" ref="F512" si="323">$L$7-E512</f>
        <v>110</v>
      </c>
      <c r="G512" s="1356">
        <v>0</v>
      </c>
      <c r="H512" s="300"/>
      <c r="I512" s="300"/>
      <c r="J512" s="1300"/>
      <c r="K512" s="300"/>
      <c r="L512" s="1669">
        <f t="shared" si="320"/>
        <v>0</v>
      </c>
      <c r="M512" s="48"/>
      <c r="N512" s="255"/>
      <c r="O512" s="48"/>
      <c r="P512" s="738"/>
      <c r="Q512" s="795"/>
      <c r="R512" s="785">
        <f>IFERROR(VLOOKUP($Q512,'391'!$S:$Z,8,0),"")</f>
        <v>0</v>
      </c>
      <c r="S512" s="796"/>
      <c r="T512" s="787" t="str">
        <f t="shared" si="322"/>
        <v>Dairylac 80 (USA)46176</v>
      </c>
      <c r="U512" s="797"/>
      <c r="V512" s="797"/>
      <c r="W512" s="802">
        <f>IFERROR(VLOOKUP($Q512,'391'!$P:$AG,15,0),0)</f>
        <v>0</v>
      </c>
      <c r="X512" s="799">
        <f t="shared" si="312"/>
        <v>0</v>
      </c>
      <c r="Y512" s="797"/>
      <c r="Z512" s="785"/>
      <c r="AA512" s="797"/>
      <c r="AB512" s="797"/>
      <c r="AC512" s="551"/>
      <c r="AD512" s="551"/>
      <c r="AE512" s="551"/>
      <c r="AF512" s="551"/>
      <c r="AG512" s="551"/>
      <c r="AH512" s="551"/>
      <c r="AI512" s="704"/>
      <c r="AJ512" s="704"/>
      <c r="AK512" s="704"/>
      <c r="AL512" s="704"/>
      <c r="AM512" s="704"/>
      <c r="AN512" s="704"/>
      <c r="AO512" s="704"/>
      <c r="AP512" s="704"/>
      <c r="AQ512" s="704"/>
      <c r="AR512" s="704"/>
      <c r="AS512" s="704"/>
    </row>
    <row r="513" spans="1:45" s="402" customFormat="1" ht="30" hidden="1" customHeight="1" x14ac:dyDescent="0.25">
      <c r="A513" s="2078"/>
      <c r="B513" s="2100"/>
      <c r="C513" s="127"/>
      <c r="D513" s="866" t="s">
        <v>10</v>
      </c>
      <c r="E513" s="933">
        <v>46176</v>
      </c>
      <c r="F513" s="75">
        <f t="shared" ref="F513:F516" si="324">$L$7-E513</f>
        <v>110</v>
      </c>
      <c r="G513" s="1356">
        <v>0</v>
      </c>
      <c r="H513" s="300"/>
      <c r="I513" s="300"/>
      <c r="J513" s="1300"/>
      <c r="K513" s="300"/>
      <c r="L513" s="1669">
        <f t="shared" si="320"/>
        <v>0</v>
      </c>
      <c r="M513" s="45"/>
      <c r="N513" s="920"/>
      <c r="O513" s="45"/>
      <c r="P513" s="736"/>
      <c r="Q513" s="795"/>
      <c r="R513" s="785">
        <f>IFERROR(VLOOKUP($Q513,'391'!$S:$Z,8,0),"")</f>
        <v>0</v>
      </c>
      <c r="S513" s="796"/>
      <c r="T513" s="787" t="str">
        <f t="shared" si="322"/>
        <v>Dairylac 80 (USA)46176</v>
      </c>
      <c r="U513" s="797"/>
      <c r="V513" s="797"/>
      <c r="W513" s="802">
        <f>IFERROR(VLOOKUP($Q513,'391'!$P:$AG,15,0),0)</f>
        <v>0</v>
      </c>
      <c r="X513" s="799">
        <f t="shared" si="312"/>
        <v>0</v>
      </c>
      <c r="Y513" s="797"/>
      <c r="Z513" s="785"/>
      <c r="AA513" s="797"/>
      <c r="AB513" s="797"/>
      <c r="AC513" s="551"/>
      <c r="AD513" s="551"/>
      <c r="AE513" s="551"/>
      <c r="AF513" s="551"/>
      <c r="AG513" s="551"/>
      <c r="AH513" s="551"/>
      <c r="AI513" s="704"/>
      <c r="AJ513" s="704"/>
      <c r="AK513" s="704"/>
      <c r="AL513" s="704"/>
      <c r="AM513" s="704"/>
      <c r="AN513" s="704"/>
      <c r="AO513" s="704"/>
      <c r="AP513" s="704"/>
      <c r="AQ513" s="704"/>
      <c r="AR513" s="704"/>
      <c r="AS513" s="704"/>
    </row>
    <row r="514" spans="1:45" s="402" customFormat="1" ht="30" hidden="1" customHeight="1" x14ac:dyDescent="0.25">
      <c r="A514" s="2078"/>
      <c r="B514" s="2100"/>
      <c r="C514" s="225"/>
      <c r="D514" s="866" t="s">
        <v>10</v>
      </c>
      <c r="E514" s="933">
        <v>44524</v>
      </c>
      <c r="F514" s="75">
        <f t="shared" si="324"/>
        <v>1762</v>
      </c>
      <c r="G514" s="1356">
        <v>0</v>
      </c>
      <c r="H514" s="300"/>
      <c r="I514" s="300"/>
      <c r="J514" s="1300"/>
      <c r="K514" s="300"/>
      <c r="L514" s="531">
        <f t="shared" si="320"/>
        <v>0</v>
      </c>
      <c r="M514" s="45"/>
      <c r="N514" s="1460"/>
      <c r="O514" s="45"/>
      <c r="P514" s="736"/>
      <c r="Q514" s="795"/>
      <c r="R514" s="785">
        <f>IFERROR(VLOOKUP($Q514,'391'!$S:$Z,8,0),"")</f>
        <v>0</v>
      </c>
      <c r="S514" s="796"/>
      <c r="T514" s="797"/>
      <c r="U514" s="797"/>
      <c r="V514" s="797"/>
      <c r="W514" s="802">
        <f>IFERROR(VLOOKUP($Q514,'391'!$P:$AG,15,0),0)</f>
        <v>0</v>
      </c>
      <c r="X514" s="799">
        <f t="shared" si="312"/>
        <v>0</v>
      </c>
      <c r="Y514" s="797"/>
      <c r="Z514" s="785"/>
      <c r="AA514" s="797"/>
      <c r="AB514" s="797"/>
      <c r="AC514" s="551"/>
      <c r="AD514" s="551"/>
      <c r="AE514" s="551"/>
      <c r="AF514" s="551"/>
      <c r="AG514" s="551"/>
      <c r="AH514" s="551"/>
      <c r="AI514" s="704"/>
      <c r="AJ514" s="704"/>
      <c r="AK514" s="704"/>
      <c r="AL514" s="704"/>
      <c r="AM514" s="704"/>
      <c r="AN514" s="704"/>
      <c r="AO514" s="704"/>
      <c r="AP514" s="704"/>
      <c r="AQ514" s="704"/>
      <c r="AR514" s="704"/>
      <c r="AS514" s="704"/>
    </row>
    <row r="515" spans="1:45" s="402" customFormat="1" ht="30" hidden="1" customHeight="1" x14ac:dyDescent="0.25">
      <c r="A515" s="2078"/>
      <c r="B515" s="2100"/>
      <c r="C515" s="225"/>
      <c r="D515" s="866" t="s">
        <v>10</v>
      </c>
      <c r="E515" s="933">
        <v>44539</v>
      </c>
      <c r="F515" s="75">
        <f t="shared" si="324"/>
        <v>1747</v>
      </c>
      <c r="G515" s="1356">
        <v>0</v>
      </c>
      <c r="H515" s="300"/>
      <c r="I515" s="300"/>
      <c r="J515" s="1300"/>
      <c r="K515" s="300"/>
      <c r="L515" s="531">
        <f t="shared" si="320"/>
        <v>0</v>
      </c>
      <c r="M515" s="45"/>
      <c r="N515" s="1460"/>
      <c r="O515" s="45"/>
      <c r="P515" s="736"/>
      <c r="Q515" s="795"/>
      <c r="R515" s="785">
        <f>IFERROR(VLOOKUP($Q515,'391'!$S:$Z,8,0),"")</f>
        <v>0</v>
      </c>
      <c r="S515" s="796"/>
      <c r="T515" s="797"/>
      <c r="U515" s="797"/>
      <c r="V515" s="797"/>
      <c r="W515" s="802">
        <f>IFERROR(VLOOKUP($Q515,'391'!$P:$AG,15,0),0)</f>
        <v>0</v>
      </c>
      <c r="X515" s="799">
        <f t="shared" si="312"/>
        <v>0</v>
      </c>
      <c r="Y515" s="797"/>
      <c r="Z515" s="785"/>
      <c r="AA515" s="797"/>
      <c r="AB515" s="797"/>
      <c r="AC515" s="551"/>
      <c r="AD515" s="551"/>
      <c r="AE515" s="551"/>
      <c r="AF515" s="551"/>
      <c r="AG515" s="551"/>
      <c r="AH515" s="551"/>
      <c r="AI515" s="704"/>
      <c r="AJ515" s="704"/>
      <c r="AK515" s="704"/>
      <c r="AL515" s="704"/>
      <c r="AM515" s="704"/>
      <c r="AN515" s="704"/>
      <c r="AO515" s="704"/>
      <c r="AP515" s="704"/>
      <c r="AQ515" s="704"/>
      <c r="AR515" s="704"/>
      <c r="AS515" s="704"/>
    </row>
    <row r="516" spans="1:45" s="402" customFormat="1" ht="30" hidden="1" customHeight="1" x14ac:dyDescent="0.25">
      <c r="A516" s="2064"/>
      <c r="B516" s="2101"/>
      <c r="C516" s="61" t="s">
        <v>212</v>
      </c>
      <c r="D516" s="863" t="s">
        <v>10</v>
      </c>
      <c r="E516" s="934">
        <v>46176</v>
      </c>
      <c r="F516" s="39">
        <f t="shared" si="324"/>
        <v>110</v>
      </c>
      <c r="G516" s="1357">
        <v>0</v>
      </c>
      <c r="H516" s="28"/>
      <c r="I516" s="28">
        <f>+SUM(K510:K514)</f>
        <v>0</v>
      </c>
      <c r="J516" s="1295"/>
      <c r="K516" s="28"/>
      <c r="L516" s="531">
        <f t="shared" si="320"/>
        <v>0</v>
      </c>
      <c r="M516" s="35"/>
      <c r="N516" s="87"/>
      <c r="O516" s="35"/>
      <c r="P516" s="740"/>
      <c r="Q516" s="795"/>
      <c r="R516" s="785">
        <f>IFERROR(VLOOKUP($Q516,'391'!$S:$Z,8,0),"")</f>
        <v>0</v>
      </c>
      <c r="S516" s="796"/>
      <c r="T516" s="797"/>
      <c r="U516" s="797"/>
      <c r="V516" s="797"/>
      <c r="W516" s="802">
        <f>IFERROR(VLOOKUP($Q516,'391'!$P:$AG,15,0),0)</f>
        <v>0</v>
      </c>
      <c r="X516" s="799">
        <f t="shared" si="312"/>
        <v>0</v>
      </c>
      <c r="Y516" s="797"/>
      <c r="Z516" s="785"/>
      <c r="AA516" s="797"/>
      <c r="AB516" s="797"/>
      <c r="AC516" s="551"/>
      <c r="AD516" s="551"/>
      <c r="AE516" s="551"/>
      <c r="AF516" s="551"/>
      <c r="AG516" s="551"/>
      <c r="AH516" s="551"/>
      <c r="AI516" s="704"/>
      <c r="AJ516" s="704"/>
      <c r="AK516" s="704"/>
      <c r="AL516" s="704"/>
      <c r="AM516" s="704"/>
      <c r="AN516" s="704"/>
      <c r="AO516" s="704"/>
      <c r="AP516" s="704"/>
      <c r="AQ516" s="704"/>
      <c r="AR516" s="704"/>
      <c r="AS516" s="704"/>
    </row>
    <row r="517" spans="1:45" s="402" customFormat="1" ht="30" hidden="1" customHeight="1" x14ac:dyDescent="0.25">
      <c r="A517" s="2019" t="s">
        <v>275</v>
      </c>
      <c r="B517" s="2020"/>
      <c r="C517" s="88"/>
      <c r="D517" s="864"/>
      <c r="E517" s="864"/>
      <c r="F517" s="865"/>
      <c r="G517" s="1296">
        <v>0</v>
      </c>
      <c r="H517" s="1296">
        <f>+SUM(H510:H516)</f>
        <v>0</v>
      </c>
      <c r="I517" s="1296">
        <f t="shared" ref="I517:L517" si="325">+SUM(I510:I516)</f>
        <v>0</v>
      </c>
      <c r="J517" s="1296">
        <f t="shared" si="325"/>
        <v>0</v>
      </c>
      <c r="K517" s="1296">
        <f t="shared" si="325"/>
        <v>0</v>
      </c>
      <c r="L517" s="1296">
        <f t="shared" si="325"/>
        <v>0</v>
      </c>
      <c r="M517" s="889" t="str">
        <f>IFERROR((R517/$S$2),"")</f>
        <v/>
      </c>
      <c r="N517" s="854">
        <f>IFERROR(L517/M517,0)</f>
        <v>0</v>
      </c>
      <c r="O517" s="59">
        <f>+O509</f>
        <v>7194.8333333333321</v>
      </c>
      <c r="P517" s="880">
        <f>(L517/O517)</f>
        <v>0</v>
      </c>
      <c r="Q517" s="1178" t="s">
        <v>274</v>
      </c>
      <c r="R517" s="785" t="str">
        <f>IFERROR(VLOOKUP($Q517,'391'!$S:$Z,8,0),"")</f>
        <v/>
      </c>
      <c r="S517" s="796"/>
      <c r="T517" s="811"/>
      <c r="U517" s="797"/>
      <c r="V517" s="797"/>
      <c r="W517" s="802">
        <f>IFERROR(VLOOKUP($Q517,'391'!$S:$AG,15,0),0)</f>
        <v>0</v>
      </c>
      <c r="X517" s="799">
        <f t="shared" si="312"/>
        <v>0</v>
      </c>
      <c r="Y517" s="797"/>
      <c r="Z517" s="785"/>
      <c r="AA517" s="797"/>
      <c r="AB517" s="797"/>
      <c r="AC517" s="551"/>
      <c r="AD517" s="551"/>
      <c r="AE517" s="551"/>
      <c r="AF517" s="551"/>
      <c r="AG517" s="551"/>
      <c r="AH517" s="551"/>
      <c r="AI517" s="704"/>
      <c r="AJ517" s="704"/>
      <c r="AK517" s="704"/>
      <c r="AL517" s="704"/>
      <c r="AM517" s="704"/>
      <c r="AN517" s="704"/>
      <c r="AO517" s="704"/>
      <c r="AP517" s="704"/>
      <c r="AQ517" s="704"/>
      <c r="AR517" s="704"/>
      <c r="AS517" s="704"/>
    </row>
    <row r="518" spans="1:45" s="402" customFormat="1" ht="30" hidden="1" customHeight="1" x14ac:dyDescent="0.25">
      <c r="A518" s="2063" t="str">
        <f>IF(L522=0,"",MAX($A$16:A517)+1)</f>
        <v/>
      </c>
      <c r="B518" s="2099" t="s">
        <v>1203</v>
      </c>
      <c r="C518" s="225" t="s">
        <v>223</v>
      </c>
      <c r="D518" s="866" t="s">
        <v>10</v>
      </c>
      <c r="E518" s="933">
        <v>44859</v>
      </c>
      <c r="F518" s="75">
        <f>$L$7-E518</f>
        <v>1427</v>
      </c>
      <c r="G518" s="1356">
        <v>0</v>
      </c>
      <c r="H518" s="300"/>
      <c r="I518" s="300"/>
      <c r="J518" s="1300"/>
      <c r="K518" s="300"/>
      <c r="L518" s="531">
        <f t="shared" si="320"/>
        <v>0</v>
      </c>
      <c r="M518" s="50"/>
      <c r="N518" s="167"/>
      <c r="O518" s="50"/>
      <c r="P518" s="744"/>
      <c r="Q518" s="795"/>
      <c r="R518" s="785">
        <f>IFERROR(VLOOKUP($Q518,'391'!$S:$Z,8,0),"")</f>
        <v>0</v>
      </c>
      <c r="S518" s="796"/>
      <c r="T518" s="797"/>
      <c r="U518" s="797"/>
      <c r="V518" s="797"/>
      <c r="W518" s="802">
        <f>IFERROR(VLOOKUP($Q518,'391'!$P:$AG,15,0),0)</f>
        <v>0</v>
      </c>
      <c r="X518" s="799">
        <f t="shared" si="312"/>
        <v>0</v>
      </c>
      <c r="Y518" s="797"/>
      <c r="Z518" s="785"/>
      <c r="AA518" s="797"/>
      <c r="AB518" s="797"/>
      <c r="AC518" s="551"/>
      <c r="AD518" s="551"/>
      <c r="AE518" s="551"/>
      <c r="AF518" s="551"/>
      <c r="AG518" s="551"/>
      <c r="AH518" s="551"/>
      <c r="AI518" s="704"/>
      <c r="AJ518" s="704"/>
      <c r="AK518" s="704"/>
      <c r="AL518" s="704"/>
      <c r="AM518" s="704"/>
      <c r="AN518" s="704"/>
      <c r="AO518" s="704"/>
      <c r="AP518" s="704"/>
      <c r="AQ518" s="704"/>
      <c r="AR518" s="704"/>
      <c r="AS518" s="704"/>
    </row>
    <row r="519" spans="1:45" s="402" customFormat="1" ht="30" hidden="1" customHeight="1" x14ac:dyDescent="0.25">
      <c r="A519" s="2078"/>
      <c r="B519" s="2100"/>
      <c r="C519" s="225" t="s">
        <v>192</v>
      </c>
      <c r="D519" s="866" t="s">
        <v>10</v>
      </c>
      <c r="E519" s="933">
        <v>44859</v>
      </c>
      <c r="F519" s="75">
        <f>$L$7-E519</f>
        <v>1427</v>
      </c>
      <c r="G519" s="1356">
        <v>0</v>
      </c>
      <c r="H519" s="300"/>
      <c r="I519" s="300"/>
      <c r="J519" s="1300"/>
      <c r="K519" s="300"/>
      <c r="L519" s="531">
        <f t="shared" si="320"/>
        <v>0</v>
      </c>
      <c r="M519" s="48"/>
      <c r="N519" s="163"/>
      <c r="O519" s="48"/>
      <c r="P519" s="738"/>
      <c r="Q519" s="795"/>
      <c r="R519" s="785">
        <f>IFERROR(VLOOKUP($Q519,'391'!$S:$Z,8,0),"")</f>
        <v>0</v>
      </c>
      <c r="S519" s="796"/>
      <c r="T519" s="797"/>
      <c r="U519" s="797"/>
      <c r="V519" s="797"/>
      <c r="W519" s="802">
        <f>IFERROR(VLOOKUP($Q519,'391'!$P:$AG,15,0),0)</f>
        <v>0</v>
      </c>
      <c r="X519" s="799">
        <f t="shared" si="312"/>
        <v>0</v>
      </c>
      <c r="Y519" s="797"/>
      <c r="Z519" s="785"/>
      <c r="AA519" s="797"/>
      <c r="AB519" s="797"/>
      <c r="AC519" s="551"/>
      <c r="AD519" s="551"/>
      <c r="AE519" s="551"/>
      <c r="AF519" s="551"/>
      <c r="AG519" s="551"/>
      <c r="AH519" s="551"/>
      <c r="AI519" s="704"/>
      <c r="AJ519" s="704"/>
      <c r="AK519" s="704"/>
      <c r="AL519" s="704"/>
      <c r="AM519" s="704"/>
      <c r="AN519" s="704"/>
      <c r="AO519" s="704"/>
      <c r="AP519" s="704"/>
      <c r="AQ519" s="704"/>
      <c r="AR519" s="704"/>
      <c r="AS519" s="704"/>
    </row>
    <row r="520" spans="1:45" s="402" customFormat="1" ht="30" hidden="1" customHeight="1" x14ac:dyDescent="0.25">
      <c r="A520" s="2078"/>
      <c r="B520" s="2100"/>
      <c r="C520" s="225"/>
      <c r="D520" s="866" t="s">
        <v>10</v>
      </c>
      <c r="E520" s="933">
        <v>44859</v>
      </c>
      <c r="F520" s="75">
        <f>$L$7-E520</f>
        <v>1427</v>
      </c>
      <c r="G520" s="1356">
        <v>0</v>
      </c>
      <c r="H520" s="300"/>
      <c r="I520" s="300"/>
      <c r="J520" s="1300"/>
      <c r="K520" s="300"/>
      <c r="L520" s="531">
        <f t="shared" si="320"/>
        <v>0</v>
      </c>
      <c r="M520" s="48"/>
      <c r="N520" s="163"/>
      <c r="O520" s="48"/>
      <c r="P520" s="738"/>
      <c r="Q520" s="795"/>
      <c r="R520" s="785">
        <f>IFERROR(VLOOKUP($Q520,'391'!$S:$Z,8,0),"")</f>
        <v>0</v>
      </c>
      <c r="S520" s="796"/>
      <c r="T520" s="797"/>
      <c r="U520" s="797"/>
      <c r="V520" s="797"/>
      <c r="W520" s="802">
        <f>IFERROR(VLOOKUP($Q520,'391'!$P:$AG,15,0),0)</f>
        <v>0</v>
      </c>
      <c r="X520" s="799">
        <f t="shared" si="312"/>
        <v>0</v>
      </c>
      <c r="Y520" s="797"/>
      <c r="Z520" s="785"/>
      <c r="AA520" s="797"/>
      <c r="AB520" s="797"/>
      <c r="AC520" s="551"/>
      <c r="AD520" s="551"/>
      <c r="AE520" s="551"/>
      <c r="AF520" s="551"/>
      <c r="AG520" s="551"/>
      <c r="AH520" s="551"/>
      <c r="AI520" s="704"/>
      <c r="AJ520" s="704"/>
      <c r="AK520" s="704"/>
      <c r="AL520" s="704"/>
      <c r="AM520" s="704"/>
      <c r="AN520" s="704"/>
      <c r="AO520" s="704"/>
      <c r="AP520" s="704"/>
      <c r="AQ520" s="704"/>
      <c r="AR520" s="704"/>
      <c r="AS520" s="704"/>
    </row>
    <row r="521" spans="1:45" s="402" customFormat="1" ht="30" hidden="1" customHeight="1" x14ac:dyDescent="0.25">
      <c r="A521" s="2064"/>
      <c r="B521" s="2101"/>
      <c r="C521" s="61" t="s">
        <v>158</v>
      </c>
      <c r="D521" s="863" t="s">
        <v>10</v>
      </c>
      <c r="E521" s="934">
        <v>44859</v>
      </c>
      <c r="F521" s="39">
        <f>$L$7-E521</f>
        <v>1427</v>
      </c>
      <c r="G521" s="1357">
        <v>0</v>
      </c>
      <c r="H521" s="28"/>
      <c r="I521" s="28">
        <f>+SUM(K518:K519)</f>
        <v>0</v>
      </c>
      <c r="J521" s="1295">
        <f>usage!I49</f>
        <v>0</v>
      </c>
      <c r="K521" s="28"/>
      <c r="L521" s="531">
        <f t="shared" si="320"/>
        <v>0</v>
      </c>
      <c r="M521" s="35"/>
      <c r="N521" s="87"/>
      <c r="O521" s="35"/>
      <c r="P521" s="740"/>
      <c r="Q521" s="795"/>
      <c r="R521" s="785">
        <f>IFERROR(VLOOKUP($Q521,'391'!$S:$Z,8,0),"")</f>
        <v>0</v>
      </c>
      <c r="S521" s="796"/>
      <c r="T521" s="797"/>
      <c r="U521" s="797"/>
      <c r="V521" s="797"/>
      <c r="W521" s="802">
        <f>IFERROR(VLOOKUP($Q521,'391'!$P:$AG,15,0),0)</f>
        <v>0</v>
      </c>
      <c r="X521" s="799">
        <f t="shared" si="312"/>
        <v>0</v>
      </c>
      <c r="Y521" s="797"/>
      <c r="Z521" s="785"/>
      <c r="AA521" s="797"/>
      <c r="AB521" s="797"/>
      <c r="AC521" s="551"/>
      <c r="AD521" s="551"/>
      <c r="AE521" s="551"/>
      <c r="AF521" s="551"/>
      <c r="AG521" s="551"/>
      <c r="AH521" s="551"/>
      <c r="AI521" s="704"/>
      <c r="AJ521" s="704"/>
      <c r="AK521" s="704"/>
      <c r="AL521" s="704"/>
      <c r="AM521" s="704"/>
      <c r="AN521" s="704"/>
      <c r="AO521" s="704"/>
      <c r="AP521" s="704"/>
      <c r="AQ521" s="704"/>
      <c r="AR521" s="704"/>
      <c r="AS521" s="704"/>
    </row>
    <row r="522" spans="1:45" s="402" customFormat="1" ht="30" hidden="1" customHeight="1" x14ac:dyDescent="0.25">
      <c r="A522" s="2019" t="s">
        <v>1204</v>
      </c>
      <c r="B522" s="2020"/>
      <c r="C522" s="88"/>
      <c r="D522" s="864"/>
      <c r="E522" s="864"/>
      <c r="F522" s="865"/>
      <c r="G522" s="1296">
        <v>0</v>
      </c>
      <c r="H522" s="1296">
        <f t="shared" ref="H522:K522" si="326">+SUM(H518:H521)</f>
        <v>0</v>
      </c>
      <c r="I522" s="1296">
        <f t="shared" si="326"/>
        <v>0</v>
      </c>
      <c r="J522" s="1296">
        <f t="shared" si="326"/>
        <v>0</v>
      </c>
      <c r="K522" s="1296">
        <f t="shared" si="326"/>
        <v>0</v>
      </c>
      <c r="L522" s="531">
        <f t="shared" si="320"/>
        <v>0</v>
      </c>
      <c r="M522" s="889" t="str">
        <f>IFERROR((R522/$S$2),"")</f>
        <v/>
      </c>
      <c r="N522" s="854">
        <f>IFERROR(L522/M522,0)</f>
        <v>0</v>
      </c>
      <c r="O522" s="59">
        <f>IFERROR(SUMIF(ETM!$A:$A,$Q522,ETM!$E:$E),"")</f>
        <v>0</v>
      </c>
      <c r="P522" s="880">
        <f>IFERROR(L522/O522,0)</f>
        <v>0</v>
      </c>
      <c r="Q522" s="795" t="s">
        <v>1203</v>
      </c>
      <c r="R522" s="785" t="str">
        <f>IFERROR(VLOOKUP($Q522,'391'!$S:$Z,8,0),"")</f>
        <v/>
      </c>
      <c r="S522" s="796"/>
      <c r="T522" s="811"/>
      <c r="U522" s="797"/>
      <c r="V522" s="797"/>
      <c r="W522" s="802">
        <f>IFERROR(VLOOKUP($Q522,'391'!$P:$AG,15,0),0)</f>
        <v>0</v>
      </c>
      <c r="X522" s="799">
        <f t="shared" si="312"/>
        <v>0</v>
      </c>
      <c r="Y522" s="797"/>
      <c r="Z522" s="785"/>
      <c r="AA522" s="797"/>
      <c r="AB522" s="797"/>
      <c r="AC522" s="551"/>
      <c r="AD522" s="551"/>
      <c r="AE522" s="551"/>
      <c r="AF522" s="551"/>
      <c r="AG522" s="551"/>
      <c r="AH522" s="551"/>
      <c r="AI522" s="704"/>
      <c r="AJ522" s="704"/>
      <c r="AK522" s="704"/>
      <c r="AL522" s="704"/>
      <c r="AM522" s="704"/>
      <c r="AN522" s="704"/>
      <c r="AO522" s="704"/>
      <c r="AP522" s="704"/>
      <c r="AQ522" s="704"/>
      <c r="AR522" s="704"/>
      <c r="AS522" s="704"/>
    </row>
    <row r="523" spans="1:45" s="13" customFormat="1" ht="30" hidden="1" customHeight="1" x14ac:dyDescent="0.25">
      <c r="A523" s="2078" t="str">
        <f>IF(L538=0,"",MAX($A$16:A522)+1)</f>
        <v/>
      </c>
      <c r="B523" s="2043" t="s">
        <v>198</v>
      </c>
      <c r="C523" s="225"/>
      <c r="D523" s="866" t="s">
        <v>10</v>
      </c>
      <c r="E523" s="935">
        <v>45819</v>
      </c>
      <c r="F523" s="75">
        <f t="shared" ref="F523:F529" si="327">$L$7-E523</f>
        <v>467</v>
      </c>
      <c r="G523" s="633">
        <v>0</v>
      </c>
      <c r="H523" s="300"/>
      <c r="I523" s="18"/>
      <c r="J523" s="1338"/>
      <c r="K523" s="18"/>
      <c r="L523" s="1669">
        <f t="shared" si="320"/>
        <v>0</v>
      </c>
      <c r="M523" s="48"/>
      <c r="N523" s="163"/>
      <c r="O523" s="48"/>
      <c r="P523" s="750"/>
      <c r="Q523" s="795"/>
      <c r="R523" s="785">
        <f>IFERROR(VLOOKUP($Q523,'391'!$S:$Z,8,0),"")</f>
        <v>0</v>
      </c>
      <c r="S523" s="796"/>
      <c r="T523" s="797"/>
      <c r="U523" s="797"/>
      <c r="V523" s="797"/>
      <c r="W523" s="802">
        <f>IFERROR(VLOOKUP($Q523,'391'!$P:$AG,15,0),0)</f>
        <v>0</v>
      </c>
      <c r="X523" s="799">
        <f t="shared" si="312"/>
        <v>0</v>
      </c>
      <c r="Y523" s="797"/>
      <c r="Z523" s="785"/>
      <c r="AA523" s="797"/>
      <c r="AB523" s="797"/>
      <c r="AC523" s="683"/>
      <c r="AD523" s="683"/>
      <c r="AE523" s="683"/>
      <c r="AF523" s="683"/>
      <c r="AG523" s="683"/>
      <c r="AH523" s="683"/>
      <c r="AI523" s="705"/>
      <c r="AJ523" s="705"/>
      <c r="AK523" s="705"/>
      <c r="AL523" s="705"/>
      <c r="AM523" s="705"/>
      <c r="AN523" s="705"/>
      <c r="AO523" s="705"/>
      <c r="AP523" s="705"/>
      <c r="AQ523" s="705"/>
      <c r="AR523" s="705"/>
      <c r="AS523" s="705"/>
    </row>
    <row r="524" spans="1:45" s="13" customFormat="1" ht="30" hidden="1" customHeight="1" x14ac:dyDescent="0.25">
      <c r="A524" s="2078"/>
      <c r="B524" s="2069"/>
      <c r="C524" s="225"/>
      <c r="D524" s="866" t="s">
        <v>10</v>
      </c>
      <c r="E524" s="935">
        <v>45969</v>
      </c>
      <c r="F524" s="75">
        <f t="shared" ref="F524:F527" si="328">$L$7-E524</f>
        <v>317</v>
      </c>
      <c r="G524" s="633">
        <v>0</v>
      </c>
      <c r="H524" s="300"/>
      <c r="I524" s="18"/>
      <c r="J524" s="1338"/>
      <c r="K524" s="12">
        <f>IFERROR(SUMIF(INTAKE!$A:$A,$T524,INTAKE!$P:$P),0)</f>
        <v>0</v>
      </c>
      <c r="L524" s="1669">
        <f t="shared" si="320"/>
        <v>0</v>
      </c>
      <c r="M524" s="48"/>
      <c r="N524" s="163"/>
      <c r="O524" s="48"/>
      <c r="P524" s="750"/>
      <c r="Q524" s="795"/>
      <c r="R524" s="785">
        <f>IFERROR(VLOOKUP($Q524,'391'!$S:$Z,8,0),"")</f>
        <v>0</v>
      </c>
      <c r="S524" s="796"/>
      <c r="T524" s="787" t="str">
        <f>$Q$537&amp;C524&amp;E524</f>
        <v>HP 300 (Soya Bean Product)45969</v>
      </c>
      <c r="U524" s="797"/>
      <c r="V524" s="797"/>
      <c r="W524" s="802">
        <f>IFERROR(VLOOKUP($Q524,'391'!$P:$AG,15,0),0)</f>
        <v>0</v>
      </c>
      <c r="X524" s="799">
        <f t="shared" si="312"/>
        <v>0</v>
      </c>
      <c r="Y524" s="797"/>
      <c r="Z524" s="785"/>
      <c r="AA524" s="797"/>
      <c r="AB524" s="797"/>
      <c r="AC524" s="683"/>
      <c r="AD524" s="683"/>
      <c r="AE524" s="683"/>
      <c r="AF524" s="683"/>
      <c r="AG524" s="683"/>
      <c r="AH524" s="683"/>
      <c r="AI524" s="705"/>
      <c r="AJ524" s="705"/>
      <c r="AK524" s="705"/>
      <c r="AL524" s="705"/>
      <c r="AM524" s="705"/>
      <c r="AN524" s="705"/>
      <c r="AO524" s="705"/>
      <c r="AP524" s="705"/>
      <c r="AQ524" s="705"/>
      <c r="AR524" s="705"/>
      <c r="AS524" s="705"/>
    </row>
    <row r="525" spans="1:45" s="13" customFormat="1" ht="30" hidden="1" customHeight="1" x14ac:dyDescent="0.25">
      <c r="A525" s="2078"/>
      <c r="B525" s="2069"/>
      <c r="C525" s="225" t="s">
        <v>273</v>
      </c>
      <c r="D525" s="866" t="s">
        <v>10</v>
      </c>
      <c r="E525" s="935">
        <v>45975</v>
      </c>
      <c r="F525" s="75">
        <f t="shared" si="328"/>
        <v>311</v>
      </c>
      <c r="G525" s="633">
        <v>0</v>
      </c>
      <c r="H525" s="300"/>
      <c r="I525" s="18"/>
      <c r="J525" s="1338"/>
      <c r="K525" s="12">
        <f>IFERROR(SUMIF(INTAKE!$A:$A,$T525,INTAKE!$P:$P),0)</f>
        <v>0</v>
      </c>
      <c r="L525" s="1669">
        <f>+G525+H525+I525-J525-K525</f>
        <v>0</v>
      </c>
      <c r="M525" s="48"/>
      <c r="N525" s="163"/>
      <c r="O525" s="48"/>
      <c r="P525" s="750"/>
      <c r="Q525" s="795"/>
      <c r="R525" s="785">
        <f>IFERROR(VLOOKUP($Q525,'391'!$S:$Z,8,0),"")</f>
        <v>0</v>
      </c>
      <c r="S525" s="796"/>
      <c r="T525" s="787" t="str">
        <f>$Q$537&amp;C525&amp;E525</f>
        <v>HP 300 (Soya Bean Product)A19.545975</v>
      </c>
      <c r="U525" s="797"/>
      <c r="V525" s="797"/>
      <c r="W525" s="802">
        <f>IFERROR(VLOOKUP($Q525,'391'!$P:$AG,15,0),0)</f>
        <v>0</v>
      </c>
      <c r="X525" s="799">
        <f t="shared" si="312"/>
        <v>0</v>
      </c>
      <c r="Y525" s="797"/>
      <c r="Z525" s="785"/>
      <c r="AA525" s="797"/>
      <c r="AB525" s="797"/>
      <c r="AC525" s="683"/>
      <c r="AD525" s="683"/>
      <c r="AE525" s="683"/>
      <c r="AF525" s="683"/>
      <c r="AG525" s="683"/>
      <c r="AH525" s="683"/>
      <c r="AI525" s="705"/>
      <c r="AJ525" s="705"/>
      <c r="AK525" s="705"/>
      <c r="AL525" s="705"/>
      <c r="AM525" s="705"/>
      <c r="AN525" s="705"/>
      <c r="AO525" s="705"/>
      <c r="AP525" s="705"/>
      <c r="AQ525" s="705"/>
      <c r="AR525" s="705"/>
      <c r="AS525" s="705"/>
    </row>
    <row r="526" spans="1:45" s="13" customFormat="1" ht="30" hidden="1" customHeight="1" x14ac:dyDescent="0.25">
      <c r="A526" s="2078"/>
      <c r="B526" s="2069"/>
      <c r="C526" s="225"/>
      <c r="D526" s="866" t="s">
        <v>10</v>
      </c>
      <c r="E526" s="935">
        <v>45975</v>
      </c>
      <c r="F526" s="75">
        <f t="shared" ref="F526" si="329">$L$7-E526</f>
        <v>311</v>
      </c>
      <c r="G526" s="633">
        <v>0</v>
      </c>
      <c r="H526" s="300"/>
      <c r="I526" s="18"/>
      <c r="J526" s="1338"/>
      <c r="K526" s="12">
        <f>IFERROR(SUMIF(INTAKE!$A:$A,$T526,INTAKE!$P:$P),0)</f>
        <v>0</v>
      </c>
      <c r="L526" s="1669">
        <f>+G526+H526+I526-J526-K526</f>
        <v>0</v>
      </c>
      <c r="M526" s="48"/>
      <c r="N526" s="163"/>
      <c r="O526" s="48"/>
      <c r="P526" s="750"/>
      <c r="Q526" s="795"/>
      <c r="R526" s="785">
        <f>IFERROR(VLOOKUP($Q526,'391'!$S:$Z,8,0),"")</f>
        <v>0</v>
      </c>
      <c r="S526" s="796"/>
      <c r="T526" s="787" t="str">
        <f t="shared" ref="T526:T529" si="330">$Q$537&amp;C526&amp;E526</f>
        <v>HP 300 (Soya Bean Product)45975</v>
      </c>
      <c r="U526" s="797"/>
      <c r="V526" s="797"/>
      <c r="W526" s="802">
        <f>IFERROR(VLOOKUP($Q526,'391'!$P:$AG,15,0),0)</f>
        <v>0</v>
      </c>
      <c r="X526" s="799">
        <f t="shared" si="312"/>
        <v>0</v>
      </c>
      <c r="Y526" s="797"/>
      <c r="Z526" s="785"/>
      <c r="AA526" s="797"/>
      <c r="AB526" s="797"/>
      <c r="AC526" s="683"/>
      <c r="AD526" s="683"/>
      <c r="AE526" s="683"/>
      <c r="AF526" s="683"/>
      <c r="AG526" s="683"/>
      <c r="AH526" s="683"/>
      <c r="AI526" s="705"/>
      <c r="AJ526" s="705"/>
      <c r="AK526" s="705"/>
      <c r="AL526" s="705"/>
      <c r="AM526" s="705"/>
      <c r="AN526" s="705"/>
      <c r="AO526" s="705"/>
      <c r="AP526" s="705"/>
      <c r="AQ526" s="705"/>
      <c r="AR526" s="705"/>
      <c r="AS526" s="705"/>
    </row>
    <row r="527" spans="1:45" s="13" customFormat="1" ht="30" hidden="1" customHeight="1" x14ac:dyDescent="0.25">
      <c r="A527" s="2078"/>
      <c r="B527" s="2069"/>
      <c r="C527" s="225"/>
      <c r="D527" s="866" t="s">
        <v>10</v>
      </c>
      <c r="E527" s="935">
        <v>45975</v>
      </c>
      <c r="F527" s="75">
        <f t="shared" si="328"/>
        <v>311</v>
      </c>
      <c r="G527" s="633">
        <v>0</v>
      </c>
      <c r="H527" s="300"/>
      <c r="I527" s="18"/>
      <c r="J527" s="1338"/>
      <c r="K527" s="12">
        <f>IFERROR(SUMIF(INTAKE!$A:$A,$T527,INTAKE!$P:$P),0)</f>
        <v>0</v>
      </c>
      <c r="L527" s="1669">
        <f t="shared" si="320"/>
        <v>0</v>
      </c>
      <c r="M527" s="48"/>
      <c r="N527" s="163"/>
      <c r="O527" s="48"/>
      <c r="P527" s="750"/>
      <c r="Q527" s="795"/>
      <c r="R527" s="785">
        <f>IFERROR(VLOOKUP($Q527,'391'!$S:$Z,8,0),"")</f>
        <v>0</v>
      </c>
      <c r="S527" s="796"/>
      <c r="T527" s="787" t="str">
        <f t="shared" si="330"/>
        <v>HP 300 (Soya Bean Product)45975</v>
      </c>
      <c r="U527" s="797"/>
      <c r="V527" s="797"/>
      <c r="W527" s="802">
        <f>IFERROR(VLOOKUP($Q527,'391'!$P:$AG,15,0),0)</f>
        <v>0</v>
      </c>
      <c r="X527" s="799">
        <f t="shared" si="312"/>
        <v>0</v>
      </c>
      <c r="Y527" s="797"/>
      <c r="Z527" s="785"/>
      <c r="AA527" s="797"/>
      <c r="AB527" s="797"/>
      <c r="AC527" s="683"/>
      <c r="AD527" s="683"/>
      <c r="AE527" s="683"/>
      <c r="AF527" s="683"/>
      <c r="AG527" s="683"/>
      <c r="AH527" s="683"/>
      <c r="AI527" s="705"/>
      <c r="AJ527" s="705"/>
      <c r="AK527" s="705"/>
      <c r="AL527" s="705"/>
      <c r="AM527" s="705"/>
      <c r="AN527" s="705"/>
      <c r="AO527" s="705"/>
      <c r="AP527" s="705"/>
      <c r="AQ527" s="705"/>
      <c r="AR527" s="705"/>
      <c r="AS527" s="705"/>
    </row>
    <row r="528" spans="1:45" s="13" customFormat="1" ht="30" hidden="1" customHeight="1" x14ac:dyDescent="0.25">
      <c r="A528" s="2078"/>
      <c r="B528" s="2069"/>
      <c r="C528" s="225"/>
      <c r="D528" s="866" t="s">
        <v>10</v>
      </c>
      <c r="E528" s="935">
        <v>45975</v>
      </c>
      <c r="F528" s="75">
        <f t="shared" ref="F528" si="331">$L$7-E528</f>
        <v>311</v>
      </c>
      <c r="G528" s="633">
        <v>0</v>
      </c>
      <c r="H528" s="300"/>
      <c r="I528" s="18"/>
      <c r="J528" s="1338"/>
      <c r="K528" s="18"/>
      <c r="L528" s="1669">
        <f t="shared" si="320"/>
        <v>0</v>
      </c>
      <c r="M528" s="48"/>
      <c r="N528" s="163"/>
      <c r="O528" s="48"/>
      <c r="P528" s="750"/>
      <c r="Q528" s="795"/>
      <c r="R528" s="785">
        <f>IFERROR(VLOOKUP($Q528,'391'!$S:$Z,8,0),"")</f>
        <v>0</v>
      </c>
      <c r="S528" s="796"/>
      <c r="T528" s="787" t="str">
        <f t="shared" si="330"/>
        <v>HP 300 (Soya Bean Product)45975</v>
      </c>
      <c r="U528" s="797"/>
      <c r="V528" s="797"/>
      <c r="W528" s="802">
        <f>IFERROR(VLOOKUP($Q528,'391'!$P:$AG,15,0),0)</f>
        <v>0</v>
      </c>
      <c r="X528" s="799">
        <f t="shared" si="312"/>
        <v>0</v>
      </c>
      <c r="Y528" s="797"/>
      <c r="Z528" s="785"/>
      <c r="AA528" s="797"/>
      <c r="AB528" s="797"/>
      <c r="AC528" s="683"/>
      <c r="AD528" s="683"/>
      <c r="AE528" s="683"/>
      <c r="AF528" s="683"/>
      <c r="AG528" s="683"/>
      <c r="AH528" s="683"/>
      <c r="AI528" s="705"/>
      <c r="AJ528" s="705"/>
      <c r="AK528" s="705"/>
      <c r="AL528" s="705"/>
      <c r="AM528" s="705"/>
      <c r="AN528" s="705"/>
      <c r="AO528" s="705"/>
      <c r="AP528" s="705"/>
      <c r="AQ528" s="705"/>
      <c r="AR528" s="705"/>
      <c r="AS528" s="705"/>
    </row>
    <row r="529" spans="1:45" s="13" customFormat="1" ht="30" hidden="1" customHeight="1" x14ac:dyDescent="0.25">
      <c r="A529" s="2078"/>
      <c r="B529" s="2069"/>
      <c r="C529" s="225"/>
      <c r="D529" s="866" t="s">
        <v>10</v>
      </c>
      <c r="E529" s="935">
        <v>45975</v>
      </c>
      <c r="F529" s="75">
        <f t="shared" si="327"/>
        <v>311</v>
      </c>
      <c r="G529" s="633">
        <v>0</v>
      </c>
      <c r="H529" s="300"/>
      <c r="I529" s="18"/>
      <c r="J529" s="1338"/>
      <c r="K529" s="18"/>
      <c r="L529" s="1669">
        <f t="shared" si="320"/>
        <v>0</v>
      </c>
      <c r="M529" s="48"/>
      <c r="N529" s="163"/>
      <c r="O529" s="48"/>
      <c r="P529" s="750"/>
      <c r="Q529" s="795"/>
      <c r="R529" s="785">
        <f>IFERROR(VLOOKUP($Q529,'391'!$S:$Z,8,0),"")</f>
        <v>0</v>
      </c>
      <c r="S529" s="796"/>
      <c r="T529" s="797" t="str">
        <f t="shared" si="330"/>
        <v>HP 300 (Soya Bean Product)45975</v>
      </c>
      <c r="U529" s="797"/>
      <c r="V529" s="797"/>
      <c r="W529" s="802">
        <f>IFERROR(VLOOKUP($Q529,'391'!$P:$AG,15,0),0)</f>
        <v>0</v>
      </c>
      <c r="X529" s="799">
        <f t="shared" si="312"/>
        <v>0</v>
      </c>
      <c r="Y529" s="797"/>
      <c r="Z529" s="785"/>
      <c r="AA529" s="797"/>
      <c r="AB529" s="797"/>
      <c r="AC529" s="683"/>
      <c r="AD529" s="683"/>
      <c r="AE529" s="683"/>
      <c r="AF529" s="683"/>
      <c r="AG529" s="683"/>
      <c r="AH529" s="683"/>
      <c r="AI529" s="705"/>
      <c r="AJ529" s="705"/>
      <c r="AK529" s="705"/>
      <c r="AL529" s="705"/>
      <c r="AM529" s="705"/>
      <c r="AN529" s="705"/>
      <c r="AO529" s="705"/>
      <c r="AP529" s="705"/>
      <c r="AQ529" s="705"/>
      <c r="AR529" s="705"/>
      <c r="AS529" s="705"/>
    </row>
    <row r="530" spans="1:45" s="13" customFormat="1" ht="30" hidden="1" customHeight="1" x14ac:dyDescent="0.25">
      <c r="A530" s="2078"/>
      <c r="B530" s="2069"/>
      <c r="C530" s="225" t="s">
        <v>1657</v>
      </c>
      <c r="D530" s="866" t="s">
        <v>10</v>
      </c>
      <c r="E530" s="935">
        <v>45945</v>
      </c>
      <c r="F530" s="75">
        <f t="shared" ref="F530" si="332">$L$7-E530</f>
        <v>341</v>
      </c>
      <c r="G530" s="633">
        <v>0</v>
      </c>
      <c r="H530" s="300"/>
      <c r="I530" s="18"/>
      <c r="J530" s="1338"/>
      <c r="K530" s="18"/>
      <c r="L530" s="1669">
        <f t="shared" si="320"/>
        <v>0</v>
      </c>
      <c r="M530" s="48"/>
      <c r="N530" s="163"/>
      <c r="O530" s="48"/>
      <c r="P530" s="750"/>
      <c r="Q530" s="795"/>
      <c r="R530" s="785">
        <f>IFERROR(VLOOKUP($Q530,'391'!$S:$Z,8,0),"")</f>
        <v>0</v>
      </c>
      <c r="S530" s="796"/>
      <c r="T530" s="797"/>
      <c r="U530" s="797"/>
      <c r="V530" s="797"/>
      <c r="W530" s="802">
        <f>IFERROR(VLOOKUP($Q530,'391'!$P:$AG,15,0),0)</f>
        <v>0</v>
      </c>
      <c r="X530" s="799">
        <f t="shared" si="312"/>
        <v>0</v>
      </c>
      <c r="Y530" s="797"/>
      <c r="Z530" s="785"/>
      <c r="AA530" s="797"/>
      <c r="AB530" s="797"/>
      <c r="AC530" s="683"/>
      <c r="AD530" s="683"/>
      <c r="AE530" s="683"/>
      <c r="AF530" s="683"/>
      <c r="AG530" s="683"/>
      <c r="AH530" s="683"/>
      <c r="AI530" s="705"/>
      <c r="AJ530" s="705"/>
      <c r="AK530" s="705"/>
      <c r="AL530" s="705"/>
      <c r="AM530" s="705"/>
      <c r="AN530" s="705"/>
      <c r="AO530" s="705"/>
      <c r="AP530" s="705"/>
      <c r="AQ530" s="705"/>
      <c r="AR530" s="705"/>
      <c r="AS530" s="705"/>
    </row>
    <row r="531" spans="1:45" s="13" customFormat="1" ht="30" hidden="1" customHeight="1" x14ac:dyDescent="0.25">
      <c r="A531" s="2078"/>
      <c r="B531" s="2069"/>
      <c r="C531" s="225"/>
      <c r="D531" s="866" t="s">
        <v>10</v>
      </c>
      <c r="E531" s="935">
        <v>45785</v>
      </c>
      <c r="F531" s="75">
        <f t="shared" ref="F531" si="333">$L$7-E531</f>
        <v>501</v>
      </c>
      <c r="G531" s="633">
        <v>0</v>
      </c>
      <c r="H531" s="300"/>
      <c r="I531" s="18"/>
      <c r="J531" s="1338"/>
      <c r="K531" s="18"/>
      <c r="L531" s="1669">
        <f t="shared" si="320"/>
        <v>0</v>
      </c>
      <c r="M531" s="48"/>
      <c r="N531" s="163"/>
      <c r="O531" s="48"/>
      <c r="P531" s="750"/>
      <c r="Q531" s="795"/>
      <c r="R531" s="785">
        <f>IFERROR(VLOOKUP($Q531,'391'!$S:$Z,8,0),"")</f>
        <v>0</v>
      </c>
      <c r="S531" s="796"/>
      <c r="T531" s="797"/>
      <c r="U531" s="797"/>
      <c r="V531" s="797"/>
      <c r="W531" s="802">
        <f>IFERROR(VLOOKUP($Q531,'391'!$P:$AG,15,0),0)</f>
        <v>0</v>
      </c>
      <c r="X531" s="799">
        <f t="shared" si="312"/>
        <v>0</v>
      </c>
      <c r="Y531" s="797"/>
      <c r="Z531" s="785"/>
      <c r="AA531" s="797"/>
      <c r="AB531" s="797"/>
      <c r="AC531" s="683"/>
      <c r="AD531" s="683"/>
      <c r="AE531" s="683"/>
      <c r="AF531" s="683"/>
      <c r="AG531" s="683"/>
      <c r="AH531" s="683"/>
      <c r="AI531" s="705"/>
      <c r="AJ531" s="705"/>
      <c r="AK531" s="705"/>
      <c r="AL531" s="705"/>
      <c r="AM531" s="705"/>
      <c r="AN531" s="705"/>
      <c r="AO531" s="705"/>
      <c r="AP531" s="705"/>
      <c r="AQ531" s="705"/>
      <c r="AR531" s="705"/>
      <c r="AS531" s="705"/>
    </row>
    <row r="532" spans="1:45" s="13" customFormat="1" ht="30" hidden="1" customHeight="1" x14ac:dyDescent="0.25">
      <c r="A532" s="2078"/>
      <c r="B532" s="2069"/>
      <c r="C532" s="225"/>
      <c r="D532" s="866" t="s">
        <v>10</v>
      </c>
      <c r="E532" s="935">
        <v>45785</v>
      </c>
      <c r="F532" s="75">
        <f t="shared" ref="F532" si="334">$L$7-E532</f>
        <v>501</v>
      </c>
      <c r="G532" s="633">
        <v>0</v>
      </c>
      <c r="H532" s="300"/>
      <c r="I532" s="18"/>
      <c r="J532" s="1338"/>
      <c r="K532" s="18"/>
      <c r="L532" s="1669">
        <f t="shared" si="320"/>
        <v>0</v>
      </c>
      <c r="M532" s="48"/>
      <c r="N532" s="163"/>
      <c r="O532" s="48"/>
      <c r="P532" s="750"/>
      <c r="Q532" s="795"/>
      <c r="R532" s="785">
        <f>IFERROR(VLOOKUP($Q532,'391'!$S:$Z,8,0),"")</f>
        <v>0</v>
      </c>
      <c r="S532" s="796"/>
      <c r="T532" s="797"/>
      <c r="U532" s="797"/>
      <c r="V532" s="797"/>
      <c r="W532" s="802">
        <f>IFERROR(VLOOKUP($Q532,'391'!$P:$AG,15,0),0)</f>
        <v>0</v>
      </c>
      <c r="X532" s="799">
        <f t="shared" si="312"/>
        <v>0</v>
      </c>
      <c r="Y532" s="797"/>
      <c r="Z532" s="785"/>
      <c r="AA532" s="797"/>
      <c r="AB532" s="797"/>
      <c r="AC532" s="683"/>
      <c r="AD532" s="683"/>
      <c r="AE532" s="683"/>
      <c r="AF532" s="683"/>
      <c r="AG532" s="683"/>
      <c r="AH532" s="683"/>
      <c r="AI532" s="705"/>
      <c r="AJ532" s="705"/>
      <c r="AK532" s="705"/>
      <c r="AL532" s="705"/>
      <c r="AM532" s="705"/>
      <c r="AN532" s="705"/>
      <c r="AO532" s="705"/>
      <c r="AP532" s="705"/>
      <c r="AQ532" s="705"/>
      <c r="AR532" s="705"/>
      <c r="AS532" s="705"/>
    </row>
    <row r="533" spans="1:45" s="13" customFormat="1" ht="30" hidden="1" customHeight="1" x14ac:dyDescent="0.25">
      <c r="A533" s="2078"/>
      <c r="B533" s="2069"/>
      <c r="C533" s="225" t="s">
        <v>360</v>
      </c>
      <c r="D533" s="866" t="s">
        <v>10</v>
      </c>
      <c r="E533" s="935">
        <v>45716</v>
      </c>
      <c r="F533" s="75">
        <f t="shared" ref="F533" si="335">$L$7-E533</f>
        <v>570</v>
      </c>
      <c r="G533" s="633">
        <v>0</v>
      </c>
      <c r="H533" s="300"/>
      <c r="I533" s="18"/>
      <c r="J533" s="1338"/>
      <c r="K533" s="18"/>
      <c r="L533" s="1669">
        <f t="shared" si="320"/>
        <v>0</v>
      </c>
      <c r="M533" s="48"/>
      <c r="N533" s="163"/>
      <c r="O533" s="48"/>
      <c r="P533" s="750"/>
      <c r="Q533" s="795"/>
      <c r="R533" s="785">
        <f>IFERROR(VLOOKUP($Q533,'391'!$S:$Z,8,0),"")</f>
        <v>0</v>
      </c>
      <c r="S533" s="796"/>
      <c r="T533" s="797"/>
      <c r="U533" s="797"/>
      <c r="V533" s="797"/>
      <c r="W533" s="802">
        <f>IFERROR(VLOOKUP($Q533,'391'!$P:$AG,15,0),0)</f>
        <v>0</v>
      </c>
      <c r="X533" s="799">
        <f t="shared" si="312"/>
        <v>0</v>
      </c>
      <c r="Y533" s="797"/>
      <c r="Z533" s="785"/>
      <c r="AA533" s="797"/>
      <c r="AB533" s="797"/>
      <c r="AC533" s="683"/>
      <c r="AD533" s="683"/>
      <c r="AE533" s="683"/>
      <c r="AF533" s="683"/>
      <c r="AG533" s="683"/>
      <c r="AH533" s="683"/>
      <c r="AI533" s="705"/>
      <c r="AJ533" s="705"/>
      <c r="AK533" s="705"/>
      <c r="AL533" s="705"/>
      <c r="AM533" s="705"/>
      <c r="AN533" s="705"/>
      <c r="AO533" s="705"/>
      <c r="AP533" s="705"/>
      <c r="AQ533" s="705"/>
      <c r="AR533" s="705"/>
      <c r="AS533" s="705"/>
    </row>
    <row r="534" spans="1:45" s="13" customFormat="1" ht="30" hidden="1" customHeight="1" x14ac:dyDescent="0.25">
      <c r="A534" s="2078"/>
      <c r="B534" s="2069"/>
      <c r="C534" s="225" t="s">
        <v>351</v>
      </c>
      <c r="D534" s="866" t="s">
        <v>10</v>
      </c>
      <c r="E534" s="935">
        <v>45705</v>
      </c>
      <c r="F534" s="75">
        <f t="shared" ref="F534:F537" si="336">$L$7-E534</f>
        <v>581</v>
      </c>
      <c r="G534" s="633">
        <v>0</v>
      </c>
      <c r="H534" s="300"/>
      <c r="I534" s="18"/>
      <c r="J534" s="1338"/>
      <c r="K534" s="18"/>
      <c r="L534" s="1669">
        <f t="shared" si="320"/>
        <v>0</v>
      </c>
      <c r="M534" s="48"/>
      <c r="N534" s="163"/>
      <c r="O534" s="48"/>
      <c r="P534" s="750"/>
      <c r="Q534" s="795"/>
      <c r="R534" s="785">
        <f>IFERROR(VLOOKUP($Q534,'391'!$S:$Z,8,0),"")</f>
        <v>0</v>
      </c>
      <c r="S534" s="796"/>
      <c r="T534" s="797"/>
      <c r="U534" s="797"/>
      <c r="V534" s="797"/>
      <c r="W534" s="802">
        <f>IFERROR(VLOOKUP($Q534,'391'!$P:$AG,15,0),0)</f>
        <v>0</v>
      </c>
      <c r="X534" s="799">
        <f t="shared" si="312"/>
        <v>0</v>
      </c>
      <c r="Y534" s="797"/>
      <c r="Z534" s="785"/>
      <c r="AA534" s="797"/>
      <c r="AB534" s="797"/>
      <c r="AC534" s="683"/>
      <c r="AD534" s="683"/>
      <c r="AE534" s="683"/>
      <c r="AF534" s="683"/>
      <c r="AG534" s="683"/>
      <c r="AH534" s="683"/>
      <c r="AI534" s="705"/>
      <c r="AJ534" s="705"/>
      <c r="AK534" s="705"/>
      <c r="AL534" s="705"/>
      <c r="AM534" s="705"/>
      <c r="AN534" s="705"/>
      <c r="AO534" s="705"/>
      <c r="AP534" s="705"/>
      <c r="AQ534" s="705"/>
      <c r="AR534" s="705"/>
      <c r="AS534" s="705"/>
    </row>
    <row r="535" spans="1:45" s="13" customFormat="1" ht="30" hidden="1" customHeight="1" x14ac:dyDescent="0.25">
      <c r="A535" s="2078"/>
      <c r="B535" s="2069"/>
      <c r="C535" s="225"/>
      <c r="D535" s="866" t="s">
        <v>10</v>
      </c>
      <c r="E535" s="935">
        <v>45373</v>
      </c>
      <c r="F535" s="75">
        <f t="shared" si="336"/>
        <v>913</v>
      </c>
      <c r="G535" s="633">
        <v>0</v>
      </c>
      <c r="H535" s="300"/>
      <c r="I535" s="18"/>
      <c r="J535" s="1338"/>
      <c r="K535" s="18"/>
      <c r="L535" s="531">
        <f t="shared" si="320"/>
        <v>0</v>
      </c>
      <c r="M535" s="48"/>
      <c r="N535" s="163"/>
      <c r="O535" s="48"/>
      <c r="P535" s="750"/>
      <c r="Q535" s="795"/>
      <c r="R535" s="785">
        <f>IFERROR(VLOOKUP($Q535,'391'!$S:$Z,8,0),"")</f>
        <v>0</v>
      </c>
      <c r="S535" s="796"/>
      <c r="T535" s="797"/>
      <c r="U535" s="797"/>
      <c r="V535" s="797"/>
      <c r="W535" s="802">
        <f>IFERROR(VLOOKUP($Q535,'391'!$P:$AG,15,0),0)</f>
        <v>0</v>
      </c>
      <c r="X535" s="799">
        <f t="shared" ref="X535:X541" si="337">G535-W535</f>
        <v>0</v>
      </c>
      <c r="Y535" s="797"/>
      <c r="Z535" s="785"/>
      <c r="AA535" s="797"/>
      <c r="AB535" s="797"/>
      <c r="AC535" s="683"/>
      <c r="AD535" s="683"/>
      <c r="AE535" s="683"/>
      <c r="AF535" s="683"/>
      <c r="AG535" s="683"/>
      <c r="AH535" s="683"/>
      <c r="AI535" s="705"/>
      <c r="AJ535" s="705"/>
      <c r="AK535" s="705"/>
      <c r="AL535" s="705"/>
      <c r="AM535" s="705"/>
      <c r="AN535" s="705"/>
      <c r="AO535" s="705"/>
      <c r="AP535" s="705"/>
      <c r="AQ535" s="705"/>
      <c r="AR535" s="705"/>
      <c r="AS535" s="705"/>
    </row>
    <row r="536" spans="1:45" s="13" customFormat="1" ht="30" hidden="1" customHeight="1" x14ac:dyDescent="0.25">
      <c r="A536" s="2078"/>
      <c r="B536" s="2069"/>
      <c r="C536" s="225"/>
      <c r="D536" s="866" t="s">
        <v>10</v>
      </c>
      <c r="E536" s="935">
        <v>45197</v>
      </c>
      <c r="F536" s="75">
        <f t="shared" si="336"/>
        <v>1089</v>
      </c>
      <c r="G536" s="633">
        <v>0</v>
      </c>
      <c r="H536" s="300"/>
      <c r="I536" s="18"/>
      <c r="J536" s="1338"/>
      <c r="K536" s="18"/>
      <c r="L536" s="531">
        <f t="shared" si="320"/>
        <v>0</v>
      </c>
      <c r="M536" s="48"/>
      <c r="N536" s="163"/>
      <c r="O536" s="48"/>
      <c r="P536" s="750"/>
      <c r="Q536" s="795"/>
      <c r="R536" s="785">
        <f>IFERROR(VLOOKUP($Q536,'391'!$S:$Z,8,0),"")</f>
        <v>0</v>
      </c>
      <c r="S536" s="796"/>
      <c r="T536" s="797"/>
      <c r="U536" s="797"/>
      <c r="V536" s="797"/>
      <c r="W536" s="802">
        <f>IFERROR(VLOOKUP($Q536,'391'!$P:$AG,15,0),0)</f>
        <v>0</v>
      </c>
      <c r="X536" s="799">
        <f t="shared" si="337"/>
        <v>0</v>
      </c>
      <c r="Y536" s="797"/>
      <c r="Z536" s="785"/>
      <c r="AA536" s="797"/>
      <c r="AB536" s="797"/>
      <c r="AC536" s="683"/>
      <c r="AD536" s="683"/>
      <c r="AE536" s="683"/>
      <c r="AF536" s="683"/>
      <c r="AG536" s="683"/>
      <c r="AH536" s="683"/>
      <c r="AI536" s="705"/>
      <c r="AJ536" s="705"/>
      <c r="AK536" s="705"/>
      <c r="AL536" s="705"/>
      <c r="AM536" s="705"/>
      <c r="AN536" s="705"/>
      <c r="AO536" s="705"/>
      <c r="AP536" s="705"/>
      <c r="AQ536" s="705"/>
      <c r="AR536" s="705"/>
      <c r="AS536" s="705"/>
    </row>
    <row r="537" spans="1:45" s="405" customFormat="1" ht="30" hidden="1" customHeight="1" x14ac:dyDescent="0.25">
      <c r="A537" s="2078"/>
      <c r="B537" s="2044"/>
      <c r="C537" s="61" t="s">
        <v>1609</v>
      </c>
      <c r="D537" s="863" t="s">
        <v>10</v>
      </c>
      <c r="E537" s="934">
        <v>45975</v>
      </c>
      <c r="F537" s="39">
        <f t="shared" si="336"/>
        <v>311</v>
      </c>
      <c r="G537" s="351">
        <v>0</v>
      </c>
      <c r="H537" s="300"/>
      <c r="I537" s="28">
        <f>+SUM(K523:K537)</f>
        <v>0</v>
      </c>
      <c r="J537" s="1295">
        <f>usage!I51</f>
        <v>0</v>
      </c>
      <c r="K537" s="28"/>
      <c r="L537" s="531">
        <f t="shared" si="320"/>
        <v>0</v>
      </c>
      <c r="M537" s="35"/>
      <c r="N537" s="87"/>
      <c r="O537" s="35"/>
      <c r="P537" s="751"/>
      <c r="Q537" s="666" t="s">
        <v>1587</v>
      </c>
      <c r="R537" s="785" t="str">
        <f>IFERROR(VLOOKUP($Q537,'391'!$S:$Z,8,0),"")</f>
        <v/>
      </c>
      <c r="S537" s="796"/>
      <c r="T537" s="797"/>
      <c r="U537" s="797"/>
      <c r="V537" s="797"/>
      <c r="W537" s="802">
        <f>IFERROR(VLOOKUP($Q537,'391'!$P:$AG,15,0),0)</f>
        <v>0</v>
      </c>
      <c r="X537" s="799">
        <f t="shared" si="337"/>
        <v>0</v>
      </c>
      <c r="Y537" s="797"/>
      <c r="Z537" s="785"/>
      <c r="AA537" s="797"/>
      <c r="AB537" s="797"/>
      <c r="AC537" s="683"/>
      <c r="AD537" s="683"/>
      <c r="AE537" s="683"/>
      <c r="AF537" s="683"/>
      <c r="AG537" s="683"/>
      <c r="AH537" s="683"/>
      <c r="AI537" s="705"/>
      <c r="AJ537" s="705"/>
      <c r="AK537" s="705"/>
      <c r="AL537" s="705"/>
      <c r="AM537" s="705"/>
      <c r="AN537" s="705"/>
      <c r="AO537" s="705"/>
      <c r="AP537" s="705"/>
      <c r="AQ537" s="705"/>
      <c r="AR537" s="705"/>
      <c r="AS537" s="705"/>
    </row>
    <row r="538" spans="1:45" s="265" customFormat="1" ht="30" hidden="1" customHeight="1" x14ac:dyDescent="0.25">
      <c r="A538" s="2019" t="s">
        <v>1184</v>
      </c>
      <c r="B538" s="2020"/>
      <c r="C538" s="88"/>
      <c r="D538" s="864"/>
      <c r="E538" s="864"/>
      <c r="F538" s="865"/>
      <c r="G538" s="1296">
        <v>0</v>
      </c>
      <c r="H538" s="1296">
        <f t="shared" ref="H538:L538" si="338">+SUM(H523:H537)</f>
        <v>0</v>
      </c>
      <c r="I538" s="1296">
        <f t="shared" si="338"/>
        <v>0</v>
      </c>
      <c r="J538" s="1296">
        <f t="shared" si="338"/>
        <v>0</v>
      </c>
      <c r="K538" s="1296">
        <f t="shared" si="338"/>
        <v>0</v>
      </c>
      <c r="L538" s="1296">
        <f t="shared" si="338"/>
        <v>0</v>
      </c>
      <c r="M538" s="59" t="str">
        <f>IFERROR((R538/$S$2),"")</f>
        <v/>
      </c>
      <c r="N538" s="854">
        <f>IFERROR(L538/M538,0)</f>
        <v>0</v>
      </c>
      <c r="O538" s="59">
        <f>IFERROR(SUMIF(ETM!$A:$A,$Q538,ETM!$E:$E),"")</f>
        <v>0</v>
      </c>
      <c r="P538" s="855">
        <f>IFERROR(L538/O538,0)</f>
        <v>0</v>
      </c>
      <c r="Q538" s="795" t="s">
        <v>822</v>
      </c>
      <c r="R538" s="785" t="str">
        <f>IFERROR(VLOOKUP($Q538,'391'!$S:$Z,8,0),"")</f>
        <v/>
      </c>
      <c r="S538" s="796"/>
      <c r="T538" s="797"/>
      <c r="U538" s="797"/>
      <c r="V538" s="797"/>
      <c r="W538" s="802">
        <f>IFERROR(VLOOKUP($Q538,'391'!$P:$AG,15,0),0)</f>
        <v>0</v>
      </c>
      <c r="X538" s="799">
        <f t="shared" si="337"/>
        <v>0</v>
      </c>
      <c r="Y538" s="797"/>
      <c r="Z538" s="785"/>
      <c r="AA538" s="797"/>
      <c r="AB538" s="797"/>
      <c r="AC538" s="551"/>
      <c r="AD538" s="551"/>
      <c r="AE538" s="551"/>
      <c r="AF538" s="551"/>
      <c r="AG538" s="551"/>
      <c r="AH538" s="551"/>
      <c r="AI538" s="704"/>
      <c r="AJ538" s="704"/>
      <c r="AK538" s="704"/>
      <c r="AL538" s="704"/>
      <c r="AM538" s="704"/>
      <c r="AN538" s="704"/>
      <c r="AO538" s="704"/>
      <c r="AP538" s="704"/>
      <c r="AQ538" s="704"/>
      <c r="AR538" s="704"/>
      <c r="AS538" s="704"/>
    </row>
    <row r="539" spans="1:45" s="400" customFormat="1" ht="30" hidden="1" customHeight="1" x14ac:dyDescent="0.25">
      <c r="A539" s="2021">
        <f>IF(L557=0,"",MAX($A$16:A538)+1)</f>
        <v>27</v>
      </c>
      <c r="B539" s="2024" t="s">
        <v>1234</v>
      </c>
      <c r="C539" s="110"/>
      <c r="D539" s="866" t="s">
        <v>10</v>
      </c>
      <c r="E539" s="933">
        <v>46050</v>
      </c>
      <c r="F539" s="1237">
        <f t="shared" ref="F539:F548" si="339">$L$7-E539</f>
        <v>236</v>
      </c>
      <c r="G539" s="18">
        <v>0</v>
      </c>
      <c r="H539" s="18"/>
      <c r="I539" s="18"/>
      <c r="J539" s="1338"/>
      <c r="K539" s="1379">
        <f>IFERROR(SUMIF(INTAKE!$A:$A,$T539,INTAKE!$P:$P),0)</f>
        <v>0</v>
      </c>
      <c r="L539" s="1669">
        <f t="shared" ref="L539:L556" si="340">+G539+H539+I539-J539-K539</f>
        <v>0</v>
      </c>
      <c r="M539" s="50"/>
      <c r="N539" s="167"/>
      <c r="O539" s="50"/>
      <c r="P539" s="747"/>
      <c r="Q539" s="795"/>
      <c r="R539" s="785">
        <f>IFERROR(VLOOKUP($Q539,'391'!$S:$Z,8,0),"")</f>
        <v>0</v>
      </c>
      <c r="S539" s="796"/>
      <c r="T539" s="787" t="str">
        <f>$Q$543&amp;C539&amp;E539</f>
        <v>Provisoy (VN)46050</v>
      </c>
      <c r="U539" s="797"/>
      <c r="V539" s="797"/>
      <c r="W539" s="802">
        <f>IFERROR(VLOOKUP($Q539,'391'!$P:$AG,15,0),0)</f>
        <v>0</v>
      </c>
      <c r="X539" s="799">
        <f t="shared" si="337"/>
        <v>0</v>
      </c>
      <c r="Y539" s="797"/>
      <c r="Z539" s="785"/>
      <c r="AA539" s="797"/>
      <c r="AB539" s="797"/>
      <c r="AC539" s="681"/>
      <c r="AD539" s="681"/>
      <c r="AE539" s="681"/>
      <c r="AF539" s="681"/>
      <c r="AG539" s="681"/>
      <c r="AH539" s="681"/>
      <c r="AI539" s="703"/>
      <c r="AJ539" s="703"/>
      <c r="AK539" s="703"/>
      <c r="AL539" s="703"/>
      <c r="AM539" s="703"/>
      <c r="AN539" s="703"/>
      <c r="AO539" s="703"/>
      <c r="AP539" s="703"/>
      <c r="AQ539" s="703"/>
      <c r="AR539" s="703"/>
      <c r="AS539" s="703"/>
    </row>
    <row r="540" spans="1:45" s="400" customFormat="1" ht="30" hidden="1" customHeight="1" x14ac:dyDescent="0.25">
      <c r="A540" s="2022"/>
      <c r="B540" s="2025"/>
      <c r="C540" s="110"/>
      <c r="D540" s="866" t="s">
        <v>10</v>
      </c>
      <c r="E540" s="933">
        <v>46128</v>
      </c>
      <c r="F540" s="1237">
        <f t="shared" si="339"/>
        <v>158</v>
      </c>
      <c r="G540" s="18">
        <v>0</v>
      </c>
      <c r="H540" s="18"/>
      <c r="I540" s="18"/>
      <c r="J540" s="1338"/>
      <c r="K540" s="1379">
        <f>IFERROR(SUMIF(INTAKE!$A:$A,$T540,INTAKE!$P:$P),0)</f>
        <v>0</v>
      </c>
      <c r="L540" s="1669">
        <f t="shared" si="340"/>
        <v>0</v>
      </c>
      <c r="M540" s="48"/>
      <c r="N540" s="163"/>
      <c r="O540" s="48"/>
      <c r="P540" s="750"/>
      <c r="Q540" s="795"/>
      <c r="R540" s="785">
        <f>IFERROR(VLOOKUP($Q540,'391'!$S:$Z,8,0),"")</f>
        <v>0</v>
      </c>
      <c r="S540" s="796"/>
      <c r="T540" s="787" t="str">
        <f t="shared" ref="T540:T551" si="341">$Q$543&amp;C540&amp;E540</f>
        <v>Provisoy (VN)46128</v>
      </c>
      <c r="U540" s="797"/>
      <c r="V540" s="797"/>
      <c r="W540" s="802">
        <f>IFERROR(VLOOKUP($Q540,'391'!$P:$AG,15,0),0)</f>
        <v>0</v>
      </c>
      <c r="X540" s="799">
        <f t="shared" si="337"/>
        <v>0</v>
      </c>
      <c r="Y540" s="797"/>
      <c r="Z540" s="785"/>
      <c r="AA540" s="797"/>
      <c r="AB540" s="797"/>
      <c r="AC540" s="681"/>
      <c r="AD540" s="681"/>
      <c r="AE540" s="681"/>
      <c r="AF540" s="681"/>
      <c r="AG540" s="681"/>
      <c r="AH540" s="681"/>
      <c r="AI540" s="703"/>
      <c r="AJ540" s="703"/>
      <c r="AK540" s="703"/>
      <c r="AL540" s="703"/>
      <c r="AM540" s="703"/>
      <c r="AN540" s="703"/>
      <c r="AO540" s="703"/>
      <c r="AP540" s="703"/>
      <c r="AQ540" s="703"/>
      <c r="AR540" s="703"/>
      <c r="AS540" s="703"/>
    </row>
    <row r="541" spans="1:45" s="400" customFormat="1" ht="28.5" customHeight="1" x14ac:dyDescent="0.25">
      <c r="A541" s="2022"/>
      <c r="B541" s="2107"/>
      <c r="C541" s="110" t="s">
        <v>1867</v>
      </c>
      <c r="D541" s="866" t="s">
        <v>10</v>
      </c>
      <c r="E541" s="933">
        <v>46260</v>
      </c>
      <c r="F541" s="1237">
        <f t="shared" ref="F541:F544" si="342">$L$7-E541</f>
        <v>26</v>
      </c>
      <c r="G541" s="18">
        <v>12500</v>
      </c>
      <c r="H541" s="18"/>
      <c r="I541" s="18"/>
      <c r="J541" s="1338"/>
      <c r="K541" s="1379">
        <f>IFERROR(SUMIF(INTAKE!$A:$A,$T541,INTAKE!$P:$P),0)</f>
        <v>5000</v>
      </c>
      <c r="L541" s="1669">
        <f t="shared" si="340"/>
        <v>7500</v>
      </c>
      <c r="M541" s="48"/>
      <c r="N541" s="163"/>
      <c r="O541" s="48"/>
      <c r="P541" s="750"/>
      <c r="Q541" s="795"/>
      <c r="R541" s="785">
        <f>IFERROR(VLOOKUP($Q541,'391'!$S:$Z,8,0),"")</f>
        <v>0</v>
      </c>
      <c r="S541" s="796"/>
      <c r="T541" s="787" t="str">
        <f t="shared" si="341"/>
        <v>Provisoy (VN)A18.346260</v>
      </c>
      <c r="U541" s="797"/>
      <c r="V541" s="797"/>
      <c r="W541" s="802">
        <f>IFERROR(VLOOKUP($Q541,'391'!$P:$AG,15,0),0)</f>
        <v>0</v>
      </c>
      <c r="X541" s="799">
        <f t="shared" si="337"/>
        <v>12500</v>
      </c>
      <c r="Y541" s="797"/>
      <c r="Z541" s="785"/>
      <c r="AA541" s="797"/>
      <c r="AB541" s="797"/>
      <c r="AC541" s="681"/>
      <c r="AD541" s="681"/>
      <c r="AE541" s="681"/>
      <c r="AF541" s="681"/>
      <c r="AG541" s="681"/>
      <c r="AH541" s="681"/>
      <c r="AI541" s="703"/>
      <c r="AJ541" s="703"/>
      <c r="AK541" s="703"/>
      <c r="AL541" s="703"/>
      <c r="AM541" s="703"/>
      <c r="AN541" s="703"/>
      <c r="AO541" s="703"/>
      <c r="AP541" s="703"/>
      <c r="AQ541" s="703"/>
      <c r="AR541" s="703"/>
      <c r="AS541" s="703"/>
    </row>
    <row r="542" spans="1:45" s="400" customFormat="1" ht="30" customHeight="1" x14ac:dyDescent="0.25">
      <c r="A542" s="2022"/>
      <c r="B542" s="2107"/>
      <c r="C542" s="110" t="s">
        <v>1923</v>
      </c>
      <c r="D542" s="866" t="s">
        <v>10</v>
      </c>
      <c r="E542" s="933">
        <v>46261</v>
      </c>
      <c r="F542" s="1237">
        <f t="shared" si="342"/>
        <v>25</v>
      </c>
      <c r="G542" s="18">
        <v>40000</v>
      </c>
      <c r="H542" s="18"/>
      <c r="I542" s="18"/>
      <c r="J542" s="1338"/>
      <c r="K542" s="1379">
        <f>IFERROR(SUMIF(INTAKE!$A:$A,$T542,INTAKE!$P:$P),0)</f>
        <v>0</v>
      </c>
      <c r="L542" s="1669">
        <f t="shared" si="340"/>
        <v>40000</v>
      </c>
      <c r="M542" s="48"/>
      <c r="N542" s="189"/>
      <c r="O542" s="48"/>
      <c r="P542" s="1291"/>
      <c r="Q542" s="808"/>
      <c r="R542" s="785">
        <f>IFERROR(VLOOKUP($Q542,'391'!$S:$Z,8,0),"")</f>
        <v>0</v>
      </c>
      <c r="S542" s="796"/>
      <c r="T542" s="787" t="str">
        <f t="shared" si="341"/>
        <v>Provisoy (VN)B18.246261</v>
      </c>
      <c r="U542" s="797"/>
      <c r="V542" s="797"/>
      <c r="W542" s="802"/>
      <c r="X542" s="799"/>
      <c r="Y542" s="797"/>
      <c r="Z542" s="785"/>
      <c r="AA542" s="797"/>
      <c r="AB542" s="797"/>
      <c r="AC542" s="681"/>
      <c r="AD542" s="681"/>
      <c r="AE542" s="681"/>
      <c r="AF542" s="681"/>
      <c r="AG542" s="681"/>
      <c r="AH542" s="681"/>
      <c r="AI542" s="703"/>
      <c r="AJ542" s="703"/>
      <c r="AK542" s="703"/>
      <c r="AL542" s="703"/>
      <c r="AM542" s="703"/>
      <c r="AN542" s="703"/>
      <c r="AO542" s="703"/>
      <c r="AP542" s="703"/>
      <c r="AQ542" s="703"/>
      <c r="AR542" s="703"/>
      <c r="AS542" s="703"/>
    </row>
    <row r="543" spans="1:45" s="400" customFormat="1" ht="30" customHeight="1" x14ac:dyDescent="0.25">
      <c r="A543" s="2022"/>
      <c r="B543" s="2108"/>
      <c r="C543" s="110" t="s">
        <v>1773</v>
      </c>
      <c r="D543" s="866" t="s">
        <v>10</v>
      </c>
      <c r="E543" s="933">
        <v>46262</v>
      </c>
      <c r="F543" s="1237">
        <f t="shared" si="342"/>
        <v>24</v>
      </c>
      <c r="G543" s="18">
        <v>40000</v>
      </c>
      <c r="H543" s="18"/>
      <c r="I543" s="18"/>
      <c r="J543" s="1338"/>
      <c r="K543" s="18"/>
      <c r="L543" s="1669">
        <f t="shared" ref="L543" si="343">+G543+H543+I543-J543-K543</f>
        <v>40000</v>
      </c>
      <c r="M543" s="48"/>
      <c r="N543" s="189"/>
      <c r="O543" s="48"/>
      <c r="P543" s="1291"/>
      <c r="Q543" s="666" t="s">
        <v>1234</v>
      </c>
      <c r="R543" s="785"/>
      <c r="S543" s="796"/>
      <c r="T543" s="787" t="str">
        <f t="shared" si="341"/>
        <v>Provisoy (VN)B17.146262</v>
      </c>
      <c r="U543" s="797"/>
      <c r="V543" s="797"/>
      <c r="W543" s="802"/>
      <c r="X543" s="799"/>
      <c r="Y543" s="797"/>
      <c r="Z543" s="785"/>
      <c r="AA543" s="797"/>
      <c r="AB543" s="797"/>
      <c r="AC543" s="681"/>
      <c r="AD543" s="681"/>
      <c r="AE543" s="681"/>
      <c r="AF543" s="681"/>
      <c r="AG543" s="681"/>
      <c r="AH543" s="681"/>
      <c r="AI543" s="703"/>
      <c r="AJ543" s="703"/>
      <c r="AK543" s="703"/>
      <c r="AL543" s="703"/>
      <c r="AM543" s="703"/>
      <c r="AN543" s="703"/>
      <c r="AO543" s="703"/>
      <c r="AP543" s="703"/>
      <c r="AQ543" s="703"/>
      <c r="AR543" s="703"/>
      <c r="AS543" s="703"/>
    </row>
    <row r="544" spans="1:45" s="400" customFormat="1" ht="30" customHeight="1" x14ac:dyDescent="0.25">
      <c r="A544" s="2022"/>
      <c r="B544" s="2107"/>
      <c r="C544" s="110" t="s">
        <v>1657</v>
      </c>
      <c r="D544" s="866" t="s">
        <v>10</v>
      </c>
      <c r="E544" s="933">
        <v>46273</v>
      </c>
      <c r="F544" s="1237">
        <f t="shared" si="342"/>
        <v>13</v>
      </c>
      <c r="G544" s="18">
        <v>40000</v>
      </c>
      <c r="H544" s="18"/>
      <c r="I544" s="18"/>
      <c r="J544" s="1338"/>
      <c r="K544" s="18"/>
      <c r="L544" s="1669">
        <f t="shared" si="340"/>
        <v>40000</v>
      </c>
      <c r="M544" s="48"/>
      <c r="N544" s="189"/>
      <c r="O544" s="48"/>
      <c r="P544" s="1291"/>
      <c r="Q544" s="808"/>
      <c r="R544" s="785"/>
      <c r="S544" s="796"/>
      <c r="T544" s="787" t="str">
        <f t="shared" si="341"/>
        <v>Provisoy (VN)B19.146273</v>
      </c>
      <c r="U544" s="797"/>
      <c r="V544" s="797"/>
      <c r="W544" s="802"/>
      <c r="X544" s="799"/>
      <c r="Y544" s="797"/>
      <c r="Z544" s="785"/>
      <c r="AA544" s="797"/>
      <c r="AB544" s="797"/>
      <c r="AC544" s="681"/>
      <c r="AD544" s="681"/>
      <c r="AE544" s="681"/>
      <c r="AF544" s="681"/>
      <c r="AG544" s="681"/>
      <c r="AH544" s="681"/>
      <c r="AI544" s="703"/>
      <c r="AJ544" s="703"/>
      <c r="AK544" s="703"/>
      <c r="AL544" s="703"/>
      <c r="AM544" s="703"/>
      <c r="AN544" s="703"/>
      <c r="AO544" s="703"/>
      <c r="AP544" s="703"/>
      <c r="AQ544" s="703"/>
      <c r="AR544" s="703"/>
      <c r="AS544" s="703"/>
    </row>
    <row r="545" spans="1:45" s="400" customFormat="1" ht="30" hidden="1" customHeight="1" x14ac:dyDescent="0.25">
      <c r="A545" s="2022"/>
      <c r="B545" s="2108"/>
      <c r="C545" s="110"/>
      <c r="D545" s="866" t="s">
        <v>10</v>
      </c>
      <c r="E545" s="933">
        <v>46273</v>
      </c>
      <c r="F545" s="1237">
        <f t="shared" si="339"/>
        <v>13</v>
      </c>
      <c r="G545" s="18"/>
      <c r="H545" s="18"/>
      <c r="I545" s="18"/>
      <c r="J545" s="1338"/>
      <c r="K545" s="18"/>
      <c r="L545" s="1669">
        <f t="shared" si="340"/>
        <v>0</v>
      </c>
      <c r="M545" s="48"/>
      <c r="N545" s="189"/>
      <c r="O545" s="48"/>
      <c r="P545" s="1291"/>
      <c r="Q545" s="808"/>
      <c r="R545" s="785"/>
      <c r="S545" s="796"/>
      <c r="T545" s="787" t="str">
        <f t="shared" si="341"/>
        <v>Provisoy (VN)46273</v>
      </c>
      <c r="U545" s="797"/>
      <c r="V545" s="797"/>
      <c r="W545" s="802"/>
      <c r="X545" s="799"/>
      <c r="Y545" s="797"/>
      <c r="Z545" s="785"/>
      <c r="AA545" s="797"/>
      <c r="AB545" s="797"/>
      <c r="AC545" s="681"/>
      <c r="AD545" s="681"/>
      <c r="AE545" s="681"/>
      <c r="AF545" s="681"/>
      <c r="AG545" s="681"/>
      <c r="AH545" s="681"/>
      <c r="AI545" s="703"/>
      <c r="AJ545" s="703"/>
      <c r="AK545" s="703"/>
      <c r="AL545" s="703"/>
      <c r="AM545" s="703"/>
      <c r="AN545" s="703"/>
      <c r="AO545" s="703"/>
      <c r="AP545" s="703"/>
      <c r="AQ545" s="703"/>
      <c r="AR545" s="703"/>
      <c r="AS545" s="703"/>
    </row>
    <row r="546" spans="1:45" s="400" customFormat="1" ht="30" hidden="1" customHeight="1" x14ac:dyDescent="0.25">
      <c r="A546" s="2022"/>
      <c r="B546" s="2108"/>
      <c r="C546" s="110"/>
      <c r="D546" s="866" t="s">
        <v>10</v>
      </c>
      <c r="E546" s="933">
        <v>46273</v>
      </c>
      <c r="F546" s="1237">
        <f t="shared" ref="F546" si="344">$L$7-E546</f>
        <v>13</v>
      </c>
      <c r="G546" s="18">
        <v>0</v>
      </c>
      <c r="H546" s="18"/>
      <c r="I546" s="18"/>
      <c r="J546" s="1338"/>
      <c r="K546" s="18"/>
      <c r="L546" s="1669">
        <f t="shared" ref="L546:L554" si="345">+G546+H546+I546-J546-K546</f>
        <v>0</v>
      </c>
      <c r="M546" s="48"/>
      <c r="N546" s="189"/>
      <c r="O546" s="48"/>
      <c r="P546" s="1291"/>
      <c r="Q546" s="808"/>
      <c r="R546" s="785"/>
      <c r="S546" s="796"/>
      <c r="T546" s="787" t="str">
        <f t="shared" si="341"/>
        <v>Provisoy (VN)46273</v>
      </c>
      <c r="U546" s="797"/>
      <c r="V546" s="797"/>
      <c r="W546" s="802"/>
      <c r="X546" s="799"/>
      <c r="Y546" s="797"/>
      <c r="Z546" s="785"/>
      <c r="AA546" s="797"/>
      <c r="AB546" s="797"/>
      <c r="AC546" s="681"/>
      <c r="AD546" s="681"/>
      <c r="AE546" s="681"/>
      <c r="AF546" s="681"/>
      <c r="AG546" s="681"/>
      <c r="AH546" s="681"/>
      <c r="AI546" s="703"/>
      <c r="AJ546" s="703"/>
      <c r="AK546" s="703"/>
      <c r="AL546" s="703"/>
      <c r="AM546" s="703"/>
      <c r="AN546" s="703"/>
      <c r="AO546" s="703"/>
      <c r="AP546" s="703"/>
      <c r="AQ546" s="703"/>
      <c r="AR546" s="703"/>
      <c r="AS546" s="703"/>
    </row>
    <row r="547" spans="1:45" s="400" customFormat="1" ht="30" hidden="1" customHeight="1" x14ac:dyDescent="0.25">
      <c r="A547" s="2022"/>
      <c r="B547" s="2108"/>
      <c r="C547" s="110"/>
      <c r="D547" s="866" t="s">
        <v>10</v>
      </c>
      <c r="E547" s="933">
        <v>46273</v>
      </c>
      <c r="F547" s="1237">
        <f t="shared" ref="F547" si="346">$L$7-E547</f>
        <v>13</v>
      </c>
      <c r="G547" s="18">
        <v>0</v>
      </c>
      <c r="H547" s="18"/>
      <c r="I547" s="18"/>
      <c r="J547" s="1338"/>
      <c r="K547" s="18"/>
      <c r="L547" s="1669">
        <f t="shared" si="345"/>
        <v>0</v>
      </c>
      <c r="M547" s="48"/>
      <c r="N547" s="189"/>
      <c r="O547" s="48"/>
      <c r="P547" s="1291"/>
      <c r="Q547" s="808"/>
      <c r="R547" s="785"/>
      <c r="S547" s="796"/>
      <c r="T547" s="787" t="str">
        <f t="shared" si="341"/>
        <v>Provisoy (VN)46273</v>
      </c>
      <c r="U547" s="797"/>
      <c r="V547" s="797"/>
      <c r="W547" s="802"/>
      <c r="X547" s="799"/>
      <c r="Y547" s="797"/>
      <c r="Z547" s="785"/>
      <c r="AA547" s="797"/>
      <c r="AB547" s="797"/>
      <c r="AC547" s="681"/>
      <c r="AD547" s="681"/>
      <c r="AE547" s="681"/>
      <c r="AF547" s="681"/>
      <c r="AG547" s="681"/>
      <c r="AH547" s="681"/>
      <c r="AI547" s="703"/>
      <c r="AJ547" s="703"/>
      <c r="AK547" s="703"/>
      <c r="AL547" s="703"/>
      <c r="AM547" s="703"/>
      <c r="AN547" s="703"/>
      <c r="AO547" s="703"/>
      <c r="AP547" s="703"/>
      <c r="AQ547" s="703"/>
      <c r="AR547" s="703"/>
      <c r="AS547" s="703"/>
    </row>
    <row r="548" spans="1:45" s="400" customFormat="1" ht="30" hidden="1" customHeight="1" x14ac:dyDescent="0.25">
      <c r="A548" s="2022"/>
      <c r="B548" s="2108"/>
      <c r="C548" s="110"/>
      <c r="D548" s="866" t="s">
        <v>10</v>
      </c>
      <c r="E548" s="933">
        <v>46273</v>
      </c>
      <c r="F548" s="1237">
        <f t="shared" si="339"/>
        <v>13</v>
      </c>
      <c r="G548" s="18">
        <v>0</v>
      </c>
      <c r="H548" s="18"/>
      <c r="I548" s="18"/>
      <c r="J548" s="1338"/>
      <c r="K548" s="18"/>
      <c r="L548" s="1669">
        <f t="shared" si="345"/>
        <v>0</v>
      </c>
      <c r="M548" s="48"/>
      <c r="N548" s="189"/>
      <c r="O548" s="48"/>
      <c r="P548" s="1291"/>
      <c r="Q548" s="808"/>
      <c r="R548" s="785"/>
      <c r="S548" s="796"/>
      <c r="T548" s="797" t="str">
        <f t="shared" si="341"/>
        <v>Provisoy (VN)46273</v>
      </c>
      <c r="U548" s="797"/>
      <c r="V548" s="797"/>
      <c r="W548" s="802"/>
      <c r="X548" s="799"/>
      <c r="Y548" s="797"/>
      <c r="Z548" s="785"/>
      <c r="AA548" s="797"/>
      <c r="AB548" s="797"/>
      <c r="AC548" s="681"/>
      <c r="AD548" s="681"/>
      <c r="AE548" s="681"/>
      <c r="AF548" s="681"/>
      <c r="AG548" s="681"/>
      <c r="AH548" s="681"/>
      <c r="AI548" s="703"/>
      <c r="AJ548" s="703"/>
      <c r="AK548" s="703"/>
      <c r="AL548" s="703"/>
      <c r="AM548" s="703"/>
      <c r="AN548" s="703"/>
      <c r="AO548" s="703"/>
      <c r="AP548" s="703"/>
      <c r="AQ548" s="703"/>
      <c r="AR548" s="703"/>
      <c r="AS548" s="703"/>
    </row>
    <row r="549" spans="1:45" s="400" customFormat="1" ht="30" hidden="1" customHeight="1" x14ac:dyDescent="0.25">
      <c r="A549" s="2022"/>
      <c r="B549" s="2108"/>
      <c r="C549" s="110"/>
      <c r="D549" s="866" t="s">
        <v>10</v>
      </c>
      <c r="E549" s="933">
        <v>46262</v>
      </c>
      <c r="F549" s="1237">
        <f t="shared" ref="F549" si="347">$L$7-E549</f>
        <v>24</v>
      </c>
      <c r="G549" s="18">
        <v>0</v>
      </c>
      <c r="H549" s="18"/>
      <c r="I549" s="18"/>
      <c r="J549" s="1338"/>
      <c r="K549" s="18"/>
      <c r="L549" s="1669">
        <f t="shared" si="345"/>
        <v>0</v>
      </c>
      <c r="M549" s="48"/>
      <c r="N549" s="189"/>
      <c r="O549" s="48"/>
      <c r="P549" s="1291"/>
      <c r="Q549" s="808"/>
      <c r="R549" s="785"/>
      <c r="S549" s="796"/>
      <c r="T549" s="797" t="str">
        <f t="shared" si="341"/>
        <v>Provisoy (VN)46262</v>
      </c>
      <c r="U549" s="797"/>
      <c r="V549" s="797"/>
      <c r="W549" s="802"/>
      <c r="X549" s="799"/>
      <c r="Y549" s="797"/>
      <c r="Z549" s="785"/>
      <c r="AA549" s="797"/>
      <c r="AB549" s="797"/>
      <c r="AC549" s="681"/>
      <c r="AD549" s="681"/>
      <c r="AE549" s="681"/>
      <c r="AF549" s="681"/>
      <c r="AG549" s="681"/>
      <c r="AH549" s="681"/>
      <c r="AI549" s="703"/>
      <c r="AJ549" s="703"/>
      <c r="AK549" s="703"/>
      <c r="AL549" s="703"/>
      <c r="AM549" s="703"/>
      <c r="AN549" s="703"/>
      <c r="AO549" s="703"/>
      <c r="AP549" s="703"/>
      <c r="AQ549" s="703"/>
      <c r="AR549" s="703"/>
      <c r="AS549" s="703"/>
    </row>
    <row r="550" spans="1:45" s="400" customFormat="1" ht="30" hidden="1" customHeight="1" x14ac:dyDescent="0.25">
      <c r="A550" s="2022"/>
      <c r="B550" s="2108"/>
      <c r="C550" s="110"/>
      <c r="D550" s="866" t="s">
        <v>10</v>
      </c>
      <c r="E550" s="933">
        <v>46262</v>
      </c>
      <c r="F550" s="1237">
        <f t="shared" ref="F550" si="348">$L$7-E550</f>
        <v>24</v>
      </c>
      <c r="G550" s="18">
        <v>0</v>
      </c>
      <c r="H550" s="18"/>
      <c r="I550" s="18"/>
      <c r="J550" s="1338"/>
      <c r="K550" s="18"/>
      <c r="L550" s="1669">
        <f t="shared" ref="L550" si="349">+G550+H550+I550-J550-K550</f>
        <v>0</v>
      </c>
      <c r="M550" s="48"/>
      <c r="N550" s="189"/>
      <c r="O550" s="48"/>
      <c r="P550" s="1291"/>
      <c r="Q550" s="808"/>
      <c r="R550" s="785"/>
      <c r="S550" s="796"/>
      <c r="T550" s="797" t="str">
        <f t="shared" si="341"/>
        <v>Provisoy (VN)46262</v>
      </c>
      <c r="U550" s="797"/>
      <c r="V550" s="797"/>
      <c r="W550" s="802"/>
      <c r="X550" s="799"/>
      <c r="Y550" s="797"/>
      <c r="Z550" s="785"/>
      <c r="AA550" s="797"/>
      <c r="AB550" s="797"/>
      <c r="AC550" s="681"/>
      <c r="AD550" s="681"/>
      <c r="AE550" s="681"/>
      <c r="AF550" s="681"/>
      <c r="AG550" s="681"/>
      <c r="AH550" s="681"/>
      <c r="AI550" s="703"/>
      <c r="AJ550" s="703"/>
      <c r="AK550" s="703"/>
      <c r="AL550" s="703"/>
      <c r="AM550" s="703"/>
      <c r="AN550" s="703"/>
      <c r="AO550" s="703"/>
      <c r="AP550" s="703"/>
      <c r="AQ550" s="703"/>
      <c r="AR550" s="703"/>
      <c r="AS550" s="703"/>
    </row>
    <row r="551" spans="1:45" s="400" customFormat="1" ht="30" hidden="1" customHeight="1" x14ac:dyDescent="0.25">
      <c r="A551" s="2022"/>
      <c r="B551" s="2108"/>
      <c r="C551" s="110"/>
      <c r="D551" s="866" t="s">
        <v>10</v>
      </c>
      <c r="E551" s="933">
        <v>46262</v>
      </c>
      <c r="F551" s="1237">
        <f t="shared" ref="F551:F552" si="350">$L$7-E551</f>
        <v>24</v>
      </c>
      <c r="G551" s="18">
        <v>0</v>
      </c>
      <c r="H551" s="18"/>
      <c r="I551" s="18"/>
      <c r="J551" s="1338"/>
      <c r="K551" s="18"/>
      <c r="L551" s="1669">
        <f t="shared" si="345"/>
        <v>0</v>
      </c>
      <c r="M551" s="48"/>
      <c r="N551" s="189"/>
      <c r="O551" s="48"/>
      <c r="P551" s="1291"/>
      <c r="Q551" s="808"/>
      <c r="R551" s="785"/>
      <c r="S551" s="796"/>
      <c r="T551" s="797" t="str">
        <f t="shared" si="341"/>
        <v>Provisoy (VN)46262</v>
      </c>
      <c r="U551" s="797"/>
      <c r="V551" s="797"/>
      <c r="W551" s="802"/>
      <c r="X551" s="799"/>
      <c r="Y551" s="797"/>
      <c r="Z551" s="785"/>
      <c r="AA551" s="797"/>
      <c r="AB551" s="797"/>
      <c r="AC551" s="681"/>
      <c r="AD551" s="681"/>
      <c r="AE551" s="681"/>
      <c r="AF551" s="681"/>
      <c r="AG551" s="681"/>
      <c r="AH551" s="681"/>
      <c r="AI551" s="703"/>
      <c r="AJ551" s="703"/>
      <c r="AK551" s="703"/>
      <c r="AL551" s="703"/>
      <c r="AM551" s="703"/>
      <c r="AN551" s="703"/>
      <c r="AO551" s="703"/>
      <c r="AP551" s="703"/>
      <c r="AQ551" s="703"/>
      <c r="AR551" s="703"/>
      <c r="AS551" s="703"/>
    </row>
    <row r="552" spans="1:45" s="400" customFormat="1" ht="30" hidden="1" customHeight="1" x14ac:dyDescent="0.25">
      <c r="A552" s="2022"/>
      <c r="B552" s="2108"/>
      <c r="C552" s="110"/>
      <c r="D552" s="866" t="s">
        <v>10</v>
      </c>
      <c r="E552" s="933">
        <v>45896</v>
      </c>
      <c r="F552" s="1237">
        <f t="shared" si="350"/>
        <v>390</v>
      </c>
      <c r="G552" s="18">
        <v>0</v>
      </c>
      <c r="H552" s="18"/>
      <c r="I552" s="18"/>
      <c r="J552" s="1338"/>
      <c r="K552" s="18"/>
      <c r="L552" s="1669">
        <f t="shared" si="345"/>
        <v>0</v>
      </c>
      <c r="M552" s="48"/>
      <c r="N552" s="189"/>
      <c r="O552" s="48"/>
      <c r="P552" s="1291"/>
      <c r="Q552" s="808"/>
      <c r="R552" s="785"/>
      <c r="S552" s="796"/>
      <c r="T552" s="797"/>
      <c r="U552" s="797"/>
      <c r="V552" s="797"/>
      <c r="W552" s="802"/>
      <c r="X552" s="799"/>
      <c r="Y552" s="797"/>
      <c r="Z552" s="785"/>
      <c r="AA552" s="797"/>
      <c r="AB552" s="797"/>
      <c r="AC552" s="681"/>
      <c r="AD552" s="681"/>
      <c r="AE552" s="681"/>
      <c r="AF552" s="681"/>
      <c r="AG552" s="681"/>
      <c r="AH552" s="681"/>
      <c r="AI552" s="703"/>
      <c r="AJ552" s="703"/>
      <c r="AK552" s="703"/>
      <c r="AL552" s="703"/>
      <c r="AM552" s="703"/>
      <c r="AN552" s="703"/>
      <c r="AO552" s="703"/>
      <c r="AP552" s="703"/>
      <c r="AQ552" s="703"/>
      <c r="AR552" s="703"/>
      <c r="AS552" s="703"/>
    </row>
    <row r="553" spans="1:45" s="400" customFormat="1" ht="30" hidden="1" customHeight="1" x14ac:dyDescent="0.25">
      <c r="A553" s="2022"/>
      <c r="B553" s="2108"/>
      <c r="C553" s="110"/>
      <c r="D553" s="866" t="s">
        <v>10</v>
      </c>
      <c r="E553" s="933">
        <v>45896</v>
      </c>
      <c r="F553" s="1237">
        <f t="shared" ref="F553" si="351">$L$7-E553</f>
        <v>390</v>
      </c>
      <c r="G553" s="18">
        <v>0</v>
      </c>
      <c r="H553" s="18"/>
      <c r="I553" s="18"/>
      <c r="J553" s="1338"/>
      <c r="K553" s="18"/>
      <c r="L553" s="1669">
        <f t="shared" si="345"/>
        <v>0</v>
      </c>
      <c r="M553" s="48"/>
      <c r="N553" s="189"/>
      <c r="O553" s="48"/>
      <c r="P553" s="1291"/>
      <c r="Q553" s="808"/>
      <c r="R553" s="785"/>
      <c r="S553" s="796"/>
      <c r="T553" s="797"/>
      <c r="U553" s="797"/>
      <c r="V553" s="797"/>
      <c r="W553" s="802"/>
      <c r="X553" s="799"/>
      <c r="Y553" s="797"/>
      <c r="Z553" s="785"/>
      <c r="AA553" s="797"/>
      <c r="AB553" s="797"/>
      <c r="AC553" s="681"/>
      <c r="AD553" s="681"/>
      <c r="AE553" s="681"/>
      <c r="AF553" s="681"/>
      <c r="AG553" s="681"/>
      <c r="AH553" s="681"/>
      <c r="AI553" s="703"/>
      <c r="AJ553" s="703"/>
      <c r="AK553" s="703"/>
      <c r="AL553" s="703"/>
      <c r="AM553" s="703"/>
      <c r="AN553" s="703"/>
      <c r="AO553" s="703"/>
      <c r="AP553" s="703"/>
      <c r="AQ553" s="703"/>
      <c r="AR553" s="703"/>
      <c r="AS553" s="703"/>
    </row>
    <row r="554" spans="1:45" s="400" customFormat="1" ht="30" hidden="1" customHeight="1" x14ac:dyDescent="0.25">
      <c r="A554" s="2022"/>
      <c r="B554" s="2108"/>
      <c r="C554" s="110"/>
      <c r="D554" s="866" t="s">
        <v>10</v>
      </c>
      <c r="E554" s="933">
        <v>45896</v>
      </c>
      <c r="F554" s="1237">
        <f t="shared" ref="F554" si="352">$L$7-E554</f>
        <v>390</v>
      </c>
      <c r="G554" s="18">
        <v>0</v>
      </c>
      <c r="H554" s="18"/>
      <c r="I554" s="18"/>
      <c r="J554" s="1338"/>
      <c r="K554" s="18"/>
      <c r="L554" s="1669">
        <f t="shared" si="345"/>
        <v>0</v>
      </c>
      <c r="M554" s="48"/>
      <c r="N554" s="189"/>
      <c r="O554" s="48"/>
      <c r="P554" s="1291"/>
      <c r="Q554" s="808"/>
      <c r="R554" s="785"/>
      <c r="S554" s="796"/>
      <c r="T554" s="797"/>
      <c r="U554" s="797"/>
      <c r="V554" s="797"/>
      <c r="W554" s="802"/>
      <c r="X554" s="799"/>
      <c r="Y554" s="797"/>
      <c r="Z554" s="785"/>
      <c r="AA554" s="797"/>
      <c r="AB554" s="797"/>
      <c r="AC554" s="681"/>
      <c r="AD554" s="681"/>
      <c r="AE554" s="681"/>
      <c r="AF554" s="681"/>
      <c r="AG554" s="681"/>
      <c r="AH554" s="681"/>
      <c r="AI554" s="703"/>
      <c r="AJ554" s="703"/>
      <c r="AK554" s="703"/>
      <c r="AL554" s="703"/>
      <c r="AM554" s="703"/>
      <c r="AN554" s="703"/>
      <c r="AO554" s="703"/>
      <c r="AP554" s="703"/>
      <c r="AQ554" s="703"/>
      <c r="AR554" s="703"/>
      <c r="AS554" s="703"/>
    </row>
    <row r="555" spans="1:45" s="400" customFormat="1" ht="30" hidden="1" customHeight="1" x14ac:dyDescent="0.25">
      <c r="A555" s="2022"/>
      <c r="B555" s="2108"/>
      <c r="C555" s="110"/>
      <c r="D555" s="866" t="s">
        <v>10</v>
      </c>
      <c r="E555" s="933">
        <v>45896</v>
      </c>
      <c r="F555" s="1237">
        <f t="shared" ref="F555" si="353">$L$7-E555</f>
        <v>390</v>
      </c>
      <c r="G555" s="18">
        <v>0</v>
      </c>
      <c r="H555" s="18"/>
      <c r="I555" s="18"/>
      <c r="J555" s="1338"/>
      <c r="K555" s="18"/>
      <c r="L555" s="1669">
        <f t="shared" ref="L555" si="354">+G555+H555+I555-J555-K555</f>
        <v>0</v>
      </c>
      <c r="M555" s="48"/>
      <c r="N555" s="189"/>
      <c r="O555" s="48"/>
      <c r="P555" s="1291"/>
      <c r="Q555" s="808"/>
      <c r="R555" s="785"/>
      <c r="S555" s="796"/>
      <c r="T555" s="797"/>
      <c r="U555" s="797"/>
      <c r="V555" s="797"/>
      <c r="W555" s="802"/>
      <c r="X555" s="799"/>
      <c r="Y555" s="797"/>
      <c r="Z555" s="785"/>
      <c r="AA555" s="797"/>
      <c r="AB555" s="797"/>
      <c r="AC555" s="681"/>
      <c r="AD555" s="681"/>
      <c r="AE555" s="681"/>
      <c r="AF555" s="681"/>
      <c r="AG555" s="681"/>
      <c r="AH555" s="681"/>
      <c r="AI555" s="703"/>
      <c r="AJ555" s="703"/>
      <c r="AK555" s="703"/>
      <c r="AL555" s="703"/>
      <c r="AM555" s="703"/>
      <c r="AN555" s="703"/>
      <c r="AO555" s="703"/>
      <c r="AP555" s="703"/>
      <c r="AQ555" s="703"/>
      <c r="AR555" s="703"/>
      <c r="AS555" s="703"/>
    </row>
    <row r="556" spans="1:45" s="401" customFormat="1" ht="30" customHeight="1" x14ac:dyDescent="0.25">
      <c r="A556" s="2022"/>
      <c r="B556" s="2025"/>
      <c r="C556" s="61" t="s">
        <v>1609</v>
      </c>
      <c r="D556" s="863" t="s">
        <v>10</v>
      </c>
      <c r="E556" s="934">
        <v>46260</v>
      </c>
      <c r="F556" s="75">
        <f t="shared" ref="F556" si="355">$L$7-E556</f>
        <v>26</v>
      </c>
      <c r="G556" s="28">
        <f>13748-3142</f>
        <v>10606</v>
      </c>
      <c r="H556" s="28"/>
      <c r="I556" s="28">
        <f>SUM(K539:K544)</f>
        <v>5000</v>
      </c>
      <c r="J556" s="1295">
        <f>usage!I50</f>
        <v>168</v>
      </c>
      <c r="K556" s="28"/>
      <c r="L556" s="531">
        <f t="shared" si="340"/>
        <v>15438</v>
      </c>
      <c r="M556" s="31"/>
      <c r="N556" s="920"/>
      <c r="O556" s="31"/>
      <c r="P556" s="857"/>
      <c r="Q556" s="795"/>
      <c r="R556" s="785">
        <f>IFERROR(VLOOKUP($Q556,'391'!$P:$W,8,0),"")</f>
        <v>0</v>
      </c>
      <c r="S556" s="796"/>
      <c r="T556" s="797"/>
      <c r="U556" s="797"/>
      <c r="V556" s="797"/>
      <c r="W556" s="802">
        <f>IFERROR(VLOOKUP($Q556,'391'!$P:$AG,15,0),0)</f>
        <v>0</v>
      </c>
      <c r="X556" s="799">
        <f t="shared" ref="X556:X585" si="356">G556-W556</f>
        <v>10606</v>
      </c>
      <c r="Y556" s="797"/>
      <c r="Z556" s="785"/>
      <c r="AA556" s="797"/>
      <c r="AB556" s="797"/>
      <c r="AC556" s="681"/>
      <c r="AD556" s="681"/>
      <c r="AE556" s="681"/>
      <c r="AF556" s="681"/>
      <c r="AG556" s="681"/>
      <c r="AH556" s="681"/>
      <c r="AI556" s="703"/>
      <c r="AJ556" s="703"/>
      <c r="AK556" s="703"/>
      <c r="AL556" s="703"/>
      <c r="AM556" s="703"/>
      <c r="AN556" s="703"/>
      <c r="AO556" s="703"/>
      <c r="AP556" s="703"/>
      <c r="AQ556" s="703"/>
      <c r="AR556" s="703"/>
      <c r="AS556" s="703"/>
    </row>
    <row r="557" spans="1:45" s="265" customFormat="1" ht="30" customHeight="1" x14ac:dyDescent="0.25">
      <c r="A557" s="2019" t="s">
        <v>1235</v>
      </c>
      <c r="B557" s="2020"/>
      <c r="C557" s="2127" t="s">
        <v>493</v>
      </c>
      <c r="D557" s="2127"/>
      <c r="E557" s="2127"/>
      <c r="F557" s="2128"/>
      <c r="G557" s="1296">
        <f>+SUM(G541:G556)</f>
        <v>143106</v>
      </c>
      <c r="H557" s="1296">
        <f>+SUM(H539:H556)</f>
        <v>0</v>
      </c>
      <c r="I557" s="1296">
        <f t="shared" ref="I557:L557" si="357">+SUM(I539:I556)</f>
        <v>5000</v>
      </c>
      <c r="J557" s="1296">
        <f t="shared" si="357"/>
        <v>168</v>
      </c>
      <c r="K557" s="1296">
        <f t="shared" si="357"/>
        <v>5000</v>
      </c>
      <c r="L557" s="1296">
        <f t="shared" si="357"/>
        <v>142938</v>
      </c>
      <c r="M557" s="59">
        <f>IFERROR((R557/$S$2),"")</f>
        <v>10543.5</v>
      </c>
      <c r="N557" s="366">
        <f>IFERROR(L557/M557,0)</f>
        <v>13.55697823303457</v>
      </c>
      <c r="O557" s="59">
        <f>IFERROR(SUMIF(ETM!$A:$A,$Q557,ETM!$E:$E),"")</f>
        <v>8396.6666666666661</v>
      </c>
      <c r="P557" s="855">
        <f>IFERROR(L557/O557,0)</f>
        <v>17.023183803096469</v>
      </c>
      <c r="Q557" s="795" t="s">
        <v>1244</v>
      </c>
      <c r="R557" s="785">
        <f>IFERROR(VLOOKUP($Q557,'391'!$P:$W,8,0),"")-R568</f>
        <v>63261</v>
      </c>
      <c r="S557" s="796"/>
      <c r="T557" s="797"/>
      <c r="U557" s="797"/>
      <c r="V557" s="797"/>
      <c r="W557" s="802">
        <f>IFERROR(VLOOKUP($Q557,'391'!$P:$AG,15,0),0)</f>
        <v>190215</v>
      </c>
      <c r="X557" s="1995">
        <f>G557+G568-W557</f>
        <v>0</v>
      </c>
      <c r="Y557" s="797"/>
      <c r="Z557" s="785"/>
      <c r="AA557" s="797"/>
      <c r="AB557" s="797"/>
      <c r="AC557" s="551"/>
      <c r="AD557" s="551"/>
      <c r="AE557" s="551"/>
      <c r="AF557" s="551"/>
      <c r="AG557" s="551"/>
      <c r="AH557" s="551"/>
      <c r="AI557" s="704"/>
      <c r="AJ557" s="704"/>
      <c r="AK557" s="704"/>
      <c r="AL557" s="704"/>
      <c r="AM557" s="704"/>
      <c r="AN557" s="704"/>
      <c r="AO557" s="704"/>
      <c r="AP557" s="704"/>
      <c r="AQ557" s="704"/>
      <c r="AR557" s="704"/>
      <c r="AS557" s="704"/>
    </row>
    <row r="558" spans="1:45" s="13" customFormat="1" ht="30" hidden="1" customHeight="1" x14ac:dyDescent="0.25">
      <c r="A558" s="2083" t="str">
        <f>IF(L560=0,"",MAX($A$16:A557)+1)</f>
        <v/>
      </c>
      <c r="B558" s="2113" t="s">
        <v>356</v>
      </c>
      <c r="C558" s="574" t="s">
        <v>194</v>
      </c>
      <c r="D558" s="881" t="s">
        <v>10</v>
      </c>
      <c r="E558" s="882"/>
      <c r="F558" s="71"/>
      <c r="G558" s="300">
        <v>0</v>
      </c>
      <c r="H558" s="300"/>
      <c r="I558" s="300"/>
      <c r="J558" s="1300"/>
      <c r="K558" s="300"/>
      <c r="L558" s="531">
        <f t="shared" ref="L558:L574" si="358">+G558+H558+I558-J558-K558</f>
        <v>0</v>
      </c>
      <c r="M558" s="48"/>
      <c r="N558" s="163"/>
      <c r="O558" s="48"/>
      <c r="P558" s="857"/>
      <c r="Q558" s="795"/>
      <c r="R558" s="785">
        <f>IFERROR(VLOOKUP($Q558,'391'!$P:$W,8,0),"")</f>
        <v>0</v>
      </c>
      <c r="S558" s="796"/>
      <c r="T558" s="797"/>
      <c r="U558" s="797"/>
      <c r="V558" s="797"/>
      <c r="W558" s="802">
        <f>IFERROR(VLOOKUP($Q558,'391'!$P:$AG,15,0),0)</f>
        <v>0</v>
      </c>
      <c r="X558" s="799">
        <f t="shared" si="356"/>
        <v>0</v>
      </c>
      <c r="Y558" s="797"/>
      <c r="Z558" s="785"/>
      <c r="AA558" s="797"/>
      <c r="AB558" s="797"/>
      <c r="AC558" s="683"/>
      <c r="AD558" s="683"/>
      <c r="AE558" s="683"/>
      <c r="AF558" s="683"/>
      <c r="AG558" s="683"/>
      <c r="AH558" s="683"/>
      <c r="AI558" s="705"/>
      <c r="AJ558" s="705"/>
      <c r="AK558" s="705"/>
      <c r="AL558" s="705"/>
      <c r="AM558" s="705"/>
      <c r="AN558" s="705"/>
      <c r="AO558" s="705"/>
      <c r="AP558" s="705"/>
      <c r="AQ558" s="705"/>
      <c r="AR558" s="705"/>
      <c r="AS558" s="705"/>
    </row>
    <row r="559" spans="1:45" s="13" customFormat="1" ht="30" hidden="1" customHeight="1" x14ac:dyDescent="0.25">
      <c r="A559" s="2085"/>
      <c r="B559" s="2085"/>
      <c r="C559" s="138" t="s">
        <v>76</v>
      </c>
      <c r="D559" s="884" t="s">
        <v>10</v>
      </c>
      <c r="E559" s="885"/>
      <c r="F559" s="293"/>
      <c r="G559" s="313">
        <v>0</v>
      </c>
      <c r="H559" s="28"/>
      <c r="I559" s="28"/>
      <c r="J559" s="1295">
        <f>+usage!I64</f>
        <v>0</v>
      </c>
      <c r="K559" s="28"/>
      <c r="L559" s="531">
        <f t="shared" si="358"/>
        <v>0</v>
      </c>
      <c r="M559" s="35"/>
      <c r="N559" s="920"/>
      <c r="O559" s="35"/>
      <c r="P559" s="857"/>
      <c r="Q559" s="795"/>
      <c r="R559" s="785">
        <f>IFERROR(VLOOKUP($Q559,'391'!$P:$W,8,0),"")</f>
        <v>0</v>
      </c>
      <c r="S559" s="796"/>
      <c r="T559" s="797"/>
      <c r="U559" s="797"/>
      <c r="V559" s="797"/>
      <c r="W559" s="802">
        <f>IFERROR(VLOOKUP($Q559,'391'!$P:$AG,15,0),0)</f>
        <v>0</v>
      </c>
      <c r="X559" s="799">
        <f t="shared" si="356"/>
        <v>0</v>
      </c>
      <c r="Y559" s="797"/>
      <c r="Z559" s="785"/>
      <c r="AA559" s="797"/>
      <c r="AB559" s="797"/>
      <c r="AC559" s="683"/>
      <c r="AD559" s="683"/>
      <c r="AE559" s="683"/>
      <c r="AF559" s="683"/>
      <c r="AG559" s="683"/>
      <c r="AH559" s="683"/>
      <c r="AI559" s="705"/>
      <c r="AJ559" s="705"/>
      <c r="AK559" s="705"/>
      <c r="AL559" s="705"/>
      <c r="AM559" s="705"/>
      <c r="AN559" s="705"/>
      <c r="AO559" s="705"/>
      <c r="AP559" s="705"/>
      <c r="AQ559" s="705"/>
      <c r="AR559" s="705"/>
      <c r="AS559" s="705"/>
    </row>
    <row r="560" spans="1:45" s="265" customFormat="1" ht="30" hidden="1" customHeight="1" x14ac:dyDescent="0.25">
      <c r="A560" s="184"/>
      <c r="B560" s="184" t="s">
        <v>358</v>
      </c>
      <c r="C560" s="575"/>
      <c r="D560" s="900"/>
      <c r="E560" s="901"/>
      <c r="F560" s="902"/>
      <c r="G560" s="1336">
        <v>0</v>
      </c>
      <c r="H560" s="1336">
        <f>+SUM(H558:H559)</f>
        <v>0</v>
      </c>
      <c r="I560" s="1336">
        <f t="shared" ref="I560:J560" si="359">+SUM(I558:I559)</f>
        <v>0</v>
      </c>
      <c r="J560" s="1336">
        <f t="shared" si="359"/>
        <v>0</v>
      </c>
      <c r="K560" s="1336">
        <f t="shared" ref="K560" si="360">+SUM(K558:K559)</f>
        <v>0</v>
      </c>
      <c r="L560" s="531">
        <f t="shared" si="358"/>
        <v>0</v>
      </c>
      <c r="M560" s="59"/>
      <c r="N560" s="920">
        <f>IFERROR((L560/M560),0)</f>
        <v>0</v>
      </c>
      <c r="O560" s="59"/>
      <c r="P560" s="857">
        <f>IFERROR((L560/O560),0)</f>
        <v>0</v>
      </c>
      <c r="Q560" s="795"/>
      <c r="R560" s="785">
        <f>IFERROR(VLOOKUP($Q560,'391'!$P:$W,8,0),"")</f>
        <v>0</v>
      </c>
      <c r="S560" s="796"/>
      <c r="T560" s="797"/>
      <c r="U560" s="797"/>
      <c r="V560" s="797"/>
      <c r="W560" s="802">
        <f>IFERROR(VLOOKUP($Q560,'391'!$P:$AG,15,0),0)</f>
        <v>0</v>
      </c>
      <c r="X560" s="799">
        <f t="shared" si="356"/>
        <v>0</v>
      </c>
      <c r="Y560" s="797"/>
      <c r="Z560" s="785"/>
      <c r="AA560" s="797"/>
      <c r="AB560" s="797"/>
      <c r="AC560" s="551"/>
      <c r="AD560" s="551"/>
      <c r="AE560" s="551"/>
      <c r="AF560" s="551"/>
      <c r="AG560" s="551"/>
      <c r="AH560" s="551"/>
      <c r="AI560" s="704"/>
      <c r="AJ560" s="704"/>
      <c r="AK560" s="704"/>
      <c r="AL560" s="704"/>
      <c r="AM560" s="704"/>
      <c r="AN560" s="704"/>
      <c r="AO560" s="704"/>
      <c r="AP560" s="704"/>
      <c r="AQ560" s="704"/>
      <c r="AR560" s="704"/>
      <c r="AS560" s="704"/>
    </row>
    <row r="561" spans="1:45" s="13" customFormat="1" ht="30" hidden="1" customHeight="1" x14ac:dyDescent="0.25">
      <c r="A561" s="2083" t="str">
        <f>IF(L564=0,"",MAX($A$16:A560)+1)</f>
        <v/>
      </c>
      <c r="B561" s="2075" t="s">
        <v>1325</v>
      </c>
      <c r="C561" s="574" t="s">
        <v>247</v>
      </c>
      <c r="D561" s="881" t="s">
        <v>10</v>
      </c>
      <c r="E561" s="882">
        <v>45135</v>
      </c>
      <c r="F561" s="75">
        <f>$L$7-E561</f>
        <v>1151</v>
      </c>
      <c r="G561" s="300">
        <v>0</v>
      </c>
      <c r="H561" s="300"/>
      <c r="I561" s="300"/>
      <c r="J561" s="1300"/>
      <c r="K561" s="300"/>
      <c r="L561" s="531">
        <f t="shared" si="358"/>
        <v>0</v>
      </c>
      <c r="M561" s="48"/>
      <c r="N561" s="163"/>
      <c r="O561" s="48"/>
      <c r="P561" s="857"/>
      <c r="Q561" s="795"/>
      <c r="R561" s="785">
        <f>IFERROR(VLOOKUP($Q561,'391'!$P:$W,8,0),"")</f>
        <v>0</v>
      </c>
      <c r="S561" s="796"/>
      <c r="T561" s="797"/>
      <c r="U561" s="797"/>
      <c r="V561" s="797"/>
      <c r="W561" s="802">
        <f>IFERROR(VLOOKUP($Q561,'391'!$P:$AG,15,0),0)</f>
        <v>0</v>
      </c>
      <c r="X561" s="799">
        <f t="shared" si="356"/>
        <v>0</v>
      </c>
      <c r="Y561" s="797"/>
      <c r="Z561" s="785"/>
      <c r="AA561" s="797"/>
      <c r="AB561" s="797"/>
      <c r="AC561" s="683"/>
      <c r="AD561" s="683"/>
      <c r="AE561" s="683"/>
      <c r="AF561" s="683"/>
      <c r="AG561" s="683"/>
      <c r="AH561" s="683"/>
      <c r="AI561" s="705"/>
      <c r="AJ561" s="705"/>
      <c r="AK561" s="705"/>
      <c r="AL561" s="705"/>
      <c r="AM561" s="705"/>
      <c r="AN561" s="705"/>
      <c r="AO561" s="705"/>
      <c r="AP561" s="705"/>
      <c r="AQ561" s="705"/>
      <c r="AR561" s="705"/>
      <c r="AS561" s="705"/>
    </row>
    <row r="562" spans="1:45" s="13" customFormat="1" ht="30" hidden="1" customHeight="1" x14ac:dyDescent="0.25">
      <c r="A562" s="2121"/>
      <c r="B562" s="2082"/>
      <c r="C562" s="574"/>
      <c r="D562" s="881" t="s">
        <v>10</v>
      </c>
      <c r="E562" s="882">
        <v>45135</v>
      </c>
      <c r="F562" s="75">
        <f>$L$7-E562</f>
        <v>1151</v>
      </c>
      <c r="G562" s="300">
        <v>0</v>
      </c>
      <c r="H562" s="300"/>
      <c r="I562" s="300"/>
      <c r="J562" s="1300"/>
      <c r="K562" s="300"/>
      <c r="L562" s="531">
        <f t="shared" si="358"/>
        <v>0</v>
      </c>
      <c r="M562" s="48"/>
      <c r="N562" s="163"/>
      <c r="O562" s="48"/>
      <c r="P562" s="857"/>
      <c r="Q562" s="795"/>
      <c r="R562" s="785">
        <f>IFERROR(VLOOKUP($Q562,'391'!$P:$W,8,0),"")</f>
        <v>0</v>
      </c>
      <c r="S562" s="796"/>
      <c r="T562" s="797"/>
      <c r="U562" s="797"/>
      <c r="V562" s="797"/>
      <c r="W562" s="802">
        <f>IFERROR(VLOOKUP($Q562,'391'!$P:$AG,15,0),0)</f>
        <v>0</v>
      </c>
      <c r="X562" s="799">
        <f t="shared" si="356"/>
        <v>0</v>
      </c>
      <c r="Y562" s="797"/>
      <c r="Z562" s="785"/>
      <c r="AA562" s="797"/>
      <c r="AB562" s="797"/>
      <c r="AC562" s="683"/>
      <c r="AD562" s="683"/>
      <c r="AE562" s="683"/>
      <c r="AF562" s="683"/>
      <c r="AG562" s="683"/>
      <c r="AH562" s="683"/>
      <c r="AI562" s="705"/>
      <c r="AJ562" s="705"/>
      <c r="AK562" s="705"/>
      <c r="AL562" s="705"/>
      <c r="AM562" s="705"/>
      <c r="AN562" s="705"/>
      <c r="AO562" s="705"/>
      <c r="AP562" s="705"/>
      <c r="AQ562" s="705"/>
      <c r="AR562" s="705"/>
      <c r="AS562" s="705"/>
    </row>
    <row r="563" spans="1:45" s="13" customFormat="1" ht="30" hidden="1" customHeight="1" x14ac:dyDescent="0.25">
      <c r="A563" s="2085"/>
      <c r="B563" s="2068"/>
      <c r="C563" s="138" t="s">
        <v>76</v>
      </c>
      <c r="D563" s="884" t="s">
        <v>10</v>
      </c>
      <c r="E563" s="882">
        <v>45135</v>
      </c>
      <c r="F563" s="75">
        <f>$L$7-E563</f>
        <v>1151</v>
      </c>
      <c r="G563" s="313">
        <v>0</v>
      </c>
      <c r="H563" s="28"/>
      <c r="I563" s="28">
        <f>+K561</f>
        <v>0</v>
      </c>
      <c r="J563" s="1295">
        <f>usage!I67</f>
        <v>0</v>
      </c>
      <c r="K563" s="28"/>
      <c r="L563" s="531">
        <f t="shared" si="358"/>
        <v>0</v>
      </c>
      <c r="M563" s="35"/>
      <c r="N563" s="920"/>
      <c r="O563" s="35"/>
      <c r="P563" s="1275"/>
      <c r="Q563" s="795"/>
      <c r="R563" s="785">
        <f>IFERROR(VLOOKUP($Q563,'391'!$P:$W,8,0),"")</f>
        <v>0</v>
      </c>
      <c r="S563" s="796"/>
      <c r="T563" s="797"/>
      <c r="U563" s="797"/>
      <c r="V563" s="797"/>
      <c r="W563" s="802">
        <f>IFERROR(VLOOKUP($Q563,'391'!$P:$AG,15,0),0)</f>
        <v>0</v>
      </c>
      <c r="X563" s="799">
        <f t="shared" si="356"/>
        <v>0</v>
      </c>
      <c r="Y563" s="797"/>
      <c r="Z563" s="785"/>
      <c r="AA563" s="797"/>
      <c r="AB563" s="797"/>
      <c r="AC563" s="683"/>
      <c r="AD563" s="683"/>
      <c r="AE563" s="683"/>
      <c r="AF563" s="683"/>
      <c r="AG563" s="683"/>
      <c r="AH563" s="683"/>
      <c r="AI563" s="705"/>
      <c r="AJ563" s="705"/>
      <c r="AK563" s="705"/>
      <c r="AL563" s="705"/>
      <c r="AM563" s="705"/>
      <c r="AN563" s="705"/>
      <c r="AO563" s="705"/>
      <c r="AP563" s="705"/>
      <c r="AQ563" s="705"/>
      <c r="AR563" s="705"/>
      <c r="AS563" s="705"/>
    </row>
    <row r="564" spans="1:45" s="265" customFormat="1" ht="30" hidden="1" customHeight="1" x14ac:dyDescent="0.25">
      <c r="A564" s="184"/>
      <c r="B564" s="184" t="s">
        <v>1326</v>
      </c>
      <c r="C564" s="575"/>
      <c r="D564" s="900"/>
      <c r="E564" s="901"/>
      <c r="F564" s="902"/>
      <c r="G564" s="1336">
        <v>0</v>
      </c>
      <c r="H564" s="1336">
        <f>+SUM(H561:H563)</f>
        <v>0</v>
      </c>
      <c r="I564" s="1336">
        <f t="shared" ref="I564:K564" si="361">+SUM(I561:I563)</f>
        <v>0</v>
      </c>
      <c r="J564" s="1336">
        <f t="shared" si="361"/>
        <v>0</v>
      </c>
      <c r="K564" s="1336">
        <f t="shared" si="361"/>
        <v>0</v>
      </c>
      <c r="L564" s="531">
        <f t="shared" si="358"/>
        <v>0</v>
      </c>
      <c r="M564" s="59"/>
      <c r="N564" s="366">
        <f>IFERROR(L564/M564,0)</f>
        <v>0</v>
      </c>
      <c r="O564" s="59">
        <f>IFERROR(SUMIF(ETM!$A:$A,$Q564,ETM!$E:$E),"")</f>
        <v>0</v>
      </c>
      <c r="P564" s="855">
        <f>IFERROR(L564/O564,0)</f>
        <v>0</v>
      </c>
      <c r="Q564" s="795" t="s">
        <v>1329</v>
      </c>
      <c r="R564" s="785" t="str">
        <f>IFERROR(VLOOKUP($Q564,'391'!$P:$W,8,0),"")</f>
        <v/>
      </c>
      <c r="S564" s="796"/>
      <c r="T564" s="797"/>
      <c r="U564" s="797"/>
      <c r="V564" s="797"/>
      <c r="W564" s="802">
        <f>IFERROR(VLOOKUP($Q564,'391'!$P:$AG,15,0),0)</f>
        <v>0</v>
      </c>
      <c r="X564" s="799">
        <f t="shared" si="356"/>
        <v>0</v>
      </c>
      <c r="Y564" s="797"/>
      <c r="Z564" s="785"/>
      <c r="AA564" s="797"/>
      <c r="AB564" s="797"/>
      <c r="AC564" s="551"/>
      <c r="AD564" s="551"/>
      <c r="AE564" s="551"/>
      <c r="AF564" s="551"/>
      <c r="AG564" s="551"/>
      <c r="AH564" s="551"/>
      <c r="AI564" s="704"/>
      <c r="AJ564" s="704"/>
      <c r="AK564" s="704"/>
      <c r="AL564" s="704"/>
      <c r="AM564" s="704"/>
      <c r="AN564" s="704"/>
      <c r="AO564" s="704"/>
      <c r="AP564" s="704"/>
      <c r="AQ564" s="704"/>
      <c r="AR564" s="704"/>
      <c r="AS564" s="704"/>
    </row>
    <row r="565" spans="1:45" s="13" customFormat="1" ht="30" customHeight="1" x14ac:dyDescent="0.25">
      <c r="A565" s="2083">
        <f>IF(L568=0,"",MAX($A$16:A564)+1)</f>
        <v>28</v>
      </c>
      <c r="B565" s="1863" t="s">
        <v>2446</v>
      </c>
      <c r="C565" s="574" t="s">
        <v>2228</v>
      </c>
      <c r="D565" s="881" t="s">
        <v>10</v>
      </c>
      <c r="E565" s="882">
        <v>46281</v>
      </c>
      <c r="F565" s="75">
        <f>$L$7-E565</f>
        <v>5</v>
      </c>
      <c r="G565" s="300">
        <v>29960</v>
      </c>
      <c r="H565" s="300"/>
      <c r="I565" s="300"/>
      <c r="J565" s="1300"/>
      <c r="K565" s="12">
        <f>IFERROR(SUMIF(INTAKE!$A:$A,$T565,INTAKE!$P:$P),0)</f>
        <v>0</v>
      </c>
      <c r="L565" s="1669">
        <f t="shared" si="358"/>
        <v>29960</v>
      </c>
      <c r="M565" s="48"/>
      <c r="N565" s="163"/>
      <c r="O565" s="48"/>
      <c r="P565" s="857"/>
      <c r="Q565" s="795"/>
      <c r="R565" s="785">
        <f>IFERROR(VLOOKUP($Q565,'391'!$P:$W,8,0),"")</f>
        <v>0</v>
      </c>
      <c r="S565" s="796"/>
      <c r="T565" s="787" t="str">
        <f>$Q$568&amp;C565&amp;E565</f>
        <v>Nextide (ViÖt Nam)A746281</v>
      </c>
      <c r="U565" s="797"/>
      <c r="V565" s="797"/>
      <c r="W565" s="802">
        <f>IFERROR(VLOOKUP($Q565,'391'!$P:$AG,15,0),0)</f>
        <v>0</v>
      </c>
      <c r="X565" s="799">
        <f t="shared" si="356"/>
        <v>29960</v>
      </c>
      <c r="Y565" s="797"/>
      <c r="Z565" s="785"/>
      <c r="AA565" s="797"/>
      <c r="AB565" s="797"/>
      <c r="AC565" s="683"/>
      <c r="AD565" s="683"/>
      <c r="AE565" s="683"/>
      <c r="AF565" s="683"/>
      <c r="AG565" s="683"/>
      <c r="AH565" s="683"/>
      <c r="AI565" s="705"/>
      <c r="AJ565" s="705"/>
      <c r="AK565" s="705"/>
      <c r="AL565" s="705"/>
      <c r="AM565" s="705"/>
      <c r="AN565" s="705"/>
      <c r="AO565" s="705"/>
      <c r="AP565" s="705"/>
      <c r="AQ565" s="705"/>
      <c r="AR565" s="705"/>
      <c r="AS565" s="705"/>
    </row>
    <row r="566" spans="1:45" s="13" customFormat="1" ht="30" hidden="1" customHeight="1" x14ac:dyDescent="0.25">
      <c r="A566" s="2121"/>
      <c r="B566" s="1863" t="s">
        <v>1948</v>
      </c>
      <c r="C566" s="574"/>
      <c r="D566" s="881" t="s">
        <v>10</v>
      </c>
      <c r="E566" s="882">
        <v>46259</v>
      </c>
      <c r="F566" s="75">
        <f>$L$7-E566</f>
        <v>27</v>
      </c>
      <c r="G566" s="300">
        <v>0</v>
      </c>
      <c r="H566" s="300"/>
      <c r="I566" s="300"/>
      <c r="J566" s="1300"/>
      <c r="K566" s="12">
        <f>IFERROR(SUMIF(INTAKE!$A:$A,$T566,INTAKE!$P:$P),0)</f>
        <v>0</v>
      </c>
      <c r="L566" s="1669">
        <f t="shared" si="358"/>
        <v>0</v>
      </c>
      <c r="M566" s="48"/>
      <c r="N566" s="163"/>
      <c r="O566" s="48"/>
      <c r="P566" s="1992"/>
      <c r="Q566" s="795"/>
      <c r="R566" s="785">
        <f>IFERROR(VLOOKUP($Q566,'391'!$P:$W,8,0),"")</f>
        <v>0</v>
      </c>
      <c r="S566" s="796"/>
      <c r="T566" s="787" t="str">
        <f t="shared" ref="T566:T567" si="362">$Q$568&amp;C566&amp;E566</f>
        <v>Nextide (ViÖt Nam)46259</v>
      </c>
      <c r="U566" s="797"/>
      <c r="V566" s="797"/>
      <c r="W566" s="802">
        <f>IFERROR(VLOOKUP($Q566,'391'!$P:$AG,15,0),0)</f>
        <v>0</v>
      </c>
      <c r="X566" s="799">
        <f t="shared" si="356"/>
        <v>0</v>
      </c>
      <c r="Y566" s="797"/>
      <c r="Z566" s="785"/>
      <c r="AA566" s="797"/>
      <c r="AB566" s="797"/>
      <c r="AC566" s="683"/>
      <c r="AD566" s="683"/>
      <c r="AE566" s="683"/>
      <c r="AF566" s="683"/>
      <c r="AG566" s="683"/>
      <c r="AH566" s="683"/>
      <c r="AI566" s="705"/>
      <c r="AJ566" s="705"/>
      <c r="AK566" s="705"/>
      <c r="AL566" s="705"/>
      <c r="AM566" s="705"/>
      <c r="AN566" s="705"/>
      <c r="AO566" s="705"/>
      <c r="AP566" s="705"/>
      <c r="AQ566" s="705"/>
      <c r="AR566" s="705"/>
      <c r="AS566" s="705"/>
    </row>
    <row r="567" spans="1:45" s="13" customFormat="1" ht="30" customHeight="1" x14ac:dyDescent="0.25">
      <c r="A567" s="2085"/>
      <c r="B567" s="1991" t="s">
        <v>1948</v>
      </c>
      <c r="C567" s="138" t="s">
        <v>2216</v>
      </c>
      <c r="D567" s="884" t="s">
        <v>10</v>
      </c>
      <c r="E567" s="882">
        <v>46259</v>
      </c>
      <c r="F567" s="75">
        <f>$L$7-E567</f>
        <v>27</v>
      </c>
      <c r="G567" s="313">
        <v>17149</v>
      </c>
      <c r="H567" s="28"/>
      <c r="I567" s="28">
        <f>+K565</f>
        <v>0</v>
      </c>
      <c r="J567" s="1295">
        <f>usage!I68</f>
        <v>0</v>
      </c>
      <c r="K567" s="28"/>
      <c r="L567" s="531">
        <f t="shared" si="358"/>
        <v>17149</v>
      </c>
      <c r="M567" s="35"/>
      <c r="N567" s="920"/>
      <c r="O567" s="35"/>
      <c r="P567" s="1275"/>
      <c r="Q567" s="795"/>
      <c r="R567" s="785">
        <f>IFERROR(VLOOKUP($Q567,'391'!$P:$W,8,0),"")</f>
        <v>0</v>
      </c>
      <c r="S567" s="796"/>
      <c r="T567" s="787" t="str">
        <f t="shared" si="362"/>
        <v>Nextide (ViÖt Nam)FM 5846259</v>
      </c>
      <c r="U567" s="797"/>
      <c r="V567" s="797"/>
      <c r="W567" s="802">
        <f>IFERROR(VLOOKUP($Q567,'391'!$P:$AG,15,0),0)</f>
        <v>0</v>
      </c>
      <c r="X567" s="799">
        <f t="shared" si="356"/>
        <v>17149</v>
      </c>
      <c r="Y567" s="797"/>
      <c r="Z567" s="785"/>
      <c r="AA567" s="797"/>
      <c r="AB567" s="797"/>
      <c r="AC567" s="683"/>
      <c r="AD567" s="683"/>
      <c r="AE567" s="683"/>
      <c r="AF567" s="683"/>
      <c r="AG567" s="683"/>
      <c r="AH567" s="683"/>
      <c r="AI567" s="705"/>
      <c r="AJ567" s="705"/>
      <c r="AK567" s="705"/>
      <c r="AL567" s="705"/>
      <c r="AM567" s="705"/>
      <c r="AN567" s="705"/>
      <c r="AO567" s="705"/>
      <c r="AP567" s="705"/>
      <c r="AQ567" s="705"/>
      <c r="AR567" s="705"/>
      <c r="AS567" s="705"/>
    </row>
    <row r="568" spans="1:45" s="265" customFormat="1" ht="30" customHeight="1" x14ac:dyDescent="0.25">
      <c r="A568" s="184"/>
      <c r="B568" s="184" t="s">
        <v>1949</v>
      </c>
      <c r="C568" s="575"/>
      <c r="D568" s="900"/>
      <c r="E568" s="901"/>
      <c r="F568" s="902"/>
      <c r="G568" s="1336">
        <v>47109</v>
      </c>
      <c r="H568" s="1336">
        <f>+SUM(H565:H567)</f>
        <v>0</v>
      </c>
      <c r="I568" s="1336">
        <f t="shared" ref="I568:J568" si="363">+SUM(I565:I567)</f>
        <v>0</v>
      </c>
      <c r="J568" s="1336">
        <f t="shared" si="363"/>
        <v>0</v>
      </c>
      <c r="K568" s="1336">
        <f>+SUM(K565:K567)</f>
        <v>0</v>
      </c>
      <c r="L568" s="1336">
        <f>+SUM(L565:L567)</f>
        <v>47109</v>
      </c>
      <c r="M568" s="59">
        <f>IFERROR((R568/$S$2),"")</f>
        <v>3164.6666666666665</v>
      </c>
      <c r="N568" s="366">
        <f>IFERROR(L568/M568,0)</f>
        <v>14.885927954497578</v>
      </c>
      <c r="O568" s="59">
        <f>IFERROR(SUMIF(ETM!$A:$A,$Q568,ETM!$E:$E),"")</f>
        <v>2420</v>
      </c>
      <c r="P568" s="855">
        <f>IFERROR(L568/O568,0)</f>
        <v>19.466528925619834</v>
      </c>
      <c r="Q568" s="795" t="s">
        <v>1943</v>
      </c>
      <c r="R568" s="785">
        <f>IFERROR(VLOOKUP($Q568,'391'!$S:$Z,8,0),"")</f>
        <v>18988</v>
      </c>
      <c r="S568" s="796"/>
      <c r="T568" s="797"/>
      <c r="U568" s="797"/>
      <c r="V568" s="797"/>
      <c r="W568" s="802">
        <f>IFERROR(VLOOKUP($Q568,'391'!$P:$AG,15,0),0)</f>
        <v>0</v>
      </c>
      <c r="X568" s="799">
        <f>G568-W568</f>
        <v>47109</v>
      </c>
      <c r="Y568" s="797"/>
      <c r="Z568" s="785"/>
      <c r="AA568" s="797"/>
      <c r="AB568" s="797"/>
      <c r="AC568" s="551"/>
      <c r="AD568" s="551"/>
      <c r="AE568" s="551"/>
      <c r="AF568" s="551"/>
      <c r="AG568" s="551"/>
      <c r="AH568" s="551"/>
      <c r="AI568" s="704"/>
      <c r="AJ568" s="704"/>
      <c r="AK568" s="704"/>
      <c r="AL568" s="704"/>
      <c r="AM568" s="704"/>
      <c r="AN568" s="704"/>
      <c r="AO568" s="704"/>
      <c r="AP568" s="704"/>
      <c r="AQ568" s="704"/>
      <c r="AR568" s="704"/>
      <c r="AS568" s="704"/>
    </row>
    <row r="569" spans="1:45" ht="30" hidden="1" customHeight="1" x14ac:dyDescent="0.25">
      <c r="A569" s="2073">
        <f>IF(L575=0,"",MAX($A$16:A568)+1)</f>
        <v>29</v>
      </c>
      <c r="B569" s="2043" t="s">
        <v>91</v>
      </c>
      <c r="C569" s="160"/>
      <c r="D569" s="936" t="s">
        <v>10</v>
      </c>
      <c r="E569" s="937">
        <v>45906</v>
      </c>
      <c r="F569" s="71">
        <f t="shared" ref="F569:F570" si="364">$L$7-E569</f>
        <v>380</v>
      </c>
      <c r="G569" s="311">
        <v>0</v>
      </c>
      <c r="H569" s="305"/>
      <c r="I569" s="305"/>
      <c r="J569" s="1335"/>
      <c r="K569" s="1845"/>
      <c r="L569" s="1669">
        <f>+G569+H569+I569-J569-K569</f>
        <v>0</v>
      </c>
      <c r="M569" s="50"/>
      <c r="N569" s="1468"/>
      <c r="O569" s="1452"/>
      <c r="P569" s="1479"/>
      <c r="Q569" s="795"/>
      <c r="R569" s="785">
        <f>IFERROR(VLOOKUP($Q569,'391'!$P:$W,8,0),"")</f>
        <v>0</v>
      </c>
      <c r="U569" s="787"/>
      <c r="V569" s="787"/>
      <c r="W569" s="802">
        <f>IFERROR(VLOOKUP($Q569,'391'!$P:$AG,15,0),0)</f>
        <v>0</v>
      </c>
      <c r="X569" s="799">
        <f t="shared" si="356"/>
        <v>0</v>
      </c>
      <c r="Y569" s="787"/>
      <c r="Z569" s="791"/>
      <c r="AA569" s="787"/>
      <c r="AB569" s="787"/>
      <c r="AC569" s="679"/>
    </row>
    <row r="570" spans="1:45" ht="30" hidden="1" customHeight="1" x14ac:dyDescent="0.25">
      <c r="A570" s="2070"/>
      <c r="B570" s="2065"/>
      <c r="C570" s="160"/>
      <c r="D570" s="936" t="s">
        <v>10</v>
      </c>
      <c r="E570" s="937">
        <v>45918</v>
      </c>
      <c r="F570" s="71">
        <f t="shared" si="364"/>
        <v>368</v>
      </c>
      <c r="G570" s="311">
        <v>0</v>
      </c>
      <c r="H570" s="305"/>
      <c r="I570" s="305"/>
      <c r="J570" s="1335"/>
      <c r="K570" s="1864"/>
      <c r="L570" s="1669">
        <f>+G570+H570+I570-J570-K570</f>
        <v>0</v>
      </c>
      <c r="M570" s="48"/>
      <c r="N570" s="249"/>
      <c r="O570" s="101"/>
      <c r="P570" s="1480"/>
      <c r="Q570" s="795"/>
      <c r="R570" s="785">
        <f>IFERROR(VLOOKUP($Q570,'391'!$P:$W,8,0),"")</f>
        <v>0</v>
      </c>
      <c r="U570" s="787"/>
      <c r="V570" s="787"/>
      <c r="W570" s="802">
        <f>IFERROR(VLOOKUP($Q570,'391'!$P:$AG,15,0),0)</f>
        <v>0</v>
      </c>
      <c r="X570" s="799">
        <f t="shared" si="356"/>
        <v>0</v>
      </c>
      <c r="Y570" s="787"/>
      <c r="Z570" s="791"/>
      <c r="AA570" s="787"/>
      <c r="AB570" s="787"/>
      <c r="AC570" s="679"/>
    </row>
    <row r="571" spans="1:45" ht="31.5" hidden="1" customHeight="1" x14ac:dyDescent="0.25">
      <c r="A571" s="2070"/>
      <c r="B571" s="2065"/>
      <c r="C571" s="160"/>
      <c r="D571" s="936" t="s">
        <v>10</v>
      </c>
      <c r="E571" s="937">
        <v>46112</v>
      </c>
      <c r="F571" s="71">
        <f t="shared" ref="F571:F572" si="365">$L$7-E571</f>
        <v>174</v>
      </c>
      <c r="G571" s="1881">
        <v>0</v>
      </c>
      <c r="H571" s="1882"/>
      <c r="I571" s="1883"/>
      <c r="J571" s="1884"/>
      <c r="K571" s="12">
        <f>IFERROR(SUMIF(INTAKE!$A:$A,$T571,INTAKE!$P:$P),0)</f>
        <v>0</v>
      </c>
      <c r="L571" s="1885">
        <f t="shared" ref="L571" si="366">+G571+H571+I571-J571-K571</f>
        <v>0</v>
      </c>
      <c r="M571" s="48"/>
      <c r="N571" s="249"/>
      <c r="O571" s="101"/>
      <c r="P571" s="1480"/>
      <c r="Q571" s="795"/>
      <c r="R571" s="785">
        <f>IFERROR(VLOOKUP($Q571,'391'!$P:$W,8,0),"")</f>
        <v>0</v>
      </c>
      <c r="T571" s="787" t="str">
        <f>$Q$574&amp;C571&amp;E571</f>
        <v>Salt46112</v>
      </c>
      <c r="U571" s="787"/>
      <c r="V571" s="787"/>
      <c r="W571" s="802">
        <f>IFERROR(VLOOKUP($Q571,'391'!$P:$AG,15,0),0)</f>
        <v>0</v>
      </c>
      <c r="X571" s="799">
        <f t="shared" si="356"/>
        <v>0</v>
      </c>
      <c r="Y571" s="787"/>
      <c r="Z571" s="791"/>
      <c r="AA571" s="787"/>
      <c r="AB571" s="787"/>
      <c r="AC571" s="679"/>
    </row>
    <row r="572" spans="1:45" ht="30" customHeight="1" x14ac:dyDescent="0.25">
      <c r="A572" s="2070"/>
      <c r="B572" s="2065"/>
      <c r="C572" s="160" t="s">
        <v>1877</v>
      </c>
      <c r="D572" s="936" t="s">
        <v>10</v>
      </c>
      <c r="E572" s="937">
        <v>46282</v>
      </c>
      <c r="F572" s="71">
        <f t="shared" si="365"/>
        <v>4</v>
      </c>
      <c r="G572" s="1881">
        <v>30157</v>
      </c>
      <c r="H572" s="1882"/>
      <c r="I572" s="1883"/>
      <c r="J572" s="1884"/>
      <c r="K572" s="12">
        <f>IFERROR(SUMIF(INTAKE!$A:$A,$T572,INTAKE!$P:$P),0)</f>
        <v>4717</v>
      </c>
      <c r="L572" s="1885">
        <f t="shared" si="358"/>
        <v>25440</v>
      </c>
      <c r="M572" s="48"/>
      <c r="N572" s="249"/>
      <c r="O572" s="101"/>
      <c r="P572" s="1480"/>
      <c r="Q572" s="795"/>
      <c r="R572" s="785">
        <f>IFERROR(VLOOKUP($Q572,'391'!$P:$W,8,0),"")</f>
        <v>0</v>
      </c>
      <c r="T572" s="787" t="str">
        <f>$Q$574&amp;C572&amp;E572</f>
        <v>SaltB12.246282</v>
      </c>
      <c r="U572" s="787"/>
      <c r="V572" s="787"/>
      <c r="W572" s="802">
        <f>IFERROR(VLOOKUP($Q572,'391'!$P:$AG,15,0),0)</f>
        <v>0</v>
      </c>
      <c r="X572" s="799">
        <f t="shared" si="356"/>
        <v>30157</v>
      </c>
      <c r="Y572" s="787"/>
      <c r="Z572" s="791"/>
      <c r="AA572" s="787"/>
      <c r="AB572" s="787"/>
      <c r="AC572" s="679"/>
    </row>
    <row r="573" spans="1:45" ht="30" hidden="1" customHeight="1" x14ac:dyDescent="0.25">
      <c r="A573" s="2070"/>
      <c r="B573" s="2065"/>
      <c r="C573" s="160"/>
      <c r="D573" s="936" t="s">
        <v>10</v>
      </c>
      <c r="E573" s="937">
        <v>46282</v>
      </c>
      <c r="F573" s="71">
        <f t="shared" ref="F573:F574" si="367">$L$7-E573</f>
        <v>4</v>
      </c>
      <c r="G573" s="1881"/>
      <c r="H573" s="1882"/>
      <c r="I573" s="1883"/>
      <c r="J573" s="1884"/>
      <c r="K573" s="12">
        <f>IFERROR(SUMIF(INTAKE!$A:$A,$T573,INTAKE!$P:$P),0)</f>
        <v>0</v>
      </c>
      <c r="L573" s="1885">
        <f t="shared" si="358"/>
        <v>0</v>
      </c>
      <c r="M573" s="48"/>
      <c r="N573" s="249"/>
      <c r="O573" s="101"/>
      <c r="P573" s="1480"/>
      <c r="Q573" s="795"/>
      <c r="R573" s="785">
        <f>IFERROR(VLOOKUP($Q573,'391'!$P:$W,8,0),"")</f>
        <v>0</v>
      </c>
      <c r="T573" s="787" t="str">
        <f>$Q$574&amp;C573&amp;E573</f>
        <v>Salt46282</v>
      </c>
      <c r="U573" s="787"/>
      <c r="V573" s="787"/>
      <c r="W573" s="802">
        <f>IFERROR(VLOOKUP($Q573,'391'!$P:$AG,15,0),0)</f>
        <v>0</v>
      </c>
      <c r="X573" s="799">
        <f t="shared" si="356"/>
        <v>0</v>
      </c>
      <c r="Y573" s="787"/>
      <c r="Z573" s="791"/>
      <c r="AA573" s="787"/>
      <c r="AB573" s="787"/>
      <c r="AC573" s="679"/>
    </row>
    <row r="574" spans="1:45" ht="30" customHeight="1" x14ac:dyDescent="0.25">
      <c r="A574" s="2070"/>
      <c r="B574" s="2044"/>
      <c r="C574" s="97" t="s">
        <v>1840</v>
      </c>
      <c r="D574" s="884" t="s">
        <v>10</v>
      </c>
      <c r="E574" s="885">
        <v>46282</v>
      </c>
      <c r="F574" s="938">
        <f t="shared" si="367"/>
        <v>4</v>
      </c>
      <c r="G574" s="1887">
        <f>8776.00000000003-1</f>
        <v>8775.0000000000291</v>
      </c>
      <c r="H574" s="1887"/>
      <c r="I574" s="1887">
        <f>+SUM(K569:K573)</f>
        <v>4717</v>
      </c>
      <c r="J574" s="1888">
        <f>usage!I53</f>
        <v>5918</v>
      </c>
      <c r="K574" s="1889"/>
      <c r="L574" s="1886">
        <f t="shared" si="358"/>
        <v>7574.0000000000291</v>
      </c>
      <c r="M574" s="48"/>
      <c r="N574" s="249"/>
      <c r="O574" s="48"/>
      <c r="P574" s="750"/>
      <c r="Q574" s="795" t="s">
        <v>1585</v>
      </c>
      <c r="R574" s="785" t="str">
        <f>IFERROR(VLOOKUP($Q574,'391'!$P:$W,8,0),"")</f>
        <v/>
      </c>
      <c r="U574" s="787"/>
      <c r="V574" s="787"/>
      <c r="W574" s="802">
        <f>IFERROR(VLOOKUP($Q574,'391'!$P:$AG,15,0),0)</f>
        <v>0</v>
      </c>
      <c r="X574" s="799">
        <f t="shared" si="356"/>
        <v>8775.0000000000291</v>
      </c>
      <c r="Y574" s="787"/>
      <c r="Z574" s="791"/>
      <c r="AA574" s="787"/>
      <c r="AB574" s="787"/>
      <c r="AC574" s="679"/>
    </row>
    <row r="575" spans="1:45" s="402" customFormat="1" ht="30" customHeight="1" x14ac:dyDescent="0.25">
      <c r="A575" s="2019" t="s">
        <v>115</v>
      </c>
      <c r="B575" s="2020"/>
      <c r="C575" s="88"/>
      <c r="D575" s="864"/>
      <c r="E575" s="939"/>
      <c r="F575" s="865"/>
      <c r="G575" s="1296">
        <f>+G574+G573+G572</f>
        <v>38932.000000000029</v>
      </c>
      <c r="H575" s="1296">
        <f>SUM(H569:H574)</f>
        <v>0</v>
      </c>
      <c r="I575" s="1296">
        <f>SUM(I569:I574)</f>
        <v>4717</v>
      </c>
      <c r="J575" s="1296">
        <f>SUM(J569:J574)</f>
        <v>5918</v>
      </c>
      <c r="K575" s="1296">
        <f>SUM(K569:K574)</f>
        <v>4717</v>
      </c>
      <c r="L575" s="1296">
        <f>SUM(L569:L574)</f>
        <v>33014.000000000029</v>
      </c>
      <c r="M575" s="59">
        <f>IFERROR((R575/$S$2),"")</f>
        <v>5767.666666666667</v>
      </c>
      <c r="N575" s="854">
        <f>(L575/M575)</f>
        <v>5.72397850083801</v>
      </c>
      <c r="O575" s="59">
        <f>IFERROR(SUMIF(ETM!$A:$A,$Q575,ETM!$E:$E),"")</f>
        <v>5883.833333333333</v>
      </c>
      <c r="P575" s="880">
        <f>(L575/O575)</f>
        <v>5.6109679064102256</v>
      </c>
      <c r="Q575" s="795" t="s">
        <v>825</v>
      </c>
      <c r="R575" s="785">
        <f>IFERROR(VLOOKUP($Q575,'391'!$P:$W,8,0),"")</f>
        <v>34606</v>
      </c>
      <c r="S575" s="796"/>
      <c r="T575" s="797"/>
      <c r="U575" s="797"/>
      <c r="V575" s="797"/>
      <c r="W575" s="802">
        <f>IFERROR(VLOOKUP($Q575,'391'!$P:$AG,15,0),0)</f>
        <v>38932</v>
      </c>
      <c r="X575" s="799">
        <f t="shared" si="356"/>
        <v>0</v>
      </c>
      <c r="Y575" s="797"/>
      <c r="Z575" s="785"/>
      <c r="AA575" s="797"/>
      <c r="AB575" s="797"/>
      <c r="AC575" s="551"/>
      <c r="AD575" s="551"/>
      <c r="AE575" s="551"/>
      <c r="AF575" s="551"/>
      <c r="AG575" s="551"/>
      <c r="AH575" s="551"/>
      <c r="AI575" s="704"/>
      <c r="AJ575" s="704"/>
      <c r="AK575" s="704"/>
      <c r="AL575" s="704"/>
      <c r="AM575" s="704"/>
      <c r="AN575" s="704"/>
      <c r="AO575" s="704"/>
      <c r="AP575" s="704"/>
      <c r="AQ575" s="704"/>
      <c r="AR575" s="704"/>
      <c r="AS575" s="704"/>
    </row>
    <row r="576" spans="1:45" ht="30" hidden="1" customHeight="1" x14ac:dyDescent="0.25">
      <c r="A576" s="2063" t="str">
        <f>IF(L579=0,"",MAX($A$16:A575)+1)</f>
        <v/>
      </c>
      <c r="B576" s="2024" t="s">
        <v>1230</v>
      </c>
      <c r="C576" s="117" t="s">
        <v>481</v>
      </c>
      <c r="D576" s="940" t="s">
        <v>10</v>
      </c>
      <c r="E576" s="941">
        <v>44916</v>
      </c>
      <c r="F576" s="942">
        <f>$L$7-E576</f>
        <v>1370</v>
      </c>
      <c r="G576" s="314">
        <v>0</v>
      </c>
      <c r="H576" s="314"/>
      <c r="I576" s="314"/>
      <c r="J576" s="1359">
        <f>usage!I54</f>
        <v>0</v>
      </c>
      <c r="K576" s="308"/>
      <c r="L576" s="531">
        <f t="shared" ref="L576:L598" si="368">+G576+H576+I576-J576-K576</f>
        <v>0</v>
      </c>
      <c r="M576" s="51"/>
      <c r="N576" s="95"/>
      <c r="O576" s="51"/>
      <c r="P576" s="857"/>
      <c r="Q576" s="795"/>
      <c r="R576" s="785">
        <f>IFERROR(VLOOKUP($Q576,'391'!$P:$W,8,0),"")</f>
        <v>0</v>
      </c>
      <c r="U576" s="787"/>
      <c r="V576" s="787"/>
      <c r="W576" s="802">
        <f>IFERROR(VLOOKUP($Q576,'391'!$P:$AG,15,0),0)</f>
        <v>0</v>
      </c>
      <c r="X576" s="799">
        <f t="shared" si="356"/>
        <v>0</v>
      </c>
      <c r="Y576" s="787"/>
      <c r="Z576" s="791"/>
      <c r="AA576" s="787"/>
      <c r="AB576" s="787"/>
      <c r="AC576" s="679"/>
    </row>
    <row r="577" spans="1:45" ht="30" hidden="1" customHeight="1" x14ac:dyDescent="0.25">
      <c r="A577" s="2078"/>
      <c r="B577" s="2107"/>
      <c r="C577" s="109"/>
      <c r="D577" s="850" t="s">
        <v>10</v>
      </c>
      <c r="E577" s="851"/>
      <c r="F577" s="942">
        <f>$L$7-E577</f>
        <v>46286</v>
      </c>
      <c r="G577" s="36">
        <v>0</v>
      </c>
      <c r="H577" s="36"/>
      <c r="I577" s="36"/>
      <c r="J577" s="1294"/>
      <c r="K577" s="36"/>
      <c r="L577" s="531">
        <f t="shared" si="368"/>
        <v>0</v>
      </c>
      <c r="M577" s="51"/>
      <c r="N577" s="953"/>
      <c r="O577" s="51"/>
      <c r="P577" s="954"/>
      <c r="Q577" s="795"/>
      <c r="R577" s="785">
        <f>IFERROR(VLOOKUP($Q577,'391'!$P:$W,8,0),"")</f>
        <v>0</v>
      </c>
      <c r="U577" s="787"/>
      <c r="V577" s="787"/>
      <c r="W577" s="802">
        <f>IFERROR(VLOOKUP($Q577,'391'!$P:$AG,15,0),0)</f>
        <v>0</v>
      </c>
      <c r="X577" s="799">
        <f t="shared" si="356"/>
        <v>0</v>
      </c>
      <c r="Y577" s="787"/>
      <c r="Z577" s="791"/>
      <c r="AA577" s="787"/>
      <c r="AB577" s="787"/>
      <c r="AC577" s="679"/>
    </row>
    <row r="578" spans="1:45" ht="30" hidden="1" customHeight="1" x14ac:dyDescent="0.25">
      <c r="A578" s="2064"/>
      <c r="B578" s="2026"/>
      <c r="C578" s="61" t="s">
        <v>158</v>
      </c>
      <c r="D578" s="850" t="s">
        <v>10</v>
      </c>
      <c r="E578" s="851">
        <v>44916</v>
      </c>
      <c r="F578" s="39">
        <f>$L$7-E578</f>
        <v>1370</v>
      </c>
      <c r="G578" s="28">
        <v>0</v>
      </c>
      <c r="H578" s="28"/>
      <c r="I578" s="28">
        <f>K576</f>
        <v>0</v>
      </c>
      <c r="J578" s="28">
        <f>usage!I52</f>
        <v>0</v>
      </c>
      <c r="K578" s="1360"/>
      <c r="L578" s="531">
        <f t="shared" si="368"/>
        <v>0</v>
      </c>
      <c r="M578" s="1234"/>
      <c r="N578" s="1469"/>
      <c r="O578" s="1235"/>
      <c r="P578" s="957"/>
      <c r="Q578" s="795"/>
      <c r="R578" s="785">
        <f>IFERROR(VLOOKUP($Q578,'391'!$P:$W,8,0),"")</f>
        <v>0</v>
      </c>
      <c r="U578" s="787"/>
      <c r="V578" s="787"/>
      <c r="W578" s="802">
        <f>IFERROR(VLOOKUP($Q578,'391'!$P:$AG,15,0),0)</f>
        <v>0</v>
      </c>
      <c r="X578" s="799">
        <f t="shared" si="356"/>
        <v>0</v>
      </c>
      <c r="Y578" s="787"/>
      <c r="Z578" s="791"/>
      <c r="AA578" s="787"/>
      <c r="AB578" s="787"/>
      <c r="AC578" s="679"/>
    </row>
    <row r="579" spans="1:45" s="402" customFormat="1" ht="30" hidden="1" customHeight="1" x14ac:dyDescent="0.25">
      <c r="A579" s="2019" t="s">
        <v>1231</v>
      </c>
      <c r="B579" s="2020"/>
      <c r="C579" s="88"/>
      <c r="D579" s="864"/>
      <c r="E579" s="864"/>
      <c r="F579" s="865"/>
      <c r="G579" s="1296">
        <v>0</v>
      </c>
      <c r="H579" s="1296">
        <f t="shared" ref="H579:K579" si="369">+SUM(H576:H578)</f>
        <v>0</v>
      </c>
      <c r="I579" s="1296">
        <f t="shared" si="369"/>
        <v>0</v>
      </c>
      <c r="J579" s="1296">
        <f t="shared" si="369"/>
        <v>0</v>
      </c>
      <c r="K579" s="1296">
        <f t="shared" si="369"/>
        <v>0</v>
      </c>
      <c r="L579" s="531">
        <f t="shared" si="368"/>
        <v>0</v>
      </c>
      <c r="M579" s="59" t="str">
        <f>IFERROR((R579/$S$2),"")</f>
        <v/>
      </c>
      <c r="N579" s="854">
        <f>IFERROR(L579/M579,0)</f>
        <v>0</v>
      </c>
      <c r="O579" s="59">
        <f>IFERROR(SUMIF(ETM!$A:$A,$Q579,ETM!$E:$E),"")</f>
        <v>0</v>
      </c>
      <c r="P579" s="1236">
        <f>IFERROR(L579/O579,0)</f>
        <v>0</v>
      </c>
      <c r="Q579" s="795" t="s">
        <v>1233</v>
      </c>
      <c r="R579" s="785" t="str">
        <f>IFERROR(VLOOKUP($Q579,'391'!$P:$W,8,0),"")</f>
        <v/>
      </c>
      <c r="S579" s="796"/>
      <c r="T579" s="797"/>
      <c r="U579" s="797"/>
      <c r="V579" s="797"/>
      <c r="W579" s="802">
        <f>IFERROR(VLOOKUP($Q579,'391'!$P:$AG,15,0),0)</f>
        <v>0</v>
      </c>
      <c r="X579" s="799">
        <f t="shared" si="356"/>
        <v>0</v>
      </c>
      <c r="Y579" s="797"/>
      <c r="Z579" s="785"/>
      <c r="AA579" s="797"/>
      <c r="AB579" s="797"/>
      <c r="AC579" s="551"/>
      <c r="AD579" s="551"/>
      <c r="AE579" s="551"/>
      <c r="AF579" s="551"/>
      <c r="AG579" s="551"/>
      <c r="AH579" s="551"/>
      <c r="AI579" s="704"/>
      <c r="AJ579" s="704"/>
      <c r="AK579" s="704"/>
      <c r="AL579" s="704"/>
      <c r="AM579" s="704"/>
      <c r="AN579" s="704"/>
      <c r="AO579" s="704"/>
      <c r="AP579" s="704"/>
      <c r="AQ579" s="704"/>
      <c r="AR579" s="704"/>
      <c r="AS579" s="704"/>
    </row>
    <row r="580" spans="1:45" ht="30" hidden="1" customHeight="1" x14ac:dyDescent="0.25">
      <c r="A580" s="2063" t="str">
        <f>IF(L583=0,"",MAX($A$16:A579)+1)</f>
        <v/>
      </c>
      <c r="B580" s="2024" t="s">
        <v>1253</v>
      </c>
      <c r="C580" s="160" t="s">
        <v>1190</v>
      </c>
      <c r="D580" s="936" t="s">
        <v>10</v>
      </c>
      <c r="E580" s="937">
        <v>44959</v>
      </c>
      <c r="F580" s="71">
        <f>$L$7-E580</f>
        <v>1327</v>
      </c>
      <c r="G580" s="311">
        <v>0</v>
      </c>
      <c r="H580" s="314"/>
      <c r="I580" s="314"/>
      <c r="J580" s="1359"/>
      <c r="K580" s="308"/>
      <c r="L580" s="531">
        <f t="shared" si="368"/>
        <v>0</v>
      </c>
      <c r="M580" s="51"/>
      <c r="N580" s="95"/>
      <c r="O580" s="51"/>
      <c r="P580" s="857"/>
      <c r="Q580" s="795"/>
      <c r="R580" s="785">
        <f>IFERROR(VLOOKUP($Q580,'391'!$P:$W,8,0),"")</f>
        <v>0</v>
      </c>
      <c r="U580" s="787"/>
      <c r="V580" s="787"/>
      <c r="W580" s="802">
        <f>IFERROR(VLOOKUP($Q580,'391'!$P:$AG,15,0),0)</f>
        <v>0</v>
      </c>
      <c r="X580" s="799">
        <f t="shared" si="356"/>
        <v>0</v>
      </c>
      <c r="Y580" s="787"/>
      <c r="Z580" s="791"/>
      <c r="AA580" s="787"/>
      <c r="AB580" s="787"/>
      <c r="AC580" s="679"/>
    </row>
    <row r="581" spans="1:45" ht="30" hidden="1" customHeight="1" x14ac:dyDescent="0.25">
      <c r="A581" s="2078"/>
      <c r="B581" s="2107"/>
      <c r="C581" s="109"/>
      <c r="D581" s="850" t="s">
        <v>10</v>
      </c>
      <c r="E581" s="851"/>
      <c r="F581" s="942">
        <f>$L$7-E581</f>
        <v>46286</v>
      </c>
      <c r="G581" s="36">
        <v>0</v>
      </c>
      <c r="H581" s="36"/>
      <c r="I581" s="36"/>
      <c r="J581" s="1294"/>
      <c r="K581" s="36"/>
      <c r="L581" s="531">
        <f t="shared" si="368"/>
        <v>0</v>
      </c>
      <c r="M581" s="51"/>
      <c r="N581" s="953"/>
      <c r="O581" s="51"/>
      <c r="P581" s="954"/>
      <c r="Q581" s="795"/>
      <c r="R581" s="785">
        <f>IFERROR(VLOOKUP($Q581,'391'!$P:$W,8,0),"")</f>
        <v>0</v>
      </c>
      <c r="U581" s="787"/>
      <c r="V581" s="787"/>
      <c r="W581" s="802">
        <f>IFERROR(VLOOKUP($Q581,'391'!$P:$AG,15,0),0)</f>
        <v>0</v>
      </c>
      <c r="X581" s="799">
        <f t="shared" si="356"/>
        <v>0</v>
      </c>
      <c r="Y581" s="787"/>
      <c r="Z581" s="791"/>
      <c r="AA581" s="787"/>
      <c r="AB581" s="787"/>
      <c r="AC581" s="679"/>
    </row>
    <row r="582" spans="1:45" ht="30" hidden="1" customHeight="1" x14ac:dyDescent="0.25">
      <c r="A582" s="2064"/>
      <c r="B582" s="2026"/>
      <c r="C582" s="61" t="s">
        <v>158</v>
      </c>
      <c r="D582" s="850" t="s">
        <v>10</v>
      </c>
      <c r="E582" s="851">
        <v>44959</v>
      </c>
      <c r="F582" s="39">
        <f>$L$7-E582</f>
        <v>1327</v>
      </c>
      <c r="G582" s="28">
        <v>0</v>
      </c>
      <c r="H582" s="28"/>
      <c r="I582" s="28">
        <f>K580</f>
        <v>0</v>
      </c>
      <c r="J582" s="28">
        <f>usage!I62</f>
        <v>0</v>
      </c>
      <c r="K582" s="1360"/>
      <c r="L582" s="531">
        <f t="shared" si="368"/>
        <v>0</v>
      </c>
      <c r="M582" s="1234"/>
      <c r="N582" s="1469"/>
      <c r="O582" s="1235"/>
      <c r="P582" s="957"/>
      <c r="Q582" s="795"/>
      <c r="R582" s="785">
        <f>IFERROR(VLOOKUP($Q582,'391'!$P:$W,8,0),"")</f>
        <v>0</v>
      </c>
      <c r="U582" s="787"/>
      <c r="V582" s="787"/>
      <c r="W582" s="802">
        <f>IFERROR(VLOOKUP($Q582,'391'!$P:$AG,15,0),0)</f>
        <v>0</v>
      </c>
      <c r="X582" s="799">
        <f t="shared" si="356"/>
        <v>0</v>
      </c>
      <c r="Y582" s="787"/>
      <c r="Z582" s="791"/>
      <c r="AA582" s="787"/>
      <c r="AB582" s="787"/>
      <c r="AC582" s="679"/>
    </row>
    <row r="583" spans="1:45" s="402" customFormat="1" ht="30" hidden="1" customHeight="1" x14ac:dyDescent="0.25">
      <c r="A583" s="2019" t="s">
        <v>1254</v>
      </c>
      <c r="B583" s="2020"/>
      <c r="C583" s="88"/>
      <c r="D583" s="864"/>
      <c r="E583" s="864"/>
      <c r="F583" s="865"/>
      <c r="G583" s="1296">
        <v>0</v>
      </c>
      <c r="H583" s="1296">
        <f t="shared" ref="H583:K583" si="370">+SUM(H580:H582)</f>
        <v>0</v>
      </c>
      <c r="I583" s="1296">
        <f t="shared" si="370"/>
        <v>0</v>
      </c>
      <c r="J583" s="1296">
        <f t="shared" si="370"/>
        <v>0</v>
      </c>
      <c r="K583" s="1296">
        <f t="shared" si="370"/>
        <v>0</v>
      </c>
      <c r="L583" s="531">
        <f t="shared" si="368"/>
        <v>0</v>
      </c>
      <c r="M583" s="59" t="str">
        <f>IFERROR((R583/$S$2),"")</f>
        <v/>
      </c>
      <c r="N583" s="854">
        <f>IFERROR(L583/M583,0)</f>
        <v>0</v>
      </c>
      <c r="O583" s="59">
        <f>IFERROR(SUMIF(ETM!$A:$A,$Q583,ETM!$E:$E),"")</f>
        <v>0</v>
      </c>
      <c r="P583" s="1236">
        <f>IFERROR(L583/O583,0)</f>
        <v>0</v>
      </c>
      <c r="Q583" s="795" t="s">
        <v>1259</v>
      </c>
      <c r="R583" s="785" t="str">
        <f>IFERROR(VLOOKUP($Q583,'391'!$P:$W,8,0),"")</f>
        <v/>
      </c>
      <c r="S583" s="796"/>
      <c r="T583" s="797"/>
      <c r="U583" s="797"/>
      <c r="V583" s="797"/>
      <c r="W583" s="802">
        <f>IFERROR(VLOOKUP($Q583,'391'!$P:$AG,15,0),0)</f>
        <v>0</v>
      </c>
      <c r="X583" s="799">
        <f t="shared" si="356"/>
        <v>0</v>
      </c>
      <c r="Y583" s="797"/>
      <c r="Z583" s="785"/>
      <c r="AA583" s="797"/>
      <c r="AB583" s="797"/>
      <c r="AC583" s="551"/>
      <c r="AD583" s="551"/>
      <c r="AE583" s="551"/>
      <c r="AF583" s="551"/>
      <c r="AG583" s="551"/>
      <c r="AH583" s="551"/>
      <c r="AI583" s="704"/>
      <c r="AJ583" s="704"/>
      <c r="AK583" s="704"/>
      <c r="AL583" s="704"/>
      <c r="AM583" s="704"/>
      <c r="AN583" s="704"/>
      <c r="AO583" s="704"/>
      <c r="AP583" s="704"/>
      <c r="AQ583" s="704"/>
      <c r="AR583" s="704"/>
      <c r="AS583" s="704"/>
    </row>
    <row r="584" spans="1:45" ht="30" hidden="1" customHeight="1" x14ac:dyDescent="0.25">
      <c r="A584" s="2063" t="str">
        <f>IF(L587=0,"",MAX($A$16:A583)+1)</f>
        <v/>
      </c>
      <c r="B584" s="2024" t="s">
        <v>1280</v>
      </c>
      <c r="C584" s="1249" t="s">
        <v>1303</v>
      </c>
      <c r="D584" s="1250" t="s">
        <v>10</v>
      </c>
      <c r="E584" s="1251">
        <v>45146</v>
      </c>
      <c r="F584" s="1252">
        <f>$L$7-E584</f>
        <v>1140</v>
      </c>
      <c r="G584" s="1253">
        <v>0</v>
      </c>
      <c r="H584" s="1253"/>
      <c r="I584" s="1253"/>
      <c r="J584" s="1361"/>
      <c r="K584" s="247"/>
      <c r="L584" s="531">
        <f t="shared" si="368"/>
        <v>0</v>
      </c>
      <c r="M584" s="51"/>
      <c r="N584" s="95"/>
      <c r="O584" s="51"/>
      <c r="P584" s="857"/>
      <c r="Q584" s="795"/>
      <c r="R584" s="785">
        <f>IFERROR(VLOOKUP($Q584,'391'!$P:$W,8,0),"")</f>
        <v>0</v>
      </c>
      <c r="U584" s="787"/>
      <c r="V584" s="787"/>
      <c r="W584" s="802">
        <f>IFERROR(VLOOKUP($Q584,'391'!$P:$AG,15,0),0)</f>
        <v>0</v>
      </c>
      <c r="X584" s="799">
        <f t="shared" si="356"/>
        <v>0</v>
      </c>
      <c r="Y584" s="787"/>
      <c r="Z584" s="791"/>
      <c r="AA584" s="787"/>
      <c r="AB584" s="787"/>
      <c r="AC584" s="679"/>
    </row>
    <row r="585" spans="1:45" ht="30" hidden="1" customHeight="1" x14ac:dyDescent="0.25">
      <c r="A585" s="2078"/>
      <c r="B585" s="2107"/>
      <c r="C585" s="109"/>
      <c r="D585" s="850" t="s">
        <v>10</v>
      </c>
      <c r="E585" s="851"/>
      <c r="F585" s="942">
        <f>$L$7-E585</f>
        <v>46286</v>
      </c>
      <c r="G585" s="36">
        <v>0</v>
      </c>
      <c r="H585" s="36"/>
      <c r="I585" s="36"/>
      <c r="J585" s="1294"/>
      <c r="K585" s="36"/>
      <c r="L585" s="531">
        <f t="shared" si="368"/>
        <v>0</v>
      </c>
      <c r="M585" s="51"/>
      <c r="N585" s="953"/>
      <c r="O585" s="51"/>
      <c r="P585" s="954"/>
      <c r="Q585" s="795"/>
      <c r="R585" s="785">
        <f>IFERROR(VLOOKUP($Q585,'391'!$P:$W,8,0),"")</f>
        <v>0</v>
      </c>
      <c r="U585" s="787"/>
      <c r="V585" s="787"/>
      <c r="W585" s="802">
        <f>IFERROR(VLOOKUP($Q585,'391'!$P:$AG,15,0),0)</f>
        <v>0</v>
      </c>
      <c r="X585" s="799">
        <f t="shared" si="356"/>
        <v>0</v>
      </c>
      <c r="Y585" s="787"/>
      <c r="Z585" s="791"/>
      <c r="AA585" s="787"/>
      <c r="AB585" s="787"/>
      <c r="AC585" s="679"/>
    </row>
    <row r="586" spans="1:45" ht="30" hidden="1" customHeight="1" x14ac:dyDescent="0.25">
      <c r="A586" s="2064"/>
      <c r="B586" s="2026"/>
      <c r="C586" s="61" t="s">
        <v>1300</v>
      </c>
      <c r="D586" s="850" t="s">
        <v>10</v>
      </c>
      <c r="E586" s="851">
        <v>45146</v>
      </c>
      <c r="F586" s="39">
        <f>$L$7-E586</f>
        <v>1140</v>
      </c>
      <c r="G586" s="28">
        <v>0</v>
      </c>
      <c r="H586" s="28"/>
      <c r="I586" s="28">
        <f>K584</f>
        <v>0</v>
      </c>
      <c r="J586" s="28">
        <f>usage!I61</f>
        <v>0</v>
      </c>
      <c r="K586" s="1360"/>
      <c r="L586" s="531">
        <f t="shared" si="368"/>
        <v>0</v>
      </c>
      <c r="M586" s="1234"/>
      <c r="N586" s="1469"/>
      <c r="O586" s="1235"/>
      <c r="P586" s="957"/>
      <c r="Q586" s="795"/>
      <c r="R586" s="785">
        <f>IFERROR(VLOOKUP($Q586,'391'!$P:$W,8,0),"")</f>
        <v>0</v>
      </c>
      <c r="U586" s="787"/>
      <c r="V586" s="787"/>
      <c r="W586" s="802">
        <f>IFERROR(VLOOKUP($Q586,'391'!$P:$AG,15,0),0)</f>
        <v>0</v>
      </c>
      <c r="X586" s="799">
        <f t="shared" ref="X586:X617" si="371">G586-W586</f>
        <v>0</v>
      </c>
      <c r="Y586" s="787"/>
      <c r="Z586" s="791"/>
      <c r="AA586" s="787"/>
      <c r="AB586" s="787"/>
      <c r="AC586" s="679"/>
    </row>
    <row r="587" spans="1:45" s="402" customFormat="1" ht="30" hidden="1" customHeight="1" x14ac:dyDescent="0.25">
      <c r="A587" s="2019" t="s">
        <v>1281</v>
      </c>
      <c r="B587" s="2020"/>
      <c r="C587" s="88"/>
      <c r="D587" s="864"/>
      <c r="E587" s="864"/>
      <c r="F587" s="865"/>
      <c r="G587" s="1296">
        <v>0</v>
      </c>
      <c r="H587" s="1296">
        <f t="shared" ref="H587:K587" si="372">+SUM(H584:H586)</f>
        <v>0</v>
      </c>
      <c r="I587" s="1296">
        <f t="shared" si="372"/>
        <v>0</v>
      </c>
      <c r="J587" s="1296">
        <f t="shared" si="372"/>
        <v>0</v>
      </c>
      <c r="K587" s="1296">
        <f t="shared" si="372"/>
        <v>0</v>
      </c>
      <c r="L587" s="531">
        <f t="shared" si="368"/>
        <v>0</v>
      </c>
      <c r="M587" s="59" t="str">
        <f>IFERROR((R587/$S$2),"")</f>
        <v/>
      </c>
      <c r="N587" s="854">
        <f>IFERROR(L587/M587,0)</f>
        <v>0</v>
      </c>
      <c r="O587" s="59">
        <f>IFERROR(SUMIF(ETM!$A:$A,$Q587,ETM!$E:$E),"")</f>
        <v>0</v>
      </c>
      <c r="P587" s="1236">
        <f>IFERROR(L587/O587,0)</f>
        <v>0</v>
      </c>
      <c r="Q587" s="795" t="s">
        <v>1282</v>
      </c>
      <c r="R587" s="785" t="str">
        <f>IFERROR(VLOOKUP($Q587,'391'!$P:$W,8,0),"")</f>
        <v/>
      </c>
      <c r="S587" s="796"/>
      <c r="T587" s="797"/>
      <c r="U587" s="797"/>
      <c r="V587" s="797"/>
      <c r="W587" s="802">
        <f>IFERROR(VLOOKUP($Q587,'391'!$P:$AG,15,0),0)</f>
        <v>0</v>
      </c>
      <c r="X587" s="799">
        <f t="shared" si="371"/>
        <v>0</v>
      </c>
      <c r="Y587" s="797"/>
      <c r="Z587" s="785"/>
      <c r="AA587" s="797"/>
      <c r="AB587" s="797"/>
      <c r="AC587" s="551"/>
      <c r="AD587" s="551"/>
      <c r="AE587" s="551"/>
      <c r="AF587" s="551"/>
      <c r="AG587" s="551"/>
      <c r="AH587" s="551"/>
      <c r="AI587" s="704"/>
      <c r="AJ587" s="704"/>
      <c r="AK587" s="704"/>
      <c r="AL587" s="704"/>
      <c r="AM587" s="704"/>
      <c r="AN587" s="704"/>
      <c r="AO587" s="704"/>
      <c r="AP587" s="704"/>
      <c r="AQ587" s="704"/>
      <c r="AR587" s="704"/>
      <c r="AS587" s="704"/>
    </row>
    <row r="588" spans="1:45" ht="30" hidden="1" customHeight="1" x14ac:dyDescent="0.25">
      <c r="A588" s="2063" t="str">
        <f>IF(L591=0,"",MAX($A$16:A587)+1)</f>
        <v/>
      </c>
      <c r="B588" s="2024" t="s">
        <v>1284</v>
      </c>
      <c r="C588" s="160" t="s">
        <v>624</v>
      </c>
      <c r="D588" s="936" t="s">
        <v>10</v>
      </c>
      <c r="E588" s="937">
        <v>45009</v>
      </c>
      <c r="F588" s="71">
        <f>$L$7-E588</f>
        <v>1277</v>
      </c>
      <c r="G588" s="311">
        <v>0</v>
      </c>
      <c r="H588" s="314"/>
      <c r="I588" s="314"/>
      <c r="J588" s="1359"/>
      <c r="K588" s="308"/>
      <c r="L588" s="531">
        <f t="shared" si="368"/>
        <v>0</v>
      </c>
      <c r="M588" s="51"/>
      <c r="N588" s="95"/>
      <c r="O588" s="51"/>
      <c r="P588" s="857"/>
      <c r="Q588" s="795"/>
      <c r="R588" s="785">
        <f>IFERROR(VLOOKUP($Q588,'391'!$P:$W,8,0),"")</f>
        <v>0</v>
      </c>
      <c r="U588" s="787"/>
      <c r="V588" s="787"/>
      <c r="W588" s="802">
        <f>IFERROR(VLOOKUP($Q588,'391'!$P:$AG,15,0),0)</f>
        <v>0</v>
      </c>
      <c r="X588" s="799">
        <f t="shared" si="371"/>
        <v>0</v>
      </c>
      <c r="Y588" s="787"/>
      <c r="Z588" s="791"/>
      <c r="AA588" s="787"/>
      <c r="AB588" s="787"/>
      <c r="AC588" s="679"/>
    </row>
    <row r="589" spans="1:45" ht="30" hidden="1" customHeight="1" x14ac:dyDescent="0.25">
      <c r="A589" s="2078"/>
      <c r="B589" s="2107"/>
      <c r="C589" s="109"/>
      <c r="D589" s="850" t="s">
        <v>10</v>
      </c>
      <c r="E589" s="851"/>
      <c r="F589" s="942">
        <f>$L$7-E589</f>
        <v>46286</v>
      </c>
      <c r="G589" s="36">
        <v>0</v>
      </c>
      <c r="H589" s="36"/>
      <c r="I589" s="36"/>
      <c r="J589" s="1294"/>
      <c r="K589" s="36"/>
      <c r="L589" s="531">
        <f t="shared" si="368"/>
        <v>0</v>
      </c>
      <c r="M589" s="51"/>
      <c r="N589" s="953"/>
      <c r="O589" s="51"/>
      <c r="P589" s="954"/>
      <c r="Q589" s="795"/>
      <c r="R589" s="785">
        <f>IFERROR(VLOOKUP($Q589,'391'!$P:$W,8,0),"")</f>
        <v>0</v>
      </c>
      <c r="U589" s="787"/>
      <c r="V589" s="787"/>
      <c r="W589" s="802">
        <f>IFERROR(VLOOKUP($Q589,'391'!$P:$AG,15,0),0)</f>
        <v>0</v>
      </c>
      <c r="X589" s="799">
        <f t="shared" si="371"/>
        <v>0</v>
      </c>
      <c r="Y589" s="787"/>
      <c r="Z589" s="791"/>
      <c r="AA589" s="787"/>
      <c r="AB589" s="787"/>
      <c r="AC589" s="679"/>
    </row>
    <row r="590" spans="1:45" ht="30" hidden="1" customHeight="1" x14ac:dyDescent="0.25">
      <c r="A590" s="2064"/>
      <c r="B590" s="2026"/>
      <c r="C590" s="61" t="s">
        <v>158</v>
      </c>
      <c r="D590" s="850" t="s">
        <v>10</v>
      </c>
      <c r="E590" s="851">
        <v>45009</v>
      </c>
      <c r="F590" s="39">
        <f>$L$7-E590</f>
        <v>1277</v>
      </c>
      <c r="G590" s="28">
        <v>0</v>
      </c>
      <c r="H590" s="28"/>
      <c r="I590" s="28">
        <f>K588</f>
        <v>0</v>
      </c>
      <c r="J590" s="28">
        <f>usage!I60</f>
        <v>0</v>
      </c>
      <c r="K590" s="1360"/>
      <c r="L590" s="531">
        <f t="shared" si="368"/>
        <v>0</v>
      </c>
      <c r="M590" s="1234"/>
      <c r="N590" s="1469"/>
      <c r="O590" s="1235"/>
      <c r="P590" s="957"/>
      <c r="Q590" s="795"/>
      <c r="R590" s="785">
        <f>IFERROR(VLOOKUP($Q590,'391'!$P:$W,8,0),"")</f>
        <v>0</v>
      </c>
      <c r="U590" s="787"/>
      <c r="V590" s="787"/>
      <c r="W590" s="802">
        <f>IFERROR(VLOOKUP($Q590,'391'!$P:$AG,15,0),0)</f>
        <v>0</v>
      </c>
      <c r="X590" s="799">
        <f t="shared" si="371"/>
        <v>0</v>
      </c>
      <c r="Y590" s="787"/>
      <c r="Z590" s="791"/>
      <c r="AA590" s="787"/>
      <c r="AB590" s="787"/>
      <c r="AC590" s="679"/>
    </row>
    <row r="591" spans="1:45" s="402" customFormat="1" ht="30" hidden="1" customHeight="1" x14ac:dyDescent="0.25">
      <c r="A591" s="2019" t="s">
        <v>1285</v>
      </c>
      <c r="B591" s="2020"/>
      <c r="C591" s="88"/>
      <c r="D591" s="864"/>
      <c r="E591" s="864"/>
      <c r="F591" s="865"/>
      <c r="G591" s="1296">
        <v>0</v>
      </c>
      <c r="H591" s="1296">
        <f t="shared" ref="H591:K591" si="373">+SUM(H588:H590)</f>
        <v>0</v>
      </c>
      <c r="I591" s="1296">
        <f t="shared" si="373"/>
        <v>0</v>
      </c>
      <c r="J591" s="1296">
        <f t="shared" si="373"/>
        <v>0</v>
      </c>
      <c r="K591" s="1296">
        <f t="shared" si="373"/>
        <v>0</v>
      </c>
      <c r="L591" s="531">
        <f t="shared" si="368"/>
        <v>0</v>
      </c>
      <c r="M591" s="59" t="str">
        <f>IFERROR((R591/$S$2),"")</f>
        <v/>
      </c>
      <c r="N591" s="854">
        <f>IFERROR(L591/M591,0)</f>
        <v>0</v>
      </c>
      <c r="O591" s="59">
        <f>IFERROR(SUMIF(ETM!$A:$A,$Q591,ETM!$E:$E),"")</f>
        <v>0</v>
      </c>
      <c r="P591" s="1236">
        <f>IFERROR(L591/O591,0)</f>
        <v>0</v>
      </c>
      <c r="Q591" s="795" t="s">
        <v>1288</v>
      </c>
      <c r="R591" s="785" t="str">
        <f>IFERROR(VLOOKUP($Q591,'391'!$P:$W,8,0),"")</f>
        <v/>
      </c>
      <c r="S591" s="796"/>
      <c r="T591" s="797"/>
      <c r="U591" s="797"/>
      <c r="V591" s="797"/>
      <c r="W591" s="802">
        <f>IFERROR(VLOOKUP($Q591,'391'!$P:$AG,15,0),0)</f>
        <v>0</v>
      </c>
      <c r="X591" s="1090">
        <f t="shared" si="371"/>
        <v>0</v>
      </c>
      <c r="Y591" s="797"/>
      <c r="Z591" s="785"/>
      <c r="AA591" s="797"/>
      <c r="AB591" s="797"/>
      <c r="AC591" s="551"/>
      <c r="AD591" s="551"/>
      <c r="AE591" s="551"/>
      <c r="AF591" s="551"/>
      <c r="AG591" s="551"/>
      <c r="AH591" s="551"/>
      <c r="AI591" s="704"/>
      <c r="AJ591" s="704"/>
      <c r="AK591" s="704"/>
      <c r="AL591" s="704"/>
      <c r="AM591" s="704"/>
      <c r="AN591" s="704"/>
      <c r="AO591" s="704"/>
      <c r="AP591" s="704"/>
      <c r="AQ591" s="704"/>
      <c r="AR591" s="704"/>
      <c r="AS591" s="704"/>
    </row>
    <row r="592" spans="1:45" ht="29.25" hidden="1" customHeight="1" x14ac:dyDescent="0.25">
      <c r="A592" s="2063" t="str">
        <f>IF(L595=0,"",MAX($A$16:A591)+1)</f>
        <v/>
      </c>
      <c r="B592" s="2024" t="s">
        <v>932</v>
      </c>
      <c r="C592" s="117" t="s">
        <v>286</v>
      </c>
      <c r="D592" s="940" t="s">
        <v>10</v>
      </c>
      <c r="E592" s="941">
        <v>44327</v>
      </c>
      <c r="F592" s="942">
        <f>$L$7-E592</f>
        <v>1959</v>
      </c>
      <c r="G592" s="314">
        <v>0</v>
      </c>
      <c r="H592" s="314"/>
      <c r="I592" s="314"/>
      <c r="J592" s="1359"/>
      <c r="K592" s="308"/>
      <c r="L592" s="531">
        <f t="shared" si="368"/>
        <v>0</v>
      </c>
      <c r="M592" s="51"/>
      <c r="N592" s="95"/>
      <c r="O592" s="51"/>
      <c r="P592" s="857"/>
      <c r="Q592" s="795"/>
      <c r="R592" s="785">
        <f>IFERROR(VLOOKUP($Q592,'391'!$P:$W,8,0),"")</f>
        <v>0</v>
      </c>
      <c r="U592" s="787"/>
      <c r="V592" s="787"/>
      <c r="W592" s="802">
        <f>IFERROR(VLOOKUP($Q592,'391'!$P:$AG,15,0),0)</f>
        <v>0</v>
      </c>
      <c r="X592" s="799">
        <f t="shared" si="371"/>
        <v>0</v>
      </c>
      <c r="Y592" s="787"/>
      <c r="Z592" s="791"/>
      <c r="AA592" s="787"/>
      <c r="AB592" s="787"/>
      <c r="AC592" s="679"/>
    </row>
    <row r="593" spans="1:45" ht="30" hidden="1" customHeight="1" x14ac:dyDescent="0.25">
      <c r="A593" s="2078"/>
      <c r="B593" s="2107"/>
      <c r="C593" s="109"/>
      <c r="D593" s="850" t="s">
        <v>10</v>
      </c>
      <c r="E593" s="851"/>
      <c r="F593" s="942">
        <f>$L$7-E593</f>
        <v>46286</v>
      </c>
      <c r="G593" s="36">
        <v>0</v>
      </c>
      <c r="H593" s="36"/>
      <c r="I593" s="36"/>
      <c r="J593" s="1294"/>
      <c r="K593" s="36"/>
      <c r="L593" s="531">
        <f t="shared" si="368"/>
        <v>0</v>
      </c>
      <c r="M593" s="51"/>
      <c r="N593" s="953"/>
      <c r="O593" s="51"/>
      <c r="P593" s="954"/>
      <c r="Q593" s="795"/>
      <c r="R593" s="785">
        <f>IFERROR(VLOOKUP($Q593,'391'!$P:$W,8,0),"")</f>
        <v>0</v>
      </c>
      <c r="U593" s="787"/>
      <c r="V593" s="787"/>
      <c r="W593" s="802">
        <f>IFERROR(VLOOKUP($Q593,'391'!$P:$AG,15,0),0)</f>
        <v>0</v>
      </c>
      <c r="X593" s="799">
        <f t="shared" si="371"/>
        <v>0</v>
      </c>
      <c r="Y593" s="787"/>
      <c r="Z593" s="791"/>
      <c r="AA593" s="787"/>
      <c r="AB593" s="787"/>
      <c r="AC593" s="679"/>
    </row>
    <row r="594" spans="1:45" ht="30" hidden="1" customHeight="1" x14ac:dyDescent="0.25">
      <c r="A594" s="2064"/>
      <c r="B594" s="2026"/>
      <c r="C594" s="61" t="s">
        <v>158</v>
      </c>
      <c r="D594" s="850" t="s">
        <v>10</v>
      </c>
      <c r="E594" s="886">
        <v>44327</v>
      </c>
      <c r="F594" s="39">
        <f>$L$7-E594</f>
        <v>1959</v>
      </c>
      <c r="G594" s="28">
        <v>0</v>
      </c>
      <c r="H594" s="28"/>
      <c r="I594" s="1350"/>
      <c r="J594" s="1351">
        <f>usage!I59</f>
        <v>0</v>
      </c>
      <c r="K594" s="1360"/>
      <c r="L594" s="531">
        <f t="shared" si="368"/>
        <v>0</v>
      </c>
      <c r="M594" s="955"/>
      <c r="N594" s="1469"/>
      <c r="O594" s="956"/>
      <c r="P594" s="957"/>
      <c r="Q594" s="795"/>
      <c r="R594" s="785">
        <f>IFERROR(VLOOKUP($Q594,'391'!$P:$W,8,0),"")</f>
        <v>0</v>
      </c>
      <c r="U594" s="787"/>
      <c r="V594" s="787"/>
      <c r="W594" s="802">
        <f>IFERROR(VLOOKUP($Q594,'391'!$P:$AG,15,0),0)</f>
        <v>0</v>
      </c>
      <c r="X594" s="799">
        <f t="shared" si="371"/>
        <v>0</v>
      </c>
      <c r="Y594" s="787"/>
      <c r="Z594" s="791"/>
      <c r="AA594" s="787"/>
      <c r="AB594" s="787"/>
      <c r="AC594" s="679"/>
    </row>
    <row r="595" spans="1:45" s="402" customFormat="1" ht="30" hidden="1" customHeight="1" x14ac:dyDescent="0.25">
      <c r="A595" s="2019" t="s">
        <v>933</v>
      </c>
      <c r="B595" s="2020"/>
      <c r="C595" s="88"/>
      <c r="D595" s="864"/>
      <c r="E595" s="864"/>
      <c r="F595" s="865"/>
      <c r="G595" s="1296">
        <v>0</v>
      </c>
      <c r="H595" s="1296">
        <f t="shared" ref="H595:K595" si="374">+H594+H592</f>
        <v>0</v>
      </c>
      <c r="I595" s="1296">
        <f t="shared" si="374"/>
        <v>0</v>
      </c>
      <c r="J595" s="1296">
        <f t="shared" si="374"/>
        <v>0</v>
      </c>
      <c r="K595" s="1296">
        <f t="shared" si="374"/>
        <v>0</v>
      </c>
      <c r="L595" s="531">
        <f t="shared" si="368"/>
        <v>0</v>
      </c>
      <c r="M595" s="59" t="str">
        <f>IFERROR((R595/$S$2),"")</f>
        <v/>
      </c>
      <c r="N595" s="854">
        <f>IFERROR(L595/M595,0)</f>
        <v>0</v>
      </c>
      <c r="O595" s="59">
        <f>IFERROR(SUMIF(ETM!$A:$A,$Q595,ETM!$E:$E),"")</f>
        <v>0</v>
      </c>
      <c r="P595" s="855">
        <f>IFERROR(L595/O595,0)</f>
        <v>0</v>
      </c>
      <c r="Q595" s="795" t="s">
        <v>944</v>
      </c>
      <c r="R595" s="785" t="str">
        <f>IFERROR(VLOOKUP($Q595,'391'!$P:$W,8,0),"")</f>
        <v/>
      </c>
      <c r="S595" s="796"/>
      <c r="T595" s="797"/>
      <c r="U595" s="797"/>
      <c r="V595" s="797"/>
      <c r="W595" s="802">
        <f>IFERROR(VLOOKUP($Q595,'391'!$P:$AG,15,0),0)</f>
        <v>0</v>
      </c>
      <c r="X595" s="799">
        <f t="shared" si="371"/>
        <v>0</v>
      </c>
      <c r="Y595" s="797"/>
      <c r="Z595" s="785"/>
      <c r="AA595" s="797"/>
      <c r="AB595" s="797"/>
      <c r="AC595" s="551"/>
      <c r="AD595" s="551"/>
      <c r="AE595" s="551"/>
      <c r="AF595" s="551"/>
      <c r="AG595" s="551"/>
      <c r="AH595" s="551"/>
      <c r="AI595" s="704"/>
      <c r="AJ595" s="704"/>
      <c r="AK595" s="704"/>
      <c r="AL595" s="704"/>
      <c r="AM595" s="704"/>
      <c r="AN595" s="704"/>
      <c r="AO595" s="704"/>
      <c r="AP595" s="704"/>
      <c r="AQ595" s="704"/>
      <c r="AR595" s="704"/>
      <c r="AS595" s="704"/>
    </row>
    <row r="596" spans="1:45" ht="30" hidden="1" customHeight="1" x14ac:dyDescent="0.25">
      <c r="A596" s="2063">
        <f>IF(L599=0,"",MAX($A$16:A595)+1)</f>
        <v>30</v>
      </c>
      <c r="B596" s="2043" t="s">
        <v>44</v>
      </c>
      <c r="C596" s="117"/>
      <c r="D596" s="940"/>
      <c r="E596" s="941"/>
      <c r="F596" s="942"/>
      <c r="G596" s="314">
        <v>0</v>
      </c>
      <c r="H596" s="314"/>
      <c r="I596" s="314"/>
      <c r="J596" s="1359"/>
      <c r="K596" s="308"/>
      <c r="L596" s="531">
        <f t="shared" si="368"/>
        <v>0</v>
      </c>
      <c r="M596" s="51"/>
      <c r="N596" s="95"/>
      <c r="O596" s="51"/>
      <c r="P596" s="857"/>
      <c r="Q596" s="795"/>
      <c r="R596" s="785">
        <f>IFERROR(VLOOKUP($Q596,'391'!$P:$W,8,0),"")</f>
        <v>0</v>
      </c>
      <c r="U596" s="787"/>
      <c r="V596" s="787"/>
      <c r="W596" s="802">
        <f>IFERROR(VLOOKUP($Q596,'391'!$P:$AG,15,0),0)</f>
        <v>0</v>
      </c>
      <c r="X596" s="799">
        <f t="shared" si="371"/>
        <v>0</v>
      </c>
      <c r="Y596" s="787"/>
      <c r="Z596" s="791"/>
      <c r="AA596" s="787"/>
      <c r="AB596" s="787"/>
      <c r="AC596" s="679"/>
    </row>
    <row r="597" spans="1:45" ht="30" customHeight="1" x14ac:dyDescent="0.25">
      <c r="A597" s="2078"/>
      <c r="B597" s="2065"/>
      <c r="C597" s="109" t="s">
        <v>124</v>
      </c>
      <c r="D597" s="850" t="s">
        <v>10</v>
      </c>
      <c r="E597" s="851">
        <v>46191</v>
      </c>
      <c r="F597" s="41">
        <f>$L$7-E597</f>
        <v>95</v>
      </c>
      <c r="G597" s="36">
        <v>234027</v>
      </c>
      <c r="H597" s="314"/>
      <c r="I597" s="36"/>
      <c r="J597" s="1294">
        <f>usage!I55</f>
        <v>5888</v>
      </c>
      <c r="K597" s="36"/>
      <c r="L597" s="531">
        <f t="shared" si="368"/>
        <v>228139</v>
      </c>
      <c r="M597" s="560"/>
      <c r="N597" s="606"/>
      <c r="O597" s="607"/>
      <c r="P597" s="857"/>
      <c r="Q597" s="795"/>
      <c r="R597" s="785">
        <f>IFERROR(VLOOKUP($Q597,'391'!$P:$W,8,0),"")</f>
        <v>0</v>
      </c>
      <c r="U597" s="787"/>
      <c r="V597" s="787"/>
      <c r="W597" s="802">
        <f>IFERROR(VLOOKUP($Q597,'391'!$P:$AG,15,0),0)</f>
        <v>0</v>
      </c>
      <c r="X597" s="799">
        <f t="shared" si="371"/>
        <v>234027</v>
      </c>
      <c r="Y597" s="787"/>
      <c r="Z597" s="791"/>
      <c r="AA597" s="787"/>
      <c r="AB597" s="787"/>
      <c r="AC597" s="679"/>
    </row>
    <row r="598" spans="1:45" ht="30" hidden="1" customHeight="1" x14ac:dyDescent="0.25">
      <c r="A598" s="2064"/>
      <c r="B598" s="2044"/>
      <c r="C598" s="61" t="s">
        <v>178</v>
      </c>
      <c r="D598" s="863" t="s">
        <v>10</v>
      </c>
      <c r="E598" s="886"/>
      <c r="F598" s="38"/>
      <c r="G598" s="28">
        <v>0</v>
      </c>
      <c r="H598" s="28"/>
      <c r="I598" s="28"/>
      <c r="J598" s="1295"/>
      <c r="K598" s="28"/>
      <c r="L598" s="531">
        <f t="shared" si="368"/>
        <v>0</v>
      </c>
      <c r="M598" s="47"/>
      <c r="N598" s="920"/>
      <c r="O598" s="47"/>
      <c r="P598" s="857"/>
      <c r="Q598" s="795"/>
      <c r="R598" s="785">
        <f>IFERROR(VLOOKUP($Q598,'391'!$P:$W,8,0),"")</f>
        <v>0</v>
      </c>
      <c r="U598" s="787"/>
      <c r="V598" s="787"/>
      <c r="W598" s="802">
        <f>IFERROR(VLOOKUP($Q598,'391'!$P:$AG,15,0),0)</f>
        <v>0</v>
      </c>
      <c r="X598" s="799">
        <f t="shared" si="371"/>
        <v>0</v>
      </c>
      <c r="Y598" s="787"/>
      <c r="Z598" s="791"/>
      <c r="AA598" s="787"/>
      <c r="AB598" s="787"/>
      <c r="AC598" s="679"/>
    </row>
    <row r="599" spans="1:45" s="402" customFormat="1" ht="30" customHeight="1" x14ac:dyDescent="0.25">
      <c r="A599" s="2019" t="s">
        <v>116</v>
      </c>
      <c r="B599" s="2020"/>
      <c r="C599" s="88"/>
      <c r="D599" s="864"/>
      <c r="E599" s="864"/>
      <c r="F599" s="865"/>
      <c r="G599" s="1296">
        <v>234027</v>
      </c>
      <c r="H599" s="1296">
        <f t="shared" ref="H599:I599" si="375">H597</f>
        <v>0</v>
      </c>
      <c r="I599" s="1296">
        <f t="shared" si="375"/>
        <v>0</v>
      </c>
      <c r="J599" s="1296">
        <f t="shared" ref="J599:L599" si="376">J597</f>
        <v>5888</v>
      </c>
      <c r="K599" s="1296">
        <f t="shared" si="376"/>
        <v>0</v>
      </c>
      <c r="L599" s="1296">
        <f t="shared" si="376"/>
        <v>228139</v>
      </c>
      <c r="M599" s="59">
        <f>IFERROR((R599/$S$2),"")</f>
        <v>6792.666666666667</v>
      </c>
      <c r="N599" s="854">
        <f>IFERROR(L599/M599,0)</f>
        <v>33.586073216213563</v>
      </c>
      <c r="O599" s="59">
        <f>IFERROR(SUMIF(ETM!$A:$A,$Q599,ETM!$E:$E),"")</f>
        <v>6920.166666666667</v>
      </c>
      <c r="P599" s="855">
        <f>IFERROR(L599/O599,0)</f>
        <v>32.967269574432216</v>
      </c>
      <c r="Q599" s="666" t="s">
        <v>1690</v>
      </c>
      <c r="R599" s="785">
        <f>IFERROR(VLOOKUP($Q599,'391'!$P:$W,8,0),"")</f>
        <v>40756</v>
      </c>
      <c r="S599" s="796"/>
      <c r="T599" s="797"/>
      <c r="U599" s="797"/>
      <c r="V599" s="797"/>
      <c r="W599" s="802">
        <f>IFERROR(VLOOKUP($Q599,'391'!$P:$AG,15,0),0)</f>
        <v>234027</v>
      </c>
      <c r="X599" s="799">
        <f t="shared" si="371"/>
        <v>0</v>
      </c>
      <c r="Y599" s="797"/>
      <c r="Z599" s="785"/>
      <c r="AA599" s="797"/>
      <c r="AB599" s="797"/>
      <c r="AC599" s="551"/>
      <c r="AD599" s="551"/>
      <c r="AE599" s="551"/>
      <c r="AF599" s="551"/>
      <c r="AG599" s="551"/>
      <c r="AH599" s="551"/>
      <c r="AI599" s="704"/>
      <c r="AJ599" s="704"/>
      <c r="AK599" s="704"/>
      <c r="AL599" s="704"/>
      <c r="AM599" s="704"/>
      <c r="AN599" s="704"/>
      <c r="AO599" s="704"/>
      <c r="AP599" s="704"/>
      <c r="AQ599" s="704"/>
      <c r="AR599" s="704"/>
      <c r="AS599" s="704"/>
    </row>
    <row r="600" spans="1:45" s="400" customFormat="1" ht="30" customHeight="1" x14ac:dyDescent="0.25">
      <c r="A600" s="2123">
        <f>IF(L602=0,"",MAX($A$16:A599)+1)</f>
        <v>31</v>
      </c>
      <c r="B600" s="2043" t="s">
        <v>55</v>
      </c>
      <c r="C600" s="197" t="s">
        <v>56</v>
      </c>
      <c r="D600" s="943" t="s">
        <v>10</v>
      </c>
      <c r="E600" s="944">
        <v>46133</v>
      </c>
      <c r="F600" s="945">
        <f>$L$7-E600</f>
        <v>153</v>
      </c>
      <c r="G600" s="345">
        <v>16553</v>
      </c>
      <c r="H600" s="1709"/>
      <c r="I600" s="345"/>
      <c r="J600" s="1309">
        <f>usage!I56</f>
        <v>0</v>
      </c>
      <c r="K600" s="345"/>
      <c r="L600" s="531">
        <f>+G600+H600+I600-J600-K600</f>
        <v>16553</v>
      </c>
      <c r="M600" s="50"/>
      <c r="N600" s="167"/>
      <c r="O600" s="50"/>
      <c r="P600" s="857"/>
      <c r="Q600" s="795"/>
      <c r="R600" s="785">
        <f>IFERROR(VLOOKUP($Q600,'391'!$P:$W,8,0),"")</f>
        <v>0</v>
      </c>
      <c r="S600" s="796"/>
      <c r="T600" s="797"/>
      <c r="U600" s="797"/>
      <c r="V600" s="797"/>
      <c r="W600" s="802">
        <f>IFERROR(VLOOKUP($Q600,'391'!$P:$AG,15,0),0)</f>
        <v>0</v>
      </c>
      <c r="X600" s="799">
        <f t="shared" si="371"/>
        <v>16553</v>
      </c>
      <c r="Y600" s="797"/>
      <c r="Z600" s="785"/>
      <c r="AA600" s="797"/>
      <c r="AB600" s="797"/>
      <c r="AC600" s="681"/>
      <c r="AD600" s="681"/>
      <c r="AE600" s="681"/>
      <c r="AF600" s="681"/>
      <c r="AG600" s="681"/>
      <c r="AH600" s="681"/>
      <c r="AI600" s="703"/>
      <c r="AJ600" s="703"/>
      <c r="AK600" s="703"/>
      <c r="AL600" s="703"/>
      <c r="AM600" s="703"/>
      <c r="AN600" s="703"/>
      <c r="AO600" s="703"/>
      <c r="AP600" s="703"/>
      <c r="AQ600" s="703"/>
      <c r="AR600" s="703"/>
      <c r="AS600" s="703"/>
    </row>
    <row r="601" spans="1:45" s="400" customFormat="1" ht="30" hidden="1" customHeight="1" x14ac:dyDescent="0.25">
      <c r="A601" s="2124"/>
      <c r="B601" s="2044"/>
      <c r="C601" s="138"/>
      <c r="D601" s="946" t="s">
        <v>10</v>
      </c>
      <c r="E601" s="947">
        <v>41844</v>
      </c>
      <c r="F601" s="39">
        <f>$L$7-E601</f>
        <v>4442</v>
      </c>
      <c r="G601" s="28">
        <v>0</v>
      </c>
      <c r="H601" s="28"/>
      <c r="I601" s="28"/>
      <c r="J601" s="1295"/>
      <c r="K601" s="28"/>
      <c r="L601" s="531">
        <f>+G601+H601+I601-J601-K601</f>
        <v>0</v>
      </c>
      <c r="M601" s="47"/>
      <c r="N601" s="920"/>
      <c r="O601" s="47"/>
      <c r="P601" s="857"/>
      <c r="Q601" s="795"/>
      <c r="R601" s="785">
        <f>IFERROR(VLOOKUP($Q601,'391'!$P:$W,8,0),"")</f>
        <v>0</v>
      </c>
      <c r="S601" s="796"/>
      <c r="T601" s="797"/>
      <c r="U601" s="797"/>
      <c r="V601" s="797"/>
      <c r="W601" s="802">
        <f>IFERROR(VLOOKUP($Q601,'391'!$P:$AG,15,0),0)</f>
        <v>0</v>
      </c>
      <c r="X601" s="799">
        <f t="shared" si="371"/>
        <v>0</v>
      </c>
      <c r="Y601" s="797"/>
      <c r="Z601" s="785"/>
      <c r="AA601" s="797"/>
      <c r="AB601" s="797"/>
      <c r="AC601" s="681"/>
      <c r="AD601" s="681"/>
      <c r="AE601" s="681"/>
      <c r="AF601" s="681"/>
      <c r="AG601" s="681"/>
      <c r="AH601" s="681"/>
      <c r="AI601" s="703"/>
      <c r="AJ601" s="703"/>
      <c r="AK601" s="703"/>
      <c r="AL601" s="703"/>
      <c r="AM601" s="703"/>
      <c r="AN601" s="703"/>
      <c r="AO601" s="703"/>
      <c r="AP601" s="703"/>
      <c r="AQ601" s="703"/>
      <c r="AR601" s="703"/>
      <c r="AS601" s="703"/>
    </row>
    <row r="602" spans="1:45" s="402" customFormat="1" ht="30" customHeight="1" x14ac:dyDescent="0.25">
      <c r="A602" s="2019" t="s">
        <v>1130</v>
      </c>
      <c r="B602" s="2020"/>
      <c r="C602" s="88"/>
      <c r="D602" s="864"/>
      <c r="E602" s="864"/>
      <c r="F602" s="865"/>
      <c r="G602" s="1296">
        <v>16553</v>
      </c>
      <c r="H602" s="1296">
        <f t="shared" ref="H602:I602" si="377">H600</f>
        <v>0</v>
      </c>
      <c r="I602" s="1296">
        <f t="shared" si="377"/>
        <v>0</v>
      </c>
      <c r="J602" s="1296">
        <f t="shared" ref="J602:L602" si="378">J600</f>
        <v>0</v>
      </c>
      <c r="K602" s="1296">
        <f t="shared" si="378"/>
        <v>0</v>
      </c>
      <c r="L602" s="1296">
        <f t="shared" si="378"/>
        <v>16553</v>
      </c>
      <c r="M602" s="59">
        <f>IFERROR((R602/$S$2),"")</f>
        <v>1701.3333333333333</v>
      </c>
      <c r="N602" s="366">
        <f>(L602/M602)</f>
        <v>9.7294278996865202</v>
      </c>
      <c r="O602" s="59">
        <f>IFERROR(SUMIF(ETM!$A:$A,$Q602,ETM!$E:$E),"")</f>
        <v>1366.6666666666665</v>
      </c>
      <c r="P602" s="880">
        <f>(L602/O602)</f>
        <v>12.111951219512196</v>
      </c>
      <c r="Q602" s="795" t="s">
        <v>830</v>
      </c>
      <c r="R602" s="785">
        <f>IFERROR(VLOOKUP($Q602,'391'!$P:$W,8,0),"")</f>
        <v>10208</v>
      </c>
      <c r="S602" s="796"/>
      <c r="T602" s="797"/>
      <c r="U602" s="797"/>
      <c r="V602" s="797"/>
      <c r="W602" s="802">
        <f>IFERROR(VLOOKUP($Q602,'391'!$P:$AG,15,0),0)</f>
        <v>16553</v>
      </c>
      <c r="X602" s="799">
        <f t="shared" si="371"/>
        <v>0</v>
      </c>
      <c r="Y602" s="797"/>
      <c r="Z602" s="785"/>
      <c r="AA602" s="797"/>
      <c r="AB602" s="797"/>
      <c r="AC602" s="551"/>
      <c r="AD602" s="551"/>
      <c r="AE602" s="551"/>
      <c r="AF602" s="551"/>
      <c r="AG602" s="551"/>
      <c r="AH602" s="551"/>
      <c r="AI602" s="704"/>
      <c r="AJ602" s="704"/>
      <c r="AK602" s="704"/>
      <c r="AL602" s="704"/>
      <c r="AM602" s="704"/>
      <c r="AN602" s="704"/>
      <c r="AO602" s="704"/>
      <c r="AP602" s="704"/>
      <c r="AQ602" s="704"/>
      <c r="AR602" s="704"/>
      <c r="AS602" s="704"/>
    </row>
    <row r="603" spans="1:45" s="412" customFormat="1" ht="30" customHeight="1" x14ac:dyDescent="0.25">
      <c r="A603" s="2021">
        <f>IF(L608=0,"",MAX($A$16:A602)+1)</f>
        <v>32</v>
      </c>
      <c r="B603" s="2066" t="s">
        <v>92</v>
      </c>
      <c r="C603" s="118" t="s">
        <v>77</v>
      </c>
      <c r="D603" s="910" t="s">
        <v>10</v>
      </c>
      <c r="E603" s="890">
        <v>46284</v>
      </c>
      <c r="F603" s="948">
        <f>$L$7-E603</f>
        <v>2</v>
      </c>
      <c r="G603" s="315">
        <v>35920</v>
      </c>
      <c r="H603" s="314"/>
      <c r="I603" s="315"/>
      <c r="J603" s="1725"/>
      <c r="K603" s="1326"/>
      <c r="L603" s="531">
        <f>+G603+H603+I603-J603-K603</f>
        <v>35920</v>
      </c>
      <c r="M603" s="46"/>
      <c r="N603" s="167"/>
      <c r="O603" s="50"/>
      <c r="P603" s="747"/>
      <c r="Q603" s="795"/>
      <c r="R603" s="785">
        <f>IFERROR(VLOOKUP($Q603,'391'!$P:$W,8,0),"")</f>
        <v>0</v>
      </c>
      <c r="S603" s="786"/>
      <c r="T603" s="810"/>
      <c r="U603" s="810"/>
      <c r="V603" s="810"/>
      <c r="W603" s="802">
        <f>IFERROR(VLOOKUP($Q603,'391'!$P:$AG,15,0),0)</f>
        <v>0</v>
      </c>
      <c r="X603" s="799">
        <f t="shared" si="371"/>
        <v>35920</v>
      </c>
      <c r="Y603" s="810"/>
      <c r="Z603" s="786"/>
      <c r="AA603" s="810"/>
      <c r="AB603" s="810"/>
      <c r="AC603" s="685"/>
      <c r="AD603" s="685"/>
      <c r="AE603" s="685"/>
      <c r="AF603" s="685"/>
      <c r="AG603" s="685"/>
      <c r="AH603" s="685"/>
      <c r="AI603" s="707"/>
      <c r="AJ603" s="707"/>
      <c r="AK603" s="707"/>
      <c r="AL603" s="707"/>
      <c r="AM603" s="707"/>
      <c r="AN603" s="707"/>
      <c r="AO603" s="707"/>
      <c r="AP603" s="707"/>
      <c r="AQ603" s="707"/>
      <c r="AR603" s="707"/>
      <c r="AS603" s="707"/>
    </row>
    <row r="604" spans="1:45" s="412" customFormat="1" ht="30" customHeight="1" x14ac:dyDescent="0.25">
      <c r="A604" s="2022"/>
      <c r="B604" s="2067"/>
      <c r="C604" s="118" t="s">
        <v>78</v>
      </c>
      <c r="D604" s="852" t="s">
        <v>10</v>
      </c>
      <c r="E604" s="853">
        <v>46129</v>
      </c>
      <c r="F604" s="948">
        <f>$L$7-E604</f>
        <v>157</v>
      </c>
      <c r="G604" s="296">
        <v>188427</v>
      </c>
      <c r="H604" s="1861"/>
      <c r="I604" s="315"/>
      <c r="J604" s="1725">
        <f>usage!I57</f>
        <v>12312</v>
      </c>
      <c r="K604" s="1257"/>
      <c r="L604" s="531">
        <f>+G604+H604+I604-J604-K604</f>
        <v>176115</v>
      </c>
      <c r="M604" s="44"/>
      <c r="N604" s="1466"/>
      <c r="O604" s="1456"/>
      <c r="P604" s="1478"/>
      <c r="Q604" s="795"/>
      <c r="R604" s="785">
        <f>IFERROR(VLOOKUP($Q604,'391'!$P:$W,8,0),"")</f>
        <v>0</v>
      </c>
      <c r="S604" s="786"/>
      <c r="T604" s="810"/>
      <c r="U604" s="810"/>
      <c r="V604" s="810"/>
      <c r="W604" s="802">
        <f>IFERROR(VLOOKUP($Q604,'391'!$P:$AG,15,0),0)</f>
        <v>0</v>
      </c>
      <c r="X604" s="799">
        <f t="shared" si="371"/>
        <v>188427</v>
      </c>
      <c r="Y604" s="810"/>
      <c r="Z604" s="786"/>
      <c r="AA604" s="810"/>
      <c r="AB604" s="810"/>
      <c r="AC604" s="685"/>
      <c r="AD604" s="685"/>
      <c r="AE604" s="685"/>
      <c r="AF604" s="685"/>
      <c r="AG604" s="685"/>
      <c r="AH604" s="685"/>
      <c r="AI604" s="707"/>
      <c r="AJ604" s="707"/>
      <c r="AK604" s="707"/>
      <c r="AL604" s="707"/>
      <c r="AM604" s="707"/>
      <c r="AN604" s="707"/>
      <c r="AO604" s="707"/>
      <c r="AP604" s="707"/>
      <c r="AQ604" s="707"/>
      <c r="AR604" s="707"/>
      <c r="AS604" s="707"/>
    </row>
    <row r="605" spans="1:45" s="412" customFormat="1" ht="30" hidden="1" customHeight="1" x14ac:dyDescent="0.25">
      <c r="A605" s="2022"/>
      <c r="B605" s="2067"/>
      <c r="C605" s="118" t="s">
        <v>127</v>
      </c>
      <c r="D605" s="852" t="s">
        <v>10</v>
      </c>
      <c r="E605" s="853">
        <v>43183</v>
      </c>
      <c r="F605" s="856">
        <f>$L$7-E605</f>
        <v>3103</v>
      </c>
      <c r="G605" s="296">
        <v>0</v>
      </c>
      <c r="H605" s="296"/>
      <c r="I605" s="296"/>
      <c r="J605" s="1310"/>
      <c r="K605" s="296"/>
      <c r="L605" s="531">
        <f>+G605+H605+I605-J605-K605</f>
        <v>0</v>
      </c>
      <c r="M605" s="48"/>
      <c r="N605" s="920"/>
      <c r="O605" s="48"/>
      <c r="P605" s="857"/>
      <c r="Q605" s="795"/>
      <c r="R605" s="785">
        <f>IFERROR(VLOOKUP($Q605,'391'!$P:$W,8,0),"")</f>
        <v>0</v>
      </c>
      <c r="S605" s="786"/>
      <c r="T605" s="810"/>
      <c r="U605" s="810"/>
      <c r="V605" s="810"/>
      <c r="W605" s="802">
        <f>IFERROR(VLOOKUP($Q605,'391'!$P:$AG,15,0),0)</f>
        <v>0</v>
      </c>
      <c r="X605" s="799">
        <f t="shared" si="371"/>
        <v>0</v>
      </c>
      <c r="Y605" s="810"/>
      <c r="Z605" s="786"/>
      <c r="AA605" s="810"/>
      <c r="AB605" s="810"/>
      <c r="AC605" s="685"/>
      <c r="AD605" s="685"/>
      <c r="AE605" s="685"/>
      <c r="AF605" s="685"/>
      <c r="AG605" s="685"/>
      <c r="AH605" s="685"/>
      <c r="AI605" s="707"/>
      <c r="AJ605" s="707"/>
      <c r="AK605" s="707"/>
      <c r="AL605" s="707"/>
      <c r="AM605" s="707"/>
      <c r="AN605" s="707"/>
      <c r="AO605" s="707"/>
      <c r="AP605" s="707"/>
      <c r="AQ605" s="707"/>
      <c r="AR605" s="707"/>
      <c r="AS605" s="707"/>
    </row>
    <row r="606" spans="1:45" s="412" customFormat="1" ht="30" hidden="1" customHeight="1" x14ac:dyDescent="0.25">
      <c r="A606" s="2022"/>
      <c r="B606" s="2067"/>
      <c r="C606" s="118" t="s">
        <v>209</v>
      </c>
      <c r="D606" s="852" t="s">
        <v>10</v>
      </c>
      <c r="E606" s="853">
        <v>43183</v>
      </c>
      <c r="F606" s="856">
        <f>$L$7-E606</f>
        <v>3103</v>
      </c>
      <c r="G606" s="296">
        <v>0</v>
      </c>
      <c r="H606" s="296"/>
      <c r="I606" s="296"/>
      <c r="J606" s="1310"/>
      <c r="K606" s="296"/>
      <c r="L606" s="531">
        <f>+G606+H606+I606-J606-K606</f>
        <v>0</v>
      </c>
      <c r="M606" s="45"/>
      <c r="N606" s="920"/>
      <c r="O606" s="45"/>
      <c r="P606" s="857"/>
      <c r="Q606" s="795"/>
      <c r="R606" s="785">
        <f>IFERROR(VLOOKUP($Q606,'391'!$P:$W,8,0),"")</f>
        <v>0</v>
      </c>
      <c r="S606" s="786"/>
      <c r="T606" s="810"/>
      <c r="U606" s="810"/>
      <c r="V606" s="810"/>
      <c r="W606" s="802">
        <f>IFERROR(VLOOKUP($Q606,'391'!$P:$AG,15,0),0)</f>
        <v>0</v>
      </c>
      <c r="X606" s="799">
        <f t="shared" si="371"/>
        <v>0</v>
      </c>
      <c r="Y606" s="810"/>
      <c r="Z606" s="786"/>
      <c r="AA606" s="810"/>
      <c r="AB606" s="810"/>
      <c r="AC606" s="685"/>
      <c r="AD606" s="685"/>
      <c r="AE606" s="685"/>
      <c r="AF606" s="685"/>
      <c r="AG606" s="685"/>
      <c r="AH606" s="685"/>
      <c r="AI606" s="707"/>
      <c r="AJ606" s="707"/>
      <c r="AK606" s="707"/>
      <c r="AL606" s="707"/>
      <c r="AM606" s="707"/>
      <c r="AN606" s="707"/>
      <c r="AO606" s="707"/>
      <c r="AP606" s="707"/>
      <c r="AQ606" s="707"/>
      <c r="AR606" s="707"/>
      <c r="AS606" s="707"/>
    </row>
    <row r="607" spans="1:45" s="412" customFormat="1" ht="30" hidden="1" customHeight="1" x14ac:dyDescent="0.25">
      <c r="A607" s="2023"/>
      <c r="B607" s="2068"/>
      <c r="C607" s="118"/>
      <c r="D607" s="852" t="s">
        <v>10</v>
      </c>
      <c r="E607" s="853">
        <v>43047</v>
      </c>
      <c r="F607" s="856">
        <f>$L$7-E607</f>
        <v>3239</v>
      </c>
      <c r="G607" s="296">
        <v>0</v>
      </c>
      <c r="H607" s="296"/>
      <c r="I607" s="296"/>
      <c r="J607" s="1310"/>
      <c r="K607" s="296"/>
      <c r="L607" s="531">
        <f>+G607+H607+I607-J607-K607</f>
        <v>0</v>
      </c>
      <c r="M607" s="47"/>
      <c r="N607" s="920"/>
      <c r="O607" s="47"/>
      <c r="P607" s="857"/>
      <c r="Q607" s="795"/>
      <c r="R607" s="785">
        <f>IFERROR(VLOOKUP($Q607,'391'!$P:$W,8,0),"")</f>
        <v>0</v>
      </c>
      <c r="S607" s="786"/>
      <c r="T607" s="810"/>
      <c r="U607" s="810"/>
      <c r="V607" s="810"/>
      <c r="W607" s="802">
        <f>IFERROR(VLOOKUP($Q607,'391'!$P:$AG,15,0),0)</f>
        <v>0</v>
      </c>
      <c r="X607" s="799">
        <f t="shared" si="371"/>
        <v>0</v>
      </c>
      <c r="Y607" s="810"/>
      <c r="Z607" s="786"/>
      <c r="AA607" s="810"/>
      <c r="AB607" s="810"/>
      <c r="AC607" s="685"/>
      <c r="AD607" s="685"/>
      <c r="AE607" s="685"/>
      <c r="AF607" s="685"/>
      <c r="AG607" s="685"/>
      <c r="AH607" s="685"/>
      <c r="AI607" s="707"/>
      <c r="AJ607" s="707"/>
      <c r="AK607" s="707"/>
      <c r="AL607" s="707"/>
      <c r="AM607" s="707"/>
      <c r="AN607" s="707"/>
      <c r="AO607" s="707"/>
      <c r="AP607" s="707"/>
      <c r="AQ607" s="707"/>
      <c r="AR607" s="707"/>
      <c r="AS607" s="707"/>
    </row>
    <row r="608" spans="1:45" s="402" customFormat="1" ht="30" customHeight="1" x14ac:dyDescent="0.25">
      <c r="A608" s="2019" t="s">
        <v>950</v>
      </c>
      <c r="B608" s="2020"/>
      <c r="C608" s="88"/>
      <c r="D608" s="864"/>
      <c r="E608" s="864"/>
      <c r="F608" s="865"/>
      <c r="G608" s="1296">
        <v>224347</v>
      </c>
      <c r="H608" s="1296">
        <f>+SUM(H603:H607)</f>
        <v>0</v>
      </c>
      <c r="I608" s="1296">
        <f t="shared" ref="I608:L608" si="379">+SUM(I603:I607)</f>
        <v>0</v>
      </c>
      <c r="J608" s="1296">
        <f t="shared" si="379"/>
        <v>12312</v>
      </c>
      <c r="K608" s="1296">
        <f t="shared" si="379"/>
        <v>0</v>
      </c>
      <c r="L608" s="1296">
        <f t="shared" si="379"/>
        <v>212035</v>
      </c>
      <c r="M608" s="59">
        <f>IFERROR((R608/$S$2),"")</f>
        <v>14507.5</v>
      </c>
      <c r="N608" s="366">
        <f>(L608/M608)</f>
        <v>14.615543684301224</v>
      </c>
      <c r="O608" s="59">
        <f>IFERROR(SUMIF(ETM!$A:$A,$Q608,ETM!$E:$E),"")</f>
        <v>14644.833333333334</v>
      </c>
      <c r="P608" s="855">
        <f>(L608/O608)</f>
        <v>14.478485017469186</v>
      </c>
      <c r="Q608" s="795" t="s">
        <v>810</v>
      </c>
      <c r="R608" s="785">
        <f>IFERROR(VLOOKUP($Q608,'391'!$P:$W,8,0),"")</f>
        <v>87045</v>
      </c>
      <c r="S608" s="796"/>
      <c r="T608" s="797"/>
      <c r="U608" s="797"/>
      <c r="V608" s="797"/>
      <c r="W608" s="802">
        <f>IFERROR(VLOOKUP($Q608,'391'!$P:$AG,15,0),0)</f>
        <v>224347</v>
      </c>
      <c r="X608" s="799">
        <f t="shared" si="371"/>
        <v>0</v>
      </c>
      <c r="Y608" s="797"/>
      <c r="Z608" s="785"/>
      <c r="AA608" s="797"/>
      <c r="AB608" s="797"/>
      <c r="AC608" s="551"/>
      <c r="AD608" s="551"/>
      <c r="AE608" s="551"/>
      <c r="AF608" s="551"/>
      <c r="AG608" s="551"/>
      <c r="AH608" s="551"/>
      <c r="AI608" s="704"/>
      <c r="AJ608" s="704"/>
      <c r="AK608" s="704"/>
      <c r="AL608" s="704"/>
      <c r="AM608" s="704"/>
      <c r="AN608" s="704"/>
      <c r="AO608" s="704"/>
      <c r="AP608" s="704"/>
      <c r="AQ608" s="704"/>
      <c r="AR608" s="704"/>
      <c r="AS608" s="704"/>
    </row>
    <row r="609" spans="1:45" s="412" customFormat="1" ht="30" customHeight="1" x14ac:dyDescent="0.25">
      <c r="A609" s="290">
        <f>IF(L610=0,"",MAX($A$16:A608)+1)</f>
        <v>33</v>
      </c>
      <c r="B609" s="349" t="s">
        <v>240</v>
      </c>
      <c r="C609" s="256" t="s">
        <v>65</v>
      </c>
      <c r="D609" s="940" t="s">
        <v>10</v>
      </c>
      <c r="E609" s="941">
        <v>46228</v>
      </c>
      <c r="F609" s="41">
        <f>$L$7-E609</f>
        <v>58</v>
      </c>
      <c r="G609" s="314">
        <v>414869</v>
      </c>
      <c r="H609" s="314"/>
      <c r="I609" s="314"/>
      <c r="J609" s="1359">
        <f>usage!I58</f>
        <v>29997.75</v>
      </c>
      <c r="K609" s="308"/>
      <c r="L609" s="531">
        <f>+G609+H609+I609-J609-K609</f>
        <v>384871.25</v>
      </c>
      <c r="M609" s="51"/>
      <c r="N609" s="1470"/>
      <c r="O609" s="51"/>
      <c r="P609" s="857"/>
      <c r="Q609" s="795"/>
      <c r="R609" s="785">
        <f>IFERROR(VLOOKUP($Q609,'391'!$P:$W,8,0),"")</f>
        <v>0</v>
      </c>
      <c r="S609" s="786"/>
      <c r="T609" s="810"/>
      <c r="U609" s="810"/>
      <c r="V609" s="810"/>
      <c r="W609" s="802">
        <f>IFERROR(VLOOKUP($Q609,'391'!$P:$AG,15,0),0)</f>
        <v>0</v>
      </c>
      <c r="X609" s="799">
        <f t="shared" si="371"/>
        <v>414869</v>
      </c>
      <c r="Y609" s="810"/>
      <c r="Z609" s="786"/>
      <c r="AA609" s="810"/>
      <c r="AB609" s="810"/>
      <c r="AC609" s="685"/>
      <c r="AD609" s="685"/>
      <c r="AE609" s="685"/>
      <c r="AF609" s="685"/>
      <c r="AG609" s="685"/>
      <c r="AH609" s="685"/>
      <c r="AI609" s="707"/>
      <c r="AJ609" s="707"/>
      <c r="AK609" s="707"/>
      <c r="AL609" s="707"/>
      <c r="AM609" s="707"/>
      <c r="AN609" s="707"/>
      <c r="AO609" s="707"/>
      <c r="AP609" s="707"/>
      <c r="AQ609" s="707"/>
      <c r="AR609" s="707"/>
      <c r="AS609" s="707"/>
    </row>
    <row r="610" spans="1:45" s="412" customFormat="1" ht="30" customHeight="1" x14ac:dyDescent="0.25">
      <c r="A610" s="2114" t="s">
        <v>118</v>
      </c>
      <c r="B610" s="2115"/>
      <c r="C610" s="949"/>
      <c r="D610" s="950"/>
      <c r="E610" s="951"/>
      <c r="F610" s="952"/>
      <c r="G610" s="1296">
        <f>+G609</f>
        <v>414869</v>
      </c>
      <c r="H610" s="1296">
        <f>+H609</f>
        <v>0</v>
      </c>
      <c r="I610" s="1296">
        <f t="shared" ref="I610:L610" si="380">+I609</f>
        <v>0</v>
      </c>
      <c r="J610" s="1296">
        <f t="shared" si="380"/>
        <v>29997.75</v>
      </c>
      <c r="K610" s="1296">
        <f t="shared" si="380"/>
        <v>0</v>
      </c>
      <c r="L610" s="1296">
        <f t="shared" si="380"/>
        <v>384871.25</v>
      </c>
      <c r="M610" s="59">
        <f>IFERROR((R610/$S$2),"")</f>
        <v>27530.166666666668</v>
      </c>
      <c r="N610" s="854">
        <f>(L610/M610)</f>
        <v>13.979982564580672</v>
      </c>
      <c r="O610" s="59">
        <f>IFERROR(SUMIF(ETM!$A:$A,$Q610,ETM!$E:$E),"")</f>
        <v>28685.000000000004</v>
      </c>
      <c r="P610" s="855">
        <f>(L610/O610)</f>
        <v>13.417160536865957</v>
      </c>
      <c r="Q610" s="795" t="s">
        <v>816</v>
      </c>
      <c r="R610" s="785">
        <f>IFERROR(VLOOKUP($Q610,'391'!$P:$W,8,0),"")</f>
        <v>165181</v>
      </c>
      <c r="S610" s="786"/>
      <c r="T610" s="810"/>
      <c r="U610" s="810"/>
      <c r="V610" s="810"/>
      <c r="W610" s="802">
        <f>IFERROR(VLOOKUP($Q610,'391'!$P:$AG,15,0),0)</f>
        <v>414869</v>
      </c>
      <c r="X610" s="799">
        <f t="shared" si="371"/>
        <v>0</v>
      </c>
      <c r="Y610" s="810"/>
      <c r="Z610" s="786"/>
      <c r="AA610" s="810"/>
      <c r="AB610" s="810"/>
      <c r="AC610" s="685"/>
      <c r="AD610" s="685"/>
      <c r="AE610" s="685"/>
      <c r="AF610" s="685"/>
      <c r="AG610" s="685"/>
      <c r="AH610" s="685"/>
      <c r="AI610" s="707"/>
      <c r="AJ610" s="707"/>
      <c r="AK610" s="707"/>
      <c r="AL610" s="707"/>
      <c r="AM610" s="707"/>
      <c r="AN610" s="707"/>
      <c r="AO610" s="707"/>
      <c r="AP610" s="707"/>
      <c r="AQ610" s="707"/>
      <c r="AR610" s="707"/>
      <c r="AS610" s="707"/>
    </row>
    <row r="611" spans="1:45" s="13" customFormat="1" ht="39.950000000000003" customHeight="1" thickBot="1" x14ac:dyDescent="0.3">
      <c r="A611" s="2125" t="s">
        <v>9</v>
      </c>
      <c r="B611" s="2126"/>
      <c r="C611" s="2126"/>
      <c r="D611" s="2126"/>
      <c r="E611" s="2126"/>
      <c r="F611" s="636"/>
      <c r="G611" s="1363">
        <f t="shared" ref="G611:L611" si="381">G391+G401+G423+G439+G445+G454+G465+G489+G509+G517+G522+G538+G557+G560+G575+G579+G595+G599+G602+G608+G610+G583+G587+G591+G564+G568</f>
        <v>1871251</v>
      </c>
      <c r="H611" s="1363">
        <f t="shared" si="381"/>
        <v>71890</v>
      </c>
      <c r="I611" s="1363">
        <f t="shared" si="381"/>
        <v>29693</v>
      </c>
      <c r="J611" s="1363">
        <f t="shared" si="381"/>
        <v>93156.75</v>
      </c>
      <c r="K611" s="1363">
        <f t="shared" si="381"/>
        <v>29693</v>
      </c>
      <c r="L611" s="1363">
        <f t="shared" si="381"/>
        <v>1849984.25</v>
      </c>
      <c r="M611" s="1049"/>
      <c r="N611" s="1041"/>
      <c r="O611" s="1041"/>
      <c r="P611" s="1042"/>
      <c r="Q611" s="795"/>
      <c r="R611" s="812">
        <f>+SUM(R38:R610)-R209-R87-R92-R509-R233-R50-R202-R60-R49-R39-R40-R224-R184-R207-R218-R80-R61</f>
        <v>12369180</v>
      </c>
      <c r="S611" s="796">
        <v>10737806</v>
      </c>
      <c r="T611" s="799">
        <f>+R611-S611</f>
        <v>1631374</v>
      </c>
      <c r="U611" s="797"/>
      <c r="V611" s="797"/>
      <c r="W611" s="785">
        <f>IFERROR(VLOOKUP($Q611,'391'!$S:$AG,15,0),0)</f>
        <v>0</v>
      </c>
      <c r="X611" s="799">
        <f t="shared" si="371"/>
        <v>1871251</v>
      </c>
      <c r="Y611" s="797"/>
      <c r="Z611" s="785"/>
      <c r="AA611" s="797"/>
      <c r="AB611" s="797"/>
      <c r="AC611" s="683"/>
      <c r="AD611" s="683"/>
      <c r="AE611" s="683"/>
      <c r="AF611" s="683"/>
      <c r="AG611" s="683"/>
      <c r="AH611" s="683"/>
      <c r="AI611" s="705"/>
      <c r="AJ611" s="705"/>
      <c r="AK611" s="705"/>
      <c r="AL611" s="705"/>
      <c r="AM611" s="705"/>
      <c r="AN611" s="705"/>
      <c r="AO611" s="705"/>
      <c r="AP611" s="705"/>
      <c r="AQ611" s="705"/>
      <c r="AR611" s="705"/>
      <c r="AS611" s="705"/>
    </row>
    <row r="612" spans="1:45" s="13" customFormat="1" ht="39.950000000000003" customHeight="1" thickBot="1" x14ac:dyDescent="0.3">
      <c r="A612" s="2104" t="s">
        <v>1477</v>
      </c>
      <c r="B612" s="2105"/>
      <c r="C612" s="2105"/>
      <c r="D612" s="2105"/>
      <c r="E612" s="2105"/>
      <c r="F612" s="2106"/>
      <c r="G612" s="1364">
        <f t="shared" ref="G612:L612" si="382">G611+G378+G194</f>
        <v>32082020</v>
      </c>
      <c r="H612" s="1364">
        <f t="shared" si="382"/>
        <v>530070</v>
      </c>
      <c r="I612" s="1364">
        <f t="shared" si="382"/>
        <v>3105589.55</v>
      </c>
      <c r="J612" s="1364">
        <f t="shared" si="382"/>
        <v>1971984.4</v>
      </c>
      <c r="K612" s="1364">
        <f t="shared" si="382"/>
        <v>2880689.55</v>
      </c>
      <c r="L612" s="1364">
        <f t="shared" si="382"/>
        <v>30865005.600000001</v>
      </c>
      <c r="M612" s="1050"/>
      <c r="N612" s="1043"/>
      <c r="O612" s="1043"/>
      <c r="P612" s="1044"/>
      <c r="Q612" s="795"/>
      <c r="R612" s="785">
        <f>IFERROR(VLOOKUP($Q612,'391'!$P:$W,8,0),"")</f>
        <v>0</v>
      </c>
      <c r="S612" s="796"/>
      <c r="T612" s="797"/>
      <c r="U612" s="797"/>
      <c r="V612" s="797"/>
      <c r="W612" s="813"/>
      <c r="X612" s="799">
        <f t="shared" si="371"/>
        <v>32082020</v>
      </c>
      <c r="Y612" s="797"/>
      <c r="Z612" s="785"/>
      <c r="AA612" s="797"/>
      <c r="AB612" s="797"/>
      <c r="AC612" s="683"/>
      <c r="AD612" s="683"/>
      <c r="AE612" s="683"/>
      <c r="AF612" s="683"/>
      <c r="AG612" s="683"/>
      <c r="AH612" s="683"/>
      <c r="AI612" s="705"/>
      <c r="AJ612" s="705"/>
      <c r="AK612" s="705"/>
      <c r="AL612" s="705"/>
      <c r="AM612" s="705"/>
      <c r="AN612" s="705"/>
      <c r="AO612" s="705"/>
      <c r="AP612" s="705"/>
      <c r="AQ612" s="705"/>
      <c r="AR612" s="705"/>
      <c r="AS612" s="705"/>
    </row>
    <row r="613" spans="1:45" s="6" customFormat="1" ht="30" customHeight="1" x14ac:dyDescent="0.25">
      <c r="A613" s="2077">
        <f>IF(L622=0,"",MAX($A$16:A610)+1)</f>
        <v>34</v>
      </c>
      <c r="B613" s="2071" t="s">
        <v>93</v>
      </c>
      <c r="C613" s="135" t="s">
        <v>59</v>
      </c>
      <c r="D613" s="852" t="s">
        <v>10</v>
      </c>
      <c r="E613" s="853">
        <v>46263</v>
      </c>
      <c r="F613" s="73">
        <f t="shared" ref="F613" si="383">$L$7-E613</f>
        <v>23</v>
      </c>
      <c r="G613" s="58">
        <v>18373.100000000002</v>
      </c>
      <c r="H613" s="1246"/>
      <c r="I613" s="58"/>
      <c r="J613" s="1365">
        <f>usage!I76-J614</f>
        <v>1962.72</v>
      </c>
      <c r="K613" s="12"/>
      <c r="L613" s="58">
        <f t="shared" ref="L613:L621" si="384">+G613+H613+I613-J613-K613</f>
        <v>16410.38</v>
      </c>
      <c r="M613" s="1205"/>
      <c r="N613" s="249"/>
      <c r="O613" s="101"/>
      <c r="P613" s="738"/>
      <c r="Q613" s="795"/>
      <c r="R613" s="785">
        <f>IFERROR(VLOOKUP($Q613,'391'!$S:$Z,8,0),"")</f>
        <v>0</v>
      </c>
      <c r="S613" s="786"/>
      <c r="T613" s="787" t="str">
        <f>$Q$622&amp;C613&amp;E613</f>
        <v>DL-Methionine (Singapore)Bồn DL46263</v>
      </c>
      <c r="U613" s="787"/>
      <c r="V613" s="787"/>
      <c r="W613" s="785">
        <f>IFERROR(VLOOKUP($Q613,'391'!$S:$AG,15,0),0)</f>
        <v>0</v>
      </c>
      <c r="X613" s="1090">
        <f t="shared" si="371"/>
        <v>18373.100000000002</v>
      </c>
      <c r="Y613" s="787"/>
      <c r="Z613" s="785" t="str">
        <f>IFERROR(VLOOKUP($Q613,'391'!$S:$Z,33,0),"")</f>
        <v/>
      </c>
      <c r="AA613" s="787"/>
      <c r="AB613" s="787"/>
      <c r="AC613" s="679"/>
      <c r="AD613" s="679"/>
      <c r="AE613" s="679"/>
      <c r="AF613" s="679"/>
      <c r="AG613" s="679"/>
      <c r="AH613" s="679"/>
      <c r="AI613" s="682"/>
      <c r="AJ613" s="682"/>
      <c r="AK613" s="682"/>
      <c r="AL613" s="682"/>
      <c r="AM613" s="682"/>
      <c r="AN613" s="682"/>
      <c r="AO613" s="682"/>
      <c r="AP613" s="682"/>
      <c r="AQ613" s="682"/>
      <c r="AR613" s="682"/>
      <c r="AS613" s="682"/>
    </row>
    <row r="614" spans="1:45" s="6" customFormat="1" ht="30" customHeight="1" x14ac:dyDescent="0.25">
      <c r="A614" s="2070"/>
      <c r="B614" s="2067"/>
      <c r="C614" s="135" t="s">
        <v>59</v>
      </c>
      <c r="D614" s="852" t="s">
        <v>10</v>
      </c>
      <c r="E614" s="853">
        <v>46284</v>
      </c>
      <c r="F614" s="73">
        <f t="shared" ref="F614" si="385">$L$7-E614</f>
        <v>2</v>
      </c>
      <c r="G614" s="58">
        <v>22370</v>
      </c>
      <c r="H614" s="1769"/>
      <c r="I614" s="58"/>
      <c r="J614" s="1365"/>
      <c r="K614" s="12"/>
      <c r="L614" s="1533">
        <f t="shared" si="384"/>
        <v>22370</v>
      </c>
      <c r="M614" s="101"/>
      <c r="N614" s="249"/>
      <c r="O614" s="101"/>
      <c r="P614" s="738"/>
      <c r="Q614" s="795"/>
      <c r="R614" s="785">
        <f>IFERROR(VLOOKUP($Q614,'391'!$S:$Z,8,0),"")</f>
        <v>0</v>
      </c>
      <c r="S614" s="786"/>
      <c r="T614" s="787" t="str">
        <f>$Q$618&amp;C614&amp;E614</f>
        <v>Bồn DL46284</v>
      </c>
      <c r="U614" s="787"/>
      <c r="V614" s="787"/>
      <c r="W614" s="785">
        <f>IFERROR(VLOOKUP($Q614,'391'!$S:$AG,15,0),0)</f>
        <v>0</v>
      </c>
      <c r="X614" s="1090">
        <f t="shared" si="371"/>
        <v>22370</v>
      </c>
      <c r="Y614" s="787"/>
      <c r="Z614" s="785" t="str">
        <f>IFERROR(VLOOKUP($Q614,'391'!$S:$Z,33,0),"")</f>
        <v/>
      </c>
      <c r="AA614" s="787"/>
      <c r="AB614" s="787"/>
      <c r="AC614" s="679"/>
      <c r="AD614" s="679"/>
      <c r="AE614" s="679"/>
      <c r="AF614" s="679"/>
      <c r="AG614" s="679"/>
      <c r="AH614" s="679"/>
      <c r="AI614" s="682"/>
      <c r="AJ614" s="682"/>
      <c r="AK614" s="682"/>
      <c r="AL614" s="682"/>
      <c r="AM614" s="682"/>
      <c r="AN614" s="682"/>
      <c r="AO614" s="682"/>
      <c r="AP614" s="682"/>
      <c r="AQ614" s="682"/>
      <c r="AR614" s="682"/>
      <c r="AS614" s="682"/>
    </row>
    <row r="615" spans="1:45" s="6" customFormat="1" ht="30" hidden="1" customHeight="1" x14ac:dyDescent="0.25">
      <c r="A615" s="2070"/>
      <c r="B615" s="2067"/>
      <c r="C615" s="135"/>
      <c r="D615" s="852" t="s">
        <v>10</v>
      </c>
      <c r="E615" s="853">
        <v>46263</v>
      </c>
      <c r="F615" s="73">
        <f t="shared" ref="F615:F621" si="386">$L$7-E615</f>
        <v>23</v>
      </c>
      <c r="G615" s="58">
        <v>0</v>
      </c>
      <c r="H615" s="296"/>
      <c r="I615" s="58"/>
      <c r="J615" s="1366"/>
      <c r="K615" s="12"/>
      <c r="L615" s="1533">
        <f t="shared" si="384"/>
        <v>0</v>
      </c>
      <c r="M615" s="101"/>
      <c r="N615" s="101"/>
      <c r="O615" s="101"/>
      <c r="P615" s="738"/>
      <c r="Q615" s="795"/>
      <c r="R615" s="785">
        <f>IFERROR(VLOOKUP($Q615,'391'!$S:$Z,8,0),"")</f>
        <v>0</v>
      </c>
      <c r="S615" s="786"/>
      <c r="T615" s="787" t="str">
        <f>$Q$618&amp;C615&amp;E615</f>
        <v>46263</v>
      </c>
      <c r="U615" s="787"/>
      <c r="V615" s="787"/>
      <c r="W615" s="785">
        <f>IFERROR(VLOOKUP($Q615,'391'!$S:$AG,15,0),0)</f>
        <v>0</v>
      </c>
      <c r="X615" s="1090">
        <f t="shared" si="371"/>
        <v>0</v>
      </c>
      <c r="Y615" s="787"/>
      <c r="Z615" s="785" t="str">
        <f>IFERROR(VLOOKUP($Q615,'391'!$S:$Z,33,0),"")</f>
        <v/>
      </c>
      <c r="AA615" s="787"/>
      <c r="AB615" s="787"/>
      <c r="AC615" s="679"/>
      <c r="AD615" s="679"/>
      <c r="AE615" s="679"/>
      <c r="AF615" s="679"/>
      <c r="AG615" s="679"/>
      <c r="AH615" s="679"/>
      <c r="AI615" s="682"/>
      <c r="AJ615" s="682"/>
      <c r="AK615" s="682"/>
      <c r="AL615" s="682"/>
      <c r="AM615" s="682"/>
      <c r="AN615" s="682"/>
      <c r="AO615" s="682"/>
      <c r="AP615" s="682"/>
      <c r="AQ615" s="682"/>
      <c r="AR615" s="682"/>
      <c r="AS615" s="682"/>
    </row>
    <row r="616" spans="1:45" s="6" customFormat="1" ht="30" hidden="1" customHeight="1" x14ac:dyDescent="0.25">
      <c r="A616" s="2070"/>
      <c r="B616" s="2072"/>
      <c r="C616" s="135" t="s">
        <v>59</v>
      </c>
      <c r="D616" s="852" t="s">
        <v>10</v>
      </c>
      <c r="E616" s="853">
        <v>44827</v>
      </c>
      <c r="F616" s="73">
        <f t="shared" si="386"/>
        <v>1459</v>
      </c>
      <c r="G616" s="58">
        <v>0</v>
      </c>
      <c r="H616" s="58"/>
      <c r="I616" s="56"/>
      <c r="J616" s="1366"/>
      <c r="K616" s="12"/>
      <c r="L616" s="1533">
        <f t="shared" si="384"/>
        <v>0</v>
      </c>
      <c r="M616" s="101"/>
      <c r="N616" s="101"/>
      <c r="O616" s="101"/>
      <c r="P616" s="738">
        <f>+P615-P614</f>
        <v>0</v>
      </c>
      <c r="Q616" s="795"/>
      <c r="R616" s="785">
        <f>IFERROR(VLOOKUP($Q616,'391'!$S:$Z,8,0),"")</f>
        <v>0</v>
      </c>
      <c r="S616" s="786"/>
      <c r="T616" s="787" t="str">
        <f>$Q$618&amp;C616&amp;E616</f>
        <v>Bồn DL44827</v>
      </c>
      <c r="U616" s="787"/>
      <c r="V616" s="787"/>
      <c r="W616" s="785">
        <f>IFERROR(VLOOKUP($Q616,'391'!$S:$AG,15,0),0)</f>
        <v>0</v>
      </c>
      <c r="X616" s="1090">
        <f t="shared" si="371"/>
        <v>0</v>
      </c>
      <c r="Y616" s="787"/>
      <c r="Z616" s="785" t="str">
        <f>IFERROR(VLOOKUP($Q616,'391'!$S:$Z,33,0),"")</f>
        <v/>
      </c>
      <c r="AA616" s="787"/>
      <c r="AB616" s="787"/>
      <c r="AC616" s="679"/>
      <c r="AD616" s="679"/>
      <c r="AE616" s="679"/>
      <c r="AF616" s="679"/>
      <c r="AG616" s="679"/>
      <c r="AH616" s="679"/>
      <c r="AI616" s="682"/>
      <c r="AJ616" s="682"/>
      <c r="AK616" s="682"/>
      <c r="AL616" s="682"/>
      <c r="AM616" s="682"/>
      <c r="AN616" s="682"/>
      <c r="AO616" s="682"/>
      <c r="AP616" s="682"/>
      <c r="AQ616" s="682"/>
      <c r="AR616" s="682"/>
      <c r="AS616" s="682"/>
    </row>
    <row r="617" spans="1:45" s="6" customFormat="1" ht="30" hidden="1" customHeight="1" x14ac:dyDescent="0.25">
      <c r="A617" s="2070"/>
      <c r="B617" s="2067"/>
      <c r="C617" s="129"/>
      <c r="D617" s="866" t="s">
        <v>10</v>
      </c>
      <c r="E617" s="867">
        <v>45476</v>
      </c>
      <c r="F617" s="75">
        <f t="shared" si="386"/>
        <v>810</v>
      </c>
      <c r="G617" s="64">
        <v>0</v>
      </c>
      <c r="H617" s="11"/>
      <c r="I617" s="11"/>
      <c r="J617" s="1365"/>
      <c r="K617" s="12">
        <f>IFERROR(SUMIF(INTAKE!$A:$A,$T617,INTAKE!$P:$P),0)</f>
        <v>0</v>
      </c>
      <c r="L617" s="1702">
        <f t="shared" si="384"/>
        <v>0</v>
      </c>
      <c r="M617" s="101"/>
      <c r="N617" s="101"/>
      <c r="O617" s="101"/>
      <c r="P617" s="738"/>
      <c r="Q617" s="795"/>
      <c r="R617" s="785">
        <f>IFERROR(VLOOKUP($Q617,'391'!$S:$Z,8,0),"")</f>
        <v>0</v>
      </c>
      <c r="S617" s="786"/>
      <c r="T617" s="787" t="str">
        <f>$Q$621&amp;C617&amp;E617</f>
        <v>DL- Methionine 99% Feed Grade45476</v>
      </c>
      <c r="U617" s="787"/>
      <c r="V617" s="787"/>
      <c r="W617" s="785">
        <f>IFERROR(VLOOKUP($Q617,'391'!$S:$AG,15,0),0)</f>
        <v>0</v>
      </c>
      <c r="X617" s="1090">
        <f t="shared" si="371"/>
        <v>0</v>
      </c>
      <c r="Y617" s="787"/>
      <c r="Z617" s="785" t="str">
        <f>IFERROR(VLOOKUP($Q617,'391'!$S:$Z,33,0),"")</f>
        <v/>
      </c>
      <c r="AA617" s="787"/>
      <c r="AB617" s="787"/>
      <c r="AC617" s="679"/>
      <c r="AD617" s="679"/>
      <c r="AE617" s="679"/>
      <c r="AF617" s="679"/>
      <c r="AG617" s="679"/>
      <c r="AH617" s="679"/>
      <c r="AI617" s="682"/>
      <c r="AJ617" s="682"/>
      <c r="AK617" s="682"/>
      <c r="AL617" s="682"/>
      <c r="AM617" s="682"/>
      <c r="AN617" s="682"/>
      <c r="AO617" s="682"/>
      <c r="AP617" s="682"/>
      <c r="AQ617" s="682"/>
      <c r="AR617" s="682"/>
      <c r="AS617" s="682"/>
    </row>
    <row r="618" spans="1:45" s="6" customFormat="1" ht="30" hidden="1" customHeight="1" x14ac:dyDescent="0.25">
      <c r="A618" s="2070"/>
      <c r="B618" s="2067"/>
      <c r="C618" s="129"/>
      <c r="D618" s="866" t="s">
        <v>10</v>
      </c>
      <c r="E618" s="867">
        <v>45464</v>
      </c>
      <c r="F618" s="75">
        <f t="shared" si="386"/>
        <v>822</v>
      </c>
      <c r="G618" s="64">
        <v>0</v>
      </c>
      <c r="H618" s="11"/>
      <c r="I618" s="11"/>
      <c r="J618" s="1365"/>
      <c r="K618" s="12">
        <f>IFERROR(SUMIF(INTAKE!$A:$A,$T618,INTAKE!$P:$P),0)</f>
        <v>0</v>
      </c>
      <c r="L618" s="1533">
        <f t="shared" si="384"/>
        <v>0</v>
      </c>
      <c r="M618" s="101"/>
      <c r="N618" s="101"/>
      <c r="O618" s="101"/>
      <c r="P618" s="738"/>
      <c r="Q618" s="666"/>
      <c r="R618" s="785">
        <f>IFERROR(VLOOKUP($Q618,'391'!$S:$Z,8,0),"")</f>
        <v>0</v>
      </c>
      <c r="S618" s="786"/>
      <c r="T618" s="787" t="str">
        <f>$Q$621&amp;C618&amp;E618</f>
        <v>DL- Methionine 99% Feed Grade45464</v>
      </c>
      <c r="U618" s="787"/>
      <c r="V618" s="787"/>
      <c r="W618" s="785">
        <f>IFERROR(VLOOKUP($Q618,'391'!$S:$AG,15,0),0)</f>
        <v>0</v>
      </c>
      <c r="X618" s="1090">
        <f t="shared" ref="X618:X621" si="387">G618-W618</f>
        <v>0</v>
      </c>
      <c r="Y618" s="1057">
        <f>+G618+G621-W621</f>
        <v>38.999999999998636</v>
      </c>
      <c r="Z618" s="785" t="str">
        <f>IFERROR(VLOOKUP($Q618,'391'!$S:$Z,33,0),"")</f>
        <v/>
      </c>
      <c r="AA618" s="787"/>
      <c r="AB618" s="787"/>
      <c r="AC618" s="679"/>
      <c r="AD618" s="679"/>
      <c r="AE618" s="679"/>
      <c r="AF618" s="679"/>
      <c r="AG618" s="679"/>
      <c r="AH618" s="679"/>
      <c r="AI618" s="682"/>
      <c r="AJ618" s="682"/>
      <c r="AK618" s="682"/>
      <c r="AL618" s="682"/>
      <c r="AM618" s="682"/>
      <c r="AN618" s="682"/>
      <c r="AO618" s="682"/>
      <c r="AP618" s="682"/>
      <c r="AQ618" s="682"/>
      <c r="AR618" s="682"/>
      <c r="AS618" s="682"/>
    </row>
    <row r="619" spans="1:45" s="6" customFormat="1" ht="30" hidden="1" customHeight="1" x14ac:dyDescent="0.25">
      <c r="A619" s="2070"/>
      <c r="B619" s="2067"/>
      <c r="C619" s="129" t="s">
        <v>1888</v>
      </c>
      <c r="D619" s="866" t="s">
        <v>10</v>
      </c>
      <c r="E619" s="867">
        <v>46112</v>
      </c>
      <c r="F619" s="75">
        <f t="shared" si="386"/>
        <v>174</v>
      </c>
      <c r="G619" s="64">
        <v>0</v>
      </c>
      <c r="H619" s="64"/>
      <c r="I619" s="64"/>
      <c r="J619" s="1367"/>
      <c r="K619" s="12">
        <f>IFERROR(SUMIF(INTAKE!$A:$A,$T619,INTAKE!$P:$P),0)</f>
        <v>0</v>
      </c>
      <c r="L619" s="1702">
        <f t="shared" si="384"/>
        <v>0</v>
      </c>
      <c r="M619" s="101"/>
      <c r="N619" s="101"/>
      <c r="O619" s="101"/>
      <c r="P619" s="738"/>
      <c r="Q619" s="795"/>
      <c r="R619" s="785">
        <f>IFERROR(VLOOKUP($Q619,'391'!$S:$Z,8,0),"")</f>
        <v>0</v>
      </c>
      <c r="S619" s="786"/>
      <c r="T619" s="787" t="str">
        <f>$Q$622&amp;C619&amp;E619</f>
        <v>DL-Methionine (Singapore)B13.146112</v>
      </c>
      <c r="U619" s="787"/>
      <c r="V619" s="787"/>
      <c r="W619" s="785">
        <f>IFERROR(VLOOKUP($Q619,'391'!$S:$AG,15,0),0)</f>
        <v>0</v>
      </c>
      <c r="X619" s="1090">
        <f t="shared" si="387"/>
        <v>0</v>
      </c>
      <c r="Y619" s="787"/>
      <c r="Z619" s="785" t="str">
        <f>IFERROR(VLOOKUP($Q619,'391'!$S:$Z,33,0),"")</f>
        <v/>
      </c>
      <c r="AA619" s="787"/>
      <c r="AB619" s="787"/>
      <c r="AC619" s="679"/>
      <c r="AD619" s="679"/>
      <c r="AE619" s="679"/>
      <c r="AF619" s="679"/>
      <c r="AG619" s="679"/>
      <c r="AH619" s="679"/>
      <c r="AI619" s="682"/>
      <c r="AJ619" s="682"/>
      <c r="AK619" s="682"/>
      <c r="AL619" s="682"/>
      <c r="AM619" s="682"/>
      <c r="AN619" s="682"/>
      <c r="AO619" s="682"/>
      <c r="AP619" s="682"/>
      <c r="AQ619" s="682"/>
      <c r="AR619" s="682"/>
      <c r="AS619" s="682"/>
    </row>
    <row r="620" spans="1:45" s="411" customFormat="1" ht="30" hidden="1" customHeight="1" x14ac:dyDescent="0.25">
      <c r="A620" s="2070"/>
      <c r="B620" s="2067"/>
      <c r="C620" s="129"/>
      <c r="D620" s="866" t="s">
        <v>10</v>
      </c>
      <c r="E620" s="867">
        <v>43846</v>
      </c>
      <c r="F620" s="75">
        <f t="shared" si="386"/>
        <v>2440</v>
      </c>
      <c r="G620" s="64">
        <v>0</v>
      </c>
      <c r="H620" s="64"/>
      <c r="I620" s="64"/>
      <c r="J620" s="1367"/>
      <c r="K620" s="12">
        <f>IFERROR(SUMIF(INTAKE!$A:$A,$T620,INTAKE!$P:$P),0)</f>
        <v>0</v>
      </c>
      <c r="L620" s="1533">
        <f t="shared" si="384"/>
        <v>0</v>
      </c>
      <c r="M620" s="48"/>
      <c r="N620" s="48"/>
      <c r="O620" s="48"/>
      <c r="P620" s="738"/>
      <c r="Q620" s="795"/>
      <c r="R620" s="785">
        <f>IFERROR(VLOOKUP($Q620,'391'!$S:$Z,8,0),"")</f>
        <v>0</v>
      </c>
      <c r="S620" s="786"/>
      <c r="T620" s="787" t="str">
        <f>$Q$622&amp;C620&amp;E620</f>
        <v>DL-Methionine (Singapore)43846</v>
      </c>
      <c r="U620" s="787"/>
      <c r="V620" s="787"/>
      <c r="W620" s="785">
        <f>IFERROR(VLOOKUP($Q620,'391'!$S:$AG,15,0),0)</f>
        <v>0</v>
      </c>
      <c r="X620" s="1090">
        <f t="shared" si="387"/>
        <v>0</v>
      </c>
      <c r="Y620" s="787"/>
      <c r="Z620" s="785" t="str">
        <f>IFERROR(VLOOKUP($Q620,'391'!$S:$Z,33,0),"")</f>
        <v/>
      </c>
      <c r="AA620" s="787"/>
      <c r="AB620" s="787"/>
      <c r="AC620" s="679"/>
      <c r="AD620" s="679"/>
      <c r="AE620" s="679"/>
      <c r="AF620" s="679"/>
      <c r="AG620" s="679"/>
      <c r="AH620" s="679"/>
      <c r="AI620" s="682"/>
      <c r="AJ620" s="682"/>
      <c r="AK620" s="682"/>
      <c r="AL620" s="682"/>
      <c r="AM620" s="682"/>
      <c r="AN620" s="682"/>
      <c r="AO620" s="682"/>
      <c r="AP620" s="682"/>
      <c r="AQ620" s="682"/>
      <c r="AR620" s="682"/>
      <c r="AS620" s="682"/>
    </row>
    <row r="621" spans="1:45" s="411" customFormat="1" ht="30" customHeight="1" x14ac:dyDescent="0.25">
      <c r="A621" s="2074"/>
      <c r="B621" s="2068"/>
      <c r="C621" s="135" t="s">
        <v>158</v>
      </c>
      <c r="D621" s="852" t="s">
        <v>10</v>
      </c>
      <c r="E621" s="853">
        <v>46112</v>
      </c>
      <c r="F621" s="73">
        <f t="shared" si="386"/>
        <v>174</v>
      </c>
      <c r="G621" s="58">
        <v>38.999999999998636</v>
      </c>
      <c r="H621" s="58"/>
      <c r="I621" s="56">
        <f>+K619</f>
        <v>0</v>
      </c>
      <c r="J621" s="1366">
        <f>+usage!I77</f>
        <v>0</v>
      </c>
      <c r="K621" s="12">
        <f>IFERROR(SUMIF(INTAKE!$A:$A,$T621,INTAKE!$P:$P),0)</f>
        <v>0</v>
      </c>
      <c r="L621" s="1533">
        <f t="shared" si="384"/>
        <v>38.999999999998636</v>
      </c>
      <c r="M621" s="309"/>
      <c r="N621" s="67"/>
      <c r="O621" s="1457"/>
      <c r="P621" s="752"/>
      <c r="Q621" s="795" t="s">
        <v>1225</v>
      </c>
      <c r="R621" s="785" t="str">
        <f>IFERROR(VLOOKUP($Q621,'391'!$S:$Z,8,0),"")</f>
        <v/>
      </c>
      <c r="S621" s="786"/>
      <c r="T621" s="787" t="str">
        <f>$Q$622&amp;C621&amp;E621</f>
        <v>DL-Methionine (Singapore)FM46112</v>
      </c>
      <c r="U621" s="787"/>
      <c r="V621" s="787"/>
      <c r="W621" s="785">
        <f>IFERROR(VLOOKUP($Q621,'391'!$S:$AG,15,0),0)</f>
        <v>0</v>
      </c>
      <c r="X621" s="1090">
        <f t="shared" si="387"/>
        <v>38.999999999998636</v>
      </c>
      <c r="Y621" s="1247"/>
      <c r="Z621" s="785" t="str">
        <f>IFERROR(VLOOKUP($Q621,'391'!$S:$Z,33,0),"")</f>
        <v/>
      </c>
      <c r="AA621" s="787"/>
      <c r="AB621" s="787"/>
      <c r="AC621" s="679"/>
      <c r="AD621" s="679"/>
      <c r="AE621" s="679"/>
      <c r="AF621" s="679"/>
      <c r="AG621" s="679"/>
      <c r="AH621" s="679"/>
      <c r="AI621" s="682"/>
      <c r="AJ621" s="682"/>
      <c r="AK621" s="682"/>
      <c r="AL621" s="682"/>
      <c r="AM621" s="682"/>
      <c r="AN621" s="682"/>
      <c r="AO621" s="682"/>
      <c r="AP621" s="682"/>
      <c r="AQ621" s="682"/>
      <c r="AR621" s="682"/>
      <c r="AS621" s="682"/>
    </row>
    <row r="622" spans="1:45" s="265" customFormat="1" ht="30" customHeight="1" x14ac:dyDescent="0.25">
      <c r="A622" s="2048" t="s">
        <v>14</v>
      </c>
      <c r="B622" s="2049"/>
      <c r="C622" s="88"/>
      <c r="D622" s="864"/>
      <c r="E622" s="864"/>
      <c r="F622" s="865"/>
      <c r="G622" s="1297">
        <v>40782.100000000006</v>
      </c>
      <c r="H622" s="1297">
        <f>SUM(H613:H621)</f>
        <v>0</v>
      </c>
      <c r="I622" s="1297">
        <f>SUM(I613:I621)</f>
        <v>0</v>
      </c>
      <c r="J622" s="1297">
        <f t="shared" ref="J622:L622" si="388">SUM(J613:J621)</f>
        <v>1962.72</v>
      </c>
      <c r="K622" s="1297">
        <f t="shared" si="388"/>
        <v>0</v>
      </c>
      <c r="L622" s="1297">
        <f t="shared" si="388"/>
        <v>38819.380000000005</v>
      </c>
      <c r="M622" s="59">
        <f>IFERROR((R622/$S$2),"")</f>
        <v>2442.08</v>
      </c>
      <c r="N622" s="366">
        <f>(L622/M622)</f>
        <v>15.896031252047438</v>
      </c>
      <c r="O622" s="59">
        <f>IFERROR(SUMIF(ETM!$A:$A,$Q622,ETM!$E:$E),"")</f>
        <v>2430</v>
      </c>
      <c r="P622" s="880">
        <f>(L622/O622)</f>
        <v>15.975053497942389</v>
      </c>
      <c r="Q622" s="814" t="s">
        <v>652</v>
      </c>
      <c r="R622" s="785">
        <f>IFERROR(VLOOKUP($Q622,'391'!$S:$Z,8,0),"")</f>
        <v>14652.48</v>
      </c>
      <c r="S622" s="796"/>
      <c r="T622" s="797"/>
      <c r="U622" s="797"/>
      <c r="V622" s="797"/>
      <c r="W622" s="785">
        <f>IFERROR(VLOOKUP($Q622,'391'!$S:$AG,15,0),0)</f>
        <v>40782.1</v>
      </c>
      <c r="X622" s="1231">
        <f>G622-W622-W621</f>
        <v>7.2759576141834259E-12</v>
      </c>
      <c r="Y622" s="785"/>
      <c r="Z622" s="785"/>
      <c r="AA622" s="797"/>
      <c r="AB622" s="797"/>
      <c r="AC622" s="551"/>
      <c r="AD622" s="551"/>
      <c r="AE622" s="551"/>
      <c r="AF622" s="551"/>
      <c r="AG622" s="551"/>
      <c r="AH622" s="551"/>
      <c r="AI622" s="704"/>
      <c r="AJ622" s="704"/>
      <c r="AK622" s="704"/>
      <c r="AL622" s="704"/>
      <c r="AM622" s="704"/>
      <c r="AN622" s="704"/>
      <c r="AO622" s="704"/>
      <c r="AP622" s="704"/>
      <c r="AQ622" s="704"/>
      <c r="AR622" s="704"/>
      <c r="AS622" s="704"/>
    </row>
    <row r="623" spans="1:45" s="6" customFormat="1" ht="30" customHeight="1" x14ac:dyDescent="0.25">
      <c r="A623" s="2070">
        <f>IF(L626=0,"",MAX($A$16:A620)+1)</f>
        <v>35</v>
      </c>
      <c r="B623" s="2072" t="s">
        <v>1817</v>
      </c>
      <c r="C623" s="129" t="s">
        <v>1744</v>
      </c>
      <c r="D623" s="866" t="s">
        <v>10</v>
      </c>
      <c r="E623" s="867">
        <v>46153</v>
      </c>
      <c r="F623" s="75">
        <f t="shared" ref="F623" si="389">$L$7-E623</f>
        <v>133</v>
      </c>
      <c r="G623" s="11">
        <v>18000</v>
      </c>
      <c r="H623" s="11"/>
      <c r="I623" s="11"/>
      <c r="J623" s="1388"/>
      <c r="K623" s="12">
        <f>IFERROR(SUMIF(INTAKE!$A:$A,$T623,INTAKE!$P:$P),0)</f>
        <v>0</v>
      </c>
      <c r="L623" s="11">
        <f t="shared" ref="L623:L625" si="390">+G623+H623+I623-J623-K623</f>
        <v>18000</v>
      </c>
      <c r="M623" s="1205"/>
      <c r="N623" s="249"/>
      <c r="O623" s="101"/>
      <c r="P623" s="738"/>
      <c r="Q623" s="795"/>
      <c r="R623" s="785">
        <f>IFERROR(VLOOKUP($Q623,'391'!$S:$Z,8,0),"")</f>
        <v>0</v>
      </c>
      <c r="S623" s="786"/>
      <c r="T623" s="787" t="str">
        <f>$Q$626&amp;C623&amp;E623</f>
        <v>Rhodimet AT88 (China)A16.2B46153</v>
      </c>
      <c r="U623" s="787"/>
      <c r="V623" s="787"/>
      <c r="W623" s="785">
        <f>IFERROR(VLOOKUP($Q623,'391'!$S:$AG,15,0),0)</f>
        <v>0</v>
      </c>
      <c r="X623" s="1090">
        <f t="shared" ref="X623:X625" si="391">G623-W623</f>
        <v>18000</v>
      </c>
      <c r="Y623" s="787"/>
      <c r="Z623" s="785" t="str">
        <f>IFERROR(VLOOKUP($Q623,'391'!$S:$Z,33,0),"")</f>
        <v/>
      </c>
      <c r="AA623" s="787"/>
      <c r="AB623" s="787"/>
      <c r="AC623" s="679"/>
      <c r="AD623" s="679"/>
      <c r="AE623" s="679"/>
      <c r="AF623" s="679"/>
      <c r="AG623" s="679"/>
      <c r="AH623" s="679"/>
      <c r="AI623" s="682"/>
      <c r="AJ623" s="682"/>
      <c r="AK623" s="682"/>
      <c r="AL623" s="682"/>
      <c r="AM623" s="682"/>
      <c r="AN623" s="682"/>
      <c r="AO623" s="682"/>
      <c r="AP623" s="682"/>
      <c r="AQ623" s="682"/>
      <c r="AR623" s="682"/>
      <c r="AS623" s="682"/>
    </row>
    <row r="624" spans="1:45" s="6" customFormat="1" ht="30" hidden="1" customHeight="1" x14ac:dyDescent="0.25">
      <c r="A624" s="2070"/>
      <c r="B624" s="2067"/>
      <c r="C624" s="129"/>
      <c r="D624" s="866" t="s">
        <v>10</v>
      </c>
      <c r="E624" s="867">
        <v>46153</v>
      </c>
      <c r="F624" s="75">
        <f t="shared" ref="F624:F625" si="392">$L$7-E624</f>
        <v>133</v>
      </c>
      <c r="G624" s="11">
        <v>0</v>
      </c>
      <c r="H624" s="11"/>
      <c r="I624" s="11"/>
      <c r="J624" s="1388"/>
      <c r="K624" s="12">
        <f>IFERROR(SUMIF(INTAKE!$A:$A,$T624,INTAKE!$P:$P),0)</f>
        <v>0</v>
      </c>
      <c r="L624" s="1702">
        <f t="shared" si="390"/>
        <v>0</v>
      </c>
      <c r="M624" s="101"/>
      <c r="N624" s="101"/>
      <c r="O624" s="101"/>
      <c r="P624" s="738"/>
      <c r="Q624" s="666"/>
      <c r="R624" s="785">
        <f>IFERROR(VLOOKUP($Q624,'391'!$S:$Z,8,0),"")</f>
        <v>0</v>
      </c>
      <c r="S624" s="786"/>
      <c r="T624" s="787" t="str">
        <f>$Q$626&amp;C624&amp;E624</f>
        <v>Rhodimet AT88 (China)46153</v>
      </c>
      <c r="U624" s="787"/>
      <c r="V624" s="787"/>
      <c r="W624" s="785">
        <f>IFERROR(VLOOKUP($Q624,'391'!$S:$AG,15,0),0)</f>
        <v>0</v>
      </c>
      <c r="X624" s="1090">
        <f t="shared" si="391"/>
        <v>0</v>
      </c>
      <c r="Y624" s="1057">
        <f>+G624+G625-W625</f>
        <v>2585.2000000000012</v>
      </c>
      <c r="Z624" s="785" t="str">
        <f>IFERROR(VLOOKUP($Q624,'391'!$S:$Z,33,0),"")</f>
        <v/>
      </c>
      <c r="AA624" s="787"/>
      <c r="AB624" s="787"/>
      <c r="AC624" s="679"/>
      <c r="AD624" s="679"/>
      <c r="AE624" s="679"/>
      <c r="AF624" s="679"/>
      <c r="AG624" s="679"/>
      <c r="AH624" s="679"/>
      <c r="AI624" s="682"/>
      <c r="AJ624" s="682"/>
      <c r="AK624" s="682"/>
      <c r="AL624" s="682"/>
      <c r="AM624" s="682"/>
      <c r="AN624" s="682"/>
      <c r="AO624" s="682"/>
      <c r="AP624" s="682"/>
      <c r="AQ624" s="682"/>
      <c r="AR624" s="682"/>
      <c r="AS624" s="682"/>
    </row>
    <row r="625" spans="1:45" s="411" customFormat="1" ht="30" customHeight="1" x14ac:dyDescent="0.25">
      <c r="A625" s="2074"/>
      <c r="B625" s="2068"/>
      <c r="C625" s="135" t="s">
        <v>158</v>
      </c>
      <c r="D625" s="852" t="s">
        <v>10</v>
      </c>
      <c r="E625" s="853">
        <v>46153</v>
      </c>
      <c r="F625" s="73">
        <f t="shared" si="392"/>
        <v>133</v>
      </c>
      <c r="G625" s="58">
        <v>2585.2000000000012</v>
      </c>
      <c r="H625" s="58"/>
      <c r="I625" s="56">
        <f>+K623+K624</f>
        <v>0</v>
      </c>
      <c r="J625" s="1366">
        <f>usage!I217</f>
        <v>493</v>
      </c>
      <c r="K625" s="12">
        <f>IFERROR(SUMIF(INTAKE!$A:$A,$T625,INTAKE!$P:$P),0)</f>
        <v>0</v>
      </c>
      <c r="L625" s="1533">
        <f t="shared" si="390"/>
        <v>2092.2000000000012</v>
      </c>
      <c r="M625" s="309"/>
      <c r="N625" s="67"/>
      <c r="O625" s="1457"/>
      <c r="P625" s="752"/>
      <c r="Q625" s="795"/>
      <c r="R625" s="785">
        <f>IFERROR(VLOOKUP($Q625,'391'!$S:$Z,8,0),"")</f>
        <v>0</v>
      </c>
      <c r="S625" s="786"/>
      <c r="T625" s="787" t="str">
        <f>$Q$626&amp;C625&amp;E625</f>
        <v>Rhodimet AT88 (China)FM46153</v>
      </c>
      <c r="U625" s="787"/>
      <c r="V625" s="787"/>
      <c r="W625" s="785">
        <f>IFERROR(VLOOKUP($Q625,'391'!$S:$AG,15,0),0)</f>
        <v>0</v>
      </c>
      <c r="X625" s="1090">
        <f t="shared" si="391"/>
        <v>2585.2000000000012</v>
      </c>
      <c r="Y625" s="1247"/>
      <c r="Z625" s="785" t="str">
        <f>IFERROR(VLOOKUP($Q625,'391'!$S:$Z,33,0),"")</f>
        <v/>
      </c>
      <c r="AA625" s="787"/>
      <c r="AB625" s="787"/>
      <c r="AC625" s="679"/>
      <c r="AD625" s="679"/>
      <c r="AE625" s="679"/>
      <c r="AF625" s="679"/>
      <c r="AG625" s="679"/>
      <c r="AH625" s="679"/>
      <c r="AI625" s="682"/>
      <c r="AJ625" s="682"/>
      <c r="AK625" s="682"/>
      <c r="AL625" s="682"/>
      <c r="AM625" s="682"/>
      <c r="AN625" s="682"/>
      <c r="AO625" s="682"/>
      <c r="AP625" s="682"/>
      <c r="AQ625" s="682"/>
      <c r="AR625" s="682"/>
      <c r="AS625" s="682"/>
    </row>
    <row r="626" spans="1:45" s="265" customFormat="1" ht="30" customHeight="1" x14ac:dyDescent="0.25">
      <c r="A626" s="2019" t="s">
        <v>1818</v>
      </c>
      <c r="B626" s="2020"/>
      <c r="C626" s="88"/>
      <c r="D626" s="864"/>
      <c r="E626" s="864"/>
      <c r="F626" s="865"/>
      <c r="G626" s="1297">
        <v>20585.2</v>
      </c>
      <c r="H626" s="1297">
        <f>SUM(H623:H625)</f>
        <v>0</v>
      </c>
      <c r="I626" s="1297">
        <f>SUM(I623:I625)</f>
        <v>0</v>
      </c>
      <c r="J626" s="1297">
        <f>SUM(J623:J625)</f>
        <v>493</v>
      </c>
      <c r="K626" s="1297">
        <f>SUM(K623:K625)</f>
        <v>0</v>
      </c>
      <c r="L626" s="1297">
        <f>SUM(L623:L625)</f>
        <v>20092.2</v>
      </c>
      <c r="M626" s="59">
        <f>IFERROR((R626/$S$2),"")</f>
        <v>298.36666666666667</v>
      </c>
      <c r="N626" s="366">
        <f>IFERROR(L626/M626,0)</f>
        <v>67.340632331583066</v>
      </c>
      <c r="O626" s="59">
        <f>IFERROR(SUMIF(ETM!$A:$A,$Q626,ETM!$E:$E),"")</f>
        <v>429.66666666666663</v>
      </c>
      <c r="P626" s="880">
        <f>IFERROR(L626/O626,0)</f>
        <v>46.762296353762615</v>
      </c>
      <c r="Q626" s="814" t="s">
        <v>1817</v>
      </c>
      <c r="R626" s="785">
        <f>IFERROR(VLOOKUP($Q626,'391'!$S:$Z,8,0),"")</f>
        <v>1790.2</v>
      </c>
      <c r="S626" s="796"/>
      <c r="T626" s="797"/>
      <c r="U626" s="797"/>
      <c r="V626" s="797"/>
      <c r="W626" s="785">
        <f>IFERROR(VLOOKUP($Q626,'391'!$S:$AG,15,0),0)</f>
        <v>20585.2</v>
      </c>
      <c r="X626" s="1231">
        <f>G626-W626-W625</f>
        <v>0</v>
      </c>
      <c r="Y626" s="785"/>
      <c r="Z626" s="785"/>
      <c r="AA626" s="797"/>
      <c r="AB626" s="797"/>
      <c r="AC626" s="551"/>
      <c r="AD626" s="551"/>
      <c r="AE626" s="551"/>
      <c r="AF626" s="551"/>
      <c r="AG626" s="551"/>
      <c r="AH626" s="551"/>
      <c r="AI626" s="704"/>
      <c r="AJ626" s="704"/>
      <c r="AK626" s="704"/>
      <c r="AL626" s="704"/>
      <c r="AM626" s="704"/>
      <c r="AN626" s="704"/>
      <c r="AO626" s="704"/>
      <c r="AP626" s="704"/>
      <c r="AQ626" s="704"/>
      <c r="AR626" s="704"/>
      <c r="AS626" s="704"/>
    </row>
    <row r="627" spans="1:45" s="6" customFormat="1" ht="30" customHeight="1" x14ac:dyDescent="0.25">
      <c r="A627" s="1997">
        <f>IF(L637=0,"",MAX($A$16:A622)+1)</f>
        <v>35</v>
      </c>
      <c r="B627" s="2066" t="s">
        <v>49</v>
      </c>
      <c r="C627" s="120" t="s">
        <v>1894</v>
      </c>
      <c r="D627" s="866" t="s">
        <v>10</v>
      </c>
      <c r="E627" s="867">
        <v>46263</v>
      </c>
      <c r="F627" s="75">
        <f t="shared" ref="F627" si="393">$L$7-E627</f>
        <v>23</v>
      </c>
      <c r="G627" s="64">
        <v>22500</v>
      </c>
      <c r="H627" s="12"/>
      <c r="I627" s="12"/>
      <c r="J627" s="1368"/>
      <c r="K627" s="1379">
        <f>IFERROR(SUMIF(INTAKE!$A:$A,$T627,INTAKE!$P:$P),0)</f>
        <v>2500</v>
      </c>
      <c r="L627" s="1702">
        <f t="shared" ref="L627:L636" si="394">+G627+H627+I627-J627-K627</f>
        <v>20000</v>
      </c>
      <c r="M627" s="66"/>
      <c r="N627" s="66"/>
      <c r="O627" s="66"/>
      <c r="P627" s="744"/>
      <c r="Q627" s="795"/>
      <c r="R627" s="785">
        <f>IFERROR(VLOOKUP($Q627,'391'!$S:$Z,8,0),"")</f>
        <v>0</v>
      </c>
      <c r="S627" s="786"/>
      <c r="T627" s="787" t="str">
        <f t="shared" ref="T627:T634" si="395">$Q$636&amp;C627&amp;E627</f>
        <v>L-lysine Monohydrochloride (China)B17.246263</v>
      </c>
      <c r="U627" s="787"/>
      <c r="V627" s="787"/>
      <c r="W627" s="785">
        <f>IFERROR(VLOOKUP($Q627,'391'!$S:$AG,15,0),0)</f>
        <v>0</v>
      </c>
      <c r="X627" s="1090">
        <f t="shared" ref="X627:X635" si="396">G627-W627</f>
        <v>22500</v>
      </c>
      <c r="Y627" s="785"/>
      <c r="Z627" s="785"/>
      <c r="AA627" s="787"/>
      <c r="AB627" s="787"/>
      <c r="AC627" s="679"/>
      <c r="AD627" s="679"/>
      <c r="AE627" s="679"/>
      <c r="AF627" s="679"/>
      <c r="AG627" s="679"/>
      <c r="AH627" s="679"/>
      <c r="AI627" s="682"/>
      <c r="AJ627" s="682"/>
      <c r="AK627" s="682"/>
      <c r="AL627" s="682"/>
      <c r="AM627" s="682"/>
      <c r="AN627" s="682"/>
      <c r="AO627" s="682"/>
      <c r="AP627" s="682"/>
      <c r="AQ627" s="682"/>
      <c r="AR627" s="682"/>
      <c r="AS627" s="682"/>
    </row>
    <row r="628" spans="1:45" s="6" customFormat="1" ht="30" customHeight="1" x14ac:dyDescent="0.25">
      <c r="A628" s="1998"/>
      <c r="B628" s="2067"/>
      <c r="C628" s="120" t="s">
        <v>123</v>
      </c>
      <c r="D628" s="866" t="s">
        <v>10</v>
      </c>
      <c r="E628" s="867">
        <v>46276</v>
      </c>
      <c r="F628" s="75">
        <f t="shared" ref="F628" si="397">$L$7-E628</f>
        <v>10</v>
      </c>
      <c r="G628" s="64">
        <v>17500</v>
      </c>
      <c r="H628" s="12"/>
      <c r="I628" s="12"/>
      <c r="J628" s="1368"/>
      <c r="K628" s="12">
        <f>IFERROR(SUMIF(INTAKE!$A:$A,$T628,INTAKE!$P:$P),0)</f>
        <v>0</v>
      </c>
      <c r="L628" s="1702">
        <f t="shared" si="394"/>
        <v>17500</v>
      </c>
      <c r="M628" s="147"/>
      <c r="N628" s="147"/>
      <c r="O628" s="147"/>
      <c r="P628" s="734"/>
      <c r="Q628" s="795"/>
      <c r="R628" s="785">
        <f>IFERROR(VLOOKUP($Q628,'391'!$S:$Z,8,0),"")</f>
        <v>0</v>
      </c>
      <c r="S628" s="786"/>
      <c r="T628" s="787" t="str">
        <f t="shared" si="395"/>
        <v>L-lysine Monohydrochloride (China)A22.146276</v>
      </c>
      <c r="U628" s="787"/>
      <c r="V628" s="787"/>
      <c r="W628" s="785">
        <f>IFERROR(VLOOKUP($Q628,'391'!$S:$AG,15,0),0)</f>
        <v>0</v>
      </c>
      <c r="X628" s="1090">
        <f t="shared" si="396"/>
        <v>17500</v>
      </c>
      <c r="Y628" s="785"/>
      <c r="Z628" s="785"/>
      <c r="AA628" s="787"/>
      <c r="AB628" s="787"/>
      <c r="AC628" s="679"/>
      <c r="AD628" s="679"/>
      <c r="AE628" s="679"/>
      <c r="AF628" s="679"/>
      <c r="AG628" s="679"/>
      <c r="AH628" s="679"/>
      <c r="AI628" s="682"/>
      <c r="AJ628" s="682"/>
      <c r="AK628" s="682"/>
      <c r="AL628" s="682"/>
      <c r="AM628" s="682"/>
      <c r="AN628" s="682"/>
      <c r="AO628" s="682"/>
      <c r="AP628" s="682"/>
      <c r="AQ628" s="682"/>
      <c r="AR628" s="682"/>
      <c r="AS628" s="682"/>
    </row>
    <row r="629" spans="1:45" s="6" customFormat="1" ht="30" customHeight="1" x14ac:dyDescent="0.25">
      <c r="A629" s="1998"/>
      <c r="B629" s="2067"/>
      <c r="C629" s="120" t="s">
        <v>1774</v>
      </c>
      <c r="D629" s="866" t="s">
        <v>10</v>
      </c>
      <c r="E629" s="867">
        <v>46276</v>
      </c>
      <c r="F629" s="75">
        <f t="shared" ref="F629" si="398">$L$7-E629</f>
        <v>10</v>
      </c>
      <c r="G629" s="64">
        <v>17500</v>
      </c>
      <c r="H629" s="12"/>
      <c r="I629" s="12"/>
      <c r="J629" s="1368"/>
      <c r="K629" s="12">
        <f>IFERROR(SUMIF(INTAKE!$A:$A,$T629,INTAKE!$P:$P),0)</f>
        <v>0</v>
      </c>
      <c r="L629" s="1702">
        <f t="shared" si="394"/>
        <v>17500</v>
      </c>
      <c r="M629" s="101"/>
      <c r="N629" s="101"/>
      <c r="O629" s="101"/>
      <c r="P629" s="738"/>
      <c r="Q629" s="795"/>
      <c r="R629" s="785">
        <f>IFERROR(VLOOKUP($Q629,'391'!$S:$Z,8,0),"")</f>
        <v>0</v>
      </c>
      <c r="S629" s="786"/>
      <c r="T629" s="787" t="str">
        <f t="shared" si="395"/>
        <v>L-lysine Monohydrochloride (China)A22.346276</v>
      </c>
      <c r="U629" s="787"/>
      <c r="V629" s="787"/>
      <c r="W629" s="785">
        <f>IFERROR(VLOOKUP($Q629,'391'!$S:$AG,15,0),0)</f>
        <v>0</v>
      </c>
      <c r="X629" s="1090">
        <f t="shared" si="396"/>
        <v>17500</v>
      </c>
      <c r="Y629" s="785"/>
      <c r="Z629" s="785"/>
      <c r="AA629" s="787"/>
      <c r="AB629" s="787"/>
      <c r="AC629" s="679"/>
      <c r="AD629" s="679"/>
      <c r="AE629" s="679"/>
      <c r="AF629" s="679"/>
      <c r="AG629" s="679"/>
      <c r="AH629" s="679"/>
      <c r="AI629" s="682"/>
      <c r="AJ629" s="682"/>
      <c r="AK629" s="682"/>
      <c r="AL629" s="682"/>
      <c r="AM629" s="682"/>
      <c r="AN629" s="682"/>
      <c r="AO629" s="682"/>
      <c r="AP629" s="682"/>
      <c r="AQ629" s="682"/>
      <c r="AR629" s="682"/>
      <c r="AS629" s="682"/>
    </row>
    <row r="630" spans="1:45" s="6" customFormat="1" ht="30" hidden="1" customHeight="1" x14ac:dyDescent="0.25">
      <c r="A630" s="1998"/>
      <c r="B630" s="2067"/>
      <c r="C630" s="120"/>
      <c r="D630" s="866" t="s">
        <v>10</v>
      </c>
      <c r="E630" s="867">
        <v>46263</v>
      </c>
      <c r="F630" s="75">
        <f t="shared" ref="F630" si="399">$L$7-E630</f>
        <v>23</v>
      </c>
      <c r="G630" s="64">
        <v>0</v>
      </c>
      <c r="H630" s="12"/>
      <c r="I630" s="12"/>
      <c r="J630" s="1368"/>
      <c r="K630" s="12">
        <f>IFERROR(SUMIF(INTAKE!$A:$A,$T630,INTAKE!$P:$P),0)</f>
        <v>0</v>
      </c>
      <c r="L630" s="1702">
        <f t="shared" si="394"/>
        <v>0</v>
      </c>
      <c r="M630" s="101"/>
      <c r="N630" s="101"/>
      <c r="O630" s="101"/>
      <c r="P630" s="738"/>
      <c r="Q630" s="795"/>
      <c r="R630" s="785">
        <f>IFERROR(VLOOKUP($Q630,'391'!$S:$Z,8,0),"")</f>
        <v>0</v>
      </c>
      <c r="S630" s="786"/>
      <c r="T630" s="787" t="str">
        <f t="shared" si="395"/>
        <v>L-lysine Monohydrochloride (China)46263</v>
      </c>
      <c r="U630" s="787"/>
      <c r="V630" s="787"/>
      <c r="W630" s="785">
        <f>IFERROR(VLOOKUP($Q630,'391'!$S:$AG,15,0),0)</f>
        <v>0</v>
      </c>
      <c r="X630" s="1090">
        <f t="shared" si="396"/>
        <v>0</v>
      </c>
      <c r="Y630" s="785"/>
      <c r="Z630" s="785"/>
      <c r="AA630" s="787"/>
      <c r="AB630" s="787"/>
      <c r="AC630" s="679"/>
      <c r="AD630" s="679"/>
      <c r="AE630" s="679"/>
      <c r="AF630" s="679"/>
      <c r="AG630" s="679"/>
      <c r="AH630" s="679"/>
      <c r="AI630" s="682"/>
      <c r="AJ630" s="682"/>
      <c r="AK630" s="682"/>
      <c r="AL630" s="682"/>
      <c r="AM630" s="682"/>
      <c r="AN630" s="682"/>
      <c r="AO630" s="682"/>
      <c r="AP630" s="682"/>
      <c r="AQ630" s="682"/>
      <c r="AR630" s="682"/>
      <c r="AS630" s="682"/>
    </row>
    <row r="631" spans="1:45" s="6" customFormat="1" ht="28.5" hidden="1" customHeight="1" x14ac:dyDescent="0.25">
      <c r="A631" s="1998"/>
      <c r="B631" s="2067"/>
      <c r="C631" s="120"/>
      <c r="D631" s="866" t="s">
        <v>10</v>
      </c>
      <c r="E631" s="867">
        <v>46218</v>
      </c>
      <c r="F631" s="75">
        <f t="shared" ref="F631" si="400">$L$7-E631</f>
        <v>68</v>
      </c>
      <c r="G631" s="64">
        <v>0</v>
      </c>
      <c r="H631" s="12"/>
      <c r="I631" s="12"/>
      <c r="J631" s="1368"/>
      <c r="K631" s="12">
        <f>IFERROR(SUMIF(INTAKE!$A:$A,$T631,INTAKE!$P:$P),0)</f>
        <v>0</v>
      </c>
      <c r="L631" s="1702">
        <f t="shared" si="394"/>
        <v>0</v>
      </c>
      <c r="M631" s="101"/>
      <c r="N631" s="101"/>
      <c r="O631" s="101"/>
      <c r="P631" s="738"/>
      <c r="Q631" s="666"/>
      <c r="R631" s="785">
        <f>IFERROR(VLOOKUP($Q631,'391'!$S:$Z,8,0),"")</f>
        <v>0</v>
      </c>
      <c r="S631" s="786"/>
      <c r="T631" s="787" t="str">
        <f t="shared" si="395"/>
        <v>L-lysine Monohydrochloride (China)46218</v>
      </c>
      <c r="U631" s="787"/>
      <c r="V631" s="787"/>
      <c r="W631" s="785">
        <f>IFERROR(VLOOKUP($Q631,'391'!$S:$AG,15,0),0)</f>
        <v>0</v>
      </c>
      <c r="X631" s="1090">
        <f t="shared" si="396"/>
        <v>0</v>
      </c>
      <c r="Y631" s="785"/>
      <c r="Z631" s="785"/>
      <c r="AA631" s="787"/>
      <c r="AB631" s="787"/>
      <c r="AC631" s="679"/>
      <c r="AD631" s="679"/>
      <c r="AE631" s="679"/>
      <c r="AF631" s="679"/>
      <c r="AG631" s="679"/>
      <c r="AH631" s="679"/>
      <c r="AI631" s="682"/>
      <c r="AJ631" s="682"/>
      <c r="AK631" s="682"/>
      <c r="AL631" s="682"/>
      <c r="AM631" s="682"/>
      <c r="AN631" s="682"/>
      <c r="AO631" s="682"/>
      <c r="AP631" s="682"/>
      <c r="AQ631" s="682"/>
      <c r="AR631" s="682"/>
      <c r="AS631" s="682"/>
    </row>
    <row r="632" spans="1:45" s="6" customFormat="1" ht="30" hidden="1" customHeight="1" x14ac:dyDescent="0.25">
      <c r="A632" s="1998"/>
      <c r="B632" s="2067"/>
      <c r="C632" s="120"/>
      <c r="D632" s="866" t="s">
        <v>10</v>
      </c>
      <c r="E632" s="867">
        <v>46063</v>
      </c>
      <c r="F632" s="75">
        <f t="shared" ref="F632" si="401">$L$7-E632</f>
        <v>223</v>
      </c>
      <c r="G632" s="64">
        <v>0</v>
      </c>
      <c r="H632" s="12"/>
      <c r="I632" s="12"/>
      <c r="J632" s="1368"/>
      <c r="K632" s="12">
        <f>IFERROR(SUMIF(INTAKE!$A:$A,$T632,INTAKE!$P:$P),0)</f>
        <v>0</v>
      </c>
      <c r="L632" s="1702">
        <f t="shared" si="394"/>
        <v>0</v>
      </c>
      <c r="M632" s="101"/>
      <c r="N632" s="101"/>
      <c r="O632" s="101"/>
      <c r="P632" s="738"/>
      <c r="Q632" s="666"/>
      <c r="R632" s="785">
        <f>IFERROR(VLOOKUP($Q632,'391'!$S:$Z,8,0),"")</f>
        <v>0</v>
      </c>
      <c r="S632" s="786"/>
      <c r="T632" s="787" t="str">
        <f t="shared" si="395"/>
        <v>L-lysine Monohydrochloride (China)46063</v>
      </c>
      <c r="U632" s="787"/>
      <c r="V632" s="787"/>
      <c r="W632" s="785">
        <f>IFERROR(VLOOKUP($Q632,'391'!$S:$AG,15,0),0)</f>
        <v>0</v>
      </c>
      <c r="X632" s="1090">
        <f t="shared" si="396"/>
        <v>0</v>
      </c>
      <c r="Y632" s="785"/>
      <c r="Z632" s="785"/>
      <c r="AA632" s="787"/>
      <c r="AB632" s="787"/>
      <c r="AC632" s="679"/>
      <c r="AD632" s="679"/>
      <c r="AE632" s="679"/>
      <c r="AF632" s="679"/>
      <c r="AG632" s="679"/>
      <c r="AH632" s="679"/>
      <c r="AI632" s="682"/>
      <c r="AJ632" s="682"/>
      <c r="AK632" s="682"/>
      <c r="AL632" s="682"/>
      <c r="AM632" s="682"/>
      <c r="AN632" s="682"/>
      <c r="AO632" s="682"/>
      <c r="AP632" s="682"/>
      <c r="AQ632" s="682"/>
      <c r="AR632" s="682"/>
      <c r="AS632" s="682"/>
    </row>
    <row r="633" spans="1:45" s="6" customFormat="1" ht="30" hidden="1" customHeight="1" x14ac:dyDescent="0.25">
      <c r="A633" s="1998"/>
      <c r="B633" s="2067"/>
      <c r="C633" s="120"/>
      <c r="D633" s="866" t="s">
        <v>10</v>
      </c>
      <c r="E633" s="867">
        <v>46063</v>
      </c>
      <c r="F633" s="75">
        <f t="shared" ref="F633:F636" si="402">$L$7-E633</f>
        <v>223</v>
      </c>
      <c r="G633" s="64">
        <v>0</v>
      </c>
      <c r="H633" s="12"/>
      <c r="I633" s="12"/>
      <c r="J633" s="1368"/>
      <c r="K633" s="12">
        <f>IFERROR(SUMIF(INTAKE!$A:$A,$T633,INTAKE!$P:$P),0)</f>
        <v>0</v>
      </c>
      <c r="L633" s="1702">
        <f t="shared" si="394"/>
        <v>0</v>
      </c>
      <c r="M633" s="101"/>
      <c r="N633" s="101"/>
      <c r="O633" s="101"/>
      <c r="P633" s="738"/>
      <c r="Q633" s="795"/>
      <c r="R633" s="785">
        <f>IFERROR(VLOOKUP($Q633,'391'!$S:$Z,8,0),"")</f>
        <v>0</v>
      </c>
      <c r="S633" s="786"/>
      <c r="T633" s="787" t="str">
        <f t="shared" si="395"/>
        <v>L-lysine Monohydrochloride (China)46063</v>
      </c>
      <c r="U633" s="787"/>
      <c r="V633" s="787"/>
      <c r="W633" s="785">
        <f>IFERROR(VLOOKUP($Q633,'391'!$S:$AG,15,0),0)</f>
        <v>0</v>
      </c>
      <c r="X633" s="1090">
        <f t="shared" si="396"/>
        <v>0</v>
      </c>
      <c r="Y633" s="785"/>
      <c r="Z633" s="785"/>
      <c r="AA633" s="787"/>
      <c r="AB633" s="787"/>
      <c r="AC633" s="679"/>
      <c r="AD633" s="679"/>
      <c r="AE633" s="679"/>
      <c r="AF633" s="679"/>
      <c r="AG633" s="679"/>
      <c r="AH633" s="679"/>
      <c r="AI633" s="682"/>
      <c r="AJ633" s="682"/>
      <c r="AK633" s="682"/>
      <c r="AL633" s="682"/>
      <c r="AM633" s="682"/>
      <c r="AN633" s="682"/>
      <c r="AO633" s="682"/>
      <c r="AP633" s="682"/>
      <c r="AQ633" s="682"/>
      <c r="AR633" s="682"/>
      <c r="AS633" s="682"/>
    </row>
    <row r="634" spans="1:45" s="6" customFormat="1" ht="30" hidden="1" customHeight="1" x14ac:dyDescent="0.25">
      <c r="A634" s="1998"/>
      <c r="B634" s="2067"/>
      <c r="C634" s="120"/>
      <c r="D634" s="866" t="s">
        <v>10</v>
      </c>
      <c r="E634" s="867">
        <v>45366</v>
      </c>
      <c r="F634" s="75">
        <f t="shared" si="402"/>
        <v>920</v>
      </c>
      <c r="G634" s="64">
        <v>0</v>
      </c>
      <c r="H634" s="12"/>
      <c r="I634" s="12"/>
      <c r="J634" s="1368"/>
      <c r="K634" s="12">
        <f>IFERROR(SUMIF(INTAKE!$A:$A,$T634,INTAKE!$P:$P),0)</f>
        <v>0</v>
      </c>
      <c r="L634" s="1533">
        <f t="shared" si="394"/>
        <v>0</v>
      </c>
      <c r="M634" s="101"/>
      <c r="N634" s="101"/>
      <c r="O634" s="101"/>
      <c r="P634" s="738"/>
      <c r="Q634" s="795"/>
      <c r="R634" s="785">
        <f>IFERROR(VLOOKUP($Q634,'391'!$S:$Z,8,0),"")</f>
        <v>0</v>
      </c>
      <c r="S634" s="786"/>
      <c r="T634" s="787" t="str">
        <f t="shared" si="395"/>
        <v>L-lysine Monohydrochloride (China)45366</v>
      </c>
      <c r="U634" s="787"/>
      <c r="V634" s="787"/>
      <c r="W634" s="785">
        <f>IFERROR(VLOOKUP($Q634,'391'!$S:$AG,15,0),0)</f>
        <v>0</v>
      </c>
      <c r="X634" s="1090">
        <f t="shared" si="396"/>
        <v>0</v>
      </c>
      <c r="Y634" s="785"/>
      <c r="Z634" s="785"/>
      <c r="AA634" s="787"/>
      <c r="AB634" s="787"/>
      <c r="AC634" s="679"/>
      <c r="AD634" s="679"/>
      <c r="AE634" s="679"/>
      <c r="AF634" s="679"/>
      <c r="AG634" s="679"/>
      <c r="AH634" s="679"/>
      <c r="AI634" s="682"/>
      <c r="AJ634" s="682"/>
      <c r="AK634" s="682"/>
      <c r="AL634" s="682"/>
      <c r="AM634" s="682"/>
      <c r="AN634" s="682"/>
      <c r="AO634" s="682"/>
      <c r="AP634" s="682"/>
      <c r="AQ634" s="682"/>
      <c r="AR634" s="682"/>
      <c r="AS634" s="682"/>
    </row>
    <row r="635" spans="1:45" s="6" customFormat="1" ht="29.1" hidden="1" customHeight="1" x14ac:dyDescent="0.25">
      <c r="A635" s="1998"/>
      <c r="B635" s="2067"/>
      <c r="C635" s="120"/>
      <c r="D635" s="866" t="s">
        <v>10</v>
      </c>
      <c r="E635" s="867">
        <v>45366</v>
      </c>
      <c r="F635" s="75">
        <f t="shared" si="402"/>
        <v>920</v>
      </c>
      <c r="G635" s="64">
        <v>0</v>
      </c>
      <c r="H635" s="12"/>
      <c r="I635" s="12"/>
      <c r="J635" s="1368"/>
      <c r="K635" s="12">
        <f>IFERROR(SUMIF(INTAKE!$A:$A,$T635,INTAKE!$P:$P),0)</f>
        <v>0</v>
      </c>
      <c r="L635" s="1533">
        <f t="shared" si="394"/>
        <v>0</v>
      </c>
      <c r="M635" s="101"/>
      <c r="N635" s="101"/>
      <c r="O635" s="101"/>
      <c r="P635" s="738"/>
      <c r="Q635" s="795"/>
      <c r="R635" s="785">
        <f>IFERROR(VLOOKUP($Q635,'391'!$S:$Z,8,0),"")</f>
        <v>0</v>
      </c>
      <c r="S635" s="786"/>
      <c r="T635" s="787" t="str">
        <f>$Q$637&amp;C635&amp;E635</f>
        <v>L-Lysine45366</v>
      </c>
      <c r="U635" s="787"/>
      <c r="V635" s="787"/>
      <c r="W635" s="785">
        <f>IFERROR(VLOOKUP($Q635,'391'!$S:$AG,15,0),0)</f>
        <v>0</v>
      </c>
      <c r="X635" s="1090">
        <f t="shared" si="396"/>
        <v>0</v>
      </c>
      <c r="Y635" s="785"/>
      <c r="Z635" s="785"/>
      <c r="AA635" s="787"/>
      <c r="AB635" s="787"/>
      <c r="AC635" s="679"/>
      <c r="AD635" s="679"/>
      <c r="AE635" s="679"/>
      <c r="AF635" s="679"/>
      <c r="AG635" s="679"/>
      <c r="AH635" s="679"/>
      <c r="AI635" s="682"/>
      <c r="AJ635" s="682"/>
      <c r="AK635" s="682"/>
      <c r="AL635" s="682"/>
      <c r="AM635" s="682"/>
      <c r="AN635" s="682"/>
      <c r="AO635" s="682"/>
      <c r="AP635" s="682"/>
      <c r="AQ635" s="682"/>
      <c r="AR635" s="682"/>
      <c r="AS635" s="682"/>
    </row>
    <row r="636" spans="1:45" s="406" customFormat="1" ht="30" customHeight="1" x14ac:dyDescent="0.25">
      <c r="A636" s="1998"/>
      <c r="B636" s="2067"/>
      <c r="C636" s="107" t="s">
        <v>46</v>
      </c>
      <c r="D636" s="852" t="s">
        <v>10</v>
      </c>
      <c r="E636" s="853">
        <v>46263</v>
      </c>
      <c r="F636" s="73">
        <f t="shared" si="402"/>
        <v>23</v>
      </c>
      <c r="G636" s="58">
        <v>10778.64000000001</v>
      </c>
      <c r="H636" s="56"/>
      <c r="I636" s="56">
        <f>+SUM(K627:K634)</f>
        <v>2500</v>
      </c>
      <c r="J636" s="1369">
        <f>+usage!I78</f>
        <v>3127.8</v>
      </c>
      <c r="K636" s="12">
        <f>IFERROR(SUMIF(INTAKE!$A:$A,$T636,INTAKE!$P:$P),0)</f>
        <v>0</v>
      </c>
      <c r="L636" s="1533">
        <f t="shared" si="394"/>
        <v>10150.840000000011</v>
      </c>
      <c r="M636" s="172"/>
      <c r="N636" s="172"/>
      <c r="O636" s="172"/>
      <c r="P636" s="738"/>
      <c r="Q636" s="814" t="s">
        <v>1317</v>
      </c>
      <c r="R636" s="785">
        <f>IFERROR(VLOOKUP($Q636,'391'!$S:$Z,8,0),"")</f>
        <v>22023.95</v>
      </c>
      <c r="S636" s="786"/>
      <c r="T636" s="787" t="str">
        <f>$Q$637&amp;C636&amp;E636</f>
        <v>L-LysineFeedmill46263</v>
      </c>
      <c r="U636" s="787"/>
      <c r="V636" s="787"/>
      <c r="W636" s="785">
        <f>IFERROR(VLOOKUP($Q636,'391'!$S:$AG,15,0),0)</f>
        <v>68278.64</v>
      </c>
      <c r="X636" s="1090">
        <f>G636-W636</f>
        <v>-57499.999999999985</v>
      </c>
      <c r="Y636" s="785"/>
      <c r="Z636" s="785"/>
      <c r="AA636" s="787"/>
      <c r="AB636" s="787"/>
      <c r="AC636" s="679"/>
      <c r="AD636" s="679"/>
      <c r="AE636" s="679"/>
      <c r="AF636" s="679"/>
      <c r="AG636" s="679"/>
      <c r="AH636" s="679"/>
      <c r="AI636" s="682"/>
      <c r="AJ636" s="682"/>
      <c r="AK636" s="682"/>
      <c r="AL636" s="682"/>
      <c r="AM636" s="682"/>
      <c r="AN636" s="682"/>
      <c r="AO636" s="682"/>
      <c r="AP636" s="682"/>
      <c r="AQ636" s="682"/>
      <c r="AR636" s="682"/>
      <c r="AS636" s="682"/>
    </row>
    <row r="637" spans="1:45" s="265" customFormat="1" ht="30" customHeight="1" x14ac:dyDescent="0.25">
      <c r="A637" s="2019" t="s">
        <v>50</v>
      </c>
      <c r="B637" s="2020"/>
      <c r="C637" s="88"/>
      <c r="D637" s="864"/>
      <c r="E637" s="864"/>
      <c r="F637" s="865"/>
      <c r="G637" s="1297">
        <v>68278.640000000014</v>
      </c>
      <c r="H637" s="1297">
        <f t="shared" ref="H637:L637" si="403">+SUM(H627:H636)</f>
        <v>0</v>
      </c>
      <c r="I637" s="1297">
        <f t="shared" si="403"/>
        <v>2500</v>
      </c>
      <c r="J637" s="1297">
        <f t="shared" si="403"/>
        <v>3127.8</v>
      </c>
      <c r="K637" s="1297">
        <f t="shared" si="403"/>
        <v>2500</v>
      </c>
      <c r="L637" s="1297">
        <f t="shared" si="403"/>
        <v>65150.840000000011</v>
      </c>
      <c r="M637" s="59">
        <f>IFERROR((S637/$S$2),"")</f>
        <v>3670.6583333333333</v>
      </c>
      <c r="N637" s="366">
        <f>(L637/M637)</f>
        <v>17.74908860581322</v>
      </c>
      <c r="O637" s="59">
        <f>IFERROR(SUMIF(ETM!$A:$A,$Q637,ETM!$E:$E),"")</f>
        <v>3673</v>
      </c>
      <c r="P637" s="855">
        <f>(L637/O637)</f>
        <v>17.737772937653148</v>
      </c>
      <c r="Q637" s="814" t="s">
        <v>653</v>
      </c>
      <c r="R637" s="785" t="str">
        <f>IFERROR(VLOOKUP($Q637,'391'!$S:$Z,8,0),"0")</f>
        <v>0</v>
      </c>
      <c r="S637" s="800">
        <f>+R637+R636</f>
        <v>22023.95</v>
      </c>
      <c r="T637" s="797"/>
      <c r="U637" s="797"/>
      <c r="V637" s="797"/>
      <c r="W637" s="785">
        <f>IFERROR(VLOOKUP($Q637,'391'!$S:$AG,15,0),0)</f>
        <v>0</v>
      </c>
      <c r="X637" s="1090">
        <f>G637-W637-W636</f>
        <v>0</v>
      </c>
      <c r="Y637" s="785"/>
      <c r="Z637" s="785"/>
      <c r="AA637" s="797"/>
      <c r="AB637" s="797"/>
      <c r="AC637" s="551"/>
      <c r="AD637" s="551"/>
      <c r="AE637" s="551"/>
      <c r="AF637" s="551"/>
      <c r="AG637" s="551"/>
      <c r="AH637" s="551"/>
      <c r="AI637" s="704"/>
      <c r="AJ637" s="704"/>
      <c r="AK637" s="704"/>
      <c r="AL637" s="704"/>
      <c r="AM637" s="704"/>
      <c r="AN637" s="704"/>
      <c r="AO637" s="704"/>
      <c r="AP637" s="704"/>
      <c r="AQ637" s="704"/>
      <c r="AR637" s="704"/>
      <c r="AS637" s="704"/>
    </row>
    <row r="638" spans="1:45" s="14" customFormat="1" ht="30" hidden="1" customHeight="1" x14ac:dyDescent="0.25">
      <c r="A638" s="2050" t="str">
        <f>IF(L642=0,"",MAX($A$16:A637)+1)</f>
        <v/>
      </c>
      <c r="B638" s="2052" t="s">
        <v>214</v>
      </c>
      <c r="C638" s="121" t="s">
        <v>128</v>
      </c>
      <c r="D638" s="881" t="s">
        <v>10</v>
      </c>
      <c r="E638" s="882">
        <v>42559</v>
      </c>
      <c r="F638" s="71">
        <f>$L$7-E638</f>
        <v>3727</v>
      </c>
      <c r="G638" s="1370">
        <v>0</v>
      </c>
      <c r="H638" s="1370"/>
      <c r="I638" s="1370"/>
      <c r="J638" s="1371"/>
      <c r="K638" s="1370"/>
      <c r="L638" s="1533">
        <f t="shared" ref="L638:L659" si="404">+G638+H638+I638-J638-K638</f>
        <v>0</v>
      </c>
      <c r="M638" s="195"/>
      <c r="N638" s="920"/>
      <c r="O638" s="195"/>
      <c r="P638" s="857"/>
      <c r="Q638" s="795"/>
      <c r="R638" s="785">
        <f>IFERROR(VLOOKUP($Q638,'391'!$S:$Z,8,0),"")</f>
        <v>0</v>
      </c>
      <c r="S638" s="796"/>
      <c r="T638" s="797"/>
      <c r="U638" s="797"/>
      <c r="V638" s="797"/>
      <c r="W638" s="785">
        <f>IFERROR(VLOOKUP($Q638,'391'!$S:$AG,15,0),0)</f>
        <v>0</v>
      </c>
      <c r="X638" s="1090">
        <f t="shared" ref="X638:X663" si="405">G638-W638</f>
        <v>0</v>
      </c>
      <c r="Y638" s="785"/>
      <c r="Z638" s="785"/>
      <c r="AA638" s="797"/>
      <c r="AB638" s="797"/>
      <c r="AC638" s="683"/>
      <c r="AD638" s="683"/>
      <c r="AE638" s="683"/>
      <c r="AF638" s="683"/>
      <c r="AG638" s="683"/>
      <c r="AH638" s="683"/>
      <c r="AI638" s="705"/>
      <c r="AJ638" s="705"/>
      <c r="AK638" s="705"/>
      <c r="AL638" s="705"/>
      <c r="AM638" s="705"/>
      <c r="AN638" s="705"/>
      <c r="AO638" s="705"/>
      <c r="AP638" s="705"/>
      <c r="AQ638" s="705"/>
      <c r="AR638" s="705"/>
      <c r="AS638" s="705"/>
    </row>
    <row r="639" spans="1:45" s="14" customFormat="1" ht="30" hidden="1" customHeight="1" x14ac:dyDescent="0.25">
      <c r="A639" s="2051"/>
      <c r="B639" s="2053"/>
      <c r="C639" s="121" t="s">
        <v>128</v>
      </c>
      <c r="D639" s="881" t="s">
        <v>10</v>
      </c>
      <c r="E639" s="882">
        <v>42559</v>
      </c>
      <c r="F639" s="71">
        <f>$L$7-E639</f>
        <v>3727</v>
      </c>
      <c r="G639" s="1370">
        <v>0</v>
      </c>
      <c r="H639" s="1370"/>
      <c r="I639" s="1370"/>
      <c r="J639" s="1371"/>
      <c r="K639" s="1370"/>
      <c r="L639" s="1533">
        <f t="shared" si="404"/>
        <v>0</v>
      </c>
      <c r="M639" s="173"/>
      <c r="N639" s="920"/>
      <c r="O639" s="173"/>
      <c r="P639" s="857"/>
      <c r="Q639" s="795"/>
      <c r="R639" s="785">
        <f>IFERROR(VLOOKUP($Q639,'391'!$S:$Z,8,0),"")</f>
        <v>0</v>
      </c>
      <c r="S639" s="796"/>
      <c r="T639" s="797"/>
      <c r="U639" s="797"/>
      <c r="V639" s="797"/>
      <c r="W639" s="785">
        <f>IFERROR(VLOOKUP($Q639,'391'!$S:$AG,15,0),0)</f>
        <v>0</v>
      </c>
      <c r="X639" s="1090">
        <f t="shared" si="405"/>
        <v>0</v>
      </c>
      <c r="Y639" s="785"/>
      <c r="Z639" s="785"/>
      <c r="AA639" s="797"/>
      <c r="AB639" s="797"/>
      <c r="AC639" s="683"/>
      <c r="AD639" s="683"/>
      <c r="AE639" s="683"/>
      <c r="AF639" s="683"/>
      <c r="AG639" s="683"/>
      <c r="AH639" s="683"/>
      <c r="AI639" s="705"/>
      <c r="AJ639" s="705"/>
      <c r="AK639" s="705"/>
      <c r="AL639" s="705"/>
      <c r="AM639" s="705"/>
      <c r="AN639" s="705"/>
      <c r="AO639" s="705"/>
      <c r="AP639" s="705"/>
      <c r="AQ639" s="705"/>
      <c r="AR639" s="705"/>
      <c r="AS639" s="705"/>
    </row>
    <row r="640" spans="1:45" s="14" customFormat="1" ht="30" hidden="1" customHeight="1" x14ac:dyDescent="0.25">
      <c r="A640" s="2051"/>
      <c r="B640" s="2053"/>
      <c r="C640" s="121" t="s">
        <v>151</v>
      </c>
      <c r="D640" s="881" t="s">
        <v>10</v>
      </c>
      <c r="E640" s="882">
        <v>42472</v>
      </c>
      <c r="F640" s="71">
        <f>$L$7-E640</f>
        <v>3814</v>
      </c>
      <c r="G640" s="1370">
        <v>0</v>
      </c>
      <c r="H640" s="1370"/>
      <c r="I640" s="1370"/>
      <c r="J640" s="1371"/>
      <c r="K640" s="1370"/>
      <c r="L640" s="1533">
        <f t="shared" si="404"/>
        <v>0</v>
      </c>
      <c r="M640" s="173"/>
      <c r="N640" s="920"/>
      <c r="O640" s="173"/>
      <c r="P640" s="857"/>
      <c r="Q640" s="795"/>
      <c r="R640" s="785">
        <f>IFERROR(VLOOKUP($Q640,'391'!$S:$Z,8,0),"")</f>
        <v>0</v>
      </c>
      <c r="S640" s="796"/>
      <c r="T640" s="797"/>
      <c r="U640" s="797"/>
      <c r="V640" s="797"/>
      <c r="W640" s="785">
        <f>IFERROR(VLOOKUP($Q640,'391'!$S:$AG,15,0),0)</f>
        <v>0</v>
      </c>
      <c r="X640" s="1090">
        <f t="shared" si="405"/>
        <v>0</v>
      </c>
      <c r="Y640" s="785"/>
      <c r="Z640" s="785"/>
      <c r="AA640" s="797"/>
      <c r="AB640" s="797"/>
      <c r="AC640" s="683"/>
      <c r="AD640" s="683"/>
      <c r="AE640" s="683"/>
      <c r="AF640" s="683"/>
      <c r="AG640" s="683"/>
      <c r="AH640" s="683"/>
      <c r="AI640" s="705"/>
      <c r="AJ640" s="705"/>
      <c r="AK640" s="705"/>
      <c r="AL640" s="705"/>
      <c r="AM640" s="705"/>
      <c r="AN640" s="705"/>
      <c r="AO640" s="705"/>
      <c r="AP640" s="705"/>
      <c r="AQ640" s="705"/>
      <c r="AR640" s="705"/>
      <c r="AS640" s="705"/>
    </row>
    <row r="641" spans="1:45" s="13" customFormat="1" ht="30" hidden="1" customHeight="1" x14ac:dyDescent="0.25">
      <c r="A641" s="268"/>
      <c r="B641" s="267"/>
      <c r="C641" s="108" t="s">
        <v>46</v>
      </c>
      <c r="D641" s="863" t="s">
        <v>10</v>
      </c>
      <c r="E641" s="886">
        <v>42317</v>
      </c>
      <c r="F641" s="361">
        <f>$L$7-E641</f>
        <v>3969</v>
      </c>
      <c r="G641" s="1372">
        <v>0</v>
      </c>
      <c r="H641" s="1372"/>
      <c r="I641" s="1372"/>
      <c r="J641" s="1373"/>
      <c r="K641" s="1372"/>
      <c r="L641" s="1533">
        <f t="shared" si="404"/>
        <v>0</v>
      </c>
      <c r="M641" s="62"/>
      <c r="N641" s="920"/>
      <c r="O641" s="62"/>
      <c r="P641" s="857"/>
      <c r="Q641" s="795"/>
      <c r="R641" s="785">
        <f>IFERROR(VLOOKUP($Q641,'391'!$S:$Z,8,0),"")</f>
        <v>0</v>
      </c>
      <c r="S641" s="796"/>
      <c r="T641" s="797"/>
      <c r="U641" s="797"/>
      <c r="V641" s="797"/>
      <c r="W641" s="785">
        <f>IFERROR(VLOOKUP($Q641,'391'!$S:$AG,15,0),0)</f>
        <v>0</v>
      </c>
      <c r="X641" s="1090">
        <f t="shared" si="405"/>
        <v>0</v>
      </c>
      <c r="Y641" s="785"/>
      <c r="Z641" s="785"/>
      <c r="AA641" s="797"/>
      <c r="AB641" s="797"/>
      <c r="AC641" s="683"/>
      <c r="AD641" s="683"/>
      <c r="AE641" s="683"/>
      <c r="AF641" s="683"/>
      <c r="AG641" s="683"/>
      <c r="AH641" s="683"/>
      <c r="AI641" s="705"/>
      <c r="AJ641" s="705"/>
      <c r="AK641" s="705"/>
      <c r="AL641" s="705"/>
      <c r="AM641" s="705"/>
      <c r="AN641" s="705"/>
      <c r="AO641" s="705"/>
      <c r="AP641" s="705"/>
      <c r="AQ641" s="705"/>
      <c r="AR641" s="705"/>
      <c r="AS641" s="705"/>
    </row>
    <row r="642" spans="1:45" s="265" customFormat="1" ht="30" hidden="1" customHeight="1" x14ac:dyDescent="0.25">
      <c r="A642" s="2019" t="s">
        <v>1385</v>
      </c>
      <c r="B642" s="2020"/>
      <c r="C642" s="88"/>
      <c r="D642" s="900"/>
      <c r="E642" s="901"/>
      <c r="F642" s="902"/>
      <c r="G642" s="1297">
        <v>0</v>
      </c>
      <c r="H642" s="1344">
        <f>SUM(H638:H641)</f>
        <v>0</v>
      </c>
      <c r="I642" s="1337">
        <f>SUM(I638:I641)</f>
        <v>0</v>
      </c>
      <c r="J642" s="1374">
        <f>SUM(J638:J641)</f>
        <v>0</v>
      </c>
      <c r="K642" s="1337"/>
      <c r="L642" s="1533">
        <f t="shared" si="404"/>
        <v>0</v>
      </c>
      <c r="M642" s="59"/>
      <c r="N642" s="366" t="e">
        <f>(L642/M642)/1000</f>
        <v>#DIV/0!</v>
      </c>
      <c r="O642" s="59"/>
      <c r="P642" s="857" t="e">
        <f>(L642/O642)/1000</f>
        <v>#DIV/0!</v>
      </c>
      <c r="Q642" s="795"/>
      <c r="R642" s="785">
        <f>IFERROR(VLOOKUP($Q642,'391'!$S:$Z,8,0),"")</f>
        <v>0</v>
      </c>
      <c r="S642" s="796"/>
      <c r="T642" s="797"/>
      <c r="U642" s="797"/>
      <c r="V642" s="797"/>
      <c r="W642" s="785">
        <f>IFERROR(VLOOKUP($Q642,'391'!$S:$AG,15,0),0)</f>
        <v>0</v>
      </c>
      <c r="X642" s="1090">
        <f t="shared" si="405"/>
        <v>0</v>
      </c>
      <c r="Y642" s="785"/>
      <c r="Z642" s="785"/>
      <c r="AA642" s="797"/>
      <c r="AB642" s="797"/>
      <c r="AC642" s="551"/>
      <c r="AD642" s="551"/>
      <c r="AE642" s="551"/>
      <c r="AF642" s="551"/>
      <c r="AG642" s="551"/>
      <c r="AH642" s="551"/>
      <c r="AI642" s="704"/>
      <c r="AJ642" s="704"/>
      <c r="AK642" s="704"/>
      <c r="AL642" s="704"/>
      <c r="AM642" s="704"/>
      <c r="AN642" s="704"/>
      <c r="AO642" s="704"/>
      <c r="AP642" s="704"/>
      <c r="AQ642" s="704"/>
      <c r="AR642" s="704"/>
      <c r="AS642" s="704"/>
    </row>
    <row r="643" spans="1:45" s="265" customFormat="1" ht="30" hidden="1" customHeight="1" x14ac:dyDescent="0.25">
      <c r="A643" s="2045">
        <f>IF(L650=0,"",MAX($A$16:A642)+1)</f>
        <v>36</v>
      </c>
      <c r="B643" s="2054" t="s">
        <v>865</v>
      </c>
      <c r="C643" s="259"/>
      <c r="D643" s="881" t="s">
        <v>10</v>
      </c>
      <c r="E643" s="882">
        <v>45807</v>
      </c>
      <c r="F643" s="71">
        <f t="shared" ref="F643:F649" si="406">$L$7-E643</f>
        <v>479</v>
      </c>
      <c r="G643" s="1370">
        <v>0</v>
      </c>
      <c r="H643" s="1370"/>
      <c r="I643" s="1375"/>
      <c r="J643" s="1371"/>
      <c r="K643" s="12">
        <f>IFERROR(SUMIF(INTAKE!$A:$A,$T643,INTAKE!$P:$P),0)</f>
        <v>0</v>
      </c>
      <c r="L643" s="1702">
        <f t="shared" si="404"/>
        <v>0</v>
      </c>
      <c r="M643" s="195"/>
      <c r="N643" s="195"/>
      <c r="O643" s="195"/>
      <c r="P643" s="753"/>
      <c r="Q643" s="795"/>
      <c r="R643" s="785">
        <f>IFERROR(VLOOKUP($Q643,'391'!$S:$Z,8,0),"")</f>
        <v>0</v>
      </c>
      <c r="S643" s="796"/>
      <c r="T643" s="797" t="str">
        <f t="shared" ref="T643:T649" si="407">$Q$650&amp;C643&amp;E643</f>
        <v>Chlortetracyline45807</v>
      </c>
      <c r="U643" s="797"/>
      <c r="V643" s="797"/>
      <c r="W643" s="785">
        <f>IFERROR(VLOOKUP($Q643,'391'!$S:$AG,15,0),0)</f>
        <v>0</v>
      </c>
      <c r="X643" s="1090">
        <f t="shared" si="405"/>
        <v>0</v>
      </c>
      <c r="Y643" s="785"/>
      <c r="Z643" s="785"/>
      <c r="AA643" s="797"/>
      <c r="AB643" s="797"/>
      <c r="AC643" s="551"/>
      <c r="AD643" s="551"/>
      <c r="AE643" s="551"/>
      <c r="AF643" s="551"/>
      <c r="AG643" s="551"/>
      <c r="AH643" s="551"/>
      <c r="AI643" s="704"/>
      <c r="AJ643" s="704"/>
      <c r="AK643" s="704"/>
      <c r="AL643" s="704"/>
      <c r="AM643" s="704"/>
      <c r="AN643" s="704"/>
      <c r="AO643" s="704"/>
      <c r="AP643" s="704"/>
      <c r="AQ643" s="704"/>
      <c r="AR643" s="704"/>
      <c r="AS643" s="704"/>
    </row>
    <row r="644" spans="1:45" s="265" customFormat="1" ht="30" hidden="1" customHeight="1" x14ac:dyDescent="0.25">
      <c r="A644" s="2046"/>
      <c r="B644" s="2055"/>
      <c r="C644" s="259"/>
      <c r="D644" s="881" t="s">
        <v>10</v>
      </c>
      <c r="E644" s="882">
        <v>45868</v>
      </c>
      <c r="F644" s="71">
        <f t="shared" si="406"/>
        <v>418</v>
      </c>
      <c r="G644" s="1370">
        <v>0</v>
      </c>
      <c r="H644" s="1370"/>
      <c r="I644" s="1375"/>
      <c r="J644" s="1371"/>
      <c r="K644" s="12">
        <f>IFERROR(SUMIF(INTAKE!$A:$A,$T644,INTAKE!$P:$P),0)</f>
        <v>0</v>
      </c>
      <c r="L644" s="1702">
        <f t="shared" si="404"/>
        <v>0</v>
      </c>
      <c r="M644" s="173"/>
      <c r="N644" s="1460"/>
      <c r="O644" s="173"/>
      <c r="P644" s="924"/>
      <c r="Q644" s="795"/>
      <c r="R644" s="785">
        <f>IFERROR(VLOOKUP($Q644,'391'!$S:$Z,8,0),"")</f>
        <v>0</v>
      </c>
      <c r="S644" s="796"/>
      <c r="T644" s="797" t="str">
        <f t="shared" si="407"/>
        <v>Chlortetracyline45868</v>
      </c>
      <c r="U644" s="797"/>
      <c r="V644" s="797"/>
      <c r="W644" s="785">
        <f>IFERROR(VLOOKUP($Q644,'391'!$S:$AG,15,0),0)</f>
        <v>0</v>
      </c>
      <c r="X644" s="1090">
        <f t="shared" si="405"/>
        <v>0</v>
      </c>
      <c r="Y644" s="785"/>
      <c r="Z644" s="785"/>
      <c r="AA644" s="797"/>
      <c r="AB644" s="797"/>
      <c r="AC644" s="551"/>
      <c r="AD644" s="551"/>
      <c r="AE644" s="551"/>
      <c r="AF644" s="551"/>
      <c r="AG644" s="551"/>
      <c r="AH644" s="551"/>
      <c r="AI644" s="704"/>
      <c r="AJ644" s="704"/>
      <c r="AK644" s="704"/>
      <c r="AL644" s="704"/>
      <c r="AM644" s="704"/>
      <c r="AN644" s="704"/>
      <c r="AO644" s="704"/>
      <c r="AP644" s="704"/>
      <c r="AQ644" s="704"/>
      <c r="AR644" s="704"/>
      <c r="AS644" s="704"/>
    </row>
    <row r="645" spans="1:45" s="265" customFormat="1" ht="30" hidden="1" customHeight="1" x14ac:dyDescent="0.25">
      <c r="A645" s="2046"/>
      <c r="B645" s="2056"/>
      <c r="C645" s="259"/>
      <c r="D645" s="881" t="s">
        <v>10</v>
      </c>
      <c r="E645" s="882">
        <v>45908</v>
      </c>
      <c r="F645" s="71">
        <f t="shared" si="406"/>
        <v>378</v>
      </c>
      <c r="G645" s="1370">
        <v>0</v>
      </c>
      <c r="H645" s="1370"/>
      <c r="I645" s="1375"/>
      <c r="J645" s="1371"/>
      <c r="K645" s="12">
        <f>IFERROR(SUMIF(INTAKE!$A:$A,$T645,INTAKE!$P:$P),0)</f>
        <v>0</v>
      </c>
      <c r="L645" s="1702">
        <f t="shared" si="404"/>
        <v>0</v>
      </c>
      <c r="M645" s="173"/>
      <c r="N645" s="1460"/>
      <c r="O645" s="173"/>
      <c r="P645" s="924"/>
      <c r="Q645" s="795"/>
      <c r="R645" s="785">
        <f>IFERROR(VLOOKUP($Q645,'391'!$S:$Z,8,0),"")</f>
        <v>0</v>
      </c>
      <c r="S645" s="796"/>
      <c r="T645" s="797" t="str">
        <f t="shared" si="407"/>
        <v>Chlortetracyline45908</v>
      </c>
      <c r="U645" s="797"/>
      <c r="V645" s="797"/>
      <c r="W645" s="785">
        <f>IFERROR(VLOOKUP($Q645,'391'!$S:$AG,15,0),0)</f>
        <v>0</v>
      </c>
      <c r="X645" s="1090">
        <f t="shared" si="405"/>
        <v>0</v>
      </c>
      <c r="Y645" s="785"/>
      <c r="Z645" s="785"/>
      <c r="AA645" s="797"/>
      <c r="AB645" s="797"/>
      <c r="AC645" s="551"/>
      <c r="AD645" s="551"/>
      <c r="AE645" s="551"/>
      <c r="AF645" s="551"/>
      <c r="AG645" s="551"/>
      <c r="AH645" s="551"/>
      <c r="AI645" s="704"/>
      <c r="AJ645" s="704"/>
      <c r="AK645" s="704"/>
      <c r="AL645" s="704"/>
      <c r="AM645" s="704"/>
      <c r="AN645" s="704"/>
      <c r="AO645" s="704"/>
      <c r="AP645" s="704"/>
      <c r="AQ645" s="704"/>
      <c r="AR645" s="704"/>
      <c r="AS645" s="704"/>
    </row>
    <row r="646" spans="1:45" s="265" customFormat="1" ht="30" hidden="1" customHeight="1" x14ac:dyDescent="0.25">
      <c r="A646" s="2046"/>
      <c r="B646" s="2056"/>
      <c r="C646" s="259"/>
      <c r="D646" s="881" t="s">
        <v>10</v>
      </c>
      <c r="E646" s="882">
        <v>45996</v>
      </c>
      <c r="F646" s="71">
        <f t="shared" ref="F646:F647" si="408">$L$7-E646</f>
        <v>290</v>
      </c>
      <c r="G646" s="1370">
        <v>0</v>
      </c>
      <c r="H646" s="1370"/>
      <c r="I646" s="1375"/>
      <c r="J646" s="1371"/>
      <c r="K646" s="64">
        <f>IFERROR(SUMIF(INTAKE!$A:$A,$T646,INTAKE!$P:$P),0)</f>
        <v>0</v>
      </c>
      <c r="L646" s="1702">
        <f t="shared" si="404"/>
        <v>0</v>
      </c>
      <c r="M646" s="173"/>
      <c r="N646" s="1460"/>
      <c r="O646" s="173"/>
      <c r="P646" s="924"/>
      <c r="Q646" s="795"/>
      <c r="R646" s="785">
        <f>IFERROR(VLOOKUP($Q646,'391'!$S:$Z,8,0),"")</f>
        <v>0</v>
      </c>
      <c r="S646" s="796"/>
      <c r="T646" s="797" t="str">
        <f t="shared" si="407"/>
        <v>Chlortetracyline45996</v>
      </c>
      <c r="U646" s="797"/>
      <c r="V646" s="797"/>
      <c r="W646" s="785">
        <f>IFERROR(VLOOKUP($Q646,'391'!$S:$AG,15,0),0)</f>
        <v>0</v>
      </c>
      <c r="X646" s="1090">
        <f t="shared" si="405"/>
        <v>0</v>
      </c>
      <c r="Y646" s="785"/>
      <c r="Z646" s="785"/>
      <c r="AA646" s="797"/>
      <c r="AB646" s="797"/>
      <c r="AC646" s="551"/>
      <c r="AD646" s="551"/>
      <c r="AE646" s="551"/>
      <c r="AF646" s="551"/>
      <c r="AG646" s="551"/>
      <c r="AH646" s="551"/>
      <c r="AI646" s="704"/>
      <c r="AJ646" s="704"/>
      <c r="AK646" s="704"/>
      <c r="AL646" s="704"/>
      <c r="AM646" s="704"/>
      <c r="AN646" s="704"/>
      <c r="AO646" s="704"/>
      <c r="AP646" s="704"/>
      <c r="AQ646" s="704"/>
      <c r="AR646" s="704"/>
      <c r="AS646" s="704"/>
    </row>
    <row r="647" spans="1:45" s="265" customFormat="1" ht="30" customHeight="1" x14ac:dyDescent="0.25">
      <c r="A647" s="2046"/>
      <c r="B647" s="2056"/>
      <c r="C647" s="259" t="s">
        <v>1213</v>
      </c>
      <c r="D647" s="881" t="s">
        <v>10</v>
      </c>
      <c r="E647" s="882">
        <v>46216</v>
      </c>
      <c r="F647" s="71">
        <f t="shared" si="408"/>
        <v>70</v>
      </c>
      <c r="G647" s="1370">
        <v>25</v>
      </c>
      <c r="H647" s="1370"/>
      <c r="I647" s="1375"/>
      <c r="J647" s="1371"/>
      <c r="K647" s="12">
        <f>IFERROR(SUMIF(INTAKE!$A:$A,$T647,INTAKE!$P:$P),0)</f>
        <v>0</v>
      </c>
      <c r="L647" s="1702">
        <f t="shared" si="404"/>
        <v>25</v>
      </c>
      <c r="M647" s="173"/>
      <c r="N647" s="1460"/>
      <c r="O647" s="173"/>
      <c r="P647" s="924"/>
      <c r="Q647" s="795"/>
      <c r="R647" s="785">
        <f>IFERROR(VLOOKUP($Q647,'391'!$S:$Z,8,0),"")</f>
        <v>0</v>
      </c>
      <c r="S647" s="796"/>
      <c r="T647" s="797" t="str">
        <f t="shared" si="407"/>
        <v>ChlortetracylineE346216</v>
      </c>
      <c r="U647" s="797"/>
      <c r="V647" s="797"/>
      <c r="W647" s="785">
        <f>IFERROR(VLOOKUP($Q647,'391'!$S:$AG,15,0),0)</f>
        <v>0</v>
      </c>
      <c r="X647" s="1090">
        <f t="shared" si="405"/>
        <v>25</v>
      </c>
      <c r="Y647" s="785"/>
      <c r="Z647" s="785"/>
      <c r="AA647" s="797"/>
      <c r="AB647" s="797"/>
      <c r="AC647" s="551"/>
      <c r="AD647" s="551"/>
      <c r="AE647" s="551"/>
      <c r="AF647" s="551"/>
      <c r="AG647" s="551"/>
      <c r="AH647" s="551"/>
      <c r="AI647" s="704"/>
      <c r="AJ647" s="704"/>
      <c r="AK647" s="704"/>
      <c r="AL647" s="704"/>
      <c r="AM647" s="704"/>
      <c r="AN647" s="704"/>
      <c r="AO647" s="704"/>
      <c r="AP647" s="704"/>
      <c r="AQ647" s="704"/>
      <c r="AR647" s="704"/>
      <c r="AS647" s="704"/>
    </row>
    <row r="648" spans="1:45" s="265" customFormat="1" ht="30" hidden="1" customHeight="1" x14ac:dyDescent="0.25">
      <c r="A648" s="2046"/>
      <c r="B648" s="2056"/>
      <c r="C648" s="259"/>
      <c r="D648" s="881" t="s">
        <v>10</v>
      </c>
      <c r="E648" s="882">
        <v>46216</v>
      </c>
      <c r="F648" s="71">
        <f t="shared" si="406"/>
        <v>70</v>
      </c>
      <c r="G648" s="1370">
        <v>0</v>
      </c>
      <c r="H648" s="1370"/>
      <c r="I648" s="1375"/>
      <c r="J648" s="1371"/>
      <c r="K648" s="12">
        <f>IFERROR(SUMIF(INTAKE!$A:$A,$T648,INTAKE!$P:$P),0)</f>
        <v>0</v>
      </c>
      <c r="L648" s="1711">
        <f t="shared" si="404"/>
        <v>0</v>
      </c>
      <c r="M648" s="173"/>
      <c r="N648" s="1460"/>
      <c r="O648" s="173"/>
      <c r="P648" s="924"/>
      <c r="Q648" s="795"/>
      <c r="R648" s="785">
        <f>IFERROR(VLOOKUP($Q648,'391'!$S:$Z,8,0),"")</f>
        <v>0</v>
      </c>
      <c r="S648" s="796"/>
      <c r="T648" s="797" t="str">
        <f t="shared" si="407"/>
        <v>Chlortetracyline46216</v>
      </c>
      <c r="U648" s="797"/>
      <c r="V648" s="797"/>
      <c r="W648" s="785">
        <f>IFERROR(VLOOKUP($Q648,'391'!$S:$AG,15,0),0)</f>
        <v>0</v>
      </c>
      <c r="X648" s="1090">
        <f t="shared" si="405"/>
        <v>0</v>
      </c>
      <c r="Y648" s="785"/>
      <c r="Z648" s="785"/>
      <c r="AA648" s="797"/>
      <c r="AB648" s="797"/>
      <c r="AC648" s="551"/>
      <c r="AD648" s="551"/>
      <c r="AE648" s="551"/>
      <c r="AF648" s="551"/>
      <c r="AG648" s="551"/>
      <c r="AH648" s="551"/>
      <c r="AI648" s="704"/>
      <c r="AJ648" s="704"/>
      <c r="AK648" s="704"/>
      <c r="AL648" s="704"/>
      <c r="AM648" s="704"/>
      <c r="AN648" s="704"/>
      <c r="AO648" s="704"/>
      <c r="AP648" s="704"/>
      <c r="AQ648" s="704"/>
      <c r="AR648" s="704"/>
      <c r="AS648" s="704"/>
    </row>
    <row r="649" spans="1:45" s="265" customFormat="1" ht="30" customHeight="1" x14ac:dyDescent="0.25">
      <c r="A649" s="2047"/>
      <c r="B649" s="2057"/>
      <c r="C649" s="107" t="s">
        <v>46</v>
      </c>
      <c r="D649" s="850" t="s">
        <v>10</v>
      </c>
      <c r="E649" s="851">
        <v>46216</v>
      </c>
      <c r="F649" s="70">
        <f t="shared" si="406"/>
        <v>70</v>
      </c>
      <c r="G649" s="1376">
        <v>16.919999999999987</v>
      </c>
      <c r="H649" s="1376"/>
      <c r="I649" s="1370">
        <f>+SUM(K643:K648)</f>
        <v>0</v>
      </c>
      <c r="J649" s="1377">
        <f>usage!I135</f>
        <v>0</v>
      </c>
      <c r="K649" s="1376">
        <f>IFERROR(SUMIF(INTAKE!$A:$A,$T649,INTAKE!$P:$P),0)</f>
        <v>0</v>
      </c>
      <c r="L649" s="1533">
        <f t="shared" si="404"/>
        <v>16.919999999999987</v>
      </c>
      <c r="M649" s="174"/>
      <c r="N649" s="920"/>
      <c r="O649" s="174"/>
      <c r="P649" s="857"/>
      <c r="Q649" s="795"/>
      <c r="R649" s="785">
        <f>IFERROR(VLOOKUP($Q649,'391'!$S:$Z,8,0),"")</f>
        <v>0</v>
      </c>
      <c r="S649" s="796"/>
      <c r="T649" s="797" t="str">
        <f t="shared" si="407"/>
        <v>ChlortetracylineFeedmill46216</v>
      </c>
      <c r="U649" s="797"/>
      <c r="V649" s="797"/>
      <c r="W649" s="785">
        <f>IFERROR(VLOOKUP($Q649,'391'!$S:$AG,15,0),0)</f>
        <v>0</v>
      </c>
      <c r="X649" s="1090">
        <f t="shared" si="405"/>
        <v>16.919999999999987</v>
      </c>
      <c r="Y649" s="785"/>
      <c r="Z649" s="785"/>
      <c r="AA649" s="797"/>
      <c r="AB649" s="797"/>
      <c r="AC649" s="551"/>
      <c r="AD649" s="551"/>
      <c r="AE649" s="551"/>
      <c r="AF649" s="551"/>
      <c r="AG649" s="551"/>
      <c r="AH649" s="551"/>
      <c r="AI649" s="704"/>
      <c r="AJ649" s="704"/>
      <c r="AK649" s="704"/>
      <c r="AL649" s="704"/>
      <c r="AM649" s="704"/>
      <c r="AN649" s="704"/>
      <c r="AO649" s="704"/>
      <c r="AP649" s="704"/>
      <c r="AQ649" s="704"/>
      <c r="AR649" s="704"/>
      <c r="AS649" s="704"/>
    </row>
    <row r="650" spans="1:45" s="265" customFormat="1" ht="30" customHeight="1" x14ac:dyDescent="0.25">
      <c r="A650" s="2019" t="s">
        <v>577</v>
      </c>
      <c r="B650" s="2020"/>
      <c r="C650" s="88"/>
      <c r="D650" s="900"/>
      <c r="E650" s="901"/>
      <c r="F650" s="902"/>
      <c r="G650" s="1297">
        <v>41.919999999999987</v>
      </c>
      <c r="H650" s="1344">
        <f>SUM(H643:H649)</f>
        <v>0</v>
      </c>
      <c r="I650" s="1344">
        <f>SUM(I643:I649)</f>
        <v>0</v>
      </c>
      <c r="J650" s="1344">
        <f t="shared" ref="J650:L650" si="409">SUM(J643:J649)</f>
        <v>0</v>
      </c>
      <c r="K650" s="1344">
        <f t="shared" si="409"/>
        <v>0</v>
      </c>
      <c r="L650" s="1297">
        <f t="shared" si="409"/>
        <v>41.919999999999987</v>
      </c>
      <c r="M650" s="59">
        <f>IFERROR((R650/$S$2),"")</f>
        <v>7.456666666666667</v>
      </c>
      <c r="N650" s="366">
        <f>IFERROR(L650/M650,0)</f>
        <v>5.6218149307107712</v>
      </c>
      <c r="O650" s="59">
        <f>IFERROR(SUMIF(ETM!$A:$A,$Q650,ETM!$E:$E),"")</f>
        <v>0</v>
      </c>
      <c r="P650" s="855">
        <f>IFERROR(L650/O650,0)</f>
        <v>0</v>
      </c>
      <c r="Q650" s="795" t="s">
        <v>878</v>
      </c>
      <c r="R650" s="785">
        <f>IFERROR(VLOOKUP($Q650,'391'!$S:$Z,8,0),"")</f>
        <v>44.74</v>
      </c>
      <c r="S650" s="796"/>
      <c r="T650" s="797"/>
      <c r="U650" s="797"/>
      <c r="V650" s="797"/>
      <c r="W650" s="785">
        <f>IFERROR(VLOOKUP($Q650,'391'!$S:$AG,15,0),0)</f>
        <v>41.92</v>
      </c>
      <c r="X650" s="1090">
        <f t="shared" si="405"/>
        <v>0</v>
      </c>
      <c r="Y650" s="785"/>
      <c r="Z650" s="785"/>
      <c r="AA650" s="797"/>
      <c r="AB650" s="797"/>
      <c r="AC650" s="551"/>
      <c r="AD650" s="551"/>
      <c r="AE650" s="551"/>
      <c r="AF650" s="551"/>
      <c r="AG650" s="551"/>
      <c r="AH650" s="551"/>
      <c r="AI650" s="704"/>
      <c r="AJ650" s="704"/>
      <c r="AK650" s="704"/>
      <c r="AL650" s="704"/>
      <c r="AM650" s="704"/>
      <c r="AN650" s="704"/>
      <c r="AO650" s="704"/>
      <c r="AP650" s="704"/>
      <c r="AQ650" s="704"/>
      <c r="AR650" s="704"/>
      <c r="AS650" s="704"/>
    </row>
    <row r="651" spans="1:45" s="14" customFormat="1" ht="30" customHeight="1" x14ac:dyDescent="0.25">
      <c r="A651" s="2046">
        <f>IF(L660=0,"",MAX($A$16:A650)+1)</f>
        <v>37</v>
      </c>
      <c r="B651" s="2055" t="s">
        <v>155</v>
      </c>
      <c r="C651" s="121" t="s">
        <v>1598</v>
      </c>
      <c r="D651" s="881" t="s">
        <v>10</v>
      </c>
      <c r="E651" s="882">
        <v>46275</v>
      </c>
      <c r="F651" s="71">
        <f t="shared" ref="F651:F653" si="410">$L$7-E651</f>
        <v>11</v>
      </c>
      <c r="G651" s="1370">
        <v>7500</v>
      </c>
      <c r="H651" s="1370"/>
      <c r="I651" s="64"/>
      <c r="J651" s="1367"/>
      <c r="K651" s="64">
        <f>IFERROR(SUMIF(INTAKE!$A:$A,$T651,INTAKE!$P:$P),0)</f>
        <v>5000</v>
      </c>
      <c r="L651" s="1702">
        <f t="shared" si="404"/>
        <v>2500</v>
      </c>
      <c r="M651" s="266"/>
      <c r="N651" s="920"/>
      <c r="O651" s="266"/>
      <c r="P651" s="857"/>
      <c r="Q651" s="795"/>
      <c r="R651" s="785">
        <f>IFERROR(VLOOKUP($Q651,'391'!$S:$Z,8,0),"")</f>
        <v>0</v>
      </c>
      <c r="S651" s="796"/>
      <c r="T651" s="797" t="str">
        <f t="shared" ref="T651:T659" si="411">$Q$660&amp;C651&amp;E651</f>
        <v>L-Lysine Sulphat 70%A18.446275</v>
      </c>
      <c r="U651" s="797"/>
      <c r="V651" s="797"/>
      <c r="W651" s="785">
        <f>IFERROR(VLOOKUP($Q651,'391'!$S:$AG,15,0),0)</f>
        <v>0</v>
      </c>
      <c r="X651" s="1090">
        <f t="shared" si="405"/>
        <v>7500</v>
      </c>
      <c r="Y651" s="785"/>
      <c r="Z651" s="785"/>
      <c r="AA651" s="797"/>
      <c r="AB651" s="797"/>
      <c r="AC651" s="683"/>
      <c r="AD651" s="683"/>
      <c r="AE651" s="683"/>
      <c r="AF651" s="683"/>
      <c r="AG651" s="683"/>
      <c r="AH651" s="683"/>
      <c r="AI651" s="705"/>
      <c r="AJ651" s="705"/>
      <c r="AK651" s="705"/>
      <c r="AL651" s="705"/>
      <c r="AM651" s="705"/>
      <c r="AN651" s="705"/>
      <c r="AO651" s="705"/>
      <c r="AP651" s="705"/>
      <c r="AQ651" s="705"/>
      <c r="AR651" s="705"/>
      <c r="AS651" s="705"/>
    </row>
    <row r="652" spans="1:45" s="14" customFormat="1" ht="30" customHeight="1" x14ac:dyDescent="0.25">
      <c r="A652" s="2046"/>
      <c r="B652" s="2055"/>
      <c r="C652" s="121" t="s">
        <v>324</v>
      </c>
      <c r="D652" s="881" t="s">
        <v>10</v>
      </c>
      <c r="E652" s="882">
        <v>46275</v>
      </c>
      <c r="F652" s="71">
        <f t="shared" si="410"/>
        <v>11</v>
      </c>
      <c r="G652" s="1370">
        <v>9500</v>
      </c>
      <c r="H652" s="1370"/>
      <c r="I652" s="64"/>
      <c r="J652" s="1367"/>
      <c r="K652" s="64">
        <f>IFERROR(SUMIF(INTAKE!$A:$A,$T652,INTAKE!$P:$P),0)</f>
        <v>0</v>
      </c>
      <c r="L652" s="1702">
        <f t="shared" si="404"/>
        <v>9500</v>
      </c>
      <c r="M652" s="173"/>
      <c r="N652" s="173"/>
      <c r="O652" s="173"/>
      <c r="P652" s="754"/>
      <c r="Q652" s="795"/>
      <c r="R652" s="785">
        <f>IFERROR(VLOOKUP($Q652,'391'!$S:$Z,8,0),"")</f>
        <v>0</v>
      </c>
      <c r="S652" s="796"/>
      <c r="T652" s="797" t="str">
        <f t="shared" si="411"/>
        <v>L-Lysine Sulphat 70%A19.446275</v>
      </c>
      <c r="U652" s="797"/>
      <c r="V652" s="797"/>
      <c r="W652" s="785">
        <f>IFERROR(VLOOKUP($Q652,'391'!$S:$AG,15,0),0)</f>
        <v>0</v>
      </c>
      <c r="X652" s="1090">
        <f t="shared" si="405"/>
        <v>9500</v>
      </c>
      <c r="Y652" s="785"/>
      <c r="Z652" s="785"/>
      <c r="AA652" s="797"/>
      <c r="AB652" s="797"/>
      <c r="AC652" s="683"/>
      <c r="AD652" s="683"/>
      <c r="AE652" s="683"/>
      <c r="AF652" s="683"/>
      <c r="AG652" s="683"/>
      <c r="AH652" s="683"/>
      <c r="AI652" s="705"/>
      <c r="AJ652" s="705"/>
      <c r="AK652" s="705"/>
      <c r="AL652" s="705"/>
      <c r="AM652" s="705"/>
      <c r="AN652" s="705"/>
      <c r="AO652" s="705"/>
      <c r="AP652" s="705"/>
      <c r="AQ652" s="705"/>
      <c r="AR652" s="705"/>
      <c r="AS652" s="705"/>
    </row>
    <row r="653" spans="1:45" s="14" customFormat="1" ht="30" customHeight="1" x14ac:dyDescent="0.25">
      <c r="A653" s="2046"/>
      <c r="B653" s="2055"/>
      <c r="C653" s="121" t="s">
        <v>1316</v>
      </c>
      <c r="D653" s="881" t="s">
        <v>10</v>
      </c>
      <c r="E653" s="882">
        <v>46279</v>
      </c>
      <c r="F653" s="71">
        <f t="shared" si="410"/>
        <v>7</v>
      </c>
      <c r="G653" s="1370">
        <v>28000</v>
      </c>
      <c r="H653" s="1370"/>
      <c r="I653" s="64"/>
      <c r="J653" s="1367"/>
      <c r="K653" s="64">
        <f>IFERROR(SUMIF(INTAKE!$A:$A,$T653,INTAKE!$P:$P),0)</f>
        <v>0</v>
      </c>
      <c r="L653" s="1702">
        <f t="shared" si="404"/>
        <v>28000</v>
      </c>
      <c r="M653" s="173"/>
      <c r="N653" s="173"/>
      <c r="O653" s="173"/>
      <c r="P653" s="754"/>
      <c r="Q653" s="795"/>
      <c r="R653" s="785">
        <f>IFERROR(VLOOKUP($Q653,'391'!$S:$Z,8,0),"")</f>
        <v>0</v>
      </c>
      <c r="S653" s="796"/>
      <c r="T653" s="797" t="str">
        <f t="shared" si="411"/>
        <v>L-Lysine Sulphat 70%B18.146279</v>
      </c>
      <c r="U653" s="797"/>
      <c r="V653" s="797"/>
      <c r="W653" s="785">
        <f>IFERROR(VLOOKUP($Q653,'391'!$S:$AG,15,0),0)</f>
        <v>0</v>
      </c>
      <c r="X653" s="1090">
        <f t="shared" si="405"/>
        <v>28000</v>
      </c>
      <c r="Y653" s="785"/>
      <c r="Z653" s="785"/>
      <c r="AA653" s="797"/>
      <c r="AB653" s="797"/>
      <c r="AC653" s="683"/>
      <c r="AD653" s="683"/>
      <c r="AE653" s="683"/>
      <c r="AF653" s="683"/>
      <c r="AG653" s="683"/>
      <c r="AH653" s="683"/>
      <c r="AI653" s="705"/>
      <c r="AJ653" s="705"/>
      <c r="AK653" s="705"/>
      <c r="AL653" s="705"/>
      <c r="AM653" s="705"/>
      <c r="AN653" s="705"/>
      <c r="AO653" s="705"/>
      <c r="AP653" s="705"/>
      <c r="AQ653" s="705"/>
      <c r="AR653" s="705"/>
      <c r="AS653" s="705"/>
    </row>
    <row r="654" spans="1:45" s="14" customFormat="1" ht="30" hidden="1" customHeight="1" x14ac:dyDescent="0.25">
      <c r="A654" s="2046"/>
      <c r="B654" s="2055"/>
      <c r="C654" s="121"/>
      <c r="D654" s="881" t="s">
        <v>10</v>
      </c>
      <c r="E654" s="882">
        <v>46279</v>
      </c>
      <c r="F654" s="71">
        <f t="shared" ref="F654" si="412">$L$7-E654</f>
        <v>7</v>
      </c>
      <c r="G654" s="1370">
        <v>0</v>
      </c>
      <c r="H654" s="1370"/>
      <c r="I654" s="64"/>
      <c r="J654" s="1367"/>
      <c r="K654" s="64">
        <f>IFERROR(SUMIF(INTAKE!$A:$A,$T654,INTAKE!$P:$P),0)</f>
        <v>0</v>
      </c>
      <c r="L654" s="1702">
        <f t="shared" si="404"/>
        <v>0</v>
      </c>
      <c r="M654" s="173"/>
      <c r="N654" s="173"/>
      <c r="O654" s="173"/>
      <c r="P654" s="754"/>
      <c r="Q654" s="795"/>
      <c r="R654" s="785">
        <f>IFERROR(VLOOKUP($Q654,'391'!$S:$Z,8,0),"")</f>
        <v>0</v>
      </c>
      <c r="S654" s="796"/>
      <c r="T654" s="797" t="str">
        <f t="shared" si="411"/>
        <v>L-Lysine Sulphat 70%46279</v>
      </c>
      <c r="U654" s="797"/>
      <c r="V654" s="797"/>
      <c r="W654" s="785">
        <f>IFERROR(VLOOKUP($Q654,'391'!$S:$AG,15,0),0)</f>
        <v>0</v>
      </c>
      <c r="X654" s="1090">
        <f t="shared" si="405"/>
        <v>0</v>
      </c>
      <c r="Y654" s="785"/>
      <c r="Z654" s="785"/>
      <c r="AA654" s="797"/>
      <c r="AB654" s="797"/>
      <c r="AC654" s="683"/>
      <c r="AD654" s="683"/>
      <c r="AE654" s="683"/>
      <c r="AF654" s="683"/>
      <c r="AG654" s="683"/>
      <c r="AH654" s="683"/>
      <c r="AI654" s="705"/>
      <c r="AJ654" s="705"/>
      <c r="AK654" s="705"/>
      <c r="AL654" s="705"/>
      <c r="AM654" s="705"/>
      <c r="AN654" s="705"/>
      <c r="AO654" s="705"/>
      <c r="AP654" s="705"/>
      <c r="AQ654" s="705"/>
      <c r="AR654" s="705"/>
      <c r="AS654" s="705"/>
    </row>
    <row r="655" spans="1:45" s="14" customFormat="1" ht="30" hidden="1" customHeight="1" x14ac:dyDescent="0.25">
      <c r="A655" s="2046"/>
      <c r="B655" s="2055"/>
      <c r="C655" s="121"/>
      <c r="D655" s="881" t="s">
        <v>10</v>
      </c>
      <c r="E655" s="882">
        <v>46230</v>
      </c>
      <c r="F655" s="71">
        <f t="shared" ref="F655" si="413">$L$7-E655</f>
        <v>56</v>
      </c>
      <c r="G655" s="1370">
        <v>0</v>
      </c>
      <c r="H655" s="1370"/>
      <c r="I655" s="64"/>
      <c r="J655" s="1367"/>
      <c r="K655" s="64">
        <f>IFERROR(SUMIF(INTAKE!$A:$A,$T655,INTAKE!$P:$P),0)</f>
        <v>0</v>
      </c>
      <c r="L655" s="1702">
        <f t="shared" si="404"/>
        <v>0</v>
      </c>
      <c r="M655" s="173"/>
      <c r="N655" s="173"/>
      <c r="O655" s="173"/>
      <c r="P655" s="754"/>
      <c r="Q655" s="795"/>
      <c r="R655" s="785">
        <f>IFERROR(VLOOKUP($Q655,'391'!$S:$Z,8,0),"")</f>
        <v>0</v>
      </c>
      <c r="S655" s="796"/>
      <c r="T655" s="797" t="str">
        <f t="shared" si="411"/>
        <v>L-Lysine Sulphat 70%46230</v>
      </c>
      <c r="U655" s="797"/>
      <c r="V655" s="797"/>
      <c r="W655" s="785">
        <f>IFERROR(VLOOKUP($Q655,'391'!$S:$AG,15,0),0)</f>
        <v>0</v>
      </c>
      <c r="X655" s="1090">
        <f t="shared" si="405"/>
        <v>0</v>
      </c>
      <c r="Y655" s="785"/>
      <c r="Z655" s="785"/>
      <c r="AA655" s="797"/>
      <c r="AB655" s="797"/>
      <c r="AC655" s="683"/>
      <c r="AD655" s="683"/>
      <c r="AE655" s="683"/>
      <c r="AF655" s="683"/>
      <c r="AG655" s="683"/>
      <c r="AH655" s="683"/>
      <c r="AI655" s="705"/>
      <c r="AJ655" s="705"/>
      <c r="AK655" s="705"/>
      <c r="AL655" s="705"/>
      <c r="AM655" s="705"/>
      <c r="AN655" s="705"/>
      <c r="AO655" s="705"/>
      <c r="AP655" s="705"/>
      <c r="AQ655" s="705"/>
      <c r="AR655" s="705"/>
      <c r="AS655" s="705"/>
    </row>
    <row r="656" spans="1:45" s="14" customFormat="1" ht="30" hidden="1" customHeight="1" x14ac:dyDescent="0.25">
      <c r="A656" s="2046"/>
      <c r="B656" s="2055"/>
      <c r="C656" s="121"/>
      <c r="D656" s="881" t="s">
        <v>10</v>
      </c>
      <c r="E656" s="882">
        <v>46219</v>
      </c>
      <c r="F656" s="71">
        <f t="shared" ref="F656" si="414">$L$7-E656</f>
        <v>67</v>
      </c>
      <c r="G656" s="1370">
        <v>0</v>
      </c>
      <c r="H656" s="1370"/>
      <c r="I656" s="64"/>
      <c r="J656" s="1367"/>
      <c r="K656" s="64">
        <f>IFERROR(SUMIF(INTAKE!$A:$A,$T656,INTAKE!$P:$P),0)</f>
        <v>0</v>
      </c>
      <c r="L656" s="1702">
        <f t="shared" si="404"/>
        <v>0</v>
      </c>
      <c r="M656" s="174"/>
      <c r="N656" s="174"/>
      <c r="O656" s="174"/>
      <c r="P656" s="755"/>
      <c r="Q656" s="795"/>
      <c r="R656" s="785">
        <f>IFERROR(VLOOKUP($Q656,'391'!$S:$Z,8,0),"")</f>
        <v>0</v>
      </c>
      <c r="S656" s="796"/>
      <c r="T656" s="797" t="str">
        <f t="shared" si="411"/>
        <v>L-Lysine Sulphat 70%46219</v>
      </c>
      <c r="U656" s="797"/>
      <c r="V656" s="797"/>
      <c r="W656" s="785">
        <f>IFERROR(VLOOKUP($Q656,'391'!$S:$AG,15,0),0)</f>
        <v>0</v>
      </c>
      <c r="X656" s="1090">
        <f t="shared" si="405"/>
        <v>0</v>
      </c>
      <c r="Y656" s="785"/>
      <c r="Z656" s="785"/>
      <c r="AA656" s="797"/>
      <c r="AB656" s="797"/>
      <c r="AC656" s="683"/>
      <c r="AD656" s="683"/>
      <c r="AE656" s="683"/>
      <c r="AF656" s="683"/>
      <c r="AG656" s="683"/>
      <c r="AH656" s="683"/>
      <c r="AI656" s="705"/>
      <c r="AJ656" s="705"/>
      <c r="AK656" s="705"/>
      <c r="AL656" s="705"/>
      <c r="AM656" s="705"/>
      <c r="AN656" s="705"/>
      <c r="AO656" s="705"/>
      <c r="AP656" s="705"/>
      <c r="AQ656" s="705"/>
      <c r="AR656" s="705"/>
      <c r="AS656" s="705"/>
    </row>
    <row r="657" spans="1:45" s="14" customFormat="1" ht="30" hidden="1" customHeight="1" x14ac:dyDescent="0.25">
      <c r="A657" s="2046"/>
      <c r="B657" s="2056"/>
      <c r="C657" s="121"/>
      <c r="D657" s="881" t="s">
        <v>10</v>
      </c>
      <c r="E657" s="882">
        <v>46197</v>
      </c>
      <c r="F657" s="71">
        <f t="shared" ref="F657" si="415">$L$7-E657</f>
        <v>89</v>
      </c>
      <c r="G657" s="1370">
        <v>0</v>
      </c>
      <c r="H657" s="1370"/>
      <c r="I657" s="64"/>
      <c r="J657" s="1367"/>
      <c r="K657" s="64">
        <f>IFERROR(SUMIF(INTAKE!$A:$A,$T657,INTAKE!$P:$P),0)</f>
        <v>0</v>
      </c>
      <c r="L657" s="1702">
        <f t="shared" ref="L657" si="416">+G657+H657+I657-J657-K657</f>
        <v>0</v>
      </c>
      <c r="M657" s="174"/>
      <c r="N657" s="174"/>
      <c r="O657" s="174"/>
      <c r="P657" s="755"/>
      <c r="Q657" s="795"/>
      <c r="R657" s="785">
        <f>IFERROR(VLOOKUP($Q657,'391'!$S:$Z,8,0),"")</f>
        <v>0</v>
      </c>
      <c r="S657" s="796"/>
      <c r="T657" s="797" t="str">
        <f t="shared" si="411"/>
        <v>L-Lysine Sulphat 70%46197</v>
      </c>
      <c r="U657" s="797"/>
      <c r="V657" s="797"/>
      <c r="W657" s="785">
        <f>IFERROR(VLOOKUP($Q657,'391'!$S:$AG,15,0),0)</f>
        <v>0</v>
      </c>
      <c r="X657" s="1090">
        <f t="shared" ref="X657" si="417">G657-W657</f>
        <v>0</v>
      </c>
      <c r="Y657" s="785"/>
      <c r="Z657" s="785"/>
      <c r="AA657" s="797"/>
      <c r="AB657" s="797"/>
      <c r="AC657" s="683"/>
      <c r="AD657" s="683"/>
      <c r="AE657" s="683"/>
      <c r="AF657" s="683"/>
      <c r="AG657" s="683"/>
      <c r="AH657" s="683"/>
      <c r="AI657" s="705"/>
      <c r="AJ657" s="705"/>
      <c r="AK657" s="705"/>
      <c r="AL657" s="705"/>
      <c r="AM657" s="705"/>
      <c r="AN657" s="705"/>
      <c r="AO657" s="705"/>
      <c r="AP657" s="705"/>
      <c r="AQ657" s="705"/>
      <c r="AR657" s="705"/>
      <c r="AS657" s="705"/>
    </row>
    <row r="658" spans="1:45" s="14" customFormat="1" ht="30" hidden="1" customHeight="1" x14ac:dyDescent="0.25">
      <c r="A658" s="2046"/>
      <c r="B658" s="2055"/>
      <c r="C658" s="121"/>
      <c r="D658" s="881" t="s">
        <v>10</v>
      </c>
      <c r="E658" s="882">
        <v>46182</v>
      </c>
      <c r="F658" s="71">
        <f t="shared" ref="F658:F659" si="418">$L$7-E658</f>
        <v>104</v>
      </c>
      <c r="G658" s="1370">
        <v>0</v>
      </c>
      <c r="H658" s="1370"/>
      <c r="I658" s="64"/>
      <c r="J658" s="1367"/>
      <c r="K658" s="64">
        <f>IFERROR(SUMIF(INTAKE!$A:$A,$T658,INTAKE!$P:$P),0)</f>
        <v>0</v>
      </c>
      <c r="L658" s="1702">
        <f t="shared" si="404"/>
        <v>0</v>
      </c>
      <c r="M658" s="174"/>
      <c r="N658" s="174"/>
      <c r="O658" s="174"/>
      <c r="P658" s="755"/>
      <c r="Q658" s="795"/>
      <c r="R658" s="785">
        <f>IFERROR(VLOOKUP($Q658,'391'!$S:$Z,8,0),"")</f>
        <v>0</v>
      </c>
      <c r="S658" s="796"/>
      <c r="T658" s="797" t="str">
        <f t="shared" si="411"/>
        <v>L-Lysine Sulphat 70%46182</v>
      </c>
      <c r="U658" s="797"/>
      <c r="V658" s="797"/>
      <c r="W658" s="785">
        <f>IFERROR(VLOOKUP($Q658,'391'!$S:$AG,15,0),0)</f>
        <v>0</v>
      </c>
      <c r="X658" s="1090">
        <f t="shared" si="405"/>
        <v>0</v>
      </c>
      <c r="Y658" s="785"/>
      <c r="Z658" s="785"/>
      <c r="AA658" s="797"/>
      <c r="AB658" s="797"/>
      <c r="AC658" s="683"/>
      <c r="AD658" s="683"/>
      <c r="AE658" s="683"/>
      <c r="AF658" s="683"/>
      <c r="AG658" s="683"/>
      <c r="AH658" s="683"/>
      <c r="AI658" s="705"/>
      <c r="AJ658" s="705"/>
      <c r="AK658" s="705"/>
      <c r="AL658" s="705"/>
      <c r="AM658" s="705"/>
      <c r="AN658" s="705"/>
      <c r="AO658" s="705"/>
      <c r="AP658" s="705"/>
      <c r="AQ658" s="705"/>
      <c r="AR658" s="705"/>
      <c r="AS658" s="705"/>
    </row>
    <row r="659" spans="1:45" s="14" customFormat="1" ht="30" customHeight="1" x14ac:dyDescent="0.25">
      <c r="A659" s="2046"/>
      <c r="B659" s="2055"/>
      <c r="C659" s="135" t="s">
        <v>1319</v>
      </c>
      <c r="D659" s="850" t="s">
        <v>10</v>
      </c>
      <c r="E659" s="851">
        <v>46275</v>
      </c>
      <c r="F659" s="71">
        <f t="shared" si="418"/>
        <v>11</v>
      </c>
      <c r="G659" s="1376">
        <v>5354.9000000000015</v>
      </c>
      <c r="H659" s="1376"/>
      <c r="I659" s="56">
        <f>+SUM(K651:K656)</f>
        <v>5000</v>
      </c>
      <c r="J659" s="1369">
        <f>+usage!I79</f>
        <v>5386.9500000000007</v>
      </c>
      <c r="K659" s="64">
        <f>IFERROR(SUMIF(INTAKE!$A:$A,$T659,INTAKE!$P:$P),0)</f>
        <v>0</v>
      </c>
      <c r="L659" s="1533">
        <f t="shared" si="404"/>
        <v>4967.9500000000007</v>
      </c>
      <c r="M659" s="174"/>
      <c r="N659" s="174"/>
      <c r="O659" s="174"/>
      <c r="P659" s="755"/>
      <c r="Q659" s="795"/>
      <c r="R659" s="785">
        <f>IFERROR(VLOOKUP($Q659,'391'!$S:$Z,8,0),"")</f>
        <v>0</v>
      </c>
      <c r="S659" s="796"/>
      <c r="T659" s="797" t="str">
        <f t="shared" si="411"/>
        <v>L-Lysine Sulphat 70%Feedmill, 15546275</v>
      </c>
      <c r="U659" s="797"/>
      <c r="V659" s="797"/>
      <c r="W659" s="785">
        <f>IFERROR(VLOOKUP($Q659,'391'!$S:$AG,15,0),0)</f>
        <v>0</v>
      </c>
      <c r="X659" s="1090">
        <f t="shared" si="405"/>
        <v>5354.9000000000015</v>
      </c>
      <c r="Y659" s="785"/>
      <c r="Z659" s="785"/>
      <c r="AA659" s="797"/>
      <c r="AB659" s="797"/>
      <c r="AC659" s="683"/>
      <c r="AD659" s="683"/>
      <c r="AE659" s="683"/>
      <c r="AF659" s="683"/>
      <c r="AG659" s="683"/>
      <c r="AH659" s="683"/>
      <c r="AI659" s="705"/>
      <c r="AJ659" s="705"/>
      <c r="AK659" s="705"/>
      <c r="AL659" s="705"/>
      <c r="AM659" s="705"/>
      <c r="AN659" s="705"/>
      <c r="AO659" s="705"/>
      <c r="AP659" s="705"/>
      <c r="AQ659" s="705"/>
      <c r="AR659" s="705"/>
      <c r="AS659" s="705"/>
    </row>
    <row r="660" spans="1:45" s="265" customFormat="1" ht="30" customHeight="1" x14ac:dyDescent="0.25">
      <c r="A660" s="2019" t="s">
        <v>156</v>
      </c>
      <c r="B660" s="2020"/>
      <c r="C660" s="88"/>
      <c r="D660" s="864"/>
      <c r="E660" s="939"/>
      <c r="F660" s="865"/>
      <c r="G660" s="1297">
        <v>50354.9</v>
      </c>
      <c r="H660" s="1297">
        <f>SUM(H651:H659)</f>
        <v>0</v>
      </c>
      <c r="I660" s="1297">
        <f t="shared" ref="I660:L660" si="419">SUM(I651:I659)</f>
        <v>5000</v>
      </c>
      <c r="J660" s="1297">
        <f t="shared" si="419"/>
        <v>5386.9500000000007</v>
      </c>
      <c r="K660" s="1297">
        <f t="shared" si="419"/>
        <v>5000</v>
      </c>
      <c r="L660" s="1297">
        <f t="shared" si="419"/>
        <v>44967.95</v>
      </c>
      <c r="M660" s="59">
        <f>IFERROR((R660/$S$2),"")</f>
        <v>5971.3666666666677</v>
      </c>
      <c r="N660" s="854">
        <f>+(L660/M660)</f>
        <v>7.5305960109634293</v>
      </c>
      <c r="O660" s="59">
        <f>IFERROR(SUMIF(ETM!$A:$A,$Q660,ETM!$E:$E),"")</f>
        <v>6863</v>
      </c>
      <c r="P660" s="880">
        <f>IFERROR(L660/O660,0)</f>
        <v>6.5522293457671568</v>
      </c>
      <c r="Q660" s="814" t="s">
        <v>654</v>
      </c>
      <c r="R660" s="785">
        <f>IFERROR(VLOOKUP($Q660,'391'!$S:$Z,8,0),"")</f>
        <v>35828.200000000004</v>
      </c>
      <c r="S660" s="796"/>
      <c r="T660" s="797"/>
      <c r="U660" s="797"/>
      <c r="V660" s="797"/>
      <c r="W660" s="785">
        <f>IFERROR(VLOOKUP($Q660,'391'!$S:$AG,15,0),0)</f>
        <v>50354.9</v>
      </c>
      <c r="X660" s="1090">
        <f t="shared" si="405"/>
        <v>0</v>
      </c>
      <c r="Y660" s="785"/>
      <c r="Z660" s="785"/>
      <c r="AA660" s="797"/>
      <c r="AB660" s="797"/>
      <c r="AC660" s="551"/>
      <c r="AD660" s="551"/>
      <c r="AE660" s="551"/>
      <c r="AF660" s="551"/>
      <c r="AG660" s="551"/>
      <c r="AH660" s="551"/>
      <c r="AI660" s="704"/>
      <c r="AJ660" s="704"/>
      <c r="AK660" s="704"/>
      <c r="AL660" s="704"/>
      <c r="AM660" s="704"/>
      <c r="AN660" s="704"/>
      <c r="AO660" s="704"/>
      <c r="AP660" s="704"/>
      <c r="AQ660" s="704"/>
      <c r="AR660" s="704"/>
      <c r="AS660" s="704"/>
    </row>
    <row r="661" spans="1:45" s="6" customFormat="1" ht="30" hidden="1" customHeight="1" x14ac:dyDescent="0.25">
      <c r="A661" s="2073">
        <f>IF(L664=0,"",MAX($A$16:A659)+1)</f>
        <v>38</v>
      </c>
      <c r="B661" s="2075" t="s">
        <v>1311</v>
      </c>
      <c r="C661" s="1140"/>
      <c r="D661" s="1145" t="s">
        <v>10</v>
      </c>
      <c r="E661" s="851">
        <v>45281</v>
      </c>
      <c r="F661" s="625">
        <f>$L$7-E661</f>
        <v>1005</v>
      </c>
      <c r="G661" s="1376">
        <v>0</v>
      </c>
      <c r="H661" s="1376"/>
      <c r="I661" s="1376"/>
      <c r="J661" s="1376"/>
      <c r="K661" s="1376"/>
      <c r="L661" s="1533">
        <f>+G661+H661+I661-J661-K661</f>
        <v>0</v>
      </c>
      <c r="M661" s="66"/>
      <c r="N661" s="66"/>
      <c r="O661" s="66"/>
      <c r="P661" s="744"/>
      <c r="Q661" s="795"/>
      <c r="R661" s="785">
        <f>IFERROR(VLOOKUP($Q661,'391'!$S:$Z,8,0),"")</f>
        <v>0</v>
      </c>
      <c r="S661" s="786"/>
      <c r="T661" s="787"/>
      <c r="U661" s="787"/>
      <c r="V661" s="787"/>
      <c r="W661" s="785">
        <f>IFERROR(VLOOKUP($Q661,'391'!$S:$AG,15,0),0)</f>
        <v>0</v>
      </c>
      <c r="X661" s="1090">
        <f t="shared" si="405"/>
        <v>0</v>
      </c>
      <c r="Y661" s="785"/>
      <c r="Z661" s="785"/>
      <c r="AA661" s="787"/>
      <c r="AB661" s="787"/>
      <c r="AC661" s="679"/>
      <c r="AD661" s="679"/>
      <c r="AE661" s="679"/>
      <c r="AF661" s="679"/>
      <c r="AG661" s="679"/>
      <c r="AH661" s="679"/>
      <c r="AI661" s="682"/>
      <c r="AJ661" s="682"/>
      <c r="AK661" s="682"/>
      <c r="AL661" s="682"/>
      <c r="AM661" s="682"/>
      <c r="AN661" s="682"/>
      <c r="AO661" s="682"/>
      <c r="AP661" s="682"/>
      <c r="AQ661" s="682"/>
      <c r="AR661" s="682"/>
      <c r="AS661" s="682"/>
    </row>
    <row r="662" spans="1:45" s="6" customFormat="1" ht="30" customHeight="1" x14ac:dyDescent="0.25">
      <c r="A662" s="2070"/>
      <c r="B662" s="2076"/>
      <c r="C662" s="1140" t="s">
        <v>1195</v>
      </c>
      <c r="D662" s="1145" t="s">
        <v>10</v>
      </c>
      <c r="E662" s="851">
        <v>46230</v>
      </c>
      <c r="F662" s="625">
        <f>$L$7-E662</f>
        <v>56</v>
      </c>
      <c r="G662" s="1376">
        <v>12931.02</v>
      </c>
      <c r="H662" s="1376"/>
      <c r="I662" s="1376"/>
      <c r="J662" s="1376">
        <f>usage!I185-J663</f>
        <v>1040.9100000000001</v>
      </c>
      <c r="K662" s="1376"/>
      <c r="L662" s="1533">
        <f>+G662+H662+I662-J662-K662</f>
        <v>11890.11</v>
      </c>
      <c r="M662" s="101"/>
      <c r="N662" s="101"/>
      <c r="O662" s="101"/>
      <c r="P662" s="738"/>
      <c r="Q662" s="795" t="s">
        <v>1375</v>
      </c>
      <c r="R662" s="785">
        <f>IFERROR(VLOOKUP($Q662,'391'!$S:$Z,8,0),"0")</f>
        <v>6327.55</v>
      </c>
      <c r="S662" s="786"/>
      <c r="T662" s="787"/>
      <c r="U662" s="787"/>
      <c r="V662" s="787"/>
      <c r="W662" s="785">
        <f>IFERROR(VLOOKUP($Q662,'391'!$S:$AG,15,0),0)</f>
        <v>10791.02</v>
      </c>
      <c r="X662" s="1090">
        <f t="shared" si="405"/>
        <v>2140</v>
      </c>
      <c r="Y662" s="785"/>
      <c r="Z662" s="785"/>
      <c r="AA662" s="787"/>
      <c r="AB662" s="787"/>
      <c r="AC662" s="679"/>
      <c r="AD662" s="679"/>
      <c r="AE662" s="679"/>
      <c r="AF662" s="679"/>
      <c r="AG662" s="679"/>
      <c r="AH662" s="679"/>
      <c r="AI662" s="682"/>
      <c r="AJ662" s="682"/>
      <c r="AK662" s="682"/>
      <c r="AL662" s="682"/>
      <c r="AM662" s="682"/>
      <c r="AN662" s="682"/>
      <c r="AO662" s="682"/>
      <c r="AP662" s="682"/>
      <c r="AQ662" s="682"/>
      <c r="AR662" s="682"/>
      <c r="AS662" s="682"/>
    </row>
    <row r="663" spans="1:45" s="6" customFormat="1" ht="30" customHeight="1" x14ac:dyDescent="0.25">
      <c r="A663" s="2070"/>
      <c r="B663" s="2076"/>
      <c r="C663" s="1140" t="s">
        <v>622</v>
      </c>
      <c r="D663" s="1145" t="s">
        <v>10</v>
      </c>
      <c r="E663" s="851">
        <v>46270</v>
      </c>
      <c r="F663" s="625">
        <f>$L$7-E663</f>
        <v>16</v>
      </c>
      <c r="G663" s="1376">
        <v>23080</v>
      </c>
      <c r="H663" s="1376"/>
      <c r="I663" s="1376">
        <f>+K662</f>
        <v>0</v>
      </c>
      <c r="J663" s="1376"/>
      <c r="K663" s="1401"/>
      <c r="L663" s="1533">
        <f>+G663+H663+I663-J663-K663</f>
        <v>23080</v>
      </c>
      <c r="M663" s="147"/>
      <c r="N663" s="147"/>
      <c r="O663" s="147"/>
      <c r="P663" s="734"/>
      <c r="Q663" s="795"/>
      <c r="R663" s="785">
        <f>IFERROR(VLOOKUP($Q663,'391'!$S:$Z,8,0),"")</f>
        <v>0</v>
      </c>
      <c r="S663" s="786"/>
      <c r="T663" s="787" t="str">
        <f>$Q$678&amp;C663&amp;E663</f>
        <v>L-Threonine (China)LA646270</v>
      </c>
      <c r="U663" s="787"/>
      <c r="V663" s="787"/>
      <c r="W663" s="785">
        <f>IFERROR(VLOOKUP($Q663,'391'!$S:$AG,15,0),0)</f>
        <v>0</v>
      </c>
      <c r="X663" s="1090">
        <f t="shared" si="405"/>
        <v>23080</v>
      </c>
      <c r="Y663" s="785"/>
      <c r="Z663" s="785"/>
      <c r="AA663" s="787"/>
      <c r="AB663" s="787"/>
      <c r="AC663" s="679"/>
      <c r="AD663" s="679"/>
      <c r="AE663" s="679"/>
      <c r="AF663" s="679"/>
      <c r="AG663" s="679"/>
      <c r="AH663" s="679"/>
      <c r="AI663" s="682"/>
      <c r="AJ663" s="682"/>
      <c r="AK663" s="682"/>
      <c r="AL663" s="682"/>
      <c r="AM663" s="682"/>
      <c r="AN663" s="682"/>
      <c r="AO663" s="682"/>
      <c r="AP663" s="682"/>
      <c r="AQ663" s="682"/>
      <c r="AR663" s="682"/>
      <c r="AS663" s="682"/>
    </row>
    <row r="664" spans="1:45" s="265" customFormat="1" ht="30" customHeight="1" x14ac:dyDescent="0.25">
      <c r="A664" s="2019" t="s">
        <v>1312</v>
      </c>
      <c r="B664" s="2020"/>
      <c r="C664" s="88"/>
      <c r="D664" s="864"/>
      <c r="E664" s="864"/>
      <c r="F664" s="865"/>
      <c r="G664" s="1297">
        <v>36011.020000000004</v>
      </c>
      <c r="H664" s="1297">
        <f>SUM(H661:H663)</f>
        <v>0</v>
      </c>
      <c r="I664" s="1297">
        <f>SUM(I661:I663)</f>
        <v>0</v>
      </c>
      <c r="J664" s="1297">
        <f t="shared" ref="J664:L664" si="420">SUM(J661:J663)</f>
        <v>1040.9100000000001</v>
      </c>
      <c r="K664" s="1297">
        <f t="shared" si="420"/>
        <v>0</v>
      </c>
      <c r="L664" s="1297">
        <f t="shared" si="420"/>
        <v>34970.11</v>
      </c>
      <c r="M664" s="59">
        <f>IFERROR((S664/$S$2),"")</f>
        <v>1054.5916666666667</v>
      </c>
      <c r="N664" s="854">
        <f>IFERROR(L664/M664,0)</f>
        <v>33.159858080931798</v>
      </c>
      <c r="O664" s="59">
        <f>IFERROR(SUMIF(ETM!$A:$A,$Q664,ETM!$E:$E),"")</f>
        <v>886</v>
      </c>
      <c r="P664" s="880">
        <f>IFERROR(L664/O664,0)</f>
        <v>39.469650112866816</v>
      </c>
      <c r="Q664" s="814" t="s">
        <v>1311</v>
      </c>
      <c r="R664" s="785">
        <f>IFERROR(VLOOKUP($Q664,'391'!$S:$Z,8,0),"0")</f>
        <v>0</v>
      </c>
      <c r="S664" s="796">
        <f>+R662+R664</f>
        <v>6327.55</v>
      </c>
      <c r="T664" s="797"/>
      <c r="U664" s="797"/>
      <c r="V664" s="797"/>
      <c r="W664" s="785">
        <f>IFERROR(VLOOKUP($Q664,'391'!$S:$AG,15,0),0)</f>
        <v>25220</v>
      </c>
      <c r="X664" s="1090">
        <f>G664-W664-W662</f>
        <v>0</v>
      </c>
      <c r="Y664" s="785"/>
      <c r="Z664" s="785"/>
      <c r="AA664" s="797"/>
      <c r="AB664" s="797"/>
      <c r="AC664" s="551"/>
      <c r="AD664" s="551"/>
      <c r="AE664" s="551"/>
      <c r="AF664" s="551"/>
      <c r="AG664" s="551"/>
      <c r="AH664" s="551"/>
      <c r="AI664" s="704"/>
      <c r="AJ664" s="704"/>
      <c r="AK664" s="704"/>
      <c r="AL664" s="704"/>
      <c r="AM664" s="704"/>
      <c r="AN664" s="704"/>
      <c r="AO664" s="704"/>
      <c r="AP664" s="704"/>
      <c r="AQ664" s="704"/>
      <c r="AR664" s="704"/>
      <c r="AS664" s="704"/>
    </row>
    <row r="665" spans="1:45" s="6" customFormat="1" ht="30" hidden="1" customHeight="1" x14ac:dyDescent="0.25">
      <c r="A665" s="2073">
        <f>IF(L678=0,"",MAX($A$16:A664)+1)</f>
        <v>39</v>
      </c>
      <c r="B665" s="2066" t="s">
        <v>359</v>
      </c>
      <c r="C665" s="120" t="s">
        <v>261</v>
      </c>
      <c r="D665" s="887" t="s">
        <v>10</v>
      </c>
      <c r="E665" s="888">
        <v>43865</v>
      </c>
      <c r="F665" s="70">
        <f t="shared" ref="F665:F677" si="421">$L$7-E665</f>
        <v>2421</v>
      </c>
      <c r="G665" s="63">
        <v>0</v>
      </c>
      <c r="H665" s="12"/>
      <c r="I665" s="63"/>
      <c r="J665" s="1378"/>
      <c r="K665" s="63"/>
      <c r="L665" s="1533">
        <f t="shared" ref="L665:L677" si="422">+G665+H665+I665-J665-K665</f>
        <v>0</v>
      </c>
      <c r="M665" s="66"/>
      <c r="N665" s="66"/>
      <c r="O665" s="66"/>
      <c r="P665" s="744"/>
      <c r="Q665" s="795"/>
      <c r="R665" s="785">
        <f>IFERROR(VLOOKUP($Q665,'391'!$S:$Z,8,0),"")</f>
        <v>0</v>
      </c>
      <c r="S665" s="786"/>
      <c r="T665" s="787"/>
      <c r="U665" s="787"/>
      <c r="V665" s="787"/>
      <c r="W665" s="785">
        <f>IFERROR(VLOOKUP($Q665,'391'!$S:$AG,15,0),0)</f>
        <v>0</v>
      </c>
      <c r="X665" s="1090">
        <f t="shared" ref="X665:X684" si="423">G665-W665</f>
        <v>0</v>
      </c>
      <c r="Y665" s="785"/>
      <c r="Z665" s="785"/>
      <c r="AA665" s="787"/>
      <c r="AB665" s="787"/>
      <c r="AC665" s="679"/>
      <c r="AD665" s="679"/>
      <c r="AE665" s="679"/>
      <c r="AF665" s="679"/>
      <c r="AG665" s="679"/>
      <c r="AH665" s="679"/>
      <c r="AI665" s="682"/>
      <c r="AJ665" s="682"/>
      <c r="AK665" s="682"/>
      <c r="AL665" s="682"/>
      <c r="AM665" s="682"/>
      <c r="AN665" s="682"/>
      <c r="AO665" s="682"/>
      <c r="AP665" s="682"/>
      <c r="AQ665" s="682"/>
      <c r="AR665" s="682"/>
      <c r="AS665" s="682"/>
    </row>
    <row r="666" spans="1:45" s="6" customFormat="1" ht="30" hidden="1" customHeight="1" x14ac:dyDescent="0.25">
      <c r="A666" s="2070"/>
      <c r="B666" s="2067"/>
      <c r="C666" s="120" t="s">
        <v>247</v>
      </c>
      <c r="D666" s="887" t="s">
        <v>10</v>
      </c>
      <c r="E666" s="888">
        <v>44083</v>
      </c>
      <c r="F666" s="70">
        <f t="shared" si="421"/>
        <v>2203</v>
      </c>
      <c r="G666" s="63">
        <v>0</v>
      </c>
      <c r="H666" s="12"/>
      <c r="I666" s="63"/>
      <c r="J666" s="1378"/>
      <c r="K666" s="63"/>
      <c r="L666" s="1533">
        <f t="shared" si="422"/>
        <v>0</v>
      </c>
      <c r="M666" s="101"/>
      <c r="N666" s="101"/>
      <c r="O666" s="101"/>
      <c r="P666" s="738"/>
      <c r="Q666" s="795"/>
      <c r="R666" s="785">
        <f>IFERROR(VLOOKUP($Q666,'391'!$S:$Z,8,0),"")</f>
        <v>0</v>
      </c>
      <c r="S666" s="786"/>
      <c r="T666" s="787"/>
      <c r="U666" s="787"/>
      <c r="V666" s="787"/>
      <c r="W666" s="785">
        <f>IFERROR(VLOOKUP($Q666,'391'!$S:$AG,15,0),0)</f>
        <v>0</v>
      </c>
      <c r="X666" s="1090">
        <f t="shared" si="423"/>
        <v>0</v>
      </c>
      <c r="Y666" s="785"/>
      <c r="Z666" s="785"/>
      <c r="AA666" s="787"/>
      <c r="AB666" s="787"/>
      <c r="AC666" s="679"/>
      <c r="AD666" s="679"/>
      <c r="AE666" s="679"/>
      <c r="AF666" s="679"/>
      <c r="AG666" s="679"/>
      <c r="AH666" s="679"/>
      <c r="AI666" s="682"/>
      <c r="AJ666" s="682"/>
      <c r="AK666" s="682"/>
      <c r="AL666" s="682"/>
      <c r="AM666" s="682"/>
      <c r="AN666" s="682"/>
      <c r="AO666" s="682"/>
      <c r="AP666" s="682"/>
      <c r="AQ666" s="682"/>
      <c r="AR666" s="682"/>
      <c r="AS666" s="682"/>
    </row>
    <row r="667" spans="1:45" s="6" customFormat="1" ht="30" hidden="1" customHeight="1" x14ac:dyDescent="0.25">
      <c r="A667" s="2070"/>
      <c r="B667" s="2067"/>
      <c r="C667" s="122"/>
      <c r="D667" s="887" t="s">
        <v>10</v>
      </c>
      <c r="E667" s="888">
        <v>45989</v>
      </c>
      <c r="F667" s="70">
        <f t="shared" si="421"/>
        <v>297</v>
      </c>
      <c r="G667" s="12">
        <v>0</v>
      </c>
      <c r="H667" s="12"/>
      <c r="I667" s="12"/>
      <c r="J667" s="1368"/>
      <c r="K667" s="1379">
        <f>IFERROR(SUMIF(INTAKE!$A:$A,$T667,INTAKE!$P:$P),0)</f>
        <v>0</v>
      </c>
      <c r="L667" s="1702">
        <f t="shared" si="422"/>
        <v>0</v>
      </c>
      <c r="M667" s="147"/>
      <c r="N667" s="147"/>
      <c r="O667" s="147"/>
      <c r="P667" s="734"/>
      <c r="Q667" s="795"/>
      <c r="R667" s="785">
        <f>IFERROR(VLOOKUP($Q667,'391'!$S:$Z,8,0),"")</f>
        <v>0</v>
      </c>
      <c r="S667" s="786"/>
      <c r="T667" s="787" t="str">
        <f t="shared" ref="T667:T677" si="424">$Q$678&amp;C667&amp;E667</f>
        <v>L-Threonine (China)45989</v>
      </c>
      <c r="U667" s="787"/>
      <c r="V667" s="787"/>
      <c r="W667" s="785">
        <f>IFERROR(VLOOKUP($Q667,'391'!$S:$AG,15,0),0)</f>
        <v>0</v>
      </c>
      <c r="X667" s="1090">
        <f t="shared" si="423"/>
        <v>0</v>
      </c>
      <c r="Y667" s="785"/>
      <c r="Z667" s="785"/>
      <c r="AA667" s="787"/>
      <c r="AB667" s="787"/>
      <c r="AC667" s="679"/>
      <c r="AD667" s="679"/>
      <c r="AE667" s="679"/>
      <c r="AF667" s="679"/>
      <c r="AG667" s="679"/>
      <c r="AH667" s="679"/>
      <c r="AI667" s="682"/>
      <c r="AJ667" s="682"/>
      <c r="AK667" s="682"/>
      <c r="AL667" s="682"/>
      <c r="AM667" s="682"/>
      <c r="AN667" s="682"/>
      <c r="AO667" s="682"/>
      <c r="AP667" s="682"/>
      <c r="AQ667" s="682"/>
      <c r="AR667" s="682"/>
      <c r="AS667" s="682"/>
    </row>
    <row r="668" spans="1:45" s="6" customFormat="1" ht="30" hidden="1" customHeight="1" x14ac:dyDescent="0.25">
      <c r="A668" s="2070"/>
      <c r="B668" s="2067"/>
      <c r="C668" s="122"/>
      <c r="D668" s="887" t="s">
        <v>10</v>
      </c>
      <c r="E668" s="888">
        <v>46007</v>
      </c>
      <c r="F668" s="70">
        <f t="shared" si="421"/>
        <v>279</v>
      </c>
      <c r="G668" s="12">
        <v>0</v>
      </c>
      <c r="H668" s="12"/>
      <c r="I668" s="12"/>
      <c r="J668" s="1368"/>
      <c r="K668" s="1379">
        <f>IFERROR(SUMIF(INTAKE!$A:$A,$T668,INTAKE!$P:$P),0)</f>
        <v>0</v>
      </c>
      <c r="L668" s="1702">
        <f t="shared" si="422"/>
        <v>0</v>
      </c>
      <c r="M668" s="101"/>
      <c r="N668" s="101"/>
      <c r="O668" s="101"/>
      <c r="P668" s="738"/>
      <c r="Q668" s="795"/>
      <c r="R668" s="785">
        <f>IFERROR(VLOOKUP($Q668,'391'!$S:$Z,8,0),"")</f>
        <v>0</v>
      </c>
      <c r="S668" s="786"/>
      <c r="T668" s="787" t="str">
        <f t="shared" si="424"/>
        <v>L-Threonine (China)46007</v>
      </c>
      <c r="U668" s="787"/>
      <c r="V668" s="787"/>
      <c r="W668" s="785">
        <f>IFERROR(VLOOKUP($Q668,'391'!$S:$AG,15,0),0)</f>
        <v>0</v>
      </c>
      <c r="X668" s="1090">
        <f t="shared" si="423"/>
        <v>0</v>
      </c>
      <c r="Y668" s="785"/>
      <c r="Z668" s="785"/>
      <c r="AA668" s="787"/>
      <c r="AB668" s="787"/>
      <c r="AC668" s="679"/>
      <c r="AD668" s="679"/>
      <c r="AE668" s="679"/>
      <c r="AF668" s="679"/>
      <c r="AG668" s="679"/>
      <c r="AH668" s="679"/>
      <c r="AI668" s="682"/>
      <c r="AJ668" s="682"/>
      <c r="AK668" s="682"/>
      <c r="AL668" s="682"/>
      <c r="AM668" s="682"/>
      <c r="AN668" s="682"/>
      <c r="AO668" s="682"/>
      <c r="AP668" s="682"/>
      <c r="AQ668" s="682"/>
      <c r="AR668" s="682"/>
      <c r="AS668" s="682"/>
    </row>
    <row r="669" spans="1:45" s="6" customFormat="1" ht="30" hidden="1" customHeight="1" x14ac:dyDescent="0.25">
      <c r="A669" s="2070"/>
      <c r="B669" s="2067"/>
      <c r="C669" s="122"/>
      <c r="D669" s="887" t="s">
        <v>10</v>
      </c>
      <c r="E669" s="888">
        <v>46107</v>
      </c>
      <c r="F669" s="70">
        <f t="shared" ref="F669:F670" si="425">$L$7-E669</f>
        <v>179</v>
      </c>
      <c r="G669" s="12">
        <v>0</v>
      </c>
      <c r="H669" s="12"/>
      <c r="I669" s="12"/>
      <c r="J669" s="1368"/>
      <c r="K669" s="1379">
        <f>IFERROR(SUMIF(INTAKE!$A:$A,$T669,INTAKE!$P:$P),0)</f>
        <v>0</v>
      </c>
      <c r="L669" s="1702">
        <f t="shared" si="422"/>
        <v>0</v>
      </c>
      <c r="M669" s="101"/>
      <c r="N669" s="101"/>
      <c r="O669" s="101"/>
      <c r="P669" s="738"/>
      <c r="Q669" s="795"/>
      <c r="R669" s="785">
        <f>IFERROR(VLOOKUP($Q669,'391'!$S:$Z,8,0),"")</f>
        <v>0</v>
      </c>
      <c r="S669" s="786"/>
      <c r="T669" s="787" t="str">
        <f t="shared" si="424"/>
        <v>L-Threonine (China)46107</v>
      </c>
      <c r="U669" s="787"/>
      <c r="V669" s="787"/>
      <c r="W669" s="785">
        <f>IFERROR(VLOOKUP($Q669,'391'!$S:$AG,15,0),0)</f>
        <v>0</v>
      </c>
      <c r="X669" s="1090">
        <f t="shared" si="423"/>
        <v>0</v>
      </c>
      <c r="Y669" s="785"/>
      <c r="Z669" s="785"/>
      <c r="AA669" s="787"/>
      <c r="AB669" s="787"/>
      <c r="AC669" s="679"/>
      <c r="AD669" s="679"/>
      <c r="AE669" s="679"/>
      <c r="AF669" s="679"/>
      <c r="AG669" s="679"/>
      <c r="AH669" s="679"/>
      <c r="AI669" s="682"/>
      <c r="AJ669" s="682"/>
      <c r="AK669" s="682"/>
      <c r="AL669" s="682"/>
      <c r="AM669" s="682"/>
      <c r="AN669" s="682"/>
      <c r="AO669" s="682"/>
      <c r="AP669" s="682"/>
      <c r="AQ669" s="682"/>
      <c r="AR669" s="682"/>
      <c r="AS669" s="682"/>
    </row>
    <row r="670" spans="1:45" s="6" customFormat="1" ht="30" customHeight="1" x14ac:dyDescent="0.25">
      <c r="A670" s="2070"/>
      <c r="B670" s="2067"/>
      <c r="C670" s="122" t="s">
        <v>123</v>
      </c>
      <c r="D670" s="887" t="s">
        <v>10</v>
      </c>
      <c r="E670" s="888">
        <v>46258</v>
      </c>
      <c r="F670" s="70">
        <f t="shared" si="425"/>
        <v>28</v>
      </c>
      <c r="G670" s="12">
        <v>15000</v>
      </c>
      <c r="H670" s="12"/>
      <c r="I670" s="12"/>
      <c r="J670" s="1368"/>
      <c r="K670" s="1379">
        <f>IFERROR(SUMIF(INTAKE!$A:$A,$T670,INTAKE!$P:$P),0)</f>
        <v>0</v>
      </c>
      <c r="L670" s="1702">
        <f t="shared" si="422"/>
        <v>15000</v>
      </c>
      <c r="M670" s="101"/>
      <c r="N670" s="101"/>
      <c r="O670" s="101"/>
      <c r="P670" s="738"/>
      <c r="Q670" s="795"/>
      <c r="R670" s="785">
        <f>IFERROR(VLOOKUP($Q670,'391'!$S:$Z,8,0),"")</f>
        <v>0</v>
      </c>
      <c r="S670" s="786"/>
      <c r="T670" s="787" t="str">
        <f t="shared" si="424"/>
        <v>L-Threonine (China)A22.146258</v>
      </c>
      <c r="U670" s="787"/>
      <c r="V670" s="787"/>
      <c r="W670" s="785">
        <f>IFERROR(VLOOKUP($Q670,'391'!$S:$AG,15,0),0)</f>
        <v>0</v>
      </c>
      <c r="X670" s="1090">
        <f t="shared" si="423"/>
        <v>15000</v>
      </c>
      <c r="Y670" s="785"/>
      <c r="Z670" s="785"/>
      <c r="AA670" s="787"/>
      <c r="AB670" s="787"/>
      <c r="AC670" s="679"/>
      <c r="AD670" s="679"/>
      <c r="AE670" s="679"/>
      <c r="AF670" s="679"/>
      <c r="AG670" s="679"/>
      <c r="AH670" s="679"/>
      <c r="AI670" s="682"/>
      <c r="AJ670" s="682"/>
      <c r="AK670" s="682"/>
      <c r="AL670" s="682"/>
      <c r="AM670" s="682"/>
      <c r="AN670" s="682"/>
      <c r="AO670" s="682"/>
      <c r="AP670" s="682"/>
      <c r="AQ670" s="682"/>
      <c r="AR670" s="682"/>
      <c r="AS670" s="682"/>
    </row>
    <row r="671" spans="1:45" s="6" customFormat="1" ht="30" customHeight="1" x14ac:dyDescent="0.25">
      <c r="A671" s="2070"/>
      <c r="B671" s="2072"/>
      <c r="C671" s="122" t="s">
        <v>261</v>
      </c>
      <c r="D671" s="887" t="s">
        <v>10</v>
      </c>
      <c r="E671" s="888">
        <v>46280</v>
      </c>
      <c r="F671" s="70">
        <f t="shared" ref="F671:F672" si="426">$L$7-E671</f>
        <v>6</v>
      </c>
      <c r="G671" s="12">
        <v>17000</v>
      </c>
      <c r="H671" s="12"/>
      <c r="I671" s="12"/>
      <c r="J671" s="1368"/>
      <c r="K671" s="1379">
        <f>IFERROR(SUMIF(INTAKE!$A:$A,$T671,INTAKE!$P:$P),0)</f>
        <v>0</v>
      </c>
      <c r="L671" s="1702">
        <f t="shared" si="422"/>
        <v>17000</v>
      </c>
      <c r="M671" s="23"/>
      <c r="N671" s="23"/>
      <c r="O671" s="23"/>
      <c r="P671" s="736"/>
      <c r="Q671" s="795"/>
      <c r="R671" s="785"/>
      <c r="S671" s="786"/>
      <c r="T671" s="787" t="str">
        <f t="shared" si="424"/>
        <v>L-Threonine (China)A18.246280</v>
      </c>
      <c r="U671" s="787"/>
      <c r="V671" s="787"/>
      <c r="W671" s="785">
        <f>IFERROR(VLOOKUP($Q671,'391'!$S:$AG,15,0),0)</f>
        <v>0</v>
      </c>
      <c r="X671" s="1090">
        <f t="shared" si="423"/>
        <v>17000</v>
      </c>
      <c r="Y671" s="785"/>
      <c r="Z671" s="785"/>
      <c r="AA671" s="787"/>
      <c r="AB671" s="787"/>
      <c r="AC671" s="679"/>
      <c r="AD671" s="679"/>
      <c r="AE671" s="679"/>
      <c r="AF671" s="679"/>
      <c r="AG671" s="679"/>
      <c r="AH671" s="679"/>
      <c r="AI671" s="682"/>
      <c r="AJ671" s="682"/>
      <c r="AK671" s="682"/>
      <c r="AL671" s="682"/>
      <c r="AM671" s="682"/>
      <c r="AN671" s="682"/>
      <c r="AO671" s="682"/>
      <c r="AP671" s="682"/>
      <c r="AQ671" s="682"/>
      <c r="AR671" s="682"/>
      <c r="AS671" s="682"/>
    </row>
    <row r="672" spans="1:45" s="6" customFormat="1" ht="30" customHeight="1" x14ac:dyDescent="0.25">
      <c r="A672" s="2070"/>
      <c r="B672" s="2072"/>
      <c r="C672" s="122" t="s">
        <v>261</v>
      </c>
      <c r="D672" s="887" t="s">
        <v>10</v>
      </c>
      <c r="E672" s="888">
        <v>46282</v>
      </c>
      <c r="F672" s="70">
        <f t="shared" si="426"/>
        <v>4</v>
      </c>
      <c r="G672" s="12">
        <v>17000</v>
      </c>
      <c r="H672" s="12"/>
      <c r="I672" s="12"/>
      <c r="J672" s="1368"/>
      <c r="K672" s="1379">
        <f>IFERROR(SUMIF(INTAKE!$A:$A,$T672,INTAKE!$P:$P),0)</f>
        <v>0</v>
      </c>
      <c r="L672" s="1702">
        <f t="shared" ref="L672:L673" si="427">+G672+H672+I672-J672-K672</f>
        <v>17000</v>
      </c>
      <c r="M672" s="23"/>
      <c r="N672" s="23"/>
      <c r="O672" s="23"/>
      <c r="P672" s="736"/>
      <c r="Q672" s="795"/>
      <c r="R672" s="785"/>
      <c r="S672" s="786"/>
      <c r="T672" s="787" t="str">
        <f t="shared" si="424"/>
        <v>L-Threonine (China)A18.246282</v>
      </c>
      <c r="U672" s="787"/>
      <c r="V672" s="787"/>
      <c r="W672" s="785">
        <f>IFERROR(VLOOKUP($Q672,'391'!$S:$AG,15,0),0)</f>
        <v>0</v>
      </c>
      <c r="X672" s="1090">
        <f t="shared" ref="X672:X673" si="428">G672-W672</f>
        <v>17000</v>
      </c>
      <c r="Y672" s="785"/>
      <c r="Z672" s="785"/>
      <c r="AA672" s="787"/>
      <c r="AB672" s="787"/>
      <c r="AC672" s="679"/>
      <c r="AD672" s="679"/>
      <c r="AE672" s="679"/>
      <c r="AF672" s="679"/>
      <c r="AG672" s="679"/>
      <c r="AH672" s="679"/>
      <c r="AI672" s="682"/>
      <c r="AJ672" s="682"/>
      <c r="AK672" s="682"/>
      <c r="AL672" s="682"/>
      <c r="AM672" s="682"/>
      <c r="AN672" s="682"/>
      <c r="AO672" s="682"/>
      <c r="AP672" s="682"/>
      <c r="AQ672" s="682"/>
      <c r="AR672" s="682"/>
      <c r="AS672" s="682"/>
    </row>
    <row r="673" spans="1:45" s="6" customFormat="1" ht="30" hidden="1" customHeight="1" x14ac:dyDescent="0.25">
      <c r="A673" s="2070"/>
      <c r="B673" s="2072"/>
      <c r="C673" s="122"/>
      <c r="D673" s="887" t="s">
        <v>10</v>
      </c>
      <c r="E673" s="888">
        <v>46282</v>
      </c>
      <c r="F673" s="70">
        <f t="shared" ref="F673" si="429">$L$7-E673</f>
        <v>4</v>
      </c>
      <c r="G673" s="12">
        <v>0</v>
      </c>
      <c r="H673" s="12"/>
      <c r="I673" s="12"/>
      <c r="J673" s="1368"/>
      <c r="K673" s="1379">
        <f>IFERROR(SUMIF(INTAKE!$A:$A,$T673,INTAKE!$P:$P),0)</f>
        <v>0</v>
      </c>
      <c r="L673" s="1702">
        <f t="shared" si="427"/>
        <v>0</v>
      </c>
      <c r="M673" s="23"/>
      <c r="N673" s="23"/>
      <c r="O673" s="23"/>
      <c r="P673" s="736"/>
      <c r="Q673" s="795"/>
      <c r="R673" s="785"/>
      <c r="S673" s="786"/>
      <c r="T673" s="787" t="str">
        <f t="shared" si="424"/>
        <v>L-Threonine (China)46282</v>
      </c>
      <c r="U673" s="787"/>
      <c r="V673" s="787"/>
      <c r="W673" s="785">
        <f>IFERROR(VLOOKUP($Q673,'391'!$S:$AG,15,0),0)</f>
        <v>0</v>
      </c>
      <c r="X673" s="1090">
        <f t="shared" si="428"/>
        <v>0</v>
      </c>
      <c r="Y673" s="785"/>
      <c r="Z673" s="785"/>
      <c r="AA673" s="787"/>
      <c r="AB673" s="787"/>
      <c r="AC673" s="679"/>
      <c r="AD673" s="679"/>
      <c r="AE673" s="679"/>
      <c r="AF673" s="679"/>
      <c r="AG673" s="679"/>
      <c r="AH673" s="679"/>
      <c r="AI673" s="682"/>
      <c r="AJ673" s="682"/>
      <c r="AK673" s="682"/>
      <c r="AL673" s="682"/>
      <c r="AM673" s="682"/>
      <c r="AN673" s="682"/>
      <c r="AO673" s="682"/>
      <c r="AP673" s="682"/>
      <c r="AQ673" s="682"/>
      <c r="AR673" s="682"/>
      <c r="AS673" s="682"/>
    </row>
    <row r="674" spans="1:45" s="6" customFormat="1" ht="30" hidden="1" customHeight="1" x14ac:dyDescent="0.25">
      <c r="A674" s="2070"/>
      <c r="B674" s="2072"/>
      <c r="C674" s="122"/>
      <c r="D674" s="887" t="s">
        <v>10</v>
      </c>
      <c r="E674" s="888">
        <v>46258</v>
      </c>
      <c r="F674" s="70">
        <f t="shared" si="421"/>
        <v>28</v>
      </c>
      <c r="G674" s="12">
        <v>0</v>
      </c>
      <c r="H674" s="12"/>
      <c r="I674" s="12"/>
      <c r="J674" s="1368"/>
      <c r="K674" s="1379">
        <f>IFERROR(SUMIF(INTAKE!$A:$A,$T674,INTAKE!$P:$P),0)</f>
        <v>0</v>
      </c>
      <c r="L674" s="1702">
        <f t="shared" ref="L674:L675" si="430">+G674+H674+I674-J674-K674</f>
        <v>0</v>
      </c>
      <c r="M674" s="23"/>
      <c r="N674" s="23"/>
      <c r="O674" s="23"/>
      <c r="P674" s="736"/>
      <c r="Q674" s="795"/>
      <c r="R674" s="785"/>
      <c r="S674" s="786"/>
      <c r="T674" s="787" t="str">
        <f t="shared" si="424"/>
        <v>L-Threonine (China)46258</v>
      </c>
      <c r="U674" s="787"/>
      <c r="V674" s="787"/>
      <c r="W674" s="785">
        <f>IFERROR(VLOOKUP($Q674,'391'!$S:$AG,15,0),0)</f>
        <v>0</v>
      </c>
      <c r="X674" s="1090">
        <f t="shared" ref="X674:X675" si="431">G674-W674</f>
        <v>0</v>
      </c>
      <c r="Y674" s="785"/>
      <c r="Z674" s="785"/>
      <c r="AA674" s="787"/>
      <c r="AB674" s="787"/>
      <c r="AC674" s="679"/>
      <c r="AD674" s="679"/>
      <c r="AE674" s="679"/>
      <c r="AF674" s="679"/>
      <c r="AG674" s="679"/>
      <c r="AH674" s="679"/>
      <c r="AI674" s="682"/>
      <c r="AJ674" s="682"/>
      <c r="AK674" s="682"/>
      <c r="AL674" s="682"/>
      <c r="AM674" s="682"/>
      <c r="AN674" s="682"/>
      <c r="AO674" s="682"/>
      <c r="AP674" s="682"/>
      <c r="AQ674" s="682"/>
      <c r="AR674" s="682"/>
      <c r="AS674" s="682"/>
    </row>
    <row r="675" spans="1:45" s="6" customFormat="1" ht="30" hidden="1" customHeight="1" x14ac:dyDescent="0.25">
      <c r="A675" s="2070"/>
      <c r="B675" s="2072"/>
      <c r="C675" s="122"/>
      <c r="D675" s="887" t="s">
        <v>10</v>
      </c>
      <c r="E675" s="888">
        <v>45597</v>
      </c>
      <c r="F675" s="70">
        <f t="shared" ref="F675" si="432">$L$7-E675</f>
        <v>689</v>
      </c>
      <c r="G675" s="12">
        <v>0</v>
      </c>
      <c r="H675" s="12"/>
      <c r="I675" s="12"/>
      <c r="J675" s="1368"/>
      <c r="K675" s="1379">
        <f>IFERROR(SUMIF(INTAKE!$A:$A,$T675,INTAKE!$P:$P),0)</f>
        <v>0</v>
      </c>
      <c r="L675" s="1702">
        <f t="shared" si="430"/>
        <v>0</v>
      </c>
      <c r="M675" s="23"/>
      <c r="N675" s="23"/>
      <c r="O675" s="23"/>
      <c r="P675" s="736"/>
      <c r="Q675" s="795"/>
      <c r="R675" s="785"/>
      <c r="S675" s="786"/>
      <c r="T675" s="787" t="str">
        <f t="shared" si="424"/>
        <v>L-Threonine (China)45597</v>
      </c>
      <c r="U675" s="787"/>
      <c r="V675" s="787"/>
      <c r="W675" s="785">
        <f>IFERROR(VLOOKUP($Q675,'391'!$S:$AG,15,0),0)</f>
        <v>0</v>
      </c>
      <c r="X675" s="1090">
        <f t="shared" si="431"/>
        <v>0</v>
      </c>
      <c r="Y675" s="785"/>
      <c r="Z675" s="785"/>
      <c r="AA675" s="787"/>
      <c r="AB675" s="787"/>
      <c r="AC675" s="679"/>
      <c r="AD675" s="679"/>
      <c r="AE675" s="679"/>
      <c r="AF675" s="679"/>
      <c r="AG675" s="679"/>
      <c r="AH675" s="679"/>
      <c r="AI675" s="682"/>
      <c r="AJ675" s="682"/>
      <c r="AK675" s="682"/>
      <c r="AL675" s="682"/>
      <c r="AM675" s="682"/>
      <c r="AN675" s="682"/>
      <c r="AO675" s="682"/>
      <c r="AP675" s="682"/>
      <c r="AQ675" s="682"/>
      <c r="AR675" s="682"/>
      <c r="AS675" s="682"/>
    </row>
    <row r="676" spans="1:45" s="6" customFormat="1" ht="30" hidden="1" customHeight="1" x14ac:dyDescent="0.25">
      <c r="A676" s="2070"/>
      <c r="B676" s="2122"/>
      <c r="C676" s="122"/>
      <c r="D676" s="887" t="s">
        <v>10</v>
      </c>
      <c r="E676" s="888">
        <v>45577</v>
      </c>
      <c r="F676" s="70">
        <f t="shared" si="421"/>
        <v>709</v>
      </c>
      <c r="G676" s="12">
        <v>0</v>
      </c>
      <c r="H676" s="12"/>
      <c r="I676" s="12"/>
      <c r="J676" s="1368"/>
      <c r="K676" s="1379">
        <f>IFERROR(SUMIF(INTAKE!$A:$A,$T676,INTAKE!$P:$P),0)</f>
        <v>0</v>
      </c>
      <c r="L676" s="1702">
        <f t="shared" si="422"/>
        <v>0</v>
      </c>
      <c r="M676" s="23"/>
      <c r="N676" s="23"/>
      <c r="O676" s="23"/>
      <c r="P676" s="736"/>
      <c r="Q676" s="795"/>
      <c r="R676" s="785"/>
      <c r="S676" s="786"/>
      <c r="T676" s="787" t="str">
        <f t="shared" si="424"/>
        <v>L-Threonine (China)45577</v>
      </c>
      <c r="U676" s="787"/>
      <c r="V676" s="787"/>
      <c r="W676" s="785">
        <f>IFERROR(VLOOKUP($Q676,'391'!$S:$AG,15,0),0)</f>
        <v>0</v>
      </c>
      <c r="X676" s="1090">
        <f t="shared" si="423"/>
        <v>0</v>
      </c>
      <c r="Y676" s="785"/>
      <c r="Z676" s="785"/>
      <c r="AA676" s="787"/>
      <c r="AB676" s="787"/>
      <c r="AC676" s="679"/>
      <c r="AD676" s="679"/>
      <c r="AE676" s="679"/>
      <c r="AF676" s="679"/>
      <c r="AG676" s="679"/>
      <c r="AH676" s="679"/>
      <c r="AI676" s="682"/>
      <c r="AJ676" s="682"/>
      <c r="AK676" s="682"/>
      <c r="AL676" s="682"/>
      <c r="AM676" s="682"/>
      <c r="AN676" s="682"/>
      <c r="AO676" s="682"/>
      <c r="AP676" s="682"/>
      <c r="AQ676" s="682"/>
      <c r="AR676" s="682"/>
      <c r="AS676" s="682"/>
    </row>
    <row r="677" spans="1:45" ht="30" customHeight="1" x14ac:dyDescent="0.25">
      <c r="A677" s="2074"/>
      <c r="B677" s="2068"/>
      <c r="C677" s="119" t="s">
        <v>46</v>
      </c>
      <c r="D677" s="850" t="s">
        <v>10</v>
      </c>
      <c r="E677" s="851">
        <v>46258</v>
      </c>
      <c r="F677" s="70">
        <f t="shared" si="421"/>
        <v>28</v>
      </c>
      <c r="G677" s="56">
        <v>2549.67</v>
      </c>
      <c r="H677" s="56"/>
      <c r="I677" s="56">
        <f>+SUM(K667:K675)</f>
        <v>0</v>
      </c>
      <c r="J677" s="1369">
        <f>+usage!I81</f>
        <v>1572.3600000000001</v>
      </c>
      <c r="K677" s="12">
        <f>IFERROR(SUMIF(INTAKE!$A:$A,$T677,INTAKE!$P:$P),0)</f>
        <v>0</v>
      </c>
      <c r="L677" s="1533">
        <f t="shared" si="422"/>
        <v>977.31</v>
      </c>
      <c r="M677" s="45"/>
      <c r="N677" s="45"/>
      <c r="O677" s="45"/>
      <c r="P677" s="736"/>
      <c r="Q677" s="795"/>
      <c r="R677" s="785">
        <f>IFERROR(VLOOKUP($Q677,'391'!$S:$Z,8,0),"")</f>
        <v>0</v>
      </c>
      <c r="T677" s="787" t="str">
        <f t="shared" si="424"/>
        <v>L-Threonine (China)Feedmill46258</v>
      </c>
      <c r="U677" s="787"/>
      <c r="V677" s="787"/>
      <c r="W677" s="785">
        <f>IFERROR(VLOOKUP($Q677,'391'!$S:$AG,15,0),0)</f>
        <v>0</v>
      </c>
      <c r="X677" s="1090">
        <f t="shared" si="423"/>
        <v>2549.67</v>
      </c>
      <c r="Y677" s="785"/>
      <c r="Z677" s="785"/>
      <c r="AA677" s="787"/>
      <c r="AB677" s="787"/>
      <c r="AC677" s="679"/>
    </row>
    <row r="678" spans="1:45" s="265" customFormat="1" ht="30" customHeight="1" x14ac:dyDescent="0.25">
      <c r="A678" s="2019" t="s">
        <v>15</v>
      </c>
      <c r="B678" s="2020"/>
      <c r="C678" s="88"/>
      <c r="D678" s="864"/>
      <c r="E678" s="864"/>
      <c r="F678" s="865"/>
      <c r="G678" s="1297">
        <v>51549.67</v>
      </c>
      <c r="H678" s="1297">
        <f t="shared" ref="H678:L678" si="433">SUM(H665:H677)</f>
        <v>0</v>
      </c>
      <c r="I678" s="1297">
        <f>SUM(I665:I677)</f>
        <v>0</v>
      </c>
      <c r="J678" s="1297">
        <f t="shared" si="433"/>
        <v>1572.3600000000001</v>
      </c>
      <c r="K678" s="1297">
        <f t="shared" si="433"/>
        <v>0</v>
      </c>
      <c r="L678" s="1297">
        <f t="shared" si="433"/>
        <v>49977.31</v>
      </c>
      <c r="M678" s="59">
        <f>IFERROR((R678/$S$2),"")</f>
        <v>1913.6616666666666</v>
      </c>
      <c r="N678" s="854">
        <f>(L678/M678)</f>
        <v>26.116063706837764</v>
      </c>
      <c r="O678" s="59">
        <f>IFERROR(SUMIF(ETM!$A:$A,$Q678,ETM!$E:$E),"")</f>
        <v>2095.833333333333</v>
      </c>
      <c r="P678" s="880">
        <f>IFERROR(L678/O678,0)</f>
        <v>23.846032604373761</v>
      </c>
      <c r="Q678" s="814" t="s">
        <v>359</v>
      </c>
      <c r="R678" s="785">
        <f>IFERROR(VLOOKUP($Q678,'391'!$S:$Z,8,0),"")</f>
        <v>11481.97</v>
      </c>
      <c r="S678" s="796"/>
      <c r="T678" s="797"/>
      <c r="U678" s="797"/>
      <c r="V678" s="797"/>
      <c r="W678" s="785">
        <f>IFERROR(VLOOKUP($Q678,'391'!$S:$AG,15,0),0)</f>
        <v>51549.67</v>
      </c>
      <c r="X678" s="1090">
        <f t="shared" si="423"/>
        <v>0</v>
      </c>
      <c r="Y678" s="785"/>
      <c r="Z678" s="785"/>
      <c r="AA678" s="797"/>
      <c r="AB678" s="797"/>
      <c r="AC678" s="551"/>
      <c r="AD678" s="551"/>
      <c r="AE678" s="551"/>
      <c r="AF678" s="551"/>
      <c r="AG678" s="551"/>
      <c r="AH678" s="551"/>
      <c r="AI678" s="704"/>
      <c r="AJ678" s="704"/>
      <c r="AK678" s="704"/>
      <c r="AL678" s="704"/>
      <c r="AM678" s="704"/>
      <c r="AN678" s="704"/>
      <c r="AO678" s="704"/>
      <c r="AP678" s="704"/>
      <c r="AQ678" s="704"/>
      <c r="AR678" s="704"/>
      <c r="AS678" s="704"/>
    </row>
    <row r="679" spans="1:45" s="265" customFormat="1" ht="30" customHeight="1" x14ac:dyDescent="0.25">
      <c r="A679" s="2073">
        <f>IF(L685=0,"",MAX($A$16:A678)+1)</f>
        <v>40</v>
      </c>
      <c r="B679" s="2066" t="s">
        <v>1912</v>
      </c>
      <c r="C679" s="120" t="s">
        <v>579</v>
      </c>
      <c r="D679" s="887" t="s">
        <v>10</v>
      </c>
      <c r="E679" s="888">
        <v>46270</v>
      </c>
      <c r="F679" s="70">
        <f t="shared" ref="F679:F681" si="434">$L$7-E679</f>
        <v>16</v>
      </c>
      <c r="G679" s="12">
        <v>2000</v>
      </c>
      <c r="H679" s="12"/>
      <c r="I679" s="63"/>
      <c r="J679" s="1378"/>
      <c r="K679" s="63">
        <f>IFERROR(SUMIF(INTAKE!$A:$A,$T679,INTAKE!$P:$P),0)</f>
        <v>0</v>
      </c>
      <c r="L679" s="1702">
        <f t="shared" ref="L679:L684" si="435">+G679+H679+I679-J679-K679</f>
        <v>2000</v>
      </c>
      <c r="M679" s="147"/>
      <c r="N679" s="248"/>
      <c r="O679" s="147"/>
      <c r="P679" s="734"/>
      <c r="Q679" s="795"/>
      <c r="R679" s="785">
        <f>IFERROR(VLOOKUP($Q679,'391'!$S:$Z,8,0),"")</f>
        <v>0</v>
      </c>
      <c r="S679" s="796"/>
      <c r="T679" s="797" t="str">
        <f t="shared" ref="T679:T684" si="436">$Q$685&amp;C679&amp;E679</f>
        <v>L-TryptophanV8.146270</v>
      </c>
      <c r="U679" s="797"/>
      <c r="V679" s="797"/>
      <c r="W679" s="785">
        <f>IFERROR(VLOOKUP($Q679,'391'!$S:$AG,15,0),0)</f>
        <v>0</v>
      </c>
      <c r="X679" s="1090">
        <f t="shared" si="423"/>
        <v>2000</v>
      </c>
      <c r="Y679" s="785"/>
      <c r="Z679" s="785"/>
      <c r="AA679" s="797"/>
      <c r="AB679" s="797"/>
      <c r="AC679" s="551"/>
      <c r="AD679" s="551"/>
      <c r="AE679" s="551"/>
      <c r="AF679" s="551"/>
      <c r="AG679" s="551"/>
      <c r="AH679" s="551"/>
      <c r="AI679" s="704"/>
      <c r="AJ679" s="704"/>
      <c r="AK679" s="704"/>
      <c r="AL679" s="704"/>
      <c r="AM679" s="704"/>
      <c r="AN679" s="704"/>
      <c r="AO679" s="704"/>
      <c r="AP679" s="704"/>
      <c r="AQ679" s="704"/>
      <c r="AR679" s="704"/>
      <c r="AS679" s="704"/>
    </row>
    <row r="680" spans="1:45" s="265" customFormat="1" ht="30" customHeight="1" x14ac:dyDescent="0.25">
      <c r="A680" s="2070"/>
      <c r="B680" s="2067"/>
      <c r="C680" s="120" t="s">
        <v>268</v>
      </c>
      <c r="D680" s="887" t="s">
        <v>10</v>
      </c>
      <c r="E680" s="888">
        <v>46275</v>
      </c>
      <c r="F680" s="70">
        <f t="shared" ref="F680:F681" si="437">$L$7-E680</f>
        <v>11</v>
      </c>
      <c r="G680" s="12">
        <v>2000</v>
      </c>
      <c r="H680" s="12"/>
      <c r="I680" s="63"/>
      <c r="J680" s="1378"/>
      <c r="K680" s="63">
        <f>IFERROR(SUMIF(INTAKE!$A:$A,$T680,INTAKE!$P:$P),0)</f>
        <v>0</v>
      </c>
      <c r="L680" s="1702">
        <f t="shared" si="435"/>
        <v>2000</v>
      </c>
      <c r="M680" s="147"/>
      <c r="N680" s="248"/>
      <c r="O680" s="147"/>
      <c r="P680" s="734"/>
      <c r="Q680" s="795"/>
      <c r="R680" s="785">
        <f>IFERROR(VLOOKUP($Q680,'391'!$S:$Z,8,0),"")</f>
        <v>0</v>
      </c>
      <c r="S680" s="796"/>
      <c r="T680" s="797" t="str">
        <f t="shared" si="436"/>
        <v>L-TryptophanV3.146275</v>
      </c>
      <c r="U680" s="797"/>
      <c r="V680" s="797"/>
      <c r="W680" s="785">
        <f>IFERROR(VLOOKUP($Q680,'391'!$S:$AG,15,0),0)</f>
        <v>0</v>
      </c>
      <c r="X680" s="1090">
        <f t="shared" si="423"/>
        <v>2000</v>
      </c>
      <c r="Y680" s="785"/>
      <c r="Z680" s="785"/>
      <c r="AA680" s="797"/>
      <c r="AB680" s="797"/>
      <c r="AC680" s="551"/>
      <c r="AD680" s="551"/>
      <c r="AE680" s="551"/>
      <c r="AF680" s="551"/>
      <c r="AG680" s="551"/>
      <c r="AH680" s="551"/>
      <c r="AI680" s="704"/>
      <c r="AJ680" s="704"/>
      <c r="AK680" s="704"/>
      <c r="AL680" s="704"/>
      <c r="AM680" s="704"/>
      <c r="AN680" s="704"/>
      <c r="AO680" s="704"/>
      <c r="AP680" s="704"/>
      <c r="AQ680" s="704"/>
      <c r="AR680" s="704"/>
      <c r="AS680" s="704"/>
    </row>
    <row r="681" spans="1:45" s="265" customFormat="1" ht="30" customHeight="1" x14ac:dyDescent="0.25">
      <c r="A681" s="2070"/>
      <c r="B681" s="2067"/>
      <c r="C681" s="120" t="s">
        <v>246</v>
      </c>
      <c r="D681" s="887" t="s">
        <v>10</v>
      </c>
      <c r="E681" s="888">
        <v>46283</v>
      </c>
      <c r="F681" s="70">
        <f t="shared" si="437"/>
        <v>3</v>
      </c>
      <c r="G681" s="12">
        <v>2000</v>
      </c>
      <c r="H681" s="12"/>
      <c r="I681" s="63"/>
      <c r="J681" s="1378"/>
      <c r="K681" s="63">
        <f>IFERROR(SUMIF(INTAKE!$A:$A,$T681,INTAKE!$P:$P),0)</f>
        <v>0</v>
      </c>
      <c r="L681" s="1702">
        <f t="shared" si="435"/>
        <v>2000</v>
      </c>
      <c r="M681" s="147"/>
      <c r="N681" s="248"/>
      <c r="O681" s="147"/>
      <c r="P681" s="734"/>
      <c r="Q681" s="666" t="s">
        <v>1417</v>
      </c>
      <c r="R681" s="785" t="str">
        <f>IFERROR(VLOOKUP($Q681,'391'!$S:$Z,8,0),"0")</f>
        <v>0</v>
      </c>
      <c r="S681" s="796"/>
      <c r="T681" s="797" t="str">
        <f t="shared" si="436"/>
        <v>L-TryptophanV3.246283</v>
      </c>
      <c r="U681" s="797"/>
      <c r="V681" s="797"/>
      <c r="W681" s="785">
        <f>IFERROR(VLOOKUP($Q681,'391'!$S:$AG,15,0),0)</f>
        <v>0</v>
      </c>
      <c r="X681" s="1090">
        <f t="shared" si="423"/>
        <v>2000</v>
      </c>
      <c r="Y681" s="785"/>
      <c r="Z681" s="785"/>
      <c r="AA681" s="797"/>
      <c r="AB681" s="797"/>
      <c r="AC681" s="551"/>
      <c r="AD681" s="551"/>
      <c r="AE681" s="551"/>
      <c r="AF681" s="551"/>
      <c r="AG681" s="551"/>
      <c r="AH681" s="551"/>
      <c r="AI681" s="704"/>
      <c r="AJ681" s="704"/>
      <c r="AK681" s="704"/>
      <c r="AL681" s="704"/>
      <c r="AM681" s="704"/>
      <c r="AN681" s="704"/>
      <c r="AO681" s="704"/>
      <c r="AP681" s="704"/>
      <c r="AQ681" s="704"/>
      <c r="AR681" s="704"/>
      <c r="AS681" s="704"/>
    </row>
    <row r="682" spans="1:45" s="265" customFormat="1" ht="30" hidden="1" customHeight="1" x14ac:dyDescent="0.25">
      <c r="A682" s="2070"/>
      <c r="B682" s="2072"/>
      <c r="C682" s="120"/>
      <c r="D682" s="887" t="s">
        <v>10</v>
      </c>
      <c r="E682" s="888">
        <v>46283</v>
      </c>
      <c r="F682" s="70">
        <f t="shared" ref="F682" si="438">$L$7-E682</f>
        <v>3</v>
      </c>
      <c r="G682" s="12"/>
      <c r="H682" s="12"/>
      <c r="I682" s="63"/>
      <c r="J682" s="1378"/>
      <c r="K682" s="63">
        <f>IFERROR(SUMIF(INTAKE!$A:$A,$T682,INTAKE!$P:$P),0)</f>
        <v>0</v>
      </c>
      <c r="L682" s="1702">
        <f t="shared" ref="L682" si="439">+G682+H682+I682-J682-K682</f>
        <v>0</v>
      </c>
      <c r="M682" s="147"/>
      <c r="N682" s="248"/>
      <c r="O682" s="147"/>
      <c r="P682" s="734"/>
      <c r="Q682" s="795"/>
      <c r="R682" s="785">
        <f>IFERROR(VLOOKUP($Q682,'391'!$S:$Z,8,0),"")</f>
        <v>0</v>
      </c>
      <c r="S682" s="796"/>
      <c r="T682" s="797" t="str">
        <f t="shared" si="436"/>
        <v>L-Tryptophan46283</v>
      </c>
      <c r="U682" s="797"/>
      <c r="V682" s="797"/>
      <c r="W682" s="785">
        <f>IFERROR(VLOOKUP($Q682,'391'!$S:$AG,15,0),0)</f>
        <v>0</v>
      </c>
      <c r="X682" s="1090">
        <f t="shared" ref="X682" si="440">G682-W682</f>
        <v>0</v>
      </c>
      <c r="Y682" s="785"/>
      <c r="Z682" s="785"/>
      <c r="AA682" s="797"/>
      <c r="AB682" s="797"/>
      <c r="AC682" s="551"/>
      <c r="AD682" s="551"/>
      <c r="AE682" s="551"/>
      <c r="AF682" s="551"/>
      <c r="AG682" s="551"/>
      <c r="AH682" s="551"/>
      <c r="AI682" s="704"/>
      <c r="AJ682" s="704"/>
      <c r="AK682" s="704"/>
      <c r="AL682" s="704"/>
      <c r="AM682" s="704"/>
      <c r="AN682" s="704"/>
      <c r="AO682" s="704"/>
      <c r="AP682" s="704"/>
      <c r="AQ682" s="704"/>
      <c r="AR682" s="704"/>
      <c r="AS682" s="704"/>
    </row>
    <row r="683" spans="1:45" s="265" customFormat="1" ht="30" hidden="1" customHeight="1" x14ac:dyDescent="0.25">
      <c r="A683" s="2070"/>
      <c r="B683" s="2067"/>
      <c r="C683" s="120"/>
      <c r="D683" s="887" t="s">
        <v>10</v>
      </c>
      <c r="E683" s="888">
        <v>46275</v>
      </c>
      <c r="F683" s="70">
        <f t="shared" ref="F683" si="441">$L$7-E683</f>
        <v>11</v>
      </c>
      <c r="G683" s="12">
        <v>0</v>
      </c>
      <c r="H683" s="12"/>
      <c r="I683" s="63"/>
      <c r="J683" s="1378"/>
      <c r="K683" s="63">
        <f>IFERROR(SUMIF(INTAKE!$A:$A,$T683,INTAKE!$P:$P),0)</f>
        <v>0</v>
      </c>
      <c r="L683" s="1702">
        <f t="shared" si="435"/>
        <v>0</v>
      </c>
      <c r="M683" s="147"/>
      <c r="N683" s="248"/>
      <c r="O683" s="147"/>
      <c r="P683" s="734"/>
      <c r="Q683" s="795"/>
      <c r="R683" s="785">
        <f>IFERROR(VLOOKUP($Q683,'391'!$S:$Z,8,0),"")</f>
        <v>0</v>
      </c>
      <c r="S683" s="796"/>
      <c r="T683" s="797" t="str">
        <f t="shared" si="436"/>
        <v>L-Tryptophan46275</v>
      </c>
      <c r="U683" s="797"/>
      <c r="V683" s="797"/>
      <c r="W683" s="785">
        <f>IFERROR(VLOOKUP($Q683,'391'!$S:$AG,15,0),0)</f>
        <v>0</v>
      </c>
      <c r="X683" s="1090">
        <f t="shared" si="423"/>
        <v>0</v>
      </c>
      <c r="Y683" s="785"/>
      <c r="Z683" s="785"/>
      <c r="AA683" s="797"/>
      <c r="AB683" s="797"/>
      <c r="AC683" s="551"/>
      <c r="AD683" s="551"/>
      <c r="AE683" s="551"/>
      <c r="AF683" s="551"/>
      <c r="AG683" s="551"/>
      <c r="AH683" s="551"/>
      <c r="AI683" s="704"/>
      <c r="AJ683" s="704"/>
      <c r="AK683" s="704"/>
      <c r="AL683" s="704"/>
      <c r="AM683" s="704"/>
      <c r="AN683" s="704"/>
      <c r="AO683" s="704"/>
      <c r="AP683" s="704"/>
      <c r="AQ683" s="704"/>
      <c r="AR683" s="704"/>
      <c r="AS683" s="704"/>
    </row>
    <row r="684" spans="1:45" s="265" customFormat="1" ht="30" customHeight="1" x14ac:dyDescent="0.25">
      <c r="A684" s="2074"/>
      <c r="B684" s="2068"/>
      <c r="C684" s="119" t="s">
        <v>46</v>
      </c>
      <c r="D684" s="850" t="s">
        <v>10</v>
      </c>
      <c r="E684" s="851">
        <v>46270</v>
      </c>
      <c r="F684" s="911">
        <f t="shared" ref="F684" si="442">$L$7-E684</f>
        <v>16</v>
      </c>
      <c r="G684" s="958">
        <v>825.33000000000141</v>
      </c>
      <c r="H684" s="56"/>
      <c r="I684" s="56">
        <f>+SUM(K679:K681)</f>
        <v>0</v>
      </c>
      <c r="J684" s="1369">
        <f>+usage!I80</f>
        <v>334.17</v>
      </c>
      <c r="K684" s="63">
        <f>IFERROR(SUMIF(INTAKE!$A:$A,$T684,INTAKE!$P:$P),0)</f>
        <v>0</v>
      </c>
      <c r="L684" s="1533">
        <f t="shared" si="435"/>
        <v>491.16000000000139</v>
      </c>
      <c r="M684" s="101"/>
      <c r="N684" s="249"/>
      <c r="O684" s="101"/>
      <c r="P684" s="738"/>
      <c r="Q684" s="795"/>
      <c r="R684" s="785">
        <f>IFERROR(VLOOKUP($Q684,'391'!$S:$Z,8,0),"")</f>
        <v>0</v>
      </c>
      <c r="S684" s="796"/>
      <c r="T684" s="797" t="str">
        <f t="shared" si="436"/>
        <v>L-TryptophanFeedmill46270</v>
      </c>
      <c r="U684" s="797"/>
      <c r="V684" s="797"/>
      <c r="W684" s="785">
        <f>IFERROR(VLOOKUP($Q684,'391'!$S:$AG,15,0),0)</f>
        <v>0</v>
      </c>
      <c r="X684" s="1090">
        <f t="shared" si="423"/>
        <v>825.33000000000141</v>
      </c>
      <c r="Y684" s="785"/>
      <c r="Z684" s="785"/>
      <c r="AA684" s="797"/>
      <c r="AB684" s="797"/>
      <c r="AC684" s="551"/>
      <c r="AD684" s="551"/>
      <c r="AE684" s="551"/>
      <c r="AF684" s="551"/>
      <c r="AG684" s="551"/>
      <c r="AH684" s="551"/>
      <c r="AI684" s="704"/>
      <c r="AJ684" s="704"/>
      <c r="AK684" s="704"/>
      <c r="AL684" s="704"/>
      <c r="AM684" s="704"/>
      <c r="AN684" s="704"/>
      <c r="AO684" s="704"/>
      <c r="AP684" s="704"/>
      <c r="AQ684" s="704"/>
      <c r="AR684" s="704"/>
      <c r="AS684" s="704"/>
    </row>
    <row r="685" spans="1:45" s="265" customFormat="1" ht="30" customHeight="1" x14ac:dyDescent="0.25">
      <c r="A685" s="2019" t="s">
        <v>365</v>
      </c>
      <c r="B685" s="2020"/>
      <c r="C685" s="88"/>
      <c r="D685" s="864"/>
      <c r="E685" s="864"/>
      <c r="F685" s="865"/>
      <c r="G685" s="1297">
        <v>6825.3300000000017</v>
      </c>
      <c r="H685" s="1297">
        <f t="shared" ref="H685:L685" si="443">+SUM(H679:H684)</f>
        <v>0</v>
      </c>
      <c r="I685" s="1297">
        <f t="shared" si="443"/>
        <v>0</v>
      </c>
      <c r="J685" s="1297">
        <f t="shared" si="443"/>
        <v>334.17</v>
      </c>
      <c r="K685" s="1297">
        <f t="shared" si="443"/>
        <v>0</v>
      </c>
      <c r="L685" s="1297">
        <f t="shared" si="443"/>
        <v>6491.1600000000017</v>
      </c>
      <c r="M685" s="59">
        <f>IFERROR((S685/$S$2),"")</f>
        <v>456.40833333333336</v>
      </c>
      <c r="N685" s="366">
        <f>(L685/M685)</f>
        <v>14.222264419653456</v>
      </c>
      <c r="O685" s="59">
        <f>IFERROR(SUMIF(ETM!$A:$A,$Q685,ETM!$E:$E),"")</f>
        <v>522.33333333333337</v>
      </c>
      <c r="P685" s="880">
        <f>IFERROR(L685/O685,0)</f>
        <v>12.427236758136569</v>
      </c>
      <c r="Q685" s="814" t="s">
        <v>655</v>
      </c>
      <c r="R685" s="785">
        <f>IFERROR(VLOOKUP($Q685,'391'!$S:$Z,8,0),"")</f>
        <v>2738.4500000000003</v>
      </c>
      <c r="S685" s="796">
        <f>+R685+R681</f>
        <v>2738.4500000000003</v>
      </c>
      <c r="T685" s="797"/>
      <c r="U685" s="797"/>
      <c r="V685" s="797"/>
      <c r="W685" s="785">
        <f>IFERROR(VLOOKUP($Q685,'391'!$S:$AG,15,0),0)</f>
        <v>6825.33</v>
      </c>
      <c r="X685" s="1090">
        <f>G685-W685-W681</f>
        <v>1.8189894035458565E-12</v>
      </c>
      <c r="Y685" s="785"/>
      <c r="Z685" s="785"/>
      <c r="AA685" s="797"/>
      <c r="AB685" s="797"/>
      <c r="AC685" s="551"/>
      <c r="AD685" s="551"/>
      <c r="AE685" s="551"/>
      <c r="AF685" s="551"/>
      <c r="AG685" s="551"/>
      <c r="AH685" s="551"/>
      <c r="AI685" s="704"/>
      <c r="AJ685" s="704"/>
      <c r="AK685" s="704"/>
      <c r="AL685" s="704"/>
      <c r="AM685" s="704"/>
      <c r="AN685" s="704"/>
      <c r="AO685" s="704"/>
      <c r="AP685" s="704"/>
      <c r="AQ685" s="704"/>
      <c r="AR685" s="704"/>
      <c r="AS685" s="704"/>
    </row>
    <row r="686" spans="1:45" s="13" customFormat="1" ht="30" hidden="1" customHeight="1" x14ac:dyDescent="0.25">
      <c r="A686" s="2063">
        <f>IF(L696=0,"",MAX($A$16:A685)+1)</f>
        <v>41</v>
      </c>
      <c r="B686" s="2043" t="s">
        <v>656</v>
      </c>
      <c r="C686" s="114"/>
      <c r="D686" s="959" t="s">
        <v>10</v>
      </c>
      <c r="E686" s="933">
        <v>45992</v>
      </c>
      <c r="F686" s="42">
        <f t="shared" ref="F686" si="444">$L$7-E686</f>
        <v>294</v>
      </c>
      <c r="G686" s="12">
        <v>0</v>
      </c>
      <c r="H686" s="12"/>
      <c r="I686" s="12"/>
      <c r="J686" s="1368"/>
      <c r="K686" s="12">
        <f>IFERROR(SUMIF(INTAKE!$A:$A,$T686,INTAKE!$P:$P),0)</f>
        <v>0</v>
      </c>
      <c r="L686" s="1702">
        <f>+G686+H686+I686-J686-K686</f>
        <v>0</v>
      </c>
      <c r="M686" s="48"/>
      <c r="N686" s="163"/>
      <c r="O686" s="48"/>
      <c r="P686" s="738"/>
      <c r="Q686" s="795"/>
      <c r="R686" s="785">
        <f>IFERROR(VLOOKUP($Q686,'391'!$S:$Z,8,0),"")</f>
        <v>0</v>
      </c>
      <c r="S686" s="796"/>
      <c r="T686" s="797" t="str">
        <f t="shared" ref="T686:T695" si="445">$Q$696&amp;C686&amp;E686</f>
        <v>Carob Powder45992</v>
      </c>
      <c r="U686" s="797"/>
      <c r="V686" s="797"/>
      <c r="W686" s="785">
        <f>IFERROR(VLOOKUP($Q686,'391'!$S:$AG,15,0),0)</f>
        <v>0</v>
      </c>
      <c r="X686" s="1090">
        <f>G686-W686</f>
        <v>0</v>
      </c>
      <c r="Y686" s="785"/>
      <c r="Z686" s="785"/>
      <c r="AA686" s="797"/>
      <c r="AB686" s="797"/>
      <c r="AC686" s="683"/>
      <c r="AD686" s="683"/>
      <c r="AE686" s="683"/>
      <c r="AF686" s="683"/>
      <c r="AG686" s="683"/>
      <c r="AH686" s="683"/>
      <c r="AI686" s="705"/>
      <c r="AJ686" s="705"/>
      <c r="AK686" s="705"/>
      <c r="AL686" s="705"/>
      <c r="AM686" s="705"/>
      <c r="AN686" s="705"/>
      <c r="AO686" s="705"/>
      <c r="AP686" s="705"/>
      <c r="AQ686" s="705"/>
      <c r="AR686" s="705"/>
      <c r="AS686" s="705"/>
    </row>
    <row r="687" spans="1:45" s="13" customFormat="1" ht="30" hidden="1" customHeight="1" x14ac:dyDescent="0.25">
      <c r="A687" s="2078"/>
      <c r="B687" s="2065"/>
      <c r="C687" s="114"/>
      <c r="D687" s="959" t="s">
        <v>10</v>
      </c>
      <c r="E687" s="933">
        <v>46221</v>
      </c>
      <c r="F687" s="42">
        <f t="shared" ref="F687:F692" si="446">$L$7-E687</f>
        <v>65</v>
      </c>
      <c r="G687" s="12">
        <v>0</v>
      </c>
      <c r="H687" s="12"/>
      <c r="I687" s="12"/>
      <c r="J687" s="1368"/>
      <c r="K687" s="12">
        <f>IFERROR(SUMIF(INTAKE!$A:$A,$T687,INTAKE!$P:$P),0)</f>
        <v>0</v>
      </c>
      <c r="L687" s="1702">
        <f t="shared" ref="L687:L695" si="447">+G687+H687+I687-J687-K687</f>
        <v>0</v>
      </c>
      <c r="M687" s="48"/>
      <c r="N687" s="163"/>
      <c r="O687" s="48"/>
      <c r="P687" s="738"/>
      <c r="Q687" s="795"/>
      <c r="R687" s="785">
        <f>IFERROR(VLOOKUP($Q687,'391'!$S:$Z,8,0),"")</f>
        <v>0</v>
      </c>
      <c r="S687" s="796"/>
      <c r="T687" s="797" t="str">
        <f t="shared" si="445"/>
        <v>Carob Powder46221</v>
      </c>
      <c r="U687" s="797"/>
      <c r="V687" s="797"/>
      <c r="W687" s="785">
        <f>IFERROR(VLOOKUP($Q687,'391'!$S:$AG,15,0),0)</f>
        <v>0</v>
      </c>
      <c r="X687" s="1090">
        <f t="shared" ref="X687:X717" si="448">G687-W687</f>
        <v>0</v>
      </c>
      <c r="Y687" s="785"/>
      <c r="Z687" s="785"/>
      <c r="AA687" s="797"/>
      <c r="AB687" s="797"/>
      <c r="AC687" s="683"/>
      <c r="AD687" s="683"/>
      <c r="AE687" s="683"/>
      <c r="AF687" s="683"/>
      <c r="AG687" s="683"/>
      <c r="AH687" s="683"/>
      <c r="AI687" s="705"/>
      <c r="AJ687" s="705"/>
      <c r="AK687" s="705"/>
      <c r="AL687" s="705"/>
      <c r="AM687" s="705"/>
      <c r="AN687" s="705"/>
      <c r="AO687" s="705"/>
      <c r="AP687" s="705"/>
      <c r="AQ687" s="705"/>
      <c r="AR687" s="705"/>
      <c r="AS687" s="705"/>
    </row>
    <row r="688" spans="1:45" s="13" customFormat="1" ht="30" customHeight="1" x14ac:dyDescent="0.25">
      <c r="A688" s="2078"/>
      <c r="B688" s="2065"/>
      <c r="C688" s="114" t="s">
        <v>481</v>
      </c>
      <c r="D688" s="959" t="s">
        <v>10</v>
      </c>
      <c r="E688" s="933">
        <v>46230</v>
      </c>
      <c r="F688" s="42">
        <f t="shared" ref="F688" si="449">$L$7-E688</f>
        <v>56</v>
      </c>
      <c r="G688" s="12">
        <v>24500</v>
      </c>
      <c r="H688" s="12"/>
      <c r="I688" s="12"/>
      <c r="J688" s="1368"/>
      <c r="K688" s="12">
        <f>IFERROR(SUMIF(INTAKE!$A:$A,$T688,INTAKE!$P:$P),0)</f>
        <v>3500</v>
      </c>
      <c r="L688" s="1702">
        <f t="shared" si="447"/>
        <v>21000</v>
      </c>
      <c r="M688" s="45"/>
      <c r="N688" s="162"/>
      <c r="O688" s="45"/>
      <c r="P688" s="736"/>
      <c r="Q688" s="795"/>
      <c r="R688" s="785">
        <f>IFERROR(VLOOKUP($Q688,'391'!$S:$Z,8,0),"")</f>
        <v>0</v>
      </c>
      <c r="S688" s="796"/>
      <c r="T688" s="797" t="str">
        <f t="shared" si="445"/>
        <v>Carob PowderB146230</v>
      </c>
      <c r="U688" s="797"/>
      <c r="V688" s="797"/>
      <c r="W688" s="785">
        <f>IFERROR(VLOOKUP($Q688,'391'!$S:$AG,15,0),0)</f>
        <v>0</v>
      </c>
      <c r="X688" s="1090">
        <f t="shared" si="448"/>
        <v>24500</v>
      </c>
      <c r="Y688" s="785"/>
      <c r="Z688" s="785"/>
      <c r="AA688" s="797"/>
      <c r="AB688" s="797"/>
      <c r="AC688" s="683"/>
      <c r="AD688" s="683"/>
      <c r="AE688" s="683"/>
      <c r="AF688" s="683"/>
      <c r="AG688" s="683"/>
      <c r="AH688" s="683"/>
      <c r="AI688" s="705"/>
      <c r="AJ688" s="705"/>
      <c r="AK688" s="705"/>
      <c r="AL688" s="705"/>
      <c r="AM688" s="705"/>
      <c r="AN688" s="705"/>
      <c r="AO688" s="705"/>
      <c r="AP688" s="705"/>
      <c r="AQ688" s="705"/>
      <c r="AR688" s="705"/>
      <c r="AS688" s="705"/>
    </row>
    <row r="689" spans="1:45" s="13" customFormat="1" ht="30" customHeight="1" x14ac:dyDescent="0.25">
      <c r="A689" s="2078"/>
      <c r="B689" s="2065"/>
      <c r="C689" s="114" t="s">
        <v>488</v>
      </c>
      <c r="D689" s="959" t="s">
        <v>10</v>
      </c>
      <c r="E689" s="933">
        <v>46246</v>
      </c>
      <c r="F689" s="42">
        <f t="shared" ref="F689:F691" si="450">$L$7-E689</f>
        <v>40</v>
      </c>
      <c r="G689" s="12">
        <v>24500</v>
      </c>
      <c r="H689" s="12"/>
      <c r="I689" s="12"/>
      <c r="J689" s="1368"/>
      <c r="K689" s="1379">
        <f>IFERROR(SUMIF(INTAKE!$A:$A,$T689,INTAKE!$P:$P),0)</f>
        <v>0</v>
      </c>
      <c r="L689" s="1702">
        <f t="shared" si="447"/>
        <v>24500</v>
      </c>
      <c r="M689" s="48"/>
      <c r="N689" s="163"/>
      <c r="O689" s="48"/>
      <c r="P689" s="738"/>
      <c r="Q689" s="795"/>
      <c r="R689" s="785">
        <f>IFERROR(VLOOKUP($Q689,'391'!$S:$Z,8,0),"")</f>
        <v>0</v>
      </c>
      <c r="S689" s="796"/>
      <c r="T689" s="797" t="str">
        <f t="shared" si="445"/>
        <v>Carob PowderB246246</v>
      </c>
      <c r="U689" s="797"/>
      <c r="V689" s="797"/>
      <c r="W689" s="785">
        <f>IFERROR(VLOOKUP($Q689,'391'!$S:$AG,15,0),0)</f>
        <v>0</v>
      </c>
      <c r="X689" s="1090">
        <f t="shared" si="448"/>
        <v>24500</v>
      </c>
      <c r="Y689" s="785"/>
      <c r="Z689" s="785"/>
      <c r="AA689" s="797"/>
      <c r="AB689" s="797"/>
      <c r="AC689" s="683"/>
      <c r="AD689" s="683"/>
      <c r="AE689" s="683"/>
      <c r="AF689" s="683"/>
      <c r="AG689" s="683"/>
      <c r="AH689" s="683"/>
      <c r="AI689" s="705"/>
      <c r="AJ689" s="705"/>
      <c r="AK689" s="705"/>
      <c r="AL689" s="705"/>
      <c r="AM689" s="705"/>
      <c r="AN689" s="705"/>
      <c r="AO689" s="705"/>
      <c r="AP689" s="705"/>
      <c r="AQ689" s="705"/>
      <c r="AR689" s="705"/>
      <c r="AS689" s="705"/>
    </row>
    <row r="690" spans="1:45" s="13" customFormat="1" ht="30" customHeight="1" x14ac:dyDescent="0.25">
      <c r="A690" s="2078"/>
      <c r="B690" s="2065"/>
      <c r="C690" s="114" t="s">
        <v>488</v>
      </c>
      <c r="D690" s="959" t="s">
        <v>10</v>
      </c>
      <c r="E690" s="933">
        <v>46247</v>
      </c>
      <c r="F690" s="42">
        <f t="shared" si="450"/>
        <v>39</v>
      </c>
      <c r="G690" s="12">
        <v>24500</v>
      </c>
      <c r="H690" s="12"/>
      <c r="I690" s="12"/>
      <c r="J690" s="1368"/>
      <c r="K690" s="12">
        <f>IFERROR(SUMIF(INTAKE!$A:$A,$T690,INTAKE!$P:$P),0)</f>
        <v>0</v>
      </c>
      <c r="L690" s="1702">
        <f t="shared" si="447"/>
        <v>24500</v>
      </c>
      <c r="M690" s="45"/>
      <c r="N690" s="162"/>
      <c r="O690" s="45"/>
      <c r="P690" s="736"/>
      <c r="Q690" s="795"/>
      <c r="R690" s="785">
        <f>IFERROR(VLOOKUP($Q690,'391'!$S:$Z,8,0),"")</f>
        <v>0</v>
      </c>
      <c r="S690" s="796"/>
      <c r="T690" s="797" t="str">
        <f t="shared" si="445"/>
        <v>Carob PowderB246247</v>
      </c>
      <c r="U690" s="797"/>
      <c r="V690" s="797"/>
      <c r="W690" s="785">
        <f>IFERROR(VLOOKUP($Q690,'391'!$S:$AG,15,0),0)</f>
        <v>0</v>
      </c>
      <c r="X690" s="1090">
        <f t="shared" si="448"/>
        <v>24500</v>
      </c>
      <c r="Y690" s="785"/>
      <c r="Z690" s="785"/>
      <c r="AA690" s="797"/>
      <c r="AB690" s="797"/>
      <c r="AC690" s="683"/>
      <c r="AD690" s="683"/>
      <c r="AE690" s="683"/>
      <c r="AF690" s="683"/>
      <c r="AG690" s="683"/>
      <c r="AH690" s="683"/>
      <c r="AI690" s="705"/>
      <c r="AJ690" s="705"/>
      <c r="AK690" s="705"/>
      <c r="AL690" s="705"/>
      <c r="AM690" s="705"/>
      <c r="AN690" s="705"/>
      <c r="AO690" s="705"/>
      <c r="AP690" s="705"/>
      <c r="AQ690" s="705"/>
      <c r="AR690" s="705"/>
      <c r="AS690" s="705"/>
    </row>
    <row r="691" spans="1:45" s="13" customFormat="1" ht="28.5" customHeight="1" x14ac:dyDescent="0.25">
      <c r="A691" s="2078"/>
      <c r="B691" s="2065"/>
      <c r="C691" s="114" t="s">
        <v>2188</v>
      </c>
      <c r="D691" s="959" t="s">
        <v>10</v>
      </c>
      <c r="E691" s="933">
        <v>46275</v>
      </c>
      <c r="F691" s="42">
        <f t="shared" si="450"/>
        <v>11</v>
      </c>
      <c r="G691" s="12">
        <v>49000</v>
      </c>
      <c r="H691" s="12"/>
      <c r="I691" s="12"/>
      <c r="J691" s="1368"/>
      <c r="K691" s="12">
        <f>IFERROR(SUMIF(INTAKE!$A:$A,$T691,INTAKE!$P:$P),0)</f>
        <v>0</v>
      </c>
      <c r="L691" s="1702">
        <f t="shared" si="447"/>
        <v>49000</v>
      </c>
      <c r="M691" s="45"/>
      <c r="N691" s="162"/>
      <c r="O691" s="45"/>
      <c r="P691" s="736"/>
      <c r="Q691" s="795"/>
      <c r="R691" s="785">
        <f>IFERROR(VLOOKUP($Q691,'391'!$S:$Z,8,0),"")</f>
        <v>0</v>
      </c>
      <c r="S691" s="796"/>
      <c r="T691" s="797" t="str">
        <f t="shared" si="445"/>
        <v>Carob PowderB446275</v>
      </c>
      <c r="U691" s="797"/>
      <c r="V691" s="797"/>
      <c r="W691" s="785">
        <f>IFERROR(VLOOKUP($Q691,'391'!$S:$AG,15,0),0)</f>
        <v>0</v>
      </c>
      <c r="X691" s="1090">
        <f t="shared" si="448"/>
        <v>49000</v>
      </c>
      <c r="Y691" s="785"/>
      <c r="Z691" s="785"/>
      <c r="AA691" s="797"/>
      <c r="AB691" s="797"/>
      <c r="AC691" s="683"/>
      <c r="AD691" s="683"/>
      <c r="AE691" s="683"/>
      <c r="AF691" s="683"/>
      <c r="AG691" s="683"/>
      <c r="AH691" s="683"/>
      <c r="AI691" s="705"/>
      <c r="AJ691" s="705"/>
      <c r="AK691" s="705"/>
      <c r="AL691" s="705"/>
      <c r="AM691" s="705"/>
      <c r="AN691" s="705"/>
      <c r="AO691" s="705"/>
      <c r="AP691" s="705"/>
      <c r="AQ691" s="705"/>
      <c r="AR691" s="705"/>
      <c r="AS691" s="705"/>
    </row>
    <row r="692" spans="1:45" s="13" customFormat="1" ht="30" customHeight="1" x14ac:dyDescent="0.25">
      <c r="A692" s="2078"/>
      <c r="B692" s="2065"/>
      <c r="C692" s="114" t="s">
        <v>2229</v>
      </c>
      <c r="D692" s="959" t="s">
        <v>10</v>
      </c>
      <c r="E692" s="933">
        <v>46282</v>
      </c>
      <c r="F692" s="42">
        <f t="shared" si="446"/>
        <v>4</v>
      </c>
      <c r="G692" s="12">
        <v>49000</v>
      </c>
      <c r="H692" s="12"/>
      <c r="I692" s="12"/>
      <c r="J692" s="1368"/>
      <c r="K692" s="12">
        <f>IFERROR(SUMIF(INTAKE!$A:$A,$T692,INTAKE!$P:$P),0)</f>
        <v>0</v>
      </c>
      <c r="L692" s="1702">
        <f t="shared" si="447"/>
        <v>49000</v>
      </c>
      <c r="M692" s="45"/>
      <c r="N692" s="162"/>
      <c r="O692" s="45"/>
      <c r="P692" s="736"/>
      <c r="Q692" s="795"/>
      <c r="R692" s="785">
        <f>IFERROR(VLOOKUP($Q692,'391'!$S:$Z,8,0),"")</f>
        <v>0</v>
      </c>
      <c r="S692" s="796"/>
      <c r="T692" s="797" t="str">
        <f t="shared" si="445"/>
        <v>Carob PowderB646282</v>
      </c>
      <c r="U692" s="797"/>
      <c r="V692" s="797"/>
      <c r="W692" s="785">
        <f>IFERROR(VLOOKUP($Q692,'391'!$S:$AG,15,0),0)</f>
        <v>0</v>
      </c>
      <c r="X692" s="1090">
        <f t="shared" si="448"/>
        <v>49000</v>
      </c>
      <c r="Y692" s="785"/>
      <c r="Z692" s="785"/>
      <c r="AA692" s="797"/>
      <c r="AB692" s="797"/>
      <c r="AC692" s="683"/>
      <c r="AD692" s="683"/>
      <c r="AE692" s="683"/>
      <c r="AF692" s="683"/>
      <c r="AG692" s="683"/>
      <c r="AH692" s="683"/>
      <c r="AI692" s="705"/>
      <c r="AJ692" s="705"/>
      <c r="AK692" s="705"/>
      <c r="AL692" s="705"/>
      <c r="AM692" s="705"/>
      <c r="AN692" s="705"/>
      <c r="AO692" s="705"/>
      <c r="AP692" s="705"/>
      <c r="AQ692" s="705"/>
      <c r="AR692" s="705"/>
      <c r="AS692" s="705"/>
    </row>
    <row r="693" spans="1:45" s="13" customFormat="1" ht="30" hidden="1" customHeight="1" x14ac:dyDescent="0.25">
      <c r="A693" s="2078"/>
      <c r="B693" s="2069"/>
      <c r="C693" s="114"/>
      <c r="D693" s="959" t="s">
        <v>10</v>
      </c>
      <c r="E693" s="933">
        <v>46247</v>
      </c>
      <c r="F693" s="42">
        <f t="shared" ref="F693" si="451">$L$7-E693</f>
        <v>39</v>
      </c>
      <c r="G693" s="12">
        <v>0</v>
      </c>
      <c r="H693" s="12"/>
      <c r="I693" s="12"/>
      <c r="J693" s="1368"/>
      <c r="K693" s="12">
        <f>IFERROR(SUMIF(INTAKE!$A:$A,$T693,INTAKE!$P:$P),0)</f>
        <v>0</v>
      </c>
      <c r="L693" s="1702">
        <f t="shared" si="447"/>
        <v>0</v>
      </c>
      <c r="M693" s="45"/>
      <c r="N693" s="162"/>
      <c r="O693" s="45"/>
      <c r="P693" s="736"/>
      <c r="Q693" s="795"/>
      <c r="R693" s="785">
        <f>IFERROR(VLOOKUP($Q693,'391'!$S:$Z,8,0),"")</f>
        <v>0</v>
      </c>
      <c r="S693" s="796"/>
      <c r="T693" s="797" t="str">
        <f t="shared" si="445"/>
        <v>Carob Powder46247</v>
      </c>
      <c r="U693" s="797"/>
      <c r="V693" s="797"/>
      <c r="W693" s="785">
        <f>IFERROR(VLOOKUP($Q693,'391'!$S:$AG,15,0),0)</f>
        <v>0</v>
      </c>
      <c r="X693" s="1090">
        <f t="shared" si="448"/>
        <v>0</v>
      </c>
      <c r="Y693" s="785"/>
      <c r="Z693" s="785"/>
      <c r="AA693" s="797"/>
      <c r="AB693" s="797"/>
      <c r="AC693" s="683"/>
      <c r="AD693" s="683"/>
      <c r="AE693" s="683"/>
      <c r="AF693" s="683"/>
      <c r="AG693" s="683"/>
      <c r="AH693" s="683"/>
      <c r="AI693" s="705"/>
      <c r="AJ693" s="705"/>
      <c r="AK693" s="705"/>
      <c r="AL693" s="705"/>
      <c r="AM693" s="705"/>
      <c r="AN693" s="705"/>
      <c r="AO693" s="705"/>
      <c r="AP693" s="705"/>
      <c r="AQ693" s="705"/>
      <c r="AR693" s="705"/>
      <c r="AS693" s="705"/>
    </row>
    <row r="694" spans="1:45" s="13" customFormat="1" ht="30" hidden="1" customHeight="1" x14ac:dyDescent="0.25">
      <c r="A694" s="2078"/>
      <c r="B694" s="2065"/>
      <c r="C694" s="114"/>
      <c r="D694" s="959" t="s">
        <v>10</v>
      </c>
      <c r="E694" s="933">
        <v>46246</v>
      </c>
      <c r="F694" s="42">
        <f t="shared" ref="F694:F695" si="452">$L$7-E694</f>
        <v>40</v>
      </c>
      <c r="G694" s="12">
        <v>0</v>
      </c>
      <c r="H694" s="12"/>
      <c r="I694" s="12"/>
      <c r="J694" s="1368"/>
      <c r="K694" s="12">
        <f>IFERROR(SUMIF(INTAKE!$A:$A,$T694,INTAKE!$P:$P),0)</f>
        <v>0</v>
      </c>
      <c r="L694" s="1702">
        <f t="shared" si="447"/>
        <v>0</v>
      </c>
      <c r="M694" s="45"/>
      <c r="N694" s="162"/>
      <c r="O694" s="45"/>
      <c r="P694" s="736"/>
      <c r="Q694" s="795"/>
      <c r="R694" s="785">
        <f>IFERROR(VLOOKUP($Q694,'391'!$S:$Z,8,0),"")</f>
        <v>0</v>
      </c>
      <c r="S694" s="796"/>
      <c r="T694" s="797" t="str">
        <f t="shared" si="445"/>
        <v>Carob Powder46246</v>
      </c>
      <c r="U694" s="797"/>
      <c r="V694" s="797"/>
      <c r="W694" s="785">
        <f>IFERROR(VLOOKUP($Q694,'391'!$S:$AG,15,0),0)</f>
        <v>0</v>
      </c>
      <c r="X694" s="1090">
        <f t="shared" si="448"/>
        <v>0</v>
      </c>
      <c r="Y694" s="785"/>
      <c r="Z694" s="785"/>
      <c r="AA694" s="797"/>
      <c r="AB694" s="797"/>
      <c r="AC694" s="683"/>
      <c r="AD694" s="683"/>
      <c r="AE694" s="683"/>
      <c r="AF694" s="683"/>
      <c r="AG694" s="683"/>
      <c r="AH694" s="683"/>
      <c r="AI694" s="705"/>
      <c r="AJ694" s="705"/>
      <c r="AK694" s="705"/>
      <c r="AL694" s="705"/>
      <c r="AM694" s="705"/>
      <c r="AN694" s="705"/>
      <c r="AO694" s="705"/>
      <c r="AP694" s="705"/>
      <c r="AQ694" s="705"/>
      <c r="AR694" s="705"/>
      <c r="AS694" s="705"/>
    </row>
    <row r="695" spans="1:45" s="13" customFormat="1" ht="30" customHeight="1" x14ac:dyDescent="0.25">
      <c r="A695" s="2078"/>
      <c r="B695" s="2065"/>
      <c r="C695" s="107" t="s">
        <v>1300</v>
      </c>
      <c r="D695" s="850" t="s">
        <v>10</v>
      </c>
      <c r="E695" s="960">
        <v>46230</v>
      </c>
      <c r="F695" s="42">
        <f t="shared" si="452"/>
        <v>56</v>
      </c>
      <c r="G695" s="56">
        <v>33131.5</v>
      </c>
      <c r="H695" s="12"/>
      <c r="I695" s="56">
        <f>+SUM(K686:K692)</f>
        <v>3500</v>
      </c>
      <c r="J695" s="56">
        <f>usage!I74</f>
        <v>1117</v>
      </c>
      <c r="K695" s="12">
        <f>IFERROR(SUMIF(INTAKE!$A:$A,$T695,INTAKE!$P:$P),0)</f>
        <v>0</v>
      </c>
      <c r="L695" s="1533">
        <f t="shared" si="447"/>
        <v>35514.5</v>
      </c>
      <c r="M695" s="45"/>
      <c r="N695" s="162"/>
      <c r="O695" s="45"/>
      <c r="P695" s="736"/>
      <c r="Q695" s="795"/>
      <c r="R695" s="785">
        <f>IFERROR(VLOOKUP($Q695,'391'!$S:$Z,8,0),"")</f>
        <v>0</v>
      </c>
      <c r="S695" s="796"/>
      <c r="T695" s="797" t="str">
        <f t="shared" si="445"/>
        <v>Carob PowderFM6946230</v>
      </c>
      <c r="U695" s="797"/>
      <c r="V695" s="797"/>
      <c r="W695" s="785">
        <f>IFERROR(VLOOKUP($Q695,'391'!$S:$AG,15,0),0)</f>
        <v>0</v>
      </c>
      <c r="X695" s="1090">
        <f t="shared" si="448"/>
        <v>33131.5</v>
      </c>
      <c r="Y695" s="785"/>
      <c r="Z695" s="785"/>
      <c r="AA695" s="797"/>
      <c r="AB695" s="797"/>
      <c r="AC695" s="683"/>
      <c r="AD695" s="683"/>
      <c r="AE695" s="683"/>
      <c r="AF695" s="683"/>
      <c r="AG695" s="683"/>
      <c r="AH695" s="683"/>
      <c r="AI695" s="705"/>
      <c r="AJ695" s="705"/>
      <c r="AK695" s="705"/>
      <c r="AL695" s="705"/>
      <c r="AM695" s="705"/>
      <c r="AN695" s="705"/>
      <c r="AO695" s="705"/>
      <c r="AP695" s="705"/>
      <c r="AQ695" s="705"/>
      <c r="AR695" s="705"/>
      <c r="AS695" s="705"/>
    </row>
    <row r="696" spans="1:45" s="265" customFormat="1" ht="30" customHeight="1" x14ac:dyDescent="0.25">
      <c r="A696" s="2019" t="s">
        <v>295</v>
      </c>
      <c r="B696" s="2020"/>
      <c r="C696" s="88"/>
      <c r="D696" s="900"/>
      <c r="E696" s="901"/>
      <c r="F696" s="902"/>
      <c r="G696" s="1380">
        <v>204631.5</v>
      </c>
      <c r="H696" s="1380">
        <f>+SUM(H686:H695)</f>
        <v>0</v>
      </c>
      <c r="I696" s="1380">
        <f t="shared" ref="I696:L696" si="453">+SUM(I686:I695)</f>
        <v>3500</v>
      </c>
      <c r="J696" s="1380">
        <f t="shared" si="453"/>
        <v>1117</v>
      </c>
      <c r="K696" s="1380">
        <f t="shared" si="453"/>
        <v>3500</v>
      </c>
      <c r="L696" s="1380">
        <f t="shared" si="453"/>
        <v>203514.5</v>
      </c>
      <c r="M696" s="59">
        <f>IFERROR((R696/$S$2),"")</f>
        <v>4085.5833333333335</v>
      </c>
      <c r="N696" s="366">
        <f>+IFERROR(L696/M696,0)</f>
        <v>49.812837824056132</v>
      </c>
      <c r="O696" s="59">
        <f>IFERROR(SUMIF(ETM!$A:$A,$Q696,ETM!$E:$E),"")</f>
        <v>3275</v>
      </c>
      <c r="P696" s="855">
        <f>IFERROR(L696/O696,0)</f>
        <v>62.141832061068705</v>
      </c>
      <c r="Q696" s="814" t="s">
        <v>656</v>
      </c>
      <c r="R696" s="785">
        <f>IFERROR(VLOOKUP($Q696,'391'!$S:$Z,8,0),"")</f>
        <v>24513.5</v>
      </c>
      <c r="S696" s="796"/>
      <c r="T696" s="797"/>
      <c r="U696" s="797"/>
      <c r="V696" s="797"/>
      <c r="W696" s="785">
        <f>IFERROR(VLOOKUP($Q696,'391'!$S:$AG,15,0),0)</f>
        <v>204631.5</v>
      </c>
      <c r="X696" s="1090">
        <f t="shared" si="448"/>
        <v>0</v>
      </c>
      <c r="Y696" s="785"/>
      <c r="Z696" s="785"/>
      <c r="AA696" s="797"/>
      <c r="AB696" s="797"/>
      <c r="AC696" s="551"/>
      <c r="AD696" s="551"/>
      <c r="AE696" s="551"/>
      <c r="AF696" s="551"/>
      <c r="AG696" s="551"/>
      <c r="AH696" s="551"/>
      <c r="AI696" s="704"/>
      <c r="AJ696" s="704"/>
      <c r="AK696" s="704"/>
      <c r="AL696" s="704"/>
      <c r="AM696" s="704"/>
      <c r="AN696" s="704"/>
      <c r="AO696" s="704"/>
      <c r="AP696" s="704"/>
      <c r="AQ696" s="704"/>
      <c r="AR696" s="704"/>
      <c r="AS696" s="704"/>
    </row>
    <row r="697" spans="1:45" s="13" customFormat="1" ht="30" hidden="1" customHeight="1" x14ac:dyDescent="0.25">
      <c r="A697" s="2063" t="str">
        <f>IF(L702=0,"",MAX($A$16:A690)+1)</f>
        <v/>
      </c>
      <c r="B697" s="2043" t="s">
        <v>1410</v>
      </c>
      <c r="C697" s="114" t="s">
        <v>488</v>
      </c>
      <c r="D697" s="959" t="s">
        <v>10</v>
      </c>
      <c r="E697" s="933">
        <v>46065</v>
      </c>
      <c r="F697" s="42">
        <f>$L$7-E697</f>
        <v>221</v>
      </c>
      <c r="G697" s="12">
        <v>0</v>
      </c>
      <c r="H697" s="12"/>
      <c r="I697" s="12"/>
      <c r="J697" s="1368"/>
      <c r="K697" s="12">
        <f>IFERROR(SUMIF(INTAKE!$A:$A,$T697,INTAKE!$P:$P),0)</f>
        <v>0</v>
      </c>
      <c r="L697" s="1702">
        <f>+G697+H697+I697-J697-K697</f>
        <v>0</v>
      </c>
      <c r="M697" s="48"/>
      <c r="N697" s="163"/>
      <c r="O697" s="48"/>
      <c r="P697" s="738"/>
      <c r="Q697" s="795"/>
      <c r="R697" s="785">
        <f>IFERROR(VLOOKUP($Q697,'391'!$S:$Z,8,0),"")</f>
        <v>0</v>
      </c>
      <c r="S697" s="796"/>
      <c r="T697" s="797" t="str">
        <f>$Q$702&amp;C697&amp;E697</f>
        <v>Carani (Algieria)B246065</v>
      </c>
      <c r="U697" s="797"/>
      <c r="V697" s="797"/>
      <c r="W697" s="785">
        <f>IFERROR(VLOOKUP($Q697,'391'!$S:$AG,15,0),0)</f>
        <v>0</v>
      </c>
      <c r="X697" s="1090">
        <f t="shared" si="448"/>
        <v>0</v>
      </c>
      <c r="Y697" s="785"/>
      <c r="Z697" s="785"/>
      <c r="AA697" s="797"/>
      <c r="AB697" s="797"/>
      <c r="AC697" s="683"/>
      <c r="AD697" s="683"/>
      <c r="AE697" s="683"/>
      <c r="AF697" s="683"/>
      <c r="AG697" s="683"/>
      <c r="AH697" s="683"/>
      <c r="AI697" s="705"/>
      <c r="AJ697" s="705"/>
      <c r="AK697" s="705"/>
      <c r="AL697" s="705"/>
      <c r="AM697" s="705"/>
      <c r="AN697" s="705"/>
      <c r="AO697" s="705"/>
      <c r="AP697" s="705"/>
      <c r="AQ697" s="705"/>
      <c r="AR697" s="705"/>
      <c r="AS697" s="705"/>
    </row>
    <row r="698" spans="1:45" s="13" customFormat="1" ht="30" hidden="1" customHeight="1" x14ac:dyDescent="0.25">
      <c r="A698" s="2078"/>
      <c r="B698" s="2065"/>
      <c r="C698" s="114"/>
      <c r="D698" s="959" t="s">
        <v>10</v>
      </c>
      <c r="E698" s="933">
        <v>45392</v>
      </c>
      <c r="F698" s="42">
        <f>$L$7-E698</f>
        <v>894</v>
      </c>
      <c r="G698" s="12">
        <v>0</v>
      </c>
      <c r="H698" s="12"/>
      <c r="I698" s="12"/>
      <c r="J698" s="1368"/>
      <c r="K698" s="12">
        <f>IFERROR(SUMIF(INTAKE!$A:$A,$T698,INTAKE!$P:$P),0)</f>
        <v>0</v>
      </c>
      <c r="L698" s="1533">
        <f>+G698+H698+I698-J698-K698</f>
        <v>0</v>
      </c>
      <c r="M698" s="48"/>
      <c r="N698" s="163"/>
      <c r="O698" s="48"/>
      <c r="P698" s="738"/>
      <c r="Q698" s="795"/>
      <c r="R698" s="785">
        <f>IFERROR(VLOOKUP($Q698,'391'!$S:$Z,8,0),"")</f>
        <v>0</v>
      </c>
      <c r="S698" s="796"/>
      <c r="T698" s="797" t="str">
        <f>$Q$702&amp;C698&amp;E698</f>
        <v>Carani (Algieria)45392</v>
      </c>
      <c r="U698" s="797"/>
      <c r="V698" s="797"/>
      <c r="W698" s="785">
        <f>IFERROR(VLOOKUP($Q698,'391'!$S:$AG,15,0),0)</f>
        <v>0</v>
      </c>
      <c r="X698" s="1090">
        <f t="shared" si="448"/>
        <v>0</v>
      </c>
      <c r="Y698" s="785"/>
      <c r="Z698" s="785"/>
      <c r="AA698" s="797"/>
      <c r="AB698" s="797"/>
      <c r="AC698" s="683"/>
      <c r="AD698" s="683"/>
      <c r="AE698" s="683"/>
      <c r="AF698" s="683"/>
      <c r="AG698" s="683"/>
      <c r="AH698" s="683"/>
      <c r="AI698" s="705"/>
      <c r="AJ698" s="705"/>
      <c r="AK698" s="705"/>
      <c r="AL698" s="705"/>
      <c r="AM698" s="705"/>
      <c r="AN698" s="705"/>
      <c r="AO698" s="705"/>
      <c r="AP698" s="705"/>
      <c r="AQ698" s="705"/>
      <c r="AR698" s="705"/>
      <c r="AS698" s="705"/>
    </row>
    <row r="699" spans="1:45" s="13" customFormat="1" ht="30" hidden="1" customHeight="1" x14ac:dyDescent="0.25">
      <c r="A699" s="2078"/>
      <c r="B699" s="2069"/>
      <c r="C699" s="114"/>
      <c r="D699" s="959" t="s">
        <v>10</v>
      </c>
      <c r="E699" s="933">
        <v>45392</v>
      </c>
      <c r="F699" s="42">
        <f>$L$7-E699</f>
        <v>894</v>
      </c>
      <c r="G699" s="12">
        <v>0</v>
      </c>
      <c r="H699" s="12"/>
      <c r="I699" s="12"/>
      <c r="J699" s="1368"/>
      <c r="K699" s="12">
        <f>IFERROR(SUMIF(INTAKE!$A:$A,$T699,INTAKE!$P:$P),0)</f>
        <v>0</v>
      </c>
      <c r="L699" s="1533">
        <f>+G699+H699+I699-J699-K699</f>
        <v>0</v>
      </c>
      <c r="M699" s="45"/>
      <c r="N699" s="162"/>
      <c r="O699" s="45"/>
      <c r="P699" s="736"/>
      <c r="Q699" s="795"/>
      <c r="R699" s="785">
        <f>IFERROR(VLOOKUP($Q699,'391'!$S:$Z,8,0),"")</f>
        <v>0</v>
      </c>
      <c r="S699" s="796"/>
      <c r="T699" s="797" t="str">
        <f>$Q$702&amp;C699&amp;E699</f>
        <v>Carani (Algieria)45392</v>
      </c>
      <c r="U699" s="797"/>
      <c r="V699" s="797"/>
      <c r="W699" s="785">
        <f>IFERROR(VLOOKUP($Q699,'391'!$S:$AG,15,0),0)</f>
        <v>0</v>
      </c>
      <c r="X699" s="1090">
        <f t="shared" si="448"/>
        <v>0</v>
      </c>
      <c r="Y699" s="785"/>
      <c r="Z699" s="785"/>
      <c r="AA699" s="797"/>
      <c r="AB699" s="797"/>
      <c r="AC699" s="683"/>
      <c r="AD699" s="683"/>
      <c r="AE699" s="683"/>
      <c r="AF699" s="683"/>
      <c r="AG699" s="683"/>
      <c r="AH699" s="683"/>
      <c r="AI699" s="705"/>
      <c r="AJ699" s="705"/>
      <c r="AK699" s="705"/>
      <c r="AL699" s="705"/>
      <c r="AM699" s="705"/>
      <c r="AN699" s="705"/>
      <c r="AO699" s="705"/>
      <c r="AP699" s="705"/>
      <c r="AQ699" s="705"/>
      <c r="AR699" s="705"/>
      <c r="AS699" s="705"/>
    </row>
    <row r="700" spans="1:45" s="13" customFormat="1" ht="30" hidden="1" customHeight="1" x14ac:dyDescent="0.25">
      <c r="A700" s="2078"/>
      <c r="B700" s="2065"/>
      <c r="C700" s="114"/>
      <c r="D700" s="959" t="s">
        <v>10</v>
      </c>
      <c r="E700" s="933">
        <v>44942</v>
      </c>
      <c r="F700" s="42">
        <f>$L$7-E700</f>
        <v>1344</v>
      </c>
      <c r="G700" s="12">
        <v>0</v>
      </c>
      <c r="H700" s="12"/>
      <c r="I700" s="12"/>
      <c r="J700" s="1368"/>
      <c r="K700" s="12">
        <f>IFERROR(SUMIF(INTAKE!$A:$A,$T700,INTAKE!$P:$P),0)</f>
        <v>0</v>
      </c>
      <c r="L700" s="1533">
        <f>+G700+H700+I700-J700-K700</f>
        <v>0</v>
      </c>
      <c r="M700" s="45"/>
      <c r="N700" s="162"/>
      <c r="O700" s="45"/>
      <c r="P700" s="736"/>
      <c r="Q700" s="795"/>
      <c r="R700" s="785">
        <f>IFERROR(VLOOKUP($Q700,'391'!$S:$Z,8,0),"")</f>
        <v>0</v>
      </c>
      <c r="S700" s="796"/>
      <c r="T700" s="797" t="str">
        <f>$Q$702&amp;C700&amp;E700</f>
        <v>Carani (Algieria)44942</v>
      </c>
      <c r="U700" s="797"/>
      <c r="V700" s="797"/>
      <c r="W700" s="785">
        <f>IFERROR(VLOOKUP($Q700,'391'!$S:$AG,15,0),0)</f>
        <v>0</v>
      </c>
      <c r="X700" s="1090">
        <f t="shared" si="448"/>
        <v>0</v>
      </c>
      <c r="Y700" s="785"/>
      <c r="Z700" s="785"/>
      <c r="AA700" s="797"/>
      <c r="AB700" s="797"/>
      <c r="AC700" s="683"/>
      <c r="AD700" s="683"/>
      <c r="AE700" s="683"/>
      <c r="AF700" s="683"/>
      <c r="AG700" s="683"/>
      <c r="AH700" s="683"/>
      <c r="AI700" s="705"/>
      <c r="AJ700" s="705"/>
      <c r="AK700" s="705"/>
      <c r="AL700" s="705"/>
      <c r="AM700" s="705"/>
      <c r="AN700" s="705"/>
      <c r="AO700" s="705"/>
      <c r="AP700" s="705"/>
      <c r="AQ700" s="705"/>
      <c r="AR700" s="705"/>
      <c r="AS700" s="705"/>
    </row>
    <row r="701" spans="1:45" s="13" customFormat="1" ht="30" hidden="1" customHeight="1" x14ac:dyDescent="0.25">
      <c r="A701" s="2078"/>
      <c r="B701" s="2065"/>
      <c r="C701" s="107" t="s">
        <v>1300</v>
      </c>
      <c r="D701" s="850" t="s">
        <v>10</v>
      </c>
      <c r="E701" s="960">
        <v>46065</v>
      </c>
      <c r="F701" s="42">
        <f>$L$7-E701</f>
        <v>221</v>
      </c>
      <c r="G701" s="56">
        <v>0</v>
      </c>
      <c r="H701" s="958"/>
      <c r="I701" s="56">
        <f>+SUM(K697:K699)</f>
        <v>0</v>
      </c>
      <c r="J701" s="56"/>
      <c r="K701" s="12">
        <f>IFERROR(SUMIF(INTAKE!$A:$A,$T701,INTAKE!$P:$P),0)</f>
        <v>0</v>
      </c>
      <c r="L701" s="1533">
        <f>+G701+H701+I701-J701-K701</f>
        <v>0</v>
      </c>
      <c r="M701" s="45"/>
      <c r="N701" s="162"/>
      <c r="O701" s="45"/>
      <c r="P701" s="736"/>
      <c r="Q701" s="795"/>
      <c r="R701" s="785">
        <f>IFERROR(VLOOKUP($Q701,'391'!$S:$Z,8,0),"")</f>
        <v>0</v>
      </c>
      <c r="S701" s="796"/>
      <c r="T701" s="797" t="str">
        <f>$Q$702&amp;C701&amp;E701</f>
        <v>Carani (Algieria)FM6946065</v>
      </c>
      <c r="U701" s="797"/>
      <c r="V701" s="797"/>
      <c r="W701" s="785">
        <f>IFERROR(VLOOKUP($Q701,'391'!$S:$AG,15,0),0)</f>
        <v>0</v>
      </c>
      <c r="X701" s="1090">
        <f t="shared" si="448"/>
        <v>0</v>
      </c>
      <c r="Y701" s="785"/>
      <c r="Z701" s="785"/>
      <c r="AA701" s="797"/>
      <c r="AB701" s="797"/>
      <c r="AC701" s="683"/>
      <c r="AD701" s="683"/>
      <c r="AE701" s="683"/>
      <c r="AF701" s="683"/>
      <c r="AG701" s="683"/>
      <c r="AH701" s="683"/>
      <c r="AI701" s="705"/>
      <c r="AJ701" s="705"/>
      <c r="AK701" s="705"/>
      <c r="AL701" s="705"/>
      <c r="AM701" s="705"/>
      <c r="AN701" s="705"/>
      <c r="AO701" s="705"/>
      <c r="AP701" s="705"/>
      <c r="AQ701" s="705"/>
      <c r="AR701" s="705"/>
      <c r="AS701" s="705"/>
    </row>
    <row r="702" spans="1:45" s="265" customFormat="1" ht="30" hidden="1" customHeight="1" x14ac:dyDescent="0.25">
      <c r="A702" s="2019" t="s">
        <v>1411</v>
      </c>
      <c r="B702" s="2020"/>
      <c r="C702" s="88"/>
      <c r="D702" s="900"/>
      <c r="E702" s="901"/>
      <c r="F702" s="902"/>
      <c r="G702" s="1380">
        <v>0</v>
      </c>
      <c r="H702" s="1380">
        <f t="shared" ref="H702:L702" si="454">+SUM(H697:H701)</f>
        <v>0</v>
      </c>
      <c r="I702" s="1380">
        <f t="shared" si="454"/>
        <v>0</v>
      </c>
      <c r="J702" s="1380">
        <f t="shared" si="454"/>
        <v>0</v>
      </c>
      <c r="K702" s="1380">
        <f t="shared" si="454"/>
        <v>0</v>
      </c>
      <c r="L702" s="1380">
        <f t="shared" si="454"/>
        <v>0</v>
      </c>
      <c r="M702" s="59" t="str">
        <f>IFERROR((R702/$S$2),"")</f>
        <v/>
      </c>
      <c r="N702" s="366">
        <f>IFERROR(L702/M702,0)</f>
        <v>0</v>
      </c>
      <c r="O702" s="59">
        <f>IFERROR(SUMIF(ETM!$A:$A,$Q702,ETM!$E:$E),"")</f>
        <v>0</v>
      </c>
      <c r="P702" s="855">
        <f>IFERROR(L702/O702,0)</f>
        <v>0</v>
      </c>
      <c r="Q702" s="666" t="s">
        <v>1413</v>
      </c>
      <c r="R702" s="785" t="str">
        <f>IFERROR(VLOOKUP($Q702,'391'!$S:$Z,8,0),"")</f>
        <v/>
      </c>
      <c r="S702" s="796"/>
      <c r="T702" s="797"/>
      <c r="U702" s="797"/>
      <c r="V702" s="797"/>
      <c r="W702" s="785">
        <f>IFERROR(VLOOKUP($Q702,'391'!$S:$AG,15,0),0)</f>
        <v>0</v>
      </c>
      <c r="X702" s="1090">
        <f t="shared" si="448"/>
        <v>0</v>
      </c>
      <c r="Y702" s="785"/>
      <c r="Z702" s="785"/>
      <c r="AA702" s="797"/>
      <c r="AB702" s="797"/>
      <c r="AC702" s="551"/>
      <c r="AD702" s="551"/>
      <c r="AE702" s="551"/>
      <c r="AF702" s="551"/>
      <c r="AG702" s="551"/>
      <c r="AH702" s="551"/>
      <c r="AI702" s="704"/>
      <c r="AJ702" s="704"/>
      <c r="AK702" s="704"/>
      <c r="AL702" s="704"/>
      <c r="AM702" s="704"/>
      <c r="AN702" s="704"/>
      <c r="AO702" s="704"/>
      <c r="AP702" s="704"/>
      <c r="AQ702" s="704"/>
      <c r="AR702" s="704"/>
      <c r="AS702" s="704"/>
    </row>
    <row r="703" spans="1:45" s="13" customFormat="1" ht="30" hidden="1" customHeight="1" x14ac:dyDescent="0.25">
      <c r="A703" s="2063" t="str">
        <f>IF(L708=0,"",MAX($A$16:A702)+1)</f>
        <v/>
      </c>
      <c r="B703" s="2043" t="s">
        <v>1405</v>
      </c>
      <c r="C703" s="114" t="s">
        <v>257</v>
      </c>
      <c r="D703" s="959" t="s">
        <v>10</v>
      </c>
      <c r="E703" s="933">
        <v>45364</v>
      </c>
      <c r="F703" s="42">
        <f>$L$7-E703</f>
        <v>922</v>
      </c>
      <c r="G703" s="12">
        <v>0</v>
      </c>
      <c r="H703" s="12"/>
      <c r="I703" s="12"/>
      <c r="J703" s="1368"/>
      <c r="K703" s="12">
        <f>IFERROR(SUMIF(INTAKE!$A:$A,$T703,INTAKE!$P:$P),0)</f>
        <v>0</v>
      </c>
      <c r="L703" s="1533">
        <f t="shared" ref="L703:L724" si="455">+G703+H703+I703-J703-K703</f>
        <v>0</v>
      </c>
      <c r="M703" s="48"/>
      <c r="N703" s="163"/>
      <c r="O703" s="48"/>
      <c r="P703" s="738"/>
      <c r="Q703" s="795"/>
      <c r="R703" s="785">
        <f>IFERROR(VLOOKUP($Q703,'391'!$S:$Z,8,0),"")</f>
        <v>0</v>
      </c>
      <c r="S703" s="796"/>
      <c r="T703" s="797" t="str">
        <f>$Q$708&amp;C703&amp;E703</f>
        <v>Euro Biosweet (Dehydrated Carob Powder)C245364</v>
      </c>
      <c r="U703" s="797"/>
      <c r="V703" s="797"/>
      <c r="W703" s="785">
        <f>IFERROR(VLOOKUP($Q703,'391'!$S:$AG,15,0),0)</f>
        <v>0</v>
      </c>
      <c r="X703" s="1090">
        <f t="shared" si="448"/>
        <v>0</v>
      </c>
      <c r="Y703" s="785"/>
      <c r="Z703" s="785"/>
      <c r="AA703" s="797"/>
      <c r="AB703" s="797"/>
      <c r="AC703" s="683"/>
      <c r="AD703" s="683"/>
      <c r="AE703" s="683"/>
      <c r="AF703" s="683"/>
      <c r="AG703" s="683"/>
      <c r="AH703" s="683"/>
      <c r="AI703" s="705"/>
      <c r="AJ703" s="705"/>
      <c r="AK703" s="705"/>
      <c r="AL703" s="705"/>
      <c r="AM703" s="705"/>
      <c r="AN703" s="705"/>
      <c r="AO703" s="705"/>
      <c r="AP703" s="705"/>
      <c r="AQ703" s="705"/>
      <c r="AR703" s="705"/>
      <c r="AS703" s="705"/>
    </row>
    <row r="704" spans="1:45" s="13" customFormat="1" ht="30" hidden="1" customHeight="1" x14ac:dyDescent="0.25">
      <c r="A704" s="2078"/>
      <c r="B704" s="2065"/>
      <c r="C704" s="114"/>
      <c r="D704" s="959" t="s">
        <v>10</v>
      </c>
      <c r="E704" s="933">
        <v>45364</v>
      </c>
      <c r="F704" s="42">
        <f>$L$7-E704</f>
        <v>922</v>
      </c>
      <c r="G704" s="12">
        <v>0</v>
      </c>
      <c r="H704" s="12"/>
      <c r="I704" s="12"/>
      <c r="J704" s="1368"/>
      <c r="K704" s="12">
        <f>IFERROR(SUMIF(INTAKE!$A:$A,$T704,INTAKE!$P:$P),0)</f>
        <v>0</v>
      </c>
      <c r="L704" s="1533">
        <f t="shared" si="455"/>
        <v>0</v>
      </c>
      <c r="M704" s="48"/>
      <c r="N704" s="163"/>
      <c r="O704" s="48"/>
      <c r="P704" s="738"/>
      <c r="Q704" s="795"/>
      <c r="R704" s="785">
        <f>IFERROR(VLOOKUP($Q704,'391'!$S:$Z,8,0),"")</f>
        <v>0</v>
      </c>
      <c r="S704" s="796"/>
      <c r="T704" s="797" t="str">
        <f>$Q$708&amp;C704&amp;E704</f>
        <v>Euro Biosweet (Dehydrated Carob Powder)45364</v>
      </c>
      <c r="U704" s="797"/>
      <c r="V704" s="797"/>
      <c r="W704" s="785">
        <f>IFERROR(VLOOKUP($Q704,'391'!$S:$AG,15,0),0)</f>
        <v>0</v>
      </c>
      <c r="X704" s="1090">
        <f t="shared" si="448"/>
        <v>0</v>
      </c>
      <c r="Y704" s="785"/>
      <c r="Z704" s="785"/>
      <c r="AA704" s="797"/>
      <c r="AB704" s="797"/>
      <c r="AC704" s="683"/>
      <c r="AD704" s="683"/>
      <c r="AE704" s="683"/>
      <c r="AF704" s="683"/>
      <c r="AG704" s="683"/>
      <c r="AH704" s="683"/>
      <c r="AI704" s="705"/>
      <c r="AJ704" s="705"/>
      <c r="AK704" s="705"/>
      <c r="AL704" s="705"/>
      <c r="AM704" s="705"/>
      <c r="AN704" s="705"/>
      <c r="AO704" s="705"/>
      <c r="AP704" s="705"/>
      <c r="AQ704" s="705"/>
      <c r="AR704" s="705"/>
      <c r="AS704" s="705"/>
    </row>
    <row r="705" spans="1:45" s="13" customFormat="1" ht="30" hidden="1" customHeight="1" x14ac:dyDescent="0.25">
      <c r="A705" s="2078"/>
      <c r="B705" s="2069"/>
      <c r="C705" s="114"/>
      <c r="D705" s="959" t="s">
        <v>10</v>
      </c>
      <c r="E705" s="933">
        <v>45199</v>
      </c>
      <c r="F705" s="42">
        <f>$L$7-E705</f>
        <v>1087</v>
      </c>
      <c r="G705" s="12">
        <v>0</v>
      </c>
      <c r="H705" s="12"/>
      <c r="I705" s="12"/>
      <c r="J705" s="1368"/>
      <c r="K705" s="12">
        <f>IFERROR(SUMIF(INTAKE!$A:$A,$T705,INTAKE!$P:$P),0)</f>
        <v>0</v>
      </c>
      <c r="L705" s="1533">
        <f t="shared" si="455"/>
        <v>0</v>
      </c>
      <c r="M705" s="45"/>
      <c r="N705" s="162"/>
      <c r="O705" s="45"/>
      <c r="P705" s="736"/>
      <c r="Q705" s="795"/>
      <c r="R705" s="785">
        <f>IFERROR(VLOOKUP($Q705,'391'!$S:$Z,8,0),"")</f>
        <v>0</v>
      </c>
      <c r="S705" s="796"/>
      <c r="T705" s="797" t="str">
        <f>$Q$708&amp;C705&amp;E705</f>
        <v>Euro Biosweet (Dehydrated Carob Powder)45199</v>
      </c>
      <c r="U705" s="797"/>
      <c r="V705" s="797"/>
      <c r="W705" s="785">
        <f>IFERROR(VLOOKUP($Q705,'391'!$S:$AG,15,0),0)</f>
        <v>0</v>
      </c>
      <c r="X705" s="1090">
        <f t="shared" si="448"/>
        <v>0</v>
      </c>
      <c r="Y705" s="785"/>
      <c r="Z705" s="785"/>
      <c r="AA705" s="797"/>
      <c r="AB705" s="797"/>
      <c r="AC705" s="683"/>
      <c r="AD705" s="683"/>
      <c r="AE705" s="683"/>
      <c r="AF705" s="683"/>
      <c r="AG705" s="683"/>
      <c r="AH705" s="683"/>
      <c r="AI705" s="705"/>
      <c r="AJ705" s="705"/>
      <c r="AK705" s="705"/>
      <c r="AL705" s="705"/>
      <c r="AM705" s="705"/>
      <c r="AN705" s="705"/>
      <c r="AO705" s="705"/>
      <c r="AP705" s="705"/>
      <c r="AQ705" s="705"/>
      <c r="AR705" s="705"/>
      <c r="AS705" s="705"/>
    </row>
    <row r="706" spans="1:45" s="13" customFormat="1" ht="30" hidden="1" customHeight="1" x14ac:dyDescent="0.25">
      <c r="A706" s="2078"/>
      <c r="B706" s="2065"/>
      <c r="C706" s="114"/>
      <c r="D706" s="959" t="s">
        <v>10</v>
      </c>
      <c r="E706" s="933">
        <v>44942</v>
      </c>
      <c r="F706" s="42">
        <f>$L$7-E706</f>
        <v>1344</v>
      </c>
      <c r="G706" s="12">
        <v>0</v>
      </c>
      <c r="H706" s="12"/>
      <c r="I706" s="12"/>
      <c r="J706" s="1368"/>
      <c r="K706" s="12">
        <f>IFERROR(SUMIF(INTAKE!$A:$A,$T706,INTAKE!$P:$P),0)</f>
        <v>0</v>
      </c>
      <c r="L706" s="1533">
        <f t="shared" si="455"/>
        <v>0</v>
      </c>
      <c r="M706" s="45"/>
      <c r="N706" s="162"/>
      <c r="O706" s="45"/>
      <c r="P706" s="736"/>
      <c r="Q706" s="795"/>
      <c r="R706" s="785">
        <f>IFERROR(VLOOKUP($Q706,'391'!$S:$Z,8,0),"")</f>
        <v>0</v>
      </c>
      <c r="S706" s="796"/>
      <c r="T706" s="797" t="str">
        <f>$Q$708&amp;C706&amp;E706</f>
        <v>Euro Biosweet (Dehydrated Carob Powder)44942</v>
      </c>
      <c r="U706" s="797"/>
      <c r="V706" s="797"/>
      <c r="W706" s="785">
        <f>IFERROR(VLOOKUP($Q706,'391'!$S:$AG,15,0),0)</f>
        <v>0</v>
      </c>
      <c r="X706" s="1090">
        <f t="shared" si="448"/>
        <v>0</v>
      </c>
      <c r="Y706" s="785"/>
      <c r="Z706" s="785"/>
      <c r="AA706" s="797"/>
      <c r="AB706" s="797"/>
      <c r="AC706" s="683"/>
      <c r="AD706" s="683"/>
      <c r="AE706" s="683"/>
      <c r="AF706" s="683"/>
      <c r="AG706" s="683"/>
      <c r="AH706" s="683"/>
      <c r="AI706" s="705"/>
      <c r="AJ706" s="705"/>
      <c r="AK706" s="705"/>
      <c r="AL706" s="705"/>
      <c r="AM706" s="705"/>
      <c r="AN706" s="705"/>
      <c r="AO706" s="705"/>
      <c r="AP706" s="705"/>
      <c r="AQ706" s="705"/>
      <c r="AR706" s="705"/>
      <c r="AS706" s="705"/>
    </row>
    <row r="707" spans="1:45" s="13" customFormat="1" ht="30" hidden="1" customHeight="1" x14ac:dyDescent="0.25">
      <c r="A707" s="2078"/>
      <c r="B707" s="2065"/>
      <c r="C707" s="107" t="s">
        <v>343</v>
      </c>
      <c r="D707" s="850" t="s">
        <v>10</v>
      </c>
      <c r="E707" s="960">
        <v>45364</v>
      </c>
      <c r="F707" s="42">
        <f>$L$7-E707</f>
        <v>922</v>
      </c>
      <c r="G707" s="56">
        <v>0</v>
      </c>
      <c r="H707" s="958"/>
      <c r="I707" s="56">
        <f>+SUM(K703:K704)</f>
        <v>0</v>
      </c>
      <c r="J707" s="56"/>
      <c r="K707" s="12">
        <f>IFERROR(SUMIF(INTAKE!$A:$A,$T707,INTAKE!$P:$P),0)</f>
        <v>0</v>
      </c>
      <c r="L707" s="1533">
        <f t="shared" si="455"/>
        <v>0</v>
      </c>
      <c r="M707" s="45"/>
      <c r="N707" s="162"/>
      <c r="O707" s="45"/>
      <c r="P707" s="736"/>
      <c r="Q707" s="795"/>
      <c r="R707" s="785">
        <f>IFERROR(VLOOKUP($Q707,'391'!$S:$Z,8,0),"")</f>
        <v>0</v>
      </c>
      <c r="S707" s="796"/>
      <c r="T707" s="797" t="str">
        <f>$Q$708&amp;C707&amp;E707</f>
        <v>Euro Biosweet (Dehydrated Carob Powder)FM8045364</v>
      </c>
      <c r="U707" s="797"/>
      <c r="V707" s="797"/>
      <c r="W707" s="785">
        <f>IFERROR(VLOOKUP($Q707,'391'!$S:$AG,15,0),0)</f>
        <v>0</v>
      </c>
      <c r="X707" s="1090">
        <f t="shared" si="448"/>
        <v>0</v>
      </c>
      <c r="Y707" s="785"/>
      <c r="Z707" s="785"/>
      <c r="AA707" s="797"/>
      <c r="AB707" s="797"/>
      <c r="AC707" s="683"/>
      <c r="AD707" s="683"/>
      <c r="AE707" s="683"/>
      <c r="AF707" s="683"/>
      <c r="AG707" s="683"/>
      <c r="AH707" s="683"/>
      <c r="AI707" s="705"/>
      <c r="AJ707" s="705"/>
      <c r="AK707" s="705"/>
      <c r="AL707" s="705"/>
      <c r="AM707" s="705"/>
      <c r="AN707" s="705"/>
      <c r="AO707" s="705"/>
      <c r="AP707" s="705"/>
      <c r="AQ707" s="705"/>
      <c r="AR707" s="705"/>
      <c r="AS707" s="705"/>
    </row>
    <row r="708" spans="1:45" s="265" customFormat="1" ht="30" hidden="1" customHeight="1" x14ac:dyDescent="0.25">
      <c r="A708" s="2019" t="s">
        <v>1415</v>
      </c>
      <c r="B708" s="2020"/>
      <c r="C708" s="88"/>
      <c r="D708" s="900"/>
      <c r="E708" s="901"/>
      <c r="F708" s="902"/>
      <c r="G708" s="1380">
        <v>0</v>
      </c>
      <c r="H708" s="1380">
        <f t="shared" ref="H708:K708" si="456">+SUM(H703:H707)</f>
        <v>0</v>
      </c>
      <c r="I708" s="1380">
        <f t="shared" si="456"/>
        <v>0</v>
      </c>
      <c r="J708" s="1380">
        <f t="shared" si="456"/>
        <v>0</v>
      </c>
      <c r="K708" s="1380">
        <f t="shared" si="456"/>
        <v>0</v>
      </c>
      <c r="L708" s="1533">
        <f t="shared" si="455"/>
        <v>0</v>
      </c>
      <c r="M708" s="59" t="str">
        <f>IFERROR((R708/$S$2),"")</f>
        <v/>
      </c>
      <c r="N708" s="366">
        <f>IFERROR(L708/M708,0)</f>
        <v>0</v>
      </c>
      <c r="O708" s="59">
        <f>IFERROR(SUMIF(ETM!$A:$A,$Q708,ETM!$E:$E),"")</f>
        <v>0</v>
      </c>
      <c r="P708" s="855">
        <f>IFERROR(L708/O708,0)</f>
        <v>0</v>
      </c>
      <c r="Q708" s="814" t="s">
        <v>1406</v>
      </c>
      <c r="R708" s="785" t="str">
        <f>IFERROR(VLOOKUP($Q708,'391'!$S:$Z,8,0),"")</f>
        <v/>
      </c>
      <c r="S708" s="796"/>
      <c r="T708" s="797"/>
      <c r="U708" s="797"/>
      <c r="V708" s="797"/>
      <c r="W708" s="785">
        <f>IFERROR(VLOOKUP($Q708,'391'!$S:$AG,15,0),0)</f>
        <v>0</v>
      </c>
      <c r="X708" s="1090">
        <f t="shared" si="448"/>
        <v>0</v>
      </c>
      <c r="Y708" s="785"/>
      <c r="Z708" s="785"/>
      <c r="AA708" s="797"/>
      <c r="AB708" s="797"/>
      <c r="AC708" s="551"/>
      <c r="AD708" s="551"/>
      <c r="AE708" s="551"/>
      <c r="AF708" s="551"/>
      <c r="AG708" s="551"/>
      <c r="AH708" s="551"/>
      <c r="AI708" s="704"/>
      <c r="AJ708" s="704"/>
      <c r="AK708" s="704"/>
      <c r="AL708" s="704"/>
      <c r="AM708" s="704"/>
      <c r="AN708" s="704"/>
      <c r="AO708" s="704"/>
      <c r="AP708" s="704"/>
      <c r="AQ708" s="704"/>
      <c r="AR708" s="704"/>
      <c r="AS708" s="704"/>
    </row>
    <row r="709" spans="1:45" customFormat="1" ht="30" hidden="1" customHeight="1" x14ac:dyDescent="0.25">
      <c r="A709" s="2063" t="str">
        <f>IF(L719=0,"",MAX($A$16:A708)+1)</f>
        <v/>
      </c>
      <c r="B709" s="2099" t="s">
        <v>484</v>
      </c>
      <c r="C709" s="114" t="s">
        <v>983</v>
      </c>
      <c r="D709" s="959" t="s">
        <v>10</v>
      </c>
      <c r="E709" s="933">
        <v>45180</v>
      </c>
      <c r="F709" s="73">
        <f t="shared" ref="F709:F718" si="457">$L$7-E709</f>
        <v>1106</v>
      </c>
      <c r="G709" s="11">
        <v>0</v>
      </c>
      <c r="H709" s="64"/>
      <c r="I709" s="64"/>
      <c r="J709" s="920"/>
      <c r="K709" s="1381">
        <f>IFERROR(SUMIF(INTAKE!$A:$A,$T709,INTAKE!$P:$P),0)</f>
        <v>0</v>
      </c>
      <c r="L709" s="1533">
        <f t="shared" si="455"/>
        <v>0</v>
      </c>
      <c r="M709" s="48"/>
      <c r="N709" s="163"/>
      <c r="O709" s="48"/>
      <c r="P709" s="738"/>
      <c r="Q709" s="795"/>
      <c r="R709" s="785">
        <f>IFERROR(VLOOKUP($Q709,'391'!$S:$Z,8,0),"")</f>
        <v>0</v>
      </c>
      <c r="S709" s="815"/>
      <c r="T709" s="816" t="str">
        <f t="shared" ref="T709:T718" si="458">$Q$719&amp;C709&amp;E709</f>
        <v>Dabomb-P (soya protein)B15.245180</v>
      </c>
      <c r="U709" s="816"/>
      <c r="V709" s="816"/>
      <c r="W709" s="785">
        <f>IFERROR(VLOOKUP($Q709,'391'!$S:$AG,15,0),0)</f>
        <v>0</v>
      </c>
      <c r="X709" s="1090">
        <f t="shared" si="448"/>
        <v>0</v>
      </c>
      <c r="Y709" s="785"/>
      <c r="Z709" s="785"/>
      <c r="AA709" s="816"/>
      <c r="AB709" s="816"/>
      <c r="AC709" s="686"/>
      <c r="AD709" s="686"/>
      <c r="AE709" s="686"/>
      <c r="AF709" s="686"/>
      <c r="AG709" s="686"/>
      <c r="AH709" s="686"/>
      <c r="AI709" s="686"/>
      <c r="AJ709" s="708"/>
      <c r="AK709" s="708"/>
      <c r="AL709" s="708"/>
      <c r="AM709" s="708"/>
      <c r="AN709" s="708"/>
      <c r="AO709" s="708"/>
      <c r="AP709" s="708"/>
      <c r="AQ709" s="708"/>
      <c r="AR709" s="708"/>
      <c r="AS709" s="708"/>
    </row>
    <row r="710" spans="1:45" customFormat="1" ht="30" hidden="1" customHeight="1" x14ac:dyDescent="0.25">
      <c r="A710" s="2078"/>
      <c r="B710" s="2100"/>
      <c r="C710" s="114" t="s">
        <v>1316</v>
      </c>
      <c r="D710" s="959" t="s">
        <v>10</v>
      </c>
      <c r="E710" s="933">
        <v>45195</v>
      </c>
      <c r="F710" s="73">
        <f t="shared" si="457"/>
        <v>1091</v>
      </c>
      <c r="G710" s="11">
        <v>0</v>
      </c>
      <c r="H710" s="64"/>
      <c r="I710" s="64"/>
      <c r="J710" s="1382"/>
      <c r="K710" s="1383">
        <f>IFERROR(SUMIF(INTAKE!$A:$A,$T710,INTAKE!$P:$P),0)</f>
        <v>0</v>
      </c>
      <c r="L710" s="1533">
        <f t="shared" si="455"/>
        <v>0</v>
      </c>
      <c r="M710" s="48"/>
      <c r="N710" s="163"/>
      <c r="O710" s="48"/>
      <c r="P710" s="738"/>
      <c r="Q710" s="795"/>
      <c r="R710" s="785">
        <f>IFERROR(VLOOKUP($Q710,'391'!$S:$Z,8,0),"")</f>
        <v>0</v>
      </c>
      <c r="S710" s="815"/>
      <c r="T710" s="816" t="str">
        <f t="shared" si="458"/>
        <v>Dabomb-P (soya protein)B18.145195</v>
      </c>
      <c r="U710" s="816"/>
      <c r="V710" s="816"/>
      <c r="W710" s="785">
        <f>IFERROR(VLOOKUP($Q710,'391'!$S:$AG,15,0),0)</f>
        <v>0</v>
      </c>
      <c r="X710" s="1090">
        <f t="shared" si="448"/>
        <v>0</v>
      </c>
      <c r="Y710" s="785"/>
      <c r="Z710" s="785"/>
      <c r="AA710" s="816"/>
      <c r="AB710" s="816"/>
      <c r="AC710" s="686"/>
      <c r="AD710" s="686"/>
      <c r="AE710" s="686"/>
      <c r="AF710" s="686"/>
      <c r="AG710" s="686"/>
      <c r="AH710" s="686"/>
      <c r="AI710" s="686"/>
      <c r="AJ710" s="708"/>
      <c r="AK710" s="708"/>
      <c r="AL710" s="708"/>
      <c r="AM710" s="708"/>
      <c r="AN710" s="708"/>
      <c r="AO710" s="708"/>
      <c r="AP710" s="708"/>
      <c r="AQ710" s="708"/>
      <c r="AR710" s="708"/>
      <c r="AS710" s="708"/>
    </row>
    <row r="711" spans="1:45" customFormat="1" ht="30" hidden="1" customHeight="1" x14ac:dyDescent="0.25">
      <c r="A711" s="2078"/>
      <c r="B711" s="2100"/>
      <c r="C711" s="114"/>
      <c r="D711" s="959" t="s">
        <v>10</v>
      </c>
      <c r="E711" s="933">
        <v>45195</v>
      </c>
      <c r="F711" s="73">
        <f t="shared" si="457"/>
        <v>1091</v>
      </c>
      <c r="G711" s="11">
        <v>0</v>
      </c>
      <c r="H711" s="64"/>
      <c r="I711" s="64"/>
      <c r="J711" s="920"/>
      <c r="K711" s="1383">
        <f>IFERROR(SUMIF(INTAKE!$A:$A,$T711,INTAKE!$P:$P),0)</f>
        <v>0</v>
      </c>
      <c r="L711" s="1533">
        <f t="shared" si="455"/>
        <v>0</v>
      </c>
      <c r="M711" s="48"/>
      <c r="N711" s="163"/>
      <c r="O711" s="48"/>
      <c r="P711" s="738"/>
      <c r="Q711" s="795"/>
      <c r="R711" s="785">
        <f>IFERROR(VLOOKUP($Q711,'391'!$S:$Z,8,0),"")</f>
        <v>0</v>
      </c>
      <c r="S711" s="815"/>
      <c r="T711" s="816" t="str">
        <f t="shared" si="458"/>
        <v>Dabomb-P (soya protein)45195</v>
      </c>
      <c r="U711" s="816"/>
      <c r="V711" s="816"/>
      <c r="W711" s="785">
        <f>IFERROR(VLOOKUP($Q711,'391'!$S:$AG,15,0),0)</f>
        <v>0</v>
      </c>
      <c r="X711" s="1090">
        <f t="shared" si="448"/>
        <v>0</v>
      </c>
      <c r="Y711" s="785"/>
      <c r="Z711" s="785"/>
      <c r="AA711" s="816"/>
      <c r="AB711" s="816"/>
      <c r="AC711" s="686"/>
      <c r="AD711" s="686"/>
      <c r="AE711" s="686"/>
      <c r="AF711" s="686"/>
      <c r="AG711" s="686"/>
      <c r="AH711" s="686"/>
      <c r="AI711" s="686"/>
      <c r="AJ711" s="708"/>
      <c r="AK711" s="708"/>
      <c r="AL711" s="708"/>
      <c r="AM711" s="708"/>
      <c r="AN711" s="708"/>
      <c r="AO711" s="708"/>
      <c r="AP711" s="708"/>
      <c r="AQ711" s="708"/>
      <c r="AR711" s="708"/>
      <c r="AS711" s="708"/>
    </row>
    <row r="712" spans="1:45" customFormat="1" ht="30" hidden="1" customHeight="1" x14ac:dyDescent="0.25">
      <c r="A712" s="2078"/>
      <c r="B712" s="2100"/>
      <c r="C712" s="114"/>
      <c r="D712" s="959" t="s">
        <v>10</v>
      </c>
      <c r="E712" s="933">
        <v>45195</v>
      </c>
      <c r="F712" s="73">
        <f t="shared" si="457"/>
        <v>1091</v>
      </c>
      <c r="G712" s="11">
        <v>0</v>
      </c>
      <c r="H712" s="64"/>
      <c r="I712" s="64"/>
      <c r="J712" s="1269"/>
      <c r="K712" s="1383">
        <f>IFERROR(SUMIF(INTAKE!$A:$A,$T712,INTAKE!$P:$P),0)</f>
        <v>0</v>
      </c>
      <c r="L712" s="1533">
        <f t="shared" si="455"/>
        <v>0</v>
      </c>
      <c r="M712" s="48"/>
      <c r="N712" s="163"/>
      <c r="O712" s="48"/>
      <c r="P712" s="738"/>
      <c r="Q712" s="795"/>
      <c r="R712" s="785">
        <f>IFERROR(VLOOKUP($Q712,'391'!$S:$Z,8,0),"")</f>
        <v>0</v>
      </c>
      <c r="S712" s="815"/>
      <c r="T712" s="816" t="str">
        <f t="shared" si="458"/>
        <v>Dabomb-P (soya protein)45195</v>
      </c>
      <c r="U712" s="816"/>
      <c r="V712" s="816"/>
      <c r="W712" s="785">
        <f>IFERROR(VLOOKUP($Q712,'391'!$S:$AG,15,0),0)</f>
        <v>0</v>
      </c>
      <c r="X712" s="1090">
        <f t="shared" si="448"/>
        <v>0</v>
      </c>
      <c r="Y712" s="785"/>
      <c r="Z712" s="785"/>
      <c r="AA712" s="816"/>
      <c r="AB712" s="816"/>
      <c r="AC712" s="686"/>
      <c r="AD712" s="686"/>
      <c r="AE712" s="686"/>
      <c r="AF712" s="686"/>
      <c r="AG712" s="686"/>
      <c r="AH712" s="686"/>
      <c r="AI712" s="686"/>
      <c r="AJ712" s="708"/>
      <c r="AK712" s="708"/>
      <c r="AL712" s="708"/>
      <c r="AM712" s="708"/>
      <c r="AN712" s="708"/>
      <c r="AO712" s="708"/>
      <c r="AP712" s="708"/>
      <c r="AQ712" s="708"/>
      <c r="AR712" s="708"/>
      <c r="AS712" s="708"/>
    </row>
    <row r="713" spans="1:45" customFormat="1" ht="30" hidden="1" customHeight="1" x14ac:dyDescent="0.25">
      <c r="A713" s="2078"/>
      <c r="B713" s="2100"/>
      <c r="C713" s="114"/>
      <c r="D713" s="959" t="s">
        <v>10</v>
      </c>
      <c r="E713" s="933">
        <v>45191</v>
      </c>
      <c r="F713" s="73">
        <f t="shared" si="457"/>
        <v>1095</v>
      </c>
      <c r="G713" s="11">
        <v>0</v>
      </c>
      <c r="H713" s="64"/>
      <c r="I713" s="64"/>
      <c r="J713" s="1269"/>
      <c r="K713" s="1383">
        <f>IFERROR(SUMIF(INTAKE!$A:$A,$T713,INTAKE!$P:$P),0)</f>
        <v>0</v>
      </c>
      <c r="L713" s="1533">
        <f t="shared" si="455"/>
        <v>0</v>
      </c>
      <c r="M713" s="48"/>
      <c r="N713" s="163"/>
      <c r="O713" s="48"/>
      <c r="P713" s="738"/>
      <c r="Q713" s="795"/>
      <c r="R713" s="785">
        <f>IFERROR(VLOOKUP($Q713,'391'!$S:$Z,8,0),"")</f>
        <v>0</v>
      </c>
      <c r="S713" s="815"/>
      <c r="T713" s="816" t="str">
        <f t="shared" si="458"/>
        <v>Dabomb-P (soya protein)45191</v>
      </c>
      <c r="U713" s="816"/>
      <c r="V713" s="816"/>
      <c r="W713" s="785">
        <f>IFERROR(VLOOKUP($Q713,'391'!$S:$AG,15,0),0)</f>
        <v>0</v>
      </c>
      <c r="X713" s="1090">
        <f t="shared" si="448"/>
        <v>0</v>
      </c>
      <c r="Y713" s="785"/>
      <c r="Z713" s="785"/>
      <c r="AA713" s="816"/>
      <c r="AB713" s="816"/>
      <c r="AC713" s="686"/>
      <c r="AD713" s="686"/>
      <c r="AE713" s="686"/>
      <c r="AF713" s="686"/>
      <c r="AG713" s="686"/>
      <c r="AH713" s="686"/>
      <c r="AI713" s="686"/>
      <c r="AJ713" s="708"/>
      <c r="AK713" s="708"/>
      <c r="AL713" s="708"/>
      <c r="AM713" s="708"/>
      <c r="AN713" s="708"/>
      <c r="AO713" s="708"/>
      <c r="AP713" s="708"/>
      <c r="AQ713" s="708"/>
      <c r="AR713" s="708"/>
      <c r="AS713" s="708"/>
    </row>
    <row r="714" spans="1:45" customFormat="1" ht="30" hidden="1" customHeight="1" x14ac:dyDescent="0.25">
      <c r="A714" s="2078"/>
      <c r="B714" s="2100"/>
      <c r="C714" s="114"/>
      <c r="D714" s="959" t="s">
        <v>10</v>
      </c>
      <c r="E714" s="933">
        <v>45187</v>
      </c>
      <c r="F714" s="73">
        <f t="shared" si="457"/>
        <v>1099</v>
      </c>
      <c r="G714" s="11">
        <v>0</v>
      </c>
      <c r="H714" s="64"/>
      <c r="I714" s="64"/>
      <c r="J714" s="1269"/>
      <c r="K714" s="1383">
        <f>IFERROR(SUMIF(INTAKE!$A:$A,$T714,INTAKE!$P:$P),0)</f>
        <v>0</v>
      </c>
      <c r="L714" s="1533">
        <f t="shared" si="455"/>
        <v>0</v>
      </c>
      <c r="M714" s="48"/>
      <c r="N714" s="163"/>
      <c r="O714" s="48"/>
      <c r="P714" s="738"/>
      <c r="Q714" s="795"/>
      <c r="R714" s="785">
        <f>IFERROR(VLOOKUP($Q714,'391'!$S:$Z,8,0),"")</f>
        <v>0</v>
      </c>
      <c r="S714" s="815"/>
      <c r="T714" s="816" t="str">
        <f t="shared" si="458"/>
        <v>Dabomb-P (soya protein)45187</v>
      </c>
      <c r="U714" s="816"/>
      <c r="V714" s="816"/>
      <c r="W714" s="785">
        <f>IFERROR(VLOOKUP($Q714,'391'!$S:$AG,15,0),0)</f>
        <v>0</v>
      </c>
      <c r="X714" s="1090">
        <f t="shared" si="448"/>
        <v>0</v>
      </c>
      <c r="Y714" s="785"/>
      <c r="Z714" s="785"/>
      <c r="AA714" s="816"/>
      <c r="AB714" s="816"/>
      <c r="AC714" s="686"/>
      <c r="AD714" s="686"/>
      <c r="AE714" s="686"/>
      <c r="AF714" s="686"/>
      <c r="AG714" s="686"/>
      <c r="AH714" s="686"/>
      <c r="AI714" s="686"/>
      <c r="AJ714" s="708"/>
      <c r="AK714" s="708"/>
      <c r="AL714" s="708"/>
      <c r="AM714" s="708"/>
      <c r="AN714" s="708"/>
      <c r="AO714" s="708"/>
      <c r="AP714" s="708"/>
      <c r="AQ714" s="708"/>
      <c r="AR714" s="708"/>
      <c r="AS714" s="708"/>
    </row>
    <row r="715" spans="1:45" customFormat="1" ht="30" hidden="1" customHeight="1" x14ac:dyDescent="0.25">
      <c r="A715" s="2078"/>
      <c r="B715" s="2100"/>
      <c r="C715" s="114"/>
      <c r="D715" s="959" t="s">
        <v>10</v>
      </c>
      <c r="E715" s="933">
        <v>45180</v>
      </c>
      <c r="F715" s="73">
        <f t="shared" si="457"/>
        <v>1106</v>
      </c>
      <c r="G715" s="11">
        <v>0</v>
      </c>
      <c r="H715" s="64"/>
      <c r="I715" s="64"/>
      <c r="J715" s="1269"/>
      <c r="K715" s="1383">
        <f>IFERROR(SUMIF(INTAKE!$A:$A,$T715,INTAKE!$P:$P),0)</f>
        <v>0</v>
      </c>
      <c r="L715" s="1533">
        <f t="shared" si="455"/>
        <v>0</v>
      </c>
      <c r="M715" s="48"/>
      <c r="N715" s="163"/>
      <c r="O715" s="48"/>
      <c r="P715" s="738"/>
      <c r="Q715" s="795"/>
      <c r="R715" s="785">
        <f>IFERROR(VLOOKUP($Q715,'391'!$S:$Z,8,0),"")</f>
        <v>0</v>
      </c>
      <c r="S715" s="815"/>
      <c r="T715" s="816" t="str">
        <f t="shared" si="458"/>
        <v>Dabomb-P (soya protein)45180</v>
      </c>
      <c r="U715" s="816"/>
      <c r="V715" s="816"/>
      <c r="W715" s="785">
        <f>IFERROR(VLOOKUP($Q715,'391'!$S:$AG,15,0),0)</f>
        <v>0</v>
      </c>
      <c r="X715" s="1090">
        <f t="shared" si="448"/>
        <v>0</v>
      </c>
      <c r="Y715" s="785"/>
      <c r="Z715" s="785"/>
      <c r="AA715" s="816"/>
      <c r="AB715" s="816"/>
      <c r="AC715" s="686"/>
      <c r="AD715" s="686"/>
      <c r="AE715" s="686"/>
      <c r="AF715" s="686"/>
      <c r="AG715" s="686"/>
      <c r="AH715" s="686"/>
      <c r="AI715" s="686"/>
      <c r="AJ715" s="708"/>
      <c r="AK715" s="708"/>
      <c r="AL715" s="708"/>
      <c r="AM715" s="708"/>
      <c r="AN715" s="708"/>
      <c r="AO715" s="708"/>
      <c r="AP715" s="708"/>
      <c r="AQ715" s="708"/>
      <c r="AR715" s="708"/>
      <c r="AS715" s="708"/>
    </row>
    <row r="716" spans="1:45" customFormat="1" ht="30" hidden="1" customHeight="1" x14ac:dyDescent="0.25">
      <c r="A716" s="2078"/>
      <c r="B716" s="2100"/>
      <c r="C716" s="114"/>
      <c r="D716" s="959" t="s">
        <v>10</v>
      </c>
      <c r="E716" s="933">
        <v>45180</v>
      </c>
      <c r="F716" s="73">
        <f t="shared" si="457"/>
        <v>1106</v>
      </c>
      <c r="G716" s="11">
        <v>0</v>
      </c>
      <c r="H716" s="64"/>
      <c r="I716" s="64"/>
      <c r="J716" s="1269"/>
      <c r="K716" s="1383">
        <f>IFERROR(SUMIF(INTAKE!$A:$A,$T716,INTAKE!$P:$P),0)</f>
        <v>0</v>
      </c>
      <c r="L716" s="1533">
        <f t="shared" si="455"/>
        <v>0</v>
      </c>
      <c r="M716" s="48"/>
      <c r="N716" s="163"/>
      <c r="O716" s="48"/>
      <c r="P716" s="738"/>
      <c r="Q716" s="795"/>
      <c r="R716" s="785">
        <f>IFERROR(VLOOKUP($Q716,'391'!$S:$Z,8,0),"")</f>
        <v>0</v>
      </c>
      <c r="S716" s="815"/>
      <c r="T716" s="816" t="str">
        <f t="shared" si="458"/>
        <v>Dabomb-P (soya protein)45180</v>
      </c>
      <c r="U716" s="816"/>
      <c r="V716" s="816"/>
      <c r="W716" s="785">
        <f>IFERROR(VLOOKUP($Q716,'391'!$S:$AG,15,0),0)</f>
        <v>0</v>
      </c>
      <c r="X716" s="1090">
        <f t="shared" si="448"/>
        <v>0</v>
      </c>
      <c r="Y716" s="785"/>
      <c r="Z716" s="785"/>
      <c r="AA716" s="816"/>
      <c r="AB716" s="816"/>
      <c r="AC716" s="686"/>
      <c r="AD716" s="686"/>
      <c r="AE716" s="686"/>
      <c r="AF716" s="686"/>
      <c r="AG716" s="686"/>
      <c r="AH716" s="686"/>
      <c r="AI716" s="686"/>
      <c r="AJ716" s="708"/>
      <c r="AK716" s="708"/>
      <c r="AL716" s="708"/>
      <c r="AM716" s="708"/>
      <c r="AN716" s="708"/>
      <c r="AO716" s="708"/>
      <c r="AP716" s="708"/>
      <c r="AQ716" s="708"/>
      <c r="AR716" s="708"/>
      <c r="AS716" s="708"/>
    </row>
    <row r="717" spans="1:45" customFormat="1" ht="30" hidden="1" customHeight="1" x14ac:dyDescent="0.25">
      <c r="A717" s="2078"/>
      <c r="B717" s="2100"/>
      <c r="C717" s="114"/>
      <c r="D717" s="959" t="s">
        <v>10</v>
      </c>
      <c r="E717" s="933">
        <v>45180</v>
      </c>
      <c r="F717" s="73">
        <f t="shared" si="457"/>
        <v>1106</v>
      </c>
      <c r="G717" s="11">
        <v>0</v>
      </c>
      <c r="H717" s="64"/>
      <c r="I717" s="64"/>
      <c r="J717" s="1269"/>
      <c r="K717" s="1383">
        <f>IFERROR(SUMIF(INTAKE!$A:$A,$T717,INTAKE!$P:$P),0)</f>
        <v>0</v>
      </c>
      <c r="L717" s="1533">
        <f t="shared" si="455"/>
        <v>0</v>
      </c>
      <c r="M717" s="48"/>
      <c r="N717" s="163"/>
      <c r="O717" s="48"/>
      <c r="P717" s="738"/>
      <c r="Q717" s="795"/>
      <c r="R717" s="785">
        <f>IFERROR(VLOOKUP($Q717,'391'!$S:$Z,8,0),"")</f>
        <v>0</v>
      </c>
      <c r="S717" s="815"/>
      <c r="T717" s="816" t="str">
        <f t="shared" si="458"/>
        <v>Dabomb-P (soya protein)45180</v>
      </c>
      <c r="U717" s="816"/>
      <c r="V717" s="816"/>
      <c r="W717" s="785">
        <f>IFERROR(VLOOKUP($Q717,'391'!$S:$AG,15,0),0)</f>
        <v>0</v>
      </c>
      <c r="X717" s="1090">
        <f t="shared" si="448"/>
        <v>0</v>
      </c>
      <c r="Y717" s="785"/>
      <c r="Z717" s="785"/>
      <c r="AA717" s="816"/>
      <c r="AB717" s="816"/>
      <c r="AC717" s="686"/>
      <c r="AD717" s="686"/>
      <c r="AE717" s="686"/>
      <c r="AF717" s="686"/>
      <c r="AG717" s="686"/>
      <c r="AH717" s="686"/>
      <c r="AI717" s="686"/>
      <c r="AJ717" s="708"/>
      <c r="AK717" s="708"/>
      <c r="AL717" s="708"/>
      <c r="AM717" s="708"/>
      <c r="AN717" s="708"/>
      <c r="AO717" s="708"/>
      <c r="AP717" s="708"/>
      <c r="AQ717" s="708"/>
      <c r="AR717" s="708"/>
      <c r="AS717" s="708"/>
    </row>
    <row r="718" spans="1:45" customFormat="1" ht="30" hidden="1" customHeight="1" x14ac:dyDescent="0.25">
      <c r="A718" s="2064"/>
      <c r="B718" s="2101"/>
      <c r="C718" s="107" t="s">
        <v>1341</v>
      </c>
      <c r="D718" s="850" t="s">
        <v>10</v>
      </c>
      <c r="E718" s="960">
        <v>45195</v>
      </c>
      <c r="F718" s="42">
        <f t="shared" si="457"/>
        <v>1091</v>
      </c>
      <c r="G718" s="56">
        <v>0</v>
      </c>
      <c r="H718" s="958"/>
      <c r="I718" s="56">
        <f>+SUM(K709:K718)</f>
        <v>0</v>
      </c>
      <c r="J718" s="56">
        <f>+usage!I75</f>
        <v>0</v>
      </c>
      <c r="K718" s="1384">
        <f>IFERROR(SUMIF(INTAKE!$A:$A,$T718,INTAKE!$P:$P),0)</f>
        <v>0</v>
      </c>
      <c r="L718" s="1533">
        <f t="shared" si="455"/>
        <v>0</v>
      </c>
      <c r="M718" s="45"/>
      <c r="N718" s="162"/>
      <c r="O718" s="45"/>
      <c r="P718" s="736"/>
      <c r="Q718" s="795"/>
      <c r="R718" s="785">
        <f>IFERROR(VLOOKUP($Q718,'391'!$S:$Z,8,0),"")</f>
        <v>0</v>
      </c>
      <c r="S718" s="815"/>
      <c r="T718" s="816" t="str">
        <f t="shared" si="458"/>
        <v>Dabomb-P (soya protein)FM8145195</v>
      </c>
      <c r="U718" s="816"/>
      <c r="V718" s="816"/>
      <c r="W718" s="785">
        <f>IFERROR(VLOOKUP($Q718,'391'!$S:$AG,15,0),0)</f>
        <v>0</v>
      </c>
      <c r="X718" s="1090">
        <f t="shared" ref="X718:X745" si="459">G718-W718</f>
        <v>0</v>
      </c>
      <c r="Y718" s="785"/>
      <c r="Z718" s="785"/>
      <c r="AA718" s="816"/>
      <c r="AB718" s="816"/>
      <c r="AC718" s="686"/>
      <c r="AD718" s="686"/>
      <c r="AE718" s="686"/>
      <c r="AF718" s="686"/>
      <c r="AG718" s="686"/>
      <c r="AH718" s="686"/>
      <c r="AI718" s="686"/>
      <c r="AJ718" s="708"/>
      <c r="AK718" s="708"/>
      <c r="AL718" s="708"/>
      <c r="AM718" s="708"/>
      <c r="AN718" s="708"/>
      <c r="AO718" s="708"/>
      <c r="AP718" s="708"/>
      <c r="AQ718" s="708"/>
      <c r="AR718" s="708"/>
      <c r="AS718" s="708"/>
    </row>
    <row r="719" spans="1:45" s="265" customFormat="1" ht="30" hidden="1" customHeight="1" x14ac:dyDescent="0.25">
      <c r="A719" s="2019" t="s">
        <v>485</v>
      </c>
      <c r="B719" s="2020"/>
      <c r="C719" s="88"/>
      <c r="D719" s="2036"/>
      <c r="E719" s="2062"/>
      <c r="F719" s="901"/>
      <c r="G719" s="1380">
        <v>0</v>
      </c>
      <c r="H719" s="1380">
        <f t="shared" ref="H719:K719" si="460">+SUM(H709:H718)</f>
        <v>0</v>
      </c>
      <c r="I719" s="1380">
        <f t="shared" si="460"/>
        <v>0</v>
      </c>
      <c r="J719" s="1380">
        <f t="shared" si="460"/>
        <v>0</v>
      </c>
      <c r="K719" s="1380">
        <f t="shared" si="460"/>
        <v>0</v>
      </c>
      <c r="L719" s="1533">
        <f t="shared" si="455"/>
        <v>0</v>
      </c>
      <c r="M719" s="59" t="str">
        <f>IFERROR(R719/$S$2,"")</f>
        <v/>
      </c>
      <c r="N719" s="366">
        <f>IFERROR(L719/M719,0)</f>
        <v>0</v>
      </c>
      <c r="O719" s="59">
        <f>IFERROR(SUMIF(ETM!$A:$A,$Q719,ETM!$E:$E),"")</f>
        <v>0</v>
      </c>
      <c r="P719" s="855">
        <f>IFERROR(L719/O719,0)</f>
        <v>0</v>
      </c>
      <c r="Q719" s="814" t="s">
        <v>484</v>
      </c>
      <c r="R719" s="785" t="str">
        <f>IFERROR(VLOOKUP($Q719,'391'!$S:$Z,8,0),"")</f>
        <v/>
      </c>
      <c r="S719" s="796"/>
      <c r="T719" s="817"/>
      <c r="U719" s="797"/>
      <c r="V719" s="797"/>
      <c r="W719" s="785">
        <f>IFERROR(VLOOKUP($Q719,'391'!$S:$AG,15,0),0)</f>
        <v>0</v>
      </c>
      <c r="X719" s="1090">
        <f t="shared" si="459"/>
        <v>0</v>
      </c>
      <c r="Y719" s="785"/>
      <c r="Z719" s="785"/>
      <c r="AA719" s="797"/>
      <c r="AB719" s="797"/>
      <c r="AC719" s="551"/>
      <c r="AD719" s="551"/>
      <c r="AE719" s="551"/>
      <c r="AF719" s="551"/>
      <c r="AG719" s="551"/>
      <c r="AH719" s="551"/>
      <c r="AI719" s="704"/>
      <c r="AJ719" s="704"/>
      <c r="AK719" s="704"/>
      <c r="AL719" s="704"/>
      <c r="AM719" s="704"/>
      <c r="AN719" s="704"/>
      <c r="AO719" s="704"/>
      <c r="AP719" s="704"/>
      <c r="AQ719" s="704"/>
      <c r="AR719" s="704"/>
      <c r="AS719" s="704"/>
    </row>
    <row r="720" spans="1:45" s="13" customFormat="1" ht="28.5" hidden="1" customHeight="1" x14ac:dyDescent="0.25">
      <c r="A720" s="2021">
        <f>IF(L725=0,"",MAX($A$16:A719)+1)</f>
        <v>42</v>
      </c>
      <c r="B720" s="2096" t="s">
        <v>1911</v>
      </c>
      <c r="C720" s="160"/>
      <c r="D720" s="959" t="s">
        <v>10</v>
      </c>
      <c r="E720" s="933">
        <v>46057</v>
      </c>
      <c r="F720" s="74">
        <f>$L$7-E720</f>
        <v>229</v>
      </c>
      <c r="G720" s="63">
        <v>0</v>
      </c>
      <c r="H720" s="63"/>
      <c r="I720" s="63"/>
      <c r="J720" s="1378"/>
      <c r="K720" s="63">
        <f>IFERROR(SUMIF(INTAKE!$A:$A,$T720,INTAKE!$P:$P),0)</f>
        <v>0</v>
      </c>
      <c r="L720" s="1702">
        <f t="shared" si="455"/>
        <v>0</v>
      </c>
      <c r="M720" s="50"/>
      <c r="N720" s="167"/>
      <c r="O720" s="50"/>
      <c r="P720" s="857"/>
      <c r="Q720" s="795"/>
      <c r="R720" s="785">
        <f>IFERROR(VLOOKUP($Q720,'391'!$S:$Z,8,0),"")</f>
        <v>0</v>
      </c>
      <c r="S720" s="796"/>
      <c r="T720" s="797" t="str">
        <f>$Q$725&amp;C720&amp;E720</f>
        <v>UREA46057</v>
      </c>
      <c r="U720" s="797"/>
      <c r="V720" s="797"/>
      <c r="W720" s="785">
        <f>IFERROR(VLOOKUP($Q720,'391'!$S:$AG,15,0),0)</f>
        <v>0</v>
      </c>
      <c r="X720" s="1090">
        <f t="shared" si="459"/>
        <v>0</v>
      </c>
      <c r="Y720" s="785"/>
      <c r="Z720" s="785"/>
      <c r="AA720" s="797"/>
      <c r="AB720" s="797"/>
      <c r="AC720" s="683"/>
      <c r="AD720" s="683"/>
      <c r="AE720" s="683"/>
      <c r="AF720" s="683"/>
      <c r="AG720" s="683"/>
      <c r="AH720" s="683"/>
      <c r="AI720" s="705"/>
      <c r="AJ720" s="705"/>
      <c r="AK720" s="705"/>
      <c r="AL720" s="705"/>
      <c r="AM720" s="705"/>
      <c r="AN720" s="705"/>
      <c r="AO720" s="705"/>
      <c r="AP720" s="705"/>
      <c r="AQ720" s="705"/>
      <c r="AR720" s="705"/>
      <c r="AS720" s="705"/>
    </row>
    <row r="721" spans="1:45" s="13" customFormat="1" ht="30" hidden="1" customHeight="1" x14ac:dyDescent="0.25">
      <c r="A721" s="2022"/>
      <c r="B721" s="2097"/>
      <c r="C721" s="160"/>
      <c r="D721" s="959" t="s">
        <v>10</v>
      </c>
      <c r="E721" s="933">
        <v>46114</v>
      </c>
      <c r="F721" s="74">
        <f>$L$7-E721</f>
        <v>172</v>
      </c>
      <c r="G721" s="63">
        <v>0</v>
      </c>
      <c r="H721" s="63"/>
      <c r="I721" s="63"/>
      <c r="J721" s="1378"/>
      <c r="K721" s="63">
        <f>IFERROR(SUMIF(INTAKE!$A:$A,$T721,INTAKE!$P:$P),0)</f>
        <v>0</v>
      </c>
      <c r="L721" s="1702">
        <f t="shared" si="455"/>
        <v>0</v>
      </c>
      <c r="M721" s="48"/>
      <c r="N721" s="163"/>
      <c r="O721" s="48"/>
      <c r="P721" s="738"/>
      <c r="Q721" s="795"/>
      <c r="R721" s="785">
        <f>IFERROR(VLOOKUP($Q721,'391'!$S:$Z,8,0),"")</f>
        <v>0</v>
      </c>
      <c r="S721" s="796"/>
      <c r="T721" s="797" t="str">
        <f>$Q$725&amp;C721&amp;E721</f>
        <v>UREA46114</v>
      </c>
      <c r="U721" s="797"/>
      <c r="V721" s="797"/>
      <c r="W721" s="785">
        <f>IFERROR(VLOOKUP($Q721,'391'!$S:$AG,15,0),0)</f>
        <v>0</v>
      </c>
      <c r="X721" s="1090">
        <f t="shared" si="459"/>
        <v>0</v>
      </c>
      <c r="Y721" s="785"/>
      <c r="Z721" s="785"/>
      <c r="AA721" s="797"/>
      <c r="AB721" s="797"/>
      <c r="AC721" s="683"/>
      <c r="AD721" s="683"/>
      <c r="AE721" s="683"/>
      <c r="AF721" s="683"/>
      <c r="AG721" s="683"/>
      <c r="AH721" s="683"/>
      <c r="AI721" s="705"/>
      <c r="AJ721" s="705"/>
      <c r="AK721" s="705"/>
      <c r="AL721" s="705"/>
      <c r="AM721" s="705"/>
      <c r="AN721" s="705"/>
      <c r="AO721" s="705"/>
      <c r="AP721" s="705"/>
      <c r="AQ721" s="705"/>
      <c r="AR721" s="705"/>
      <c r="AS721" s="705"/>
    </row>
    <row r="722" spans="1:45" s="13" customFormat="1" ht="30" customHeight="1" x14ac:dyDescent="0.25">
      <c r="A722" s="2022"/>
      <c r="B722" s="2097"/>
      <c r="C722" s="160" t="s">
        <v>1774</v>
      </c>
      <c r="D722" s="959" t="s">
        <v>10</v>
      </c>
      <c r="E722" s="933">
        <v>46277</v>
      </c>
      <c r="F722" s="74">
        <f>$L$7-E722</f>
        <v>9</v>
      </c>
      <c r="G722" s="63">
        <v>11200</v>
      </c>
      <c r="H722" s="63"/>
      <c r="I722" s="63"/>
      <c r="J722" s="1378"/>
      <c r="K722" s="1408">
        <f>IFERROR(SUMIF(INTAKE!$A:$A,$T722,INTAKE!$P:$P),0)+2800</f>
        <v>2800</v>
      </c>
      <c r="L722" s="1702">
        <f t="shared" si="455"/>
        <v>8400</v>
      </c>
      <c r="M722" s="48"/>
      <c r="N722" s="163"/>
      <c r="O722" s="48"/>
      <c r="P722" s="738"/>
      <c r="Q722" s="795"/>
      <c r="R722" s="785">
        <f>IFERROR(VLOOKUP($Q722,'391'!$S:$Z,8,0),"")</f>
        <v>0</v>
      </c>
      <c r="S722" s="796"/>
      <c r="T722" s="797" t="str">
        <f>$Q$725&amp;C722&amp;E722</f>
        <v>UREAA22.346277</v>
      </c>
      <c r="U722" s="797"/>
      <c r="V722" s="797"/>
      <c r="W722" s="785">
        <f>IFERROR(VLOOKUP($Q722,'391'!$S:$AG,15,0),0)</f>
        <v>0</v>
      </c>
      <c r="X722" s="1090">
        <f t="shared" si="459"/>
        <v>11200</v>
      </c>
      <c r="Y722" s="785"/>
      <c r="Z722" s="785"/>
      <c r="AA722" s="797"/>
      <c r="AB722" s="797"/>
      <c r="AC722" s="683"/>
      <c r="AD722" s="683"/>
      <c r="AE722" s="683"/>
      <c r="AF722" s="683"/>
      <c r="AG722" s="683"/>
      <c r="AH722" s="683"/>
      <c r="AI722" s="705"/>
      <c r="AJ722" s="705"/>
      <c r="AK722" s="705"/>
      <c r="AL722" s="705"/>
      <c r="AM722" s="705"/>
      <c r="AN722" s="705"/>
      <c r="AO722" s="705"/>
      <c r="AP722" s="705"/>
      <c r="AQ722" s="705"/>
      <c r="AR722" s="705"/>
      <c r="AS722" s="705"/>
    </row>
    <row r="723" spans="1:45" s="13" customFormat="1" ht="30" hidden="1" customHeight="1" x14ac:dyDescent="0.25">
      <c r="A723" s="2022"/>
      <c r="B723" s="2097"/>
      <c r="C723" s="160"/>
      <c r="D723" s="959" t="s">
        <v>10</v>
      </c>
      <c r="E723" s="933">
        <v>46277</v>
      </c>
      <c r="F723" s="74">
        <f>$L$7-E723</f>
        <v>9</v>
      </c>
      <c r="G723" s="63">
        <v>0</v>
      </c>
      <c r="H723" s="63"/>
      <c r="I723" s="63"/>
      <c r="J723" s="1378"/>
      <c r="K723" s="1408">
        <f>IFERROR(SUMIF(INTAKE!$A:$A,$T723,INTAKE!$P:$P),0)</f>
        <v>0</v>
      </c>
      <c r="L723" s="1702">
        <f t="shared" si="455"/>
        <v>0</v>
      </c>
      <c r="M723" s="48"/>
      <c r="N723" s="163"/>
      <c r="O723" s="48"/>
      <c r="P723" s="738"/>
      <c r="Q723" s="795"/>
      <c r="R723" s="785">
        <f>IFERROR(VLOOKUP($Q723,'391'!$S:$Z,8,0),"")</f>
        <v>0</v>
      </c>
      <c r="S723" s="796"/>
      <c r="T723" s="797" t="str">
        <f>$Q$725&amp;C723&amp;E723</f>
        <v>UREA46277</v>
      </c>
      <c r="U723" s="797"/>
      <c r="V723" s="797"/>
      <c r="W723" s="785">
        <f>IFERROR(VLOOKUP($Q723,'391'!$S:$AG,15,0),0)</f>
        <v>0</v>
      </c>
      <c r="X723" s="1090">
        <f t="shared" si="459"/>
        <v>0</v>
      </c>
      <c r="Y723" s="785"/>
      <c r="Z723" s="785"/>
      <c r="AA723" s="797"/>
      <c r="AB723" s="797"/>
      <c r="AC723" s="683"/>
      <c r="AD723" s="683"/>
      <c r="AE723" s="683"/>
      <c r="AF723" s="683"/>
      <c r="AG723" s="683"/>
      <c r="AH723" s="683"/>
      <c r="AI723" s="705"/>
      <c r="AJ723" s="705"/>
      <c r="AK723" s="705"/>
      <c r="AL723" s="705"/>
      <c r="AM723" s="705"/>
      <c r="AN723" s="705"/>
      <c r="AO723" s="705"/>
      <c r="AP723" s="705"/>
      <c r="AQ723" s="705"/>
      <c r="AR723" s="705"/>
      <c r="AS723" s="705"/>
    </row>
    <row r="724" spans="1:45" s="405" customFormat="1" ht="30" customHeight="1" x14ac:dyDescent="0.25">
      <c r="A724" s="2023"/>
      <c r="B724" s="2098"/>
      <c r="C724" s="61" t="s">
        <v>1820</v>
      </c>
      <c r="D724" s="863" t="s">
        <v>10</v>
      </c>
      <c r="E724" s="934">
        <v>46277</v>
      </c>
      <c r="F724" s="39">
        <f>$L$7-E724</f>
        <v>9</v>
      </c>
      <c r="G724" s="37">
        <v>3613.7000000000007</v>
      </c>
      <c r="H724" s="37"/>
      <c r="I724" s="37">
        <f>+SUM(K720:K724)</f>
        <v>2800</v>
      </c>
      <c r="J724" s="1385">
        <f>+usage!I122</f>
        <v>1588.5</v>
      </c>
      <c r="K724" s="63">
        <f>IFERROR(SUMIF(INTAKE!$A:$A,$T724,INTAKE!$P:$P),0)</f>
        <v>0</v>
      </c>
      <c r="L724" s="1533">
        <f t="shared" si="455"/>
        <v>4825.2000000000007</v>
      </c>
      <c r="M724" s="35"/>
      <c r="N724" s="87"/>
      <c r="O724" s="35"/>
      <c r="P724" s="740"/>
      <c r="Q724" s="795"/>
      <c r="R724" s="785">
        <f>IFERROR(VLOOKUP($Q724,'391'!$S:$Z,8,0),"")</f>
        <v>0</v>
      </c>
      <c r="S724" s="796"/>
      <c r="T724" s="797" t="str">
        <f>$Q$725&amp;C724&amp;E724</f>
        <v>UREAFeedmill, 15146277</v>
      </c>
      <c r="U724" s="797"/>
      <c r="V724" s="797"/>
      <c r="W724" s="785">
        <f>IFERROR(VLOOKUP($Q724,'391'!$S:$AG,15,0),0)</f>
        <v>0</v>
      </c>
      <c r="X724" s="1090">
        <f t="shared" si="459"/>
        <v>3613.7000000000007</v>
      </c>
      <c r="Y724" s="785"/>
      <c r="Z724" s="785"/>
      <c r="AA724" s="797"/>
      <c r="AB724" s="797"/>
      <c r="AC724" s="683"/>
      <c r="AD724" s="683"/>
      <c r="AE724" s="683"/>
      <c r="AF724" s="683"/>
      <c r="AG724" s="683"/>
      <c r="AH724" s="683"/>
      <c r="AI724" s="705"/>
      <c r="AJ724" s="705"/>
      <c r="AK724" s="705"/>
      <c r="AL724" s="705"/>
      <c r="AM724" s="705"/>
      <c r="AN724" s="705"/>
      <c r="AO724" s="705"/>
      <c r="AP724" s="705"/>
      <c r="AQ724" s="705"/>
      <c r="AR724" s="705"/>
      <c r="AS724" s="705"/>
    </row>
    <row r="725" spans="1:45" s="265" customFormat="1" ht="30" customHeight="1" x14ac:dyDescent="0.25">
      <c r="A725" s="2019" t="s">
        <v>135</v>
      </c>
      <c r="B725" s="2020"/>
      <c r="C725" s="88"/>
      <c r="D725" s="864"/>
      <c r="E725" s="864"/>
      <c r="F725" s="865"/>
      <c r="G725" s="1386">
        <v>14813.7</v>
      </c>
      <c r="H725" s="1386">
        <f t="shared" ref="H725:L725" si="461">SUM(H720:H724)</f>
        <v>0</v>
      </c>
      <c r="I725" s="1386">
        <f t="shared" si="461"/>
        <v>2800</v>
      </c>
      <c r="J725" s="1386">
        <f t="shared" si="461"/>
        <v>1588.5</v>
      </c>
      <c r="K725" s="1386">
        <f t="shared" si="461"/>
        <v>2800</v>
      </c>
      <c r="L725" s="1386">
        <f t="shared" si="461"/>
        <v>13225.2</v>
      </c>
      <c r="M725" s="59">
        <f>IFERROR((R725/$S$2),"")</f>
        <v>1300.1666666666667</v>
      </c>
      <c r="N725" s="366">
        <f>+(L725/M725)</f>
        <v>10.171926676067171</v>
      </c>
      <c r="O725" s="59">
        <f>IFERROR(SUMIF(ETM!$A:$A,$Q725,ETM!$E:$E),"")</f>
        <v>1450.3333333333333</v>
      </c>
      <c r="P725" s="880">
        <f>IFERROR(L725/O725,0)</f>
        <v>9.1187313261319254</v>
      </c>
      <c r="Q725" s="814" t="s">
        <v>657</v>
      </c>
      <c r="R725" s="785">
        <f>IFERROR(VLOOKUP($Q725,'391'!$S:$Z,8,0),"")</f>
        <v>7801</v>
      </c>
      <c r="S725" s="796"/>
      <c r="T725" s="797"/>
      <c r="U725" s="797"/>
      <c r="V725" s="797"/>
      <c r="W725" s="785">
        <f>IFERROR(VLOOKUP($Q725,'391'!$S:$AG,15,0),0)</f>
        <v>14813.7</v>
      </c>
      <c r="X725" s="1090">
        <f t="shared" si="459"/>
        <v>0</v>
      </c>
      <c r="Y725" s="785"/>
      <c r="Z725" s="785"/>
      <c r="AA725" s="797"/>
      <c r="AB725" s="797"/>
      <c r="AC725" s="551"/>
      <c r="AD725" s="551"/>
      <c r="AE725" s="551"/>
      <c r="AF725" s="551"/>
      <c r="AG725" s="551"/>
      <c r="AH725" s="551"/>
      <c r="AI725" s="704"/>
      <c r="AJ725" s="704"/>
      <c r="AK725" s="704"/>
      <c r="AL725" s="704"/>
      <c r="AM725" s="704"/>
      <c r="AN725" s="704"/>
      <c r="AO725" s="704"/>
      <c r="AP725" s="704"/>
      <c r="AQ725" s="704"/>
      <c r="AR725" s="704"/>
      <c r="AS725" s="704"/>
    </row>
    <row r="726" spans="1:45" s="400" customFormat="1" ht="30" hidden="1" customHeight="1" x14ac:dyDescent="0.25">
      <c r="A726" s="2021" t="str">
        <f>IF(L730=0,"",MAX($A$16:A725)+1)</f>
        <v/>
      </c>
      <c r="B726" s="2079" t="s">
        <v>533</v>
      </c>
      <c r="C726" s="114" t="s">
        <v>524</v>
      </c>
      <c r="D726" s="866" t="s">
        <v>10</v>
      </c>
      <c r="E726" s="935">
        <v>43892</v>
      </c>
      <c r="F726" s="75">
        <f>$L$7-E726</f>
        <v>2394</v>
      </c>
      <c r="G726" s="64">
        <v>0</v>
      </c>
      <c r="H726" s="64"/>
      <c r="I726" s="64"/>
      <c r="J726" s="1367"/>
      <c r="K726" s="64"/>
      <c r="L726" s="1533">
        <f t="shared" ref="L726:L755" si="462">+G726+H726+I726-J726-K726</f>
        <v>0</v>
      </c>
      <c r="M726" s="51"/>
      <c r="N726" s="920"/>
      <c r="O726" s="51"/>
      <c r="P726" s="737"/>
      <c r="Q726" s="795"/>
      <c r="R726" s="785">
        <f>IFERROR(VLOOKUP($Q726,'391'!$S:$Z,8,0),"")</f>
        <v>0</v>
      </c>
      <c r="S726" s="796"/>
      <c r="T726" s="797"/>
      <c r="U726" s="797"/>
      <c r="V726" s="797"/>
      <c r="W726" s="785">
        <f>IFERROR(VLOOKUP($Q726,'391'!$S:$AG,15,0),0)</f>
        <v>0</v>
      </c>
      <c r="X726" s="1090">
        <f t="shared" si="459"/>
        <v>0</v>
      </c>
      <c r="Y726" s="785"/>
      <c r="Z726" s="785"/>
      <c r="AA726" s="797"/>
      <c r="AB726" s="797"/>
      <c r="AC726" s="681"/>
      <c r="AD726" s="681"/>
      <c r="AE726" s="681"/>
      <c r="AF726" s="681"/>
      <c r="AG726" s="681"/>
      <c r="AH726" s="681"/>
      <c r="AI726" s="703"/>
      <c r="AJ726" s="703"/>
      <c r="AK726" s="703"/>
      <c r="AL726" s="703"/>
      <c r="AM726" s="703"/>
      <c r="AN726" s="703"/>
      <c r="AO726" s="703"/>
      <c r="AP726" s="703"/>
      <c r="AQ726" s="703"/>
      <c r="AR726" s="703"/>
      <c r="AS726" s="703"/>
    </row>
    <row r="727" spans="1:45" s="400" customFormat="1" ht="30" hidden="1" customHeight="1" x14ac:dyDescent="0.25">
      <c r="A727" s="2022"/>
      <c r="B727" s="2065"/>
      <c r="C727" s="114" t="s">
        <v>247</v>
      </c>
      <c r="D727" s="866" t="s">
        <v>10</v>
      </c>
      <c r="E727" s="935">
        <v>43152</v>
      </c>
      <c r="F727" s="75">
        <f>$L$7-E727</f>
        <v>3134</v>
      </c>
      <c r="G727" s="64">
        <v>0</v>
      </c>
      <c r="H727" s="64"/>
      <c r="I727" s="64"/>
      <c r="J727" s="1367"/>
      <c r="K727" s="64"/>
      <c r="L727" s="1533">
        <f t="shared" si="462"/>
        <v>0</v>
      </c>
      <c r="M727" s="48"/>
      <c r="N727" s="163"/>
      <c r="O727" s="48"/>
      <c r="P727" s="738"/>
      <c r="Q727" s="795"/>
      <c r="R727" s="785">
        <f>IFERROR(VLOOKUP($Q727,'391'!$S:$Z,8,0),"")</f>
        <v>0</v>
      </c>
      <c r="S727" s="796"/>
      <c r="T727" s="797"/>
      <c r="U727" s="797"/>
      <c r="V727" s="797"/>
      <c r="W727" s="785">
        <f>IFERROR(VLOOKUP($Q727,'391'!$S:$AG,15,0),0)</f>
        <v>0</v>
      </c>
      <c r="X727" s="1090">
        <f t="shared" si="459"/>
        <v>0</v>
      </c>
      <c r="Y727" s="785"/>
      <c r="Z727" s="785"/>
      <c r="AA727" s="797"/>
      <c r="AB727" s="797"/>
      <c r="AC727" s="681"/>
      <c r="AD727" s="681"/>
      <c r="AE727" s="681"/>
      <c r="AF727" s="681"/>
      <c r="AG727" s="681"/>
      <c r="AH727" s="681"/>
      <c r="AI727" s="703"/>
      <c r="AJ727" s="703"/>
      <c r="AK727" s="703"/>
      <c r="AL727" s="703"/>
      <c r="AM727" s="703"/>
      <c r="AN727" s="703"/>
      <c r="AO727" s="703"/>
      <c r="AP727" s="703"/>
      <c r="AQ727" s="703"/>
      <c r="AR727" s="703"/>
      <c r="AS727" s="703"/>
    </row>
    <row r="728" spans="1:45" s="400" customFormat="1" ht="30" hidden="1" customHeight="1" x14ac:dyDescent="0.25">
      <c r="A728" s="2022"/>
      <c r="B728" s="2065"/>
      <c r="C728" s="114" t="s">
        <v>247</v>
      </c>
      <c r="D728" s="866" t="s">
        <v>10</v>
      </c>
      <c r="E728" s="935">
        <v>43152</v>
      </c>
      <c r="F728" s="75">
        <f>$L$7-E728</f>
        <v>3134</v>
      </c>
      <c r="G728" s="64">
        <v>0</v>
      </c>
      <c r="H728" s="64"/>
      <c r="I728" s="64"/>
      <c r="J728" s="1367"/>
      <c r="K728" s="64"/>
      <c r="L728" s="1533">
        <f t="shared" si="462"/>
        <v>0</v>
      </c>
      <c r="M728" s="45"/>
      <c r="N728" s="162"/>
      <c r="O728" s="45"/>
      <c r="P728" s="736"/>
      <c r="Q728" s="795"/>
      <c r="R728" s="785">
        <f>IFERROR(VLOOKUP($Q728,'391'!$S:$Z,8,0),"")</f>
        <v>0</v>
      </c>
      <c r="S728" s="796"/>
      <c r="T728" s="797"/>
      <c r="U728" s="797"/>
      <c r="V728" s="797"/>
      <c r="W728" s="785">
        <f>IFERROR(VLOOKUP($Q728,'391'!$S:$AG,15,0),0)</f>
        <v>0</v>
      </c>
      <c r="X728" s="1090">
        <f t="shared" si="459"/>
        <v>0</v>
      </c>
      <c r="Y728" s="785"/>
      <c r="Z728" s="785"/>
      <c r="AA728" s="797"/>
      <c r="AB728" s="797"/>
      <c r="AC728" s="681"/>
      <c r="AD728" s="681"/>
      <c r="AE728" s="681"/>
      <c r="AF728" s="681"/>
      <c r="AG728" s="681"/>
      <c r="AH728" s="681"/>
      <c r="AI728" s="703"/>
      <c r="AJ728" s="703"/>
      <c r="AK728" s="703"/>
      <c r="AL728" s="703"/>
      <c r="AM728" s="703"/>
      <c r="AN728" s="703"/>
      <c r="AO728" s="703"/>
      <c r="AP728" s="703"/>
      <c r="AQ728" s="703"/>
      <c r="AR728" s="703"/>
      <c r="AS728" s="703"/>
    </row>
    <row r="729" spans="1:45" s="401" customFormat="1" ht="30" hidden="1" customHeight="1" x14ac:dyDescent="0.25">
      <c r="A729" s="2022"/>
      <c r="B729" s="2044"/>
      <c r="C729" s="61" t="s">
        <v>46</v>
      </c>
      <c r="D729" s="863" t="s">
        <v>10</v>
      </c>
      <c r="E729" s="934">
        <v>43892</v>
      </c>
      <c r="F729" s="39">
        <f>$L$7-E729</f>
        <v>2394</v>
      </c>
      <c r="G729" s="37">
        <v>0</v>
      </c>
      <c r="H729" s="37"/>
      <c r="I729" s="37">
        <f>+K726</f>
        <v>0</v>
      </c>
      <c r="J729" s="1385"/>
      <c r="K729" s="37"/>
      <c r="L729" s="1533">
        <f t="shared" si="462"/>
        <v>0</v>
      </c>
      <c r="M729" s="35"/>
      <c r="N729" s="87"/>
      <c r="O729" s="35"/>
      <c r="P729" s="740"/>
      <c r="Q729" s="795"/>
      <c r="R729" s="785">
        <f>IFERROR(VLOOKUP($Q729,'391'!$S:$Z,8,0),"")</f>
        <v>0</v>
      </c>
      <c r="S729" s="796"/>
      <c r="T729" s="797"/>
      <c r="U729" s="797"/>
      <c r="V729" s="797"/>
      <c r="W729" s="785">
        <f>IFERROR(VLOOKUP($Q729,'391'!$S:$AG,15,0),0)</f>
        <v>0</v>
      </c>
      <c r="X729" s="1090">
        <f t="shared" si="459"/>
        <v>0</v>
      </c>
      <c r="Y729" s="785"/>
      <c r="Z729" s="785"/>
      <c r="AA729" s="797"/>
      <c r="AB729" s="797"/>
      <c r="AC729" s="681"/>
      <c r="AD729" s="681"/>
      <c r="AE729" s="681"/>
      <c r="AF729" s="681"/>
      <c r="AG729" s="681"/>
      <c r="AH729" s="681"/>
      <c r="AI729" s="703"/>
      <c r="AJ729" s="703"/>
      <c r="AK729" s="703"/>
      <c r="AL729" s="703"/>
      <c r="AM729" s="703"/>
      <c r="AN729" s="703"/>
      <c r="AO729" s="703"/>
      <c r="AP729" s="703"/>
      <c r="AQ729" s="703"/>
      <c r="AR729" s="703"/>
      <c r="AS729" s="703"/>
    </row>
    <row r="730" spans="1:45" s="265" customFormat="1" ht="30" hidden="1" customHeight="1" x14ac:dyDescent="0.25">
      <c r="A730" s="2019" t="s">
        <v>542</v>
      </c>
      <c r="B730" s="2020"/>
      <c r="C730" s="2036"/>
      <c r="D730" s="2036"/>
      <c r="E730" s="2036"/>
      <c r="F730" s="2036"/>
      <c r="G730" s="1297">
        <v>0</v>
      </c>
      <c r="H730" s="1297">
        <f>+SUM(H726:H729)</f>
        <v>0</v>
      </c>
      <c r="I730" s="1297">
        <f t="shared" ref="I730:K730" si="463">+SUM(I726:I729)</f>
        <v>0</v>
      </c>
      <c r="J730" s="1297"/>
      <c r="K730" s="1297">
        <f t="shared" si="463"/>
        <v>0</v>
      </c>
      <c r="L730" s="1533">
        <f t="shared" si="462"/>
        <v>0</v>
      </c>
      <c r="M730" s="59"/>
      <c r="N730" s="366">
        <f>IFERROR(L730/M730,0)</f>
        <v>0</v>
      </c>
      <c r="O730" s="59"/>
      <c r="P730" s="880">
        <f>IFERROR(L730/O730,0)</f>
        <v>0</v>
      </c>
      <c r="Q730" s="795"/>
      <c r="R730" s="785">
        <f>IFERROR(VLOOKUP($Q730,'391'!$S:$Z,8,0),"")</f>
        <v>0</v>
      </c>
      <c r="S730" s="796"/>
      <c r="T730" s="797"/>
      <c r="U730" s="797"/>
      <c r="V730" s="797"/>
      <c r="W730" s="785">
        <f>IFERROR(VLOOKUP($Q730,'391'!$S:$AG,15,0),0)</f>
        <v>0</v>
      </c>
      <c r="X730" s="1090">
        <f t="shared" si="459"/>
        <v>0</v>
      </c>
      <c r="Y730" s="785"/>
      <c r="Z730" s="785"/>
      <c r="AA730" s="797"/>
      <c r="AB730" s="797"/>
      <c r="AC730" s="551"/>
      <c r="AD730" s="551"/>
      <c r="AE730" s="551"/>
      <c r="AF730" s="551"/>
      <c r="AG730" s="551"/>
      <c r="AH730" s="551"/>
      <c r="AI730" s="704"/>
      <c r="AJ730" s="704"/>
      <c r="AK730" s="704"/>
      <c r="AL730" s="704"/>
      <c r="AM730" s="704"/>
      <c r="AN730" s="704"/>
      <c r="AO730" s="704"/>
      <c r="AP730" s="704"/>
      <c r="AQ730" s="704"/>
      <c r="AR730" s="704"/>
      <c r="AS730" s="704"/>
    </row>
    <row r="731" spans="1:45" s="400" customFormat="1" ht="30" hidden="1" customHeight="1" x14ac:dyDescent="0.25">
      <c r="A731" s="2063" t="str">
        <f>IF(L735=0,"",MAX($A$16:A730)+1)</f>
        <v/>
      </c>
      <c r="B731" s="2079" t="s">
        <v>534</v>
      </c>
      <c r="C731" s="114" t="s">
        <v>524</v>
      </c>
      <c r="D731" s="866" t="s">
        <v>10</v>
      </c>
      <c r="E731" s="933">
        <v>43892</v>
      </c>
      <c r="F731" s="74">
        <f>$L$7-E731</f>
        <v>2394</v>
      </c>
      <c r="G731" s="63">
        <v>0</v>
      </c>
      <c r="H731" s="1299"/>
      <c r="I731" s="1299"/>
      <c r="J731" s="1387"/>
      <c r="K731" s="1299"/>
      <c r="L731" s="1533">
        <f t="shared" si="462"/>
        <v>0</v>
      </c>
      <c r="M731" s="51"/>
      <c r="N731" s="920"/>
      <c r="O731" s="51"/>
      <c r="P731" s="737"/>
      <c r="Q731" s="795"/>
      <c r="R731" s="785">
        <f>IFERROR(VLOOKUP($Q731,'391'!$S:$Z,8,0),"")</f>
        <v>0</v>
      </c>
      <c r="S731" s="796"/>
      <c r="T731" s="797"/>
      <c r="U731" s="797"/>
      <c r="V731" s="797"/>
      <c r="W731" s="785">
        <f>IFERROR(VLOOKUP($Q731,'391'!$S:$AG,15,0),0)</f>
        <v>0</v>
      </c>
      <c r="X731" s="1090">
        <f t="shared" si="459"/>
        <v>0</v>
      </c>
      <c r="Y731" s="785"/>
      <c r="Z731" s="785"/>
      <c r="AA731" s="797"/>
      <c r="AB731" s="797"/>
      <c r="AC731" s="681"/>
      <c r="AD731" s="681"/>
      <c r="AE731" s="681"/>
      <c r="AF731" s="681"/>
      <c r="AG731" s="681"/>
      <c r="AH731" s="681"/>
      <c r="AI731" s="703"/>
      <c r="AJ731" s="703"/>
      <c r="AK731" s="703"/>
      <c r="AL731" s="703"/>
      <c r="AM731" s="703"/>
      <c r="AN731" s="703"/>
      <c r="AO731" s="703"/>
      <c r="AP731" s="703"/>
      <c r="AQ731" s="703"/>
      <c r="AR731" s="703"/>
      <c r="AS731" s="703"/>
    </row>
    <row r="732" spans="1:45" s="400" customFormat="1" ht="30" hidden="1" customHeight="1" x14ac:dyDescent="0.25">
      <c r="A732" s="2078"/>
      <c r="B732" s="2080"/>
      <c r="C732" s="114" t="s">
        <v>335</v>
      </c>
      <c r="D732" s="866" t="s">
        <v>10</v>
      </c>
      <c r="E732" s="933">
        <v>43141</v>
      </c>
      <c r="F732" s="74">
        <f>$L$7-E732</f>
        <v>3145</v>
      </c>
      <c r="G732" s="63">
        <v>0</v>
      </c>
      <c r="H732" s="64"/>
      <c r="I732" s="64"/>
      <c r="J732" s="1367"/>
      <c r="K732" s="64"/>
      <c r="L732" s="1533">
        <f t="shared" si="462"/>
        <v>0</v>
      </c>
      <c r="M732" s="48"/>
      <c r="N732" s="163"/>
      <c r="O732" s="48"/>
      <c r="P732" s="738"/>
      <c r="Q732" s="795"/>
      <c r="R732" s="785">
        <f>IFERROR(VLOOKUP($Q732,'391'!$S:$Z,8,0),"")</f>
        <v>0</v>
      </c>
      <c r="S732" s="796"/>
      <c r="T732" s="797"/>
      <c r="U732" s="797"/>
      <c r="V732" s="797"/>
      <c r="W732" s="785">
        <f>IFERROR(VLOOKUP($Q732,'391'!$S:$AG,15,0),0)</f>
        <v>0</v>
      </c>
      <c r="X732" s="1090">
        <f t="shared" si="459"/>
        <v>0</v>
      </c>
      <c r="Y732" s="785"/>
      <c r="Z732" s="785"/>
      <c r="AA732" s="797"/>
      <c r="AB732" s="797"/>
      <c r="AC732" s="681"/>
      <c r="AD732" s="681"/>
      <c r="AE732" s="681"/>
      <c r="AF732" s="681"/>
      <c r="AG732" s="681"/>
      <c r="AH732" s="681"/>
      <c r="AI732" s="703"/>
      <c r="AJ732" s="703"/>
      <c r="AK732" s="703"/>
      <c r="AL732" s="703"/>
      <c r="AM732" s="703"/>
      <c r="AN732" s="703"/>
      <c r="AO732" s="703"/>
      <c r="AP732" s="703"/>
      <c r="AQ732" s="703"/>
      <c r="AR732" s="703"/>
      <c r="AS732" s="703"/>
    </row>
    <row r="733" spans="1:45" s="400" customFormat="1" ht="30" hidden="1" customHeight="1" x14ac:dyDescent="0.25">
      <c r="A733" s="2078"/>
      <c r="B733" s="2080"/>
      <c r="C733" s="114" t="s">
        <v>335</v>
      </c>
      <c r="D733" s="866" t="s">
        <v>10</v>
      </c>
      <c r="E733" s="933">
        <v>43141</v>
      </c>
      <c r="F733" s="74">
        <f>$L$7-E733</f>
        <v>3145</v>
      </c>
      <c r="G733" s="63">
        <v>0</v>
      </c>
      <c r="H733" s="64"/>
      <c r="I733" s="64"/>
      <c r="J733" s="1367"/>
      <c r="K733" s="64"/>
      <c r="L733" s="1533">
        <f t="shared" si="462"/>
        <v>0</v>
      </c>
      <c r="M733" s="45"/>
      <c r="N733" s="162"/>
      <c r="O733" s="45"/>
      <c r="P733" s="736"/>
      <c r="Q733" s="795"/>
      <c r="R733" s="785">
        <f>IFERROR(VLOOKUP($Q733,'391'!$S:$Z,8,0),"")</f>
        <v>0</v>
      </c>
      <c r="S733" s="796"/>
      <c r="T733" s="797"/>
      <c r="U733" s="797"/>
      <c r="V733" s="797"/>
      <c r="W733" s="785">
        <f>IFERROR(VLOOKUP($Q733,'391'!$S:$AG,15,0),0)</f>
        <v>0</v>
      </c>
      <c r="X733" s="1090">
        <f t="shared" si="459"/>
        <v>0</v>
      </c>
      <c r="Y733" s="785"/>
      <c r="Z733" s="785"/>
      <c r="AA733" s="797"/>
      <c r="AB733" s="797"/>
      <c r="AC733" s="681"/>
      <c r="AD733" s="681"/>
      <c r="AE733" s="681"/>
      <c r="AF733" s="681"/>
      <c r="AG733" s="681"/>
      <c r="AH733" s="681"/>
      <c r="AI733" s="703"/>
      <c r="AJ733" s="703"/>
      <c r="AK733" s="703"/>
      <c r="AL733" s="703"/>
      <c r="AM733" s="703"/>
      <c r="AN733" s="703"/>
      <c r="AO733" s="703"/>
      <c r="AP733" s="703"/>
      <c r="AQ733" s="703"/>
      <c r="AR733" s="703"/>
      <c r="AS733" s="703"/>
    </row>
    <row r="734" spans="1:45" s="401" customFormat="1" ht="30" hidden="1" customHeight="1" x14ac:dyDescent="0.25">
      <c r="A734" s="2064"/>
      <c r="B734" s="2081"/>
      <c r="C734" s="61" t="s">
        <v>46</v>
      </c>
      <c r="D734" s="863" t="s">
        <v>10</v>
      </c>
      <c r="E734" s="934">
        <v>43892</v>
      </c>
      <c r="F734" s="39">
        <f>$L$7-E734</f>
        <v>2394</v>
      </c>
      <c r="G734" s="37">
        <v>0</v>
      </c>
      <c r="H734" s="37"/>
      <c r="I734" s="37">
        <f>+K731</f>
        <v>0</v>
      </c>
      <c r="J734" s="1385"/>
      <c r="K734" s="37"/>
      <c r="L734" s="1533">
        <f t="shared" si="462"/>
        <v>0</v>
      </c>
      <c r="M734" s="35"/>
      <c r="N734" s="87"/>
      <c r="O734" s="35"/>
      <c r="P734" s="740"/>
      <c r="Q734" s="795"/>
      <c r="R734" s="785">
        <f>IFERROR(VLOOKUP($Q734,'391'!$S:$Z,8,0),"")</f>
        <v>0</v>
      </c>
      <c r="S734" s="796"/>
      <c r="T734" s="797"/>
      <c r="U734" s="797"/>
      <c r="V734" s="797"/>
      <c r="W734" s="785">
        <f>IFERROR(VLOOKUP($Q734,'391'!$S:$AG,15,0),0)</f>
        <v>0</v>
      </c>
      <c r="X734" s="1090">
        <f t="shared" si="459"/>
        <v>0</v>
      </c>
      <c r="Y734" s="785"/>
      <c r="Z734" s="785"/>
      <c r="AA734" s="797"/>
      <c r="AB734" s="797"/>
      <c r="AC734" s="681"/>
      <c r="AD734" s="681"/>
      <c r="AE734" s="681"/>
      <c r="AF734" s="681"/>
      <c r="AG734" s="681"/>
      <c r="AH734" s="681"/>
      <c r="AI734" s="703"/>
      <c r="AJ734" s="703"/>
      <c r="AK734" s="703"/>
      <c r="AL734" s="703"/>
      <c r="AM734" s="703"/>
      <c r="AN734" s="703"/>
      <c r="AO734" s="703"/>
      <c r="AP734" s="703"/>
      <c r="AQ734" s="703"/>
      <c r="AR734" s="703"/>
      <c r="AS734" s="703"/>
    </row>
    <row r="735" spans="1:45" s="265" customFormat="1" ht="30" hidden="1" customHeight="1" x14ac:dyDescent="0.25">
      <c r="A735" s="2019" t="s">
        <v>538</v>
      </c>
      <c r="B735" s="2020"/>
      <c r="C735" s="2036"/>
      <c r="D735" s="2036"/>
      <c r="E735" s="2036"/>
      <c r="F735" s="2036"/>
      <c r="G735" s="1297">
        <v>0</v>
      </c>
      <c r="H735" s="1344">
        <f>+SUM(H731:H734)</f>
        <v>0</v>
      </c>
      <c r="I735" s="1328">
        <f>+SUM(I731:I734)</f>
        <v>0</v>
      </c>
      <c r="J735" s="1328"/>
      <c r="K735" s="1328">
        <f t="shared" ref="K735" si="464">+SUM(K731:K734)</f>
        <v>0</v>
      </c>
      <c r="L735" s="1533">
        <f t="shared" si="462"/>
        <v>0</v>
      </c>
      <c r="M735" s="59"/>
      <c r="N735" s="854">
        <f>IFERROR(L735/M735,0)</f>
        <v>0</v>
      </c>
      <c r="O735" s="59"/>
      <c r="P735" s="880">
        <f>IFERROR(L735/O735,0)</f>
        <v>0</v>
      </c>
      <c r="Q735" s="795"/>
      <c r="R735" s="785">
        <f>IFERROR(VLOOKUP($Q735,'391'!$S:$Z,8,0),"")</f>
        <v>0</v>
      </c>
      <c r="S735" s="796"/>
      <c r="T735" s="797"/>
      <c r="U735" s="797"/>
      <c r="V735" s="797"/>
      <c r="W735" s="785">
        <f>IFERROR(VLOOKUP($Q735,'391'!$S:$AG,15,0),0)</f>
        <v>0</v>
      </c>
      <c r="X735" s="1090">
        <f t="shared" si="459"/>
        <v>0</v>
      </c>
      <c r="Y735" s="785"/>
      <c r="Z735" s="785"/>
      <c r="AA735" s="797"/>
      <c r="AB735" s="797"/>
      <c r="AC735" s="551"/>
      <c r="AD735" s="551"/>
      <c r="AE735" s="551"/>
      <c r="AF735" s="551"/>
      <c r="AG735" s="551"/>
      <c r="AH735" s="551"/>
      <c r="AI735" s="704"/>
      <c r="AJ735" s="704"/>
      <c r="AK735" s="704"/>
      <c r="AL735" s="704"/>
      <c r="AM735" s="704"/>
      <c r="AN735" s="704"/>
      <c r="AO735" s="704"/>
      <c r="AP735" s="704"/>
      <c r="AQ735" s="704"/>
      <c r="AR735" s="704"/>
      <c r="AS735" s="704"/>
    </row>
    <row r="736" spans="1:45" s="265" customFormat="1" ht="30" hidden="1" customHeight="1" x14ac:dyDescent="0.25">
      <c r="A736" s="2063" t="str">
        <f>IF(L738=0,"",MAX($A$16:A735)+1)</f>
        <v/>
      </c>
      <c r="B736" s="2079" t="s">
        <v>535</v>
      </c>
      <c r="C736" s="105" t="s">
        <v>490</v>
      </c>
      <c r="D736" s="959" t="s">
        <v>10</v>
      </c>
      <c r="E736" s="961">
        <v>43888</v>
      </c>
      <c r="F736" s="74">
        <f>$L$7-E736</f>
        <v>2398</v>
      </c>
      <c r="G736" s="63">
        <v>0</v>
      </c>
      <c r="H736" s="1299"/>
      <c r="I736" s="1299"/>
      <c r="J736" s="1387"/>
      <c r="K736" s="1299"/>
      <c r="L736" s="1533">
        <f t="shared" si="462"/>
        <v>0</v>
      </c>
      <c r="M736" s="51"/>
      <c r="N736" s="920"/>
      <c r="O736" s="51"/>
      <c r="P736" s="737"/>
      <c r="Q736" s="795"/>
      <c r="R736" s="785">
        <f>IFERROR(VLOOKUP($Q736,'391'!$S:$Z,8,0),"")</f>
        <v>0</v>
      </c>
      <c r="S736" s="796"/>
      <c r="T736" s="797"/>
      <c r="U736" s="797"/>
      <c r="V736" s="797"/>
      <c r="W736" s="785">
        <f>IFERROR(VLOOKUP($Q736,'391'!$S:$AG,15,0),0)</f>
        <v>0</v>
      </c>
      <c r="X736" s="1090">
        <f t="shared" si="459"/>
        <v>0</v>
      </c>
      <c r="Y736" s="785"/>
      <c r="Z736" s="785"/>
      <c r="AA736" s="797"/>
      <c r="AB736" s="797"/>
      <c r="AC736" s="551"/>
      <c r="AD736" s="551"/>
      <c r="AE736" s="551"/>
      <c r="AF736" s="551"/>
      <c r="AG736" s="551"/>
      <c r="AH736" s="551"/>
      <c r="AI736" s="704"/>
      <c r="AJ736" s="704"/>
      <c r="AK736" s="704"/>
      <c r="AL736" s="704"/>
      <c r="AM736" s="704"/>
      <c r="AN736" s="704"/>
      <c r="AO736" s="704"/>
      <c r="AP736" s="704"/>
      <c r="AQ736" s="704"/>
      <c r="AR736" s="704"/>
      <c r="AS736" s="704"/>
    </row>
    <row r="737" spans="1:45" s="265" customFormat="1" ht="30" hidden="1" customHeight="1" x14ac:dyDescent="0.25">
      <c r="A737" s="2064"/>
      <c r="B737" s="2081"/>
      <c r="C737" s="61" t="s">
        <v>46</v>
      </c>
      <c r="D737" s="863" t="s">
        <v>10</v>
      </c>
      <c r="E737" s="934">
        <v>43888</v>
      </c>
      <c r="F737" s="39">
        <f>$L$7-E737</f>
        <v>2398</v>
      </c>
      <c r="G737" s="37">
        <v>0</v>
      </c>
      <c r="H737" s="37"/>
      <c r="I737" s="37">
        <f>+K736</f>
        <v>0</v>
      </c>
      <c r="J737" s="1385"/>
      <c r="K737" s="37"/>
      <c r="L737" s="1533">
        <f t="shared" si="462"/>
        <v>0</v>
      </c>
      <c r="M737" s="35"/>
      <c r="N737" s="87"/>
      <c r="O737" s="35"/>
      <c r="P737" s="740"/>
      <c r="Q737" s="795"/>
      <c r="R737" s="785">
        <f>IFERROR(VLOOKUP($Q737,'391'!$S:$Z,8,0),"")</f>
        <v>0</v>
      </c>
      <c r="S737" s="796"/>
      <c r="T737" s="797"/>
      <c r="U737" s="797"/>
      <c r="V737" s="797"/>
      <c r="W737" s="785">
        <f>IFERROR(VLOOKUP($Q737,'391'!$S:$AG,15,0),0)</f>
        <v>0</v>
      </c>
      <c r="X737" s="1090">
        <f t="shared" si="459"/>
        <v>0</v>
      </c>
      <c r="Y737" s="785"/>
      <c r="Z737" s="785"/>
      <c r="AA737" s="797"/>
      <c r="AB737" s="797"/>
      <c r="AC737" s="551"/>
      <c r="AD737" s="551"/>
      <c r="AE737" s="551"/>
      <c r="AF737" s="551"/>
      <c r="AG737" s="551"/>
      <c r="AH737" s="551"/>
      <c r="AI737" s="704"/>
      <c r="AJ737" s="704"/>
      <c r="AK737" s="704"/>
      <c r="AL737" s="704"/>
      <c r="AM737" s="704"/>
      <c r="AN737" s="704"/>
      <c r="AO737" s="704"/>
      <c r="AP737" s="704"/>
      <c r="AQ737" s="704"/>
      <c r="AR737" s="704"/>
      <c r="AS737" s="704"/>
    </row>
    <row r="738" spans="1:45" s="265" customFormat="1" ht="30" hidden="1" customHeight="1" x14ac:dyDescent="0.25">
      <c r="A738" s="2019" t="s">
        <v>531</v>
      </c>
      <c r="B738" s="2020"/>
      <c r="C738" s="2036"/>
      <c r="D738" s="2036"/>
      <c r="E738" s="2036"/>
      <c r="F738" s="2036"/>
      <c r="G738" s="1297">
        <v>0</v>
      </c>
      <c r="H738" s="1344">
        <f>+SUM(H736:H737)</f>
        <v>0</v>
      </c>
      <c r="I738" s="1344">
        <f t="shared" ref="I738:K738" si="465">+SUM(I736:I737)</f>
        <v>0</v>
      </c>
      <c r="J738" s="1344"/>
      <c r="K738" s="1344">
        <f t="shared" si="465"/>
        <v>0</v>
      </c>
      <c r="L738" s="1533">
        <f t="shared" si="462"/>
        <v>0</v>
      </c>
      <c r="M738" s="59"/>
      <c r="N738" s="854">
        <f>IFERROR(L738/M738,0)</f>
        <v>0</v>
      </c>
      <c r="O738" s="59"/>
      <c r="P738" s="880">
        <f>IFERROR(L738/O738,0)</f>
        <v>0</v>
      </c>
      <c r="Q738" s="795"/>
      <c r="R738" s="785">
        <f>IFERROR(VLOOKUP($Q738,'391'!$S:$Z,8,0),"")</f>
        <v>0</v>
      </c>
      <c r="S738" s="796"/>
      <c r="T738" s="797"/>
      <c r="U738" s="797"/>
      <c r="V738" s="797"/>
      <c r="W738" s="785">
        <f>IFERROR(VLOOKUP($Q738,'391'!$S:$AG,15,0),0)</f>
        <v>0</v>
      </c>
      <c r="X738" s="1090">
        <f t="shared" si="459"/>
        <v>0</v>
      </c>
      <c r="Y738" s="785"/>
      <c r="Z738" s="785"/>
      <c r="AA738" s="797"/>
      <c r="AB738" s="797"/>
      <c r="AC738" s="551"/>
      <c r="AD738" s="551"/>
      <c r="AE738" s="551"/>
      <c r="AF738" s="551"/>
      <c r="AG738" s="551"/>
      <c r="AH738" s="551"/>
      <c r="AI738" s="704"/>
      <c r="AJ738" s="704"/>
      <c r="AK738" s="704"/>
      <c r="AL738" s="704"/>
      <c r="AM738" s="704"/>
      <c r="AN738" s="704"/>
      <c r="AO738" s="704"/>
      <c r="AP738" s="704"/>
      <c r="AQ738" s="704"/>
      <c r="AR738" s="704"/>
      <c r="AS738" s="704"/>
    </row>
    <row r="739" spans="1:45" s="265" customFormat="1" ht="30" hidden="1" customHeight="1" x14ac:dyDescent="0.25">
      <c r="A739" s="2063" t="str">
        <f>IF(L741=0,"",MAX($A$16:A738)+1)</f>
        <v/>
      </c>
      <c r="B739" s="2066" t="s">
        <v>550</v>
      </c>
      <c r="C739" s="105" t="s">
        <v>851</v>
      </c>
      <c r="D739" s="959" t="s">
        <v>10</v>
      </c>
      <c r="E739" s="961">
        <v>43986</v>
      </c>
      <c r="F739" s="74">
        <f>$L$7-E739</f>
        <v>2300</v>
      </c>
      <c r="G739" s="63">
        <v>0</v>
      </c>
      <c r="H739" s="1299"/>
      <c r="I739" s="1299"/>
      <c r="J739" s="1387"/>
      <c r="K739" s="1299"/>
      <c r="L739" s="1533">
        <f t="shared" si="462"/>
        <v>0</v>
      </c>
      <c r="M739" s="51"/>
      <c r="N739" s="920"/>
      <c r="O739" s="51"/>
      <c r="P739" s="737"/>
      <c r="Q739" s="795"/>
      <c r="R739" s="785">
        <f>IFERROR(VLOOKUP($Q739,'391'!$S:$Z,8,0),"")</f>
        <v>0</v>
      </c>
      <c r="S739" s="796"/>
      <c r="T739" s="797"/>
      <c r="U739" s="797"/>
      <c r="V739" s="797"/>
      <c r="W739" s="785">
        <f>IFERROR(VLOOKUP($Q739,'391'!$S:$AG,15,0),0)</f>
        <v>0</v>
      </c>
      <c r="X739" s="1090">
        <f t="shared" si="459"/>
        <v>0</v>
      </c>
      <c r="Y739" s="785"/>
      <c r="Z739" s="785"/>
      <c r="AA739" s="797"/>
      <c r="AB739" s="797"/>
      <c r="AC739" s="551"/>
      <c r="AD739" s="551"/>
      <c r="AE739" s="551"/>
      <c r="AF739" s="551"/>
      <c r="AG739" s="551"/>
      <c r="AH739" s="551"/>
      <c r="AI739" s="704"/>
      <c r="AJ739" s="704"/>
      <c r="AK739" s="704"/>
      <c r="AL739" s="704"/>
      <c r="AM739" s="704"/>
      <c r="AN739" s="704"/>
      <c r="AO739" s="704"/>
      <c r="AP739" s="704"/>
      <c r="AQ739" s="704"/>
      <c r="AR739" s="704"/>
      <c r="AS739" s="704"/>
    </row>
    <row r="740" spans="1:45" s="265" customFormat="1" ht="30" hidden="1" customHeight="1" x14ac:dyDescent="0.25">
      <c r="A740" s="2064"/>
      <c r="B740" s="2068"/>
      <c r="C740" s="61" t="s">
        <v>46</v>
      </c>
      <c r="D740" s="863" t="s">
        <v>10</v>
      </c>
      <c r="E740" s="934">
        <v>43986</v>
      </c>
      <c r="F740" s="39">
        <f>$L$7-E740</f>
        <v>2300</v>
      </c>
      <c r="G740" s="37">
        <v>0</v>
      </c>
      <c r="H740" s="37"/>
      <c r="I740" s="37">
        <f>+K739</f>
        <v>0</v>
      </c>
      <c r="J740" s="1385"/>
      <c r="K740" s="37"/>
      <c r="L740" s="1533">
        <f t="shared" si="462"/>
        <v>0</v>
      </c>
      <c r="M740" s="35"/>
      <c r="N740" s="87"/>
      <c r="O740" s="35"/>
      <c r="P740" s="740"/>
      <c r="Q740" s="795"/>
      <c r="R740" s="785">
        <f>IFERROR(VLOOKUP($Q740,'391'!$S:$Z,8,0),"")</f>
        <v>0</v>
      </c>
      <c r="S740" s="796"/>
      <c r="T740" s="797"/>
      <c r="U740" s="797"/>
      <c r="V740" s="797"/>
      <c r="W740" s="785">
        <f>IFERROR(VLOOKUP($Q740,'391'!$S:$AG,15,0),0)</f>
        <v>0</v>
      </c>
      <c r="X740" s="1090">
        <f t="shared" si="459"/>
        <v>0</v>
      </c>
      <c r="Y740" s="785"/>
      <c r="Z740" s="785"/>
      <c r="AA740" s="797"/>
      <c r="AB740" s="797"/>
      <c r="AC740" s="551"/>
      <c r="AD740" s="551"/>
      <c r="AE740" s="551"/>
      <c r="AF740" s="551"/>
      <c r="AG740" s="551"/>
      <c r="AH740" s="551"/>
      <c r="AI740" s="704"/>
      <c r="AJ740" s="704"/>
      <c r="AK740" s="704"/>
      <c r="AL740" s="704"/>
      <c r="AM740" s="704"/>
      <c r="AN740" s="704"/>
      <c r="AO740" s="704"/>
      <c r="AP740" s="704"/>
      <c r="AQ740" s="704"/>
      <c r="AR740" s="704"/>
      <c r="AS740" s="704"/>
    </row>
    <row r="741" spans="1:45" s="265" customFormat="1" ht="30" hidden="1" customHeight="1" x14ac:dyDescent="0.25">
      <c r="A741" s="2019" t="s">
        <v>551</v>
      </c>
      <c r="B741" s="2020"/>
      <c r="C741" s="2036"/>
      <c r="D741" s="2036"/>
      <c r="E741" s="2036"/>
      <c r="F741" s="2036"/>
      <c r="G741" s="1297">
        <v>0</v>
      </c>
      <c r="H741" s="1344">
        <f>+SUM(H739:H740)</f>
        <v>0</v>
      </c>
      <c r="I741" s="1344">
        <f t="shared" ref="I741:K741" si="466">+SUM(I739:I740)</f>
        <v>0</v>
      </c>
      <c r="J741" s="1344"/>
      <c r="K741" s="1344">
        <f t="shared" si="466"/>
        <v>0</v>
      </c>
      <c r="L741" s="1533">
        <f t="shared" si="462"/>
        <v>0</v>
      </c>
      <c r="M741" s="59" t="str">
        <f>IFERROR((R741/$S$2),"")</f>
        <v/>
      </c>
      <c r="N741" s="854">
        <f>IFERROR(L741/M741,0)</f>
        <v>0</v>
      </c>
      <c r="O741" s="59">
        <f>IFERROR(SUMIF(ETM!$A:$A,$Q741,ETM!$E:$E),"")</f>
        <v>0</v>
      </c>
      <c r="P741" s="880">
        <f>IFERROR(L741/O741,0)</f>
        <v>0</v>
      </c>
      <c r="Q741" s="814" t="s">
        <v>550</v>
      </c>
      <c r="R741" s="785" t="str">
        <f>IFERROR(VLOOKUP($Q741,'391'!$S:$Z,8,0),"")</f>
        <v/>
      </c>
      <c r="S741" s="796"/>
      <c r="T741" s="797"/>
      <c r="U741" s="797"/>
      <c r="V741" s="797"/>
      <c r="W741" s="785">
        <f>IFERROR(VLOOKUP($Q741,'391'!$S:$AG,15,0),0)</f>
        <v>0</v>
      </c>
      <c r="X741" s="1090">
        <f t="shared" si="459"/>
        <v>0</v>
      </c>
      <c r="Y741" s="785"/>
      <c r="Z741" s="785"/>
      <c r="AA741" s="797"/>
      <c r="AB741" s="797"/>
      <c r="AC741" s="551"/>
      <c r="AD741" s="551"/>
      <c r="AE741" s="551"/>
      <c r="AF741" s="551"/>
      <c r="AG741" s="551"/>
      <c r="AH741" s="551"/>
      <c r="AI741" s="704"/>
      <c r="AJ741" s="704"/>
      <c r="AK741" s="704"/>
      <c r="AL741" s="704"/>
      <c r="AM741" s="704"/>
      <c r="AN741" s="704"/>
      <c r="AO741" s="704"/>
      <c r="AP741" s="704"/>
      <c r="AQ741" s="704"/>
      <c r="AR741" s="704"/>
      <c r="AS741" s="704"/>
    </row>
    <row r="742" spans="1:45" s="6" customFormat="1" ht="30" hidden="1" customHeight="1" x14ac:dyDescent="0.25">
      <c r="A742" s="2073" t="str">
        <f>IF(L747=0,"",MAX($A$16:A741)+1)</f>
        <v/>
      </c>
      <c r="B742" s="2066" t="s">
        <v>94</v>
      </c>
      <c r="C742" s="122" t="s">
        <v>261</v>
      </c>
      <c r="D742" s="881" t="s">
        <v>10</v>
      </c>
      <c r="E742" s="962">
        <v>45923</v>
      </c>
      <c r="F742" s="75">
        <f t="shared" ref="F742:F746" si="467">$L$7-E742</f>
        <v>363</v>
      </c>
      <c r="G742" s="12">
        <v>0</v>
      </c>
      <c r="H742" s="12"/>
      <c r="I742" s="12"/>
      <c r="J742" s="1368"/>
      <c r="K742" s="63">
        <f>IFERROR(SUMIF(INTAKE!$A:$A,$T742,INTAKE!$P:$P),0)</f>
        <v>0</v>
      </c>
      <c r="L742" s="1702">
        <f t="shared" si="462"/>
        <v>0</v>
      </c>
      <c r="M742" s="66"/>
      <c r="N742" s="920"/>
      <c r="O742" s="66"/>
      <c r="P742" s="744"/>
      <c r="Q742" s="795"/>
      <c r="R742" s="785">
        <f>IFERROR(VLOOKUP($Q742,'391'!$S:$Z,8,0),"")</f>
        <v>0</v>
      </c>
      <c r="S742" s="786"/>
      <c r="T742" s="787" t="str">
        <f>$Q$747&amp;C742&amp;E742</f>
        <v>Choline Chloride 60%A18.245923</v>
      </c>
      <c r="U742" s="787"/>
      <c r="V742" s="787"/>
      <c r="W742" s="785">
        <f>IFERROR(VLOOKUP($Q742,'391'!$S:$AG,15,0),0)</f>
        <v>0</v>
      </c>
      <c r="X742" s="1090">
        <f t="shared" si="459"/>
        <v>0</v>
      </c>
      <c r="Y742" s="785"/>
      <c r="Z742" s="785"/>
      <c r="AA742" s="787"/>
      <c r="AB742" s="787"/>
      <c r="AC742" s="679"/>
      <c r="AD742" s="679"/>
      <c r="AE742" s="679"/>
      <c r="AF742" s="679"/>
      <c r="AG742" s="679"/>
      <c r="AH742" s="679"/>
      <c r="AI742" s="682"/>
      <c r="AJ742" s="682"/>
      <c r="AK742" s="682"/>
      <c r="AL742" s="682"/>
      <c r="AM742" s="682"/>
      <c r="AN742" s="682"/>
      <c r="AO742" s="682"/>
      <c r="AP742" s="682"/>
      <c r="AQ742" s="682"/>
      <c r="AR742" s="682"/>
      <c r="AS742" s="682"/>
    </row>
    <row r="743" spans="1:45" s="6" customFormat="1" ht="33.75" hidden="1" customHeight="1" x14ac:dyDescent="0.25">
      <c r="A743" s="2070"/>
      <c r="B743" s="2094"/>
      <c r="C743" s="122"/>
      <c r="D743" s="881" t="s">
        <v>10</v>
      </c>
      <c r="E743" s="962">
        <v>44062</v>
      </c>
      <c r="F743" s="75">
        <f t="shared" si="467"/>
        <v>2224</v>
      </c>
      <c r="G743" s="12">
        <v>0</v>
      </c>
      <c r="H743" s="12"/>
      <c r="I743" s="12"/>
      <c r="J743" s="1368"/>
      <c r="K743" s="63">
        <f>IFERROR(SUMIF(INTAKE!$A:$A,$T743,INTAKE!$P:$P),0)</f>
        <v>0</v>
      </c>
      <c r="L743" s="1533">
        <f t="shared" si="462"/>
        <v>0</v>
      </c>
      <c r="M743" s="101"/>
      <c r="N743" s="249"/>
      <c r="O743" s="101"/>
      <c r="P743" s="738"/>
      <c r="Q743" s="795"/>
      <c r="R743" s="785">
        <f>IFERROR(VLOOKUP($Q743,'391'!$S:$Z,8,0),"")</f>
        <v>0</v>
      </c>
      <c r="S743" s="786"/>
      <c r="T743" s="787" t="str">
        <f>$Q$747&amp;C743&amp;E743</f>
        <v>Choline Chloride 60%44062</v>
      </c>
      <c r="U743" s="787"/>
      <c r="V743" s="787"/>
      <c r="W743" s="785">
        <f>IFERROR(VLOOKUP($Q743,'391'!$S:$AG,15,0),0)</f>
        <v>0</v>
      </c>
      <c r="X743" s="1090">
        <f t="shared" si="459"/>
        <v>0</v>
      </c>
      <c r="Y743" s="785"/>
      <c r="Z743" s="785"/>
      <c r="AA743" s="787"/>
      <c r="AB743" s="787"/>
      <c r="AC743" s="679"/>
      <c r="AD743" s="679"/>
      <c r="AE743" s="679"/>
      <c r="AF743" s="679"/>
      <c r="AG743" s="679"/>
      <c r="AH743" s="679"/>
      <c r="AI743" s="682"/>
      <c r="AJ743" s="682"/>
      <c r="AK743" s="682"/>
      <c r="AL743" s="682"/>
      <c r="AM743" s="682"/>
      <c r="AN743" s="682"/>
      <c r="AO743" s="682"/>
      <c r="AP743" s="682"/>
      <c r="AQ743" s="682"/>
      <c r="AR743" s="682"/>
      <c r="AS743" s="682"/>
    </row>
    <row r="744" spans="1:45" s="6" customFormat="1" ht="30" hidden="1" customHeight="1" x14ac:dyDescent="0.25">
      <c r="A744" s="2070"/>
      <c r="B744" s="2094"/>
      <c r="C744" s="122"/>
      <c r="D744" s="881" t="s">
        <v>10</v>
      </c>
      <c r="E744" s="962">
        <v>44062</v>
      </c>
      <c r="F744" s="75">
        <f t="shared" si="467"/>
        <v>2224</v>
      </c>
      <c r="G744" s="12">
        <v>0</v>
      </c>
      <c r="H744" s="12"/>
      <c r="I744" s="12"/>
      <c r="J744" s="1368"/>
      <c r="K744" s="63">
        <f>IFERROR(SUMIF(INTAKE!$A:$A,$T744,INTAKE!$P:$P),0)</f>
        <v>0</v>
      </c>
      <c r="L744" s="1533">
        <f t="shared" si="462"/>
        <v>0</v>
      </c>
      <c r="M744" s="23"/>
      <c r="N744" s="23"/>
      <c r="O744" s="23"/>
      <c r="P744" s="736"/>
      <c r="Q744" s="795"/>
      <c r="R744" s="785">
        <f>IFERROR(VLOOKUP($Q744,'391'!$S:$Z,8,0),"")</f>
        <v>0</v>
      </c>
      <c r="S744" s="786"/>
      <c r="T744" s="787" t="str">
        <f>$Q$747&amp;C744&amp;E744</f>
        <v>Choline Chloride 60%44062</v>
      </c>
      <c r="U744" s="787"/>
      <c r="V744" s="787"/>
      <c r="W744" s="785">
        <f>IFERROR(VLOOKUP($Q744,'391'!$S:$AG,15,0),0)</f>
        <v>0</v>
      </c>
      <c r="X744" s="1090">
        <f t="shared" si="459"/>
        <v>0</v>
      </c>
      <c r="Y744" s="785"/>
      <c r="Z744" s="785"/>
      <c r="AA744" s="787"/>
      <c r="AB744" s="787"/>
      <c r="AC744" s="679"/>
      <c r="AD744" s="679"/>
      <c r="AE744" s="679"/>
      <c r="AF744" s="679"/>
      <c r="AG744" s="679"/>
      <c r="AH744" s="679"/>
      <c r="AI744" s="682"/>
      <c r="AJ744" s="682"/>
      <c r="AK744" s="682"/>
      <c r="AL744" s="682"/>
      <c r="AM744" s="682"/>
      <c r="AN744" s="682"/>
      <c r="AO744" s="682"/>
      <c r="AP744" s="682"/>
      <c r="AQ744" s="682"/>
      <c r="AR744" s="682"/>
      <c r="AS744" s="682"/>
    </row>
    <row r="745" spans="1:45" s="6" customFormat="1" ht="30" hidden="1" customHeight="1" x14ac:dyDescent="0.25">
      <c r="A745" s="2070"/>
      <c r="B745" s="2094"/>
      <c r="C745" s="122"/>
      <c r="D745" s="881" t="s">
        <v>10</v>
      </c>
      <c r="E745" s="962">
        <v>44631</v>
      </c>
      <c r="F745" s="75">
        <f t="shared" si="467"/>
        <v>1655</v>
      </c>
      <c r="G745" s="12">
        <v>0</v>
      </c>
      <c r="H745" s="12"/>
      <c r="I745" s="12"/>
      <c r="J745" s="1368"/>
      <c r="K745" s="63">
        <f>IFERROR(SUMIF(INTAKE!$A:$A,$T745,INTAKE!$P:$P),0)</f>
        <v>0</v>
      </c>
      <c r="L745" s="1533">
        <f t="shared" si="462"/>
        <v>0</v>
      </c>
      <c r="M745" s="23"/>
      <c r="N745" s="23"/>
      <c r="O745" s="23"/>
      <c r="P745" s="736"/>
      <c r="Q745" s="795"/>
      <c r="R745" s="785">
        <f>IFERROR(VLOOKUP($Q745,'391'!$S:$Z,8,0),"")</f>
        <v>0</v>
      </c>
      <c r="S745" s="786"/>
      <c r="T745" s="787" t="str">
        <f>$Q$747&amp;C745&amp;E745</f>
        <v>Choline Chloride 60%44631</v>
      </c>
      <c r="U745" s="787"/>
      <c r="V745" s="787"/>
      <c r="W745" s="785">
        <f>IFERROR(VLOOKUP($Q745,'391'!$S:$AG,15,0),0)</f>
        <v>0</v>
      </c>
      <c r="X745" s="1090">
        <f t="shared" si="459"/>
        <v>0</v>
      </c>
      <c r="Y745" s="785"/>
      <c r="Z745" s="785"/>
      <c r="AA745" s="787"/>
      <c r="AB745" s="787"/>
      <c r="AC745" s="679"/>
      <c r="AD745" s="679"/>
      <c r="AE745" s="679"/>
      <c r="AF745" s="679"/>
      <c r="AG745" s="679"/>
      <c r="AH745" s="679"/>
      <c r="AI745" s="682"/>
      <c r="AJ745" s="682"/>
      <c r="AK745" s="682"/>
      <c r="AL745" s="682"/>
      <c r="AM745" s="682"/>
      <c r="AN745" s="682"/>
      <c r="AO745" s="682"/>
      <c r="AP745" s="682"/>
      <c r="AQ745" s="682"/>
      <c r="AR745" s="682"/>
      <c r="AS745" s="682"/>
    </row>
    <row r="746" spans="1:45" ht="30" hidden="1" customHeight="1" x14ac:dyDescent="0.25">
      <c r="A746" s="2070"/>
      <c r="B746" s="2095"/>
      <c r="C746" s="119" t="s">
        <v>46</v>
      </c>
      <c r="D746" s="863" t="s">
        <v>10</v>
      </c>
      <c r="E746" s="934">
        <v>45923</v>
      </c>
      <c r="F746" s="39">
        <f t="shared" si="467"/>
        <v>363</v>
      </c>
      <c r="G746" s="37">
        <v>0</v>
      </c>
      <c r="H746" s="37"/>
      <c r="I746" s="37">
        <f>+SUM(K742:K745)</f>
        <v>0</v>
      </c>
      <c r="J746" s="1385"/>
      <c r="K746" s="63">
        <f>IFERROR(SUMIF(INTAKE!$A:$A,$T746,INTAKE!$P:$P),0)</f>
        <v>0</v>
      </c>
      <c r="L746" s="1533">
        <f t="shared" si="462"/>
        <v>0</v>
      </c>
      <c r="M746" s="25"/>
      <c r="N746" s="47"/>
      <c r="O746" s="47"/>
      <c r="P746" s="740"/>
      <c r="Q746" s="795"/>
      <c r="R746" s="785">
        <f>IFERROR(VLOOKUP($Q746,'391'!$S:$Z,8,0),"")</f>
        <v>0</v>
      </c>
      <c r="T746" s="787" t="str">
        <f>$Q$747&amp;C746&amp;E746</f>
        <v>Choline Chloride 60%Feedmill45923</v>
      </c>
      <c r="U746" s="787"/>
      <c r="V746" s="787"/>
      <c r="W746" s="785">
        <f>IFERROR(VLOOKUP($Q746,'391'!$S:$AG,15,0),0)</f>
        <v>0</v>
      </c>
      <c r="X746" s="1090">
        <f t="shared" ref="X746:X755" si="468">G746-W746</f>
        <v>0</v>
      </c>
      <c r="Y746" s="785"/>
      <c r="Z746" s="785"/>
      <c r="AA746" s="787"/>
      <c r="AB746" s="787"/>
      <c r="AC746" s="679"/>
    </row>
    <row r="747" spans="1:45" s="265" customFormat="1" ht="30" hidden="1" customHeight="1" x14ac:dyDescent="0.25">
      <c r="A747" s="2019" t="s">
        <v>292</v>
      </c>
      <c r="B747" s="2020"/>
      <c r="C747" s="929"/>
      <c r="D747" s="864"/>
      <c r="E747" s="864"/>
      <c r="F747" s="865"/>
      <c r="G747" s="1297">
        <v>0</v>
      </c>
      <c r="H747" s="1297">
        <f>+SUM(H742:H746)</f>
        <v>0</v>
      </c>
      <c r="I747" s="1297">
        <f>+SUM(I742:I746)</f>
        <v>0</v>
      </c>
      <c r="J747" s="1297"/>
      <c r="K747" s="1297">
        <f>+SUM(K742:K746)</f>
        <v>0</v>
      </c>
      <c r="L747" s="1297">
        <f>+SUM(L742:L746)</f>
        <v>0</v>
      </c>
      <c r="M747" s="59" t="str">
        <f>IFERROR((R747/$S$2),"")</f>
        <v/>
      </c>
      <c r="N747" s="854">
        <f>IFERROR(L747/M747,0)</f>
        <v>0</v>
      </c>
      <c r="O747" s="59">
        <f>IFERROR(SUMIF(ETM!$A:$A,$Q747,ETM!$E:$E),"")</f>
        <v>0</v>
      </c>
      <c r="P747" s="880">
        <f>IFERROR(L747/O747,0)</f>
        <v>0</v>
      </c>
      <c r="Q747" s="814" t="s">
        <v>658</v>
      </c>
      <c r="R747" s="785" t="str">
        <f>IFERROR(VLOOKUP($Q747,'391'!$S:$Z,8,0),"")</f>
        <v/>
      </c>
      <c r="S747" s="796"/>
      <c r="T747" s="797"/>
      <c r="U747" s="797"/>
      <c r="V747" s="797"/>
      <c r="W747" s="785">
        <f>IFERROR(VLOOKUP($Q747,'391'!$S:$AG,15,0),0)</f>
        <v>0</v>
      </c>
      <c r="X747" s="1090">
        <f t="shared" si="468"/>
        <v>0</v>
      </c>
      <c r="Y747" s="785"/>
      <c r="Z747" s="785"/>
      <c r="AA747" s="797"/>
      <c r="AB747" s="797"/>
      <c r="AC747" s="551"/>
      <c r="AD747" s="551"/>
      <c r="AE747" s="551"/>
      <c r="AF747" s="551"/>
      <c r="AG747" s="551"/>
      <c r="AH747" s="551"/>
      <c r="AI747" s="704"/>
      <c r="AJ747" s="704"/>
      <c r="AK747" s="704"/>
      <c r="AL747" s="704"/>
      <c r="AM747" s="704"/>
      <c r="AN747" s="704"/>
      <c r="AO747" s="704"/>
      <c r="AP747" s="704"/>
      <c r="AQ747" s="704"/>
      <c r="AR747" s="704"/>
      <c r="AS747" s="704"/>
    </row>
    <row r="748" spans="1:45" s="6" customFormat="1" ht="30" hidden="1" customHeight="1" x14ac:dyDescent="0.25">
      <c r="A748" s="2070">
        <f>IF(L756=0,"",MAX($A$16:A747)+1)</f>
        <v>43</v>
      </c>
      <c r="B748" s="2043" t="s">
        <v>1910</v>
      </c>
      <c r="C748" s="122"/>
      <c r="D748" s="887" t="s">
        <v>10</v>
      </c>
      <c r="E748" s="962">
        <v>43865</v>
      </c>
      <c r="F748" s="74">
        <f t="shared" ref="F748:F751" si="469">$L$7-E748</f>
        <v>2421</v>
      </c>
      <c r="G748" s="12">
        <v>0</v>
      </c>
      <c r="H748" s="12"/>
      <c r="I748" s="12"/>
      <c r="J748" s="1388"/>
      <c r="K748" s="12">
        <f>IFERROR(SUMIF(INTAKE!$A:$A,$T748,INTAKE!$P:$P),0)</f>
        <v>0</v>
      </c>
      <c r="L748" s="1533">
        <f t="shared" si="462"/>
        <v>0</v>
      </c>
      <c r="M748" s="147"/>
      <c r="N748" s="248"/>
      <c r="O748" s="147">
        <v>0</v>
      </c>
      <c r="P748" s="734">
        <v>0</v>
      </c>
      <c r="Q748" s="795"/>
      <c r="R748" s="785">
        <f>IFERROR(VLOOKUP($Q748,'391'!$S:$Z,8,0),"")</f>
        <v>0</v>
      </c>
      <c r="S748" s="786"/>
      <c r="T748" s="787"/>
      <c r="U748" s="787"/>
      <c r="V748" s="787"/>
      <c r="W748" s="785">
        <f>IFERROR(VLOOKUP($Q748,'391'!$S:$AG,15,0),0)</f>
        <v>0</v>
      </c>
      <c r="X748" s="1090">
        <f t="shared" si="468"/>
        <v>0</v>
      </c>
      <c r="Y748" s="785"/>
      <c r="Z748" s="785"/>
      <c r="AA748" s="787"/>
      <c r="AB748" s="787"/>
      <c r="AC748" s="679"/>
      <c r="AD748" s="679"/>
      <c r="AE748" s="679"/>
      <c r="AF748" s="679"/>
      <c r="AG748" s="679"/>
      <c r="AH748" s="679"/>
      <c r="AI748" s="682"/>
      <c r="AJ748" s="682"/>
      <c r="AK748" s="682"/>
      <c r="AL748" s="682"/>
      <c r="AM748" s="682"/>
      <c r="AN748" s="682"/>
      <c r="AO748" s="682"/>
      <c r="AP748" s="682"/>
      <c r="AQ748" s="682"/>
      <c r="AR748" s="682"/>
      <c r="AS748" s="682"/>
    </row>
    <row r="749" spans="1:45" s="6" customFormat="1" ht="30" hidden="1" customHeight="1" x14ac:dyDescent="0.25">
      <c r="A749" s="2070"/>
      <c r="B749" s="2065"/>
      <c r="C749" s="122"/>
      <c r="D749" s="887" t="s">
        <v>10</v>
      </c>
      <c r="E749" s="962">
        <v>44723</v>
      </c>
      <c r="F749" s="74">
        <f t="shared" si="469"/>
        <v>1563</v>
      </c>
      <c r="G749" s="12">
        <v>0</v>
      </c>
      <c r="H749" s="12"/>
      <c r="I749" s="12"/>
      <c r="J749" s="12"/>
      <c r="K749" s="1379">
        <f>IFERROR(SUMIF(INTAKE!$A:$A,$T749,INTAKE!$P:$P),0)</f>
        <v>0</v>
      </c>
      <c r="L749" s="1533">
        <f t="shared" si="462"/>
        <v>0</v>
      </c>
      <c r="M749" s="101"/>
      <c r="N749" s="249"/>
      <c r="O749" s="101"/>
      <c r="P749" s="738"/>
      <c r="Q749" s="795"/>
      <c r="R749" s="785">
        <f>IFERROR(VLOOKUP($Q749,'391'!$S:$Z,8,0),"")</f>
        <v>0</v>
      </c>
      <c r="S749" s="786"/>
      <c r="T749" s="787" t="str">
        <f t="shared" ref="T749:T755" si="470">$Q$756&amp;C749&amp;E749</f>
        <v>Choline Chloride (BELGIUM)44723</v>
      </c>
      <c r="U749" s="787"/>
      <c r="V749" s="787"/>
      <c r="W749" s="785">
        <f>IFERROR(VLOOKUP($Q749,'391'!$S:$AG,15,0),0)</f>
        <v>0</v>
      </c>
      <c r="X749" s="1090">
        <f t="shared" si="468"/>
        <v>0</v>
      </c>
      <c r="Y749" s="785"/>
      <c r="Z749" s="785"/>
      <c r="AA749" s="787"/>
      <c r="AB749" s="787"/>
      <c r="AC749" s="679"/>
      <c r="AD749" s="679"/>
      <c r="AE749" s="679"/>
      <c r="AF749" s="679"/>
      <c r="AG749" s="679"/>
      <c r="AH749" s="679"/>
      <c r="AI749" s="682"/>
      <c r="AJ749" s="682"/>
      <c r="AK749" s="682"/>
      <c r="AL749" s="682"/>
      <c r="AM749" s="682"/>
      <c r="AN749" s="682"/>
      <c r="AO749" s="682"/>
      <c r="AP749" s="682"/>
      <c r="AQ749" s="682"/>
      <c r="AR749" s="682"/>
      <c r="AS749" s="682"/>
    </row>
    <row r="750" spans="1:45" s="6" customFormat="1" ht="30" hidden="1" customHeight="1" x14ac:dyDescent="0.25">
      <c r="A750" s="2070"/>
      <c r="B750" s="2065"/>
      <c r="C750" s="122"/>
      <c r="D750" s="887" t="s">
        <v>10</v>
      </c>
      <c r="E750" s="962">
        <v>44755</v>
      </c>
      <c r="F750" s="74">
        <f t="shared" si="469"/>
        <v>1531</v>
      </c>
      <c r="G750" s="12">
        <v>0</v>
      </c>
      <c r="H750" s="12"/>
      <c r="I750" s="12"/>
      <c r="J750" s="1379"/>
      <c r="K750" s="1379">
        <f>IFERROR(SUMIF(INTAKE!$A:$A,$T750,INTAKE!$P:$P),0)</f>
        <v>0</v>
      </c>
      <c r="L750" s="1533">
        <f t="shared" si="462"/>
        <v>0</v>
      </c>
      <c r="M750" s="101"/>
      <c r="N750" s="249"/>
      <c r="O750" s="101"/>
      <c r="P750" s="738"/>
      <c r="Q750" s="795"/>
      <c r="R750" s="785">
        <f>IFERROR(VLOOKUP($Q750,'391'!$S:$Z,8,0),"")</f>
        <v>0</v>
      </c>
      <c r="S750" s="786"/>
      <c r="T750" s="787" t="str">
        <f t="shared" si="470"/>
        <v>Choline Chloride (BELGIUM)44755</v>
      </c>
      <c r="U750" s="787"/>
      <c r="V750" s="787"/>
      <c r="W750" s="785">
        <f>IFERROR(VLOOKUP($Q750,'391'!$S:$AG,15,0),0)</f>
        <v>0</v>
      </c>
      <c r="X750" s="1090">
        <f t="shared" si="468"/>
        <v>0</v>
      </c>
      <c r="Y750" s="785"/>
      <c r="Z750" s="785"/>
      <c r="AA750" s="787"/>
      <c r="AB750" s="787"/>
      <c r="AC750" s="679"/>
      <c r="AD750" s="679"/>
      <c r="AE750" s="679"/>
      <c r="AF750" s="679"/>
      <c r="AG750" s="679"/>
      <c r="AH750" s="679"/>
      <c r="AI750" s="682"/>
      <c r="AJ750" s="682"/>
      <c r="AK750" s="682"/>
      <c r="AL750" s="682"/>
      <c r="AM750" s="682"/>
      <c r="AN750" s="682"/>
      <c r="AO750" s="682"/>
      <c r="AP750" s="682"/>
      <c r="AQ750" s="682"/>
      <c r="AR750" s="682"/>
      <c r="AS750" s="682"/>
    </row>
    <row r="751" spans="1:45" s="6" customFormat="1" ht="30" hidden="1" customHeight="1" x14ac:dyDescent="0.25">
      <c r="A751" s="2070"/>
      <c r="B751" s="2065"/>
      <c r="C751" s="122"/>
      <c r="D751" s="887" t="s">
        <v>10</v>
      </c>
      <c r="E751" s="962">
        <v>45576</v>
      </c>
      <c r="F751" s="74">
        <f t="shared" si="469"/>
        <v>710</v>
      </c>
      <c r="G751" s="12">
        <v>0</v>
      </c>
      <c r="H751" s="12"/>
      <c r="I751" s="12"/>
      <c r="J751" s="1368"/>
      <c r="K751" s="12">
        <f>IFERROR(SUMIF(INTAKE!$A:$A,$T751,INTAKE!$P:$P),0)</f>
        <v>0</v>
      </c>
      <c r="L751" s="1702">
        <f t="shared" si="462"/>
        <v>0</v>
      </c>
      <c r="M751" s="101"/>
      <c r="N751" s="249"/>
      <c r="O751" s="101"/>
      <c r="P751" s="738"/>
      <c r="Q751" s="795"/>
      <c r="R751" s="785">
        <f>IFERROR(VLOOKUP($Q751,'391'!$S:$Z,8,0),"")</f>
        <v>0</v>
      </c>
      <c r="S751" s="786"/>
      <c r="T751" s="787" t="str">
        <f t="shared" si="470"/>
        <v>Choline Chloride (BELGIUM)45576</v>
      </c>
      <c r="U751" s="787"/>
      <c r="V751" s="787"/>
      <c r="W751" s="785">
        <f>IFERROR(VLOOKUP($Q751,'391'!$S:$AG,15,0),0)</f>
        <v>0</v>
      </c>
      <c r="X751" s="1090">
        <f t="shared" si="468"/>
        <v>0</v>
      </c>
      <c r="Y751" s="785"/>
      <c r="Z751" s="785"/>
      <c r="AA751" s="787"/>
      <c r="AB751" s="787"/>
      <c r="AC751" s="679"/>
      <c r="AD751" s="679"/>
      <c r="AE751" s="679"/>
      <c r="AF751" s="679"/>
      <c r="AG751" s="679"/>
      <c r="AH751" s="679"/>
      <c r="AI751" s="682"/>
      <c r="AJ751" s="682"/>
      <c r="AK751" s="682"/>
      <c r="AL751" s="682"/>
      <c r="AM751" s="682"/>
      <c r="AN751" s="682"/>
      <c r="AO751" s="682"/>
      <c r="AP751" s="682"/>
      <c r="AQ751" s="682"/>
      <c r="AR751" s="682"/>
      <c r="AS751" s="682"/>
    </row>
    <row r="752" spans="1:45" s="6" customFormat="1" ht="30" hidden="1" customHeight="1" x14ac:dyDescent="0.25">
      <c r="A752" s="2070"/>
      <c r="B752" s="2065"/>
      <c r="C752" s="1215"/>
      <c r="D752" s="852" t="s">
        <v>10</v>
      </c>
      <c r="E752" s="968">
        <v>45668</v>
      </c>
      <c r="F752" s="1216">
        <f>$L$7-E752</f>
        <v>618</v>
      </c>
      <c r="G752" s="1217">
        <v>1.7053025658242404E-13</v>
      </c>
      <c r="H752" s="1217"/>
      <c r="I752" s="12"/>
      <c r="J752" s="1217"/>
      <c r="K752" s="1379"/>
      <c r="L752" s="1533">
        <f t="shared" si="462"/>
        <v>1.7053025658242404E-13</v>
      </c>
      <c r="M752" s="101"/>
      <c r="N752" s="249"/>
      <c r="O752" s="101"/>
      <c r="P752" s="738"/>
      <c r="Q752" s="795"/>
      <c r="R752" s="785">
        <f>IFERROR(VLOOKUP($Q752,'391'!$S:$Z,8,0),"")</f>
        <v>0</v>
      </c>
      <c r="S752" s="786"/>
      <c r="T752" s="787" t="str">
        <f t="shared" si="470"/>
        <v>Choline Chloride (BELGIUM)45668</v>
      </c>
      <c r="U752" s="787"/>
      <c r="V752" s="787"/>
      <c r="W752" s="785">
        <f>IFERROR(VLOOKUP($Q752,'391'!$S:$AG,15,0),0)</f>
        <v>0</v>
      </c>
      <c r="X752" s="1090">
        <f t="shared" si="468"/>
        <v>1.7053025658242404E-13</v>
      </c>
      <c r="Y752" s="785"/>
      <c r="Z752" s="785"/>
      <c r="AA752" s="787"/>
      <c r="AB752" s="787"/>
      <c r="AC752" s="679"/>
      <c r="AD752" s="679"/>
      <c r="AE752" s="679"/>
      <c r="AF752" s="679"/>
      <c r="AG752" s="679"/>
      <c r="AH752" s="679"/>
      <c r="AI752" s="682"/>
      <c r="AJ752" s="682"/>
      <c r="AK752" s="682"/>
      <c r="AL752" s="682"/>
      <c r="AM752" s="682"/>
      <c r="AN752" s="682"/>
      <c r="AO752" s="682"/>
      <c r="AP752" s="682"/>
      <c r="AQ752" s="682"/>
      <c r="AR752" s="682"/>
      <c r="AS752" s="682"/>
    </row>
    <row r="753" spans="1:45" s="6" customFormat="1" ht="30" customHeight="1" x14ac:dyDescent="0.25">
      <c r="A753" s="2070"/>
      <c r="B753" s="2065"/>
      <c r="C753" s="1215" t="s">
        <v>129</v>
      </c>
      <c r="D753" s="852" t="s">
        <v>10</v>
      </c>
      <c r="E753" s="968">
        <v>46206</v>
      </c>
      <c r="F753" s="1216">
        <f>$L$7-E753</f>
        <v>80</v>
      </c>
      <c r="G753" s="1217">
        <v>26900.000000000004</v>
      </c>
      <c r="H753" s="1217"/>
      <c r="I753" s="1217"/>
      <c r="J753" s="1389"/>
      <c r="K753" s="1379"/>
      <c r="L753" s="1533">
        <f t="shared" si="462"/>
        <v>26900.000000000004</v>
      </c>
      <c r="M753" s="23"/>
      <c r="N753" s="1460"/>
      <c r="O753" s="23"/>
      <c r="P753" s="736"/>
      <c r="Q753" s="795"/>
      <c r="R753" s="785">
        <f>IFERROR(VLOOKUP($Q753,'391'!$S:$Z,8,0),"")</f>
        <v>0</v>
      </c>
      <c r="S753" s="786"/>
      <c r="T753" s="787" t="str">
        <f t="shared" si="470"/>
        <v>Choline Chloride (BELGIUM)LA346206</v>
      </c>
      <c r="U753" s="787"/>
      <c r="V753" s="787"/>
      <c r="W753" s="785">
        <f>IFERROR(VLOOKUP($Q753,'391'!$S:$AG,15,0),0)</f>
        <v>0</v>
      </c>
      <c r="X753" s="1090">
        <f t="shared" si="468"/>
        <v>26900.000000000004</v>
      </c>
      <c r="Y753" s="785"/>
      <c r="Z753" s="785"/>
      <c r="AA753" s="787"/>
      <c r="AB753" s="787"/>
      <c r="AC753" s="679"/>
      <c r="AD753" s="679"/>
      <c r="AE753" s="679"/>
      <c r="AF753" s="679"/>
      <c r="AG753" s="679"/>
      <c r="AH753" s="679"/>
      <c r="AI753" s="682"/>
      <c r="AJ753" s="682"/>
      <c r="AK753" s="682"/>
      <c r="AL753" s="682"/>
      <c r="AM753" s="682"/>
      <c r="AN753" s="682"/>
      <c r="AO753" s="682"/>
      <c r="AP753" s="682"/>
      <c r="AQ753" s="682"/>
      <c r="AR753" s="682"/>
      <c r="AS753" s="682"/>
    </row>
    <row r="754" spans="1:45" s="6" customFormat="1" ht="30" customHeight="1" x14ac:dyDescent="0.25">
      <c r="A754" s="2070"/>
      <c r="B754" s="2065"/>
      <c r="C754" s="1215" t="s">
        <v>1171</v>
      </c>
      <c r="D754" s="910" t="s">
        <v>10</v>
      </c>
      <c r="E754" s="1260">
        <v>46248</v>
      </c>
      <c r="F754" s="292">
        <f>$L$7-E754</f>
        <v>38</v>
      </c>
      <c r="G754" s="1261">
        <v>23129.270000000004</v>
      </c>
      <c r="H754" s="1217"/>
      <c r="I754" s="1831"/>
      <c r="J754" s="1832">
        <f>usage!I83-J753</f>
        <v>980.09</v>
      </c>
      <c r="K754" s="12"/>
      <c r="L754" s="1533">
        <f t="shared" si="462"/>
        <v>22149.180000000004</v>
      </c>
      <c r="M754" s="23"/>
      <c r="N754" s="1460"/>
      <c r="O754" s="23"/>
      <c r="P754" s="736"/>
      <c r="Q754" s="795"/>
      <c r="R754" s="785">
        <f>IFERROR(VLOOKUP($Q754,'391'!$S:$Z,8,0),"")</f>
        <v>0</v>
      </c>
      <c r="S754" s="786"/>
      <c r="T754" s="787" t="str">
        <f t="shared" si="470"/>
        <v>Choline Chloride (BELGIUM)LA746248</v>
      </c>
      <c r="U754" s="787"/>
      <c r="V754" s="787"/>
      <c r="W754" s="785">
        <f>IFERROR(VLOOKUP($Q754,'391'!$S:$AG,15,0),0)</f>
        <v>0</v>
      </c>
      <c r="X754" s="1090">
        <f t="shared" si="468"/>
        <v>23129.270000000004</v>
      </c>
      <c r="Y754" s="785"/>
      <c r="Z754" s="785"/>
      <c r="AA754" s="787"/>
      <c r="AB754" s="787"/>
      <c r="AC754" s="679"/>
      <c r="AD754" s="679"/>
      <c r="AE754" s="679"/>
      <c r="AF754" s="679"/>
      <c r="AG754" s="679"/>
      <c r="AH754" s="679"/>
      <c r="AI754" s="682"/>
      <c r="AJ754" s="682"/>
      <c r="AK754" s="682"/>
      <c r="AL754" s="682"/>
      <c r="AM754" s="682"/>
      <c r="AN754" s="682"/>
      <c r="AO754" s="682"/>
      <c r="AP754" s="682"/>
      <c r="AQ754" s="682"/>
      <c r="AR754" s="682"/>
      <c r="AS754" s="682"/>
    </row>
    <row r="755" spans="1:45" ht="30" hidden="1" customHeight="1" x14ac:dyDescent="0.25">
      <c r="A755" s="2070"/>
      <c r="B755" s="2044"/>
      <c r="C755" s="1215" t="s">
        <v>129</v>
      </c>
      <c r="D755" s="884" t="s">
        <v>10</v>
      </c>
      <c r="E755" s="1213">
        <v>45726</v>
      </c>
      <c r="F755" s="293">
        <f>$L$7-E755</f>
        <v>560</v>
      </c>
      <c r="G755" s="1214">
        <v>0</v>
      </c>
      <c r="H755" s="1214"/>
      <c r="I755" s="1217"/>
      <c r="J755" s="1390"/>
      <c r="K755" s="1379"/>
      <c r="L755" s="1533">
        <f t="shared" si="462"/>
        <v>0</v>
      </c>
      <c r="M755" s="47"/>
      <c r="N755" s="920"/>
      <c r="O755" s="47"/>
      <c r="P755" s="740"/>
      <c r="Q755" s="666" t="s">
        <v>1246</v>
      </c>
      <c r="R755" s="785">
        <f>IFERROR(VLOOKUP($Q755,'391'!$S:$Z,8,0),"0")</f>
        <v>6183</v>
      </c>
      <c r="T755" s="787" t="str">
        <f t="shared" si="470"/>
        <v>Choline Chloride (BELGIUM)LA345726</v>
      </c>
      <c r="U755" s="787"/>
      <c r="V755" s="787"/>
      <c r="W755" s="785">
        <f>IFERROR(VLOOKUP($Q755,'391'!$S:$AG,15,0),0)</f>
        <v>50029.270000000004</v>
      </c>
      <c r="X755" s="1090">
        <f t="shared" si="468"/>
        <v>-50029.270000000004</v>
      </c>
      <c r="Y755" s="785"/>
      <c r="Z755" s="785"/>
      <c r="AA755" s="787"/>
      <c r="AB755" s="787"/>
      <c r="AC755" s="679"/>
    </row>
    <row r="756" spans="1:45" s="265" customFormat="1" ht="30" customHeight="1" x14ac:dyDescent="0.25">
      <c r="A756" s="2019" t="s">
        <v>1560</v>
      </c>
      <c r="B756" s="2020"/>
      <c r="C756" s="88"/>
      <c r="D756" s="864"/>
      <c r="E756" s="864"/>
      <c r="F756" s="865"/>
      <c r="G756" s="1337">
        <v>50029.270000000004</v>
      </c>
      <c r="H756" s="1337">
        <f>SUM(H748:H755)</f>
        <v>0</v>
      </c>
      <c r="I756" s="1337">
        <f t="shared" ref="I756:L756" si="471">SUM(I748:I755)</f>
        <v>0</v>
      </c>
      <c r="J756" s="1337">
        <f t="shared" si="471"/>
        <v>980.09</v>
      </c>
      <c r="K756" s="1337">
        <f t="shared" si="471"/>
        <v>0</v>
      </c>
      <c r="L756" s="1337">
        <f t="shared" si="471"/>
        <v>49049.180000000008</v>
      </c>
      <c r="M756" s="59">
        <f>IFERROR((S756/$S$2),"")</f>
        <v>1030.5</v>
      </c>
      <c r="N756" s="854">
        <f>IFERROR(L756/M756,0)</f>
        <v>47.597457544881131</v>
      </c>
      <c r="O756" s="59">
        <f>IFERROR(SUMIF(ETM!$A:$A,$Q756,ETM!$E:$E),"")</f>
        <v>1088.6666666666667</v>
      </c>
      <c r="P756" s="880">
        <f>IFERROR(L756/O756,0)</f>
        <v>45.054360073484389</v>
      </c>
      <c r="Q756" s="814" t="s">
        <v>659</v>
      </c>
      <c r="R756" s="785" t="str">
        <f>IFERROR(VLOOKUP($Q756,'391'!$S:$Z,8,0),"0")</f>
        <v>0</v>
      </c>
      <c r="S756" s="800">
        <f>+R755+R756</f>
        <v>6183</v>
      </c>
      <c r="T756" s="797"/>
      <c r="U756" s="797"/>
      <c r="V756" s="797"/>
      <c r="W756" s="785">
        <f>IFERROR(VLOOKUP($Q756,'391'!$S:$AG,15,0),0)</f>
        <v>0</v>
      </c>
      <c r="X756" s="1231">
        <f>G756-(W756+W755)</f>
        <v>0</v>
      </c>
      <c r="Y756" s="785"/>
      <c r="Z756" s="785"/>
      <c r="AA756" s="797"/>
      <c r="AB756" s="797"/>
      <c r="AC756" s="551"/>
      <c r="AD756" s="551"/>
      <c r="AE756" s="551"/>
      <c r="AF756" s="551"/>
      <c r="AG756" s="551"/>
      <c r="AH756" s="551"/>
      <c r="AI756" s="704"/>
      <c r="AJ756" s="704"/>
      <c r="AK756" s="704"/>
      <c r="AL756" s="704"/>
      <c r="AM756" s="704"/>
      <c r="AN756" s="704"/>
      <c r="AO756" s="704"/>
      <c r="AP756" s="704"/>
      <c r="AQ756" s="704"/>
      <c r="AR756" s="704"/>
      <c r="AS756" s="704"/>
    </row>
    <row r="757" spans="1:45" s="13" customFormat="1" ht="30" hidden="1" customHeight="1" x14ac:dyDescent="0.25">
      <c r="A757" s="2021">
        <f>IF(L764=0,"",MAX($A$16:A756)+1)</f>
        <v>44</v>
      </c>
      <c r="B757" s="2043" t="s">
        <v>1322</v>
      </c>
      <c r="C757" s="110" t="s">
        <v>268</v>
      </c>
      <c r="D757" s="959" t="s">
        <v>10</v>
      </c>
      <c r="E757" s="933">
        <v>44658</v>
      </c>
      <c r="F757" s="74">
        <f t="shared" ref="F757:F763" si="472">$L$7-E757</f>
        <v>1628</v>
      </c>
      <c r="G757" s="63">
        <v>0</v>
      </c>
      <c r="H757" s="56"/>
      <c r="I757" s="63"/>
      <c r="J757" s="1378"/>
      <c r="K757" s="63">
        <f>IFERROR(SUMIF(INTAKE!$A:$A,$T757,INTAKE!$P:$P),0)</f>
        <v>0</v>
      </c>
      <c r="L757" s="1533">
        <f t="shared" ref="L757:L763" si="473">+G757+H757+I757-J757-K757</f>
        <v>0</v>
      </c>
      <c r="M757" s="50"/>
      <c r="N757" s="167"/>
      <c r="O757" s="50"/>
      <c r="P757" s="744"/>
      <c r="Q757" s="795"/>
      <c r="R757" s="785">
        <f>IFERROR(VLOOKUP($Q757,'391'!$S:$Z,8,0),"")</f>
        <v>0</v>
      </c>
      <c r="S757" s="796"/>
      <c r="T757" s="797" t="str">
        <f t="shared" ref="T757:T763" si="474">$Q$764&amp;C757&amp;E757</f>
        <v>Pep 125V3.144658</v>
      </c>
      <c r="U757" s="797"/>
      <c r="V757" s="797"/>
      <c r="W757" s="785">
        <f>IFERROR(VLOOKUP($Q757,'391'!$S:$AG,15,0),0)</f>
        <v>0</v>
      </c>
      <c r="X757" s="1090">
        <f t="shared" ref="X757:X793" si="475">G757-W757</f>
        <v>0</v>
      </c>
      <c r="Y757" s="785"/>
      <c r="Z757" s="785"/>
      <c r="AA757" s="797"/>
      <c r="AB757" s="797"/>
      <c r="AC757" s="683"/>
      <c r="AD757" s="683"/>
      <c r="AE757" s="683"/>
      <c r="AF757" s="683"/>
      <c r="AG757" s="683"/>
      <c r="AH757" s="683"/>
      <c r="AI757" s="705"/>
      <c r="AJ757" s="705"/>
      <c r="AK757" s="705"/>
      <c r="AL757" s="705"/>
      <c r="AM757" s="705"/>
      <c r="AN757" s="705"/>
      <c r="AO757" s="705"/>
      <c r="AP757" s="705"/>
      <c r="AQ757" s="705"/>
      <c r="AR757" s="705"/>
      <c r="AS757" s="705"/>
    </row>
    <row r="758" spans="1:45" s="13" customFormat="1" ht="30" hidden="1" customHeight="1" x14ac:dyDescent="0.25">
      <c r="A758" s="2022"/>
      <c r="B758" s="2065"/>
      <c r="C758" s="110"/>
      <c r="D758" s="959" t="s">
        <v>10</v>
      </c>
      <c r="E758" s="933">
        <v>46022</v>
      </c>
      <c r="F758" s="74">
        <f t="shared" si="472"/>
        <v>264</v>
      </c>
      <c r="G758" s="63">
        <v>0</v>
      </c>
      <c r="H758" s="63"/>
      <c r="I758" s="63"/>
      <c r="J758" s="1378"/>
      <c r="K758" s="63">
        <f>IFERROR(SUMIF(INTAKE!$A:$A,$T758,INTAKE!$P:$P),0)</f>
        <v>0</v>
      </c>
      <c r="L758" s="1702">
        <f t="shared" si="473"/>
        <v>0</v>
      </c>
      <c r="M758" s="48"/>
      <c r="N758" s="163"/>
      <c r="O758" s="48"/>
      <c r="P758" s="738"/>
      <c r="Q758" s="795"/>
      <c r="R758" s="785">
        <f>IFERROR(VLOOKUP($Q758,'391'!$S:$Z,8,0),"")</f>
        <v>0</v>
      </c>
      <c r="S758" s="796"/>
      <c r="T758" s="797" t="str">
        <f t="shared" si="474"/>
        <v>Pep 12546022</v>
      </c>
      <c r="U758" s="797"/>
      <c r="V758" s="797"/>
      <c r="W758" s="785">
        <f>IFERROR(VLOOKUP($Q758,'391'!$S:$AG,15,0),0)</f>
        <v>0</v>
      </c>
      <c r="X758" s="1090">
        <f t="shared" si="475"/>
        <v>0</v>
      </c>
      <c r="Y758" s="785"/>
      <c r="Z758" s="785"/>
      <c r="AA758" s="797"/>
      <c r="AB758" s="797"/>
      <c r="AC758" s="683"/>
      <c r="AD758" s="683"/>
      <c r="AE758" s="683"/>
      <c r="AF758" s="683"/>
      <c r="AG758" s="683"/>
      <c r="AH758" s="683"/>
      <c r="AI758" s="705"/>
      <c r="AJ758" s="705"/>
      <c r="AK758" s="705"/>
      <c r="AL758" s="705"/>
      <c r="AM758" s="705"/>
      <c r="AN758" s="705"/>
      <c r="AO758" s="705"/>
      <c r="AP758" s="705"/>
      <c r="AQ758" s="705"/>
      <c r="AR758" s="705"/>
      <c r="AS758" s="705"/>
    </row>
    <row r="759" spans="1:45" s="13" customFormat="1" ht="30" customHeight="1" x14ac:dyDescent="0.25">
      <c r="A759" s="2022"/>
      <c r="B759" s="2065"/>
      <c r="C759" s="110" t="s">
        <v>1868</v>
      </c>
      <c r="D759" s="959" t="s">
        <v>10</v>
      </c>
      <c r="E759" s="933">
        <v>46270</v>
      </c>
      <c r="F759" s="74">
        <f t="shared" si="472"/>
        <v>16</v>
      </c>
      <c r="G759" s="63">
        <v>400</v>
      </c>
      <c r="H759" s="63"/>
      <c r="I759" s="63"/>
      <c r="J759" s="1378"/>
      <c r="K759" s="63">
        <f>IFERROR(SUMIF(INTAKE!$A:$A,$T759,INTAKE!$P:$P),0)</f>
        <v>0</v>
      </c>
      <c r="L759" s="1702">
        <f t="shared" si="473"/>
        <v>400</v>
      </c>
      <c r="M759" s="48"/>
      <c r="N759" s="163"/>
      <c r="O759" s="48"/>
      <c r="P759" s="738"/>
      <c r="Q759" s="795"/>
      <c r="R759" s="785">
        <f>IFERROR(VLOOKUP($Q759,'391'!$S:$Z,8,0),"")</f>
        <v>0</v>
      </c>
      <c r="S759" s="796"/>
      <c r="T759" s="797" t="str">
        <f t="shared" si="474"/>
        <v>Pep 125D246270</v>
      </c>
      <c r="U759" s="797"/>
      <c r="V759" s="797"/>
      <c r="W759" s="785">
        <f>IFERROR(VLOOKUP($Q759,'391'!$S:$AG,15,0),0)</f>
        <v>0</v>
      </c>
      <c r="X759" s="1090">
        <f t="shared" si="475"/>
        <v>400</v>
      </c>
      <c r="Y759" s="785"/>
      <c r="Z759" s="785"/>
      <c r="AA759" s="797"/>
      <c r="AB759" s="797"/>
      <c r="AC759" s="683"/>
      <c r="AD759" s="683"/>
      <c r="AE759" s="683"/>
      <c r="AF759" s="683"/>
      <c r="AG759" s="683"/>
      <c r="AH759" s="683"/>
      <c r="AI759" s="705"/>
      <c r="AJ759" s="705"/>
      <c r="AK759" s="705"/>
      <c r="AL759" s="705"/>
      <c r="AM759" s="705"/>
      <c r="AN759" s="705"/>
      <c r="AO759" s="705"/>
      <c r="AP759" s="705"/>
      <c r="AQ759" s="705"/>
      <c r="AR759" s="705"/>
      <c r="AS759" s="705"/>
    </row>
    <row r="760" spans="1:45" s="13" customFormat="1" ht="30" customHeight="1" x14ac:dyDescent="0.25">
      <c r="A760" s="2022"/>
      <c r="B760" s="2065"/>
      <c r="C760" s="110" t="s">
        <v>1868</v>
      </c>
      <c r="D760" s="959" t="s">
        <v>10</v>
      </c>
      <c r="E760" s="933">
        <v>46283</v>
      </c>
      <c r="F760" s="74">
        <f t="shared" ref="F760" si="476">$L$7-E760</f>
        <v>3</v>
      </c>
      <c r="G760" s="63">
        <v>500</v>
      </c>
      <c r="H760" s="63"/>
      <c r="I760" s="63"/>
      <c r="J760" s="1378"/>
      <c r="K760" s="63">
        <f>IFERROR(SUMIF(INTAKE!$A:$A,$T760,INTAKE!$P:$P),0)</f>
        <v>0</v>
      </c>
      <c r="L760" s="1702">
        <f t="shared" si="473"/>
        <v>500</v>
      </c>
      <c r="M760" s="48"/>
      <c r="N760" s="163"/>
      <c r="O760" s="48"/>
      <c r="P760" s="738"/>
      <c r="Q760" s="795"/>
      <c r="R760" s="785">
        <f>IFERROR(VLOOKUP($Q760,'391'!$S:$Z,8,0),"")</f>
        <v>0</v>
      </c>
      <c r="S760" s="796"/>
      <c r="T760" s="797" t="str">
        <f t="shared" si="474"/>
        <v>Pep 125D246283</v>
      </c>
      <c r="U760" s="797"/>
      <c r="V760" s="797"/>
      <c r="W760" s="785">
        <f>IFERROR(VLOOKUP($Q760,'391'!$S:$AG,15,0),0)</f>
        <v>0</v>
      </c>
      <c r="X760" s="1090">
        <f t="shared" si="475"/>
        <v>500</v>
      </c>
      <c r="Y760" s="785"/>
      <c r="Z760" s="785"/>
      <c r="AA760" s="797"/>
      <c r="AB760" s="797"/>
      <c r="AC760" s="683"/>
      <c r="AD760" s="683"/>
      <c r="AE760" s="683"/>
      <c r="AF760" s="683"/>
      <c r="AG760" s="683"/>
      <c r="AH760" s="683"/>
      <c r="AI760" s="705"/>
      <c r="AJ760" s="705"/>
      <c r="AK760" s="705"/>
      <c r="AL760" s="705"/>
      <c r="AM760" s="705"/>
      <c r="AN760" s="705"/>
      <c r="AO760" s="705"/>
      <c r="AP760" s="705"/>
      <c r="AQ760" s="705"/>
      <c r="AR760" s="705"/>
      <c r="AS760" s="705"/>
    </row>
    <row r="761" spans="1:45" s="13" customFormat="1" ht="30" hidden="1" customHeight="1" x14ac:dyDescent="0.25">
      <c r="A761" s="2022"/>
      <c r="B761" s="2065"/>
      <c r="C761" s="110"/>
      <c r="D761" s="959" t="s">
        <v>10</v>
      </c>
      <c r="E761" s="933">
        <v>46157</v>
      </c>
      <c r="F761" s="74">
        <f t="shared" si="472"/>
        <v>129</v>
      </c>
      <c r="G761" s="63">
        <v>0</v>
      </c>
      <c r="H761" s="63"/>
      <c r="I761" s="63"/>
      <c r="J761" s="1378"/>
      <c r="K761" s="63">
        <f>IFERROR(SUMIF(INTAKE!$A:$A,$T761,INTAKE!$P:$P),0)</f>
        <v>0</v>
      </c>
      <c r="L761" s="1702">
        <f t="shared" si="473"/>
        <v>0</v>
      </c>
      <c r="M761" s="45"/>
      <c r="N761" s="162"/>
      <c r="O761" s="45"/>
      <c r="P761" s="736"/>
      <c r="Q761" s="795"/>
      <c r="R761" s="785">
        <f>IFERROR(VLOOKUP($Q761,'391'!$S:$Z,8,0),"")</f>
        <v>0</v>
      </c>
      <c r="S761" s="796"/>
      <c r="T761" s="797" t="str">
        <f t="shared" si="474"/>
        <v>Pep 12546157</v>
      </c>
      <c r="U761" s="797"/>
      <c r="V761" s="797"/>
      <c r="W761" s="785">
        <f>IFERROR(VLOOKUP($Q761,'391'!$S:$AG,15,0),0)</f>
        <v>0</v>
      </c>
      <c r="X761" s="1090">
        <f t="shared" si="475"/>
        <v>0</v>
      </c>
      <c r="Y761" s="785"/>
      <c r="Z761" s="785"/>
      <c r="AA761" s="797"/>
      <c r="AB761" s="797"/>
      <c r="AC761" s="683"/>
      <c r="AD761" s="683"/>
      <c r="AE761" s="683"/>
      <c r="AF761" s="683"/>
      <c r="AG761" s="683"/>
      <c r="AH761" s="683"/>
      <c r="AI761" s="705"/>
      <c r="AJ761" s="705"/>
      <c r="AK761" s="705"/>
      <c r="AL761" s="705"/>
      <c r="AM761" s="705"/>
      <c r="AN761" s="705"/>
      <c r="AO761" s="705"/>
      <c r="AP761" s="705"/>
      <c r="AQ761" s="705"/>
      <c r="AR761" s="705"/>
      <c r="AS761" s="705"/>
    </row>
    <row r="762" spans="1:45" s="13" customFormat="1" ht="30" hidden="1" customHeight="1" x14ac:dyDescent="0.25">
      <c r="A762" s="2022"/>
      <c r="B762" s="2065"/>
      <c r="C762" s="110"/>
      <c r="D762" s="959" t="s">
        <v>10</v>
      </c>
      <c r="E762" s="933">
        <v>42879</v>
      </c>
      <c r="F762" s="74">
        <f t="shared" si="472"/>
        <v>3407</v>
      </c>
      <c r="G762" s="63">
        <v>0</v>
      </c>
      <c r="H762" s="56"/>
      <c r="I762" s="63"/>
      <c r="J762" s="1378"/>
      <c r="K762" s="63">
        <f>IFERROR(SUMIF(INTAKE!$A:$A,$T762,INTAKE!$P:$P),0)</f>
        <v>0</v>
      </c>
      <c r="L762" s="1533">
        <f t="shared" si="473"/>
        <v>0</v>
      </c>
      <c r="M762" s="45"/>
      <c r="N762" s="162"/>
      <c r="O762" s="45"/>
      <c r="P762" s="736"/>
      <c r="Q762" s="795"/>
      <c r="R762" s="785">
        <f>IFERROR(VLOOKUP($Q762,'391'!$S:$Z,8,0),"")</f>
        <v>0</v>
      </c>
      <c r="S762" s="796"/>
      <c r="T762" s="797" t="str">
        <f t="shared" si="474"/>
        <v>Pep 12542879</v>
      </c>
      <c r="U762" s="797"/>
      <c r="V762" s="797"/>
      <c r="W762" s="785">
        <f>IFERROR(VLOOKUP($Q762,'391'!$S:$AG,15,0),0)</f>
        <v>0</v>
      </c>
      <c r="X762" s="1090">
        <f t="shared" si="475"/>
        <v>0</v>
      </c>
      <c r="Y762" s="785"/>
      <c r="Z762" s="785"/>
      <c r="AA762" s="797"/>
      <c r="AB762" s="797"/>
      <c r="AC762" s="683"/>
      <c r="AD762" s="683"/>
      <c r="AE762" s="683"/>
      <c r="AF762" s="683"/>
      <c r="AG762" s="683"/>
      <c r="AH762" s="683"/>
      <c r="AI762" s="705"/>
      <c r="AJ762" s="705"/>
      <c r="AK762" s="705"/>
      <c r="AL762" s="705"/>
      <c r="AM762" s="705"/>
      <c r="AN762" s="705"/>
      <c r="AO762" s="705"/>
      <c r="AP762" s="705"/>
      <c r="AQ762" s="705"/>
      <c r="AR762" s="705"/>
      <c r="AS762" s="705"/>
    </row>
    <row r="763" spans="1:45" s="405" customFormat="1" ht="30" customHeight="1" x14ac:dyDescent="0.25">
      <c r="A763" s="2023"/>
      <c r="B763" s="2044"/>
      <c r="C763" s="61" t="s">
        <v>46</v>
      </c>
      <c r="D763" s="863" t="s">
        <v>10</v>
      </c>
      <c r="E763" s="934">
        <v>46270</v>
      </c>
      <c r="F763" s="39">
        <f t="shared" si="472"/>
        <v>16</v>
      </c>
      <c r="G763" s="37">
        <v>118.93000000000002</v>
      </c>
      <c r="H763" s="37"/>
      <c r="I763" s="37">
        <f>SUM(K757:K761)</f>
        <v>0</v>
      </c>
      <c r="J763" s="1385">
        <f>+usage!I109</f>
        <v>31.16</v>
      </c>
      <c r="K763" s="63">
        <f>IFERROR(SUMIF(INTAKE!$A:$A,$T763,INTAKE!$P:$P),0)</f>
        <v>0</v>
      </c>
      <c r="L763" s="1533">
        <f t="shared" si="473"/>
        <v>87.770000000000024</v>
      </c>
      <c r="M763" s="35"/>
      <c r="N763" s="87"/>
      <c r="O763" s="35"/>
      <c r="P763" s="740"/>
      <c r="Q763" s="795"/>
      <c r="R763" s="785">
        <f>IFERROR(VLOOKUP($Q763,'391'!$S:$Z,8,0),"")</f>
        <v>0</v>
      </c>
      <c r="S763" s="796"/>
      <c r="T763" s="797" t="str">
        <f t="shared" si="474"/>
        <v>Pep 125Feedmill46270</v>
      </c>
      <c r="U763" s="797"/>
      <c r="V763" s="797"/>
      <c r="W763" s="785">
        <f>IFERROR(VLOOKUP($Q763,'391'!$S:$AG,15,0),0)</f>
        <v>0</v>
      </c>
      <c r="X763" s="1090">
        <f t="shared" si="475"/>
        <v>118.93000000000002</v>
      </c>
      <c r="Y763" s="785"/>
      <c r="Z763" s="785"/>
      <c r="AA763" s="797"/>
      <c r="AB763" s="797"/>
      <c r="AC763" s="683"/>
      <c r="AD763" s="683"/>
      <c r="AE763" s="683"/>
      <c r="AF763" s="683"/>
      <c r="AG763" s="683"/>
      <c r="AH763" s="683"/>
      <c r="AI763" s="705"/>
      <c r="AJ763" s="705"/>
      <c r="AK763" s="705"/>
      <c r="AL763" s="705"/>
      <c r="AM763" s="705"/>
      <c r="AN763" s="705"/>
      <c r="AO763" s="705"/>
      <c r="AP763" s="705"/>
      <c r="AQ763" s="705"/>
      <c r="AR763" s="705"/>
      <c r="AS763" s="705"/>
    </row>
    <row r="764" spans="1:45" s="265" customFormat="1" ht="30" customHeight="1" x14ac:dyDescent="0.25">
      <c r="A764" s="2019" t="s">
        <v>95</v>
      </c>
      <c r="B764" s="2020"/>
      <c r="C764" s="88"/>
      <c r="D764" s="900"/>
      <c r="E764" s="864"/>
      <c r="F764" s="865"/>
      <c r="G764" s="1297">
        <v>1018.9300000000001</v>
      </c>
      <c r="H764" s="1297">
        <f t="shared" ref="H764:L764" si="477">SUM(H757:H763)</f>
        <v>0</v>
      </c>
      <c r="I764" s="1297">
        <f t="shared" si="477"/>
        <v>0</v>
      </c>
      <c r="J764" s="1297">
        <f t="shared" si="477"/>
        <v>31.16</v>
      </c>
      <c r="K764" s="1297">
        <f t="shared" si="477"/>
        <v>0</v>
      </c>
      <c r="L764" s="1297">
        <f t="shared" si="477"/>
        <v>987.77</v>
      </c>
      <c r="M764" s="59">
        <f>IFERROR((R764/$S$2),"")</f>
        <v>22.651666666666667</v>
      </c>
      <c r="N764" s="366">
        <f>IFERROR(L764/M764,0)</f>
        <v>43.606945772937969</v>
      </c>
      <c r="O764" s="59">
        <f>IFERROR(SUMIF(ETM!$A:$A,$Q764,ETM!$E:$E),"")</f>
        <v>25.333333333333332</v>
      </c>
      <c r="P764" s="880">
        <f>IFERROR(L764/O764,0)</f>
        <v>38.990921052631577</v>
      </c>
      <c r="Q764" s="814" t="s">
        <v>660</v>
      </c>
      <c r="R764" s="785">
        <f>IFERROR(VLOOKUP($Q764,'391'!$S:$Z,8,0),"")</f>
        <v>135.91</v>
      </c>
      <c r="S764" s="796"/>
      <c r="T764" s="797"/>
      <c r="U764" s="797"/>
      <c r="V764" s="797"/>
      <c r="W764" s="785">
        <f>IFERROR(VLOOKUP($Q764,'391'!$S:$AG,15,0),0)</f>
        <v>1018.9300000000001</v>
      </c>
      <c r="X764" s="1090">
        <f t="shared" si="475"/>
        <v>0</v>
      </c>
      <c r="Y764" s="785"/>
      <c r="Z764" s="785"/>
      <c r="AA764" s="797"/>
      <c r="AB764" s="797"/>
      <c r="AC764" s="551"/>
      <c r="AD764" s="551"/>
      <c r="AE764" s="551"/>
      <c r="AF764" s="551"/>
      <c r="AG764" s="551"/>
      <c r="AH764" s="551"/>
      <c r="AI764" s="704"/>
      <c r="AJ764" s="704"/>
      <c r="AK764" s="704"/>
      <c r="AL764" s="704"/>
      <c r="AM764" s="704"/>
      <c r="AN764" s="704"/>
      <c r="AO764" s="704"/>
      <c r="AP764" s="704"/>
      <c r="AQ764" s="704"/>
      <c r="AR764" s="704"/>
      <c r="AS764" s="704"/>
    </row>
    <row r="765" spans="1:45" s="13" customFormat="1" ht="30" hidden="1" customHeight="1" x14ac:dyDescent="0.25">
      <c r="A765" s="2021">
        <f>IF(L773=0,"",MAX($A$16:A764)+1)</f>
        <v>45</v>
      </c>
      <c r="B765" s="2043" t="s">
        <v>262</v>
      </c>
      <c r="C765" s="1762"/>
      <c r="D765" s="963" t="s">
        <v>10</v>
      </c>
      <c r="E765" s="964">
        <v>46109</v>
      </c>
      <c r="F765" s="362">
        <f t="shared" ref="F765:F768" si="478">$L$7-E765</f>
        <v>177</v>
      </c>
      <c r="G765" s="1763">
        <v>0</v>
      </c>
      <c r="H765" s="1763"/>
      <c r="I765" s="1763"/>
      <c r="J765" s="1764"/>
      <c r="K765" s="1370">
        <f>IFERROR(SUMIF(INTAKE!$A:$A,$T765,INTAKE!$P:$P),0)</f>
        <v>0</v>
      </c>
      <c r="L765" s="1702">
        <f t="shared" ref="L765:L772" si="479">+G765+H765+I765-J765-K765</f>
        <v>0</v>
      </c>
      <c r="M765" s="50"/>
      <c r="N765" s="50"/>
      <c r="O765" s="50"/>
      <c r="P765" s="744"/>
      <c r="Q765" s="795"/>
      <c r="R765" s="785">
        <f>IFERROR(VLOOKUP($Q765,'391'!$S:$Z,8,0),"")</f>
        <v>0</v>
      </c>
      <c r="S765" s="796"/>
      <c r="T765" s="797" t="str">
        <f>$Q$773&amp;C765&amp;E765</f>
        <v>Zinc Oxide46109</v>
      </c>
      <c r="U765" s="797"/>
      <c r="V765" s="797"/>
      <c r="W765" s="785">
        <f>IFERROR(VLOOKUP($Q765,'391'!$S:$AG,15,0),0)</f>
        <v>0</v>
      </c>
      <c r="X765" s="1090">
        <f t="shared" si="475"/>
        <v>0</v>
      </c>
      <c r="Y765" s="785"/>
      <c r="Z765" s="785"/>
      <c r="AA765" s="797"/>
      <c r="AB765" s="797"/>
      <c r="AC765" s="683"/>
      <c r="AD765" s="683"/>
      <c r="AE765" s="683"/>
      <c r="AF765" s="683"/>
      <c r="AG765" s="683"/>
      <c r="AH765" s="683"/>
      <c r="AI765" s="705"/>
      <c r="AJ765" s="705"/>
      <c r="AK765" s="705"/>
      <c r="AL765" s="705"/>
      <c r="AM765" s="705"/>
      <c r="AN765" s="705"/>
      <c r="AO765" s="705"/>
      <c r="AP765" s="705"/>
      <c r="AQ765" s="705"/>
      <c r="AR765" s="705"/>
      <c r="AS765" s="705"/>
    </row>
    <row r="766" spans="1:45" s="13" customFormat="1" ht="29.25" hidden="1" customHeight="1" x14ac:dyDescent="0.25">
      <c r="A766" s="2022"/>
      <c r="B766" s="2065"/>
      <c r="C766" s="1762"/>
      <c r="D766" s="963" t="s">
        <v>10</v>
      </c>
      <c r="E766" s="964">
        <v>46127</v>
      </c>
      <c r="F766" s="362">
        <f t="shared" si="478"/>
        <v>159</v>
      </c>
      <c r="G766" s="1763">
        <v>0</v>
      </c>
      <c r="H766" s="1763"/>
      <c r="I766" s="1763"/>
      <c r="J766" s="1764"/>
      <c r="K766" s="1370">
        <f>IFERROR(SUMIF(INTAKE!$A:$A,$T766,INTAKE!$P:$P),0)</f>
        <v>0</v>
      </c>
      <c r="L766" s="1702">
        <f t="shared" si="479"/>
        <v>0</v>
      </c>
      <c r="M766" s="173"/>
      <c r="N766" s="173"/>
      <c r="O766" s="173"/>
      <c r="P766" s="754"/>
      <c r="Q766" s="795"/>
      <c r="R766" s="785">
        <f>IFERROR(VLOOKUP($Q766,'391'!$S:$Z,8,0),"")</f>
        <v>0</v>
      </c>
      <c r="S766" s="796"/>
      <c r="T766" s="797" t="str">
        <f t="shared" ref="T766:T772" si="480">$Q$773&amp;C766&amp;E766</f>
        <v>Zinc Oxide46127</v>
      </c>
      <c r="U766" s="797"/>
      <c r="V766" s="797"/>
      <c r="W766" s="785">
        <f>IFERROR(VLOOKUP($Q766,'391'!$S:$AG,15,0),0)</f>
        <v>0</v>
      </c>
      <c r="X766" s="1090">
        <f t="shared" si="475"/>
        <v>0</v>
      </c>
      <c r="Y766" s="785"/>
      <c r="Z766" s="785"/>
      <c r="AA766" s="797"/>
      <c r="AB766" s="797"/>
      <c r="AC766" s="683"/>
      <c r="AD766" s="683"/>
      <c r="AE766" s="683"/>
      <c r="AF766" s="683"/>
      <c r="AG766" s="683"/>
      <c r="AH766" s="683"/>
      <c r="AI766" s="705"/>
      <c r="AJ766" s="705"/>
      <c r="AK766" s="705"/>
      <c r="AL766" s="705"/>
      <c r="AM766" s="705"/>
      <c r="AN766" s="705"/>
      <c r="AO766" s="705"/>
      <c r="AP766" s="705"/>
      <c r="AQ766" s="705"/>
      <c r="AR766" s="705"/>
      <c r="AS766" s="705"/>
    </row>
    <row r="767" spans="1:45" s="13" customFormat="1" ht="29.25" customHeight="1" x14ac:dyDescent="0.25">
      <c r="A767" s="2022"/>
      <c r="B767" s="2065"/>
      <c r="C767" s="1762" t="s">
        <v>1622</v>
      </c>
      <c r="D767" s="963" t="s">
        <v>10</v>
      </c>
      <c r="E767" s="964">
        <v>46273</v>
      </c>
      <c r="F767" s="362">
        <f t="shared" ref="F767" si="481">$L$7-E767</f>
        <v>13</v>
      </c>
      <c r="G767" s="1763">
        <v>2500</v>
      </c>
      <c r="H767" s="1763"/>
      <c r="I767" s="1763"/>
      <c r="J767" s="1764"/>
      <c r="K767" s="1370">
        <f>IFERROR(SUMIF(INTAKE!$A:$A,$T767,INTAKE!$P:$P),0)</f>
        <v>0</v>
      </c>
      <c r="L767" s="1711">
        <f t="shared" si="479"/>
        <v>2500</v>
      </c>
      <c r="M767" s="173"/>
      <c r="N767" s="173"/>
      <c r="O767" s="173"/>
      <c r="P767" s="754"/>
      <c r="Q767" s="795"/>
      <c r="R767" s="785">
        <f>IFERROR(VLOOKUP($Q767,'391'!$S:$Z,8,0),"")</f>
        <v>0</v>
      </c>
      <c r="S767" s="796"/>
      <c r="T767" s="797" t="str">
        <f t="shared" si="480"/>
        <v>Zinc OxideV2.246273</v>
      </c>
      <c r="U767" s="797"/>
      <c r="V767" s="797"/>
      <c r="W767" s="785">
        <f>IFERROR(VLOOKUP($Q767,'391'!$S:$AG,15,0),0)</f>
        <v>0</v>
      </c>
      <c r="X767" s="1090">
        <f t="shared" si="475"/>
        <v>2500</v>
      </c>
      <c r="Y767" s="785"/>
      <c r="Z767" s="785"/>
      <c r="AA767" s="797"/>
      <c r="AB767" s="797"/>
      <c r="AC767" s="683"/>
      <c r="AD767" s="683"/>
      <c r="AE767" s="683"/>
      <c r="AF767" s="683"/>
      <c r="AG767" s="683"/>
      <c r="AH767" s="683"/>
      <c r="AI767" s="705"/>
      <c r="AJ767" s="705"/>
      <c r="AK767" s="705"/>
      <c r="AL767" s="705"/>
      <c r="AM767" s="705"/>
      <c r="AN767" s="705"/>
      <c r="AO767" s="705"/>
      <c r="AP767" s="705"/>
      <c r="AQ767" s="705"/>
      <c r="AR767" s="705"/>
      <c r="AS767" s="705"/>
    </row>
    <row r="768" spans="1:45" s="13" customFormat="1" ht="29.25" hidden="1" customHeight="1" x14ac:dyDescent="0.25">
      <c r="A768" s="2022"/>
      <c r="B768" s="2069"/>
      <c r="C768" s="1762"/>
      <c r="D768" s="963" t="s">
        <v>10</v>
      </c>
      <c r="E768" s="964">
        <v>46273</v>
      </c>
      <c r="F768" s="362">
        <f t="shared" si="478"/>
        <v>13</v>
      </c>
      <c r="G768" s="1763">
        <v>0</v>
      </c>
      <c r="H768" s="1763"/>
      <c r="I768" s="1763"/>
      <c r="J768" s="1764"/>
      <c r="K768" s="1370">
        <f>IFERROR(SUMIF(INTAKE!$A:$A,$T768,INTAKE!$P:$P),0)</f>
        <v>0</v>
      </c>
      <c r="L768" s="1702">
        <f t="shared" si="479"/>
        <v>0</v>
      </c>
      <c r="M768" s="1765"/>
      <c r="N768" s="1765"/>
      <c r="O768" s="1765"/>
      <c r="P768" s="1766"/>
      <c r="Q768" s="795"/>
      <c r="R768" s="785"/>
      <c r="S768" s="796"/>
      <c r="T768" s="797" t="str">
        <f t="shared" si="480"/>
        <v>Zinc Oxide46273</v>
      </c>
      <c r="U768" s="797"/>
      <c r="V768" s="797"/>
      <c r="W768" s="785"/>
      <c r="X768" s="1090"/>
      <c r="Y768" s="785"/>
      <c r="Z768" s="785"/>
      <c r="AA768" s="797"/>
      <c r="AB768" s="797"/>
      <c r="AC768" s="683"/>
      <c r="AD768" s="683"/>
      <c r="AE768" s="683"/>
      <c r="AF768" s="683"/>
      <c r="AG768" s="683"/>
      <c r="AH768" s="683"/>
      <c r="AI768" s="705"/>
      <c r="AJ768" s="705"/>
      <c r="AK768" s="705"/>
      <c r="AL768" s="705"/>
      <c r="AM768" s="705"/>
      <c r="AN768" s="705"/>
      <c r="AO768" s="705"/>
      <c r="AP768" s="705"/>
      <c r="AQ768" s="705"/>
      <c r="AR768" s="705"/>
      <c r="AS768" s="705"/>
    </row>
    <row r="769" spans="1:45" s="13" customFormat="1" ht="29.25" hidden="1" customHeight="1" x14ac:dyDescent="0.25">
      <c r="A769" s="2022"/>
      <c r="B769" s="2069"/>
      <c r="C769" s="1762"/>
      <c r="D769" s="963" t="s">
        <v>10</v>
      </c>
      <c r="E769" s="964">
        <v>46259</v>
      </c>
      <c r="F769" s="362">
        <f t="shared" ref="F769" si="482">$L$7-E769</f>
        <v>27</v>
      </c>
      <c r="G769" s="1763">
        <v>0</v>
      </c>
      <c r="H769" s="1763"/>
      <c r="I769" s="1763"/>
      <c r="J769" s="1764"/>
      <c r="K769" s="1370">
        <f>IFERROR(SUMIF(INTAKE!$A:$A,$T769,INTAKE!$P:$P),0)</f>
        <v>0</v>
      </c>
      <c r="L769" s="1702">
        <f t="shared" si="479"/>
        <v>0</v>
      </c>
      <c r="M769" s="1765"/>
      <c r="N769" s="1765"/>
      <c r="O769" s="1765"/>
      <c r="P769" s="1766"/>
      <c r="Q769" s="795"/>
      <c r="R769" s="785"/>
      <c r="S769" s="796"/>
      <c r="T769" s="797" t="str">
        <f t="shared" si="480"/>
        <v>Zinc Oxide46259</v>
      </c>
      <c r="U769" s="797"/>
      <c r="V769" s="797"/>
      <c r="W769" s="785"/>
      <c r="X769" s="1090"/>
      <c r="Y769" s="785"/>
      <c r="Z769" s="785"/>
      <c r="AA769" s="797"/>
      <c r="AB769" s="797"/>
      <c r="AC769" s="683"/>
      <c r="AD769" s="683"/>
      <c r="AE769" s="683"/>
      <c r="AF769" s="683"/>
      <c r="AG769" s="683"/>
      <c r="AH769" s="683"/>
      <c r="AI769" s="705"/>
      <c r="AJ769" s="705"/>
      <c r="AK769" s="705"/>
      <c r="AL769" s="705"/>
      <c r="AM769" s="705"/>
      <c r="AN769" s="705"/>
      <c r="AO769" s="705"/>
      <c r="AP769" s="705"/>
      <c r="AQ769" s="705"/>
      <c r="AR769" s="705"/>
      <c r="AS769" s="705"/>
    </row>
    <row r="770" spans="1:45" s="13" customFormat="1" ht="29.25" hidden="1" customHeight="1" x14ac:dyDescent="0.25">
      <c r="A770" s="2022"/>
      <c r="B770" s="2069"/>
      <c r="C770" s="1762"/>
      <c r="D770" s="963" t="s">
        <v>10</v>
      </c>
      <c r="E770" s="964">
        <v>46259</v>
      </c>
      <c r="F770" s="362">
        <f t="shared" ref="F770" si="483">$L$7-E770</f>
        <v>27</v>
      </c>
      <c r="G770" s="1763">
        <v>0</v>
      </c>
      <c r="H770" s="1763"/>
      <c r="I770" s="1763"/>
      <c r="J770" s="1764"/>
      <c r="K770" s="1370">
        <f>IFERROR(SUMIF(INTAKE!$A:$A,$T770,INTAKE!$P:$P),0)</f>
        <v>0</v>
      </c>
      <c r="L770" s="1702">
        <f t="shared" ref="L770" si="484">+G770+H770+I770-J770-K770</f>
        <v>0</v>
      </c>
      <c r="M770" s="1765"/>
      <c r="N770" s="1765"/>
      <c r="O770" s="1765"/>
      <c r="P770" s="1766"/>
      <c r="Q770" s="795"/>
      <c r="R770" s="785"/>
      <c r="S770" s="796"/>
      <c r="T770" s="797" t="str">
        <f t="shared" si="480"/>
        <v>Zinc Oxide46259</v>
      </c>
      <c r="U770" s="797"/>
      <c r="V770" s="797"/>
      <c r="W770" s="785"/>
      <c r="X770" s="1090"/>
      <c r="Y770" s="785"/>
      <c r="Z770" s="785"/>
      <c r="AA770" s="797"/>
      <c r="AB770" s="797"/>
      <c r="AC770" s="683"/>
      <c r="AD770" s="683"/>
      <c r="AE770" s="683"/>
      <c r="AF770" s="683"/>
      <c r="AG770" s="683"/>
      <c r="AH770" s="683"/>
      <c r="AI770" s="705"/>
      <c r="AJ770" s="705"/>
      <c r="AK770" s="705"/>
      <c r="AL770" s="705"/>
      <c r="AM770" s="705"/>
      <c r="AN770" s="705"/>
      <c r="AO770" s="705"/>
      <c r="AP770" s="705"/>
      <c r="AQ770" s="705"/>
      <c r="AR770" s="705"/>
      <c r="AS770" s="705"/>
    </row>
    <row r="771" spans="1:45" s="13" customFormat="1" ht="29.25" hidden="1" customHeight="1" x14ac:dyDescent="0.25">
      <c r="A771" s="2022"/>
      <c r="B771" s="2069"/>
      <c r="C771" s="1762"/>
      <c r="D771" s="963" t="s">
        <v>10</v>
      </c>
      <c r="E771" s="964">
        <v>45909</v>
      </c>
      <c r="F771" s="362">
        <f t="shared" ref="F771:F772" si="485">$L$7-E771</f>
        <v>377</v>
      </c>
      <c r="G771" s="1763">
        <v>0</v>
      </c>
      <c r="H771" s="1763"/>
      <c r="I771" s="1763"/>
      <c r="J771" s="1764"/>
      <c r="K771" s="1370">
        <f>IFERROR(SUMIF(INTAKE!$A:$A,$T771,INTAKE!$P:$P),0)</f>
        <v>0</v>
      </c>
      <c r="L771" s="1702">
        <f t="shared" si="479"/>
        <v>0</v>
      </c>
      <c r="M771" s="1765"/>
      <c r="N771" s="1765"/>
      <c r="O771" s="1765"/>
      <c r="P771" s="1766"/>
      <c r="Q771" s="795"/>
      <c r="R771" s="785"/>
      <c r="S771" s="796"/>
      <c r="T771" s="797" t="str">
        <f t="shared" si="480"/>
        <v>Zinc Oxide45909</v>
      </c>
      <c r="U771" s="797"/>
      <c r="V771" s="797"/>
      <c r="W771" s="785"/>
      <c r="X771" s="1090"/>
      <c r="Y771" s="785"/>
      <c r="Z771" s="785"/>
      <c r="AA771" s="797"/>
      <c r="AB771" s="797"/>
      <c r="AC771" s="683"/>
      <c r="AD771" s="683"/>
      <c r="AE771" s="683"/>
      <c r="AF771" s="683"/>
      <c r="AG771" s="683"/>
      <c r="AH771" s="683"/>
      <c r="AI771" s="705"/>
      <c r="AJ771" s="705"/>
      <c r="AK771" s="705"/>
      <c r="AL771" s="705"/>
      <c r="AM771" s="705"/>
      <c r="AN771" s="705"/>
      <c r="AO771" s="705"/>
      <c r="AP771" s="705"/>
      <c r="AQ771" s="705"/>
      <c r="AR771" s="705"/>
      <c r="AS771" s="705"/>
    </row>
    <row r="772" spans="1:45" s="13" customFormat="1" ht="29.25" customHeight="1" x14ac:dyDescent="0.25">
      <c r="A772" s="2022"/>
      <c r="B772" s="2065"/>
      <c r="C772" s="194" t="s">
        <v>46</v>
      </c>
      <c r="D772" s="965" t="s">
        <v>10</v>
      </c>
      <c r="E772" s="966">
        <v>46273</v>
      </c>
      <c r="F772" s="967">
        <f t="shared" si="485"/>
        <v>13</v>
      </c>
      <c r="G772" s="1391">
        <v>3440.1500000000005</v>
      </c>
      <c r="H772" s="1370"/>
      <c r="I772" s="1391">
        <f>+SUM(K765:K771)</f>
        <v>0</v>
      </c>
      <c r="J772" s="1391">
        <f>+usage!I129</f>
        <v>300.89999999999998</v>
      </c>
      <c r="K772" s="1370">
        <f>IFERROR(SUMIF(INTAKE!$A:$A,$T772,INTAKE!$P:$P),0)</f>
        <v>0</v>
      </c>
      <c r="L772" s="1533">
        <f t="shared" si="479"/>
        <v>3139.2500000000005</v>
      </c>
      <c r="M772" s="173"/>
      <c r="N772" s="173"/>
      <c r="O772" s="173"/>
      <c r="P772" s="754"/>
      <c r="Q772" s="666" t="s">
        <v>1614</v>
      </c>
      <c r="R772" s="785" t="str">
        <f>IFERROR(VLOOKUP($Q772,'391'!$S:$Z,8,0),"0")</f>
        <v>0</v>
      </c>
      <c r="S772" s="819">
        <f>+R772+R773</f>
        <v>4747.75</v>
      </c>
      <c r="T772" s="797" t="str">
        <f t="shared" si="480"/>
        <v>Zinc OxideFeedmill46273</v>
      </c>
      <c r="U772" s="797"/>
      <c r="V772" s="797"/>
      <c r="W772" s="785">
        <f>IFERROR(VLOOKUP($Q772,'391'!$S:$AG,15,0),0)</f>
        <v>0</v>
      </c>
      <c r="X772" s="1090">
        <f t="shared" si="475"/>
        <v>3440.1500000000005</v>
      </c>
      <c r="Y772" s="785"/>
      <c r="Z772" s="785"/>
      <c r="AA772" s="797"/>
      <c r="AB772" s="797"/>
      <c r="AC772" s="683"/>
      <c r="AD772" s="683"/>
      <c r="AE772" s="683"/>
      <c r="AF772" s="683"/>
      <c r="AG772" s="683"/>
      <c r="AH772" s="683"/>
      <c r="AI772" s="705"/>
      <c r="AJ772" s="705"/>
      <c r="AK772" s="705"/>
      <c r="AL772" s="705"/>
      <c r="AM772" s="705"/>
      <c r="AN772" s="705"/>
      <c r="AO772" s="705"/>
      <c r="AP772" s="705"/>
      <c r="AQ772" s="705"/>
      <c r="AR772" s="705"/>
      <c r="AS772" s="705"/>
    </row>
    <row r="773" spans="1:45" s="265" customFormat="1" ht="30" customHeight="1" x14ac:dyDescent="0.25">
      <c r="A773" s="2019" t="s">
        <v>37</v>
      </c>
      <c r="B773" s="2020"/>
      <c r="C773" s="88"/>
      <c r="D773" s="864"/>
      <c r="E773" s="864"/>
      <c r="F773" s="865"/>
      <c r="G773" s="1297">
        <v>5940.1500000000005</v>
      </c>
      <c r="H773" s="1297">
        <f t="shared" ref="H773:L773" si="486">SUM(H765:H772)</f>
        <v>0</v>
      </c>
      <c r="I773" s="1297">
        <f t="shared" si="486"/>
        <v>0</v>
      </c>
      <c r="J773" s="1297">
        <f t="shared" si="486"/>
        <v>300.89999999999998</v>
      </c>
      <c r="K773" s="1297">
        <f t="shared" si="486"/>
        <v>0</v>
      </c>
      <c r="L773" s="1297">
        <f t="shared" si="486"/>
        <v>5639.25</v>
      </c>
      <c r="M773" s="59">
        <f>IFERROR((S772/$S$2),"")</f>
        <v>791.29166666666663</v>
      </c>
      <c r="N773" s="854">
        <f>IFERROR(L773/M773,0)</f>
        <v>7.1266389342320053</v>
      </c>
      <c r="O773" s="59">
        <f>IFERROR(SUMIF(ETM!$A:$A,$Q773,ETM!$E:$E),"")</f>
        <v>642</v>
      </c>
      <c r="P773" s="880">
        <f>IFERROR(L773/O773,0)</f>
        <v>8.7838785046728969</v>
      </c>
      <c r="Q773" s="814" t="s">
        <v>262</v>
      </c>
      <c r="R773" s="785">
        <f>IFERROR(VLOOKUP($Q773,'391'!$S:$Z,8,0),"")</f>
        <v>4747.75</v>
      </c>
      <c r="S773" s="796"/>
      <c r="T773" s="797"/>
      <c r="U773" s="797"/>
      <c r="V773" s="797"/>
      <c r="W773" s="785">
        <f>IFERROR(VLOOKUP($Q773,'391'!$S:$AG,15,0),0)</f>
        <v>5940.1500000000005</v>
      </c>
      <c r="X773" s="1090">
        <f t="shared" si="475"/>
        <v>0</v>
      </c>
      <c r="Y773" s="785"/>
      <c r="Z773" s="785"/>
      <c r="AA773" s="797"/>
      <c r="AB773" s="797"/>
      <c r="AC773" s="551"/>
      <c r="AD773" s="551"/>
      <c r="AE773" s="551"/>
      <c r="AF773" s="551"/>
      <c r="AG773" s="551"/>
      <c r="AH773" s="551"/>
      <c r="AI773" s="704"/>
      <c r="AJ773" s="704"/>
      <c r="AK773" s="704"/>
      <c r="AL773" s="704"/>
      <c r="AM773" s="704"/>
      <c r="AN773" s="704"/>
      <c r="AO773" s="704"/>
      <c r="AP773" s="704"/>
      <c r="AQ773" s="704"/>
      <c r="AR773" s="704"/>
      <c r="AS773" s="704"/>
    </row>
    <row r="774" spans="1:45" s="13" customFormat="1" ht="30" hidden="1" customHeight="1" x14ac:dyDescent="0.25">
      <c r="A774" s="2021">
        <f>IF(L782=0,"",MAX($A$16:A773)+1)</f>
        <v>46</v>
      </c>
      <c r="B774" s="2090" t="s">
        <v>1899</v>
      </c>
      <c r="C774" s="160"/>
      <c r="D774" s="959" t="s">
        <v>10</v>
      </c>
      <c r="E774" s="935">
        <v>45295</v>
      </c>
      <c r="F774" s="75">
        <f t="shared" ref="F774:F781" si="487">$L$7-E774</f>
        <v>991</v>
      </c>
      <c r="G774" s="64">
        <v>0</v>
      </c>
      <c r="H774" s="64"/>
      <c r="I774" s="64"/>
      <c r="J774" s="1367"/>
      <c r="K774" s="64">
        <f>IFERROR(SUMIF(INTAKE!$A:$A,$T774,INTAKE!$P:$P),0)</f>
        <v>0</v>
      </c>
      <c r="L774" s="1533">
        <f t="shared" ref="L774:L781" si="488">+G774+H774+I774-J774-K774</f>
        <v>0</v>
      </c>
      <c r="M774" s="50"/>
      <c r="N774" s="167"/>
      <c r="O774" s="50"/>
      <c r="P774" s="747"/>
      <c r="Q774" s="795"/>
      <c r="R774" s="785">
        <f>IFERROR(VLOOKUP($Q774,'391'!$S:$Z,8,0),"")</f>
        <v>0</v>
      </c>
      <c r="S774" s="796"/>
      <c r="T774" s="797" t="str">
        <f>$Q$781&amp;C774&amp;E774</f>
        <v>Denagard 80% Coated(China)45295</v>
      </c>
      <c r="U774" s="797"/>
      <c r="V774" s="797"/>
      <c r="W774" s="785">
        <f>IFERROR(VLOOKUP($Q774,'391'!$S:$AG,15,0),0)</f>
        <v>0</v>
      </c>
      <c r="X774" s="1090">
        <f t="shared" si="475"/>
        <v>0</v>
      </c>
      <c r="Y774" s="785"/>
      <c r="Z774" s="785"/>
      <c r="AA774" s="797"/>
      <c r="AB774" s="797"/>
      <c r="AC774" s="683"/>
      <c r="AD774" s="683"/>
      <c r="AE774" s="683"/>
      <c r="AF774" s="683"/>
      <c r="AG774" s="683"/>
      <c r="AH774" s="683"/>
      <c r="AI774" s="705"/>
      <c r="AJ774" s="705"/>
      <c r="AK774" s="705"/>
      <c r="AL774" s="705"/>
      <c r="AM774" s="705"/>
      <c r="AN774" s="705"/>
      <c r="AO774" s="705"/>
      <c r="AP774" s="705"/>
      <c r="AQ774" s="705"/>
      <c r="AR774" s="705"/>
      <c r="AS774" s="705"/>
    </row>
    <row r="775" spans="1:45" s="13" customFormat="1" ht="30" hidden="1" customHeight="1" x14ac:dyDescent="0.25">
      <c r="A775" s="2022"/>
      <c r="B775" s="2091"/>
      <c r="C775" s="160"/>
      <c r="D775" s="959" t="s">
        <v>10</v>
      </c>
      <c r="E775" s="935">
        <v>45755</v>
      </c>
      <c r="F775" s="75">
        <f t="shared" si="487"/>
        <v>531</v>
      </c>
      <c r="G775" s="64">
        <v>0</v>
      </c>
      <c r="H775" s="64"/>
      <c r="I775" s="64"/>
      <c r="J775" s="1367"/>
      <c r="K775" s="64">
        <f>IFERROR(SUMIF(INTAKE!$A:$A,$T775,INTAKE!$P:$P),0)</f>
        <v>0</v>
      </c>
      <c r="L775" s="1702">
        <f t="shared" si="488"/>
        <v>0</v>
      </c>
      <c r="M775" s="46"/>
      <c r="N775" s="176"/>
      <c r="O775" s="46"/>
      <c r="P775" s="748"/>
      <c r="Q775" s="795"/>
      <c r="R775" s="785">
        <f>IFERROR(VLOOKUP($Q775,'391'!$S:$Z,8,0),"")</f>
        <v>0</v>
      </c>
      <c r="S775" s="796"/>
      <c r="T775" s="797" t="str">
        <f t="shared" ref="T775" si="489">$Q$782&amp;C775&amp;E775</f>
        <v>Tiamutin 80%45755</v>
      </c>
      <c r="U775" s="797"/>
      <c r="V775" s="797"/>
      <c r="W775" s="785">
        <f>IFERROR(VLOOKUP($Q775,'391'!$S:$AG,15,0),0)</f>
        <v>0</v>
      </c>
      <c r="X775" s="1090">
        <f t="shared" si="475"/>
        <v>0</v>
      </c>
      <c r="Y775" s="785"/>
      <c r="Z775" s="785"/>
      <c r="AA775" s="797"/>
      <c r="AB775" s="797"/>
      <c r="AC775" s="683"/>
      <c r="AD775" s="683"/>
      <c r="AE775" s="683"/>
      <c r="AF775" s="683"/>
      <c r="AG775" s="683"/>
      <c r="AH775" s="683"/>
      <c r="AI775" s="705"/>
      <c r="AJ775" s="705"/>
      <c r="AK775" s="705"/>
      <c r="AL775" s="705"/>
      <c r="AM775" s="705"/>
      <c r="AN775" s="705"/>
      <c r="AO775" s="705"/>
      <c r="AP775" s="705"/>
      <c r="AQ775" s="705"/>
      <c r="AR775" s="705"/>
      <c r="AS775" s="705"/>
    </row>
    <row r="776" spans="1:45" s="13" customFormat="1" ht="30" hidden="1" customHeight="1" x14ac:dyDescent="0.25">
      <c r="A776" s="2022"/>
      <c r="B776" s="2091"/>
      <c r="C776" s="160"/>
      <c r="D776" s="959" t="s">
        <v>10</v>
      </c>
      <c r="E776" s="935">
        <v>45771</v>
      </c>
      <c r="F776" s="75">
        <f t="shared" ref="F776:F780" si="490">$L$7-E776</f>
        <v>515</v>
      </c>
      <c r="G776" s="64">
        <v>0</v>
      </c>
      <c r="H776" s="64"/>
      <c r="I776" s="64"/>
      <c r="J776" s="1367"/>
      <c r="K776" s="64">
        <f>IFERROR(SUMIF(INTAKE!$A:$A,$T776,INTAKE!$P:$P),0)</f>
        <v>0</v>
      </c>
      <c r="L776" s="1702">
        <f t="shared" si="488"/>
        <v>0</v>
      </c>
      <c r="M776" s="48"/>
      <c r="N776" s="163"/>
      <c r="O776" s="48"/>
      <c r="P776" s="750"/>
      <c r="Q776" s="666" t="s">
        <v>1391</v>
      </c>
      <c r="R776" s="785">
        <f>IFERROR(VLOOKUP($Q776,'391'!$S:$Z,8,0),"0")</f>
        <v>1197.4100000000001</v>
      </c>
      <c r="S776" s="796"/>
      <c r="T776" s="797" t="str">
        <f>$Q$776&amp;C776&amp;E776</f>
        <v>TIAMULIN FUMARATE PREMIX 80% (China)45771</v>
      </c>
      <c r="U776" s="797"/>
      <c r="V776" s="797"/>
      <c r="W776" s="785">
        <f>IFERROR(VLOOKUP($Q776,'391'!$S:$AG,15,0),0)</f>
        <v>3302.82</v>
      </c>
      <c r="X776" s="1090">
        <f t="shared" si="475"/>
        <v>-3302.82</v>
      </c>
      <c r="Y776" s="785"/>
      <c r="Z776" s="785"/>
      <c r="AA776" s="797"/>
      <c r="AB776" s="797"/>
      <c r="AC776" s="683"/>
      <c r="AD776" s="683"/>
      <c r="AE776" s="683"/>
      <c r="AF776" s="683"/>
      <c r="AG776" s="683"/>
      <c r="AH776" s="683"/>
      <c r="AI776" s="705"/>
      <c r="AJ776" s="705"/>
      <c r="AK776" s="705"/>
      <c r="AL776" s="705"/>
      <c r="AM776" s="705"/>
      <c r="AN776" s="705"/>
      <c r="AO776" s="705"/>
      <c r="AP776" s="705"/>
      <c r="AQ776" s="705"/>
      <c r="AR776" s="705"/>
      <c r="AS776" s="705"/>
    </row>
    <row r="777" spans="1:45" s="13" customFormat="1" ht="30" hidden="1" customHeight="1" x14ac:dyDescent="0.25">
      <c r="A777" s="2022"/>
      <c r="B777" s="2091"/>
      <c r="C777" s="160"/>
      <c r="D777" s="959" t="s">
        <v>10</v>
      </c>
      <c r="E777" s="935">
        <v>46211</v>
      </c>
      <c r="F777" s="75">
        <f t="shared" si="490"/>
        <v>75</v>
      </c>
      <c r="G777" s="1896">
        <v>0</v>
      </c>
      <c r="H777" s="1896"/>
      <c r="I777" s="1896"/>
      <c r="J777" s="1897"/>
      <c r="K777" s="64">
        <f>IFERROR(SUMIF(INTAKE!$A:$A,$T777,INTAKE!$P:$P),0)</f>
        <v>0</v>
      </c>
      <c r="L777" s="1702">
        <f t="shared" si="488"/>
        <v>0</v>
      </c>
      <c r="M777" s="45"/>
      <c r="N777" s="45"/>
      <c r="O777" s="45"/>
      <c r="P777" s="756"/>
      <c r="Q777" s="666"/>
      <c r="R777" s="785">
        <f>IFERROR(VLOOKUP($Q777,'391'!$S:$Z,8,0),"")</f>
        <v>0</v>
      </c>
      <c r="S777" s="796"/>
      <c r="T777" s="797" t="str">
        <f>$Q$776&amp;C777&amp;E777</f>
        <v>TIAMULIN FUMARATE PREMIX 80% (China)46211</v>
      </c>
      <c r="U777" s="797"/>
      <c r="V777" s="797"/>
      <c r="W777" s="785">
        <f>IFERROR(VLOOKUP($Q777,'391'!$S:$AG,15,0),0)</f>
        <v>0</v>
      </c>
      <c r="X777" s="1090">
        <f t="shared" si="475"/>
        <v>0</v>
      </c>
      <c r="Y777" s="785"/>
      <c r="Z777" s="785"/>
      <c r="AA777" s="797"/>
      <c r="AB777" s="797"/>
      <c r="AC777" s="683"/>
      <c r="AD777" s="683"/>
      <c r="AE777" s="683"/>
      <c r="AF777" s="683"/>
      <c r="AG777" s="683"/>
      <c r="AH777" s="683"/>
      <c r="AI777" s="705"/>
      <c r="AJ777" s="705"/>
      <c r="AK777" s="705"/>
      <c r="AL777" s="705"/>
      <c r="AM777" s="705"/>
      <c r="AN777" s="705"/>
      <c r="AO777" s="705"/>
      <c r="AP777" s="705"/>
      <c r="AQ777" s="705"/>
      <c r="AR777" s="705"/>
      <c r="AS777" s="705"/>
    </row>
    <row r="778" spans="1:45" s="13" customFormat="1" ht="30" customHeight="1" x14ac:dyDescent="0.25">
      <c r="A778" s="2022"/>
      <c r="B778" s="2091"/>
      <c r="C778" s="160" t="s">
        <v>1313</v>
      </c>
      <c r="D778" s="959" t="s">
        <v>10</v>
      </c>
      <c r="E778" s="935">
        <v>46254</v>
      </c>
      <c r="F778" s="75">
        <f t="shared" ref="F778:F779" si="491">$L$7-E778</f>
        <v>32</v>
      </c>
      <c r="G778" s="1896">
        <v>225</v>
      </c>
      <c r="H778" s="1896"/>
      <c r="I778" s="1896"/>
      <c r="J778" s="1897"/>
      <c r="K778" s="64">
        <f>IFERROR(SUMIF(INTAKE!$A:$A,$T778,INTAKE!$P:$P),0)</f>
        <v>0</v>
      </c>
      <c r="L778" s="1702">
        <f t="shared" si="488"/>
        <v>225</v>
      </c>
      <c r="M778" s="45"/>
      <c r="N778" s="45"/>
      <c r="O778" s="45"/>
      <c r="P778" s="756"/>
      <c r="Q778" s="795"/>
      <c r="R778" s="785">
        <f>IFERROR(VLOOKUP($Q778,'391'!$S:$Z,8,0),"0")</f>
        <v>0</v>
      </c>
      <c r="S778" s="796"/>
      <c r="T778" s="797" t="str">
        <f>$Q$776&amp;C778&amp;E778</f>
        <v>TIAMULIN FUMARATE PREMIX 80% (China)E246254</v>
      </c>
      <c r="U778" s="797"/>
      <c r="V778" s="797"/>
      <c r="W778" s="785">
        <f>IFERROR(VLOOKUP($Q778,'391'!$S:$AG,15,0),0)</f>
        <v>0</v>
      </c>
      <c r="X778" s="1090">
        <f t="shared" si="475"/>
        <v>225</v>
      </c>
      <c r="Y778" s="785"/>
      <c r="Z778" s="785"/>
      <c r="AA778" s="797"/>
      <c r="AB778" s="797"/>
      <c r="AC778" s="683"/>
      <c r="AD778" s="683"/>
      <c r="AE778" s="683"/>
      <c r="AF778" s="683"/>
      <c r="AG778" s="683"/>
      <c r="AH778" s="683"/>
      <c r="AI778" s="705"/>
      <c r="AJ778" s="705"/>
      <c r="AK778" s="705"/>
      <c r="AL778" s="705"/>
      <c r="AM778" s="705"/>
      <c r="AN778" s="705"/>
      <c r="AO778" s="705"/>
      <c r="AP778" s="705"/>
      <c r="AQ778" s="705"/>
      <c r="AR778" s="705"/>
      <c r="AS778" s="705"/>
    </row>
    <row r="779" spans="1:45" s="13" customFormat="1" ht="30" customHeight="1" x14ac:dyDescent="0.25">
      <c r="A779" s="2022"/>
      <c r="B779" s="2091"/>
      <c r="C779" s="160" t="s">
        <v>1249</v>
      </c>
      <c r="D779" s="959" t="s">
        <v>10</v>
      </c>
      <c r="E779" s="935">
        <v>46262</v>
      </c>
      <c r="F779" s="75">
        <f t="shared" si="491"/>
        <v>24</v>
      </c>
      <c r="G779" s="1896">
        <v>1000</v>
      </c>
      <c r="H779" s="1896"/>
      <c r="I779" s="1896"/>
      <c r="J779" s="1897"/>
      <c r="K779" s="64">
        <f>IFERROR(SUMIF(INTAKE!$A:$A,$T779,INTAKE!$P:$P),0)</f>
        <v>0</v>
      </c>
      <c r="L779" s="1702">
        <f t="shared" si="488"/>
        <v>1000</v>
      </c>
      <c r="M779" s="45"/>
      <c r="N779" s="45"/>
      <c r="O779" s="45"/>
      <c r="P779" s="756"/>
      <c r="Q779" s="795" t="s">
        <v>954</v>
      </c>
      <c r="R779" s="785" t="str">
        <f>IFERROR(VLOOKUP($Q779,'391'!$S:$Z,8,0),"0")</f>
        <v>0</v>
      </c>
      <c r="S779" s="796"/>
      <c r="T779" s="797" t="str">
        <f>$Q$776&amp;C779&amp;E779</f>
        <v>TIAMULIN FUMARATE PREMIX 80% (China)E146262</v>
      </c>
      <c r="U779" s="797"/>
      <c r="V779" s="797"/>
      <c r="W779" s="785">
        <f>IFERROR(VLOOKUP($Q779,'391'!$S:$AG,15,0),0)</f>
        <v>0</v>
      </c>
      <c r="X779" s="1090">
        <f t="shared" si="475"/>
        <v>1000</v>
      </c>
      <c r="Y779" s="785"/>
      <c r="Z779" s="785"/>
      <c r="AA779" s="797"/>
      <c r="AB779" s="797"/>
      <c r="AC779" s="683"/>
      <c r="AD779" s="683"/>
      <c r="AE779" s="683"/>
      <c r="AF779" s="683"/>
      <c r="AG779" s="683"/>
      <c r="AH779" s="683"/>
      <c r="AI779" s="705"/>
      <c r="AJ779" s="705"/>
      <c r="AK779" s="705"/>
      <c r="AL779" s="705"/>
      <c r="AM779" s="705"/>
      <c r="AN779" s="705"/>
      <c r="AO779" s="705"/>
      <c r="AP779" s="705"/>
      <c r="AQ779" s="705"/>
      <c r="AR779" s="705"/>
      <c r="AS779" s="705"/>
    </row>
    <row r="780" spans="1:45" s="13" customFormat="1" ht="30" customHeight="1" x14ac:dyDescent="0.25">
      <c r="A780" s="2022"/>
      <c r="B780" s="2092"/>
      <c r="C780" s="160" t="s">
        <v>1249</v>
      </c>
      <c r="D780" s="959" t="s">
        <v>10</v>
      </c>
      <c r="E780" s="935">
        <v>46283</v>
      </c>
      <c r="F780" s="75">
        <f t="shared" si="490"/>
        <v>3</v>
      </c>
      <c r="G780" s="1896">
        <v>2000</v>
      </c>
      <c r="H780" s="1896"/>
      <c r="I780" s="1896"/>
      <c r="J780" s="1897"/>
      <c r="K780" s="64">
        <f>IFERROR(SUMIF(INTAKE!$A:$A,$T780,INTAKE!$P:$P),0)</f>
        <v>0</v>
      </c>
      <c r="L780" s="1702">
        <f t="shared" si="488"/>
        <v>2000</v>
      </c>
      <c r="M780" s="1487"/>
      <c r="N780" s="1487"/>
      <c r="O780" s="1487"/>
      <c r="P780" s="1898"/>
      <c r="Q780" s="784"/>
      <c r="R780" s="785"/>
      <c r="S780" s="796"/>
      <c r="T780" s="797" t="str">
        <f>$Q$776&amp;C780&amp;E780</f>
        <v>TIAMULIN FUMARATE PREMIX 80% (China)E146283</v>
      </c>
      <c r="U780" s="797"/>
      <c r="V780" s="797"/>
      <c r="W780" s="785"/>
      <c r="X780" s="1090"/>
      <c r="Y780" s="785"/>
      <c r="Z780" s="785"/>
      <c r="AA780" s="797"/>
      <c r="AB780" s="797"/>
      <c r="AC780" s="683"/>
      <c r="AD780" s="683"/>
      <c r="AE780" s="683"/>
      <c r="AF780" s="683"/>
      <c r="AG780" s="683"/>
      <c r="AH780" s="683"/>
      <c r="AI780" s="705"/>
      <c r="AJ780" s="705"/>
      <c r="AK780" s="705"/>
      <c r="AL780" s="705"/>
      <c r="AM780" s="705"/>
      <c r="AN780" s="705"/>
      <c r="AO780" s="705"/>
      <c r="AP780" s="705"/>
      <c r="AQ780" s="705"/>
      <c r="AR780" s="705"/>
      <c r="AS780" s="705"/>
    </row>
    <row r="781" spans="1:45" s="14" customFormat="1" ht="30" customHeight="1" x14ac:dyDescent="0.25">
      <c r="A781" s="2023"/>
      <c r="B781" s="2093"/>
      <c r="C781" s="106" t="s">
        <v>46</v>
      </c>
      <c r="D781" s="850" t="s">
        <v>10</v>
      </c>
      <c r="E781" s="968">
        <v>46254</v>
      </c>
      <c r="F781" s="283">
        <f t="shared" si="487"/>
        <v>32</v>
      </c>
      <c r="G781" s="58">
        <v>77.819999999999936</v>
      </c>
      <c r="H781" s="58"/>
      <c r="I781" s="58">
        <f>SUM(K774:K780)</f>
        <v>0</v>
      </c>
      <c r="J781" s="1365">
        <f>usage!I141</f>
        <v>25.3</v>
      </c>
      <c r="K781" s="64">
        <f>IFERROR(SUMIF(INTAKE!$A:$A,$T781,INTAKE!$P:$P),0)</f>
        <v>0</v>
      </c>
      <c r="L781" s="1533">
        <f t="shared" si="488"/>
        <v>52.519999999999939</v>
      </c>
      <c r="M781" s="47"/>
      <c r="N781" s="47"/>
      <c r="O781" s="47"/>
      <c r="P781" s="740"/>
      <c r="Q781" s="666" t="s">
        <v>1279</v>
      </c>
      <c r="R781" s="785" t="str">
        <f>IFERROR(VLOOKUP($Q781,'391'!$S:$Z,8,0),"0")</f>
        <v>0</v>
      </c>
      <c r="S781" s="796"/>
      <c r="T781" s="797" t="str">
        <f>$Q$782&amp;C781&amp;E781</f>
        <v>Tiamutin 80%Feedmill46254</v>
      </c>
      <c r="U781" s="797"/>
      <c r="V781" s="797"/>
      <c r="W781" s="785">
        <f>IFERROR(VLOOKUP($Q781,'391'!$S:$AG,15,0),0)</f>
        <v>0</v>
      </c>
      <c r="X781" s="1090">
        <f t="shared" si="475"/>
        <v>77.819999999999936</v>
      </c>
      <c r="Y781" s="1088">
        <f>+W781+W778+W779+W776+W782</f>
        <v>3302.82</v>
      </c>
      <c r="Z781" s="1091">
        <f>+G782-Y781</f>
        <v>0</v>
      </c>
      <c r="AA781" s="797"/>
      <c r="AB781" s="797"/>
      <c r="AC781" s="683"/>
      <c r="AD781" s="683"/>
      <c r="AE781" s="683"/>
      <c r="AF781" s="683"/>
      <c r="AG781" s="683"/>
      <c r="AH781" s="683"/>
      <c r="AI781" s="705"/>
      <c r="AJ781" s="705"/>
      <c r="AK781" s="705"/>
      <c r="AL781" s="705"/>
      <c r="AM781" s="705"/>
      <c r="AN781" s="705"/>
      <c r="AO781" s="705"/>
      <c r="AP781" s="705"/>
      <c r="AQ781" s="705"/>
      <c r="AR781" s="705"/>
      <c r="AS781" s="705"/>
    </row>
    <row r="782" spans="1:45" s="265" customFormat="1" ht="30" customHeight="1" x14ac:dyDescent="0.25">
      <c r="A782" s="2019" t="s">
        <v>948</v>
      </c>
      <c r="B782" s="2020"/>
      <c r="C782" s="88"/>
      <c r="D782" s="864"/>
      <c r="E782" s="864"/>
      <c r="F782" s="865"/>
      <c r="G782" s="1297">
        <v>3302.8199999999997</v>
      </c>
      <c r="H782" s="1344">
        <f>SUM(H774:H781)</f>
        <v>0</v>
      </c>
      <c r="I782" s="1297">
        <f>SUM(I774:I781)</f>
        <v>0</v>
      </c>
      <c r="J782" s="1297">
        <f t="shared" ref="J782:K782" si="492">SUM(J774:J781)</f>
        <v>25.3</v>
      </c>
      <c r="K782" s="1297">
        <f t="shared" si="492"/>
        <v>0</v>
      </c>
      <c r="L782" s="1297">
        <f>SUM(L774:L781)</f>
        <v>3277.52</v>
      </c>
      <c r="M782" s="59">
        <f>+IFERROR(S782/$S$2,"")</f>
        <v>199.56833333333336</v>
      </c>
      <c r="N782" s="854">
        <f>IFERROR(L782/M782,0)</f>
        <v>16.42304640849834</v>
      </c>
      <c r="O782" s="59">
        <f>IFERROR(SUMIF(ETM!$A:$A,$Q782,ETM!$E:$E),"")</f>
        <v>44.000000000000007</v>
      </c>
      <c r="P782" s="880">
        <f>IFERROR(L782/O782,0)</f>
        <v>74.489090909090891</v>
      </c>
      <c r="Q782" s="818" t="s">
        <v>834</v>
      </c>
      <c r="R782" s="785" t="str">
        <f>IFERROR(VLOOKUP($Q782,'391'!$S:$Z,8,0),"0")</f>
        <v>0</v>
      </c>
      <c r="S782" s="819">
        <f>+R782+R781+R779+R776</f>
        <v>1197.4100000000001</v>
      </c>
      <c r="T782" s="797"/>
      <c r="U782" s="797"/>
      <c r="V782" s="797"/>
      <c r="W782" s="785">
        <f>IFERROR(VLOOKUP($Q782,'391'!$S:$AG,15,0),0)</f>
        <v>0</v>
      </c>
      <c r="X782" s="1090">
        <f t="shared" si="475"/>
        <v>3302.8199999999997</v>
      </c>
      <c r="Y782" s="785"/>
      <c r="Z782" s="785"/>
      <c r="AA782" s="797"/>
      <c r="AB782" s="797"/>
      <c r="AC782" s="551"/>
      <c r="AD782" s="551"/>
      <c r="AE782" s="551"/>
      <c r="AF782" s="551"/>
      <c r="AG782" s="551"/>
      <c r="AH782" s="551"/>
      <c r="AI782" s="704"/>
      <c r="AJ782" s="704"/>
      <c r="AK782" s="704"/>
      <c r="AL782" s="704"/>
      <c r="AM782" s="704"/>
      <c r="AN782" s="704"/>
      <c r="AO782" s="704"/>
      <c r="AP782" s="704"/>
      <c r="AQ782" s="704"/>
      <c r="AR782" s="704"/>
      <c r="AS782" s="704"/>
    </row>
    <row r="783" spans="1:45" s="13" customFormat="1" ht="30" hidden="1" customHeight="1" x14ac:dyDescent="0.25">
      <c r="A783" s="2021" t="str">
        <f>IF(L788=0,"",MAX($A$16:A782)+1)</f>
        <v/>
      </c>
      <c r="B783" s="2090" t="s">
        <v>915</v>
      </c>
      <c r="C783" s="1197" t="s">
        <v>1213</v>
      </c>
      <c r="D783" s="959" t="s">
        <v>10</v>
      </c>
      <c r="E783" s="935">
        <v>45282</v>
      </c>
      <c r="F783" s="75">
        <f>$L$7-E783</f>
        <v>1004</v>
      </c>
      <c r="G783" s="64">
        <v>0</v>
      </c>
      <c r="H783" s="64"/>
      <c r="I783" s="64"/>
      <c r="J783" s="1367"/>
      <c r="K783" s="64">
        <f>IFERROR(SUMIF(INTAKE!$A:$A,$T783,INTAKE!$P:$P),0)</f>
        <v>0</v>
      </c>
      <c r="L783" s="1533">
        <f t="shared" ref="L783:L813" si="493">+G783+H783+I783-J783-K783</f>
        <v>0</v>
      </c>
      <c r="M783" s="50"/>
      <c r="N783" s="167"/>
      <c r="O783" s="50"/>
      <c r="P783" s="747"/>
      <c r="Q783" s="795"/>
      <c r="R783" s="785">
        <f>IFERROR(VLOOKUP($Q783,'391'!$S:$Z,8,0),"")</f>
        <v>0</v>
      </c>
      <c r="S783" s="796"/>
      <c r="T783" s="797" t="str">
        <f>$Q$788&amp;C783&amp;E783</f>
        <v>Rodotium 80% (Bulgaria)E345282</v>
      </c>
      <c r="U783" s="797"/>
      <c r="V783" s="797"/>
      <c r="W783" s="785">
        <f>IFERROR(VLOOKUP($Q783,'391'!$S:$AG,15,0),0)</f>
        <v>0</v>
      </c>
      <c r="X783" s="1090">
        <f t="shared" si="475"/>
        <v>0</v>
      </c>
      <c r="Y783" s="785"/>
      <c r="Z783" s="785"/>
      <c r="AA783" s="797"/>
      <c r="AB783" s="797"/>
      <c r="AC783" s="683"/>
      <c r="AD783" s="683"/>
      <c r="AE783" s="683"/>
      <c r="AF783" s="683"/>
      <c r="AG783" s="683"/>
      <c r="AH783" s="683"/>
      <c r="AI783" s="705"/>
      <c r="AJ783" s="705"/>
      <c r="AK783" s="705"/>
      <c r="AL783" s="705"/>
      <c r="AM783" s="705"/>
      <c r="AN783" s="705"/>
      <c r="AO783" s="705"/>
      <c r="AP783" s="705"/>
      <c r="AQ783" s="705"/>
      <c r="AR783" s="705"/>
      <c r="AS783" s="705"/>
    </row>
    <row r="784" spans="1:45" s="13" customFormat="1" ht="30" hidden="1" customHeight="1" x14ac:dyDescent="0.25">
      <c r="A784" s="2022"/>
      <c r="B784" s="2091"/>
      <c r="C784" s="1197"/>
      <c r="D784" s="959" t="s">
        <v>10</v>
      </c>
      <c r="E784" s="935">
        <v>45282</v>
      </c>
      <c r="F784" s="75">
        <f>$L$7-E784</f>
        <v>1004</v>
      </c>
      <c r="G784" s="64">
        <v>0</v>
      </c>
      <c r="H784" s="64"/>
      <c r="I784" s="64"/>
      <c r="J784" s="1367"/>
      <c r="K784" s="64">
        <f>IFERROR(SUMIF(INTAKE!$A:$A,$T784,INTAKE!$P:$P),0)</f>
        <v>0</v>
      </c>
      <c r="L784" s="1533">
        <f t="shared" si="493"/>
        <v>0</v>
      </c>
      <c r="M784" s="46"/>
      <c r="N784" s="176"/>
      <c r="O784" s="46"/>
      <c r="P784" s="748"/>
      <c r="Q784" s="795"/>
      <c r="R784" s="785">
        <f>IFERROR(VLOOKUP($Q784,'391'!$S:$Z,8,0),"")</f>
        <v>0</v>
      </c>
      <c r="S784" s="796"/>
      <c r="T784" s="797" t="str">
        <f>$Q$788&amp;C784&amp;E784</f>
        <v>Rodotium 80% (Bulgaria)45282</v>
      </c>
      <c r="U784" s="797"/>
      <c r="V784" s="797"/>
      <c r="W784" s="785">
        <f>IFERROR(VLOOKUP($Q784,'391'!$S:$AG,15,0),0)</f>
        <v>0</v>
      </c>
      <c r="X784" s="1090">
        <f t="shared" si="475"/>
        <v>0</v>
      </c>
      <c r="Y784" s="785"/>
      <c r="Z784" s="785"/>
      <c r="AA784" s="797"/>
      <c r="AB784" s="797"/>
      <c r="AC784" s="683"/>
      <c r="AD784" s="683"/>
      <c r="AE784" s="683"/>
      <c r="AF784" s="683"/>
      <c r="AG784" s="683"/>
      <c r="AH784" s="683"/>
      <c r="AI784" s="705"/>
      <c r="AJ784" s="705"/>
      <c r="AK784" s="705"/>
      <c r="AL784" s="705"/>
      <c r="AM784" s="705"/>
      <c r="AN784" s="705"/>
      <c r="AO784" s="705"/>
      <c r="AP784" s="705"/>
      <c r="AQ784" s="705"/>
      <c r="AR784" s="705"/>
      <c r="AS784" s="705"/>
    </row>
    <row r="785" spans="1:45" s="13" customFormat="1" ht="30" hidden="1" customHeight="1" x14ac:dyDescent="0.25">
      <c r="A785" s="2022"/>
      <c r="B785" s="2091"/>
      <c r="C785" s="1197"/>
      <c r="D785" s="959" t="s">
        <v>10</v>
      </c>
      <c r="E785" s="935">
        <v>45177</v>
      </c>
      <c r="F785" s="75">
        <f>$L$7-E785</f>
        <v>1109</v>
      </c>
      <c r="G785" s="64">
        <v>0</v>
      </c>
      <c r="H785" s="64"/>
      <c r="I785" s="64"/>
      <c r="J785" s="1367"/>
      <c r="K785" s="64">
        <f>IFERROR(SUMIF(INTAKE!$A:$A,$T785,INTAKE!$P:$P),0)</f>
        <v>0</v>
      </c>
      <c r="L785" s="1533">
        <f t="shared" si="493"/>
        <v>0</v>
      </c>
      <c r="M785" s="48"/>
      <c r="N785" s="163"/>
      <c r="O785" s="48"/>
      <c r="P785" s="750"/>
      <c r="Q785" s="795"/>
      <c r="R785" s="785">
        <f>IFERROR(VLOOKUP($Q785,'391'!$S:$Z,8,0),"")</f>
        <v>0</v>
      </c>
      <c r="S785" s="796"/>
      <c r="T785" s="797" t="str">
        <f>$Q$788&amp;C785&amp;E785</f>
        <v>Rodotium 80% (Bulgaria)45177</v>
      </c>
      <c r="U785" s="797"/>
      <c r="V785" s="797"/>
      <c r="W785" s="785">
        <f>IFERROR(VLOOKUP($Q785,'391'!$S:$AG,15,0),0)</f>
        <v>0</v>
      </c>
      <c r="X785" s="1090">
        <f t="shared" si="475"/>
        <v>0</v>
      </c>
      <c r="Y785" s="785"/>
      <c r="Z785" s="785"/>
      <c r="AA785" s="797"/>
      <c r="AB785" s="797"/>
      <c r="AC785" s="683"/>
      <c r="AD785" s="683"/>
      <c r="AE785" s="683"/>
      <c r="AF785" s="683"/>
      <c r="AG785" s="683"/>
      <c r="AH785" s="683"/>
      <c r="AI785" s="705"/>
      <c r="AJ785" s="705"/>
      <c r="AK785" s="705"/>
      <c r="AL785" s="705"/>
      <c r="AM785" s="705"/>
      <c r="AN785" s="705"/>
      <c r="AO785" s="705"/>
      <c r="AP785" s="705"/>
      <c r="AQ785" s="705"/>
      <c r="AR785" s="705"/>
      <c r="AS785" s="705"/>
    </row>
    <row r="786" spans="1:45" s="13" customFormat="1" ht="30" hidden="1" customHeight="1" x14ac:dyDescent="0.25">
      <c r="A786" s="2022"/>
      <c r="B786" s="2092"/>
      <c r="C786" s="1197"/>
      <c r="D786" s="959" t="s">
        <v>10</v>
      </c>
      <c r="E786" s="935">
        <v>44805</v>
      </c>
      <c r="F786" s="75">
        <f>$L$7-E786</f>
        <v>1481</v>
      </c>
      <c r="G786" s="64">
        <v>0</v>
      </c>
      <c r="H786" s="64"/>
      <c r="I786" s="64"/>
      <c r="J786" s="1367"/>
      <c r="K786" s="64">
        <f>IFERROR(SUMIF(INTAKE!$A:$A,$T786,INTAKE!$P:$P),0)</f>
        <v>0</v>
      </c>
      <c r="L786" s="1533">
        <f t="shared" si="493"/>
        <v>0</v>
      </c>
      <c r="M786" s="48"/>
      <c r="N786" s="163"/>
      <c r="O786" s="48"/>
      <c r="P786" s="750"/>
      <c r="Q786" s="795"/>
      <c r="R786" s="785">
        <f>IFERROR(VLOOKUP($Q786,'391'!$S:$Z,8,0),"")</f>
        <v>0</v>
      </c>
      <c r="S786" s="796"/>
      <c r="T786" s="797" t="str">
        <f>$Q$788&amp;C786&amp;E786</f>
        <v>Rodotium 80% (Bulgaria)44805</v>
      </c>
      <c r="U786" s="797"/>
      <c r="V786" s="797"/>
      <c r="W786" s="785">
        <f>IFERROR(VLOOKUP($Q786,'391'!$S:$AG,15,0),0)</f>
        <v>0</v>
      </c>
      <c r="X786" s="1090">
        <f t="shared" si="475"/>
        <v>0</v>
      </c>
      <c r="Y786" s="785"/>
      <c r="Z786" s="785"/>
      <c r="AA786" s="797"/>
      <c r="AB786" s="797"/>
      <c r="AC786" s="683"/>
      <c r="AD786" s="683"/>
      <c r="AE786" s="683"/>
      <c r="AF786" s="683"/>
      <c r="AG786" s="683"/>
      <c r="AH786" s="683"/>
      <c r="AI786" s="705"/>
      <c r="AJ786" s="705"/>
      <c r="AK786" s="705"/>
      <c r="AL786" s="705"/>
      <c r="AM786" s="705"/>
      <c r="AN786" s="705"/>
      <c r="AO786" s="705"/>
      <c r="AP786" s="705"/>
      <c r="AQ786" s="705"/>
      <c r="AR786" s="705"/>
      <c r="AS786" s="705"/>
    </row>
    <row r="787" spans="1:45" s="14" customFormat="1" ht="30" hidden="1" customHeight="1" x14ac:dyDescent="0.25">
      <c r="A787" s="2023"/>
      <c r="B787" s="2093"/>
      <c r="C787" s="106" t="s">
        <v>46</v>
      </c>
      <c r="D787" s="850" t="s">
        <v>10</v>
      </c>
      <c r="E787" s="968">
        <v>45282</v>
      </c>
      <c r="F787" s="283">
        <f>$L$7-E787</f>
        <v>1004</v>
      </c>
      <c r="G787" s="58">
        <v>0</v>
      </c>
      <c r="H787" s="58"/>
      <c r="I787" s="58">
        <f>SUM(K783:K786)</f>
        <v>0</v>
      </c>
      <c r="J787" s="1365"/>
      <c r="K787" s="64">
        <f>IFERROR(SUMIF(INTAKE!$A:$A,$T787,INTAKE!$P:$P),0)</f>
        <v>0</v>
      </c>
      <c r="L787" s="1533">
        <f t="shared" si="493"/>
        <v>0</v>
      </c>
      <c r="M787" s="47"/>
      <c r="N787" s="47"/>
      <c r="O787" s="47"/>
      <c r="P787" s="740"/>
      <c r="Q787" s="795"/>
      <c r="R787" s="785">
        <f>IFERROR(VLOOKUP($Q787,'391'!$S:$Z,8,0),"")</f>
        <v>0</v>
      </c>
      <c r="S787" s="796"/>
      <c r="T787" s="797" t="str">
        <f>$Q$788&amp;C787&amp;E787</f>
        <v>Rodotium 80% (Bulgaria)Feedmill45282</v>
      </c>
      <c r="U787" s="797"/>
      <c r="V787" s="797"/>
      <c r="W787" s="785">
        <f>IFERROR(VLOOKUP($Q787,'391'!$S:$AG,15,0),0)</f>
        <v>0</v>
      </c>
      <c r="X787" s="1090">
        <f t="shared" si="475"/>
        <v>0</v>
      </c>
      <c r="Y787" s="785"/>
      <c r="Z787" s="785"/>
      <c r="AA787" s="797"/>
      <c r="AB787" s="797"/>
      <c r="AC787" s="683"/>
      <c r="AD787" s="683"/>
      <c r="AE787" s="683"/>
      <c r="AF787" s="683"/>
      <c r="AG787" s="683"/>
      <c r="AH787" s="683"/>
      <c r="AI787" s="705"/>
      <c r="AJ787" s="705"/>
      <c r="AK787" s="705"/>
      <c r="AL787" s="705"/>
      <c r="AM787" s="705"/>
      <c r="AN787" s="705"/>
      <c r="AO787" s="705"/>
      <c r="AP787" s="705"/>
      <c r="AQ787" s="705"/>
      <c r="AR787" s="705"/>
      <c r="AS787" s="705"/>
    </row>
    <row r="788" spans="1:45" s="265" customFormat="1" ht="30" hidden="1" customHeight="1" x14ac:dyDescent="0.25">
      <c r="A788" s="2019" t="s">
        <v>916</v>
      </c>
      <c r="B788" s="2020"/>
      <c r="C788" s="88"/>
      <c r="D788" s="864"/>
      <c r="E788" s="864"/>
      <c r="F788" s="865"/>
      <c r="G788" s="1297">
        <v>0</v>
      </c>
      <c r="H788" s="1344">
        <f>SUM(H783:H787)</f>
        <v>0</v>
      </c>
      <c r="I788" s="1297">
        <f>SUM(I783:I787)</f>
        <v>0</v>
      </c>
      <c r="J788" s="1297">
        <f t="shared" ref="J788:K788" si="494">SUM(J783:J787)</f>
        <v>0</v>
      </c>
      <c r="K788" s="1297">
        <f t="shared" si="494"/>
        <v>0</v>
      </c>
      <c r="L788" s="1533">
        <f t="shared" si="493"/>
        <v>0</v>
      </c>
      <c r="M788" s="59">
        <f>M782</f>
        <v>199.56833333333336</v>
      </c>
      <c r="N788" s="854">
        <f>IFERROR(L788/M788,0)</f>
        <v>0</v>
      </c>
      <c r="O788" s="59">
        <f>O782</f>
        <v>44.000000000000007</v>
      </c>
      <c r="P788" s="880">
        <f>IFERROR(L788/O788,0)</f>
        <v>0</v>
      </c>
      <c r="Q788" s="820" t="s">
        <v>915</v>
      </c>
      <c r="R788" s="785" t="str">
        <f>IFERROR(VLOOKUP($Q788,'391'!$S:$Z,8,0),"0")</f>
        <v>0</v>
      </c>
      <c r="S788" s="819"/>
      <c r="T788" s="797"/>
      <c r="U788" s="797"/>
      <c r="V788" s="797"/>
      <c r="W788" s="785">
        <f>IFERROR(VLOOKUP($Q788,'391'!$S:$AG,15,0),0)</f>
        <v>0</v>
      </c>
      <c r="X788" s="1090">
        <f t="shared" si="475"/>
        <v>0</v>
      </c>
      <c r="Y788" s="785"/>
      <c r="Z788" s="785"/>
      <c r="AA788" s="797"/>
      <c r="AB788" s="797"/>
      <c r="AC788" s="551"/>
      <c r="AD788" s="551"/>
      <c r="AE788" s="551"/>
      <c r="AF788" s="551"/>
      <c r="AG788" s="551"/>
      <c r="AH788" s="551"/>
      <c r="AI788" s="704"/>
      <c r="AJ788" s="704"/>
      <c r="AK788" s="704"/>
      <c r="AL788" s="704"/>
      <c r="AM788" s="704"/>
      <c r="AN788" s="704"/>
      <c r="AO788" s="704"/>
      <c r="AP788" s="704"/>
      <c r="AQ788" s="704"/>
      <c r="AR788" s="704"/>
      <c r="AS788" s="704"/>
    </row>
    <row r="789" spans="1:45" s="13" customFormat="1" ht="30" hidden="1" customHeight="1" x14ac:dyDescent="0.25">
      <c r="A789" s="2021" t="str">
        <f>IF(L796=0,"",MAX($A$16:A788)+1)</f>
        <v/>
      </c>
      <c r="B789" s="2024" t="s">
        <v>238</v>
      </c>
      <c r="C789" s="160" t="s">
        <v>1177</v>
      </c>
      <c r="D789" s="959" t="s">
        <v>10</v>
      </c>
      <c r="E789" s="935">
        <v>44902</v>
      </c>
      <c r="F789" s="75">
        <f t="shared" ref="F789:F795" si="495">$L$7-E789</f>
        <v>1384</v>
      </c>
      <c r="G789" s="64">
        <v>0</v>
      </c>
      <c r="H789" s="64"/>
      <c r="I789" s="64"/>
      <c r="J789" s="1367"/>
      <c r="K789" s="64">
        <f>IFERROR(SUMIF(INTAKE!$A:$A,$T789,INTAKE!$P:$P),0)</f>
        <v>0</v>
      </c>
      <c r="L789" s="1533">
        <f t="shared" si="493"/>
        <v>0</v>
      </c>
      <c r="M789" s="50"/>
      <c r="N789" s="167"/>
      <c r="O789" s="50"/>
      <c r="P789" s="744"/>
      <c r="Q789" s="818"/>
      <c r="R789" s="785">
        <f>IFERROR(VLOOKUP($Q789,'391'!$S:$Z,8,0),"")</f>
        <v>0</v>
      </c>
      <c r="S789" s="796"/>
      <c r="T789" s="797" t="str">
        <f t="shared" ref="T789:T795" si="496">$Q$796&amp;C789&amp;E789</f>
        <v>Pulmotil PremixD344902</v>
      </c>
      <c r="U789" s="797"/>
      <c r="V789" s="797"/>
      <c r="W789" s="785">
        <f>IFERROR(VLOOKUP($Q789,'391'!$S:$AG,15,0),0)</f>
        <v>0</v>
      </c>
      <c r="X789" s="1090">
        <f t="shared" si="475"/>
        <v>0</v>
      </c>
      <c r="Y789" s="785"/>
      <c r="Z789" s="785"/>
      <c r="AA789" s="797"/>
      <c r="AB789" s="797"/>
      <c r="AC789" s="683"/>
      <c r="AD789" s="683"/>
      <c r="AE789" s="683"/>
      <c r="AF789" s="683"/>
      <c r="AG789" s="683"/>
      <c r="AH789" s="683"/>
      <c r="AI789" s="705"/>
      <c r="AJ789" s="705"/>
      <c r="AK789" s="705"/>
      <c r="AL789" s="705"/>
      <c r="AM789" s="705"/>
      <c r="AN789" s="705"/>
      <c r="AO789" s="705"/>
      <c r="AP789" s="705"/>
      <c r="AQ789" s="705"/>
      <c r="AR789" s="705"/>
      <c r="AS789" s="705"/>
    </row>
    <row r="790" spans="1:45" s="13" customFormat="1" ht="30" hidden="1" customHeight="1" x14ac:dyDescent="0.25">
      <c r="A790" s="2022"/>
      <c r="B790" s="2025"/>
      <c r="C790" s="160" t="s">
        <v>524</v>
      </c>
      <c r="D790" s="959" t="s">
        <v>10</v>
      </c>
      <c r="E790" s="935">
        <v>44281</v>
      </c>
      <c r="F790" s="75">
        <f t="shared" si="495"/>
        <v>2005</v>
      </c>
      <c r="G790" s="64">
        <v>0</v>
      </c>
      <c r="H790" s="64"/>
      <c r="I790" s="64"/>
      <c r="J790" s="1367"/>
      <c r="K790" s="64"/>
      <c r="L790" s="1533">
        <f t="shared" si="493"/>
        <v>0</v>
      </c>
      <c r="M790" s="48"/>
      <c r="N790" s="163"/>
      <c r="O790" s="48"/>
      <c r="P790" s="738"/>
      <c r="Q790" s="818"/>
      <c r="R790" s="785">
        <f>IFERROR(VLOOKUP($Q790,'391'!$S:$Z,8,0),"")</f>
        <v>0</v>
      </c>
      <c r="S790" s="796"/>
      <c r="T790" s="797" t="str">
        <f t="shared" si="496"/>
        <v>Pulmotil PremixX044281</v>
      </c>
      <c r="U790" s="797"/>
      <c r="V790" s="797"/>
      <c r="W790" s="785">
        <f>IFERROR(VLOOKUP($Q790,'391'!$S:$AG,15,0),0)</f>
        <v>0</v>
      </c>
      <c r="X790" s="1090">
        <f t="shared" si="475"/>
        <v>0</v>
      </c>
      <c r="Y790" s="785"/>
      <c r="Z790" s="785"/>
      <c r="AA790" s="797"/>
      <c r="AB790" s="797"/>
      <c r="AC790" s="683"/>
      <c r="AD790" s="683"/>
      <c r="AE790" s="683"/>
      <c r="AF790" s="683"/>
      <c r="AG790" s="683"/>
      <c r="AH790" s="683"/>
      <c r="AI790" s="705"/>
      <c r="AJ790" s="705"/>
      <c r="AK790" s="705"/>
      <c r="AL790" s="705"/>
      <c r="AM790" s="705"/>
      <c r="AN790" s="705"/>
      <c r="AO790" s="705"/>
      <c r="AP790" s="705"/>
      <c r="AQ790" s="705"/>
      <c r="AR790" s="705"/>
      <c r="AS790" s="705"/>
    </row>
    <row r="791" spans="1:45" s="13" customFormat="1" ht="30" hidden="1" customHeight="1" x14ac:dyDescent="0.25">
      <c r="A791" s="2022"/>
      <c r="B791" s="2025"/>
      <c r="C791" s="160" t="s">
        <v>524</v>
      </c>
      <c r="D791" s="959" t="s">
        <v>10</v>
      </c>
      <c r="E791" s="935">
        <v>44281</v>
      </c>
      <c r="F791" s="75">
        <f t="shared" si="495"/>
        <v>2005</v>
      </c>
      <c r="G791" s="64">
        <v>0</v>
      </c>
      <c r="H791" s="64"/>
      <c r="I791" s="64"/>
      <c r="J791" s="1367"/>
      <c r="K791" s="64"/>
      <c r="L791" s="1533">
        <f t="shared" si="493"/>
        <v>0</v>
      </c>
      <c r="M791" s="48"/>
      <c r="N791" s="163"/>
      <c r="O791" s="48"/>
      <c r="P791" s="738"/>
      <c r="Q791" s="818"/>
      <c r="R791" s="785">
        <f>IFERROR(VLOOKUP($Q791,'391'!$S:$Z,8,0),"")</f>
        <v>0</v>
      </c>
      <c r="S791" s="796"/>
      <c r="T791" s="797" t="str">
        <f t="shared" si="496"/>
        <v>Pulmotil PremixX044281</v>
      </c>
      <c r="U791" s="797"/>
      <c r="V791" s="797"/>
      <c r="W791" s="785">
        <f>IFERROR(VLOOKUP($Q791,'391'!$S:$AG,15,0),0)</f>
        <v>0</v>
      </c>
      <c r="X791" s="1090">
        <f t="shared" si="475"/>
        <v>0</v>
      </c>
      <c r="Y791" s="785"/>
      <c r="Z791" s="785"/>
      <c r="AA791" s="797"/>
      <c r="AB791" s="797"/>
      <c r="AC791" s="683"/>
      <c r="AD791" s="683"/>
      <c r="AE791" s="683"/>
      <c r="AF791" s="683"/>
      <c r="AG791" s="683"/>
      <c r="AH791" s="683"/>
      <c r="AI791" s="705"/>
      <c r="AJ791" s="705"/>
      <c r="AK791" s="705"/>
      <c r="AL791" s="705"/>
      <c r="AM791" s="705"/>
      <c r="AN791" s="705"/>
      <c r="AO791" s="705"/>
      <c r="AP791" s="705"/>
      <c r="AQ791" s="705"/>
      <c r="AR791" s="705"/>
      <c r="AS791" s="705"/>
    </row>
    <row r="792" spans="1:45" s="13" customFormat="1" ht="30" hidden="1" customHeight="1" x14ac:dyDescent="0.25">
      <c r="A792" s="2022"/>
      <c r="B792" s="2025"/>
      <c r="C792" s="160" t="s">
        <v>524</v>
      </c>
      <c r="D792" s="959" t="s">
        <v>10</v>
      </c>
      <c r="E792" s="935">
        <v>44216</v>
      </c>
      <c r="F792" s="75">
        <f t="shared" si="495"/>
        <v>2070</v>
      </c>
      <c r="G792" s="64">
        <v>0</v>
      </c>
      <c r="H792" s="64"/>
      <c r="I792" s="64"/>
      <c r="J792" s="1367"/>
      <c r="K792" s="64"/>
      <c r="L792" s="1533">
        <f t="shared" si="493"/>
        <v>0</v>
      </c>
      <c r="M792" s="48"/>
      <c r="N792" s="163"/>
      <c r="O792" s="48"/>
      <c r="P792" s="738"/>
      <c r="Q792" s="818"/>
      <c r="R792" s="785">
        <f>IFERROR(VLOOKUP($Q792,'391'!$S:$Z,8,0),"")</f>
        <v>0</v>
      </c>
      <c r="S792" s="796"/>
      <c r="T792" s="797" t="str">
        <f t="shared" si="496"/>
        <v>Pulmotil PremixX044216</v>
      </c>
      <c r="U792" s="797"/>
      <c r="V792" s="797"/>
      <c r="W792" s="785">
        <f>IFERROR(VLOOKUP($Q792,'391'!$S:$AG,15,0),0)</f>
        <v>0</v>
      </c>
      <c r="X792" s="1090">
        <f t="shared" si="475"/>
        <v>0</v>
      </c>
      <c r="Y792" s="785"/>
      <c r="Z792" s="785"/>
      <c r="AA792" s="797"/>
      <c r="AB792" s="797"/>
      <c r="AC792" s="683"/>
      <c r="AD792" s="683"/>
      <c r="AE792" s="683"/>
      <c r="AF792" s="683"/>
      <c r="AG792" s="683"/>
      <c r="AH792" s="683"/>
      <c r="AI792" s="705"/>
      <c r="AJ792" s="705"/>
      <c r="AK792" s="705"/>
      <c r="AL792" s="705"/>
      <c r="AM792" s="705"/>
      <c r="AN792" s="705"/>
      <c r="AO792" s="705"/>
      <c r="AP792" s="705"/>
      <c r="AQ792" s="705"/>
      <c r="AR792" s="705"/>
      <c r="AS792" s="705"/>
    </row>
    <row r="793" spans="1:45" s="13" customFormat="1" ht="30" hidden="1" customHeight="1" x14ac:dyDescent="0.25">
      <c r="A793" s="2022"/>
      <c r="B793" s="2025"/>
      <c r="C793" s="160" t="s">
        <v>227</v>
      </c>
      <c r="D793" s="959" t="s">
        <v>10</v>
      </c>
      <c r="E793" s="935">
        <v>43553</v>
      </c>
      <c r="F793" s="75">
        <f t="shared" si="495"/>
        <v>2733</v>
      </c>
      <c r="G793" s="64">
        <v>0</v>
      </c>
      <c r="H793" s="64"/>
      <c r="I793" s="64"/>
      <c r="J793" s="1367"/>
      <c r="K793" s="64"/>
      <c r="L793" s="1533">
        <f t="shared" si="493"/>
        <v>0</v>
      </c>
      <c r="M793" s="48"/>
      <c r="N793" s="163"/>
      <c r="O793" s="48"/>
      <c r="P793" s="738"/>
      <c r="Q793" s="818"/>
      <c r="R793" s="785">
        <f>IFERROR(VLOOKUP($Q793,'391'!$S:$Z,8,0),"")</f>
        <v>0</v>
      </c>
      <c r="S793" s="796"/>
      <c r="T793" s="797" t="str">
        <f t="shared" si="496"/>
        <v>Pulmotil PremixV9.143553</v>
      </c>
      <c r="U793" s="797"/>
      <c r="V793" s="797"/>
      <c r="W793" s="785">
        <f>IFERROR(VLOOKUP($Q793,'391'!$S:$AG,15,0),0)</f>
        <v>0</v>
      </c>
      <c r="X793" s="1090">
        <f t="shared" si="475"/>
        <v>0</v>
      </c>
      <c r="Y793" s="785"/>
      <c r="Z793" s="785"/>
      <c r="AA793" s="797"/>
      <c r="AB793" s="797"/>
      <c r="AC793" s="683"/>
      <c r="AD793" s="683"/>
      <c r="AE793" s="683"/>
      <c r="AF793" s="683"/>
      <c r="AG793" s="683"/>
      <c r="AH793" s="683"/>
      <c r="AI793" s="705"/>
      <c r="AJ793" s="705"/>
      <c r="AK793" s="705"/>
      <c r="AL793" s="705"/>
      <c r="AM793" s="705"/>
      <c r="AN793" s="705"/>
      <c r="AO793" s="705"/>
      <c r="AP793" s="705"/>
      <c r="AQ793" s="705"/>
      <c r="AR793" s="705"/>
      <c r="AS793" s="705"/>
    </row>
    <row r="794" spans="1:45" s="13" customFormat="1" ht="30" hidden="1" customHeight="1" x14ac:dyDescent="0.25">
      <c r="A794" s="2022"/>
      <c r="B794" s="2025"/>
      <c r="C794" s="160" t="s">
        <v>283</v>
      </c>
      <c r="D794" s="959" t="s">
        <v>10</v>
      </c>
      <c r="E794" s="935">
        <v>43021</v>
      </c>
      <c r="F794" s="75">
        <f t="shared" si="495"/>
        <v>3265</v>
      </c>
      <c r="G794" s="64">
        <v>0</v>
      </c>
      <c r="H794" s="64"/>
      <c r="I794" s="64"/>
      <c r="J794" s="1367"/>
      <c r="K794" s="64"/>
      <c r="L794" s="1533">
        <f t="shared" si="493"/>
        <v>0</v>
      </c>
      <c r="M794" s="48"/>
      <c r="N794" s="163"/>
      <c r="O794" s="48"/>
      <c r="P794" s="738"/>
      <c r="Q794" s="818"/>
      <c r="R794" s="785">
        <f>IFERROR(VLOOKUP($Q794,'391'!$S:$Z,8,0),"")</f>
        <v>0</v>
      </c>
      <c r="S794" s="796"/>
      <c r="T794" s="797" t="str">
        <f t="shared" si="496"/>
        <v>Pulmotil PremixA19.343021</v>
      </c>
      <c r="U794" s="797"/>
      <c r="V794" s="797"/>
      <c r="W794" s="785">
        <f>IFERROR(VLOOKUP($Q794,'391'!$S:$AG,15,0),0)</f>
        <v>0</v>
      </c>
      <c r="X794" s="1090">
        <f t="shared" ref="X794:X813" si="497">G794-W794</f>
        <v>0</v>
      </c>
      <c r="Y794" s="785"/>
      <c r="Z794" s="785"/>
      <c r="AA794" s="797"/>
      <c r="AB794" s="797"/>
      <c r="AC794" s="683"/>
      <c r="AD794" s="683"/>
      <c r="AE794" s="683"/>
      <c r="AF794" s="683"/>
      <c r="AG794" s="683"/>
      <c r="AH794" s="683"/>
      <c r="AI794" s="705"/>
      <c r="AJ794" s="705"/>
      <c r="AK794" s="705"/>
      <c r="AL794" s="705"/>
      <c r="AM794" s="705"/>
      <c r="AN794" s="705"/>
      <c r="AO794" s="705"/>
      <c r="AP794" s="705"/>
      <c r="AQ794" s="705"/>
      <c r="AR794" s="705"/>
      <c r="AS794" s="705"/>
    </row>
    <row r="795" spans="1:45" s="14" customFormat="1" ht="30" hidden="1" customHeight="1" x14ac:dyDescent="0.25">
      <c r="A795" s="2023"/>
      <c r="B795" s="2026"/>
      <c r="C795" s="106" t="s">
        <v>46</v>
      </c>
      <c r="D795" s="850" t="s">
        <v>10</v>
      </c>
      <c r="E795" s="968">
        <v>44902</v>
      </c>
      <c r="F795" s="283">
        <f t="shared" si="495"/>
        <v>1384</v>
      </c>
      <c r="G795" s="58">
        <v>0</v>
      </c>
      <c r="H795" s="58"/>
      <c r="I795" s="58">
        <f>SUM(K789:K792)</f>
        <v>0</v>
      </c>
      <c r="J795" s="1365">
        <f>usage!I149</f>
        <v>0</v>
      </c>
      <c r="K795" s="58"/>
      <c r="L795" s="1533">
        <f t="shared" si="493"/>
        <v>0</v>
      </c>
      <c r="M795" s="47"/>
      <c r="N795" s="920"/>
      <c r="O795" s="47"/>
      <c r="P795" s="740"/>
      <c r="Q795" s="818"/>
      <c r="R795" s="785">
        <f>IFERROR(VLOOKUP($Q795,'391'!$S:$Z,8,0),"")</f>
        <v>0</v>
      </c>
      <c r="S795" s="796"/>
      <c r="T795" s="797" t="str">
        <f t="shared" si="496"/>
        <v>Pulmotil PremixFeedmill44902</v>
      </c>
      <c r="U795" s="797"/>
      <c r="V795" s="797"/>
      <c r="W795" s="785">
        <f>IFERROR(VLOOKUP($Q795,'391'!$S:$AG,15,0),0)</f>
        <v>0</v>
      </c>
      <c r="X795" s="1090">
        <f t="shared" si="497"/>
        <v>0</v>
      </c>
      <c r="Y795" s="785"/>
      <c r="Z795" s="785"/>
      <c r="AA795" s="797"/>
      <c r="AB795" s="797"/>
      <c r="AC795" s="683"/>
      <c r="AD795" s="683"/>
      <c r="AE795" s="683"/>
      <c r="AF795" s="683"/>
      <c r="AG795" s="683"/>
      <c r="AH795" s="683"/>
      <c r="AI795" s="705"/>
      <c r="AJ795" s="705"/>
      <c r="AK795" s="705"/>
      <c r="AL795" s="705"/>
      <c r="AM795" s="705"/>
      <c r="AN795" s="705"/>
      <c r="AO795" s="705"/>
      <c r="AP795" s="705"/>
      <c r="AQ795" s="705"/>
      <c r="AR795" s="705"/>
      <c r="AS795" s="705"/>
    </row>
    <row r="796" spans="1:45" s="265" customFormat="1" ht="30" hidden="1" customHeight="1" x14ac:dyDescent="0.25">
      <c r="A796" s="2019" t="s">
        <v>222</v>
      </c>
      <c r="B796" s="2020"/>
      <c r="C796" s="88"/>
      <c r="D796" s="864"/>
      <c r="E796" s="864"/>
      <c r="F796" s="865"/>
      <c r="G796" s="1337">
        <v>0</v>
      </c>
      <c r="H796" s="1337">
        <f t="shared" ref="H796:K796" si="498">SUM(H789:H795)</f>
        <v>0</v>
      </c>
      <c r="I796" s="1337">
        <f t="shared" si="498"/>
        <v>0</v>
      </c>
      <c r="J796" s="1337">
        <f t="shared" si="498"/>
        <v>0</v>
      </c>
      <c r="K796" s="1337">
        <f t="shared" si="498"/>
        <v>0</v>
      </c>
      <c r="L796" s="1533">
        <f t="shared" si="493"/>
        <v>0</v>
      </c>
      <c r="M796" s="59">
        <f>IFERROR((S796/$S$2),"")</f>
        <v>24</v>
      </c>
      <c r="N796" s="854">
        <f>IFERROR((L796/M796),0)</f>
        <v>0</v>
      </c>
      <c r="O796" s="59">
        <f>IFERROR(SUMIF(ETM!$A:$A,$Q796,ETM!$E:$E),"")</f>
        <v>0</v>
      </c>
      <c r="P796" s="880">
        <f>IFERROR(L796/O796,0)</f>
        <v>0</v>
      </c>
      <c r="Q796" s="814" t="s">
        <v>661</v>
      </c>
      <c r="R796" s="785" t="str">
        <f>IFERROR(VLOOKUP($Q796,'391'!$S:$Z,8,0),"0")</f>
        <v>0</v>
      </c>
      <c r="S796" s="796">
        <f>+R796+R802+R808</f>
        <v>144</v>
      </c>
      <c r="T796" s="797"/>
      <c r="U796" s="797"/>
      <c r="V796" s="797"/>
      <c r="W796" s="785">
        <f>IFERROR(VLOOKUP($Q796,'391'!$S:$AG,15,0),0)</f>
        <v>0</v>
      </c>
      <c r="X796" s="1090">
        <f t="shared" si="497"/>
        <v>0</v>
      </c>
      <c r="Y796" s="785"/>
      <c r="Z796" s="785"/>
      <c r="AA796" s="797"/>
      <c r="AB796" s="797"/>
      <c r="AC796" s="551"/>
      <c r="AD796" s="551"/>
      <c r="AE796" s="551"/>
      <c r="AF796" s="551"/>
      <c r="AG796" s="551"/>
      <c r="AH796" s="551"/>
      <c r="AI796" s="704"/>
      <c r="AJ796" s="704"/>
      <c r="AK796" s="704"/>
      <c r="AL796" s="704"/>
      <c r="AM796" s="704"/>
      <c r="AN796" s="704"/>
      <c r="AO796" s="704"/>
      <c r="AP796" s="704"/>
      <c r="AQ796" s="704"/>
      <c r="AR796" s="704"/>
      <c r="AS796" s="704"/>
    </row>
    <row r="797" spans="1:45" s="13" customFormat="1" ht="30" hidden="1" customHeight="1" x14ac:dyDescent="0.25">
      <c r="A797" s="2021" t="str">
        <f>IF(L802=0,"",MAX($A$16:A796)+1)</f>
        <v/>
      </c>
      <c r="B797" s="2024" t="s">
        <v>875</v>
      </c>
      <c r="C797" s="160" t="s">
        <v>1313</v>
      </c>
      <c r="D797" s="959" t="s">
        <v>10</v>
      </c>
      <c r="E797" s="935">
        <v>45787</v>
      </c>
      <c r="F797" s="75">
        <f>$L$7-E797</f>
        <v>499</v>
      </c>
      <c r="G797" s="64">
        <v>0</v>
      </c>
      <c r="H797" s="64"/>
      <c r="I797" s="64"/>
      <c r="J797" s="1367"/>
      <c r="K797" s="64">
        <f>IFERROR(SUMIF(INTAKE!$A:$A,$T797,INTAKE!$P:$P),0)</f>
        <v>0</v>
      </c>
      <c r="L797" s="1533">
        <f t="shared" si="493"/>
        <v>0</v>
      </c>
      <c r="M797" s="50"/>
      <c r="N797" s="167"/>
      <c r="O797" s="50"/>
      <c r="P797" s="744"/>
      <c r="Q797" s="818"/>
      <c r="R797" s="785">
        <f>IFERROR(VLOOKUP($Q797,'391'!$S:$Z,8,0),"")</f>
        <v>0</v>
      </c>
      <c r="S797" s="796"/>
      <c r="T797" s="797" t="str">
        <f>$Q$802&amp;C797&amp;E797</f>
        <v>Miclozan 200 (Italy)E245787</v>
      </c>
      <c r="U797" s="797"/>
      <c r="V797" s="797"/>
      <c r="W797" s="785">
        <f>IFERROR(VLOOKUP($Q797,'391'!$S:$AG,15,0),0)</f>
        <v>0</v>
      </c>
      <c r="X797" s="1090">
        <f t="shared" si="497"/>
        <v>0</v>
      </c>
      <c r="Y797" s="785"/>
      <c r="Z797" s="785"/>
      <c r="AA797" s="797"/>
      <c r="AB797" s="797"/>
      <c r="AC797" s="683"/>
      <c r="AD797" s="683"/>
      <c r="AE797" s="683"/>
      <c r="AF797" s="683"/>
      <c r="AG797" s="683"/>
      <c r="AH797" s="683"/>
      <c r="AI797" s="705"/>
      <c r="AJ797" s="705"/>
      <c r="AK797" s="705"/>
      <c r="AL797" s="705"/>
      <c r="AM797" s="705"/>
      <c r="AN797" s="705"/>
      <c r="AO797" s="705"/>
      <c r="AP797" s="705"/>
      <c r="AQ797" s="705"/>
      <c r="AR797" s="705"/>
      <c r="AS797" s="705"/>
    </row>
    <row r="798" spans="1:45" s="13" customFormat="1" ht="30" hidden="1" customHeight="1" x14ac:dyDescent="0.25">
      <c r="A798" s="2022"/>
      <c r="B798" s="2025"/>
      <c r="C798" s="160"/>
      <c r="D798" s="959" t="s">
        <v>10</v>
      </c>
      <c r="E798" s="935">
        <v>44274</v>
      </c>
      <c r="F798" s="75">
        <f>$L$7-E798</f>
        <v>2012</v>
      </c>
      <c r="G798" s="64">
        <v>0</v>
      </c>
      <c r="H798" s="64"/>
      <c r="I798" s="64"/>
      <c r="J798" s="1367"/>
      <c r="K798" s="64"/>
      <c r="L798" s="1533">
        <f t="shared" si="493"/>
        <v>0</v>
      </c>
      <c r="M798" s="48"/>
      <c r="N798" s="163"/>
      <c r="O798" s="48"/>
      <c r="P798" s="738"/>
      <c r="Q798" s="818"/>
      <c r="R798" s="785">
        <f>IFERROR(VLOOKUP($Q798,'391'!$S:$Z,8,0),"")</f>
        <v>0</v>
      </c>
      <c r="S798" s="796"/>
      <c r="T798" s="797" t="str">
        <f>$Q$802&amp;C798&amp;E798</f>
        <v>Miclozan 200 (Italy)44274</v>
      </c>
      <c r="U798" s="797"/>
      <c r="V798" s="797"/>
      <c r="W798" s="785">
        <f>IFERROR(VLOOKUP($Q798,'391'!$S:$AG,15,0),0)</f>
        <v>0</v>
      </c>
      <c r="X798" s="1090">
        <f t="shared" si="497"/>
        <v>0</v>
      </c>
      <c r="Y798" s="785"/>
      <c r="Z798" s="785"/>
      <c r="AA798" s="797"/>
      <c r="AB798" s="797"/>
      <c r="AC798" s="683"/>
      <c r="AD798" s="683"/>
      <c r="AE798" s="683"/>
      <c r="AF798" s="683"/>
      <c r="AG798" s="683"/>
      <c r="AH798" s="683"/>
      <c r="AI798" s="705"/>
      <c r="AJ798" s="705"/>
      <c r="AK798" s="705"/>
      <c r="AL798" s="705"/>
      <c r="AM798" s="705"/>
      <c r="AN798" s="705"/>
      <c r="AO798" s="705"/>
      <c r="AP798" s="705"/>
      <c r="AQ798" s="705"/>
      <c r="AR798" s="705"/>
      <c r="AS798" s="705"/>
    </row>
    <row r="799" spans="1:45" s="13" customFormat="1" ht="30" hidden="1" customHeight="1" x14ac:dyDescent="0.25">
      <c r="A799" s="2022"/>
      <c r="B799" s="2025"/>
      <c r="C799" s="160"/>
      <c r="D799" s="959" t="s">
        <v>10</v>
      </c>
      <c r="E799" s="935">
        <v>44281</v>
      </c>
      <c r="F799" s="75">
        <f>$L$7-E799</f>
        <v>2005</v>
      </c>
      <c r="G799" s="64">
        <v>0</v>
      </c>
      <c r="H799" s="64"/>
      <c r="I799" s="64"/>
      <c r="J799" s="1367"/>
      <c r="K799" s="64"/>
      <c r="L799" s="1533">
        <f t="shared" si="493"/>
        <v>0</v>
      </c>
      <c r="M799" s="48"/>
      <c r="N799" s="163"/>
      <c r="O799" s="48"/>
      <c r="P799" s="738"/>
      <c r="Q799" s="818"/>
      <c r="R799" s="785">
        <f>IFERROR(VLOOKUP($Q799,'391'!$S:$Z,8,0),"")</f>
        <v>0</v>
      </c>
      <c r="S799" s="796"/>
      <c r="T799" s="797" t="str">
        <f>$Q$802&amp;C799&amp;E799</f>
        <v>Miclozan 200 (Italy)44281</v>
      </c>
      <c r="U799" s="797"/>
      <c r="V799" s="797"/>
      <c r="W799" s="785">
        <f>IFERROR(VLOOKUP($Q799,'391'!$S:$AG,15,0),0)</f>
        <v>0</v>
      </c>
      <c r="X799" s="1090">
        <f t="shared" si="497"/>
        <v>0</v>
      </c>
      <c r="Y799" s="785"/>
      <c r="Z799" s="785"/>
      <c r="AA799" s="797"/>
      <c r="AB799" s="797"/>
      <c r="AC799" s="683"/>
      <c r="AD799" s="683"/>
      <c r="AE799" s="683"/>
      <c r="AF799" s="683"/>
      <c r="AG799" s="683"/>
      <c r="AH799" s="683"/>
      <c r="AI799" s="705"/>
      <c r="AJ799" s="705"/>
      <c r="AK799" s="705"/>
      <c r="AL799" s="705"/>
      <c r="AM799" s="705"/>
      <c r="AN799" s="705"/>
      <c r="AO799" s="705"/>
      <c r="AP799" s="705"/>
      <c r="AQ799" s="705"/>
      <c r="AR799" s="705"/>
      <c r="AS799" s="705"/>
    </row>
    <row r="800" spans="1:45" s="13" customFormat="1" ht="30" hidden="1" customHeight="1" x14ac:dyDescent="0.25">
      <c r="A800" s="2022"/>
      <c r="B800" s="2025"/>
      <c r="C800" s="160"/>
      <c r="D800" s="959" t="s">
        <v>10</v>
      </c>
      <c r="E800" s="935">
        <v>44216</v>
      </c>
      <c r="F800" s="75">
        <f>$L$7-E800</f>
        <v>2070</v>
      </c>
      <c r="G800" s="64">
        <v>0</v>
      </c>
      <c r="H800" s="64"/>
      <c r="I800" s="64"/>
      <c r="J800" s="1367"/>
      <c r="K800" s="64"/>
      <c r="L800" s="1533">
        <f t="shared" si="493"/>
        <v>0</v>
      </c>
      <c r="M800" s="48"/>
      <c r="N800" s="163"/>
      <c r="O800" s="48"/>
      <c r="P800" s="738"/>
      <c r="Q800" s="818"/>
      <c r="R800" s="785">
        <f>IFERROR(VLOOKUP($Q800,'391'!$S:$Z,8,0),"")</f>
        <v>0</v>
      </c>
      <c r="S800" s="796"/>
      <c r="T800" s="797" t="str">
        <f>$Q$802&amp;C800&amp;E800</f>
        <v>Miclozan 200 (Italy)44216</v>
      </c>
      <c r="U800" s="797"/>
      <c r="V800" s="797"/>
      <c r="W800" s="785">
        <f>IFERROR(VLOOKUP($Q800,'391'!$S:$AG,15,0),0)</f>
        <v>0</v>
      </c>
      <c r="X800" s="1090">
        <f t="shared" si="497"/>
        <v>0</v>
      </c>
      <c r="Y800" s="785"/>
      <c r="Z800" s="785"/>
      <c r="AA800" s="797"/>
      <c r="AB800" s="797"/>
      <c r="AC800" s="683"/>
      <c r="AD800" s="683"/>
      <c r="AE800" s="683"/>
      <c r="AF800" s="683"/>
      <c r="AG800" s="683"/>
      <c r="AH800" s="683"/>
      <c r="AI800" s="705"/>
      <c r="AJ800" s="705"/>
      <c r="AK800" s="705"/>
      <c r="AL800" s="705"/>
      <c r="AM800" s="705"/>
      <c r="AN800" s="705"/>
      <c r="AO800" s="705"/>
      <c r="AP800" s="705"/>
      <c r="AQ800" s="705"/>
      <c r="AR800" s="705"/>
      <c r="AS800" s="705"/>
    </row>
    <row r="801" spans="1:45" s="14" customFormat="1" ht="30" hidden="1" customHeight="1" x14ac:dyDescent="0.25">
      <c r="A801" s="2023"/>
      <c r="B801" s="2026"/>
      <c r="C801" s="106" t="s">
        <v>46</v>
      </c>
      <c r="D801" s="850" t="s">
        <v>10</v>
      </c>
      <c r="E801" s="968">
        <v>45787</v>
      </c>
      <c r="F801" s="283">
        <f>$L$7-E801</f>
        <v>499</v>
      </c>
      <c r="G801" s="58">
        <v>0</v>
      </c>
      <c r="H801" s="58"/>
      <c r="I801" s="58">
        <f>SUM(K797:K800)</f>
        <v>0</v>
      </c>
      <c r="J801" s="1365">
        <f>usage!I150</f>
        <v>0</v>
      </c>
      <c r="K801" s="58"/>
      <c r="L801" s="1533">
        <f t="shared" si="493"/>
        <v>0</v>
      </c>
      <c r="M801" s="47"/>
      <c r="N801" s="920"/>
      <c r="O801" s="47"/>
      <c r="P801" s="740"/>
      <c r="Q801" s="818"/>
      <c r="R801" s="785">
        <f>IFERROR(VLOOKUP($Q801,'391'!$S:$Z,8,0),"")</f>
        <v>0</v>
      </c>
      <c r="S801" s="796"/>
      <c r="T801" s="797" t="str">
        <f>$Q$802&amp;C801&amp;E801</f>
        <v>Miclozan 200 (Italy)Feedmill45787</v>
      </c>
      <c r="U801" s="797"/>
      <c r="V801" s="797"/>
      <c r="W801" s="785">
        <f>IFERROR(VLOOKUP($Q801,'391'!$S:$AG,15,0),0)</f>
        <v>0</v>
      </c>
      <c r="X801" s="1090">
        <f t="shared" si="497"/>
        <v>0</v>
      </c>
      <c r="Y801" s="785"/>
      <c r="Z801" s="785"/>
      <c r="AA801" s="797"/>
      <c r="AB801" s="797"/>
      <c r="AC801" s="683"/>
      <c r="AD801" s="683"/>
      <c r="AE801" s="683"/>
      <c r="AF801" s="683"/>
      <c r="AG801" s="683"/>
      <c r="AH801" s="683"/>
      <c r="AI801" s="705"/>
      <c r="AJ801" s="705"/>
      <c r="AK801" s="705"/>
      <c r="AL801" s="705"/>
      <c r="AM801" s="705"/>
      <c r="AN801" s="705"/>
      <c r="AO801" s="705"/>
      <c r="AP801" s="705"/>
      <c r="AQ801" s="705"/>
      <c r="AR801" s="705"/>
      <c r="AS801" s="705"/>
    </row>
    <row r="802" spans="1:45" s="265" customFormat="1" ht="30" hidden="1" customHeight="1" x14ac:dyDescent="0.25">
      <c r="A802" s="2019" t="s">
        <v>876</v>
      </c>
      <c r="B802" s="2020"/>
      <c r="C802" s="88"/>
      <c r="D802" s="864"/>
      <c r="E802" s="864"/>
      <c r="F802" s="865"/>
      <c r="G802" s="1337">
        <v>0</v>
      </c>
      <c r="H802" s="1337">
        <f t="shared" ref="H802:I802" si="499">SUM(H797:H801)</f>
        <v>0</v>
      </c>
      <c r="I802" s="1337">
        <f t="shared" si="499"/>
        <v>0</v>
      </c>
      <c r="J802" s="1337">
        <f t="shared" ref="J802:L802" si="500">SUM(J797:J801)</f>
        <v>0</v>
      </c>
      <c r="K802" s="1337">
        <f t="shared" si="500"/>
        <v>0</v>
      </c>
      <c r="L802" s="1337">
        <f t="shared" si="500"/>
        <v>0</v>
      </c>
      <c r="M802" s="59">
        <f>+M796</f>
        <v>24</v>
      </c>
      <c r="N802" s="854">
        <f>IFERROR((L802/M802),0)</f>
        <v>0</v>
      </c>
      <c r="O802" s="59">
        <f>IFERROR(SUMIF(ETM!$A:$A,$Q802,ETM!$E:$E),"")</f>
        <v>0</v>
      </c>
      <c r="P802" s="880">
        <f>IFERROR(L802/O802,0)</f>
        <v>0</v>
      </c>
      <c r="Q802" s="814" t="s">
        <v>875</v>
      </c>
      <c r="R802" s="785" t="str">
        <f>IFERROR(VLOOKUP($Q802,'391'!$S:$Z,8,0),"0")</f>
        <v>0</v>
      </c>
      <c r="S802" s="796"/>
      <c r="T802" s="797"/>
      <c r="U802" s="797"/>
      <c r="V802" s="797"/>
      <c r="W802" s="785">
        <f>IFERROR(VLOOKUP($Q802,'391'!$S:$AG,15,0),0)</f>
        <v>0</v>
      </c>
      <c r="X802" s="1090">
        <f t="shared" si="497"/>
        <v>0</v>
      </c>
      <c r="Y802" s="785"/>
      <c r="Z802" s="785"/>
      <c r="AA802" s="797"/>
      <c r="AB802" s="797"/>
      <c r="AC802" s="551"/>
      <c r="AD802" s="551"/>
      <c r="AE802" s="551"/>
      <c r="AF802" s="551"/>
      <c r="AG802" s="551"/>
      <c r="AH802" s="551"/>
      <c r="AI802" s="704"/>
      <c r="AJ802" s="704"/>
      <c r="AK802" s="704"/>
      <c r="AL802" s="704"/>
      <c r="AM802" s="704"/>
      <c r="AN802" s="704"/>
      <c r="AO802" s="704"/>
      <c r="AP802" s="704"/>
      <c r="AQ802" s="704"/>
      <c r="AR802" s="704"/>
      <c r="AS802" s="704"/>
    </row>
    <row r="803" spans="1:45" s="13" customFormat="1" ht="30" hidden="1" customHeight="1" x14ac:dyDescent="0.25">
      <c r="A803" s="2021">
        <f>IF(L808=0,"",MAX($A$16:A802)+1)</f>
        <v>47</v>
      </c>
      <c r="B803" s="2058" t="s">
        <v>917</v>
      </c>
      <c r="C803" s="160"/>
      <c r="D803" s="959" t="s">
        <v>10</v>
      </c>
      <c r="E803" s="935">
        <v>46192</v>
      </c>
      <c r="F803" s="75">
        <f>$L$7-E803</f>
        <v>94</v>
      </c>
      <c r="G803" s="64">
        <v>0</v>
      </c>
      <c r="H803" s="64"/>
      <c r="I803" s="64"/>
      <c r="J803" s="1367"/>
      <c r="K803" s="64">
        <f>IFERROR(SUMIF(INTAKE!$A:$A,$T803,INTAKE!$P:$P),0)</f>
        <v>0</v>
      </c>
      <c r="L803" s="1702">
        <f t="shared" si="493"/>
        <v>0</v>
      </c>
      <c r="M803" s="50"/>
      <c r="N803" s="167"/>
      <c r="O803" s="50"/>
      <c r="P803" s="744"/>
      <c r="Q803" s="818"/>
      <c r="R803" s="785">
        <f>IFERROR(VLOOKUP($Q803,'391'!$S:$Z,8,0),"")</f>
        <v>0</v>
      </c>
      <c r="S803" s="796"/>
      <c r="T803" s="797" t="str">
        <f>$Q$808&amp;C803&amp;E803</f>
        <v>Tilmovet 20% Granular Premix (Bulgaria)46192</v>
      </c>
      <c r="U803" s="797"/>
      <c r="V803" s="797"/>
      <c r="W803" s="785">
        <f>IFERROR(VLOOKUP($Q803,'391'!$S:$AG,15,0),0)</f>
        <v>0</v>
      </c>
      <c r="X803" s="1090">
        <f t="shared" si="497"/>
        <v>0</v>
      </c>
      <c r="Y803" s="785"/>
      <c r="Z803" s="785"/>
      <c r="AA803" s="797"/>
      <c r="AB803" s="797"/>
      <c r="AC803" s="683"/>
      <c r="AD803" s="683"/>
      <c r="AE803" s="683"/>
      <c r="AF803" s="683"/>
      <c r="AG803" s="683"/>
      <c r="AH803" s="683"/>
      <c r="AI803" s="705"/>
      <c r="AJ803" s="705"/>
      <c r="AK803" s="705"/>
      <c r="AL803" s="705"/>
      <c r="AM803" s="705"/>
      <c r="AN803" s="705"/>
      <c r="AO803" s="705"/>
      <c r="AP803" s="705"/>
      <c r="AQ803" s="705"/>
      <c r="AR803" s="705"/>
      <c r="AS803" s="705"/>
    </row>
    <row r="804" spans="1:45" s="13" customFormat="1" ht="30" customHeight="1" x14ac:dyDescent="0.25">
      <c r="A804" s="2022"/>
      <c r="B804" s="2059"/>
      <c r="C804" s="160" t="s">
        <v>1313</v>
      </c>
      <c r="D804" s="959" t="s">
        <v>10</v>
      </c>
      <c r="E804" s="935">
        <v>46247</v>
      </c>
      <c r="F804" s="75">
        <f>$L$7-E804</f>
        <v>39</v>
      </c>
      <c r="G804" s="64">
        <v>40</v>
      </c>
      <c r="H804" s="64"/>
      <c r="I804" s="64"/>
      <c r="J804" s="1367"/>
      <c r="K804" s="64">
        <f>IFERROR(SUMIF(INTAKE!$A:$A,$T804,INTAKE!$P:$P),0)</f>
        <v>40</v>
      </c>
      <c r="L804" s="1702">
        <f t="shared" si="493"/>
        <v>0</v>
      </c>
      <c r="M804" s="48"/>
      <c r="N804" s="163"/>
      <c r="O804" s="48"/>
      <c r="P804" s="738"/>
      <c r="Q804" s="818"/>
      <c r="R804" s="785">
        <f>IFERROR(VLOOKUP($Q804,'391'!$S:$Z,8,0),"")</f>
        <v>0</v>
      </c>
      <c r="S804" s="796"/>
      <c r="T804" s="797" t="str">
        <f>$Q$808&amp;C804&amp;E804</f>
        <v>Tilmovet 20% Granular Premix (Bulgaria)E246247</v>
      </c>
      <c r="U804" s="797"/>
      <c r="V804" s="797"/>
      <c r="W804" s="785">
        <f>IFERROR(VLOOKUP($Q804,'391'!$S:$AG,15,0),0)</f>
        <v>0</v>
      </c>
      <c r="X804" s="1090">
        <f t="shared" si="497"/>
        <v>40</v>
      </c>
      <c r="Y804" s="785"/>
      <c r="Z804" s="785"/>
      <c r="AA804" s="797"/>
      <c r="AB804" s="797"/>
      <c r="AC804" s="683"/>
      <c r="AD804" s="683"/>
      <c r="AE804" s="683"/>
      <c r="AF804" s="683"/>
      <c r="AG804" s="683"/>
      <c r="AH804" s="683"/>
      <c r="AI804" s="705"/>
      <c r="AJ804" s="705"/>
      <c r="AK804" s="705"/>
      <c r="AL804" s="705"/>
      <c r="AM804" s="705"/>
      <c r="AN804" s="705"/>
      <c r="AO804" s="705"/>
      <c r="AP804" s="705"/>
      <c r="AQ804" s="705"/>
      <c r="AR804" s="705"/>
      <c r="AS804" s="705"/>
    </row>
    <row r="805" spans="1:45" s="13" customFormat="1" ht="30" customHeight="1" x14ac:dyDescent="0.25">
      <c r="A805" s="2022"/>
      <c r="B805" s="2059"/>
      <c r="C805" s="160" t="s">
        <v>1313</v>
      </c>
      <c r="D805" s="959" t="s">
        <v>10</v>
      </c>
      <c r="E805" s="935">
        <v>46262</v>
      </c>
      <c r="F805" s="75">
        <f>$L$7-E805</f>
        <v>24</v>
      </c>
      <c r="G805" s="64">
        <v>1000</v>
      </c>
      <c r="H805" s="64"/>
      <c r="I805" s="64"/>
      <c r="J805" s="1367"/>
      <c r="K805" s="64">
        <f>IFERROR(SUMIF(INTAKE!$A:$A,$T805,INTAKE!$P:$P),0)</f>
        <v>0</v>
      </c>
      <c r="L805" s="1702">
        <f t="shared" si="493"/>
        <v>1000</v>
      </c>
      <c r="M805" s="48"/>
      <c r="N805" s="163"/>
      <c r="O805" s="48"/>
      <c r="P805" s="738"/>
      <c r="Q805" s="818"/>
      <c r="R805" s="785">
        <f>IFERROR(VLOOKUP($Q805,'391'!$S:$Z,8,0),"")</f>
        <v>0</v>
      </c>
      <c r="S805" s="796"/>
      <c r="T805" s="797" t="str">
        <f>$Q$808&amp;C805&amp;E805</f>
        <v>Tilmovet 20% Granular Premix (Bulgaria)E246262</v>
      </c>
      <c r="U805" s="797"/>
      <c r="V805" s="797"/>
      <c r="W805" s="785">
        <f>IFERROR(VLOOKUP($Q805,'391'!$S:$AG,15,0),0)</f>
        <v>0</v>
      </c>
      <c r="X805" s="1090">
        <f t="shared" si="497"/>
        <v>1000</v>
      </c>
      <c r="Y805" s="785"/>
      <c r="Z805" s="785"/>
      <c r="AA805" s="797"/>
      <c r="AB805" s="797"/>
      <c r="AC805" s="683"/>
      <c r="AD805" s="683"/>
      <c r="AE805" s="683"/>
      <c r="AF805" s="683"/>
      <c r="AG805" s="683"/>
      <c r="AH805" s="683"/>
      <c r="AI805" s="705"/>
      <c r="AJ805" s="705"/>
      <c r="AK805" s="705"/>
      <c r="AL805" s="705"/>
      <c r="AM805" s="705"/>
      <c r="AN805" s="705"/>
      <c r="AO805" s="705"/>
      <c r="AP805" s="705"/>
      <c r="AQ805" s="705"/>
      <c r="AR805" s="705"/>
      <c r="AS805" s="705"/>
    </row>
    <row r="806" spans="1:45" s="13" customFormat="1" ht="30" customHeight="1" x14ac:dyDescent="0.25">
      <c r="A806" s="2022"/>
      <c r="B806" s="2060"/>
      <c r="C806" s="160" t="s">
        <v>1313</v>
      </c>
      <c r="D806" s="959" t="s">
        <v>10</v>
      </c>
      <c r="E806" s="935">
        <v>46270</v>
      </c>
      <c r="F806" s="75">
        <f>$L$7-E806</f>
        <v>16</v>
      </c>
      <c r="G806" s="64">
        <v>500</v>
      </c>
      <c r="H806" s="64"/>
      <c r="I806" s="64"/>
      <c r="J806" s="1367"/>
      <c r="K806" s="64">
        <f>IFERROR(SUMIF(INTAKE!$A:$A,$T806,INTAKE!$P:$P),0)</f>
        <v>0</v>
      </c>
      <c r="L806" s="1702">
        <f t="shared" si="493"/>
        <v>500</v>
      </c>
      <c r="M806" s="48"/>
      <c r="N806" s="163"/>
      <c r="O806" s="48"/>
      <c r="P806" s="738"/>
      <c r="Q806" s="818"/>
      <c r="R806" s="785">
        <f>IFERROR(VLOOKUP($Q806,'391'!$S:$Z,8,0),"")</f>
        <v>0</v>
      </c>
      <c r="S806" s="796"/>
      <c r="T806" s="797" t="str">
        <f>$Q$808&amp;C806&amp;E806</f>
        <v>Tilmovet 20% Granular Premix (Bulgaria)E246270</v>
      </c>
      <c r="U806" s="797"/>
      <c r="V806" s="797"/>
      <c r="W806" s="785">
        <f>IFERROR(VLOOKUP($Q806,'391'!$S:$AG,15,0),0)</f>
        <v>0</v>
      </c>
      <c r="X806" s="1090">
        <f t="shared" si="497"/>
        <v>500</v>
      </c>
      <c r="Y806" s="785"/>
      <c r="Z806" s="785"/>
      <c r="AA806" s="797"/>
      <c r="AB806" s="797"/>
      <c r="AC806" s="683"/>
      <c r="AD806" s="683"/>
      <c r="AE806" s="683"/>
      <c r="AF806" s="683"/>
      <c r="AG806" s="683"/>
      <c r="AH806" s="683"/>
      <c r="AI806" s="705"/>
      <c r="AJ806" s="705"/>
      <c r="AK806" s="705"/>
      <c r="AL806" s="705"/>
      <c r="AM806" s="705"/>
      <c r="AN806" s="705"/>
      <c r="AO806" s="705"/>
      <c r="AP806" s="705"/>
      <c r="AQ806" s="705"/>
      <c r="AR806" s="705"/>
      <c r="AS806" s="705"/>
    </row>
    <row r="807" spans="1:45" s="14" customFormat="1" ht="30" customHeight="1" x14ac:dyDescent="0.25">
      <c r="A807" s="2023"/>
      <c r="B807" s="2061"/>
      <c r="C807" s="106" t="s">
        <v>46</v>
      </c>
      <c r="D807" s="850" t="s">
        <v>10</v>
      </c>
      <c r="E807" s="968">
        <v>46247</v>
      </c>
      <c r="F807" s="283">
        <f>$L$7-E807</f>
        <v>39</v>
      </c>
      <c r="G807" s="58">
        <v>117.19</v>
      </c>
      <c r="H807" s="58"/>
      <c r="I807" s="58">
        <f>SUM(K803:K806)</f>
        <v>40</v>
      </c>
      <c r="J807" s="1365">
        <f>usage!I151</f>
        <v>16</v>
      </c>
      <c r="K807" s="58"/>
      <c r="L807" s="1533">
        <f t="shared" si="493"/>
        <v>141.19</v>
      </c>
      <c r="M807" s="47"/>
      <c r="N807" s="920"/>
      <c r="O807" s="47"/>
      <c r="P807" s="740"/>
      <c r="Q807" s="818"/>
      <c r="R807" s="785">
        <f>IFERROR(VLOOKUP($Q807,'391'!$S:$Z,8,0),"")</f>
        <v>0</v>
      </c>
      <c r="S807" s="796"/>
      <c r="T807" s="797" t="str">
        <f>$Q$808&amp;C807&amp;E807</f>
        <v>Tilmovet 20% Granular Premix (Bulgaria)Feedmill46247</v>
      </c>
      <c r="U807" s="797"/>
      <c r="V807" s="797"/>
      <c r="W807" s="785">
        <f>IFERROR(VLOOKUP($Q807,'391'!$S:$AG,15,0),0)</f>
        <v>0</v>
      </c>
      <c r="X807" s="1090">
        <f t="shared" si="497"/>
        <v>117.19</v>
      </c>
      <c r="Y807" s="785"/>
      <c r="Z807" s="785"/>
      <c r="AA807" s="797"/>
      <c r="AB807" s="797"/>
      <c r="AC807" s="683"/>
      <c r="AD807" s="683"/>
      <c r="AE807" s="683"/>
      <c r="AF807" s="683"/>
      <c r="AG807" s="683"/>
      <c r="AH807" s="683"/>
      <c r="AI807" s="705"/>
      <c r="AJ807" s="705"/>
      <c r="AK807" s="705"/>
      <c r="AL807" s="705"/>
      <c r="AM807" s="705"/>
      <c r="AN807" s="705"/>
      <c r="AO807" s="705"/>
      <c r="AP807" s="705"/>
      <c r="AQ807" s="705"/>
      <c r="AR807" s="705"/>
      <c r="AS807" s="705"/>
    </row>
    <row r="808" spans="1:45" s="265" customFormat="1" ht="30.75" customHeight="1" x14ac:dyDescent="0.25">
      <c r="A808" s="2019" t="s">
        <v>918</v>
      </c>
      <c r="B808" s="2020"/>
      <c r="C808" s="88"/>
      <c r="D808" s="864"/>
      <c r="E808" s="864"/>
      <c r="F808" s="865"/>
      <c r="G808" s="1337">
        <v>1657.19</v>
      </c>
      <c r="H808" s="1337">
        <f t="shared" ref="H808:I808" si="501">SUM(H803:H807)</f>
        <v>0</v>
      </c>
      <c r="I808" s="1337">
        <f t="shared" si="501"/>
        <v>40</v>
      </c>
      <c r="J808" s="1337">
        <f t="shared" ref="J808:L808" si="502">SUM(J803:J807)</f>
        <v>16</v>
      </c>
      <c r="K808" s="1337">
        <f t="shared" si="502"/>
        <v>40</v>
      </c>
      <c r="L808" s="1337">
        <f t="shared" si="502"/>
        <v>1641.19</v>
      </c>
      <c r="M808" s="59">
        <f>+M802</f>
        <v>24</v>
      </c>
      <c r="N808" s="854">
        <f>IFERROR((L808/M808),0)</f>
        <v>68.382916666666674</v>
      </c>
      <c r="O808" s="59">
        <f>IFERROR(SUMIF(ETM!$A:$A,$Q808,ETM!$E:$E),"")</f>
        <v>34.666666666666664</v>
      </c>
      <c r="P808" s="880">
        <f>IFERROR(L808/O808,0)</f>
        <v>47.342019230769239</v>
      </c>
      <c r="Q808" s="814" t="s">
        <v>917</v>
      </c>
      <c r="R808" s="785">
        <f>IFERROR(VLOOKUP($Q808,'391'!$S:$Z,8,0),"0")</f>
        <v>144</v>
      </c>
      <c r="S808" s="796"/>
      <c r="T808" s="797"/>
      <c r="U808" s="797"/>
      <c r="V808" s="797"/>
      <c r="W808" s="785">
        <f>IFERROR(VLOOKUP($Q808,'391'!$S:$AG,15,0),0)</f>
        <v>1657.19</v>
      </c>
      <c r="X808" s="1090">
        <f t="shared" si="497"/>
        <v>0</v>
      </c>
      <c r="Y808" s="785"/>
      <c r="Z808" s="785"/>
      <c r="AA808" s="797"/>
      <c r="AB808" s="797"/>
      <c r="AC808" s="551"/>
      <c r="AD808" s="551"/>
      <c r="AE808" s="551"/>
      <c r="AF808" s="551"/>
      <c r="AG808" s="551"/>
      <c r="AH808" s="551"/>
      <c r="AI808" s="704"/>
      <c r="AJ808" s="704"/>
      <c r="AK808" s="704"/>
      <c r="AL808" s="704"/>
      <c r="AM808" s="704"/>
      <c r="AN808" s="704"/>
      <c r="AO808" s="704"/>
      <c r="AP808" s="704"/>
      <c r="AQ808" s="704"/>
      <c r="AR808" s="704"/>
      <c r="AS808" s="704"/>
    </row>
    <row r="809" spans="1:45" s="409" customFormat="1" ht="30" hidden="1" customHeight="1" x14ac:dyDescent="0.25">
      <c r="A809" s="2021">
        <f>IF(L814=0,"",MAX($A$16:A808)+1)</f>
        <v>48</v>
      </c>
      <c r="B809" s="2090" t="s">
        <v>1900</v>
      </c>
      <c r="C809" s="114"/>
      <c r="D809" s="866" t="s">
        <v>10</v>
      </c>
      <c r="E809" s="935">
        <v>45638</v>
      </c>
      <c r="F809" s="75">
        <f>$L$7-E809</f>
        <v>648</v>
      </c>
      <c r="G809" s="63">
        <v>0</v>
      </c>
      <c r="H809" s="63"/>
      <c r="I809" s="63"/>
      <c r="J809" s="1378"/>
      <c r="K809" s="64">
        <f>IFERROR(SUMIF(INTAKE!$A:$A,$T809,INTAKE!$P:$P),0)</f>
        <v>0</v>
      </c>
      <c r="L809" s="1702">
        <f t="shared" si="493"/>
        <v>0</v>
      </c>
      <c r="M809" s="50"/>
      <c r="N809" s="167"/>
      <c r="O809" s="50"/>
      <c r="P809" s="857"/>
      <c r="Q809" s="795"/>
      <c r="R809" s="785">
        <f>IFERROR(VLOOKUP($Q809,'391'!$S:$Z,8,0),"")</f>
        <v>0</v>
      </c>
      <c r="S809" s="796"/>
      <c r="T809" s="797" t="str">
        <f>$Q$814&amp;C809&amp;E809</f>
        <v>SACOX 120 (Bulgaria)45638</v>
      </c>
      <c r="U809" s="797"/>
      <c r="V809" s="797"/>
      <c r="W809" s="785">
        <f>IFERROR(VLOOKUP($Q809,'391'!$S:$AG,15,0),0)</f>
        <v>0</v>
      </c>
      <c r="X809" s="1090">
        <f t="shared" si="497"/>
        <v>0</v>
      </c>
      <c r="Y809" s="785"/>
      <c r="Z809" s="785"/>
      <c r="AA809" s="797"/>
      <c r="AB809" s="797"/>
      <c r="AC809" s="681"/>
      <c r="AD809" s="681"/>
      <c r="AE809" s="681"/>
      <c r="AF809" s="681"/>
      <c r="AG809" s="681"/>
      <c r="AH809" s="681"/>
      <c r="AI809" s="703"/>
      <c r="AJ809" s="703"/>
      <c r="AK809" s="703"/>
      <c r="AL809" s="703"/>
      <c r="AM809" s="703"/>
      <c r="AN809" s="703"/>
      <c r="AO809" s="703"/>
      <c r="AP809" s="703"/>
      <c r="AQ809" s="703"/>
      <c r="AR809" s="703"/>
      <c r="AS809" s="703"/>
    </row>
    <row r="810" spans="1:45" s="409" customFormat="1" ht="30" hidden="1" customHeight="1" x14ac:dyDescent="0.25">
      <c r="A810" s="2022"/>
      <c r="B810" s="2091"/>
      <c r="C810" s="114"/>
      <c r="D810" s="866" t="s">
        <v>10</v>
      </c>
      <c r="E810" s="935">
        <v>46132</v>
      </c>
      <c r="F810" s="75">
        <f>$L$7-E810</f>
        <v>154</v>
      </c>
      <c r="G810" s="63">
        <v>0</v>
      </c>
      <c r="H810" s="63"/>
      <c r="I810" s="63"/>
      <c r="J810" s="1378"/>
      <c r="K810" s="64">
        <f>IFERROR(SUMIF(INTAKE!$A:$A,$T810,INTAKE!$P:$P),0)</f>
        <v>0</v>
      </c>
      <c r="L810" s="1702">
        <f t="shared" si="493"/>
        <v>0</v>
      </c>
      <c r="M810" s="48"/>
      <c r="N810" s="163"/>
      <c r="O810" s="48"/>
      <c r="P810" s="1268"/>
      <c r="Q810" s="795"/>
      <c r="R810" s="785">
        <f>IFERROR(VLOOKUP($Q810,'391'!$S:$Z,8,0),"")</f>
        <v>0</v>
      </c>
      <c r="S810" s="796"/>
      <c r="T810" s="797" t="str">
        <f>$Q$813&amp;C810&amp;E810</f>
        <v>SALINOMYCIN PREMIX 12% (China)46132</v>
      </c>
      <c r="U810" s="797"/>
      <c r="V810" s="797"/>
      <c r="W810" s="785">
        <f>IFERROR(VLOOKUP($Q810,'391'!$S:$AG,15,0),0)</f>
        <v>0</v>
      </c>
      <c r="X810" s="1090">
        <f t="shared" si="497"/>
        <v>0</v>
      </c>
      <c r="Y810" s="785"/>
      <c r="Z810" s="785"/>
      <c r="AA810" s="797"/>
      <c r="AB810" s="797"/>
      <c r="AC810" s="681"/>
      <c r="AD810" s="681"/>
      <c r="AE810" s="681"/>
      <c r="AF810" s="681"/>
      <c r="AG810" s="681"/>
      <c r="AH810" s="681"/>
      <c r="AI810" s="703"/>
      <c r="AJ810" s="703"/>
      <c r="AK810" s="703"/>
      <c r="AL810" s="703"/>
      <c r="AM810" s="703"/>
      <c r="AN810" s="703"/>
      <c r="AO810" s="703"/>
      <c r="AP810" s="703"/>
      <c r="AQ810" s="703"/>
      <c r="AR810" s="703"/>
      <c r="AS810" s="703"/>
    </row>
    <row r="811" spans="1:45" s="409" customFormat="1" ht="30" customHeight="1" x14ac:dyDescent="0.25">
      <c r="A811" s="2022"/>
      <c r="B811" s="2091"/>
      <c r="C811" s="114" t="s">
        <v>1213</v>
      </c>
      <c r="D811" s="866" t="s">
        <v>10</v>
      </c>
      <c r="E811" s="935">
        <v>46245</v>
      </c>
      <c r="F811" s="75">
        <f>$L$7-E811</f>
        <v>41</v>
      </c>
      <c r="G811" s="63">
        <v>250</v>
      </c>
      <c r="H811" s="63"/>
      <c r="I811" s="63"/>
      <c r="J811" s="1378"/>
      <c r="K811" s="64">
        <f>IFERROR(SUMIF(INTAKE!$A:$A,$T811,INTAKE!$P:$P),0)</f>
        <v>0</v>
      </c>
      <c r="L811" s="1702">
        <f t="shared" si="493"/>
        <v>250</v>
      </c>
      <c r="M811" s="48"/>
      <c r="N811" s="163"/>
      <c r="O811" s="48"/>
      <c r="P811" s="883"/>
      <c r="Q811" s="795"/>
      <c r="R811" s="785">
        <f>IFERROR(VLOOKUP($Q811,'391'!$S:$Z,8,0),"")</f>
        <v>0</v>
      </c>
      <c r="S811" s="796"/>
      <c r="T811" s="797" t="str">
        <f>$Q$813&amp;C811&amp;E811</f>
        <v>SALINOMYCIN PREMIX 12% (China)E346245</v>
      </c>
      <c r="U811" s="797"/>
      <c r="V811" s="797"/>
      <c r="W811" s="785">
        <f>IFERROR(VLOOKUP($Q811,'391'!$S:$AG,15,0),0)</f>
        <v>0</v>
      </c>
      <c r="X811" s="1090">
        <f t="shared" si="497"/>
        <v>250</v>
      </c>
      <c r="Y811" s="785"/>
      <c r="Z811" s="785"/>
      <c r="AA811" s="797"/>
      <c r="AB811" s="797"/>
      <c r="AC811" s="681"/>
      <c r="AD811" s="681"/>
      <c r="AE811" s="681"/>
      <c r="AF811" s="681"/>
      <c r="AG811" s="681"/>
      <c r="AH811" s="681"/>
      <c r="AI811" s="703"/>
      <c r="AJ811" s="703"/>
      <c r="AK811" s="703"/>
      <c r="AL811" s="703"/>
      <c r="AM811" s="703"/>
      <c r="AN811" s="703"/>
      <c r="AO811" s="703"/>
      <c r="AP811" s="703"/>
      <c r="AQ811" s="703"/>
      <c r="AR811" s="703"/>
      <c r="AS811" s="703"/>
    </row>
    <row r="812" spans="1:45" s="409" customFormat="1" ht="30" customHeight="1" x14ac:dyDescent="0.25">
      <c r="A812" s="2022"/>
      <c r="B812" s="2091"/>
      <c r="C812" s="114" t="s">
        <v>1213</v>
      </c>
      <c r="D812" s="866" t="s">
        <v>10</v>
      </c>
      <c r="E812" s="935">
        <v>46262</v>
      </c>
      <c r="F812" s="75">
        <f>$L$7-E812</f>
        <v>24</v>
      </c>
      <c r="G812" s="63">
        <v>100</v>
      </c>
      <c r="H812" s="63"/>
      <c r="I812" s="63"/>
      <c r="J812" s="1378"/>
      <c r="K812" s="64">
        <f>IFERROR(SUMIF(INTAKE!$A:$A,$T812,INTAKE!$P:$P),0)</f>
        <v>0</v>
      </c>
      <c r="L812" s="1702">
        <f t="shared" si="493"/>
        <v>100</v>
      </c>
      <c r="M812" s="45"/>
      <c r="N812" s="162"/>
      <c r="O812" s="45"/>
      <c r="P812" s="857"/>
      <c r="Q812" s="795"/>
      <c r="R812" s="785">
        <f>IFERROR(VLOOKUP($Q812,'391'!$S:$Z,8,0),"")</f>
        <v>0</v>
      </c>
      <c r="S812" s="796"/>
      <c r="T812" s="797" t="str">
        <f>$Q$813&amp;C812&amp;E812</f>
        <v>SALINOMYCIN PREMIX 12% (China)E346262</v>
      </c>
      <c r="U812" s="797"/>
      <c r="V812" s="797"/>
      <c r="W812" s="785">
        <f>IFERROR(VLOOKUP($Q812,'391'!$S:$AG,15,0),0)</f>
        <v>0</v>
      </c>
      <c r="X812" s="1090">
        <f t="shared" si="497"/>
        <v>100</v>
      </c>
      <c r="Y812" s="785"/>
      <c r="Z812" s="785"/>
      <c r="AA812" s="797"/>
      <c r="AB812" s="797"/>
      <c r="AC812" s="681"/>
      <c r="AD812" s="681"/>
      <c r="AE812" s="681"/>
      <c r="AF812" s="681"/>
      <c r="AG812" s="681"/>
      <c r="AH812" s="681"/>
      <c r="AI812" s="703"/>
      <c r="AJ812" s="703"/>
      <c r="AK812" s="703"/>
      <c r="AL812" s="703"/>
      <c r="AM812" s="703"/>
      <c r="AN812" s="703"/>
      <c r="AO812" s="703"/>
      <c r="AP812" s="703"/>
      <c r="AQ812" s="703"/>
      <c r="AR812" s="703"/>
      <c r="AS812" s="703"/>
    </row>
    <row r="813" spans="1:45" s="401" customFormat="1" ht="30" customHeight="1" x14ac:dyDescent="0.25">
      <c r="A813" s="2022"/>
      <c r="B813" s="2093"/>
      <c r="C813" s="61" t="s">
        <v>46</v>
      </c>
      <c r="D813" s="863" t="s">
        <v>10</v>
      </c>
      <c r="E813" s="935">
        <v>46245</v>
      </c>
      <c r="F813" s="39">
        <f>$L$7-E813</f>
        <v>41</v>
      </c>
      <c r="G813" s="37">
        <f>13.6-1.69</f>
        <v>11.91</v>
      </c>
      <c r="H813" s="37"/>
      <c r="I813" s="37">
        <f>+SUM(K809:K812)</f>
        <v>0</v>
      </c>
      <c r="J813" s="1385">
        <f>+usage!I116</f>
        <v>0</v>
      </c>
      <c r="K813" s="37"/>
      <c r="L813" s="1533">
        <f t="shared" si="493"/>
        <v>11.91</v>
      </c>
      <c r="M813" s="35"/>
      <c r="N813" s="87"/>
      <c r="O813" s="35"/>
      <c r="P813" s="1265"/>
      <c r="Q813" s="666" t="s">
        <v>1807</v>
      </c>
      <c r="R813" s="785">
        <f>IFERROR(VLOOKUP($Q813,'391'!$S:$Z,8,0),"0")</f>
        <v>72.8</v>
      </c>
      <c r="S813" s="796"/>
      <c r="T813" s="797" t="str">
        <f>$Q$814&amp;C813&amp;E813</f>
        <v>SACOX 120 (Bulgaria)Feedmill46245</v>
      </c>
      <c r="U813" s="797"/>
      <c r="V813" s="797"/>
      <c r="W813" s="785">
        <f>IFERROR(VLOOKUP($Q813,'391'!$S:$AG,15,0),0)</f>
        <v>361.91</v>
      </c>
      <c r="X813" s="1090">
        <f t="shared" si="497"/>
        <v>-350</v>
      </c>
      <c r="Y813" s="785"/>
      <c r="Z813" s="785"/>
      <c r="AA813" s="797"/>
      <c r="AB813" s="797"/>
      <c r="AC813" s="681"/>
      <c r="AD813" s="681"/>
      <c r="AE813" s="681"/>
      <c r="AF813" s="681"/>
      <c r="AG813" s="681"/>
      <c r="AH813" s="681"/>
      <c r="AI813" s="703"/>
      <c r="AJ813" s="703"/>
      <c r="AK813" s="703"/>
      <c r="AL813" s="703"/>
      <c r="AM813" s="703"/>
      <c r="AN813" s="703"/>
      <c r="AO813" s="703"/>
      <c r="AP813" s="703"/>
      <c r="AQ813" s="703"/>
      <c r="AR813" s="703"/>
      <c r="AS813" s="703"/>
    </row>
    <row r="814" spans="1:45" s="265" customFormat="1" ht="30" customHeight="1" x14ac:dyDescent="0.25">
      <c r="A814" s="2019" t="s">
        <v>1342</v>
      </c>
      <c r="B814" s="2020"/>
      <c r="C814" s="88"/>
      <c r="D814" s="864"/>
      <c r="E814" s="864"/>
      <c r="F814" s="865"/>
      <c r="G814" s="1297">
        <f>+G813+G812+G811</f>
        <v>361.90999999999997</v>
      </c>
      <c r="H814" s="1297">
        <f t="shared" ref="H814:L814" si="503">+SUM(H809:H813)</f>
        <v>0</v>
      </c>
      <c r="I814" s="1297">
        <f t="shared" si="503"/>
        <v>0</v>
      </c>
      <c r="J814" s="1297">
        <f t="shared" si="503"/>
        <v>0</v>
      </c>
      <c r="K814" s="1297">
        <f t="shared" si="503"/>
        <v>0</v>
      </c>
      <c r="L814" s="1297">
        <f t="shared" si="503"/>
        <v>361.91</v>
      </c>
      <c r="M814" s="59">
        <f>IFERROR((S814/$S$2),"")</f>
        <v>12.133333333333333</v>
      </c>
      <c r="N814" s="854">
        <f>IFERROR(L814/M814,0)</f>
        <v>29.827747252747255</v>
      </c>
      <c r="O814" s="59">
        <f>IFERROR(SUMIF(ETM!$A:$A,$Q814,ETM!$E:$E),"")</f>
        <v>30.166666666666664</v>
      </c>
      <c r="P814" s="880">
        <f>IFERROR(L814/O814,0)</f>
        <v>11.997016574585636</v>
      </c>
      <c r="Q814" s="666" t="s">
        <v>1390</v>
      </c>
      <c r="R814" s="785" t="str">
        <f>IFERROR(VLOOKUP($Q814,'391'!$S:$Z,8,0),"0")</f>
        <v>0</v>
      </c>
      <c r="S814" s="819">
        <f>+R814+R813</f>
        <v>72.8</v>
      </c>
      <c r="T814" s="797"/>
      <c r="U814" s="797"/>
      <c r="V814" s="797"/>
      <c r="W814" s="785">
        <f>IFERROR(VLOOKUP($Q814,'391'!$S:$AG,15,0),0)</f>
        <v>0</v>
      </c>
      <c r="X814" s="1090">
        <f>G814-W814-W813</f>
        <v>0</v>
      </c>
      <c r="Y814" s="785"/>
      <c r="Z814" s="785"/>
      <c r="AA814" s="797"/>
      <c r="AB814" s="797"/>
      <c r="AC814" s="551"/>
      <c r="AD814" s="551"/>
      <c r="AE814" s="551"/>
      <c r="AF814" s="551"/>
      <c r="AG814" s="551"/>
      <c r="AH814" s="551"/>
      <c r="AI814" s="704"/>
      <c r="AJ814" s="704"/>
      <c r="AK814" s="704"/>
      <c r="AL814" s="704"/>
      <c r="AM814" s="704"/>
      <c r="AN814" s="704"/>
      <c r="AO814" s="704"/>
      <c r="AP814" s="704"/>
      <c r="AQ814" s="704"/>
      <c r="AR814" s="704"/>
      <c r="AS814" s="704"/>
    </row>
    <row r="815" spans="1:45" s="409" customFormat="1" ht="30" hidden="1" customHeight="1" x14ac:dyDescent="0.25">
      <c r="A815" s="2021">
        <f>IF(L820=0,"",MAX($A$16:A814)+1)</f>
        <v>49</v>
      </c>
      <c r="B815" s="2043" t="s">
        <v>1909</v>
      </c>
      <c r="C815" s="259"/>
      <c r="D815" s="866" t="s">
        <v>10</v>
      </c>
      <c r="E815" s="935">
        <v>45791</v>
      </c>
      <c r="F815" s="75">
        <f>$L$7-E815</f>
        <v>495</v>
      </c>
      <c r="G815" s="63">
        <v>0</v>
      </c>
      <c r="H815" s="63"/>
      <c r="I815" s="63"/>
      <c r="J815" s="1378"/>
      <c r="K815" s="64">
        <f>IFERROR(SUMIF(INTAKE!$A:$A,$T815,INTAKE!$P:$P),0)</f>
        <v>0</v>
      </c>
      <c r="L815" s="1702">
        <f>+G815+H815+I815-J815-K815</f>
        <v>0</v>
      </c>
      <c r="M815" s="50"/>
      <c r="N815" s="167"/>
      <c r="O815" s="50"/>
      <c r="P815" s="857"/>
      <c r="Q815" s="795"/>
      <c r="R815" s="785">
        <f>IFERROR(VLOOKUP($Q815,'391'!$S:$Z,8,0),"")</f>
        <v>0</v>
      </c>
      <c r="S815" s="796"/>
      <c r="T815" s="797" t="str">
        <f>$Q$820&amp;C815&amp;E815</f>
        <v>APA Enmy P45791</v>
      </c>
      <c r="U815" s="797"/>
      <c r="V815" s="797"/>
      <c r="W815" s="785">
        <f>IFERROR(VLOOKUP($Q815,'391'!$S:$AG,15,0),0)</f>
        <v>0</v>
      </c>
      <c r="X815" s="1090">
        <f t="shared" ref="X815:X835" si="504">G815-W815</f>
        <v>0</v>
      </c>
      <c r="Y815" s="785"/>
      <c r="Z815" s="785"/>
      <c r="AA815" s="797"/>
      <c r="AB815" s="797"/>
      <c r="AC815" s="681"/>
      <c r="AD815" s="681"/>
      <c r="AE815" s="681"/>
      <c r="AF815" s="681"/>
      <c r="AG815" s="681"/>
      <c r="AH815" s="681"/>
      <c r="AI815" s="703"/>
      <c r="AJ815" s="703"/>
      <c r="AK815" s="703"/>
      <c r="AL815" s="703"/>
      <c r="AM815" s="703"/>
      <c r="AN815" s="703"/>
      <c r="AO815" s="703"/>
      <c r="AP815" s="703"/>
      <c r="AQ815" s="703"/>
      <c r="AR815" s="703"/>
      <c r="AS815" s="703"/>
    </row>
    <row r="816" spans="1:45" s="409" customFormat="1" ht="30" hidden="1" customHeight="1" x14ac:dyDescent="0.25">
      <c r="A816" s="2022"/>
      <c r="B816" s="2065"/>
      <c r="C816" s="259"/>
      <c r="D816" s="866" t="s">
        <v>10</v>
      </c>
      <c r="E816" s="935">
        <v>45918</v>
      </c>
      <c r="F816" s="75">
        <f>$L$7-E816</f>
        <v>368</v>
      </c>
      <c r="G816" s="63">
        <v>0</v>
      </c>
      <c r="H816" s="63"/>
      <c r="I816" s="63"/>
      <c r="J816" s="1378"/>
      <c r="K816" s="64">
        <f>IFERROR(SUMIF(INTAKE!$A:$A,$T816,INTAKE!$P:$P),0)</f>
        <v>0</v>
      </c>
      <c r="L816" s="1702">
        <f>+G816+H816+I816-J816-K816</f>
        <v>0</v>
      </c>
      <c r="M816" s="48"/>
      <c r="N816" s="163"/>
      <c r="O816" s="48"/>
      <c r="P816" s="1268"/>
      <c r="Q816" s="795"/>
      <c r="R816" s="785">
        <f>IFERROR(VLOOKUP($Q816,'391'!$S:$Z,8,0),"")</f>
        <v>0</v>
      </c>
      <c r="S816" s="796"/>
      <c r="T816" s="797" t="str">
        <f>$Q$820&amp;C816&amp;E816</f>
        <v>APA Enmy P45918</v>
      </c>
      <c r="U816" s="797"/>
      <c r="V816" s="797"/>
      <c r="W816" s="785">
        <f>IFERROR(VLOOKUP($Q816,'391'!$S:$AG,15,0),0)</f>
        <v>0</v>
      </c>
      <c r="X816" s="1090">
        <f t="shared" si="504"/>
        <v>0</v>
      </c>
      <c r="Y816" s="785"/>
      <c r="Z816" s="785"/>
      <c r="AA816" s="797"/>
      <c r="AB816" s="797"/>
      <c r="AC816" s="681"/>
      <c r="AD816" s="681"/>
      <c r="AE816" s="681"/>
      <c r="AF816" s="681"/>
      <c r="AG816" s="681"/>
      <c r="AH816" s="681"/>
      <c r="AI816" s="703"/>
      <c r="AJ816" s="703"/>
      <c r="AK816" s="703"/>
      <c r="AL816" s="703"/>
      <c r="AM816" s="703"/>
      <c r="AN816" s="703"/>
      <c r="AO816" s="703"/>
      <c r="AP816" s="703"/>
      <c r="AQ816" s="703"/>
      <c r="AR816" s="703"/>
      <c r="AS816" s="703"/>
    </row>
    <row r="817" spans="1:45" s="409" customFormat="1" ht="30" customHeight="1" x14ac:dyDescent="0.25">
      <c r="A817" s="2022"/>
      <c r="B817" s="2065"/>
      <c r="C817" s="114" t="s">
        <v>1213</v>
      </c>
      <c r="D817" s="866" t="s">
        <v>10</v>
      </c>
      <c r="E817" s="935">
        <v>46098</v>
      </c>
      <c r="F817" s="75">
        <f>$L$7-E817</f>
        <v>188</v>
      </c>
      <c r="G817" s="63">
        <v>100</v>
      </c>
      <c r="H817" s="63"/>
      <c r="I817" s="63"/>
      <c r="J817" s="1378"/>
      <c r="K817" s="64">
        <f>IFERROR(SUMIF(INTAKE!$A:$A,$T817,INTAKE!$P:$P),0)</f>
        <v>0</v>
      </c>
      <c r="L817" s="1702">
        <f>+G817+H817+I817-J817-K817</f>
        <v>100</v>
      </c>
      <c r="M817" s="48"/>
      <c r="N817" s="163"/>
      <c r="O817" s="48"/>
      <c r="P817" s="883"/>
      <c r="Q817" s="795"/>
      <c r="R817" s="785">
        <f>IFERROR(VLOOKUP($Q817,'391'!$S:$Z,8,0),"")</f>
        <v>0</v>
      </c>
      <c r="S817" s="796"/>
      <c r="T817" s="797" t="str">
        <f>$Q$820&amp;C817&amp;E817</f>
        <v>APA Enmy PE346098</v>
      </c>
      <c r="U817" s="797"/>
      <c r="V817" s="797"/>
      <c r="W817" s="785">
        <f>IFERROR(VLOOKUP($Q817,'391'!$S:$AG,15,0),0)</f>
        <v>0</v>
      </c>
      <c r="X817" s="1090">
        <f t="shared" si="504"/>
        <v>100</v>
      </c>
      <c r="Y817" s="785"/>
      <c r="Z817" s="785"/>
      <c r="AA817" s="797"/>
      <c r="AB817" s="797"/>
      <c r="AC817" s="681"/>
      <c r="AD817" s="681"/>
      <c r="AE817" s="681"/>
      <c r="AF817" s="681"/>
      <c r="AG817" s="681"/>
      <c r="AH817" s="681"/>
      <c r="AI817" s="703"/>
      <c r="AJ817" s="703"/>
      <c r="AK817" s="703"/>
      <c r="AL817" s="703"/>
      <c r="AM817" s="703"/>
      <c r="AN817" s="703"/>
      <c r="AO817" s="703"/>
      <c r="AP817" s="703"/>
      <c r="AQ817" s="703"/>
      <c r="AR817" s="703"/>
      <c r="AS817" s="703"/>
    </row>
    <row r="818" spans="1:45" s="409" customFormat="1" ht="30" hidden="1" customHeight="1" x14ac:dyDescent="0.25">
      <c r="A818" s="2022"/>
      <c r="B818" s="2065"/>
      <c r="C818" s="114"/>
      <c r="D818" s="866" t="s">
        <v>10</v>
      </c>
      <c r="E818" s="935">
        <v>46098</v>
      </c>
      <c r="F818" s="75">
        <f>$L$7-E818</f>
        <v>188</v>
      </c>
      <c r="G818" s="63">
        <v>0</v>
      </c>
      <c r="H818" s="63"/>
      <c r="I818" s="63"/>
      <c r="J818" s="1378"/>
      <c r="K818" s="64">
        <f>IFERROR(SUMIF(INTAKE!$A:$A,$T818,INTAKE!$P:$P),0)</f>
        <v>0</v>
      </c>
      <c r="L818" s="1702">
        <f>+G818+H818+I818-J818-K818</f>
        <v>0</v>
      </c>
      <c r="M818" s="45"/>
      <c r="N818" s="162"/>
      <c r="O818" s="45"/>
      <c r="P818" s="857"/>
      <c r="Q818" s="795"/>
      <c r="R818" s="785">
        <f>IFERROR(VLOOKUP($Q818,'391'!$S:$Z,8,0),"")</f>
        <v>0</v>
      </c>
      <c r="S818" s="796"/>
      <c r="T818" s="797" t="str">
        <f>$Q$820&amp;C818&amp;E818</f>
        <v>APA Enmy P46098</v>
      </c>
      <c r="U818" s="797"/>
      <c r="V818" s="797"/>
      <c r="W818" s="785">
        <f>IFERROR(VLOOKUP($Q818,'391'!$S:$AG,15,0),0)</f>
        <v>0</v>
      </c>
      <c r="X818" s="1090">
        <f t="shared" si="504"/>
        <v>0</v>
      </c>
      <c r="Y818" s="785"/>
      <c r="Z818" s="785"/>
      <c r="AA818" s="797"/>
      <c r="AB818" s="797"/>
      <c r="AC818" s="681"/>
      <c r="AD818" s="681"/>
      <c r="AE818" s="681"/>
      <c r="AF818" s="681"/>
      <c r="AG818" s="681"/>
      <c r="AH818" s="681"/>
      <c r="AI818" s="703"/>
      <c r="AJ818" s="703"/>
      <c r="AK818" s="703"/>
      <c r="AL818" s="703"/>
      <c r="AM818" s="703"/>
      <c r="AN818" s="703"/>
      <c r="AO818" s="703"/>
      <c r="AP818" s="703"/>
      <c r="AQ818" s="703"/>
      <c r="AR818" s="703"/>
      <c r="AS818" s="703"/>
    </row>
    <row r="819" spans="1:45" s="401" customFormat="1" ht="30" customHeight="1" x14ac:dyDescent="0.25">
      <c r="A819" s="2022"/>
      <c r="B819" s="2044"/>
      <c r="C819" s="61" t="s">
        <v>46</v>
      </c>
      <c r="D819" s="863" t="s">
        <v>10</v>
      </c>
      <c r="E819" s="935">
        <v>46098</v>
      </c>
      <c r="F819" s="39">
        <f>$L$7-E819</f>
        <v>188</v>
      </c>
      <c r="G819" s="37">
        <v>15.639999999999997</v>
      </c>
      <c r="H819" s="37"/>
      <c r="I819" s="37">
        <f>+SUM(K815:K817)</f>
        <v>0</v>
      </c>
      <c r="J819" s="1385">
        <f>usage!I188</f>
        <v>0</v>
      </c>
      <c r="K819" s="37"/>
      <c r="L819" s="1533">
        <f>+G819+H819+I819-J819-K819</f>
        <v>15.639999999999997</v>
      </c>
      <c r="M819" s="35"/>
      <c r="N819" s="87"/>
      <c r="O819" s="35"/>
      <c r="P819" s="1265"/>
      <c r="Q819" s="795"/>
      <c r="R819" s="785">
        <f>IFERROR(VLOOKUP($Q819,'391'!$S:$Z,8,0),"")</f>
        <v>0</v>
      </c>
      <c r="S819" s="796"/>
      <c r="T819" s="797" t="str">
        <f>$Q$820&amp;C819&amp;E819</f>
        <v>APA Enmy PFeedmill46098</v>
      </c>
      <c r="U819" s="797"/>
      <c r="V819" s="797"/>
      <c r="W819" s="785">
        <f>IFERROR(VLOOKUP($Q819,'391'!$S:$AG,15,0),0)</f>
        <v>0</v>
      </c>
      <c r="X819" s="1090">
        <f t="shared" si="504"/>
        <v>15.639999999999997</v>
      </c>
      <c r="Y819" s="785"/>
      <c r="Z819" s="785"/>
      <c r="AA819" s="797"/>
      <c r="AB819" s="797"/>
      <c r="AC819" s="681"/>
      <c r="AD819" s="681"/>
      <c r="AE819" s="681"/>
      <c r="AF819" s="681"/>
      <c r="AG819" s="681"/>
      <c r="AH819" s="681"/>
      <c r="AI819" s="703"/>
      <c r="AJ819" s="703"/>
      <c r="AK819" s="703"/>
      <c r="AL819" s="703"/>
      <c r="AM819" s="703"/>
      <c r="AN819" s="703"/>
      <c r="AO819" s="703"/>
      <c r="AP819" s="703"/>
      <c r="AQ819" s="703"/>
      <c r="AR819" s="703"/>
      <c r="AS819" s="703"/>
    </row>
    <row r="820" spans="1:45" s="265" customFormat="1" ht="30" customHeight="1" x14ac:dyDescent="0.25">
      <c r="A820" s="2019" t="s">
        <v>1371</v>
      </c>
      <c r="B820" s="2020"/>
      <c r="C820" s="88"/>
      <c r="D820" s="864"/>
      <c r="E820" s="864"/>
      <c r="F820" s="865"/>
      <c r="G820" s="1297">
        <v>115.64</v>
      </c>
      <c r="H820" s="1297">
        <f t="shared" ref="H820:I820" si="505">+SUM(H815:H819)</f>
        <v>0</v>
      </c>
      <c r="I820" s="1297">
        <f t="shared" si="505"/>
        <v>0</v>
      </c>
      <c r="J820" s="1297">
        <f t="shared" ref="J820:L820" si="506">+SUM(J815:J819)</f>
        <v>0</v>
      </c>
      <c r="K820" s="1297">
        <f t="shared" si="506"/>
        <v>0</v>
      </c>
      <c r="L820" s="1297">
        <f t="shared" si="506"/>
        <v>115.64</v>
      </c>
      <c r="M820" s="59">
        <f>IFERROR((R820/$S$2),"")</f>
        <v>0</v>
      </c>
      <c r="N820" s="854">
        <f>IFERROR(L820/M820,0)</f>
        <v>0</v>
      </c>
      <c r="O820" s="59">
        <f>IFERROR(SUMIF(ETM!$A:$A,$Q820,ETM!$E:$E),"")</f>
        <v>0</v>
      </c>
      <c r="P820" s="880">
        <f>IFERROR(L820/O820,0)</f>
        <v>0</v>
      </c>
      <c r="Q820" s="795" t="s">
        <v>1370</v>
      </c>
      <c r="R820" s="785">
        <f>IFERROR(VLOOKUP($Q820,'391'!$S:$Z,8,0),"")</f>
        <v>0</v>
      </c>
      <c r="S820" s="796"/>
      <c r="T820" s="797"/>
      <c r="U820" s="797"/>
      <c r="V820" s="797"/>
      <c r="W820" s="785">
        <f>IFERROR(VLOOKUP($Q820,'391'!$S:$AG,15,0),0)</f>
        <v>115.64</v>
      </c>
      <c r="X820" s="1090">
        <f t="shared" si="504"/>
        <v>0</v>
      </c>
      <c r="Y820" s="785"/>
      <c r="Z820" s="785"/>
      <c r="AA820" s="797"/>
      <c r="AB820" s="797"/>
      <c r="AC820" s="551"/>
      <c r="AD820" s="551"/>
      <c r="AE820" s="551"/>
      <c r="AF820" s="551"/>
      <c r="AG820" s="551"/>
      <c r="AH820" s="551"/>
      <c r="AI820" s="704"/>
      <c r="AJ820" s="704"/>
      <c r="AK820" s="704"/>
      <c r="AL820" s="704"/>
      <c r="AM820" s="704"/>
      <c r="AN820" s="704"/>
      <c r="AO820" s="704"/>
      <c r="AP820" s="704"/>
      <c r="AQ820" s="704"/>
      <c r="AR820" s="704"/>
      <c r="AS820" s="704"/>
    </row>
    <row r="821" spans="1:45" s="409" customFormat="1" ht="30" hidden="1" customHeight="1" x14ac:dyDescent="0.25">
      <c r="A821" s="2021" t="str">
        <f>IF(L825=0,"",MAX($A$16:A820)+1)</f>
        <v/>
      </c>
      <c r="B821" s="2043" t="s">
        <v>1360</v>
      </c>
      <c r="C821" s="114"/>
      <c r="D821" s="866" t="s">
        <v>10</v>
      </c>
      <c r="E821" s="935">
        <v>45247</v>
      </c>
      <c r="F821" s="75">
        <f>$L$7-E821</f>
        <v>1039</v>
      </c>
      <c r="G821" s="63">
        <v>0</v>
      </c>
      <c r="H821" s="63"/>
      <c r="I821" s="63"/>
      <c r="J821" s="1378"/>
      <c r="K821" s="64">
        <f>IFERROR(SUMIF(INTAKE!$A:$A,$T821,INTAKE!$P:$P),0)</f>
        <v>0</v>
      </c>
      <c r="L821" s="1533">
        <f t="shared" ref="L821:L835" si="507">+G821+H821+I821-J821-K821</f>
        <v>0</v>
      </c>
      <c r="M821" s="50"/>
      <c r="N821" s="167"/>
      <c r="O821" s="50"/>
      <c r="P821" s="857"/>
      <c r="Q821" s="795"/>
      <c r="R821" s="785">
        <f>IFERROR(VLOOKUP($Q821,'391'!$S:$Z,8,0),"")</f>
        <v>0</v>
      </c>
      <c r="S821" s="796"/>
      <c r="T821" s="797" t="str">
        <f>$Q$825&amp;C821&amp;E821</f>
        <v>Lucantin Red 10% NXT (Germany)45247</v>
      </c>
      <c r="U821" s="797"/>
      <c r="V821" s="797"/>
      <c r="W821" s="785">
        <f>IFERROR(VLOOKUP($Q821,'391'!$S:$AG,15,0),0)</f>
        <v>0</v>
      </c>
      <c r="X821" s="1090">
        <f t="shared" si="504"/>
        <v>0</v>
      </c>
      <c r="Y821" s="785"/>
      <c r="Z821" s="785"/>
      <c r="AA821" s="797"/>
      <c r="AB821" s="797"/>
      <c r="AC821" s="681"/>
      <c r="AD821" s="681"/>
      <c r="AE821" s="681"/>
      <c r="AF821" s="681"/>
      <c r="AG821" s="681"/>
      <c r="AH821" s="681"/>
      <c r="AI821" s="703"/>
      <c r="AJ821" s="703"/>
      <c r="AK821" s="703"/>
      <c r="AL821" s="703"/>
      <c r="AM821" s="703"/>
      <c r="AN821" s="703"/>
      <c r="AO821" s="703"/>
      <c r="AP821" s="703"/>
      <c r="AQ821" s="703"/>
      <c r="AR821" s="703"/>
      <c r="AS821" s="703"/>
    </row>
    <row r="822" spans="1:45" s="409" customFormat="1" ht="30" hidden="1" customHeight="1" x14ac:dyDescent="0.25">
      <c r="A822" s="2022"/>
      <c r="B822" s="2065"/>
      <c r="C822" s="114"/>
      <c r="D822" s="866" t="s">
        <v>10</v>
      </c>
      <c r="E822" s="935">
        <v>45189</v>
      </c>
      <c r="F822" s="75">
        <f>$L$7-E822</f>
        <v>1097</v>
      </c>
      <c r="G822" s="63">
        <v>0</v>
      </c>
      <c r="H822" s="63"/>
      <c r="I822" s="63"/>
      <c r="J822" s="1378"/>
      <c r="K822" s="63"/>
      <c r="L822" s="1533">
        <f t="shared" si="507"/>
        <v>0</v>
      </c>
      <c r="M822" s="48"/>
      <c r="N822" s="163"/>
      <c r="O822" s="48"/>
      <c r="P822" s="883"/>
      <c r="Q822" s="795"/>
      <c r="R822" s="785">
        <f>IFERROR(VLOOKUP($Q822,'391'!$S:$Z,8,0),"")</f>
        <v>0</v>
      </c>
      <c r="S822" s="796"/>
      <c r="T822" s="797" t="str">
        <f>$Q$825&amp;C822&amp;E822</f>
        <v>Lucantin Red 10% NXT (Germany)45189</v>
      </c>
      <c r="U822" s="797"/>
      <c r="V822" s="797"/>
      <c r="W822" s="785">
        <f>IFERROR(VLOOKUP($Q822,'391'!$S:$AG,15,0),0)</f>
        <v>0</v>
      </c>
      <c r="X822" s="1090">
        <f t="shared" si="504"/>
        <v>0</v>
      </c>
      <c r="Y822" s="785"/>
      <c r="Z822" s="785"/>
      <c r="AA822" s="797"/>
      <c r="AB822" s="797"/>
      <c r="AC822" s="681"/>
      <c r="AD822" s="681"/>
      <c r="AE822" s="681"/>
      <c r="AF822" s="681"/>
      <c r="AG822" s="681"/>
      <c r="AH822" s="681"/>
      <c r="AI822" s="703"/>
      <c r="AJ822" s="703"/>
      <c r="AK822" s="703"/>
      <c r="AL822" s="703"/>
      <c r="AM822" s="703"/>
      <c r="AN822" s="703"/>
      <c r="AO822" s="703"/>
      <c r="AP822" s="703"/>
      <c r="AQ822" s="703"/>
      <c r="AR822" s="703"/>
      <c r="AS822" s="703"/>
    </row>
    <row r="823" spans="1:45" s="409" customFormat="1" ht="30" hidden="1" customHeight="1" x14ac:dyDescent="0.25">
      <c r="A823" s="2022"/>
      <c r="B823" s="2065"/>
      <c r="C823" s="114"/>
      <c r="D823" s="866" t="s">
        <v>10</v>
      </c>
      <c r="E823" s="935">
        <v>45189</v>
      </c>
      <c r="F823" s="75">
        <f>$L$7-E823</f>
        <v>1097</v>
      </c>
      <c r="G823" s="63">
        <v>0</v>
      </c>
      <c r="H823" s="63"/>
      <c r="I823" s="63"/>
      <c r="J823" s="1378"/>
      <c r="K823" s="63"/>
      <c r="L823" s="1533">
        <f t="shared" si="507"/>
        <v>0</v>
      </c>
      <c r="M823" s="45"/>
      <c r="N823" s="162"/>
      <c r="O823" s="45"/>
      <c r="P823" s="857"/>
      <c r="Q823" s="795"/>
      <c r="R823" s="785">
        <f>IFERROR(VLOOKUP($Q823,'391'!$S:$Z,8,0),"")</f>
        <v>0</v>
      </c>
      <c r="S823" s="796"/>
      <c r="T823" s="797" t="str">
        <f>$Q$825&amp;C823&amp;E823</f>
        <v>Lucantin Red 10% NXT (Germany)45189</v>
      </c>
      <c r="U823" s="797"/>
      <c r="V823" s="797"/>
      <c r="W823" s="785">
        <f>IFERROR(VLOOKUP($Q823,'391'!$S:$AG,15,0),0)</f>
        <v>0</v>
      </c>
      <c r="X823" s="1090">
        <f t="shared" si="504"/>
        <v>0</v>
      </c>
      <c r="Y823" s="785"/>
      <c r="Z823" s="785"/>
      <c r="AA823" s="797"/>
      <c r="AB823" s="797"/>
      <c r="AC823" s="681"/>
      <c r="AD823" s="681"/>
      <c r="AE823" s="681"/>
      <c r="AF823" s="681"/>
      <c r="AG823" s="681"/>
      <c r="AH823" s="681"/>
      <c r="AI823" s="703"/>
      <c r="AJ823" s="703"/>
      <c r="AK823" s="703"/>
      <c r="AL823" s="703"/>
      <c r="AM823" s="703"/>
      <c r="AN823" s="703"/>
      <c r="AO823" s="703"/>
      <c r="AP823" s="703"/>
      <c r="AQ823" s="703"/>
      <c r="AR823" s="703"/>
      <c r="AS823" s="703"/>
    </row>
    <row r="824" spans="1:45" s="401" customFormat="1" ht="30" hidden="1" customHeight="1" x14ac:dyDescent="0.25">
      <c r="A824" s="2022"/>
      <c r="B824" s="2044"/>
      <c r="C824" s="61" t="s">
        <v>46</v>
      </c>
      <c r="D824" s="863" t="s">
        <v>10</v>
      </c>
      <c r="E824" s="935">
        <v>45247</v>
      </c>
      <c r="F824" s="39">
        <f>$L$7-E824</f>
        <v>1039</v>
      </c>
      <c r="G824" s="37">
        <v>0</v>
      </c>
      <c r="H824" s="37"/>
      <c r="I824" s="37">
        <f>+SUM(K821:K821)</f>
        <v>0</v>
      </c>
      <c r="J824" s="1385"/>
      <c r="K824" s="37"/>
      <c r="L824" s="1533">
        <f t="shared" si="507"/>
        <v>0</v>
      </c>
      <c r="M824" s="35"/>
      <c r="N824" s="87"/>
      <c r="O824" s="35"/>
      <c r="P824" s="1265"/>
      <c r="Q824" s="795"/>
      <c r="R824" s="785">
        <f>IFERROR(VLOOKUP($Q824,'391'!$S:$Z,8,0),"")</f>
        <v>0</v>
      </c>
      <c r="S824" s="796"/>
      <c r="T824" s="797" t="str">
        <f>$Q$825&amp;C824&amp;E824</f>
        <v>Lucantin Red 10% NXT (Germany)Feedmill45247</v>
      </c>
      <c r="U824" s="797"/>
      <c r="V824" s="797"/>
      <c r="W824" s="785">
        <f>IFERROR(VLOOKUP($Q824,'391'!$S:$AG,15,0),0)</f>
        <v>0</v>
      </c>
      <c r="X824" s="1090">
        <f t="shared" si="504"/>
        <v>0</v>
      </c>
      <c r="Y824" s="785"/>
      <c r="Z824" s="785"/>
      <c r="AA824" s="797"/>
      <c r="AB824" s="797"/>
      <c r="AC824" s="681"/>
      <c r="AD824" s="681"/>
      <c r="AE824" s="681"/>
      <c r="AF824" s="681"/>
      <c r="AG824" s="681"/>
      <c r="AH824" s="681"/>
      <c r="AI824" s="703"/>
      <c r="AJ824" s="703"/>
      <c r="AK824" s="703"/>
      <c r="AL824" s="703"/>
      <c r="AM824" s="703"/>
      <c r="AN824" s="703"/>
      <c r="AO824" s="703"/>
      <c r="AP824" s="703"/>
      <c r="AQ824" s="703"/>
      <c r="AR824" s="703"/>
      <c r="AS824" s="703"/>
    </row>
    <row r="825" spans="1:45" s="265" customFormat="1" ht="30" hidden="1" customHeight="1" x14ac:dyDescent="0.25">
      <c r="A825" s="2019" t="s">
        <v>1362</v>
      </c>
      <c r="B825" s="2020"/>
      <c r="C825" s="88"/>
      <c r="D825" s="864"/>
      <c r="E825" s="864"/>
      <c r="F825" s="865"/>
      <c r="G825" s="1297">
        <v>0</v>
      </c>
      <c r="H825" s="1297">
        <f>+SUM(H821:H824)</f>
        <v>0</v>
      </c>
      <c r="I825" s="1297">
        <f>+SUM(I821:I824)</f>
        <v>0</v>
      </c>
      <c r="J825" s="1297">
        <f>+SUM(J821:J824)</f>
        <v>0</v>
      </c>
      <c r="K825" s="1297">
        <f>+SUM(K821:K824)</f>
        <v>0</v>
      </c>
      <c r="L825" s="1533">
        <f t="shared" si="507"/>
        <v>0</v>
      </c>
      <c r="M825" s="59" t="str">
        <f>IFERROR((R825/$S$2),"")</f>
        <v/>
      </c>
      <c r="N825" s="854">
        <f>IFERROR(L825/M825,0)</f>
        <v>0</v>
      </c>
      <c r="O825" s="59">
        <f>IFERROR(SUMIF(ETM!$A:$A,$Q825,ETM!$E:$E),"")</f>
        <v>13.5</v>
      </c>
      <c r="P825" s="880">
        <f>IFERROR(L825/O825,0)</f>
        <v>0</v>
      </c>
      <c r="Q825" s="795" t="s">
        <v>1361</v>
      </c>
      <c r="R825" s="785" t="str">
        <f>IFERROR(VLOOKUP($Q825,'391'!$S:$Z,8,0),"")</f>
        <v/>
      </c>
      <c r="S825" s="796"/>
      <c r="T825" s="797"/>
      <c r="U825" s="797"/>
      <c r="V825" s="797"/>
      <c r="W825" s="785">
        <f>IFERROR(VLOOKUP($Q825,'391'!$S:$AG,15,0),0)</f>
        <v>0</v>
      </c>
      <c r="X825" s="1090">
        <f t="shared" si="504"/>
        <v>0</v>
      </c>
      <c r="Y825" s="785"/>
      <c r="Z825" s="785"/>
      <c r="AA825" s="797"/>
      <c r="AB825" s="797"/>
      <c r="AC825" s="551"/>
      <c r="AD825" s="551"/>
      <c r="AE825" s="551"/>
      <c r="AF825" s="551"/>
      <c r="AG825" s="551"/>
      <c r="AH825" s="551"/>
      <c r="AI825" s="704"/>
      <c r="AJ825" s="704"/>
      <c r="AK825" s="704"/>
      <c r="AL825" s="704"/>
      <c r="AM825" s="704"/>
      <c r="AN825" s="704"/>
      <c r="AO825" s="704"/>
      <c r="AP825" s="704"/>
      <c r="AQ825" s="704"/>
      <c r="AR825" s="704"/>
      <c r="AS825" s="704"/>
    </row>
    <row r="826" spans="1:45" s="409" customFormat="1" ht="30" hidden="1" customHeight="1" x14ac:dyDescent="0.25">
      <c r="A826" s="2021" t="str">
        <f>IF(L830=0,"",MAX($A$16:A825)+1)</f>
        <v/>
      </c>
      <c r="B826" s="2043" t="s">
        <v>1758</v>
      </c>
      <c r="C826" s="114" t="s">
        <v>1177</v>
      </c>
      <c r="D826" s="866" t="s">
        <v>10</v>
      </c>
      <c r="E826" s="935">
        <v>46085</v>
      </c>
      <c r="F826" s="75">
        <f>$L$7-E826</f>
        <v>201</v>
      </c>
      <c r="G826" s="63">
        <v>0</v>
      </c>
      <c r="H826" s="63"/>
      <c r="I826" s="63"/>
      <c r="J826" s="1378"/>
      <c r="K826" s="64">
        <f>IFERROR(SUMIF(INTAKE!$A:$A,$T826,INTAKE!$P:$P),0)</f>
        <v>0</v>
      </c>
      <c r="L826" s="1702">
        <f t="shared" ref="L826:L830" si="508">+G826+H826+I826-J826-K826</f>
        <v>0</v>
      </c>
      <c r="M826" s="50"/>
      <c r="N826" s="167"/>
      <c r="O826" s="50"/>
      <c r="P826" s="857"/>
      <c r="Q826" s="795"/>
      <c r="R826" s="785">
        <f>IFERROR(VLOOKUP($Q826,'391'!$S:$Z,8,0),"")</f>
        <v>0</v>
      </c>
      <c r="S826" s="796"/>
      <c r="T826" s="797" t="str">
        <f>$Q$830&amp;C826&amp;E826</f>
        <v>Leader Red (Jiuzhou Red) (CN)D346085</v>
      </c>
      <c r="U826" s="797"/>
      <c r="V826" s="797"/>
      <c r="W826" s="785">
        <f>IFERROR(VLOOKUP($Q826,'391'!$S:$AG,15,0),0)</f>
        <v>0</v>
      </c>
      <c r="X826" s="1090">
        <f t="shared" ref="X826:X830" si="509">G826-W826</f>
        <v>0</v>
      </c>
      <c r="Y826" s="785"/>
      <c r="Z826" s="785"/>
      <c r="AA826" s="797"/>
      <c r="AB826" s="797"/>
      <c r="AC826" s="681"/>
      <c r="AD826" s="681"/>
      <c r="AE826" s="681"/>
      <c r="AF826" s="681"/>
      <c r="AG826" s="681"/>
      <c r="AH826" s="681"/>
      <c r="AI826" s="703"/>
      <c r="AJ826" s="703"/>
      <c r="AK826" s="703"/>
      <c r="AL826" s="703"/>
      <c r="AM826" s="703"/>
      <c r="AN826" s="703"/>
      <c r="AO826" s="703"/>
      <c r="AP826" s="703"/>
      <c r="AQ826" s="703"/>
      <c r="AR826" s="703"/>
      <c r="AS826" s="703"/>
    </row>
    <row r="827" spans="1:45" s="409" customFormat="1" ht="30" hidden="1" customHeight="1" x14ac:dyDescent="0.25">
      <c r="A827" s="2022"/>
      <c r="B827" s="2065"/>
      <c r="C827" s="114"/>
      <c r="D827" s="866" t="s">
        <v>10</v>
      </c>
      <c r="E827" s="935">
        <v>45189</v>
      </c>
      <c r="F827" s="75">
        <f>$L$7-E827</f>
        <v>1097</v>
      </c>
      <c r="G827" s="63">
        <v>0</v>
      </c>
      <c r="H827" s="63"/>
      <c r="I827" s="63"/>
      <c r="J827" s="1378"/>
      <c r="K827" s="63"/>
      <c r="L827" s="1533">
        <f t="shared" si="508"/>
        <v>0</v>
      </c>
      <c r="M827" s="48"/>
      <c r="N827" s="163"/>
      <c r="O827" s="48"/>
      <c r="P827" s="883"/>
      <c r="Q827" s="795"/>
      <c r="R827" s="785">
        <f>IFERROR(VLOOKUP($Q827,'391'!$S:$Z,8,0),"")</f>
        <v>0</v>
      </c>
      <c r="S827" s="796"/>
      <c r="T827" s="797" t="str">
        <f t="shared" ref="T827:T829" si="510">$Q$830&amp;C827&amp;E827</f>
        <v>Leader Red (Jiuzhou Red) (CN)45189</v>
      </c>
      <c r="U827" s="797"/>
      <c r="V827" s="797"/>
      <c r="W827" s="785">
        <f>IFERROR(VLOOKUP($Q827,'391'!$S:$AG,15,0),0)</f>
        <v>0</v>
      </c>
      <c r="X827" s="1090">
        <f t="shared" si="509"/>
        <v>0</v>
      </c>
      <c r="Y827" s="785"/>
      <c r="Z827" s="785"/>
      <c r="AA827" s="797"/>
      <c r="AB827" s="797"/>
      <c r="AC827" s="681"/>
      <c r="AD827" s="681"/>
      <c r="AE827" s="681"/>
      <c r="AF827" s="681"/>
      <c r="AG827" s="681"/>
      <c r="AH827" s="681"/>
      <c r="AI827" s="703"/>
      <c r="AJ827" s="703"/>
      <c r="AK827" s="703"/>
      <c r="AL827" s="703"/>
      <c r="AM827" s="703"/>
      <c r="AN827" s="703"/>
      <c r="AO827" s="703"/>
      <c r="AP827" s="703"/>
      <c r="AQ827" s="703"/>
      <c r="AR827" s="703"/>
      <c r="AS827" s="703"/>
    </row>
    <row r="828" spans="1:45" s="409" customFormat="1" ht="30" hidden="1" customHeight="1" x14ac:dyDescent="0.25">
      <c r="A828" s="2022"/>
      <c r="B828" s="2065"/>
      <c r="C828" s="114"/>
      <c r="D828" s="866" t="s">
        <v>10</v>
      </c>
      <c r="E828" s="935">
        <v>45189</v>
      </c>
      <c r="F828" s="75">
        <f>$L$7-E828</f>
        <v>1097</v>
      </c>
      <c r="G828" s="63">
        <v>0</v>
      </c>
      <c r="H828" s="63"/>
      <c r="I828" s="63"/>
      <c r="J828" s="1378"/>
      <c r="K828" s="63"/>
      <c r="L828" s="1533">
        <f t="shared" si="508"/>
        <v>0</v>
      </c>
      <c r="M828" s="45"/>
      <c r="N828" s="162"/>
      <c r="O828" s="45"/>
      <c r="P828" s="857"/>
      <c r="Q828" s="795"/>
      <c r="R828" s="785">
        <f>IFERROR(VLOOKUP($Q828,'391'!$S:$Z,8,0),"")</f>
        <v>0</v>
      </c>
      <c r="S828" s="796"/>
      <c r="T828" s="797" t="str">
        <f t="shared" si="510"/>
        <v>Leader Red (Jiuzhou Red) (CN)45189</v>
      </c>
      <c r="U828" s="797"/>
      <c r="V828" s="797"/>
      <c r="W828" s="785">
        <f>IFERROR(VLOOKUP($Q828,'391'!$S:$AG,15,0),0)</f>
        <v>0</v>
      </c>
      <c r="X828" s="1090">
        <f t="shared" si="509"/>
        <v>0</v>
      </c>
      <c r="Y828" s="785"/>
      <c r="Z828" s="785"/>
      <c r="AA828" s="797"/>
      <c r="AB828" s="797"/>
      <c r="AC828" s="681"/>
      <c r="AD828" s="681"/>
      <c r="AE828" s="681"/>
      <c r="AF828" s="681"/>
      <c r="AG828" s="681"/>
      <c r="AH828" s="681"/>
      <c r="AI828" s="703"/>
      <c r="AJ828" s="703"/>
      <c r="AK828" s="703"/>
      <c r="AL828" s="703"/>
      <c r="AM828" s="703"/>
      <c r="AN828" s="703"/>
      <c r="AO828" s="703"/>
      <c r="AP828" s="703"/>
      <c r="AQ828" s="703"/>
      <c r="AR828" s="703"/>
      <c r="AS828" s="703"/>
    </row>
    <row r="829" spans="1:45" s="401" customFormat="1" ht="30" hidden="1" customHeight="1" x14ac:dyDescent="0.25">
      <c r="A829" s="2022"/>
      <c r="B829" s="2044"/>
      <c r="C829" s="61" t="s">
        <v>46</v>
      </c>
      <c r="D829" s="863" t="s">
        <v>10</v>
      </c>
      <c r="E829" s="935">
        <v>46085</v>
      </c>
      <c r="F829" s="39">
        <f>$L$7-E829</f>
        <v>201</v>
      </c>
      <c r="G829" s="37">
        <v>0</v>
      </c>
      <c r="H829" s="37"/>
      <c r="I829" s="37">
        <f>+SUM(K826:K826)</f>
        <v>0</v>
      </c>
      <c r="J829" s="1385"/>
      <c r="K829" s="37"/>
      <c r="L829" s="1533">
        <f t="shared" si="508"/>
        <v>0</v>
      </c>
      <c r="M829" s="35"/>
      <c r="N829" s="87"/>
      <c r="O829" s="35"/>
      <c r="P829" s="1265"/>
      <c r="Q829" s="795"/>
      <c r="R829" s="785">
        <f>IFERROR(VLOOKUP($Q829,'391'!$S:$Z,8,0),"")</f>
        <v>0</v>
      </c>
      <c r="S829" s="796"/>
      <c r="T829" s="797" t="str">
        <f t="shared" si="510"/>
        <v>Leader Red (Jiuzhou Red) (CN)Feedmill46085</v>
      </c>
      <c r="U829" s="797"/>
      <c r="V829" s="797"/>
      <c r="W829" s="785">
        <f>IFERROR(VLOOKUP($Q829,'391'!$S:$AG,15,0),0)</f>
        <v>0</v>
      </c>
      <c r="X829" s="1090">
        <f t="shared" si="509"/>
        <v>0</v>
      </c>
      <c r="Y829" s="785"/>
      <c r="Z829" s="785"/>
      <c r="AA829" s="797"/>
      <c r="AB829" s="797"/>
      <c r="AC829" s="681"/>
      <c r="AD829" s="681"/>
      <c r="AE829" s="681"/>
      <c r="AF829" s="681"/>
      <c r="AG829" s="681"/>
      <c r="AH829" s="681"/>
      <c r="AI829" s="703"/>
      <c r="AJ829" s="703"/>
      <c r="AK829" s="703"/>
      <c r="AL829" s="703"/>
      <c r="AM829" s="703"/>
      <c r="AN829" s="703"/>
      <c r="AO829" s="703"/>
      <c r="AP829" s="703"/>
      <c r="AQ829" s="703"/>
      <c r="AR829" s="703"/>
      <c r="AS829" s="703"/>
    </row>
    <row r="830" spans="1:45" s="265" customFormat="1" ht="30" hidden="1" customHeight="1" x14ac:dyDescent="0.25">
      <c r="A830" s="2019" t="s">
        <v>1759</v>
      </c>
      <c r="B830" s="2020"/>
      <c r="C830" s="88"/>
      <c r="D830" s="864"/>
      <c r="E830" s="864"/>
      <c r="F830" s="865"/>
      <c r="G830" s="1297">
        <v>0</v>
      </c>
      <c r="H830" s="1297">
        <f>+SUM(H826:H829)</f>
        <v>0</v>
      </c>
      <c r="I830" s="1297">
        <f>+SUM(I826:I829)</f>
        <v>0</v>
      </c>
      <c r="J830" s="1297">
        <f>+SUM(J826:J829)</f>
        <v>0</v>
      </c>
      <c r="K830" s="1297">
        <f>+SUM(K826:K829)</f>
        <v>0</v>
      </c>
      <c r="L830" s="1297">
        <f t="shared" si="508"/>
        <v>0</v>
      </c>
      <c r="M830" s="59" t="str">
        <f>IFERROR((R830/$S$2),"")</f>
        <v/>
      </c>
      <c r="N830" s="854">
        <f>IFERROR(L830/M830,0)</f>
        <v>0</v>
      </c>
      <c r="O830" s="59">
        <f>IFERROR(SUMIF(ETM!$A:$A,$Q830,ETM!$E:$E),"")</f>
        <v>0</v>
      </c>
      <c r="P830" s="880">
        <f>IFERROR(L830/O830,0)</f>
        <v>0</v>
      </c>
      <c r="Q830" s="795" t="s">
        <v>1758</v>
      </c>
      <c r="R830" s="785" t="str">
        <f>IFERROR(VLOOKUP($Q830,'391'!$S:$Z,8,0),"")</f>
        <v/>
      </c>
      <c r="S830" s="796"/>
      <c r="T830" s="797"/>
      <c r="U830" s="797"/>
      <c r="V830" s="797"/>
      <c r="W830" s="785">
        <f>IFERROR(VLOOKUP($Q830,'391'!$S:$AG,15,0),0)</f>
        <v>0</v>
      </c>
      <c r="X830" s="1090">
        <f t="shared" si="509"/>
        <v>0</v>
      </c>
      <c r="Y830" s="785"/>
      <c r="Z830" s="785"/>
      <c r="AA830" s="797"/>
      <c r="AB830" s="797"/>
      <c r="AC830" s="551"/>
      <c r="AD830" s="551"/>
      <c r="AE830" s="551"/>
      <c r="AF830" s="551"/>
      <c r="AG830" s="551"/>
      <c r="AH830" s="551"/>
      <c r="AI830" s="704"/>
      <c r="AJ830" s="704"/>
      <c r="AK830" s="704"/>
      <c r="AL830" s="704"/>
      <c r="AM830" s="704"/>
      <c r="AN830" s="704"/>
      <c r="AO830" s="704"/>
      <c r="AP830" s="704"/>
      <c r="AQ830" s="704"/>
      <c r="AR830" s="704"/>
      <c r="AS830" s="704"/>
    </row>
    <row r="831" spans="1:45" s="409" customFormat="1" ht="30" hidden="1" customHeight="1" x14ac:dyDescent="0.25">
      <c r="A831" s="2021">
        <f>IF(L836=0,"",MAX($A$16:A830)+1)</f>
        <v>50</v>
      </c>
      <c r="B831" s="2090" t="s">
        <v>1908</v>
      </c>
      <c r="C831" s="114"/>
      <c r="D831" s="866" t="s">
        <v>10</v>
      </c>
      <c r="E831" s="935">
        <v>45835</v>
      </c>
      <c r="F831" s="75">
        <f>$L$7-E831</f>
        <v>451</v>
      </c>
      <c r="G831" s="63">
        <v>0</v>
      </c>
      <c r="H831" s="63"/>
      <c r="I831" s="63"/>
      <c r="J831" s="1378"/>
      <c r="K831" s="64">
        <f>IFERROR(SUMIF(INTAKE!$A:$A,$T831,INTAKE!$P:$P),0)</f>
        <v>0</v>
      </c>
      <c r="L831" s="1702">
        <f t="shared" si="507"/>
        <v>0</v>
      </c>
      <c r="M831" s="50"/>
      <c r="N831" s="167"/>
      <c r="O831" s="50"/>
      <c r="P831" s="857"/>
      <c r="Q831" s="795"/>
      <c r="R831" s="785">
        <f>IFERROR(VLOOKUP($Q831,'391'!$S:$Z,8,0),"")</f>
        <v>0</v>
      </c>
      <c r="S831" s="796"/>
      <c r="T831" s="797" t="str">
        <f>$Q$835&amp;C831&amp;E831</f>
        <v>Canthaxanthin10%(ESSENTIONRed)CWS (CN)45835</v>
      </c>
      <c r="U831" s="797"/>
      <c r="V831" s="797"/>
      <c r="W831" s="785">
        <f>IFERROR(VLOOKUP($Q831,'391'!$S:$AG,15,0),0)</f>
        <v>0</v>
      </c>
      <c r="X831" s="1090">
        <f t="shared" si="504"/>
        <v>0</v>
      </c>
      <c r="Y831" s="785"/>
      <c r="Z831" s="785"/>
      <c r="AA831" s="797"/>
      <c r="AB831" s="797"/>
      <c r="AC831" s="681"/>
      <c r="AD831" s="681"/>
      <c r="AE831" s="681"/>
      <c r="AF831" s="681"/>
      <c r="AG831" s="681"/>
      <c r="AH831" s="681"/>
      <c r="AI831" s="703"/>
      <c r="AJ831" s="703"/>
      <c r="AK831" s="703"/>
      <c r="AL831" s="703"/>
      <c r="AM831" s="703"/>
      <c r="AN831" s="703"/>
      <c r="AO831" s="703"/>
      <c r="AP831" s="703"/>
      <c r="AQ831" s="703"/>
      <c r="AR831" s="703"/>
      <c r="AS831" s="703"/>
    </row>
    <row r="832" spans="1:45" s="409" customFormat="1" ht="30" customHeight="1" x14ac:dyDescent="0.25">
      <c r="A832" s="2022"/>
      <c r="B832" s="2091"/>
      <c r="C832" s="114" t="s">
        <v>1868</v>
      </c>
      <c r="D832" s="866" t="s">
        <v>10</v>
      </c>
      <c r="E832" s="935">
        <v>46262</v>
      </c>
      <c r="F832" s="75">
        <f>$L$7-E832</f>
        <v>24</v>
      </c>
      <c r="G832" s="63">
        <v>140</v>
      </c>
      <c r="H832" s="63"/>
      <c r="I832" s="63"/>
      <c r="J832" s="1378"/>
      <c r="K832" s="64">
        <f>IFERROR(SUMIF(INTAKE!$A:$A,$T832,INTAKE!$P:$P),0)</f>
        <v>0</v>
      </c>
      <c r="L832" s="1702">
        <f t="shared" si="507"/>
        <v>140</v>
      </c>
      <c r="M832" s="48"/>
      <c r="N832" s="163"/>
      <c r="O832" s="48"/>
      <c r="P832" s="1268"/>
      <c r="Q832" s="795"/>
      <c r="R832" s="785">
        <f>IFERROR(VLOOKUP($Q832,'391'!$S:$Z,8,0),"")</f>
        <v>0</v>
      </c>
      <c r="S832" s="796"/>
      <c r="T832" s="797" t="str">
        <f>$Q$835&amp;C832&amp;E832</f>
        <v>Canthaxanthin10%(ESSENTIONRed)CWS (CN)D246262</v>
      </c>
      <c r="U832" s="797"/>
      <c r="V832" s="797"/>
      <c r="W832" s="785">
        <f>IFERROR(VLOOKUP($Q832,'391'!$S:$AG,15,0),0)</f>
        <v>0</v>
      </c>
      <c r="X832" s="1090">
        <f t="shared" si="504"/>
        <v>140</v>
      </c>
      <c r="Y832" s="785"/>
      <c r="Z832" s="785"/>
      <c r="AA832" s="797"/>
      <c r="AB832" s="797"/>
      <c r="AC832" s="681"/>
      <c r="AD832" s="681"/>
      <c r="AE832" s="681"/>
      <c r="AF832" s="681"/>
      <c r="AG832" s="681"/>
      <c r="AH832" s="681"/>
      <c r="AI832" s="703"/>
      <c r="AJ832" s="703"/>
      <c r="AK832" s="703"/>
      <c r="AL832" s="703"/>
      <c r="AM832" s="703"/>
      <c r="AN832" s="703"/>
      <c r="AO832" s="703"/>
      <c r="AP832" s="703"/>
      <c r="AQ832" s="703"/>
      <c r="AR832" s="703"/>
      <c r="AS832" s="703"/>
    </row>
    <row r="833" spans="1:45" s="409" customFormat="1" ht="30" customHeight="1" x14ac:dyDescent="0.25">
      <c r="A833" s="2022"/>
      <c r="B833" s="2091"/>
      <c r="C833" s="114" t="s">
        <v>1868</v>
      </c>
      <c r="D833" s="866" t="s">
        <v>10</v>
      </c>
      <c r="E833" s="935">
        <v>46275</v>
      </c>
      <c r="F833" s="75">
        <f>$L$7-E833</f>
        <v>11</v>
      </c>
      <c r="G833" s="63">
        <v>100</v>
      </c>
      <c r="H833" s="63"/>
      <c r="I833" s="63"/>
      <c r="J833" s="1378"/>
      <c r="K833" s="64">
        <f>IFERROR(SUMIF(INTAKE!$A:$A,$T833,INTAKE!$P:$P),0)</f>
        <v>0</v>
      </c>
      <c r="L833" s="1702">
        <f t="shared" si="507"/>
        <v>100</v>
      </c>
      <c r="M833" s="48"/>
      <c r="N833" s="163"/>
      <c r="O833" s="48"/>
      <c r="P833" s="883"/>
      <c r="Q833" s="795"/>
      <c r="R833" s="785">
        <f>IFERROR(VLOOKUP($Q833,'391'!$S:$Z,8,0),"")</f>
        <v>0</v>
      </c>
      <c r="S833" s="796"/>
      <c r="T833" s="797" t="str">
        <f>$Q$835&amp;C833&amp;E833</f>
        <v>Canthaxanthin10%(ESSENTIONRed)CWS (CN)D246275</v>
      </c>
      <c r="U833" s="797"/>
      <c r="V833" s="797"/>
      <c r="W833" s="785">
        <f>IFERROR(VLOOKUP($Q833,'391'!$S:$AG,15,0),0)</f>
        <v>0</v>
      </c>
      <c r="X833" s="1090">
        <f t="shared" si="504"/>
        <v>100</v>
      </c>
      <c r="Y833" s="785"/>
      <c r="Z833" s="785"/>
      <c r="AA833" s="797"/>
      <c r="AB833" s="797"/>
      <c r="AC833" s="681"/>
      <c r="AD833" s="681"/>
      <c r="AE833" s="681"/>
      <c r="AF833" s="681"/>
      <c r="AG833" s="681"/>
      <c r="AH833" s="681"/>
      <c r="AI833" s="703"/>
      <c r="AJ833" s="703"/>
      <c r="AK833" s="703"/>
      <c r="AL833" s="703"/>
      <c r="AM833" s="703"/>
      <c r="AN833" s="703"/>
      <c r="AO833" s="703"/>
      <c r="AP833" s="703"/>
      <c r="AQ833" s="703"/>
      <c r="AR833" s="703"/>
      <c r="AS833" s="703"/>
    </row>
    <row r="834" spans="1:45" s="409" customFormat="1" ht="30" hidden="1" customHeight="1" x14ac:dyDescent="0.25">
      <c r="A834" s="2022"/>
      <c r="B834" s="2091"/>
      <c r="C834" s="114"/>
      <c r="D834" s="866" t="s">
        <v>10</v>
      </c>
      <c r="E834" s="935">
        <v>46275</v>
      </c>
      <c r="F834" s="75">
        <f>$L$7-E834</f>
        <v>11</v>
      </c>
      <c r="G834" s="63">
        <v>0</v>
      </c>
      <c r="H834" s="63"/>
      <c r="I834" s="63"/>
      <c r="J834" s="1378"/>
      <c r="K834" s="64">
        <f>IFERROR(SUMIF(INTAKE!$A:$A,$T834,INTAKE!$P:$P),0)</f>
        <v>0</v>
      </c>
      <c r="L834" s="1702">
        <f t="shared" si="507"/>
        <v>0</v>
      </c>
      <c r="M834" s="45"/>
      <c r="N834" s="162"/>
      <c r="O834" s="45"/>
      <c r="P834" s="857"/>
      <c r="Q834" s="795"/>
      <c r="R834" s="785">
        <f>IFERROR(VLOOKUP($Q834,'391'!$S:$Z,8,0),"")</f>
        <v>0</v>
      </c>
      <c r="S834" s="796"/>
      <c r="T834" s="797" t="str">
        <f>$Q$835&amp;C834&amp;E834</f>
        <v>Canthaxanthin10%(ESSENTIONRed)CWS (CN)46275</v>
      </c>
      <c r="U834" s="797"/>
      <c r="V834" s="797"/>
      <c r="W834" s="785">
        <f>IFERROR(VLOOKUP($Q834,'391'!$S:$AG,15,0),0)</f>
        <v>0</v>
      </c>
      <c r="X834" s="1090">
        <f t="shared" si="504"/>
        <v>0</v>
      </c>
      <c r="Y834" s="785"/>
      <c r="Z834" s="785"/>
      <c r="AA834" s="797"/>
      <c r="AB834" s="797"/>
      <c r="AC834" s="681"/>
      <c r="AD834" s="681"/>
      <c r="AE834" s="681"/>
      <c r="AF834" s="681"/>
      <c r="AG834" s="681"/>
      <c r="AH834" s="681"/>
      <c r="AI834" s="703"/>
      <c r="AJ834" s="703"/>
      <c r="AK834" s="703"/>
      <c r="AL834" s="703"/>
      <c r="AM834" s="703"/>
      <c r="AN834" s="703"/>
      <c r="AO834" s="703"/>
      <c r="AP834" s="703"/>
      <c r="AQ834" s="703"/>
      <c r="AR834" s="703"/>
      <c r="AS834" s="703"/>
    </row>
    <row r="835" spans="1:45" s="401" customFormat="1" ht="30" customHeight="1" x14ac:dyDescent="0.25">
      <c r="A835" s="2022"/>
      <c r="B835" s="2093"/>
      <c r="C835" s="61" t="s">
        <v>46</v>
      </c>
      <c r="D835" s="863" t="s">
        <v>10</v>
      </c>
      <c r="E835" s="935">
        <v>46262</v>
      </c>
      <c r="F835" s="39">
        <f>$L$7-E835</f>
        <v>24</v>
      </c>
      <c r="G835" s="37">
        <v>47.20000000000001</v>
      </c>
      <c r="H835" s="37"/>
      <c r="I835" s="37">
        <f>+SUM(K831:K834)</f>
        <v>0</v>
      </c>
      <c r="J835" s="1385">
        <f>usage!I192</f>
        <v>27.3</v>
      </c>
      <c r="K835" s="37"/>
      <c r="L835" s="1533">
        <f t="shared" si="507"/>
        <v>19.900000000000009</v>
      </c>
      <c r="M835" s="35"/>
      <c r="N835" s="87"/>
      <c r="O835" s="35"/>
      <c r="P835" s="1265"/>
      <c r="Q835" s="666" t="s">
        <v>1418</v>
      </c>
      <c r="R835" s="785">
        <f>IFERROR(VLOOKUP($Q835,'391'!$S:$Z,8,0),"")</f>
        <v>68.460000000000008</v>
      </c>
      <c r="S835" s="796"/>
      <c r="T835" s="797" t="str">
        <f>$Q$836&amp;C835&amp;E835</f>
        <v>Canthaxanthin 10%FeedAdditive (China)Feedmill46262</v>
      </c>
      <c r="U835" s="797"/>
      <c r="V835" s="797"/>
      <c r="W835" s="785">
        <f>IFERROR(VLOOKUP($Q835,'391'!$S:$AG,15,0),0)</f>
        <v>287.2</v>
      </c>
      <c r="X835" s="1090">
        <f t="shared" si="504"/>
        <v>-239.99999999999997</v>
      </c>
      <c r="Y835" s="785"/>
      <c r="Z835" s="785"/>
      <c r="AA835" s="797"/>
      <c r="AB835" s="797"/>
      <c r="AC835" s="681"/>
      <c r="AD835" s="681"/>
      <c r="AE835" s="681"/>
      <c r="AF835" s="681"/>
      <c r="AG835" s="681"/>
      <c r="AH835" s="681"/>
      <c r="AI835" s="703"/>
      <c r="AJ835" s="703"/>
      <c r="AK835" s="703"/>
      <c r="AL835" s="703"/>
      <c r="AM835" s="703"/>
      <c r="AN835" s="703"/>
      <c r="AO835" s="703"/>
      <c r="AP835" s="703"/>
      <c r="AQ835" s="703"/>
      <c r="AR835" s="703"/>
      <c r="AS835" s="703"/>
    </row>
    <row r="836" spans="1:45" s="265" customFormat="1" ht="30" customHeight="1" x14ac:dyDescent="0.25">
      <c r="A836" s="2019" t="s">
        <v>1384</v>
      </c>
      <c r="B836" s="2020"/>
      <c r="C836" s="88"/>
      <c r="D836" s="864"/>
      <c r="E836" s="864"/>
      <c r="F836" s="865"/>
      <c r="G836" s="1297">
        <v>287.2</v>
      </c>
      <c r="H836" s="1297">
        <f t="shared" ref="H836:I836" si="511">+SUM(H831:H835)</f>
        <v>0</v>
      </c>
      <c r="I836" s="1297">
        <f t="shared" si="511"/>
        <v>0</v>
      </c>
      <c r="J836" s="1297">
        <f t="shared" ref="J836:L836" si="512">+SUM(J831:J835)</f>
        <v>27.3</v>
      </c>
      <c r="K836" s="1297">
        <f t="shared" si="512"/>
        <v>0</v>
      </c>
      <c r="L836" s="1297">
        <f t="shared" si="512"/>
        <v>259.90000000000003</v>
      </c>
      <c r="M836" s="59">
        <f>IFERROR((S836/$S$2),"")</f>
        <v>11.410000000000002</v>
      </c>
      <c r="N836" s="854">
        <f>IFERROR(L836/M836,0)</f>
        <v>22.77826468010517</v>
      </c>
      <c r="O836" s="59">
        <f>O825</f>
        <v>13.5</v>
      </c>
      <c r="P836" s="880">
        <f>IFERROR(L836/O836,0)</f>
        <v>19.251851851851853</v>
      </c>
      <c r="Q836" s="795" t="s">
        <v>1382</v>
      </c>
      <c r="R836" s="785" t="str">
        <f>IFERROR(VLOOKUP($Q836,'391'!$S:$Z,8,0),"0")</f>
        <v>0</v>
      </c>
      <c r="S836" s="1495">
        <f>+R835+R836</f>
        <v>68.460000000000008</v>
      </c>
      <c r="T836" s="797"/>
      <c r="U836" s="797"/>
      <c r="V836" s="797"/>
      <c r="W836" s="785">
        <f>IFERROR(VLOOKUP($Q836,'391'!$S:$AG,15,0),0)</f>
        <v>0</v>
      </c>
      <c r="X836" s="1090">
        <f>G836-W836-W835</f>
        <v>0</v>
      </c>
      <c r="Y836" s="785"/>
      <c r="Z836" s="785"/>
      <c r="AA836" s="797"/>
      <c r="AB836" s="797"/>
      <c r="AC836" s="551"/>
      <c r="AD836" s="551"/>
      <c r="AE836" s="551"/>
      <c r="AF836" s="551"/>
      <c r="AG836" s="551"/>
      <c r="AH836" s="551"/>
      <c r="AI836" s="704"/>
      <c r="AJ836" s="704"/>
      <c r="AK836" s="704"/>
      <c r="AL836" s="704"/>
      <c r="AM836" s="704"/>
      <c r="AN836" s="704"/>
      <c r="AO836" s="704"/>
      <c r="AP836" s="704"/>
      <c r="AQ836" s="704"/>
      <c r="AR836" s="704"/>
      <c r="AS836" s="704"/>
    </row>
    <row r="837" spans="1:45" s="400" customFormat="1" ht="30" customHeight="1" x14ac:dyDescent="0.25">
      <c r="A837" s="2021">
        <f>IF(L845=0,"",MAX($A$16:A836)+1)</f>
        <v>51</v>
      </c>
      <c r="B837" s="2043" t="s">
        <v>1122</v>
      </c>
      <c r="C837" s="160" t="s">
        <v>223</v>
      </c>
      <c r="D837" s="959" t="s">
        <v>10</v>
      </c>
      <c r="E837" s="933">
        <v>46274</v>
      </c>
      <c r="F837" s="74">
        <f t="shared" ref="F837:F839" si="513">$L$7-E837</f>
        <v>12</v>
      </c>
      <c r="G837" s="12">
        <v>1000</v>
      </c>
      <c r="H837" s="18"/>
      <c r="I837" s="18"/>
      <c r="J837" s="1338"/>
      <c r="K837" s="18">
        <f>IFERROR(SUMIF(INTAKE!$A:$A,$T837,INTAKE!$P:$P),0)</f>
        <v>0</v>
      </c>
      <c r="L837" s="1702">
        <f t="shared" ref="L837:L844" si="514">+G837+H837+I837-J837-K837</f>
        <v>1000</v>
      </c>
      <c r="M837" s="51"/>
      <c r="N837" s="920"/>
      <c r="O837" s="51"/>
      <c r="P837" s="1175"/>
      <c r="Q837" s="795"/>
      <c r="R837" s="785">
        <f>IFERROR(VLOOKUP($Q837,'391'!$S:$Z,8,0),"")</f>
        <v>0</v>
      </c>
      <c r="S837" s="796"/>
      <c r="T837" s="797" t="str">
        <f t="shared" ref="T837:T844" si="515">$Q$845&amp;C837&amp;E837</f>
        <v>M-Tox PlusZ1.246274</v>
      </c>
      <c r="U837" s="797"/>
      <c r="V837" s="797"/>
      <c r="W837" s="785">
        <f>IFERROR(VLOOKUP($Q837,'391'!$S:$AG,15,0),0)</f>
        <v>0</v>
      </c>
      <c r="X837" s="1090">
        <f t="shared" ref="X837:X869" si="516">G837-W837</f>
        <v>1000</v>
      </c>
      <c r="Y837" s="785"/>
      <c r="Z837" s="785"/>
      <c r="AA837" s="797"/>
      <c r="AB837" s="797"/>
      <c r="AC837" s="681"/>
      <c r="AD837" s="681"/>
      <c r="AE837" s="681"/>
      <c r="AF837" s="681"/>
      <c r="AG837" s="681"/>
      <c r="AH837" s="681"/>
      <c r="AI837" s="703"/>
      <c r="AJ837" s="703"/>
      <c r="AK837" s="703"/>
      <c r="AL837" s="703"/>
      <c r="AM837" s="703"/>
      <c r="AN837" s="703"/>
      <c r="AO837" s="703"/>
      <c r="AP837" s="703"/>
      <c r="AQ837" s="703"/>
      <c r="AR837" s="703"/>
      <c r="AS837" s="703"/>
    </row>
    <row r="838" spans="1:45" s="400" customFormat="1" ht="30" customHeight="1" x14ac:dyDescent="0.25">
      <c r="A838" s="2022"/>
      <c r="B838" s="2065"/>
      <c r="C838" s="160" t="s">
        <v>1930</v>
      </c>
      <c r="D838" s="959" t="s">
        <v>10</v>
      </c>
      <c r="E838" s="933">
        <v>46274</v>
      </c>
      <c r="F838" s="74">
        <f t="shared" si="513"/>
        <v>12</v>
      </c>
      <c r="G838" s="12">
        <v>1000</v>
      </c>
      <c r="H838" s="18"/>
      <c r="I838" s="18"/>
      <c r="J838" s="1338"/>
      <c r="K838" s="18">
        <f>IFERROR(SUMIF(INTAKE!$A:$A,$T838,INTAKE!$P:$P),0)</f>
        <v>0</v>
      </c>
      <c r="L838" s="1702">
        <f>+G838+H838+I838-J838-K838</f>
        <v>1000</v>
      </c>
      <c r="M838" s="48"/>
      <c r="N838" s="163"/>
      <c r="O838" s="48"/>
      <c r="P838" s="857"/>
      <c r="Q838" s="795"/>
      <c r="R838" s="785">
        <f>IFERROR(VLOOKUP($Q838,'391'!$S:$Z,8,0),"")</f>
        <v>0</v>
      </c>
      <c r="S838" s="796"/>
      <c r="T838" s="797" t="str">
        <f t="shared" si="515"/>
        <v>M-Tox PlusZ2.346274</v>
      </c>
      <c r="U838" s="797"/>
      <c r="V838" s="797"/>
      <c r="W838" s="785">
        <f>IFERROR(VLOOKUP($Q838,'391'!$S:$AG,15,0),0)</f>
        <v>0</v>
      </c>
      <c r="X838" s="1090">
        <f t="shared" si="516"/>
        <v>1000</v>
      </c>
      <c r="Y838" s="785"/>
      <c r="Z838" s="785"/>
      <c r="AA838" s="797"/>
      <c r="AB838" s="797"/>
      <c r="AC838" s="681"/>
      <c r="AD838" s="681"/>
      <c r="AE838" s="681"/>
      <c r="AF838" s="681"/>
      <c r="AG838" s="681"/>
      <c r="AH838" s="681"/>
      <c r="AI838" s="703"/>
      <c r="AJ838" s="703"/>
      <c r="AK838" s="703"/>
      <c r="AL838" s="703"/>
      <c r="AM838" s="703"/>
      <c r="AN838" s="703"/>
      <c r="AO838" s="703"/>
      <c r="AP838" s="703"/>
      <c r="AQ838" s="703"/>
      <c r="AR838" s="703"/>
      <c r="AS838" s="703"/>
    </row>
    <row r="839" spans="1:45" s="400" customFormat="1" ht="30" customHeight="1" x14ac:dyDescent="0.25">
      <c r="A839" s="2022"/>
      <c r="B839" s="2065"/>
      <c r="C839" s="160" t="s">
        <v>1914</v>
      </c>
      <c r="D839" s="959" t="s">
        <v>10</v>
      </c>
      <c r="E839" s="933">
        <v>46274</v>
      </c>
      <c r="F839" s="74">
        <f t="shared" si="513"/>
        <v>12</v>
      </c>
      <c r="G839" s="12">
        <v>1000</v>
      </c>
      <c r="H839" s="18"/>
      <c r="I839" s="18"/>
      <c r="J839" s="1338"/>
      <c r="K839" s="18">
        <f>IFERROR(SUMIF(INTAKE!$A:$A,$T839,INTAKE!$P:$P),0)</f>
        <v>0</v>
      </c>
      <c r="L839" s="1702">
        <f>+G839+H839+I839-J839-K839</f>
        <v>1000</v>
      </c>
      <c r="M839" s="45"/>
      <c r="N839" s="162"/>
      <c r="O839" s="45"/>
      <c r="P839" s="736"/>
      <c r="Q839" s="795"/>
      <c r="R839" s="785">
        <f>IFERROR(VLOOKUP($Q839,'391'!$S:$Z,8,0),"")</f>
        <v>0</v>
      </c>
      <c r="S839" s="796"/>
      <c r="T839" s="797" t="str">
        <f t="shared" si="515"/>
        <v>M-Tox PlusZ3.346274</v>
      </c>
      <c r="U839" s="797"/>
      <c r="V839" s="797"/>
      <c r="W839" s="785">
        <f>IFERROR(VLOOKUP($Q839,'391'!$S:$AG,15,0),0)</f>
        <v>0</v>
      </c>
      <c r="X839" s="1090">
        <f t="shared" si="516"/>
        <v>1000</v>
      </c>
      <c r="Y839" s="785"/>
      <c r="Z839" s="785"/>
      <c r="AA839" s="797"/>
      <c r="AB839" s="797"/>
      <c r="AC839" s="681"/>
      <c r="AD839" s="681"/>
      <c r="AE839" s="681"/>
      <c r="AF839" s="681"/>
      <c r="AG839" s="681"/>
      <c r="AH839" s="681"/>
      <c r="AI839" s="703"/>
      <c r="AJ839" s="703"/>
      <c r="AK839" s="703"/>
      <c r="AL839" s="703"/>
      <c r="AM839" s="703"/>
      <c r="AN839" s="703"/>
      <c r="AO839" s="703"/>
      <c r="AP839" s="703"/>
      <c r="AQ839" s="703"/>
      <c r="AR839" s="703"/>
      <c r="AS839" s="703"/>
    </row>
    <row r="840" spans="1:45" s="400" customFormat="1" ht="30" hidden="1" customHeight="1" x14ac:dyDescent="0.25">
      <c r="A840" s="2022"/>
      <c r="B840" s="2065"/>
      <c r="C840" s="160"/>
      <c r="D840" s="959" t="s">
        <v>10</v>
      </c>
      <c r="E840" s="933">
        <v>46274</v>
      </c>
      <c r="F840" s="74">
        <f t="shared" ref="F840" si="517">$L$7-E840</f>
        <v>12</v>
      </c>
      <c r="G840" s="12">
        <v>0</v>
      </c>
      <c r="H840" s="18"/>
      <c r="I840" s="18"/>
      <c r="J840" s="1338"/>
      <c r="K840" s="18">
        <f>IFERROR(SUMIF(INTAKE!$A:$A,$T840,INTAKE!$P:$P),0)</f>
        <v>0</v>
      </c>
      <c r="L840" s="1702">
        <f t="shared" si="514"/>
        <v>0</v>
      </c>
      <c r="M840" s="45"/>
      <c r="N840" s="162"/>
      <c r="O840" s="45"/>
      <c r="P840" s="736"/>
      <c r="Q840" s="795"/>
      <c r="R840" s="785">
        <f>IFERROR(VLOOKUP($Q840,'391'!$S:$Z,8,0),"")</f>
        <v>0</v>
      </c>
      <c r="S840" s="796"/>
      <c r="T840" s="797" t="str">
        <f t="shared" si="515"/>
        <v>M-Tox Plus46274</v>
      </c>
      <c r="U840" s="797"/>
      <c r="V840" s="797"/>
      <c r="W840" s="785">
        <f>IFERROR(VLOOKUP($Q840,'391'!$S:$AG,15,0),0)</f>
        <v>0</v>
      </c>
      <c r="X840" s="1090">
        <f t="shared" si="516"/>
        <v>0</v>
      </c>
      <c r="Y840" s="785"/>
      <c r="Z840" s="785"/>
      <c r="AA840" s="797"/>
      <c r="AB840" s="797"/>
      <c r="AC840" s="681"/>
      <c r="AD840" s="681"/>
      <c r="AE840" s="681"/>
      <c r="AF840" s="681"/>
      <c r="AG840" s="681"/>
      <c r="AH840" s="681"/>
      <c r="AI840" s="703"/>
      <c r="AJ840" s="703"/>
      <c r="AK840" s="703"/>
      <c r="AL840" s="703"/>
      <c r="AM840" s="703"/>
      <c r="AN840" s="703"/>
      <c r="AO840" s="703"/>
      <c r="AP840" s="703"/>
      <c r="AQ840" s="703"/>
      <c r="AR840" s="703"/>
      <c r="AS840" s="703"/>
    </row>
    <row r="841" spans="1:45" s="400" customFormat="1" ht="30" hidden="1" customHeight="1" x14ac:dyDescent="0.25">
      <c r="A841" s="2022"/>
      <c r="B841" s="2065"/>
      <c r="C841" s="160"/>
      <c r="D841" s="959" t="s">
        <v>10</v>
      </c>
      <c r="E841" s="933">
        <v>46274</v>
      </c>
      <c r="F841" s="74">
        <f t="shared" ref="F841" si="518">$L$7-E841</f>
        <v>12</v>
      </c>
      <c r="G841" s="12">
        <v>0</v>
      </c>
      <c r="H841" s="18"/>
      <c r="I841" s="18"/>
      <c r="J841" s="1338"/>
      <c r="K841" s="18">
        <f>IFERROR(SUMIF(INTAKE!$A:$A,$T841,INTAKE!$P:$P),0)</f>
        <v>0</v>
      </c>
      <c r="L841" s="1702">
        <f t="shared" si="514"/>
        <v>0</v>
      </c>
      <c r="M841" s="45"/>
      <c r="N841" s="162"/>
      <c r="O841" s="45"/>
      <c r="P841" s="736"/>
      <c r="Q841" s="795"/>
      <c r="R841" s="785">
        <f>IFERROR(VLOOKUP($Q841,'391'!$S:$Z,8,0),"")</f>
        <v>0</v>
      </c>
      <c r="S841" s="796"/>
      <c r="T841" s="797" t="str">
        <f t="shared" si="515"/>
        <v>M-Tox Plus46274</v>
      </c>
      <c r="U841" s="797"/>
      <c r="V841" s="797"/>
      <c r="W841" s="785">
        <f>IFERROR(VLOOKUP($Q841,'391'!$S:$AG,15,0),0)</f>
        <v>0</v>
      </c>
      <c r="X841" s="1090">
        <f t="shared" si="516"/>
        <v>0</v>
      </c>
      <c r="Y841" s="785"/>
      <c r="Z841" s="785"/>
      <c r="AA841" s="797"/>
      <c r="AB841" s="797"/>
      <c r="AC841" s="681"/>
      <c r="AD841" s="681"/>
      <c r="AE841" s="681"/>
      <c r="AF841" s="681"/>
      <c r="AG841" s="681"/>
      <c r="AH841" s="681"/>
      <c r="AI841" s="703"/>
      <c r="AJ841" s="703"/>
      <c r="AK841" s="703"/>
      <c r="AL841" s="703"/>
      <c r="AM841" s="703"/>
      <c r="AN841" s="703"/>
      <c r="AO841" s="703"/>
      <c r="AP841" s="703"/>
      <c r="AQ841" s="703"/>
      <c r="AR841" s="703"/>
      <c r="AS841" s="703"/>
    </row>
    <row r="842" spans="1:45" s="400" customFormat="1" ht="30" hidden="1" customHeight="1" x14ac:dyDescent="0.25">
      <c r="A842" s="2022"/>
      <c r="B842" s="2069"/>
      <c r="C842" s="160"/>
      <c r="D842" s="959" t="s">
        <v>10</v>
      </c>
      <c r="E842" s="933">
        <v>46204</v>
      </c>
      <c r="F842" s="74">
        <f t="shared" ref="F842" si="519">$L$7-E842</f>
        <v>82</v>
      </c>
      <c r="G842" s="12">
        <v>0</v>
      </c>
      <c r="H842" s="18"/>
      <c r="I842" s="12"/>
      <c r="J842" s="1368"/>
      <c r="K842" s="63">
        <f>IFERROR(SUMIF(INTAKE!$A:$A,$T842,INTAKE!$P:$P),0)</f>
        <v>0</v>
      </c>
      <c r="L842" s="1702">
        <f t="shared" ref="L842" si="520">+G842+H842+I842-J842-K842</f>
        <v>0</v>
      </c>
      <c r="M842" s="48"/>
      <c r="N842" s="162"/>
      <c r="O842" s="45"/>
      <c r="P842" s="736"/>
      <c r="Q842" s="795"/>
      <c r="R842" s="785">
        <f>IFERROR(VLOOKUP($Q842,'391'!$S:$Z,8,0),"")</f>
        <v>0</v>
      </c>
      <c r="S842" s="796"/>
      <c r="T842" s="797" t="str">
        <f t="shared" si="515"/>
        <v>M-Tox Plus46204</v>
      </c>
      <c r="U842" s="797"/>
      <c r="V842" s="797"/>
      <c r="W842" s="785">
        <f>IFERROR(VLOOKUP($Q842,'391'!$S:$AG,15,0),0)</f>
        <v>0</v>
      </c>
      <c r="X842" s="1090">
        <f t="shared" ref="X842" si="521">G842-W842</f>
        <v>0</v>
      </c>
      <c r="Y842" s="785"/>
      <c r="Z842" s="785"/>
      <c r="AA842" s="797"/>
      <c r="AB842" s="797"/>
      <c r="AC842" s="681"/>
      <c r="AD842" s="681"/>
      <c r="AE842" s="681"/>
      <c r="AF842" s="681"/>
      <c r="AG842" s="681"/>
      <c r="AH842" s="681"/>
      <c r="AI842" s="703"/>
      <c r="AJ842" s="703"/>
      <c r="AK842" s="703"/>
      <c r="AL842" s="703"/>
      <c r="AM842" s="703"/>
      <c r="AN842" s="703"/>
      <c r="AO842" s="703"/>
      <c r="AP842" s="703"/>
      <c r="AQ842" s="703"/>
      <c r="AR842" s="703"/>
      <c r="AS842" s="703"/>
    </row>
    <row r="843" spans="1:45" s="400" customFormat="1" ht="30" hidden="1" customHeight="1" x14ac:dyDescent="0.25">
      <c r="A843" s="2022"/>
      <c r="B843" s="2065"/>
      <c r="C843" s="160"/>
      <c r="D843" s="959" t="s">
        <v>10</v>
      </c>
      <c r="E843" s="933">
        <v>46204</v>
      </c>
      <c r="F843" s="74">
        <f t="shared" ref="F843:F844" si="522">$L$7-E843</f>
        <v>82</v>
      </c>
      <c r="G843" s="12">
        <v>0</v>
      </c>
      <c r="H843" s="18"/>
      <c r="I843" s="12"/>
      <c r="J843" s="1368"/>
      <c r="K843" s="63">
        <f>IFERROR(SUMIF(INTAKE!$A:$A,$T843,INTAKE!$P:$P),0)</f>
        <v>0</v>
      </c>
      <c r="L843" s="1702">
        <f t="shared" si="514"/>
        <v>0</v>
      </c>
      <c r="M843" s="48"/>
      <c r="N843" s="162"/>
      <c r="O843" s="45"/>
      <c r="P843" s="736"/>
      <c r="Q843" s="795"/>
      <c r="R843" s="785">
        <f>IFERROR(VLOOKUP($Q843,'391'!$S:$Z,8,0),"")</f>
        <v>0</v>
      </c>
      <c r="S843" s="796"/>
      <c r="T843" s="797" t="str">
        <f t="shared" si="515"/>
        <v>M-Tox Plus46204</v>
      </c>
      <c r="U843" s="797"/>
      <c r="V843" s="797"/>
      <c r="W843" s="785">
        <f>IFERROR(VLOOKUP($Q843,'391'!$S:$AG,15,0),0)</f>
        <v>0</v>
      </c>
      <c r="X843" s="1090">
        <f t="shared" si="516"/>
        <v>0</v>
      </c>
      <c r="Y843" s="785"/>
      <c r="Z843" s="785"/>
      <c r="AA843" s="797"/>
      <c r="AB843" s="797"/>
      <c r="AC843" s="681"/>
      <c r="AD843" s="681"/>
      <c r="AE843" s="681"/>
      <c r="AF843" s="681"/>
      <c r="AG843" s="681"/>
      <c r="AH843" s="681"/>
      <c r="AI843" s="703"/>
      <c r="AJ843" s="703"/>
      <c r="AK843" s="703"/>
      <c r="AL843" s="703"/>
      <c r="AM843" s="703"/>
      <c r="AN843" s="703"/>
      <c r="AO843" s="703"/>
      <c r="AP843" s="703"/>
      <c r="AQ843" s="703"/>
      <c r="AR843" s="703"/>
      <c r="AS843" s="703"/>
    </row>
    <row r="844" spans="1:45" s="401" customFormat="1" ht="30" customHeight="1" x14ac:dyDescent="0.25">
      <c r="A844" s="2022"/>
      <c r="B844" s="2044"/>
      <c r="C844" s="222" t="s">
        <v>46</v>
      </c>
      <c r="D844" s="969" t="s">
        <v>10</v>
      </c>
      <c r="E844" s="960">
        <v>46260</v>
      </c>
      <c r="F844" s="42">
        <f t="shared" si="522"/>
        <v>26</v>
      </c>
      <c r="G844" s="37">
        <v>640.69999999999993</v>
      </c>
      <c r="H844" s="1392"/>
      <c r="I844" s="58">
        <f>+SUM(K837:K841)</f>
        <v>0</v>
      </c>
      <c r="J844" s="1393">
        <f>+usage!I108</f>
        <v>363.14</v>
      </c>
      <c r="K844" s="63">
        <f>IFERROR(SUMIF(INTAKE!$A:$A,$T844,INTAKE!$P:$P),0)</f>
        <v>0</v>
      </c>
      <c r="L844" s="1533">
        <f t="shared" si="514"/>
        <v>277.55999999999995</v>
      </c>
      <c r="M844" s="35"/>
      <c r="N844" s="87"/>
      <c r="O844" s="35"/>
      <c r="P844" s="740"/>
      <c r="Q844" s="795" t="s">
        <v>1124</v>
      </c>
      <c r="R844" s="785" t="str">
        <f>IFERROR(VLOOKUP($Q844,'391'!$S:$Z,8,0),"0")</f>
        <v>0</v>
      </c>
      <c r="S844" s="796"/>
      <c r="T844" s="797" t="str">
        <f t="shared" si="515"/>
        <v>M-Tox PlusFeedmill46260</v>
      </c>
      <c r="U844" s="797"/>
      <c r="V844" s="797"/>
      <c r="W844" s="785">
        <f>IFERROR(VLOOKUP($Q844,'391'!$S:$AG,15,0),0)</f>
        <v>0</v>
      </c>
      <c r="X844" s="1090">
        <f t="shared" si="516"/>
        <v>640.69999999999993</v>
      </c>
      <c r="Y844" s="1088">
        <f>+W844+W845</f>
        <v>3640.7000000000003</v>
      </c>
      <c r="Z844" s="1091">
        <f>+G845-Y844</f>
        <v>0</v>
      </c>
      <c r="AA844" s="797"/>
      <c r="AB844" s="797"/>
      <c r="AC844" s="681"/>
      <c r="AD844" s="681"/>
      <c r="AE844" s="681"/>
      <c r="AF844" s="681"/>
      <c r="AG844" s="681"/>
      <c r="AH844" s="681"/>
      <c r="AI844" s="703"/>
      <c r="AJ844" s="703"/>
      <c r="AK844" s="703"/>
      <c r="AL844" s="703"/>
      <c r="AM844" s="703"/>
      <c r="AN844" s="703"/>
      <c r="AO844" s="703"/>
      <c r="AP844" s="703"/>
      <c r="AQ844" s="703"/>
      <c r="AR844" s="703"/>
      <c r="AS844" s="703"/>
    </row>
    <row r="845" spans="1:45" s="265" customFormat="1" ht="30" customHeight="1" x14ac:dyDescent="0.25">
      <c r="A845" s="2019" t="s">
        <v>293</v>
      </c>
      <c r="B845" s="2020"/>
      <c r="C845" s="88"/>
      <c r="D845" s="864"/>
      <c r="E845" s="864"/>
      <c r="F845" s="865"/>
      <c r="G845" s="1394">
        <v>3640.7</v>
      </c>
      <c r="H845" s="1394">
        <f t="shared" ref="H845:L845" si="523">SUM(H837:H844)</f>
        <v>0</v>
      </c>
      <c r="I845" s="1394">
        <f t="shared" si="523"/>
        <v>0</v>
      </c>
      <c r="J845" s="1394">
        <f t="shared" si="523"/>
        <v>363.14</v>
      </c>
      <c r="K845" s="1394">
        <f t="shared" si="523"/>
        <v>0</v>
      </c>
      <c r="L845" s="1394">
        <f t="shared" si="523"/>
        <v>3277.56</v>
      </c>
      <c r="M845" s="59">
        <f>IFERROR((S845/$S$2),"")</f>
        <v>252.13333333333333</v>
      </c>
      <c r="N845" s="854">
        <f>IFERROR((L845/M845),0)</f>
        <v>12.999312533051295</v>
      </c>
      <c r="O845" s="59">
        <f>IFERROR(SUMIF(ETM!$A:$A,$Q845,ETM!$E:$E),"")</f>
        <v>225.16666666666666</v>
      </c>
      <c r="P845" s="855">
        <f>IFERROR(L845/O845,0)</f>
        <v>14.556150999259808</v>
      </c>
      <c r="Q845" s="814" t="s">
        <v>385</v>
      </c>
      <c r="R845" s="785">
        <f>IFERROR(VLOOKUP($Q845,'391'!$S:$Z,8,0),"0")</f>
        <v>1512.8</v>
      </c>
      <c r="S845" s="796">
        <f>+R844+R845</f>
        <v>1512.8</v>
      </c>
      <c r="T845" s="797"/>
      <c r="U845" s="797"/>
      <c r="V845" s="797"/>
      <c r="W845" s="785">
        <f>IFERROR(VLOOKUP($Q845,'391'!$S:$AG,15,0),0)</f>
        <v>3640.7000000000003</v>
      </c>
      <c r="X845" s="1090">
        <f t="shared" si="516"/>
        <v>0</v>
      </c>
      <c r="Y845" s="785"/>
      <c r="Z845" s="785"/>
      <c r="AA845" s="797"/>
      <c r="AB845" s="797"/>
      <c r="AC845" s="551"/>
      <c r="AD845" s="551"/>
      <c r="AE845" s="551"/>
      <c r="AF845" s="551"/>
      <c r="AG845" s="551"/>
      <c r="AH845" s="551"/>
      <c r="AI845" s="704"/>
      <c r="AJ845" s="704"/>
      <c r="AK845" s="704"/>
      <c r="AL845" s="704"/>
      <c r="AM845" s="704"/>
      <c r="AN845" s="704"/>
      <c r="AO845" s="704"/>
      <c r="AP845" s="704"/>
      <c r="AQ845" s="704"/>
      <c r="AR845" s="704"/>
      <c r="AS845" s="704"/>
    </row>
    <row r="846" spans="1:45" s="409" customFormat="1" ht="30" hidden="1" customHeight="1" x14ac:dyDescent="0.25">
      <c r="A846" s="2021">
        <f>IF(L853=0,"",MAX($A$16:A845)+1)</f>
        <v>52</v>
      </c>
      <c r="B846" s="2043" t="s">
        <v>281</v>
      </c>
      <c r="C846" s="347"/>
      <c r="D846" s="970" t="s">
        <v>10</v>
      </c>
      <c r="E846" s="971">
        <v>46149</v>
      </c>
      <c r="F846" s="967">
        <f t="shared" ref="F846" si="524">$L$7-E846</f>
        <v>137</v>
      </c>
      <c r="G846" s="1395">
        <v>0</v>
      </c>
      <c r="H846" s="1395"/>
      <c r="I846" s="1395"/>
      <c r="J846" s="1396"/>
      <c r="K846" s="18">
        <f>IFERROR(SUMIF(INTAKE!$A:$A,$T846,INTAKE!$P:$P),0)</f>
        <v>0</v>
      </c>
      <c r="L846" s="1702">
        <f t="shared" ref="L846:L866" si="525">+G846+H846+I846-J846-K846</f>
        <v>0</v>
      </c>
      <c r="M846" s="50"/>
      <c r="N846" s="167"/>
      <c r="O846" s="50"/>
      <c r="P846" s="744"/>
      <c r="Q846" s="795"/>
      <c r="R846" s="785">
        <f>IFERROR(VLOOKUP($Q846,'391'!$S:$Z,8,0),"")</f>
        <v>0</v>
      </c>
      <c r="S846" s="796"/>
      <c r="T846" s="797" t="str">
        <f t="shared" ref="T846:T852" si="526">$Q$853&amp;C846&amp;E846</f>
        <v>Feedcurb (Singapore)46149</v>
      </c>
      <c r="U846" s="797"/>
      <c r="V846" s="797"/>
      <c r="W846" s="785">
        <f>IFERROR(VLOOKUP($Q846,'391'!$S:$AG,15,0),0)</f>
        <v>0</v>
      </c>
      <c r="X846" s="1090">
        <f t="shared" si="516"/>
        <v>0</v>
      </c>
      <c r="Y846" s="785"/>
      <c r="Z846" s="785"/>
      <c r="AA846" s="797"/>
      <c r="AB846" s="797"/>
      <c r="AC846" s="681"/>
      <c r="AD846" s="681"/>
      <c r="AE846" s="681"/>
      <c r="AF846" s="681"/>
      <c r="AG846" s="681"/>
      <c r="AH846" s="681"/>
      <c r="AI846" s="703"/>
      <c r="AJ846" s="703"/>
      <c r="AK846" s="703"/>
      <c r="AL846" s="703"/>
      <c r="AM846" s="703"/>
      <c r="AN846" s="703"/>
      <c r="AO846" s="703"/>
      <c r="AP846" s="703"/>
      <c r="AQ846" s="703"/>
      <c r="AR846" s="703"/>
      <c r="AS846" s="703"/>
    </row>
    <row r="847" spans="1:45" s="409" customFormat="1" ht="30" hidden="1" customHeight="1" x14ac:dyDescent="0.25">
      <c r="A847" s="2022"/>
      <c r="B847" s="2065"/>
      <c r="C847" s="347"/>
      <c r="D847" s="970" t="s">
        <v>10</v>
      </c>
      <c r="E847" s="971">
        <v>46149</v>
      </c>
      <c r="F847" s="967">
        <f t="shared" ref="F847:F852" si="527">$L$7-E847</f>
        <v>137</v>
      </c>
      <c r="G847" s="1395">
        <v>0</v>
      </c>
      <c r="H847" s="1395"/>
      <c r="I847" s="1395"/>
      <c r="J847" s="1396"/>
      <c r="K847" s="1395">
        <f>IFERROR(SUMIF(INTAKE!$A:$A,$T847,INTAKE!$P:$P),0)</f>
        <v>0</v>
      </c>
      <c r="L847" s="1702">
        <f t="shared" si="525"/>
        <v>0</v>
      </c>
      <c r="M847" s="48"/>
      <c r="N847" s="163"/>
      <c r="O847" s="48"/>
      <c r="P847" s="738"/>
      <c r="Q847" s="795"/>
      <c r="R847" s="785">
        <f>IFERROR(VLOOKUP($Q847,'391'!$S:$Z,8,0),"")</f>
        <v>0</v>
      </c>
      <c r="S847" s="796"/>
      <c r="T847" s="797" t="str">
        <f t="shared" si="526"/>
        <v>Feedcurb (Singapore)46149</v>
      </c>
      <c r="U847" s="797"/>
      <c r="V847" s="797"/>
      <c r="W847" s="785">
        <f>IFERROR(VLOOKUP($Q847,'391'!$S:$AG,15,0),0)</f>
        <v>0</v>
      </c>
      <c r="X847" s="1090">
        <f t="shared" si="516"/>
        <v>0</v>
      </c>
      <c r="Y847" s="785"/>
      <c r="Z847" s="785"/>
      <c r="AA847" s="797"/>
      <c r="AB847" s="797"/>
      <c r="AC847" s="681"/>
      <c r="AD847" s="681"/>
      <c r="AE847" s="681"/>
      <c r="AF847" s="681"/>
      <c r="AG847" s="681"/>
      <c r="AH847" s="681"/>
      <c r="AI847" s="703"/>
      <c r="AJ847" s="703"/>
      <c r="AK847" s="703"/>
      <c r="AL847" s="703"/>
      <c r="AM847" s="703"/>
      <c r="AN847" s="703"/>
      <c r="AO847" s="703"/>
      <c r="AP847" s="703"/>
      <c r="AQ847" s="703"/>
      <c r="AR847" s="703"/>
      <c r="AS847" s="703"/>
    </row>
    <row r="848" spans="1:45" s="409" customFormat="1" ht="30" hidden="1" customHeight="1" x14ac:dyDescent="0.25">
      <c r="A848" s="2022"/>
      <c r="B848" s="2065"/>
      <c r="C848" s="347"/>
      <c r="D848" s="970" t="s">
        <v>10</v>
      </c>
      <c r="E848" s="971">
        <v>44623</v>
      </c>
      <c r="F848" s="967">
        <f t="shared" si="527"/>
        <v>1663</v>
      </c>
      <c r="G848" s="1395">
        <v>0</v>
      </c>
      <c r="H848" s="1395"/>
      <c r="I848" s="1395"/>
      <c r="J848" s="1396"/>
      <c r="K848" s="1395">
        <f>IFERROR(SUMIF(INTAKE!$A:$A,$T848,INTAKE!$P:$P),0)</f>
        <v>0</v>
      </c>
      <c r="L848" s="1533">
        <f t="shared" si="525"/>
        <v>0</v>
      </c>
      <c r="M848" s="48"/>
      <c r="N848" s="162"/>
      <c r="O848" s="48"/>
      <c r="P848" s="857"/>
      <c r="Q848" s="795"/>
      <c r="R848" s="785">
        <f>IFERROR(VLOOKUP($Q848,'391'!$S:$Z,8,0),"")</f>
        <v>0</v>
      </c>
      <c r="S848" s="796"/>
      <c r="T848" s="797" t="str">
        <f t="shared" si="526"/>
        <v>Feedcurb (Singapore)44623</v>
      </c>
      <c r="U848" s="797"/>
      <c r="V848" s="797"/>
      <c r="W848" s="785">
        <f>IFERROR(VLOOKUP($Q848,'391'!$S:$AG,15,0),0)</f>
        <v>0</v>
      </c>
      <c r="X848" s="1090">
        <f t="shared" si="516"/>
        <v>0</v>
      </c>
      <c r="Y848" s="785"/>
      <c r="Z848" s="785"/>
      <c r="AA848" s="797"/>
      <c r="AB848" s="797"/>
      <c r="AC848" s="681"/>
      <c r="AD848" s="681"/>
      <c r="AE848" s="681"/>
      <c r="AF848" s="681"/>
      <c r="AG848" s="681"/>
      <c r="AH848" s="681"/>
      <c r="AI848" s="703"/>
      <c r="AJ848" s="703"/>
      <c r="AK848" s="703"/>
      <c r="AL848" s="703"/>
      <c r="AM848" s="703"/>
      <c r="AN848" s="703"/>
      <c r="AO848" s="703"/>
      <c r="AP848" s="703"/>
      <c r="AQ848" s="703"/>
      <c r="AR848" s="703"/>
      <c r="AS848" s="703"/>
    </row>
    <row r="849" spans="1:45" s="409" customFormat="1" ht="30" hidden="1" customHeight="1" x14ac:dyDescent="0.25">
      <c r="A849" s="2022"/>
      <c r="B849" s="2065"/>
      <c r="C849" s="347"/>
      <c r="D849" s="970" t="s">
        <v>10</v>
      </c>
      <c r="E849" s="971">
        <v>44623</v>
      </c>
      <c r="F849" s="967">
        <f t="shared" si="527"/>
        <v>1663</v>
      </c>
      <c r="G849" s="1395">
        <v>0</v>
      </c>
      <c r="H849" s="1395"/>
      <c r="I849" s="1395"/>
      <c r="J849" s="1396"/>
      <c r="K849" s="1395">
        <f>IFERROR(SUMIF(INTAKE!$A:$A,$T849,INTAKE!$P:$P),0)</f>
        <v>0</v>
      </c>
      <c r="L849" s="1533">
        <f t="shared" si="525"/>
        <v>0</v>
      </c>
      <c r="M849" s="173"/>
      <c r="N849" s="173"/>
      <c r="O849" s="173"/>
      <c r="P849" s="754"/>
      <c r="Q849" s="795"/>
      <c r="R849" s="785">
        <f>IFERROR(VLOOKUP($Q849,'391'!$S:$Z,8,0),"")</f>
        <v>0</v>
      </c>
      <c r="S849" s="796"/>
      <c r="T849" s="797" t="str">
        <f t="shared" si="526"/>
        <v>Feedcurb (Singapore)44623</v>
      </c>
      <c r="U849" s="797"/>
      <c r="V849" s="797"/>
      <c r="W849" s="785">
        <f>IFERROR(VLOOKUP($Q849,'391'!$S:$AG,15,0),0)</f>
        <v>0</v>
      </c>
      <c r="X849" s="1090">
        <f t="shared" si="516"/>
        <v>0</v>
      </c>
      <c r="Y849" s="785"/>
      <c r="Z849" s="785"/>
      <c r="AA849" s="797"/>
      <c r="AB849" s="797"/>
      <c r="AC849" s="681"/>
      <c r="AD849" s="681"/>
      <c r="AE849" s="681"/>
      <c r="AF849" s="681"/>
      <c r="AG849" s="681"/>
      <c r="AH849" s="681"/>
      <c r="AI849" s="703"/>
      <c r="AJ849" s="703"/>
      <c r="AK849" s="703"/>
      <c r="AL849" s="703"/>
      <c r="AM849" s="703"/>
      <c r="AN849" s="703"/>
      <c r="AO849" s="703"/>
      <c r="AP849" s="703"/>
      <c r="AQ849" s="703"/>
      <c r="AR849" s="703"/>
      <c r="AS849" s="703"/>
    </row>
    <row r="850" spans="1:45" s="409" customFormat="1" ht="30" hidden="1" customHeight="1" x14ac:dyDescent="0.25">
      <c r="A850" s="2022"/>
      <c r="B850" s="2065"/>
      <c r="C850" s="347"/>
      <c r="D850" s="970" t="s">
        <v>10</v>
      </c>
      <c r="E850" s="971">
        <v>45014</v>
      </c>
      <c r="F850" s="967">
        <f t="shared" si="527"/>
        <v>1272</v>
      </c>
      <c r="G850" s="1395">
        <v>0</v>
      </c>
      <c r="H850" s="1395"/>
      <c r="I850" s="1395"/>
      <c r="J850" s="1396"/>
      <c r="K850" s="1395">
        <f>IFERROR(SUMIF(INTAKE!$A:$A,$T850,INTAKE!$P:$P),0)</f>
        <v>0</v>
      </c>
      <c r="L850" s="1533">
        <f t="shared" si="525"/>
        <v>0</v>
      </c>
      <c r="M850" s="174"/>
      <c r="N850" s="174"/>
      <c r="O850" s="174"/>
      <c r="P850" s="755"/>
      <c r="Q850" s="795"/>
      <c r="R850" s="785">
        <f>IFERROR(VLOOKUP($Q850,'391'!$S:$Z,8,0),"")</f>
        <v>0</v>
      </c>
      <c r="S850" s="796"/>
      <c r="T850" s="797" t="str">
        <f t="shared" si="526"/>
        <v>Feedcurb (Singapore)45014</v>
      </c>
      <c r="U850" s="797"/>
      <c r="V850" s="797"/>
      <c r="W850" s="785">
        <f>IFERROR(VLOOKUP($Q850,'391'!$S:$AG,15,0),0)</f>
        <v>0</v>
      </c>
      <c r="X850" s="1090">
        <f t="shared" si="516"/>
        <v>0</v>
      </c>
      <c r="Y850" s="785"/>
      <c r="Z850" s="785"/>
      <c r="AA850" s="797"/>
      <c r="AB850" s="797"/>
      <c r="AC850" s="681"/>
      <c r="AD850" s="681"/>
      <c r="AE850" s="681"/>
      <c r="AF850" s="681"/>
      <c r="AG850" s="681"/>
      <c r="AH850" s="681"/>
      <c r="AI850" s="703"/>
      <c r="AJ850" s="703"/>
      <c r="AK850" s="703"/>
      <c r="AL850" s="703"/>
      <c r="AM850" s="703"/>
      <c r="AN850" s="703"/>
      <c r="AO850" s="703"/>
      <c r="AP850" s="703"/>
      <c r="AQ850" s="703"/>
      <c r="AR850" s="703"/>
      <c r="AS850" s="703"/>
    </row>
    <row r="851" spans="1:45" s="409" customFormat="1" ht="30" hidden="1" customHeight="1" x14ac:dyDescent="0.25">
      <c r="A851" s="2022"/>
      <c r="B851" s="2065"/>
      <c r="C851" s="347"/>
      <c r="D851" s="970" t="s">
        <v>10</v>
      </c>
      <c r="E851" s="971">
        <v>45014</v>
      </c>
      <c r="F851" s="967">
        <f t="shared" si="527"/>
        <v>1272</v>
      </c>
      <c r="G851" s="1395">
        <v>0</v>
      </c>
      <c r="H851" s="1395"/>
      <c r="I851" s="1395"/>
      <c r="J851" s="1396"/>
      <c r="K851" s="1395">
        <f>IFERROR(SUMIF(INTAKE!$A:$A,$T851,INTAKE!$P:$P),0)</f>
        <v>0</v>
      </c>
      <c r="L851" s="1533">
        <f t="shared" si="525"/>
        <v>0</v>
      </c>
      <c r="M851" s="174"/>
      <c r="N851" s="174"/>
      <c r="O851" s="174"/>
      <c r="P851" s="755"/>
      <c r="Q851" s="795"/>
      <c r="R851" s="785">
        <f>IFERROR(VLOOKUP($Q851,'391'!$S:$Z,8,0),"")</f>
        <v>0</v>
      </c>
      <c r="S851" s="796"/>
      <c r="T851" s="797" t="str">
        <f t="shared" si="526"/>
        <v>Feedcurb (Singapore)45014</v>
      </c>
      <c r="U851" s="797"/>
      <c r="V851" s="797"/>
      <c r="W851" s="785">
        <f>IFERROR(VLOOKUP($Q851,'391'!$S:$AG,15,0),0)</f>
        <v>0</v>
      </c>
      <c r="X851" s="1090">
        <f t="shared" si="516"/>
        <v>0</v>
      </c>
      <c r="Y851" s="785"/>
      <c r="Z851" s="785"/>
      <c r="AA851" s="797"/>
      <c r="AB851" s="797"/>
      <c r="AC851" s="681"/>
      <c r="AD851" s="681"/>
      <c r="AE851" s="681"/>
      <c r="AF851" s="681"/>
      <c r="AG851" s="681"/>
      <c r="AH851" s="681"/>
      <c r="AI851" s="703"/>
      <c r="AJ851" s="703"/>
      <c r="AK851" s="703"/>
      <c r="AL851" s="703"/>
      <c r="AM851" s="703"/>
      <c r="AN851" s="703"/>
      <c r="AO851" s="703"/>
      <c r="AP851" s="703"/>
      <c r="AQ851" s="703"/>
      <c r="AR851" s="703"/>
      <c r="AS851" s="703"/>
    </row>
    <row r="852" spans="1:45" s="413" customFormat="1" ht="30" customHeight="1" x14ac:dyDescent="0.25">
      <c r="A852" s="2022"/>
      <c r="B852" s="2065"/>
      <c r="C852" s="222" t="s">
        <v>46</v>
      </c>
      <c r="D852" s="969" t="s">
        <v>10</v>
      </c>
      <c r="E852" s="960">
        <v>46149</v>
      </c>
      <c r="F852" s="42">
        <f t="shared" si="527"/>
        <v>137</v>
      </c>
      <c r="G852" s="37">
        <v>40.760000000000105</v>
      </c>
      <c r="H852" s="1392"/>
      <c r="I852" s="58">
        <f>+SUM(K846:K851)</f>
        <v>0</v>
      </c>
      <c r="J852" s="1393">
        <f>+usage!I103</f>
        <v>0</v>
      </c>
      <c r="K852" s="1395">
        <f>IFERROR(SUMIF(INTAKE!$A:$A,$T852,INTAKE!$P:$P),0)</f>
        <v>0</v>
      </c>
      <c r="L852" s="1533">
        <f t="shared" si="525"/>
        <v>40.760000000000105</v>
      </c>
      <c r="M852" s="972"/>
      <c r="N852" s="972"/>
      <c r="O852" s="972"/>
      <c r="P852" s="755"/>
      <c r="Q852" s="795"/>
      <c r="R852" s="785">
        <f>IFERROR(VLOOKUP($Q852,'391'!$S:$Z,8,0),"")</f>
        <v>0</v>
      </c>
      <c r="S852" s="796"/>
      <c r="T852" s="797" t="str">
        <f t="shared" si="526"/>
        <v>Feedcurb (Singapore)Feedmill46149</v>
      </c>
      <c r="U852" s="797"/>
      <c r="V852" s="797"/>
      <c r="W852" s="785">
        <f>IFERROR(VLOOKUP($Q852,'391'!$S:$AG,15,0),0)</f>
        <v>0</v>
      </c>
      <c r="X852" s="1090">
        <f t="shared" si="516"/>
        <v>40.760000000000105</v>
      </c>
      <c r="Y852" s="785"/>
      <c r="Z852" s="785"/>
      <c r="AA852" s="797"/>
      <c r="AB852" s="797"/>
      <c r="AC852" s="681"/>
      <c r="AD852" s="681"/>
      <c r="AE852" s="681"/>
      <c r="AF852" s="681"/>
      <c r="AG852" s="681"/>
      <c r="AH852" s="681"/>
      <c r="AI852" s="703"/>
      <c r="AJ852" s="703"/>
      <c r="AK852" s="703"/>
      <c r="AL852" s="703"/>
      <c r="AM852" s="703"/>
      <c r="AN852" s="703"/>
      <c r="AO852" s="703"/>
      <c r="AP852" s="703"/>
      <c r="AQ852" s="703"/>
      <c r="AR852" s="703"/>
      <c r="AS852" s="703"/>
    </row>
    <row r="853" spans="1:45" s="265" customFormat="1" ht="30" customHeight="1" x14ac:dyDescent="0.25">
      <c r="A853" s="2019" t="s">
        <v>52</v>
      </c>
      <c r="B853" s="2020"/>
      <c r="C853" s="88"/>
      <c r="D853" s="864"/>
      <c r="E853" s="864"/>
      <c r="F853" s="865"/>
      <c r="G853" s="1394">
        <v>40.759999999999195</v>
      </c>
      <c r="H853" s="1394">
        <f t="shared" ref="H853:I853" si="528">SUM(H846:H852)</f>
        <v>0</v>
      </c>
      <c r="I853" s="1394">
        <f t="shared" si="528"/>
        <v>0</v>
      </c>
      <c r="J853" s="1394">
        <f t="shared" ref="J853:K853" si="529">SUM(J846:J852)</f>
        <v>0</v>
      </c>
      <c r="K853" s="1394">
        <f t="shared" si="529"/>
        <v>0</v>
      </c>
      <c r="L853" s="1394">
        <f t="shared" si="525"/>
        <v>40.759999999999195</v>
      </c>
      <c r="M853" s="59">
        <f>IFERROR((R853/$S$2),"")</f>
        <v>0</v>
      </c>
      <c r="N853" s="366">
        <f>IFERROR(L853/M853,0)</f>
        <v>0</v>
      </c>
      <c r="O853" s="59">
        <f>IFERROR(SUMIF(ETM!$A:$A,$Q853,ETM!$E:$E),"")</f>
        <v>0</v>
      </c>
      <c r="P853" s="880">
        <f>IFERROR(L853/O853,0)</f>
        <v>0</v>
      </c>
      <c r="Q853" s="814" t="s">
        <v>662</v>
      </c>
      <c r="R853" s="785">
        <f>IFERROR(VLOOKUP($Q853,'391'!$S:$Z,8,0),"")</f>
        <v>0</v>
      </c>
      <c r="S853" s="796"/>
      <c r="T853" s="797"/>
      <c r="U853" s="797"/>
      <c r="V853" s="797"/>
      <c r="W853" s="785">
        <f>IFERROR(VLOOKUP($Q853,'391'!$S:$AG,15,0),0)</f>
        <v>40.76</v>
      </c>
      <c r="X853" s="1090">
        <f t="shared" si="516"/>
        <v>-8.0291329140891321E-13</v>
      </c>
      <c r="Y853" s="785"/>
      <c r="Z853" s="785"/>
      <c r="AA853" s="797"/>
      <c r="AB853" s="797"/>
      <c r="AC853" s="551"/>
      <c r="AD853" s="551"/>
      <c r="AE853" s="551"/>
      <c r="AF853" s="551"/>
      <c r="AG853" s="551"/>
      <c r="AH853" s="551"/>
      <c r="AI853" s="704"/>
      <c r="AJ853" s="704"/>
      <c r="AK853" s="704"/>
      <c r="AL853" s="704"/>
      <c r="AM853" s="704"/>
      <c r="AN853" s="704"/>
      <c r="AO853" s="704"/>
      <c r="AP853" s="704"/>
      <c r="AQ853" s="704"/>
      <c r="AR853" s="704"/>
      <c r="AS853" s="704"/>
    </row>
    <row r="854" spans="1:45" s="6" customFormat="1" ht="30" hidden="1" customHeight="1" x14ac:dyDescent="0.25">
      <c r="A854" s="1997" t="str">
        <f>IF(L861=0,"",MAX($A$16:A853)+1)</f>
        <v/>
      </c>
      <c r="B854" s="2066" t="s">
        <v>96</v>
      </c>
      <c r="C854" s="143"/>
      <c r="D854" s="866" t="s">
        <v>10</v>
      </c>
      <c r="E854" s="933">
        <v>45091</v>
      </c>
      <c r="F854" s="73">
        <f t="shared" ref="F854:F860" si="530">$L$7-E854</f>
        <v>1195</v>
      </c>
      <c r="G854" s="63">
        <v>0</v>
      </c>
      <c r="H854" s="300"/>
      <c r="I854" s="12"/>
      <c r="J854" s="1300"/>
      <c r="K854" s="18">
        <f>IFERROR(SUMIF(INTAKE!$A:$A,$T854,INTAKE!$P:$P),0)</f>
        <v>0</v>
      </c>
      <c r="L854" s="1533">
        <f t="shared" si="525"/>
        <v>0</v>
      </c>
      <c r="M854" s="66"/>
      <c r="N854" s="920"/>
      <c r="O854" s="66"/>
      <c r="P854" s="744"/>
      <c r="Q854" s="795"/>
      <c r="R854" s="785">
        <f>IFERROR(VLOOKUP($Q854,'391'!$S:$Z,8,0),"")</f>
        <v>0</v>
      </c>
      <c r="S854" s="786"/>
      <c r="T854" s="787" t="str">
        <f t="shared" ref="T854:T860" si="531">$Q$861&amp;C854&amp;E854</f>
        <v>Betafin S445091</v>
      </c>
      <c r="U854" s="787"/>
      <c r="V854" s="787"/>
      <c r="W854" s="785">
        <f>IFERROR(VLOOKUP($Q854,'391'!$S:$AG,15,0),0)</f>
        <v>0</v>
      </c>
      <c r="X854" s="1090">
        <f t="shared" si="516"/>
        <v>0</v>
      </c>
      <c r="Y854" s="785"/>
      <c r="Z854" s="785"/>
      <c r="AA854" s="787"/>
      <c r="AB854" s="787"/>
      <c r="AC854" s="679"/>
      <c r="AD854" s="679"/>
      <c r="AE854" s="679"/>
      <c r="AF854" s="679"/>
      <c r="AG854" s="679"/>
      <c r="AH854" s="679"/>
      <c r="AI854" s="682"/>
      <c r="AJ854" s="682"/>
      <c r="AK854" s="682"/>
      <c r="AL854" s="682"/>
      <c r="AM854" s="682"/>
      <c r="AN854" s="682"/>
      <c r="AO854" s="682"/>
      <c r="AP854" s="682"/>
      <c r="AQ854" s="682"/>
      <c r="AR854" s="682"/>
      <c r="AS854" s="682"/>
    </row>
    <row r="855" spans="1:45" s="6" customFormat="1" ht="30" hidden="1" customHeight="1" x14ac:dyDescent="0.25">
      <c r="A855" s="1998"/>
      <c r="B855" s="2067"/>
      <c r="C855" s="143"/>
      <c r="D855" s="866" t="s">
        <v>10</v>
      </c>
      <c r="E855" s="933">
        <v>45029</v>
      </c>
      <c r="F855" s="73">
        <f t="shared" si="530"/>
        <v>1257</v>
      </c>
      <c r="G855" s="63">
        <v>0</v>
      </c>
      <c r="H855" s="312"/>
      <c r="I855" s="12"/>
      <c r="J855" s="1322"/>
      <c r="K855" s="18">
        <f>IFERROR(SUMIF(INTAKE!$A:$A,$T855,INTAKE!$P:$P),0)</f>
        <v>0</v>
      </c>
      <c r="L855" s="1533">
        <f t="shared" si="525"/>
        <v>0</v>
      </c>
      <c r="M855" s="101"/>
      <c r="N855" s="249"/>
      <c r="O855" s="101"/>
      <c r="P855" s="738"/>
      <c r="Q855" s="795"/>
      <c r="R855" s="785">
        <f>IFERROR(VLOOKUP($Q855,'391'!$S:$Z,8,0),"")</f>
        <v>0</v>
      </c>
      <c r="S855" s="786"/>
      <c r="T855" s="787" t="str">
        <f t="shared" si="531"/>
        <v>Betafin S445029</v>
      </c>
      <c r="U855" s="787"/>
      <c r="V855" s="787"/>
      <c r="W855" s="785">
        <f>IFERROR(VLOOKUP($Q855,'391'!$S:$AG,15,0),0)</f>
        <v>0</v>
      </c>
      <c r="X855" s="1090">
        <f t="shared" si="516"/>
        <v>0</v>
      </c>
      <c r="Y855" s="785"/>
      <c r="Z855" s="785"/>
      <c r="AA855" s="787"/>
      <c r="AB855" s="787"/>
      <c r="AC855" s="679"/>
      <c r="AD855" s="679"/>
      <c r="AE855" s="679"/>
      <c r="AF855" s="679"/>
      <c r="AG855" s="679"/>
      <c r="AH855" s="679"/>
      <c r="AI855" s="682"/>
      <c r="AJ855" s="682"/>
      <c r="AK855" s="682"/>
      <c r="AL855" s="682"/>
      <c r="AM855" s="682"/>
      <c r="AN855" s="682"/>
      <c r="AO855" s="682"/>
      <c r="AP855" s="682"/>
      <c r="AQ855" s="682"/>
      <c r="AR855" s="682"/>
      <c r="AS855" s="682"/>
    </row>
    <row r="856" spans="1:45" s="6" customFormat="1" ht="30" hidden="1" customHeight="1" x14ac:dyDescent="0.25">
      <c r="A856" s="1998"/>
      <c r="B856" s="2067"/>
      <c r="C856" s="143"/>
      <c r="D856" s="866" t="s">
        <v>10</v>
      </c>
      <c r="E856" s="933">
        <v>45029</v>
      </c>
      <c r="F856" s="73">
        <f t="shared" si="530"/>
        <v>1257</v>
      </c>
      <c r="G856" s="63">
        <v>0</v>
      </c>
      <c r="H856" s="63"/>
      <c r="I856" s="12"/>
      <c r="J856" s="1378"/>
      <c r="K856" s="63">
        <f>IFERROR(SUMIF(INTAKE!$A:$A,$T856,INTAKE!$P:$P),0)</f>
        <v>0</v>
      </c>
      <c r="L856" s="1533">
        <f t="shared" si="525"/>
        <v>0</v>
      </c>
      <c r="M856" s="101"/>
      <c r="N856" s="249"/>
      <c r="O856" s="101"/>
      <c r="P856" s="738"/>
      <c r="Q856" s="795"/>
      <c r="R856" s="785">
        <f>IFERROR(VLOOKUP($Q856,'391'!$S:$Z,8,0),"")</f>
        <v>0</v>
      </c>
      <c r="S856" s="786"/>
      <c r="T856" s="787" t="str">
        <f t="shared" si="531"/>
        <v>Betafin S445029</v>
      </c>
      <c r="U856" s="787"/>
      <c r="V856" s="787"/>
      <c r="W856" s="785">
        <f>IFERROR(VLOOKUP($Q856,'391'!$S:$AG,15,0),0)</f>
        <v>0</v>
      </c>
      <c r="X856" s="1090">
        <f t="shared" si="516"/>
        <v>0</v>
      </c>
      <c r="Y856" s="785"/>
      <c r="Z856" s="785"/>
      <c r="AA856" s="787"/>
      <c r="AB856" s="787"/>
      <c r="AC856" s="679"/>
      <c r="AD856" s="679"/>
      <c r="AE856" s="679"/>
      <c r="AF856" s="679"/>
      <c r="AG856" s="679"/>
      <c r="AH856" s="679"/>
      <c r="AI856" s="682"/>
      <c r="AJ856" s="682"/>
      <c r="AK856" s="682"/>
      <c r="AL856" s="682"/>
      <c r="AM856" s="682"/>
      <c r="AN856" s="682"/>
      <c r="AO856" s="682"/>
      <c r="AP856" s="682"/>
      <c r="AQ856" s="682"/>
      <c r="AR856" s="682"/>
      <c r="AS856" s="682"/>
    </row>
    <row r="857" spans="1:45" s="6" customFormat="1" ht="30" hidden="1" customHeight="1" x14ac:dyDescent="0.25">
      <c r="A857" s="1998"/>
      <c r="B857" s="2067"/>
      <c r="C857" s="143"/>
      <c r="D857" s="866" t="s">
        <v>10</v>
      </c>
      <c r="E857" s="933">
        <v>44937</v>
      </c>
      <c r="F857" s="73">
        <f t="shared" si="530"/>
        <v>1349</v>
      </c>
      <c r="G857" s="63">
        <v>0</v>
      </c>
      <c r="H857" s="63"/>
      <c r="I857" s="63"/>
      <c r="J857" s="1378"/>
      <c r="K857" s="63">
        <f>IFERROR(SUMIF(INTAKE!$A:$A,$T857,INTAKE!$P:$P),0)</f>
        <v>0</v>
      </c>
      <c r="L857" s="1533">
        <f t="shared" si="525"/>
        <v>0</v>
      </c>
      <c r="M857" s="101"/>
      <c r="N857" s="249"/>
      <c r="O857" s="101"/>
      <c r="P857" s="738"/>
      <c r="Q857" s="795"/>
      <c r="R857" s="785">
        <f>IFERROR(VLOOKUP($Q857,'391'!$S:$Z,8,0),"")</f>
        <v>0</v>
      </c>
      <c r="S857" s="786"/>
      <c r="T857" s="787" t="str">
        <f t="shared" si="531"/>
        <v>Betafin S444937</v>
      </c>
      <c r="U857" s="787"/>
      <c r="V857" s="787"/>
      <c r="W857" s="785">
        <f>IFERROR(VLOOKUP($Q857,'391'!$S:$AG,15,0),0)</f>
        <v>0</v>
      </c>
      <c r="X857" s="1090">
        <f t="shared" si="516"/>
        <v>0</v>
      </c>
      <c r="Y857" s="785"/>
      <c r="Z857" s="785"/>
      <c r="AA857" s="787"/>
      <c r="AB857" s="787"/>
      <c r="AC857" s="679"/>
      <c r="AD857" s="679"/>
      <c r="AE857" s="679"/>
      <c r="AF857" s="679"/>
      <c r="AG857" s="679"/>
      <c r="AH857" s="679"/>
      <c r="AI857" s="682"/>
      <c r="AJ857" s="682"/>
      <c r="AK857" s="682"/>
      <c r="AL857" s="682"/>
      <c r="AM857" s="682"/>
      <c r="AN857" s="682"/>
      <c r="AO857" s="682"/>
      <c r="AP857" s="682"/>
      <c r="AQ857" s="682"/>
      <c r="AR857" s="682"/>
      <c r="AS857" s="682"/>
    </row>
    <row r="858" spans="1:45" s="6" customFormat="1" ht="30" hidden="1" customHeight="1" x14ac:dyDescent="0.25">
      <c r="A858" s="1998"/>
      <c r="B858" s="2067"/>
      <c r="C858" s="143"/>
      <c r="D858" s="866" t="s">
        <v>10</v>
      </c>
      <c r="E858" s="933">
        <v>44426</v>
      </c>
      <c r="F858" s="73">
        <f t="shared" si="530"/>
        <v>1860</v>
      </c>
      <c r="G858" s="63">
        <v>0</v>
      </c>
      <c r="H858" s="63"/>
      <c r="I858" s="63"/>
      <c r="J858" s="1378"/>
      <c r="K858" s="63">
        <f>IFERROR(SUMIF(INTAKE!$A:$A,$T858,INTAKE!$P:$P),0)</f>
        <v>0</v>
      </c>
      <c r="L858" s="1533">
        <f t="shared" si="525"/>
        <v>0</v>
      </c>
      <c r="M858" s="101"/>
      <c r="N858" s="249"/>
      <c r="O858" s="23"/>
      <c r="P858" s="736"/>
      <c r="Q858" s="795"/>
      <c r="R858" s="785">
        <f>IFERROR(VLOOKUP($Q858,'391'!$S:$Z,8,0),"")</f>
        <v>0</v>
      </c>
      <c r="S858" s="786"/>
      <c r="T858" s="787" t="str">
        <f t="shared" si="531"/>
        <v>Betafin S444426</v>
      </c>
      <c r="U858" s="787"/>
      <c r="V858" s="787"/>
      <c r="W858" s="785">
        <f>IFERROR(VLOOKUP($Q858,'391'!$S:$AG,15,0),0)</f>
        <v>0</v>
      </c>
      <c r="X858" s="1090">
        <f t="shared" si="516"/>
        <v>0</v>
      </c>
      <c r="Y858" s="785"/>
      <c r="Z858" s="785"/>
      <c r="AA858" s="787"/>
      <c r="AB858" s="787"/>
      <c r="AC858" s="679"/>
      <c r="AD858" s="679"/>
      <c r="AE858" s="679"/>
      <c r="AF858" s="679"/>
      <c r="AG858" s="679"/>
      <c r="AH858" s="679"/>
      <c r="AI858" s="682"/>
      <c r="AJ858" s="682"/>
      <c r="AK858" s="682"/>
      <c r="AL858" s="682"/>
      <c r="AM858" s="682"/>
      <c r="AN858" s="682"/>
      <c r="AO858" s="682"/>
      <c r="AP858" s="682"/>
      <c r="AQ858" s="682"/>
      <c r="AR858" s="682"/>
      <c r="AS858" s="682"/>
    </row>
    <row r="859" spans="1:45" s="6" customFormat="1" ht="30" hidden="1" customHeight="1" x14ac:dyDescent="0.25">
      <c r="A859" s="1998"/>
      <c r="B859" s="2067"/>
      <c r="C859" s="143"/>
      <c r="D859" s="866" t="s">
        <v>10</v>
      </c>
      <c r="E859" s="933">
        <v>44421</v>
      </c>
      <c r="F859" s="73">
        <f t="shared" si="530"/>
        <v>1865</v>
      </c>
      <c r="G859" s="63">
        <v>0</v>
      </c>
      <c r="H859" s="63"/>
      <c r="I859" s="63"/>
      <c r="J859" s="1378"/>
      <c r="K859" s="63">
        <f>IFERROR(SUMIF(INTAKE!$A:$A,$T859,INTAKE!$P:$P),0)</f>
        <v>0</v>
      </c>
      <c r="L859" s="1533">
        <f t="shared" si="525"/>
        <v>0</v>
      </c>
      <c r="M859" s="23"/>
      <c r="N859" s="920"/>
      <c r="O859" s="23"/>
      <c r="P859" s="736"/>
      <c r="Q859" s="795"/>
      <c r="R859" s="785">
        <f>IFERROR(VLOOKUP($Q859,'391'!$S:$Z,8,0),"")</f>
        <v>0</v>
      </c>
      <c r="S859" s="786"/>
      <c r="T859" s="787" t="str">
        <f t="shared" si="531"/>
        <v>Betafin S444421</v>
      </c>
      <c r="U859" s="787"/>
      <c r="V859" s="787"/>
      <c r="W859" s="785">
        <f>IFERROR(VLOOKUP($Q859,'391'!$S:$AG,15,0),0)</f>
        <v>0</v>
      </c>
      <c r="X859" s="1090">
        <f t="shared" si="516"/>
        <v>0</v>
      </c>
      <c r="Y859" s="785"/>
      <c r="Z859" s="785"/>
      <c r="AA859" s="787"/>
      <c r="AB859" s="787"/>
      <c r="AC859" s="679"/>
      <c r="AD859" s="679"/>
      <c r="AE859" s="679"/>
      <c r="AF859" s="679"/>
      <c r="AG859" s="679"/>
      <c r="AH859" s="679"/>
      <c r="AI859" s="682"/>
      <c r="AJ859" s="682"/>
      <c r="AK859" s="682"/>
      <c r="AL859" s="682"/>
      <c r="AM859" s="682"/>
      <c r="AN859" s="682"/>
      <c r="AO859" s="682"/>
      <c r="AP859" s="682"/>
      <c r="AQ859" s="682"/>
      <c r="AR859" s="682"/>
      <c r="AS859" s="682"/>
    </row>
    <row r="860" spans="1:45" s="406" customFormat="1" ht="30" hidden="1" customHeight="1" x14ac:dyDescent="0.25">
      <c r="A860" s="1998"/>
      <c r="B860" s="2068"/>
      <c r="C860" s="128" t="s">
        <v>46</v>
      </c>
      <c r="D860" s="863" t="s">
        <v>10</v>
      </c>
      <c r="E860" s="934">
        <v>45091</v>
      </c>
      <c r="F860" s="39">
        <f t="shared" si="530"/>
        <v>1195</v>
      </c>
      <c r="G860" s="37">
        <v>0</v>
      </c>
      <c r="H860" s="37"/>
      <c r="I860" s="37">
        <f>+SUM(K854:K857)</f>
        <v>0</v>
      </c>
      <c r="J860" s="1385">
        <f>+usage!I84</f>
        <v>0</v>
      </c>
      <c r="K860" s="63">
        <f>IFERROR(SUMIF(INTAKE!$A:$A,$T860,INTAKE!$P:$P),0)</f>
        <v>0</v>
      </c>
      <c r="L860" s="1533">
        <f t="shared" si="525"/>
        <v>0</v>
      </c>
      <c r="M860" s="35"/>
      <c r="N860" s="87"/>
      <c r="O860" s="35"/>
      <c r="P860" s="740"/>
      <c r="Q860" s="795"/>
      <c r="R860" s="785">
        <f>IFERROR(VLOOKUP($Q860,'391'!$S:$Z,8,0),"")</f>
        <v>0</v>
      </c>
      <c r="S860" s="786"/>
      <c r="T860" s="787" t="str">
        <f t="shared" si="531"/>
        <v>Betafin S4Feedmill45091</v>
      </c>
      <c r="U860" s="787"/>
      <c r="V860" s="787"/>
      <c r="W860" s="785">
        <f>IFERROR(VLOOKUP($Q860,'391'!$S:$AG,15,0),0)</f>
        <v>0</v>
      </c>
      <c r="X860" s="1090">
        <f t="shared" si="516"/>
        <v>0</v>
      </c>
      <c r="Y860" s="785"/>
      <c r="Z860" s="785"/>
      <c r="AA860" s="787"/>
      <c r="AB860" s="787"/>
      <c r="AC860" s="679"/>
      <c r="AD860" s="679"/>
      <c r="AE860" s="679"/>
      <c r="AF860" s="679"/>
      <c r="AG860" s="679"/>
      <c r="AH860" s="679"/>
      <c r="AI860" s="682"/>
      <c r="AJ860" s="682"/>
      <c r="AK860" s="682"/>
      <c r="AL860" s="682"/>
      <c r="AM860" s="682"/>
      <c r="AN860" s="682"/>
      <c r="AO860" s="682"/>
      <c r="AP860" s="682"/>
      <c r="AQ860" s="682"/>
      <c r="AR860" s="682"/>
      <c r="AS860" s="682"/>
    </row>
    <row r="861" spans="1:45" s="265" customFormat="1" ht="30" hidden="1" customHeight="1" x14ac:dyDescent="0.25">
      <c r="A861" s="2019" t="s">
        <v>137</v>
      </c>
      <c r="B861" s="2020"/>
      <c r="C861" s="88"/>
      <c r="D861" s="864"/>
      <c r="E861" s="864"/>
      <c r="F861" s="865"/>
      <c r="G861" s="1297">
        <v>0</v>
      </c>
      <c r="H861" s="1297">
        <f t="shared" ref="H861:K861" si="532">SUM(H854:H860)</f>
        <v>0</v>
      </c>
      <c r="I861" s="1297">
        <f t="shared" si="532"/>
        <v>0</v>
      </c>
      <c r="J861" s="1297">
        <f t="shared" si="532"/>
        <v>0</v>
      </c>
      <c r="K861" s="1297">
        <f t="shared" si="532"/>
        <v>0</v>
      </c>
      <c r="L861" s="1533">
        <f t="shared" si="525"/>
        <v>0</v>
      </c>
      <c r="M861" s="59" t="str">
        <f>IFERROR((R861/$S$2),"")</f>
        <v/>
      </c>
      <c r="N861" s="366">
        <f>IFERROR(L861/M861,0)</f>
        <v>0</v>
      </c>
      <c r="O861" s="59">
        <f>IFERROR(SUMIF(ETM!$A:$A,$Q861,ETM!$E:$E),"")</f>
        <v>0</v>
      </c>
      <c r="P861" s="880">
        <f>IFERROR(L861/O861,0)</f>
        <v>0</v>
      </c>
      <c r="Q861" s="814" t="s">
        <v>96</v>
      </c>
      <c r="R861" s="785" t="str">
        <f>IFERROR(VLOOKUP($Q861,'391'!$S:$Z,8,0),"")</f>
        <v/>
      </c>
      <c r="S861" s="796"/>
      <c r="T861" s="797"/>
      <c r="U861" s="797"/>
      <c r="V861" s="797"/>
      <c r="W861" s="785">
        <f>IFERROR(VLOOKUP($Q861,'391'!$S:$AG,15,0),0)</f>
        <v>0</v>
      </c>
      <c r="X861" s="1090">
        <f t="shared" si="516"/>
        <v>0</v>
      </c>
      <c r="Y861" s="785"/>
      <c r="Z861" s="785"/>
      <c r="AA861" s="797"/>
      <c r="AB861" s="797"/>
      <c r="AC861" s="551"/>
      <c r="AD861" s="551"/>
      <c r="AE861" s="551"/>
      <c r="AF861" s="551"/>
      <c r="AG861" s="551"/>
      <c r="AH861" s="551"/>
      <c r="AI861" s="704"/>
      <c r="AJ861" s="704"/>
      <c r="AK861" s="704"/>
      <c r="AL861" s="704"/>
      <c r="AM861" s="704"/>
      <c r="AN861" s="704"/>
      <c r="AO861" s="704"/>
      <c r="AP861" s="704"/>
      <c r="AQ861" s="704"/>
      <c r="AR861" s="704"/>
      <c r="AS861" s="704"/>
    </row>
    <row r="862" spans="1:45" s="6" customFormat="1" ht="30" hidden="1" customHeight="1" x14ac:dyDescent="0.25">
      <c r="A862" s="1997">
        <f>IF(L867=0,"",MAX($A$16:A861)+1)</f>
        <v>53</v>
      </c>
      <c r="B862" s="2066" t="s">
        <v>327</v>
      </c>
      <c r="C862" s="226"/>
      <c r="D862" s="875" t="s">
        <v>10</v>
      </c>
      <c r="E862" s="973"/>
      <c r="F862" s="938"/>
      <c r="G862" s="974">
        <v>0</v>
      </c>
      <c r="H862" s="958"/>
      <c r="I862" s="958"/>
      <c r="J862" s="1397"/>
      <c r="K862" s="958">
        <f>IFERROR(SUMIF(INTAKE!$A:$A,$T862,INTAKE!$P:$P),0)</f>
        <v>0</v>
      </c>
      <c r="L862" s="1533">
        <f t="shared" si="525"/>
        <v>0</v>
      </c>
      <c r="M862" s="66"/>
      <c r="N862" s="920"/>
      <c r="O862" s="66"/>
      <c r="P862" s="857"/>
      <c r="Q862" s="795"/>
      <c r="R862" s="785">
        <f>IFERROR(VLOOKUP($Q862,'391'!$S:$Z,8,0),"")</f>
        <v>0</v>
      </c>
      <c r="S862" s="786"/>
      <c r="T862" s="787" t="str">
        <f>$Q$867&amp;C862&amp;E862</f>
        <v>Betafin LQD 38% (Finland)</v>
      </c>
      <c r="U862" s="787"/>
      <c r="V862" s="787"/>
      <c r="W862" s="785">
        <f>IFERROR(VLOOKUP($Q862,'391'!$S:$AG,15,0),0)</f>
        <v>0</v>
      </c>
      <c r="X862" s="1090">
        <f t="shared" si="516"/>
        <v>0</v>
      </c>
      <c r="Y862" s="785"/>
      <c r="Z862" s="785"/>
      <c r="AA862" s="787"/>
      <c r="AB862" s="787"/>
      <c r="AC862" s="679"/>
      <c r="AD862" s="679"/>
      <c r="AE862" s="679"/>
      <c r="AF862" s="679"/>
      <c r="AG862" s="679"/>
      <c r="AH862" s="679"/>
      <c r="AI862" s="682"/>
      <c r="AJ862" s="682"/>
      <c r="AK862" s="682"/>
      <c r="AL862" s="682"/>
      <c r="AM862" s="682"/>
      <c r="AN862" s="682"/>
      <c r="AO862" s="682"/>
      <c r="AP862" s="682"/>
      <c r="AQ862" s="682"/>
      <c r="AR862" s="682"/>
      <c r="AS862" s="682"/>
    </row>
    <row r="863" spans="1:45" s="6" customFormat="1" ht="30" customHeight="1" x14ac:dyDescent="0.25">
      <c r="A863" s="1998"/>
      <c r="B863" s="2067"/>
      <c r="C863" s="226" t="s">
        <v>127</v>
      </c>
      <c r="D863" s="875" t="s">
        <v>10</v>
      </c>
      <c r="E863" s="973">
        <v>46246</v>
      </c>
      <c r="F863" s="938">
        <f>$L$7-E863</f>
        <v>40</v>
      </c>
      <c r="G863" s="974">
        <v>22727.799999999992</v>
      </c>
      <c r="H863" s="958"/>
      <c r="I863" s="958"/>
      <c r="J863" s="1481">
        <f>usage!I85-J864</f>
        <v>1695.2</v>
      </c>
      <c r="K863" s="958"/>
      <c r="L863" s="1533">
        <f t="shared" si="525"/>
        <v>21032.599999999991</v>
      </c>
      <c r="M863" s="101"/>
      <c r="N863" s="101"/>
      <c r="O863" s="101"/>
      <c r="P863" s="738"/>
      <c r="Q863" s="795"/>
      <c r="R863" s="785">
        <f>IFERROR(VLOOKUP($Q863,'391'!$S:$Z,8,0),"")</f>
        <v>0</v>
      </c>
      <c r="S863" s="786"/>
      <c r="T863" s="787" t="str">
        <f>$Q$867&amp;C863&amp;E863</f>
        <v>Betafin LQD 38% (Finland)LF746246</v>
      </c>
      <c r="U863" s="787"/>
      <c r="V863" s="787"/>
      <c r="W863" s="785">
        <f>IFERROR(VLOOKUP($Q863,'391'!$S:$AG,15,0),0)</f>
        <v>0</v>
      </c>
      <c r="X863" s="1090">
        <f t="shared" si="516"/>
        <v>22727.799999999992</v>
      </c>
      <c r="Y863" s="785"/>
      <c r="Z863" s="785"/>
      <c r="AA863" s="787"/>
      <c r="AB863" s="787"/>
      <c r="AC863" s="679"/>
      <c r="AD863" s="679"/>
      <c r="AE863" s="679"/>
      <c r="AF863" s="679"/>
      <c r="AG863" s="679"/>
      <c r="AH863" s="679"/>
      <c r="AI863" s="682"/>
      <c r="AJ863" s="682"/>
      <c r="AK863" s="682"/>
      <c r="AL863" s="682"/>
      <c r="AM863" s="682"/>
      <c r="AN863" s="682"/>
      <c r="AO863" s="682"/>
      <c r="AP863" s="682"/>
      <c r="AQ863" s="682"/>
      <c r="AR863" s="682"/>
      <c r="AS863" s="682"/>
    </row>
    <row r="864" spans="1:45" s="6" customFormat="1" ht="30" customHeight="1" x14ac:dyDescent="0.25">
      <c r="A864" s="1998"/>
      <c r="B864" s="2067"/>
      <c r="C864" s="226" t="s">
        <v>209</v>
      </c>
      <c r="D864" s="875" t="s">
        <v>10</v>
      </c>
      <c r="E864" s="973">
        <v>46258</v>
      </c>
      <c r="F864" s="938">
        <f>$L$7-E864</f>
        <v>28</v>
      </c>
      <c r="G864" s="974">
        <v>71760</v>
      </c>
      <c r="H864" s="958"/>
      <c r="I864" s="958"/>
      <c r="J864" s="1481"/>
      <c r="K864" s="1405"/>
      <c r="L864" s="1533">
        <f t="shared" si="525"/>
        <v>71760</v>
      </c>
      <c r="M864" s="22"/>
      <c r="N864" s="22"/>
      <c r="O864" s="22"/>
      <c r="P864" s="735"/>
      <c r="Q864" s="795"/>
      <c r="R864" s="785">
        <f>IFERROR(VLOOKUP($Q864,'391'!$S:$Z,8,0),"")</f>
        <v>0</v>
      </c>
      <c r="S864" s="786"/>
      <c r="T864" s="787" t="str">
        <f>$Q$867&amp;C864&amp;E864</f>
        <v>Betafin LQD 38% (Finland)LF846258</v>
      </c>
      <c r="U864" s="787"/>
      <c r="V864" s="787"/>
      <c r="W864" s="785">
        <f>IFERROR(VLOOKUP($Q864,'391'!$S:$AG,15,0),0)</f>
        <v>0</v>
      </c>
      <c r="X864" s="1090">
        <f t="shared" si="516"/>
        <v>71760</v>
      </c>
      <c r="Y864" s="785"/>
      <c r="Z864" s="785"/>
      <c r="AA864" s="787"/>
      <c r="AB864" s="787"/>
      <c r="AC864" s="679"/>
      <c r="AD864" s="679"/>
      <c r="AE864" s="679"/>
      <c r="AF864" s="679"/>
      <c r="AG864" s="679"/>
      <c r="AH864" s="679"/>
      <c r="AI864" s="682"/>
      <c r="AJ864" s="682"/>
      <c r="AK864" s="682"/>
      <c r="AL864" s="682"/>
      <c r="AM864" s="682"/>
      <c r="AN864" s="682"/>
      <c r="AO864" s="682"/>
      <c r="AP864" s="682"/>
      <c r="AQ864" s="682"/>
      <c r="AR864" s="682"/>
      <c r="AS864" s="682"/>
    </row>
    <row r="865" spans="1:45" s="6" customFormat="1" ht="30" hidden="1" customHeight="1" x14ac:dyDescent="0.25">
      <c r="A865" s="1998"/>
      <c r="B865" s="2067"/>
      <c r="C865" s="226"/>
      <c r="D865" s="875" t="s">
        <v>10</v>
      </c>
      <c r="E865" s="973">
        <v>44673</v>
      </c>
      <c r="F865" s="938">
        <f t="shared" ref="F865:F866" si="533">$L$7-E865</f>
        <v>1613</v>
      </c>
      <c r="G865" s="974">
        <v>0</v>
      </c>
      <c r="H865" s="958"/>
      <c r="I865" s="958"/>
      <c r="J865" s="1397"/>
      <c r="K865" s="958"/>
      <c r="L865" s="1533">
        <f t="shared" si="525"/>
        <v>0</v>
      </c>
      <c r="M865" s="23"/>
      <c r="N865" s="23"/>
      <c r="O865" s="23"/>
      <c r="P865" s="736"/>
      <c r="Q865" s="795"/>
      <c r="R865" s="785">
        <f>IFERROR(VLOOKUP($Q865,'391'!$S:$Z,8,0),"")</f>
        <v>0</v>
      </c>
      <c r="S865" s="786"/>
      <c r="T865" s="787"/>
      <c r="U865" s="787"/>
      <c r="V865" s="787"/>
      <c r="W865" s="785">
        <f>IFERROR(VLOOKUP($Q865,'391'!$S:$AG,15,0),0)</f>
        <v>0</v>
      </c>
      <c r="X865" s="1090">
        <f t="shared" si="516"/>
        <v>0</v>
      </c>
      <c r="Y865" s="785"/>
      <c r="Z865" s="785"/>
      <c r="AA865" s="787"/>
      <c r="AB865" s="787"/>
      <c r="AC865" s="679"/>
      <c r="AD865" s="679"/>
      <c r="AE865" s="679"/>
      <c r="AF865" s="679"/>
      <c r="AG865" s="679"/>
      <c r="AH865" s="679"/>
      <c r="AI865" s="682"/>
      <c r="AJ865" s="682"/>
      <c r="AK865" s="682"/>
      <c r="AL865" s="682"/>
      <c r="AM865" s="682"/>
      <c r="AN865" s="682"/>
      <c r="AO865" s="682"/>
      <c r="AP865" s="682"/>
      <c r="AQ865" s="682"/>
      <c r="AR865" s="682"/>
      <c r="AS865" s="682"/>
    </row>
    <row r="866" spans="1:45" s="6" customFormat="1" ht="30" hidden="1" customHeight="1" x14ac:dyDescent="0.25">
      <c r="A866" s="1998"/>
      <c r="B866" s="2067"/>
      <c r="C866" s="226" t="s">
        <v>1171</v>
      </c>
      <c r="D866" s="875" t="s">
        <v>10</v>
      </c>
      <c r="E866" s="973"/>
      <c r="F866" s="938">
        <f t="shared" si="533"/>
        <v>46286</v>
      </c>
      <c r="G866" s="974">
        <v>0</v>
      </c>
      <c r="H866" s="958"/>
      <c r="I866" s="958"/>
      <c r="J866" s="1397"/>
      <c r="K866" s="958"/>
      <c r="L866" s="1533">
        <f t="shared" si="525"/>
        <v>0</v>
      </c>
      <c r="M866" s="23"/>
      <c r="N866" s="23"/>
      <c r="O866" s="23"/>
      <c r="P866" s="736"/>
      <c r="Q866" s="795"/>
      <c r="R866" s="785">
        <f>IFERROR(VLOOKUP($Q866,'391'!$S:$Z,8,0),"")</f>
        <v>0</v>
      </c>
      <c r="S866" s="786"/>
      <c r="T866" s="787"/>
      <c r="U866" s="787"/>
      <c r="V866" s="787"/>
      <c r="W866" s="785">
        <f>IFERROR(VLOOKUP($Q866,'391'!$S:$AG,15,0),0)</f>
        <v>0</v>
      </c>
      <c r="X866" s="1090">
        <f t="shared" si="516"/>
        <v>0</v>
      </c>
      <c r="Y866" s="785"/>
      <c r="Z866" s="785"/>
      <c r="AA866" s="787"/>
      <c r="AB866" s="787"/>
      <c r="AC866" s="679"/>
      <c r="AD866" s="679"/>
      <c r="AE866" s="679"/>
      <c r="AF866" s="679"/>
      <c r="AG866" s="679"/>
      <c r="AH866" s="679"/>
      <c r="AI866" s="682"/>
      <c r="AJ866" s="682"/>
      <c r="AK866" s="682"/>
      <c r="AL866" s="682"/>
      <c r="AM866" s="682"/>
      <c r="AN866" s="682"/>
      <c r="AO866" s="682"/>
      <c r="AP866" s="682"/>
      <c r="AQ866" s="682"/>
      <c r="AR866" s="682"/>
      <c r="AS866" s="682"/>
    </row>
    <row r="867" spans="1:45" s="265" customFormat="1" ht="30" customHeight="1" x14ac:dyDescent="0.25">
      <c r="A867" s="2019" t="s">
        <v>224</v>
      </c>
      <c r="B867" s="2020"/>
      <c r="C867" s="88"/>
      <c r="D867" s="864"/>
      <c r="E867" s="864"/>
      <c r="F867" s="865"/>
      <c r="G867" s="1297">
        <v>94487.799999999988</v>
      </c>
      <c r="H867" s="1297">
        <f t="shared" ref="H867:L867" si="534">+SUM(H862:H866)</f>
        <v>0</v>
      </c>
      <c r="I867" s="1297">
        <f t="shared" si="534"/>
        <v>0</v>
      </c>
      <c r="J867" s="1297">
        <f>+SUM(J862:J866)</f>
        <v>1695.2</v>
      </c>
      <c r="K867" s="1297">
        <f t="shared" si="534"/>
        <v>0</v>
      </c>
      <c r="L867" s="1297">
        <f t="shared" si="534"/>
        <v>92792.599999999991</v>
      </c>
      <c r="M867" s="59">
        <f>IFERROR((R867/$S$2),"")</f>
        <v>2024.2333333333333</v>
      </c>
      <c r="N867" s="366">
        <f>(L867/M867)</f>
        <v>45.840861560755506</v>
      </c>
      <c r="O867" s="59">
        <f>IFERROR(SUMIF(ETM!$A:$A,$Q867,ETM!$E:$E),"")</f>
        <v>1991.8333333333333</v>
      </c>
      <c r="P867" s="880">
        <f>IFERROR(L867/O867,0)</f>
        <v>46.586528323989619</v>
      </c>
      <c r="Q867" s="814" t="s">
        <v>663</v>
      </c>
      <c r="R867" s="785">
        <f>IFERROR(VLOOKUP($Q867,'391'!$S:$Z,8,0),"")</f>
        <v>12145.4</v>
      </c>
      <c r="S867" s="796"/>
      <c r="T867" s="797"/>
      <c r="U867" s="797"/>
      <c r="V867" s="797"/>
      <c r="W867" s="785">
        <f>IFERROR(VLOOKUP($Q867,'391'!$S:$AG,15,0),0)</f>
        <v>94487.8</v>
      </c>
      <c r="X867" s="1090">
        <f t="shared" si="516"/>
        <v>0</v>
      </c>
      <c r="Y867" s="785"/>
      <c r="Z867" s="785"/>
      <c r="AA867" s="797"/>
      <c r="AB867" s="797"/>
      <c r="AC867" s="551"/>
      <c r="AD867" s="551"/>
      <c r="AE867" s="551"/>
      <c r="AF867" s="551"/>
      <c r="AG867" s="551"/>
      <c r="AH867" s="551"/>
      <c r="AI867" s="704"/>
      <c r="AJ867" s="704"/>
      <c r="AK867" s="704"/>
      <c r="AL867" s="704"/>
      <c r="AM867" s="704"/>
      <c r="AN867" s="704"/>
      <c r="AO867" s="704"/>
      <c r="AP867" s="704"/>
      <c r="AQ867" s="704"/>
      <c r="AR867" s="704"/>
      <c r="AS867" s="704"/>
    </row>
    <row r="868" spans="1:45" s="6" customFormat="1" ht="30" customHeight="1" x14ac:dyDescent="0.25">
      <c r="A868" s="1997">
        <f>IF(L875=0,"",MAX($A$16:A867)+1)</f>
        <v>54</v>
      </c>
      <c r="B868" s="2066" t="s">
        <v>597</v>
      </c>
      <c r="C868" s="120" t="s">
        <v>1869</v>
      </c>
      <c r="D868" s="887" t="s">
        <v>10</v>
      </c>
      <c r="E868" s="888">
        <v>46263</v>
      </c>
      <c r="F868" s="70">
        <f t="shared" ref="F868:F869" si="535">$L$7-E868</f>
        <v>23</v>
      </c>
      <c r="G868" s="12">
        <v>0</v>
      </c>
      <c r="H868" s="12"/>
      <c r="I868" s="12"/>
      <c r="J868" s="1368"/>
      <c r="K868" s="958">
        <f>IFERROR(SUMIF(INTAKE!$A:$A,$T868,INTAKE!$P:$P),0)</f>
        <v>0</v>
      </c>
      <c r="L868" s="1702">
        <f t="shared" ref="L868:L874" si="536">+G868+H868+I868-J868-K868</f>
        <v>0</v>
      </c>
      <c r="M868" s="66"/>
      <c r="N868" s="66"/>
      <c r="O868" s="66"/>
      <c r="P868" s="744"/>
      <c r="Q868" s="795"/>
      <c r="R868" s="785">
        <f>IFERROR(VLOOKUP($Q868,'391'!$S:$Z,8,0),"")</f>
        <v>0</v>
      </c>
      <c r="S868" s="786"/>
      <c r="T868" s="787" t="str">
        <f t="shared" ref="T868:T874" si="537">$Q$875&amp;C868&amp;E868</f>
        <v>Sodium BicabonateZ2.246263</v>
      </c>
      <c r="U868" s="787"/>
      <c r="V868" s="787"/>
      <c r="W868" s="785">
        <f>IFERROR(VLOOKUP($Q868,'391'!$S:$AG,15,0),0)</f>
        <v>0</v>
      </c>
      <c r="X868" s="1090">
        <f t="shared" si="516"/>
        <v>0</v>
      </c>
      <c r="Y868" s="785"/>
      <c r="Z868" s="785"/>
      <c r="AA868" s="787"/>
      <c r="AB868" s="787"/>
      <c r="AC868" s="679"/>
      <c r="AD868" s="679"/>
      <c r="AE868" s="679"/>
      <c r="AF868" s="679"/>
      <c r="AG868" s="679"/>
      <c r="AH868" s="679"/>
      <c r="AI868" s="682"/>
      <c r="AJ868" s="682"/>
      <c r="AK868" s="682"/>
      <c r="AL868" s="682"/>
      <c r="AM868" s="682"/>
      <c r="AN868" s="682"/>
      <c r="AO868" s="682"/>
      <c r="AP868" s="682"/>
      <c r="AQ868" s="682"/>
      <c r="AR868" s="682"/>
      <c r="AS868" s="682"/>
    </row>
    <row r="869" spans="1:45" s="6" customFormat="1" ht="30" customHeight="1" x14ac:dyDescent="0.25">
      <c r="A869" s="1998"/>
      <c r="B869" s="2067"/>
      <c r="C869" s="120" t="s">
        <v>192</v>
      </c>
      <c r="D869" s="887" t="s">
        <v>10</v>
      </c>
      <c r="E869" s="888">
        <v>46263</v>
      </c>
      <c r="F869" s="70">
        <f t="shared" si="535"/>
        <v>23</v>
      </c>
      <c r="G869" s="12">
        <v>2500</v>
      </c>
      <c r="H869" s="12"/>
      <c r="I869" s="12"/>
      <c r="J869" s="1368"/>
      <c r="K869" s="958">
        <f>IFERROR(SUMIF(INTAKE!$A:$A,$T869,INTAKE!$P:$P),0)</f>
        <v>0</v>
      </c>
      <c r="L869" s="1702">
        <f t="shared" si="536"/>
        <v>2500</v>
      </c>
      <c r="M869" s="101"/>
      <c r="N869" s="101"/>
      <c r="O869" s="101"/>
      <c r="P869" s="738"/>
      <c r="Q869" s="795"/>
      <c r="R869" s="785">
        <f>IFERROR(VLOOKUP($Q869,'391'!$S:$Z,8,0),"")</f>
        <v>0</v>
      </c>
      <c r="S869" s="786"/>
      <c r="T869" s="787" t="str">
        <f t="shared" si="537"/>
        <v>Sodium BicabonateZ3.246263</v>
      </c>
      <c r="U869" s="787"/>
      <c r="V869" s="787"/>
      <c r="W869" s="785">
        <f>IFERROR(VLOOKUP($Q869,'391'!$S:$AG,15,0),0)</f>
        <v>0</v>
      </c>
      <c r="X869" s="1090">
        <f t="shared" si="516"/>
        <v>2500</v>
      </c>
      <c r="Y869" s="785"/>
      <c r="Z869" s="785"/>
      <c r="AA869" s="787"/>
      <c r="AB869" s="787"/>
      <c r="AC869" s="679"/>
      <c r="AD869" s="679"/>
      <c r="AE869" s="679"/>
      <c r="AF869" s="679"/>
      <c r="AG869" s="679"/>
      <c r="AH869" s="679"/>
      <c r="AI869" s="682"/>
      <c r="AJ869" s="682"/>
      <c r="AK869" s="682"/>
      <c r="AL869" s="682"/>
      <c r="AM869" s="682"/>
      <c r="AN869" s="682"/>
      <c r="AO869" s="682"/>
      <c r="AP869" s="682"/>
      <c r="AQ869" s="682"/>
      <c r="AR869" s="682"/>
      <c r="AS869" s="682"/>
    </row>
    <row r="870" spans="1:45" s="6" customFormat="1" ht="30" customHeight="1" x14ac:dyDescent="0.25">
      <c r="A870" s="1998"/>
      <c r="B870" s="2067"/>
      <c r="C870" s="120" t="s">
        <v>1925</v>
      </c>
      <c r="D870" s="887" t="s">
        <v>10</v>
      </c>
      <c r="E870" s="888">
        <v>46281</v>
      </c>
      <c r="F870" s="70">
        <f t="shared" ref="F870" si="538">$L$7-E870</f>
        <v>5</v>
      </c>
      <c r="G870" s="12">
        <v>2500</v>
      </c>
      <c r="H870" s="1379"/>
      <c r="I870" s="12"/>
      <c r="J870" s="1368"/>
      <c r="K870" s="958">
        <f>IFERROR(SUMIF(INTAKE!$A:$A,$T870,INTAKE!$P:$P),0)</f>
        <v>0</v>
      </c>
      <c r="L870" s="1702">
        <f t="shared" si="536"/>
        <v>2500</v>
      </c>
      <c r="M870" s="23"/>
      <c r="N870" s="23"/>
      <c r="O870" s="23"/>
      <c r="P870" s="736"/>
      <c r="Q870" s="795"/>
      <c r="R870" s="785">
        <f>IFERROR(VLOOKUP($Q870,'391'!$S:$Z,8,0),"")</f>
        <v>0</v>
      </c>
      <c r="S870" s="786"/>
      <c r="T870" s="787" t="str">
        <f t="shared" si="537"/>
        <v>Sodium BicabonateV5.346281</v>
      </c>
      <c r="U870" s="787"/>
      <c r="V870" s="787"/>
      <c r="W870" s="785">
        <f>IFERROR(VLOOKUP($Q870,'391'!$S:$AG,15,0),0)</f>
        <v>0</v>
      </c>
      <c r="X870" s="1090">
        <f t="shared" ref="X870:X898" si="539">G870-W870</f>
        <v>2500</v>
      </c>
      <c r="Y870" s="785"/>
      <c r="Z870" s="785"/>
      <c r="AA870" s="787"/>
      <c r="AB870" s="787"/>
      <c r="AC870" s="679"/>
      <c r="AD870" s="679"/>
      <c r="AE870" s="679"/>
      <c r="AF870" s="679"/>
      <c r="AG870" s="679"/>
      <c r="AH870" s="679"/>
      <c r="AI870" s="682"/>
      <c r="AJ870" s="682"/>
      <c r="AK870" s="682"/>
      <c r="AL870" s="682"/>
      <c r="AM870" s="682"/>
      <c r="AN870" s="682"/>
      <c r="AO870" s="682"/>
      <c r="AP870" s="682"/>
      <c r="AQ870" s="682"/>
      <c r="AR870" s="682"/>
      <c r="AS870" s="682"/>
    </row>
    <row r="871" spans="1:45" s="6" customFormat="1" ht="30" customHeight="1" x14ac:dyDescent="0.25">
      <c r="A871" s="1998"/>
      <c r="B871" s="2072"/>
      <c r="C871" s="120" t="s">
        <v>1856</v>
      </c>
      <c r="D871" s="887" t="s">
        <v>10</v>
      </c>
      <c r="E871" s="888">
        <v>46281</v>
      </c>
      <c r="F871" s="70">
        <f t="shared" ref="F871" si="540">$L$7-E871</f>
        <v>5</v>
      </c>
      <c r="G871" s="12">
        <v>2500</v>
      </c>
      <c r="H871" s="1379"/>
      <c r="I871" s="12"/>
      <c r="J871" s="1368"/>
      <c r="K871" s="958">
        <f>IFERROR(SUMIF(INTAKE!$A:$A,$T871,INTAKE!$P:$P),0)</f>
        <v>0</v>
      </c>
      <c r="L871" s="1711">
        <f t="shared" si="536"/>
        <v>2500</v>
      </c>
      <c r="M871" s="23"/>
      <c r="N871" s="23"/>
      <c r="O871" s="23"/>
      <c r="P871" s="736"/>
      <c r="Q871" s="795"/>
      <c r="R871" s="785">
        <f>IFERROR(VLOOKUP($Q871,'391'!$S:$Z,8,0),"")</f>
        <v>0</v>
      </c>
      <c r="S871" s="786"/>
      <c r="T871" s="787" t="str">
        <f t="shared" si="537"/>
        <v>Sodium BicabonateZ1.346281</v>
      </c>
      <c r="U871" s="787"/>
      <c r="V871" s="787"/>
      <c r="W871" s="785">
        <f>IFERROR(VLOOKUP($Q871,'391'!$S:$AG,15,0),0)</f>
        <v>0</v>
      </c>
      <c r="X871" s="1090">
        <f t="shared" ref="X871:X872" si="541">G871-W871</f>
        <v>2500</v>
      </c>
      <c r="Y871" s="785"/>
      <c r="Z871" s="785"/>
      <c r="AA871" s="787"/>
      <c r="AB871" s="787"/>
      <c r="AC871" s="679"/>
      <c r="AD871" s="679"/>
      <c r="AE871" s="679"/>
      <c r="AF871" s="679"/>
      <c r="AG871" s="679"/>
      <c r="AH871" s="679"/>
      <c r="AI871" s="682"/>
      <c r="AJ871" s="682"/>
      <c r="AK871" s="682"/>
      <c r="AL871" s="682"/>
      <c r="AM871" s="682"/>
      <c r="AN871" s="682"/>
      <c r="AO871" s="682"/>
      <c r="AP871" s="682"/>
      <c r="AQ871" s="682"/>
      <c r="AR871" s="682"/>
      <c r="AS871" s="682"/>
    </row>
    <row r="872" spans="1:45" s="6" customFormat="1" ht="30" customHeight="1" x14ac:dyDescent="0.25">
      <c r="A872" s="1998"/>
      <c r="B872" s="2072"/>
      <c r="C872" s="120" t="s">
        <v>264</v>
      </c>
      <c r="D872" s="887" t="s">
        <v>10</v>
      </c>
      <c r="E872" s="888">
        <v>46281</v>
      </c>
      <c r="F872" s="70">
        <f t="shared" ref="F872" si="542">$L$7-E872</f>
        <v>5</v>
      </c>
      <c r="G872" s="12">
        <v>2500</v>
      </c>
      <c r="H872" s="1379"/>
      <c r="I872" s="12"/>
      <c r="J872" s="1368"/>
      <c r="K872" s="958">
        <f>IFERROR(SUMIF(INTAKE!$A:$A,$T872,INTAKE!$P:$P),0)</f>
        <v>0</v>
      </c>
      <c r="L872" s="1711">
        <f t="shared" ref="L872" si="543">+G872+H872+I872-J872-K872</f>
        <v>2500</v>
      </c>
      <c r="M872" s="23"/>
      <c r="N872" s="23"/>
      <c r="O872" s="23"/>
      <c r="P872" s="736"/>
      <c r="Q872" s="795"/>
      <c r="R872" s="785">
        <f>IFERROR(VLOOKUP($Q872,'391'!$S:$Z,8,0),"")</f>
        <v>0</v>
      </c>
      <c r="S872" s="786"/>
      <c r="T872" s="787" t="str">
        <f t="shared" si="537"/>
        <v>Sodium BicabonateZ5.246281</v>
      </c>
      <c r="U872" s="787"/>
      <c r="V872" s="787"/>
      <c r="W872" s="785">
        <f>IFERROR(VLOOKUP($Q872,'391'!$S:$AG,15,0),0)</f>
        <v>0</v>
      </c>
      <c r="X872" s="1090">
        <f t="shared" si="541"/>
        <v>2500</v>
      </c>
      <c r="Y872" s="785"/>
      <c r="Z872" s="785"/>
      <c r="AA872" s="787"/>
      <c r="AB872" s="787"/>
      <c r="AC872" s="679"/>
      <c r="AD872" s="679"/>
      <c r="AE872" s="679"/>
      <c r="AF872" s="679"/>
      <c r="AG872" s="679"/>
      <c r="AH872" s="679"/>
      <c r="AI872" s="682"/>
      <c r="AJ872" s="682"/>
      <c r="AK872" s="682"/>
      <c r="AL872" s="682"/>
      <c r="AM872" s="682"/>
      <c r="AN872" s="682"/>
      <c r="AO872" s="682"/>
      <c r="AP872" s="682"/>
      <c r="AQ872" s="682"/>
      <c r="AR872" s="682"/>
      <c r="AS872" s="682"/>
    </row>
    <row r="873" spans="1:45" s="6" customFormat="1" ht="30" customHeight="1" x14ac:dyDescent="0.25">
      <c r="A873" s="1998"/>
      <c r="B873" s="2072"/>
      <c r="C873" s="120" t="s">
        <v>1887</v>
      </c>
      <c r="D873" s="887" t="s">
        <v>10</v>
      </c>
      <c r="E873" s="888">
        <v>46281</v>
      </c>
      <c r="F873" s="70">
        <f t="shared" ref="F873:F874" si="544">$L$7-E873</f>
        <v>5</v>
      </c>
      <c r="G873" s="12">
        <v>2500</v>
      </c>
      <c r="H873" s="1379"/>
      <c r="I873" s="12"/>
      <c r="J873" s="1368"/>
      <c r="K873" s="958">
        <f>IFERROR(SUMIF(INTAKE!$A:$A,$T873,INTAKE!$P:$P),0)</f>
        <v>0</v>
      </c>
      <c r="L873" s="1711">
        <f t="shared" si="536"/>
        <v>2500</v>
      </c>
      <c r="M873" s="23"/>
      <c r="N873" s="23"/>
      <c r="O873" s="23"/>
      <c r="P873" s="736"/>
      <c r="Q873" s="795"/>
      <c r="R873" s="785">
        <f>IFERROR(VLOOKUP($Q873,'391'!$S:$Z,8,0),"")</f>
        <v>0</v>
      </c>
      <c r="S873" s="786"/>
      <c r="T873" s="787" t="str">
        <f t="shared" si="537"/>
        <v>Sodium BicabonateZ6.346281</v>
      </c>
      <c r="U873" s="787"/>
      <c r="V873" s="787"/>
      <c r="W873" s="785">
        <f>IFERROR(VLOOKUP($Q873,'391'!$S:$AG,15,0),0)</f>
        <v>0</v>
      </c>
      <c r="X873" s="1090">
        <f t="shared" si="539"/>
        <v>2500</v>
      </c>
      <c r="Y873" s="785"/>
      <c r="Z873" s="785"/>
      <c r="AA873" s="787"/>
      <c r="AB873" s="787"/>
      <c r="AC873" s="679"/>
      <c r="AD873" s="679"/>
      <c r="AE873" s="679"/>
      <c r="AF873" s="679"/>
      <c r="AG873" s="679"/>
      <c r="AH873" s="679"/>
      <c r="AI873" s="682"/>
      <c r="AJ873" s="682"/>
      <c r="AK873" s="682"/>
      <c r="AL873" s="682"/>
      <c r="AM873" s="682"/>
      <c r="AN873" s="682"/>
      <c r="AO873" s="682"/>
      <c r="AP873" s="682"/>
      <c r="AQ873" s="682"/>
      <c r="AR873" s="682"/>
      <c r="AS873" s="682"/>
    </row>
    <row r="874" spans="1:45" s="406" customFormat="1" ht="30" customHeight="1" x14ac:dyDescent="0.25">
      <c r="A874" s="1998"/>
      <c r="B874" s="2068"/>
      <c r="C874" s="61" t="s">
        <v>46</v>
      </c>
      <c r="D874" s="863" t="s">
        <v>10</v>
      </c>
      <c r="E874" s="886">
        <v>46263</v>
      </c>
      <c r="F874" s="39">
        <f t="shared" si="544"/>
        <v>23</v>
      </c>
      <c r="G874" s="37">
        <v>2408.0100000000007</v>
      </c>
      <c r="H874" s="37"/>
      <c r="I874" s="37">
        <f>K868+K869+K870</f>
        <v>0</v>
      </c>
      <c r="J874" s="1398">
        <f>usage!I73</f>
        <v>693.5</v>
      </c>
      <c r="K874" s="37"/>
      <c r="L874" s="1533">
        <f t="shared" si="536"/>
        <v>1714.5100000000007</v>
      </c>
      <c r="M874" s="40"/>
      <c r="N874" s="1471"/>
      <c r="O874" s="40"/>
      <c r="P874" s="975"/>
      <c r="Q874" s="795"/>
      <c r="R874" s="785">
        <f>IFERROR(VLOOKUP($Q874,'391'!$S:$Z,8,0),"")</f>
        <v>0</v>
      </c>
      <c r="S874" s="786"/>
      <c r="T874" s="787" t="str">
        <f t="shared" si="537"/>
        <v>Sodium BicabonateFeedmill46263</v>
      </c>
      <c r="U874" s="787"/>
      <c r="V874" s="787"/>
      <c r="W874" s="785">
        <f>IFERROR(VLOOKUP($Q874,'391'!$S:$AG,15,0),0)</f>
        <v>0</v>
      </c>
      <c r="X874" s="1090">
        <f t="shared" si="539"/>
        <v>2408.0100000000007</v>
      </c>
      <c r="Y874" s="785"/>
      <c r="Z874" s="785"/>
      <c r="AA874" s="787"/>
      <c r="AB874" s="787"/>
      <c r="AC874" s="679"/>
      <c r="AD874" s="679"/>
      <c r="AE874" s="679"/>
      <c r="AF874" s="679"/>
      <c r="AG874" s="679"/>
      <c r="AH874" s="679"/>
      <c r="AI874" s="682"/>
      <c r="AJ874" s="682"/>
      <c r="AK874" s="682"/>
      <c r="AL874" s="682"/>
      <c r="AM874" s="682"/>
      <c r="AN874" s="682"/>
      <c r="AO874" s="682"/>
      <c r="AP874" s="682"/>
      <c r="AQ874" s="682"/>
      <c r="AR874" s="682"/>
      <c r="AS874" s="682"/>
    </row>
    <row r="875" spans="1:45" s="265" customFormat="1" ht="30" customHeight="1" x14ac:dyDescent="0.25">
      <c r="A875" s="2019" t="s">
        <v>598</v>
      </c>
      <c r="B875" s="2020"/>
      <c r="C875" s="929"/>
      <c r="D875" s="864"/>
      <c r="E875" s="864"/>
      <c r="F875" s="865"/>
      <c r="G875" s="1297">
        <v>14908.01</v>
      </c>
      <c r="H875" s="1297">
        <f t="shared" ref="H875:L875" si="545">SUM(H868:H874)</f>
        <v>0</v>
      </c>
      <c r="I875" s="1297">
        <f t="shared" si="545"/>
        <v>0</v>
      </c>
      <c r="J875" s="1297">
        <f t="shared" si="545"/>
        <v>693.5</v>
      </c>
      <c r="K875" s="1297">
        <f t="shared" si="545"/>
        <v>0</v>
      </c>
      <c r="L875" s="1297">
        <f t="shared" si="545"/>
        <v>14214.51</v>
      </c>
      <c r="M875" s="59">
        <f>IFERROR((R875/$S$2),"")</f>
        <v>626.98333333333335</v>
      </c>
      <c r="N875" s="366">
        <f>IFERROR(L875/M875,0)</f>
        <v>22.671272495281638</v>
      </c>
      <c r="O875" s="59">
        <f>IFERROR(SUMIF(ETM!$A:$A,$Q875,ETM!$E:$E),"")</f>
        <v>643.50000000000011</v>
      </c>
      <c r="P875" s="880">
        <f>IFERROR(L875/O875,0)</f>
        <v>22.089370629370627</v>
      </c>
      <c r="Q875" s="814" t="s">
        <v>664</v>
      </c>
      <c r="R875" s="785">
        <f>IFERROR(VLOOKUP($Q875,'391'!$S:$Z,8,0),"")</f>
        <v>3761.9</v>
      </c>
      <c r="S875" s="796"/>
      <c r="T875" s="797"/>
      <c r="U875" s="797"/>
      <c r="V875" s="797"/>
      <c r="W875" s="785">
        <f>IFERROR(VLOOKUP($Q875,'391'!$S:$AG,15,0),0)</f>
        <v>14908.01</v>
      </c>
      <c r="X875" s="1090">
        <f t="shared" si="539"/>
        <v>0</v>
      </c>
      <c r="Y875" s="785"/>
      <c r="Z875" s="785"/>
      <c r="AA875" s="797"/>
      <c r="AB875" s="797"/>
      <c r="AC875" s="551"/>
      <c r="AD875" s="551"/>
      <c r="AE875" s="551"/>
      <c r="AF875" s="551"/>
      <c r="AG875" s="551"/>
      <c r="AH875" s="551"/>
      <c r="AI875" s="704"/>
      <c r="AJ875" s="704"/>
      <c r="AK875" s="704"/>
      <c r="AL875" s="704"/>
      <c r="AM875" s="704"/>
      <c r="AN875" s="704"/>
      <c r="AO875" s="704"/>
      <c r="AP875" s="704"/>
      <c r="AQ875" s="704"/>
      <c r="AR875" s="704"/>
      <c r="AS875" s="704"/>
    </row>
    <row r="876" spans="1:45" s="6" customFormat="1" ht="30" hidden="1" customHeight="1" x14ac:dyDescent="0.25">
      <c r="A876" s="2073">
        <f>IF(L882=0,"",MAX($A$16:A875)+1)</f>
        <v>55</v>
      </c>
      <c r="B876" s="2066" t="s">
        <v>13</v>
      </c>
      <c r="C876" s="120"/>
      <c r="D876" s="887" t="s">
        <v>10</v>
      </c>
      <c r="E876" s="962">
        <v>45862</v>
      </c>
      <c r="F876" s="70">
        <f t="shared" ref="F876:F879" si="546">$L$7-E876</f>
        <v>424</v>
      </c>
      <c r="G876" s="12">
        <v>0</v>
      </c>
      <c r="H876" s="12"/>
      <c r="I876" s="12"/>
      <c r="J876" s="1368"/>
      <c r="K876" s="12">
        <f>IFERROR(SUMIF(INTAKE!$A:$A,$T876,INTAKE!$P:$P),0)</f>
        <v>0</v>
      </c>
      <c r="L876" s="1702">
        <f t="shared" ref="L876:L881" si="547">+G876+H876+I876-J876-K876</f>
        <v>0</v>
      </c>
      <c r="M876" s="147"/>
      <c r="N876" s="920"/>
      <c r="O876" s="147"/>
      <c r="P876" s="734"/>
      <c r="Q876" s="795"/>
      <c r="R876" s="785">
        <f>IFERROR(VLOOKUP($Q876,'391'!$S:$Z,8,0),"")</f>
        <v>0</v>
      </c>
      <c r="S876" s="786"/>
      <c r="T876" s="787" t="str">
        <f t="shared" ref="T876:T881" si="548">$Q$882&amp;C876&amp;E876</f>
        <v>Endox Dry (Singapore)45862</v>
      </c>
      <c r="U876" s="787"/>
      <c r="V876" s="787"/>
      <c r="W876" s="785">
        <f>IFERROR(VLOOKUP($Q876,'391'!$S:$AG,15,0),0)</f>
        <v>0</v>
      </c>
      <c r="X876" s="1090">
        <f t="shared" si="539"/>
        <v>0</v>
      </c>
      <c r="Y876" s="785"/>
      <c r="Z876" s="785"/>
      <c r="AA876" s="787"/>
      <c r="AB876" s="787"/>
      <c r="AC876" s="679"/>
      <c r="AD876" s="679"/>
      <c r="AE876" s="679"/>
      <c r="AF876" s="679"/>
      <c r="AG876" s="679"/>
      <c r="AH876" s="679"/>
      <c r="AI876" s="682"/>
      <c r="AJ876" s="682"/>
      <c r="AK876" s="682"/>
      <c r="AL876" s="682"/>
      <c r="AM876" s="682"/>
      <c r="AN876" s="682"/>
      <c r="AO876" s="682"/>
      <c r="AP876" s="682"/>
      <c r="AQ876" s="682"/>
      <c r="AR876" s="682"/>
      <c r="AS876" s="682"/>
    </row>
    <row r="877" spans="1:45" s="6" customFormat="1" ht="30" customHeight="1" x14ac:dyDescent="0.25">
      <c r="A877" s="2070"/>
      <c r="B877" s="2067"/>
      <c r="C877" s="120" t="s">
        <v>1835</v>
      </c>
      <c r="D877" s="887" t="s">
        <v>10</v>
      </c>
      <c r="E877" s="962">
        <v>46270</v>
      </c>
      <c r="F877" s="70">
        <f t="shared" ref="F877:F878" si="549">$L$7-E877</f>
        <v>16</v>
      </c>
      <c r="G877" s="12">
        <v>725</v>
      </c>
      <c r="H877" s="12"/>
      <c r="I877" s="12"/>
      <c r="J877" s="1368"/>
      <c r="K877" s="12">
        <f>IFERROR(SUMIF(INTAKE!$A:$A,$T877,INTAKE!$P:$P),0)</f>
        <v>125</v>
      </c>
      <c r="L877" s="1702">
        <f t="shared" si="547"/>
        <v>600</v>
      </c>
      <c r="M877" s="101"/>
      <c r="N877" s="249"/>
      <c r="O877" s="101"/>
      <c r="P877" s="738"/>
      <c r="Q877" s="795"/>
      <c r="R877" s="785">
        <f>IFERROR(VLOOKUP($Q877,'391'!$S:$Z,8,0),"")</f>
        <v>0</v>
      </c>
      <c r="S877" s="786"/>
      <c r="T877" s="787" t="str">
        <f t="shared" si="548"/>
        <v>Endox Dry (Singapore)Z3.146270</v>
      </c>
      <c r="U877" s="787"/>
      <c r="V877" s="787"/>
      <c r="W877" s="785">
        <f>IFERROR(VLOOKUP($Q877,'391'!$S:$AG,15,0),0)</f>
        <v>0</v>
      </c>
      <c r="X877" s="1090">
        <f t="shared" si="539"/>
        <v>725</v>
      </c>
      <c r="Y877" s="785"/>
      <c r="Z877" s="785"/>
      <c r="AA877" s="787"/>
      <c r="AB877" s="787"/>
      <c r="AC877" s="679"/>
      <c r="AD877" s="679"/>
      <c r="AE877" s="679"/>
      <c r="AF877" s="679"/>
      <c r="AG877" s="679"/>
      <c r="AH877" s="679"/>
      <c r="AI877" s="682"/>
      <c r="AJ877" s="682"/>
      <c r="AK877" s="682"/>
      <c r="AL877" s="682"/>
      <c r="AM877" s="682"/>
      <c r="AN877" s="682"/>
      <c r="AO877" s="682"/>
      <c r="AP877" s="682"/>
      <c r="AQ877" s="682"/>
      <c r="AR877" s="682"/>
      <c r="AS877" s="682"/>
    </row>
    <row r="878" spans="1:45" s="6" customFormat="1" ht="30" customHeight="1" x14ac:dyDescent="0.25">
      <c r="A878" s="2070"/>
      <c r="B878" s="2067"/>
      <c r="C878" s="120" t="s">
        <v>596</v>
      </c>
      <c r="D878" s="887" t="s">
        <v>10</v>
      </c>
      <c r="E878" s="962">
        <v>46275</v>
      </c>
      <c r="F878" s="70">
        <f t="shared" si="549"/>
        <v>11</v>
      </c>
      <c r="G878" s="12">
        <v>1000</v>
      </c>
      <c r="H878" s="12"/>
      <c r="I878" s="12"/>
      <c r="J878" s="1368"/>
      <c r="K878" s="12">
        <f>IFERROR(SUMIF(INTAKE!$A:$A,$T878,INTAKE!$P:$P),0)</f>
        <v>0</v>
      </c>
      <c r="L878" s="1702">
        <f t="shared" si="547"/>
        <v>1000</v>
      </c>
      <c r="M878" s="101"/>
      <c r="N878" s="249"/>
      <c r="O878" s="101"/>
      <c r="P878" s="738"/>
      <c r="Q878" s="795"/>
      <c r="R878" s="785">
        <f>IFERROR(VLOOKUP($Q878,'391'!$S:$Z,8,0),"")</f>
        <v>0</v>
      </c>
      <c r="S878" s="786"/>
      <c r="T878" s="787" t="str">
        <f t="shared" si="548"/>
        <v>Endox Dry (Singapore)V2.146275</v>
      </c>
      <c r="U878" s="787"/>
      <c r="V878" s="787"/>
      <c r="W878" s="785">
        <f>IFERROR(VLOOKUP($Q878,'391'!$S:$AG,15,0),0)</f>
        <v>0</v>
      </c>
      <c r="X878" s="1090">
        <f t="shared" si="539"/>
        <v>1000</v>
      </c>
      <c r="Y878" s="785"/>
      <c r="Z878" s="785"/>
      <c r="AA878" s="787"/>
      <c r="AB878" s="787"/>
      <c r="AC878" s="679"/>
      <c r="AD878" s="679"/>
      <c r="AE878" s="679"/>
      <c r="AF878" s="679"/>
      <c r="AG878" s="679"/>
      <c r="AH878" s="679"/>
      <c r="AI878" s="682"/>
      <c r="AJ878" s="682"/>
      <c r="AK878" s="682"/>
      <c r="AL878" s="682"/>
      <c r="AM878" s="682"/>
      <c r="AN878" s="682"/>
      <c r="AO878" s="682"/>
      <c r="AP878" s="682"/>
      <c r="AQ878" s="682"/>
      <c r="AR878" s="682"/>
      <c r="AS878" s="682"/>
    </row>
    <row r="879" spans="1:45" s="6" customFormat="1" ht="28.5" hidden="1" customHeight="1" x14ac:dyDescent="0.25">
      <c r="A879" s="2070"/>
      <c r="B879" s="2072"/>
      <c r="C879" s="120"/>
      <c r="D879" s="887" t="s">
        <v>10</v>
      </c>
      <c r="E879" s="962">
        <v>46275</v>
      </c>
      <c r="F879" s="70">
        <f t="shared" si="546"/>
        <v>11</v>
      </c>
      <c r="G879" s="12">
        <v>0</v>
      </c>
      <c r="H879" s="12"/>
      <c r="I879" s="12"/>
      <c r="J879" s="1368"/>
      <c r="K879" s="12">
        <f>IFERROR(SUMIF(INTAKE!$A:$A,$T879,INTAKE!$P:$P),0)</f>
        <v>0</v>
      </c>
      <c r="L879" s="1711">
        <f t="shared" si="547"/>
        <v>0</v>
      </c>
      <c r="M879" s="101"/>
      <c r="N879" s="249"/>
      <c r="O879" s="101"/>
      <c r="P879" s="738"/>
      <c r="Q879" s="795"/>
      <c r="R879" s="785">
        <f>IFERROR(VLOOKUP($Q879,'391'!$S:$Z,8,0),"")</f>
        <v>0</v>
      </c>
      <c r="S879" s="786"/>
      <c r="T879" s="787" t="str">
        <f t="shared" si="548"/>
        <v>Endox Dry (Singapore)46275</v>
      </c>
      <c r="U879" s="787"/>
      <c r="V879" s="787"/>
      <c r="W879" s="785">
        <f>IFERROR(VLOOKUP($Q879,'391'!$S:$AG,15,0),0)</f>
        <v>0</v>
      </c>
      <c r="X879" s="1090">
        <f t="shared" si="539"/>
        <v>0</v>
      </c>
      <c r="Y879" s="785"/>
      <c r="Z879" s="785"/>
      <c r="AA879" s="787"/>
      <c r="AB879" s="787"/>
      <c r="AC879" s="679"/>
      <c r="AD879" s="679"/>
      <c r="AE879" s="679"/>
      <c r="AF879" s="679"/>
      <c r="AG879" s="679"/>
      <c r="AH879" s="679"/>
      <c r="AI879" s="682"/>
      <c r="AJ879" s="682"/>
      <c r="AK879" s="682"/>
      <c r="AL879" s="682"/>
      <c r="AM879" s="682"/>
      <c r="AN879" s="682"/>
      <c r="AO879" s="682"/>
      <c r="AP879" s="682"/>
      <c r="AQ879" s="682"/>
      <c r="AR879" s="682"/>
      <c r="AS879" s="682"/>
    </row>
    <row r="880" spans="1:45" s="6" customFormat="1" ht="30" hidden="1" customHeight="1" x14ac:dyDescent="0.25">
      <c r="A880" s="2070"/>
      <c r="B880" s="2067"/>
      <c r="C880" s="120"/>
      <c r="D880" s="887" t="s">
        <v>10</v>
      </c>
      <c r="E880" s="962">
        <v>46275</v>
      </c>
      <c r="F880" s="70">
        <f t="shared" ref="F880:F881" si="550">$L$7-E880</f>
        <v>11</v>
      </c>
      <c r="G880" s="12">
        <v>0</v>
      </c>
      <c r="H880" s="12"/>
      <c r="I880" s="12"/>
      <c r="J880" s="1368"/>
      <c r="K880" s="12">
        <f>IFERROR(SUMIF(INTAKE!$A:$A,$T880,INTAKE!$P:$P),0)</f>
        <v>0</v>
      </c>
      <c r="L880" s="1702">
        <f t="shared" si="547"/>
        <v>0</v>
      </c>
      <c r="M880" s="101"/>
      <c r="N880" s="249"/>
      <c r="O880" s="101"/>
      <c r="P880" s="738"/>
      <c r="Q880" s="795"/>
      <c r="R880" s="785">
        <f>IFERROR(VLOOKUP($Q880,'391'!$S:$Z,8,0),"")</f>
        <v>0</v>
      </c>
      <c r="S880" s="786"/>
      <c r="T880" s="787" t="str">
        <f t="shared" si="548"/>
        <v>Endox Dry (Singapore)46275</v>
      </c>
      <c r="U880" s="787"/>
      <c r="V880" s="787"/>
      <c r="W880" s="785">
        <f>IFERROR(VLOOKUP($Q880,'391'!$S:$AG,15,0),0)</f>
        <v>0</v>
      </c>
      <c r="X880" s="1090">
        <f t="shared" si="539"/>
        <v>0</v>
      </c>
      <c r="Y880" s="785"/>
      <c r="Z880" s="785"/>
      <c r="AA880" s="787"/>
      <c r="AB880" s="787"/>
      <c r="AC880" s="679"/>
      <c r="AD880" s="679"/>
      <c r="AE880" s="679"/>
      <c r="AF880" s="679"/>
      <c r="AG880" s="679"/>
      <c r="AH880" s="679"/>
      <c r="AI880" s="682"/>
      <c r="AJ880" s="682"/>
      <c r="AK880" s="682"/>
      <c r="AL880" s="682"/>
      <c r="AM880" s="682"/>
      <c r="AN880" s="682"/>
      <c r="AO880" s="682"/>
      <c r="AP880" s="682"/>
      <c r="AQ880" s="682"/>
      <c r="AR880" s="682"/>
      <c r="AS880" s="682"/>
    </row>
    <row r="881" spans="1:45" s="6" customFormat="1" ht="30" customHeight="1" x14ac:dyDescent="0.25">
      <c r="A881" s="2070"/>
      <c r="B881" s="2067"/>
      <c r="C881" s="187" t="s">
        <v>46</v>
      </c>
      <c r="D881" s="852" t="s">
        <v>10</v>
      </c>
      <c r="E881" s="968">
        <v>46270</v>
      </c>
      <c r="F881" s="73">
        <f t="shared" si="550"/>
        <v>16</v>
      </c>
      <c r="G881" s="58">
        <v>240.54000000000008</v>
      </c>
      <c r="H881" s="11"/>
      <c r="I881" s="58">
        <f>+SUM(K876:K880)</f>
        <v>125</v>
      </c>
      <c r="J881" s="1365">
        <f>+usage!I113</f>
        <v>81.459999999999994</v>
      </c>
      <c r="K881" s="12">
        <f>IFERROR(SUMIF(INTAKE!$A:$A,$T881,INTAKE!$P:$P),0)</f>
        <v>0</v>
      </c>
      <c r="L881" s="1533">
        <f t="shared" si="547"/>
        <v>284.0800000000001</v>
      </c>
      <c r="M881" s="101"/>
      <c r="N881" s="249"/>
      <c r="O881" s="101"/>
      <c r="P881" s="738"/>
      <c r="Q881" s="795"/>
      <c r="R881" s="785">
        <f>IFERROR(VLOOKUP($Q881,'391'!$S:$Z,8,0),"")</f>
        <v>0</v>
      </c>
      <c r="S881" s="786"/>
      <c r="T881" s="787" t="str">
        <f t="shared" si="548"/>
        <v>Endox Dry (Singapore)Feedmill46270</v>
      </c>
      <c r="U881" s="787"/>
      <c r="V881" s="787"/>
      <c r="W881" s="785">
        <f>IFERROR(VLOOKUP($Q881,'391'!$S:$AG,15,0),0)</f>
        <v>0</v>
      </c>
      <c r="X881" s="1090">
        <f t="shared" si="539"/>
        <v>240.54000000000008</v>
      </c>
      <c r="Y881" s="785"/>
      <c r="Z881" s="785"/>
      <c r="AA881" s="787"/>
      <c r="AB881" s="787"/>
      <c r="AC881" s="679"/>
      <c r="AD881" s="679"/>
      <c r="AE881" s="679"/>
      <c r="AF881" s="679"/>
      <c r="AG881" s="679"/>
      <c r="AH881" s="679"/>
      <c r="AI881" s="682"/>
      <c r="AJ881" s="682"/>
      <c r="AK881" s="682"/>
      <c r="AL881" s="682"/>
      <c r="AM881" s="682"/>
      <c r="AN881" s="682"/>
      <c r="AO881" s="682"/>
      <c r="AP881" s="682"/>
      <c r="AQ881" s="682"/>
      <c r="AR881" s="682"/>
      <c r="AS881" s="682"/>
    </row>
    <row r="882" spans="1:45" s="265" customFormat="1" ht="30" customHeight="1" x14ac:dyDescent="0.25">
      <c r="A882" s="2019" t="s">
        <v>16</v>
      </c>
      <c r="B882" s="2020"/>
      <c r="C882" s="88"/>
      <c r="D882" s="864"/>
      <c r="E882" s="864"/>
      <c r="F882" s="865"/>
      <c r="G882" s="1297">
        <v>1965.54</v>
      </c>
      <c r="H882" s="1297">
        <f t="shared" ref="H882:L882" si="551">SUM(H876:H881)</f>
        <v>0</v>
      </c>
      <c r="I882" s="1297">
        <f t="shared" si="551"/>
        <v>125</v>
      </c>
      <c r="J882" s="1297">
        <f t="shared" si="551"/>
        <v>81.459999999999994</v>
      </c>
      <c r="K882" s="1297">
        <f t="shared" si="551"/>
        <v>125</v>
      </c>
      <c r="L882" s="1297">
        <f t="shared" si="551"/>
        <v>1884.0800000000002</v>
      </c>
      <c r="M882" s="59">
        <f>IFERROR((R882/$S$2),"")</f>
        <v>153.66166666666666</v>
      </c>
      <c r="N882" s="854">
        <f>(L882/M882)</f>
        <v>12.261223250214217</v>
      </c>
      <c r="O882" s="59">
        <f>IFERROR(SUMIF(ETM!$A:$A,$Q882,ETM!$E:$E),"")</f>
        <v>143.5</v>
      </c>
      <c r="P882" s="880">
        <f>IFERROR(L882/O882,0)</f>
        <v>13.129477351916377</v>
      </c>
      <c r="Q882" s="814" t="s">
        <v>665</v>
      </c>
      <c r="R882" s="785">
        <f>IFERROR(VLOOKUP($Q882,'391'!$S:$Z,8,0),"")</f>
        <v>921.97</v>
      </c>
      <c r="S882" s="796"/>
      <c r="T882" s="797"/>
      <c r="U882" s="797"/>
      <c r="V882" s="797"/>
      <c r="W882" s="785">
        <f>IFERROR(VLOOKUP($Q882,'391'!$S:$AG,15,0),0)</f>
        <v>1965.54</v>
      </c>
      <c r="X882" s="1090">
        <f t="shared" si="539"/>
        <v>0</v>
      </c>
      <c r="Y882" s="785"/>
      <c r="Z882" s="785"/>
      <c r="AA882" s="797"/>
      <c r="AB882" s="797"/>
      <c r="AC882" s="551"/>
      <c r="AD882" s="551"/>
      <c r="AE882" s="551"/>
      <c r="AF882" s="551"/>
      <c r="AG882" s="551"/>
      <c r="AH882" s="551"/>
      <c r="AI882" s="704"/>
      <c r="AJ882" s="704"/>
      <c r="AK882" s="704"/>
      <c r="AL882" s="704"/>
      <c r="AM882" s="704"/>
      <c r="AN882" s="704"/>
      <c r="AO882" s="704"/>
      <c r="AP882" s="704"/>
      <c r="AQ882" s="704"/>
      <c r="AR882" s="704"/>
      <c r="AS882" s="704"/>
    </row>
    <row r="883" spans="1:45" s="6" customFormat="1" ht="30" hidden="1" customHeight="1" x14ac:dyDescent="0.25">
      <c r="A883" s="1997" t="str">
        <f>IF(L890=0,"",MAX($A$16:A882)+1)</f>
        <v/>
      </c>
      <c r="B883" s="2066" t="s">
        <v>276</v>
      </c>
      <c r="C883" s="160" t="s">
        <v>509</v>
      </c>
      <c r="D883" s="887" t="s">
        <v>10</v>
      </c>
      <c r="E883" s="962">
        <v>44334</v>
      </c>
      <c r="F883" s="70">
        <f t="shared" ref="F883:F889" si="552">$L$7-E883</f>
        <v>1952</v>
      </c>
      <c r="G883" s="12">
        <v>0</v>
      </c>
      <c r="H883" s="12"/>
      <c r="I883" s="12"/>
      <c r="J883" s="1368"/>
      <c r="K883" s="12"/>
      <c r="L883" s="1533">
        <f t="shared" ref="L883:L898" si="553">+G883+H883+I883-J883-K883</f>
        <v>0</v>
      </c>
      <c r="M883" s="66"/>
      <c r="N883" s="920"/>
      <c r="O883" s="66"/>
      <c r="P883" s="744"/>
      <c r="Q883" s="795"/>
      <c r="R883" s="785">
        <f>IFERROR(VLOOKUP($Q883,'391'!$S:$Z,8,0),"")</f>
        <v>0</v>
      </c>
      <c r="S883" s="786"/>
      <c r="T883" s="787"/>
      <c r="U883" s="787"/>
      <c r="V883" s="787"/>
      <c r="W883" s="785">
        <f>IFERROR(VLOOKUP($Q883,'391'!$S:$AG,15,0),0)</f>
        <v>0</v>
      </c>
      <c r="X883" s="1090">
        <f t="shared" si="539"/>
        <v>0</v>
      </c>
      <c r="Y883" s="785"/>
      <c r="Z883" s="785"/>
      <c r="AA883" s="787"/>
      <c r="AB883" s="787"/>
      <c r="AC883" s="679"/>
      <c r="AD883" s="679"/>
      <c r="AE883" s="679"/>
      <c r="AF883" s="679"/>
      <c r="AG883" s="679"/>
      <c r="AH883" s="679"/>
      <c r="AI883" s="682"/>
      <c r="AJ883" s="682"/>
      <c r="AK883" s="682"/>
      <c r="AL883" s="682"/>
      <c r="AM883" s="682"/>
      <c r="AN883" s="682"/>
      <c r="AO883" s="682"/>
      <c r="AP883" s="682"/>
      <c r="AQ883" s="682"/>
      <c r="AR883" s="682"/>
      <c r="AS883" s="682"/>
    </row>
    <row r="884" spans="1:45" s="6" customFormat="1" ht="30" hidden="1" customHeight="1" x14ac:dyDescent="0.25">
      <c r="A884" s="1998"/>
      <c r="B884" s="2067"/>
      <c r="C884" s="160" t="s">
        <v>123</v>
      </c>
      <c r="D884" s="887" t="s">
        <v>10</v>
      </c>
      <c r="E884" s="962">
        <v>45290</v>
      </c>
      <c r="F884" s="70">
        <f t="shared" si="552"/>
        <v>996</v>
      </c>
      <c r="G884" s="12">
        <v>0</v>
      </c>
      <c r="H884" s="12"/>
      <c r="I884" s="12"/>
      <c r="J884" s="1368"/>
      <c r="K884" s="1379">
        <f>IFERROR(SUMIF(INTAKE!$A:$A,$T884,INTAKE!$P:$P),0)</f>
        <v>0</v>
      </c>
      <c r="L884" s="1533">
        <f t="shared" si="553"/>
        <v>0</v>
      </c>
      <c r="M884" s="101"/>
      <c r="N884" s="249"/>
      <c r="O884" s="101"/>
      <c r="P884" s="738"/>
      <c r="Q884" s="795"/>
      <c r="R884" s="785">
        <f>IFERROR(VLOOKUP($Q884,'391'!$S:$Z,8,0),"")</f>
        <v>0</v>
      </c>
      <c r="S884" s="786"/>
      <c r="T884" s="787" t="str">
        <f t="shared" ref="T884:T889" si="554">$Q$890&amp;C884&amp;E884</f>
        <v>Mycosorb A+A22.145290</v>
      </c>
      <c r="U884" s="787"/>
      <c r="V884" s="787"/>
      <c r="W884" s="785">
        <f>IFERROR(VLOOKUP($Q884,'391'!$S:$AG,15,0),0)</f>
        <v>0</v>
      </c>
      <c r="X884" s="1090">
        <f t="shared" si="539"/>
        <v>0</v>
      </c>
      <c r="Y884" s="785"/>
      <c r="Z884" s="785"/>
      <c r="AA884" s="787"/>
      <c r="AB884" s="787"/>
      <c r="AC884" s="679"/>
      <c r="AD884" s="679"/>
      <c r="AE884" s="679"/>
      <c r="AF884" s="679"/>
      <c r="AG884" s="679"/>
      <c r="AH884" s="679"/>
      <c r="AI884" s="682"/>
      <c r="AJ884" s="682"/>
      <c r="AK884" s="682"/>
      <c r="AL884" s="682"/>
      <c r="AM884" s="682"/>
      <c r="AN884" s="682"/>
      <c r="AO884" s="682"/>
      <c r="AP884" s="682"/>
      <c r="AQ884" s="682"/>
      <c r="AR884" s="682"/>
      <c r="AS884" s="682"/>
    </row>
    <row r="885" spans="1:45" s="6" customFormat="1" ht="30" hidden="1" customHeight="1" x14ac:dyDescent="0.25">
      <c r="A885" s="1998"/>
      <c r="B885" s="2067"/>
      <c r="C885" s="160"/>
      <c r="D885" s="887" t="s">
        <v>10</v>
      </c>
      <c r="E885" s="962">
        <v>45121</v>
      </c>
      <c r="F885" s="70">
        <f t="shared" si="552"/>
        <v>1165</v>
      </c>
      <c r="G885" s="12">
        <v>0</v>
      </c>
      <c r="H885" s="12"/>
      <c r="I885" s="12"/>
      <c r="J885" s="1368"/>
      <c r="K885" s="12">
        <f>IFERROR(SUMIF(INTAKE!$A:$A,$T885,INTAKE!$P:$P),0)</f>
        <v>0</v>
      </c>
      <c r="L885" s="1533">
        <f t="shared" si="553"/>
        <v>0</v>
      </c>
      <c r="M885" s="101"/>
      <c r="N885" s="249"/>
      <c r="O885" s="101"/>
      <c r="P885" s="738"/>
      <c r="Q885" s="795"/>
      <c r="R885" s="785">
        <f>IFERROR(VLOOKUP($Q885,'391'!$S:$Z,8,0),"")</f>
        <v>0</v>
      </c>
      <c r="S885" s="786"/>
      <c r="T885" s="787" t="str">
        <f t="shared" si="554"/>
        <v>Mycosorb A+45121</v>
      </c>
      <c r="U885" s="787"/>
      <c r="V885" s="787"/>
      <c r="W885" s="785">
        <f>IFERROR(VLOOKUP($Q885,'391'!$S:$AG,15,0),0)</f>
        <v>0</v>
      </c>
      <c r="X885" s="1090">
        <f t="shared" si="539"/>
        <v>0</v>
      </c>
      <c r="Y885" s="785"/>
      <c r="Z885" s="785"/>
      <c r="AA885" s="787"/>
      <c r="AB885" s="787"/>
      <c r="AC885" s="679"/>
      <c r="AD885" s="679"/>
      <c r="AE885" s="679"/>
      <c r="AF885" s="679"/>
      <c r="AG885" s="679"/>
      <c r="AH885" s="679"/>
      <c r="AI885" s="682"/>
      <c r="AJ885" s="682"/>
      <c r="AK885" s="682"/>
      <c r="AL885" s="682"/>
      <c r="AM885" s="682"/>
      <c r="AN885" s="682"/>
      <c r="AO885" s="682"/>
      <c r="AP885" s="682"/>
      <c r="AQ885" s="682"/>
      <c r="AR885" s="682"/>
      <c r="AS885" s="682"/>
    </row>
    <row r="886" spans="1:45" s="6" customFormat="1" ht="30" hidden="1" customHeight="1" x14ac:dyDescent="0.25">
      <c r="A886" s="1998"/>
      <c r="B886" s="2067"/>
      <c r="C886" s="160"/>
      <c r="D886" s="887" t="s">
        <v>10</v>
      </c>
      <c r="E886" s="962">
        <v>45121</v>
      </c>
      <c r="F886" s="70">
        <f t="shared" si="552"/>
        <v>1165</v>
      </c>
      <c r="G886" s="12">
        <v>0</v>
      </c>
      <c r="H886" s="12"/>
      <c r="I886" s="12"/>
      <c r="J886" s="1368"/>
      <c r="K886" s="12">
        <f>IFERROR(SUMIF(INTAKE!$A:$A,$T886,INTAKE!$P:$P),0)</f>
        <v>0</v>
      </c>
      <c r="L886" s="1533">
        <f t="shared" si="553"/>
        <v>0</v>
      </c>
      <c r="M886" s="101"/>
      <c r="N886" s="249"/>
      <c r="O886" s="101"/>
      <c r="P886" s="738"/>
      <c r="Q886" s="795"/>
      <c r="R886" s="785">
        <f>IFERROR(VLOOKUP($Q886,'391'!$S:$Z,8,0),"")</f>
        <v>0</v>
      </c>
      <c r="S886" s="786"/>
      <c r="T886" s="787" t="str">
        <f t="shared" si="554"/>
        <v>Mycosorb A+45121</v>
      </c>
      <c r="U886" s="787"/>
      <c r="V886" s="787"/>
      <c r="W886" s="785">
        <f>IFERROR(VLOOKUP($Q886,'391'!$S:$AG,15,0),0)</f>
        <v>0</v>
      </c>
      <c r="X886" s="1090">
        <f t="shared" si="539"/>
        <v>0</v>
      </c>
      <c r="Y886" s="785"/>
      <c r="Z886" s="785"/>
      <c r="AA886" s="787"/>
      <c r="AB886" s="787"/>
      <c r="AC886" s="679"/>
      <c r="AD886" s="679"/>
      <c r="AE886" s="679"/>
      <c r="AF886" s="679"/>
      <c r="AG886" s="679"/>
      <c r="AH886" s="679"/>
      <c r="AI886" s="682"/>
      <c r="AJ886" s="682"/>
      <c r="AK886" s="682"/>
      <c r="AL886" s="682"/>
      <c r="AM886" s="682"/>
      <c r="AN886" s="682"/>
      <c r="AO886" s="682"/>
      <c r="AP886" s="682"/>
      <c r="AQ886" s="682"/>
      <c r="AR886" s="682"/>
      <c r="AS886" s="682"/>
    </row>
    <row r="887" spans="1:45" s="6" customFormat="1" ht="30" hidden="1" customHeight="1" x14ac:dyDescent="0.25">
      <c r="A887" s="1998"/>
      <c r="B887" s="2067"/>
      <c r="C887" s="143"/>
      <c r="D887" s="887" t="s">
        <v>10</v>
      </c>
      <c r="E887" s="962">
        <v>43600</v>
      </c>
      <c r="F887" s="70">
        <f t="shared" si="552"/>
        <v>2686</v>
      </c>
      <c r="G887" s="12">
        <v>0</v>
      </c>
      <c r="H887" s="12"/>
      <c r="I887" s="12"/>
      <c r="J887" s="1368"/>
      <c r="K887" s="12">
        <f>IFERROR(SUMIF(INTAKE!$A:$A,$T887,INTAKE!$P:$P),0)</f>
        <v>0</v>
      </c>
      <c r="L887" s="1533">
        <f t="shared" si="553"/>
        <v>0</v>
      </c>
      <c r="M887" s="101"/>
      <c r="N887" s="249"/>
      <c r="O887" s="101"/>
      <c r="P887" s="738"/>
      <c r="Q887" s="795"/>
      <c r="R887" s="785">
        <f>IFERROR(VLOOKUP($Q887,'391'!$S:$Z,8,0),"")</f>
        <v>0</v>
      </c>
      <c r="S887" s="786"/>
      <c r="T887" s="787" t="str">
        <f t="shared" si="554"/>
        <v>Mycosorb A+43600</v>
      </c>
      <c r="U887" s="787"/>
      <c r="V887" s="787"/>
      <c r="W887" s="785">
        <f>IFERROR(VLOOKUP($Q887,'391'!$S:$AG,15,0),0)</f>
        <v>0</v>
      </c>
      <c r="X887" s="1090">
        <f t="shared" si="539"/>
        <v>0</v>
      </c>
      <c r="Y887" s="785"/>
      <c r="Z887" s="785"/>
      <c r="AA887" s="787"/>
      <c r="AB887" s="787"/>
      <c r="AC887" s="679"/>
      <c r="AD887" s="679"/>
      <c r="AE887" s="679"/>
      <c r="AF887" s="679"/>
      <c r="AG887" s="679"/>
      <c r="AH887" s="679"/>
      <c r="AI887" s="682"/>
      <c r="AJ887" s="682"/>
      <c r="AK887" s="682"/>
      <c r="AL887" s="682"/>
      <c r="AM887" s="682"/>
      <c r="AN887" s="682"/>
      <c r="AO887" s="682"/>
      <c r="AP887" s="682"/>
      <c r="AQ887" s="682"/>
      <c r="AR887" s="682"/>
      <c r="AS887" s="682"/>
    </row>
    <row r="888" spans="1:45" s="6" customFormat="1" ht="30" hidden="1" customHeight="1" x14ac:dyDescent="0.25">
      <c r="A888" s="1998"/>
      <c r="B888" s="2067"/>
      <c r="C888" s="123" t="s">
        <v>46</v>
      </c>
      <c r="D888" s="850" t="s">
        <v>10</v>
      </c>
      <c r="E888" s="960">
        <v>45290</v>
      </c>
      <c r="F888" s="42">
        <f t="shared" si="552"/>
        <v>996</v>
      </c>
      <c r="G888" s="56">
        <v>0</v>
      </c>
      <c r="H888" s="56"/>
      <c r="I888" s="56">
        <f>+SUM(K883:K885)</f>
        <v>0</v>
      </c>
      <c r="J888" s="1369">
        <f>+usage!I105</f>
        <v>0</v>
      </c>
      <c r="K888" s="12">
        <f>IFERROR(SUMIF(INTAKE!$A:$A,$T888,INTAKE!$P:$P),0)</f>
        <v>0</v>
      </c>
      <c r="L888" s="1533">
        <f t="shared" si="553"/>
        <v>0</v>
      </c>
      <c r="M888" s="101"/>
      <c r="N888" s="249"/>
      <c r="O888" s="101"/>
      <c r="P888" s="738"/>
      <c r="Q888" s="795"/>
      <c r="R888" s="785">
        <f>IFERROR(VLOOKUP($Q888,'391'!$S:$Z,8,0),"")</f>
        <v>0</v>
      </c>
      <c r="S888" s="786"/>
      <c r="T888" s="787" t="str">
        <f t="shared" si="554"/>
        <v>Mycosorb A+Feedmill45290</v>
      </c>
      <c r="U888" s="787"/>
      <c r="V888" s="787"/>
      <c r="W888" s="785">
        <f>IFERROR(VLOOKUP($Q888,'391'!$S:$AG,15,0),0)</f>
        <v>0</v>
      </c>
      <c r="X888" s="1090">
        <f t="shared" si="539"/>
        <v>0</v>
      </c>
      <c r="Y888" s="785"/>
      <c r="Z888" s="785"/>
      <c r="AA888" s="787"/>
      <c r="AB888" s="787"/>
      <c r="AC888" s="679"/>
      <c r="AD888" s="679"/>
      <c r="AE888" s="679"/>
      <c r="AF888" s="679"/>
      <c r="AG888" s="679"/>
      <c r="AH888" s="679"/>
      <c r="AI888" s="682"/>
      <c r="AJ888" s="682"/>
      <c r="AK888" s="682"/>
      <c r="AL888" s="682"/>
      <c r="AM888" s="682"/>
      <c r="AN888" s="682"/>
      <c r="AO888" s="682"/>
      <c r="AP888" s="682"/>
      <c r="AQ888" s="682"/>
      <c r="AR888" s="682"/>
      <c r="AS888" s="682"/>
    </row>
    <row r="889" spans="1:45" s="406" customFormat="1" ht="30" hidden="1" customHeight="1" x14ac:dyDescent="0.25">
      <c r="A889" s="1998"/>
      <c r="B889" s="2068"/>
      <c r="C889" s="119" t="s">
        <v>46</v>
      </c>
      <c r="D889" s="863" t="s">
        <v>10</v>
      </c>
      <c r="E889" s="934">
        <v>42341</v>
      </c>
      <c r="F889" s="39">
        <f t="shared" si="552"/>
        <v>3945</v>
      </c>
      <c r="G889" s="37">
        <v>0</v>
      </c>
      <c r="H889" s="37"/>
      <c r="I889" s="37"/>
      <c r="J889" s="1385"/>
      <c r="K889" s="37"/>
      <c r="L889" s="1533">
        <f t="shared" si="553"/>
        <v>0</v>
      </c>
      <c r="M889" s="35"/>
      <c r="N889" s="87"/>
      <c r="O889" s="35"/>
      <c r="P889" s="857"/>
      <c r="Q889" s="795"/>
      <c r="R889" s="785">
        <f>IFERROR(VLOOKUP($Q889,'391'!$S:$Z,8,0),"")</f>
        <v>0</v>
      </c>
      <c r="S889" s="786"/>
      <c r="T889" s="787" t="str">
        <f t="shared" si="554"/>
        <v>Mycosorb A+Feedmill42341</v>
      </c>
      <c r="U889" s="787"/>
      <c r="V889" s="787"/>
      <c r="W889" s="785">
        <f>IFERROR(VLOOKUP($Q889,'391'!$S:$AG,15,0),0)</f>
        <v>0</v>
      </c>
      <c r="X889" s="1090">
        <f t="shared" si="539"/>
        <v>0</v>
      </c>
      <c r="Y889" s="785"/>
      <c r="Z889" s="785"/>
      <c r="AA889" s="787"/>
      <c r="AB889" s="787"/>
      <c r="AC889" s="679"/>
      <c r="AD889" s="679"/>
      <c r="AE889" s="679"/>
      <c r="AF889" s="679"/>
      <c r="AG889" s="679"/>
      <c r="AH889" s="679"/>
      <c r="AI889" s="682"/>
      <c r="AJ889" s="682"/>
      <c r="AK889" s="682"/>
      <c r="AL889" s="682"/>
      <c r="AM889" s="682"/>
      <c r="AN889" s="682"/>
      <c r="AO889" s="682"/>
      <c r="AP889" s="682"/>
      <c r="AQ889" s="682"/>
      <c r="AR889" s="682"/>
      <c r="AS889" s="682"/>
    </row>
    <row r="890" spans="1:45" s="265" customFormat="1" ht="30" hidden="1" customHeight="1" x14ac:dyDescent="0.25">
      <c r="A890" s="2019" t="s">
        <v>282</v>
      </c>
      <c r="B890" s="2020"/>
      <c r="C890" s="88"/>
      <c r="D890" s="864"/>
      <c r="E890" s="864"/>
      <c r="F890" s="865"/>
      <c r="G890" s="1297">
        <v>0</v>
      </c>
      <c r="H890" s="1297">
        <f t="shared" ref="H890:K890" si="555">SUM(H883:H889)</f>
        <v>0</v>
      </c>
      <c r="I890" s="1297">
        <f t="shared" si="555"/>
        <v>0</v>
      </c>
      <c r="J890" s="1297">
        <f t="shared" si="555"/>
        <v>0</v>
      </c>
      <c r="K890" s="1297">
        <f t="shared" si="555"/>
        <v>0</v>
      </c>
      <c r="L890" s="1533">
        <f t="shared" si="553"/>
        <v>0</v>
      </c>
      <c r="M890" s="59" t="str">
        <f>IFERROR((R890/$S$2),"")</f>
        <v/>
      </c>
      <c r="N890" s="854" t="e">
        <f>(L890/M890)</f>
        <v>#VALUE!</v>
      </c>
      <c r="O890" s="59">
        <f>IFERROR(SUMIF(ETM!$A:$A,$Q890,ETM!$E:$E),"")</f>
        <v>0</v>
      </c>
      <c r="P890" s="880">
        <f>IFERROR(L890/O890,0)</f>
        <v>0</v>
      </c>
      <c r="Q890" s="814" t="s">
        <v>666</v>
      </c>
      <c r="R890" s="785" t="str">
        <f>IFERROR(VLOOKUP($Q890,'391'!$S:$Z,8,0),"")</f>
        <v/>
      </c>
      <c r="S890" s="796"/>
      <c r="T890" s="797"/>
      <c r="U890" s="797"/>
      <c r="V890" s="797"/>
      <c r="W890" s="785">
        <f>IFERROR(VLOOKUP($Q890,'391'!$S:$AG,15,0),0)</f>
        <v>0</v>
      </c>
      <c r="X890" s="1090">
        <f t="shared" si="539"/>
        <v>0</v>
      </c>
      <c r="Y890" s="785"/>
      <c r="Z890" s="785"/>
      <c r="AA890" s="797"/>
      <c r="AB890" s="797"/>
      <c r="AC890" s="551"/>
      <c r="AD890" s="551"/>
      <c r="AE890" s="551"/>
      <c r="AF890" s="551"/>
      <c r="AG890" s="551"/>
      <c r="AH890" s="551"/>
      <c r="AI890" s="704"/>
      <c r="AJ890" s="704"/>
      <c r="AK890" s="704"/>
      <c r="AL890" s="704"/>
      <c r="AM890" s="704"/>
      <c r="AN890" s="704"/>
      <c r="AO890" s="704"/>
      <c r="AP890" s="704"/>
      <c r="AQ890" s="704"/>
      <c r="AR890" s="704"/>
      <c r="AS890" s="704"/>
    </row>
    <row r="891" spans="1:45" s="411" customFormat="1" ht="30" hidden="1" customHeight="1" x14ac:dyDescent="0.25">
      <c r="A891" s="2021">
        <f>IF(L899=0,"",MAX($A$16:A890)+1)</f>
        <v>56</v>
      </c>
      <c r="B891" s="2043" t="s">
        <v>1238</v>
      </c>
      <c r="C891" s="160"/>
      <c r="D891" s="866" t="s">
        <v>10</v>
      </c>
      <c r="E891" s="935">
        <v>44768</v>
      </c>
      <c r="F891" s="75">
        <f t="shared" ref="F891:F898" si="556">$L$7-E891</f>
        <v>1518</v>
      </c>
      <c r="G891" s="63">
        <v>0</v>
      </c>
      <c r="H891" s="63"/>
      <c r="I891" s="63"/>
      <c r="J891" s="1378"/>
      <c r="K891" s="63">
        <f>IFERROR(SUMIF(INTAKE!$A:$A,$T891,INTAKE!$P:$P),0)</f>
        <v>0</v>
      </c>
      <c r="L891" s="1533">
        <f t="shared" si="553"/>
        <v>0</v>
      </c>
      <c r="M891" s="50"/>
      <c r="N891" s="920"/>
      <c r="O891" s="50"/>
      <c r="P891" s="744"/>
      <c r="Q891" s="795"/>
      <c r="R891" s="785">
        <f>IFERROR(VLOOKUP($Q891,'391'!$S:$Z,8,0),"")</f>
        <v>0</v>
      </c>
      <c r="S891" s="786"/>
      <c r="T891" s="787" t="str">
        <f>$Q$899&amp;C891&amp;E891</f>
        <v>ALLPLEX B (USA)44768</v>
      </c>
      <c r="U891" s="787"/>
      <c r="V891" s="787"/>
      <c r="W891" s="785">
        <f>IFERROR(VLOOKUP($Q891,'391'!$S:$AG,15,0),0)</f>
        <v>0</v>
      </c>
      <c r="X891" s="1090">
        <f t="shared" si="539"/>
        <v>0</v>
      </c>
      <c r="Y891" s="785"/>
      <c r="Z891" s="785"/>
      <c r="AA891" s="787"/>
      <c r="AB891" s="787"/>
      <c r="AC891" s="679"/>
      <c r="AD891" s="679"/>
      <c r="AE891" s="679"/>
      <c r="AF891" s="679"/>
      <c r="AG891" s="679"/>
      <c r="AH891" s="679"/>
      <c r="AI891" s="682"/>
      <c r="AJ891" s="682"/>
      <c r="AK891" s="682"/>
      <c r="AL891" s="682"/>
      <c r="AM891" s="682"/>
      <c r="AN891" s="682"/>
      <c r="AO891" s="682"/>
      <c r="AP891" s="682"/>
      <c r="AQ891" s="682"/>
      <c r="AR891" s="682"/>
      <c r="AS891" s="682"/>
    </row>
    <row r="892" spans="1:45" s="411" customFormat="1" ht="30" customHeight="1" x14ac:dyDescent="0.25">
      <c r="A892" s="2022"/>
      <c r="B892" s="2065"/>
      <c r="C892" s="160" t="s">
        <v>197</v>
      </c>
      <c r="D892" s="866" t="s">
        <v>10</v>
      </c>
      <c r="E892" s="935">
        <v>46251</v>
      </c>
      <c r="F892" s="75">
        <f t="shared" ref="F892" si="557">$L$7-E892</f>
        <v>35</v>
      </c>
      <c r="G892" s="63">
        <v>825</v>
      </c>
      <c r="H892" s="63"/>
      <c r="I892" s="63"/>
      <c r="J892" s="1378"/>
      <c r="K892" s="63">
        <f>IFERROR(SUMIF(INTAKE!$A:$A,$T892,INTAKE!$P:$P),0)</f>
        <v>0</v>
      </c>
      <c r="L892" s="1702">
        <f t="shared" si="553"/>
        <v>825</v>
      </c>
      <c r="M892" s="48"/>
      <c r="N892" s="163"/>
      <c r="O892" s="48"/>
      <c r="P892" s="738"/>
      <c r="Q892" s="795"/>
      <c r="R892" s="785">
        <f>IFERROR(VLOOKUP($Q892,'391'!$S:$Z,8,0),"")</f>
        <v>0</v>
      </c>
      <c r="S892" s="786"/>
      <c r="T892" s="787" t="str">
        <f t="shared" ref="T892:T898" si="558">$Q$898&amp;C892&amp;E892</f>
        <v>Allplex B (Local)V8.246251</v>
      </c>
      <c r="U892" s="787"/>
      <c r="V892" s="787"/>
      <c r="W892" s="785">
        <f>IFERROR(VLOOKUP($Q892,'391'!$S:$AG,15,0),0)</f>
        <v>0</v>
      </c>
      <c r="X892" s="1090">
        <f t="shared" si="539"/>
        <v>825</v>
      </c>
      <c r="Y892" s="785"/>
      <c r="Z892" s="785"/>
      <c r="AA892" s="787"/>
      <c r="AB892" s="787"/>
      <c r="AC892" s="679"/>
      <c r="AD892" s="679"/>
      <c r="AE892" s="679"/>
      <c r="AF892" s="679"/>
      <c r="AG892" s="679"/>
      <c r="AH892" s="679"/>
      <c r="AI892" s="682"/>
      <c r="AJ892" s="682"/>
      <c r="AK892" s="682"/>
      <c r="AL892" s="682"/>
      <c r="AM892" s="682"/>
      <c r="AN892" s="682"/>
      <c r="AO892" s="682"/>
      <c r="AP892" s="682"/>
      <c r="AQ892" s="682"/>
      <c r="AR892" s="682"/>
      <c r="AS892" s="682"/>
    </row>
    <row r="893" spans="1:45" s="411" customFormat="1" ht="30" hidden="1" customHeight="1" x14ac:dyDescent="0.25">
      <c r="A893" s="2022"/>
      <c r="B893" s="2065"/>
      <c r="C893" s="160"/>
      <c r="D893" s="866" t="s">
        <v>10</v>
      </c>
      <c r="E893" s="935">
        <v>46251</v>
      </c>
      <c r="F893" s="75">
        <f t="shared" si="556"/>
        <v>35</v>
      </c>
      <c r="G893" s="63">
        <v>0</v>
      </c>
      <c r="H893" s="63"/>
      <c r="I893" s="63"/>
      <c r="J893" s="1378"/>
      <c r="K893" s="63">
        <f>IFERROR(SUMIF(INTAKE!$A:$A,$T893,INTAKE!$P:$P),0)</f>
        <v>0</v>
      </c>
      <c r="L893" s="1702">
        <f t="shared" si="553"/>
        <v>0</v>
      </c>
      <c r="M893" s="48"/>
      <c r="N893" s="163"/>
      <c r="O893" s="48"/>
      <c r="P893" s="738"/>
      <c r="Q893" s="795"/>
      <c r="R893" s="785">
        <f>IFERROR(VLOOKUP($Q893,'391'!$S:$Z,8,0),"")</f>
        <v>0</v>
      </c>
      <c r="S893" s="786"/>
      <c r="T893" s="787" t="str">
        <f t="shared" si="558"/>
        <v>Allplex B (Local)46251</v>
      </c>
      <c r="U893" s="787"/>
      <c r="V893" s="787"/>
      <c r="W893" s="785">
        <f>IFERROR(VLOOKUP($Q893,'391'!$S:$AG,15,0),0)</f>
        <v>0</v>
      </c>
      <c r="X893" s="1090">
        <f t="shared" si="539"/>
        <v>0</v>
      </c>
      <c r="Y893" s="785"/>
      <c r="Z893" s="785"/>
      <c r="AA893" s="787"/>
      <c r="AB893" s="787"/>
      <c r="AC893" s="679"/>
      <c r="AD893" s="679"/>
      <c r="AE893" s="679"/>
      <c r="AF893" s="679"/>
      <c r="AG893" s="679"/>
      <c r="AH893" s="679"/>
      <c r="AI893" s="682"/>
      <c r="AJ893" s="682"/>
      <c r="AK893" s="682"/>
      <c r="AL893" s="682"/>
      <c r="AM893" s="682"/>
      <c r="AN893" s="682"/>
      <c r="AO893" s="682"/>
      <c r="AP893" s="682"/>
      <c r="AQ893" s="682"/>
      <c r="AR893" s="682"/>
      <c r="AS893" s="682"/>
    </row>
    <row r="894" spans="1:45" s="411" customFormat="1" ht="30" hidden="1" customHeight="1" x14ac:dyDescent="0.25">
      <c r="A894" s="2022"/>
      <c r="B894" s="2065"/>
      <c r="C894" s="160"/>
      <c r="D894" s="866" t="s">
        <v>10</v>
      </c>
      <c r="E894" s="935">
        <v>46220</v>
      </c>
      <c r="F894" s="75">
        <f t="shared" ref="F894" si="559">$L$7-E894</f>
        <v>66</v>
      </c>
      <c r="G894" s="63">
        <v>0</v>
      </c>
      <c r="H894" s="63"/>
      <c r="I894" s="63"/>
      <c r="J894" s="1378"/>
      <c r="K894" s="63">
        <f>IFERROR(SUMIF(INTAKE!$A:$A,$T894,INTAKE!$P:$P),0)</f>
        <v>0</v>
      </c>
      <c r="L894" s="1702">
        <f t="shared" si="553"/>
        <v>0</v>
      </c>
      <c r="M894" s="48"/>
      <c r="N894" s="163"/>
      <c r="O894" s="48"/>
      <c r="P894" s="738"/>
      <c r="Q894" s="795"/>
      <c r="R894" s="785">
        <f>IFERROR(VLOOKUP($Q894,'391'!$S:$Z,8,0),"")</f>
        <v>0</v>
      </c>
      <c r="S894" s="786"/>
      <c r="T894" s="787" t="str">
        <f t="shared" si="558"/>
        <v>Allplex B (Local)46220</v>
      </c>
      <c r="U894" s="787"/>
      <c r="V894" s="787"/>
      <c r="W894" s="785">
        <f>IFERROR(VLOOKUP($Q894,'391'!$S:$AG,15,0),0)</f>
        <v>0</v>
      </c>
      <c r="X894" s="1090">
        <f t="shared" si="539"/>
        <v>0</v>
      </c>
      <c r="Y894" s="785"/>
      <c r="Z894" s="785"/>
      <c r="AA894" s="787"/>
      <c r="AB894" s="787"/>
      <c r="AC894" s="679"/>
      <c r="AD894" s="679"/>
      <c r="AE894" s="679"/>
      <c r="AF894" s="679"/>
      <c r="AG894" s="679"/>
      <c r="AH894" s="679"/>
      <c r="AI894" s="682"/>
      <c r="AJ894" s="682"/>
      <c r="AK894" s="682"/>
      <c r="AL894" s="682"/>
      <c r="AM894" s="682"/>
      <c r="AN894" s="682"/>
      <c r="AO894" s="682"/>
      <c r="AP894" s="682"/>
      <c r="AQ894" s="682"/>
      <c r="AR894" s="682"/>
      <c r="AS894" s="682"/>
    </row>
    <row r="895" spans="1:45" s="411" customFormat="1" ht="30" hidden="1" customHeight="1" x14ac:dyDescent="0.25">
      <c r="A895" s="2022"/>
      <c r="B895" s="2065"/>
      <c r="C895" s="160"/>
      <c r="D895" s="866" t="s">
        <v>10</v>
      </c>
      <c r="E895" s="935">
        <v>46063</v>
      </c>
      <c r="F895" s="75">
        <f t="shared" si="556"/>
        <v>223</v>
      </c>
      <c r="G895" s="63">
        <v>0</v>
      </c>
      <c r="H895" s="63"/>
      <c r="I895" s="63"/>
      <c r="J895" s="1378"/>
      <c r="K895" s="63">
        <f>IFERROR(SUMIF(INTAKE!$A:$A,$T895,INTAKE!$P:$P),0)</f>
        <v>0</v>
      </c>
      <c r="L895" s="1533">
        <f t="shared" si="553"/>
        <v>0</v>
      </c>
      <c r="M895" s="45"/>
      <c r="N895" s="1460"/>
      <c r="O895" s="45"/>
      <c r="P895" s="736"/>
      <c r="Q895" s="795"/>
      <c r="R895" s="785">
        <f>IFERROR(VLOOKUP($Q895,'391'!$S:$Z,8,0),"")</f>
        <v>0</v>
      </c>
      <c r="S895" s="786"/>
      <c r="T895" s="787" t="str">
        <f t="shared" si="558"/>
        <v>Allplex B (Local)46063</v>
      </c>
      <c r="U895" s="787"/>
      <c r="V895" s="787"/>
      <c r="W895" s="785">
        <f>IFERROR(VLOOKUP($Q895,'391'!$S:$AG,15,0),0)</f>
        <v>0</v>
      </c>
      <c r="X895" s="1090">
        <f t="shared" si="539"/>
        <v>0</v>
      </c>
      <c r="Y895" s="785"/>
      <c r="Z895" s="785"/>
      <c r="AA895" s="787"/>
      <c r="AB895" s="787"/>
      <c r="AC895" s="679"/>
      <c r="AD895" s="679"/>
      <c r="AE895" s="679"/>
      <c r="AF895" s="679"/>
      <c r="AG895" s="679"/>
      <c r="AH895" s="679"/>
      <c r="AI895" s="682"/>
      <c r="AJ895" s="682"/>
      <c r="AK895" s="682"/>
      <c r="AL895" s="682"/>
      <c r="AM895" s="682"/>
      <c r="AN895" s="682"/>
      <c r="AO895" s="682"/>
      <c r="AP895" s="682"/>
      <c r="AQ895" s="682"/>
      <c r="AR895" s="682"/>
      <c r="AS895" s="682"/>
    </row>
    <row r="896" spans="1:45" s="411" customFormat="1" ht="30" hidden="1" customHeight="1" x14ac:dyDescent="0.25">
      <c r="A896" s="2022"/>
      <c r="B896" s="2065"/>
      <c r="C896" s="160"/>
      <c r="D896" s="866" t="s">
        <v>10</v>
      </c>
      <c r="E896" s="935">
        <v>44231</v>
      </c>
      <c r="F896" s="75">
        <f t="shared" si="556"/>
        <v>2055</v>
      </c>
      <c r="G896" s="63">
        <v>0</v>
      </c>
      <c r="H896" s="63"/>
      <c r="I896" s="63"/>
      <c r="J896" s="1378"/>
      <c r="K896" s="63">
        <f>IFERROR(SUMIF(INTAKE!$A:$A,$T896,INTAKE!$P:$P),0)</f>
        <v>0</v>
      </c>
      <c r="L896" s="1533">
        <f t="shared" si="553"/>
        <v>0</v>
      </c>
      <c r="M896" s="45"/>
      <c r="N896" s="1460"/>
      <c r="O896" s="45"/>
      <c r="P896" s="736"/>
      <c r="Q896" s="795"/>
      <c r="R896" s="785">
        <f>IFERROR(VLOOKUP($Q896,'391'!$S:$Z,8,0),"")</f>
        <v>0</v>
      </c>
      <c r="S896" s="786"/>
      <c r="T896" s="787" t="str">
        <f t="shared" si="558"/>
        <v>Allplex B (Local)44231</v>
      </c>
      <c r="U896" s="787"/>
      <c r="V896" s="787"/>
      <c r="W896" s="785">
        <f>IFERROR(VLOOKUP($Q896,'391'!$S:$AG,15,0),0)</f>
        <v>0</v>
      </c>
      <c r="X896" s="1090">
        <f t="shared" si="539"/>
        <v>0</v>
      </c>
      <c r="Y896" s="785"/>
      <c r="Z896" s="785"/>
      <c r="AA896" s="787"/>
      <c r="AB896" s="787"/>
      <c r="AC896" s="679"/>
      <c r="AD896" s="679"/>
      <c r="AE896" s="679"/>
      <c r="AF896" s="679"/>
      <c r="AG896" s="679"/>
      <c r="AH896" s="679"/>
      <c r="AI896" s="682"/>
      <c r="AJ896" s="682"/>
      <c r="AK896" s="682"/>
      <c r="AL896" s="682"/>
      <c r="AM896" s="682"/>
      <c r="AN896" s="682"/>
      <c r="AO896" s="682"/>
      <c r="AP896" s="682"/>
      <c r="AQ896" s="682"/>
      <c r="AR896" s="682"/>
      <c r="AS896" s="682"/>
    </row>
    <row r="897" spans="1:45" s="411" customFormat="1" ht="30" hidden="1" customHeight="1" x14ac:dyDescent="0.25">
      <c r="A897" s="2022"/>
      <c r="B897" s="2065"/>
      <c r="C897" s="160"/>
      <c r="D897" s="866" t="s">
        <v>10</v>
      </c>
      <c r="E897" s="935">
        <v>44172</v>
      </c>
      <c r="F897" s="75">
        <f t="shared" si="556"/>
        <v>2114</v>
      </c>
      <c r="G897" s="63">
        <v>0</v>
      </c>
      <c r="H897" s="63"/>
      <c r="I897" s="63"/>
      <c r="J897" s="1378"/>
      <c r="K897" s="63">
        <f>IFERROR(SUMIF(INTAKE!$A:$A,$T897,INTAKE!$P:$P),0)</f>
        <v>0</v>
      </c>
      <c r="L897" s="1533">
        <f t="shared" si="553"/>
        <v>0</v>
      </c>
      <c r="M897" s="45"/>
      <c r="N897" s="1460"/>
      <c r="O897" s="45"/>
      <c r="P897" s="736"/>
      <c r="Q897" s="795"/>
      <c r="R897" s="785">
        <f>IFERROR(VLOOKUP($Q897,'391'!$S:$Z,8,0),"")</f>
        <v>0</v>
      </c>
      <c r="S897" s="786"/>
      <c r="T897" s="787" t="str">
        <f t="shared" si="558"/>
        <v>Allplex B (Local)44172</v>
      </c>
      <c r="U897" s="787"/>
      <c r="V897" s="787"/>
      <c r="W897" s="785">
        <f>IFERROR(VLOOKUP($Q897,'391'!$S:$AG,15,0),0)</f>
        <v>0</v>
      </c>
      <c r="X897" s="1090">
        <f t="shared" si="539"/>
        <v>0</v>
      </c>
      <c r="Y897" s="785"/>
      <c r="Z897" s="785"/>
      <c r="AA897" s="787"/>
      <c r="AB897" s="787"/>
      <c r="AC897" s="679"/>
      <c r="AD897" s="679"/>
      <c r="AE897" s="679"/>
      <c r="AF897" s="679"/>
      <c r="AG897" s="679"/>
      <c r="AH897" s="679"/>
      <c r="AI897" s="682"/>
      <c r="AJ897" s="682"/>
      <c r="AK897" s="682"/>
      <c r="AL897" s="682"/>
      <c r="AM897" s="682"/>
      <c r="AN897" s="682"/>
      <c r="AO897" s="682"/>
      <c r="AP897" s="682"/>
      <c r="AQ897" s="682"/>
      <c r="AR897" s="682"/>
      <c r="AS897" s="682"/>
    </row>
    <row r="898" spans="1:45" s="410" customFormat="1" ht="30" customHeight="1" x14ac:dyDescent="0.25">
      <c r="A898" s="2022"/>
      <c r="B898" s="2065"/>
      <c r="C898" s="123" t="s">
        <v>46</v>
      </c>
      <c r="D898" s="850" t="s">
        <v>10</v>
      </c>
      <c r="E898" s="960">
        <v>46251</v>
      </c>
      <c r="F898" s="42">
        <f t="shared" si="556"/>
        <v>35</v>
      </c>
      <c r="G898" s="56">
        <v>64.72</v>
      </c>
      <c r="H898" s="56"/>
      <c r="I898" s="56">
        <f>+SUM(K891:K895)</f>
        <v>0</v>
      </c>
      <c r="J898" s="1369">
        <f>+usage!I125</f>
        <v>8.34</v>
      </c>
      <c r="K898" s="63">
        <f>IFERROR(SUMIF(INTAKE!$A:$A,$T898,INTAKE!$P:$P),0)</f>
        <v>0</v>
      </c>
      <c r="L898" s="1533">
        <f t="shared" si="553"/>
        <v>56.379999999999995</v>
      </c>
      <c r="M898" s="223"/>
      <c r="N898" s="920"/>
      <c r="O898" s="223"/>
      <c r="P898" s="736"/>
      <c r="Q898" s="666" t="s">
        <v>1208</v>
      </c>
      <c r="R898" s="785">
        <f>IFERROR(VLOOKUP($Q898,'391'!$S:$Z,8,0),"")</f>
        <v>146.45000000000002</v>
      </c>
      <c r="S898" s="786"/>
      <c r="T898" s="787" t="str">
        <f t="shared" si="558"/>
        <v>Allplex B (Local)Feedmill46251</v>
      </c>
      <c r="U898" s="787"/>
      <c r="V898" s="787"/>
      <c r="W898" s="785">
        <f>IFERROR(VLOOKUP($Q898,'391'!$S:$AG,15,0),0)</f>
        <v>889.72</v>
      </c>
      <c r="X898" s="1090">
        <f t="shared" si="539"/>
        <v>-825</v>
      </c>
      <c r="Y898" s="785"/>
      <c r="Z898" s="785"/>
      <c r="AA898" s="787"/>
      <c r="AB898" s="787"/>
      <c r="AC898" s="679"/>
      <c r="AD898" s="679"/>
      <c r="AE898" s="679"/>
      <c r="AF898" s="679"/>
      <c r="AG898" s="679"/>
      <c r="AH898" s="679"/>
      <c r="AI898" s="682"/>
      <c r="AJ898" s="682"/>
      <c r="AK898" s="682"/>
      <c r="AL898" s="682"/>
      <c r="AM898" s="682"/>
      <c r="AN898" s="682"/>
      <c r="AO898" s="682"/>
      <c r="AP898" s="682"/>
      <c r="AQ898" s="682"/>
      <c r="AR898" s="682"/>
      <c r="AS898" s="682"/>
    </row>
    <row r="899" spans="1:45" s="414" customFormat="1" ht="30" customHeight="1" x14ac:dyDescent="0.25">
      <c r="A899" s="2019" t="s">
        <v>17</v>
      </c>
      <c r="B899" s="2020"/>
      <c r="C899" s="88"/>
      <c r="D899" s="864"/>
      <c r="E899" s="864"/>
      <c r="F899" s="865"/>
      <c r="G899" s="1297">
        <v>889.72</v>
      </c>
      <c r="H899" s="1297">
        <f t="shared" ref="H899:I899" si="560">SUM(H891:H898)</f>
        <v>0</v>
      </c>
      <c r="I899" s="1297">
        <f t="shared" si="560"/>
        <v>0</v>
      </c>
      <c r="J899" s="1297">
        <f t="shared" ref="J899:L899" si="561">SUM(J891:J898)</f>
        <v>8.34</v>
      </c>
      <c r="K899" s="1297">
        <f t="shared" si="561"/>
        <v>0</v>
      </c>
      <c r="L899" s="1297">
        <f t="shared" si="561"/>
        <v>881.38</v>
      </c>
      <c r="M899" s="59">
        <f>IFERROR(((R899+R898)/$S$2),"")</f>
        <v>24.408333333333335</v>
      </c>
      <c r="N899" s="366">
        <f>(L899/M899)</f>
        <v>36.109798566063503</v>
      </c>
      <c r="O899" s="59">
        <f>IFERROR(SUMIF(ETM!$A:$A,$Q899,ETM!$E:$E),"")</f>
        <v>33.5</v>
      </c>
      <c r="P899" s="880">
        <f>IFERROR(L899/O899,0)</f>
        <v>26.309850746268655</v>
      </c>
      <c r="Q899" s="814" t="s">
        <v>667</v>
      </c>
      <c r="R899" s="785" t="str">
        <f>IFERROR(VLOOKUP($Q899,'391'!$S:$Z,8,0),"0")</f>
        <v>0</v>
      </c>
      <c r="S899" s="796"/>
      <c r="T899" s="797"/>
      <c r="U899" s="797"/>
      <c r="V899" s="797"/>
      <c r="W899" s="785">
        <f>IFERROR(VLOOKUP($Q899,'391'!$S:$AG,15,0),0)</f>
        <v>0</v>
      </c>
      <c r="X899" s="1231">
        <f>G899-(W899+W898)</f>
        <v>0</v>
      </c>
      <c r="Y899" s="785"/>
      <c r="Z899" s="785"/>
      <c r="AA899" s="797"/>
      <c r="AB899" s="797"/>
      <c r="AC899" s="551"/>
      <c r="AD899" s="551"/>
      <c r="AE899" s="551"/>
      <c r="AF899" s="551"/>
      <c r="AG899" s="551"/>
      <c r="AH899" s="551"/>
      <c r="AI899" s="704"/>
      <c r="AJ899" s="704"/>
      <c r="AK899" s="704"/>
      <c r="AL899" s="704"/>
      <c r="AM899" s="704"/>
      <c r="AN899" s="704"/>
      <c r="AO899" s="704"/>
      <c r="AP899" s="704"/>
      <c r="AQ899" s="704"/>
      <c r="AR899" s="704"/>
      <c r="AS899" s="704"/>
    </row>
    <row r="900" spans="1:45" s="6" customFormat="1" ht="30" hidden="1" customHeight="1" x14ac:dyDescent="0.25">
      <c r="A900" s="2073">
        <f>IF(L909=0,"",MAX($A$16:A899)+1)</f>
        <v>57</v>
      </c>
      <c r="B900" s="2066" t="s">
        <v>1236</v>
      </c>
      <c r="C900" s="120"/>
      <c r="D900" s="887" t="s">
        <v>10</v>
      </c>
      <c r="E900" s="962">
        <v>43329</v>
      </c>
      <c r="F900" s="70">
        <f t="shared" ref="F900:F908" si="562">$L$7-E900</f>
        <v>2957</v>
      </c>
      <c r="G900" s="12">
        <v>0</v>
      </c>
      <c r="H900" s="11"/>
      <c r="I900" s="11"/>
      <c r="J900" s="1388"/>
      <c r="K900" s="11"/>
      <c r="L900" s="1533">
        <f t="shared" ref="L900:L908" si="563">+G900+H900+I900-J900-K900</f>
        <v>0</v>
      </c>
      <c r="M900" s="147"/>
      <c r="N900" s="248"/>
      <c r="O900" s="147"/>
      <c r="P900" s="748"/>
      <c r="Q900" s="795"/>
      <c r="R900" s="785">
        <f>IFERROR(VLOOKUP($Q900,'391'!$S:$Z,8,0),"")</f>
        <v>0</v>
      </c>
      <c r="S900" s="786"/>
      <c r="T900" s="787"/>
      <c r="U900" s="787"/>
      <c r="V900" s="787"/>
      <c r="W900" s="785">
        <f>IFERROR(VLOOKUP($Q900,'391'!$S:$AG,15,0),0)</f>
        <v>0</v>
      </c>
      <c r="X900" s="1090">
        <f t="shared" ref="X900:X908" si="564">G900-W900</f>
        <v>0</v>
      </c>
      <c r="Y900" s="785"/>
      <c r="Z900" s="785"/>
      <c r="AA900" s="787"/>
      <c r="AB900" s="787"/>
      <c r="AC900" s="679"/>
      <c r="AD900" s="679"/>
      <c r="AE900" s="679"/>
      <c r="AF900" s="679"/>
      <c r="AG900" s="679"/>
      <c r="AH900" s="679"/>
      <c r="AI900" s="682"/>
      <c r="AJ900" s="682"/>
      <c r="AK900" s="682"/>
      <c r="AL900" s="682"/>
      <c r="AM900" s="682"/>
      <c r="AN900" s="682"/>
      <c r="AO900" s="682"/>
      <c r="AP900" s="682"/>
      <c r="AQ900" s="682"/>
      <c r="AR900" s="682"/>
      <c r="AS900" s="682"/>
    </row>
    <row r="901" spans="1:45" s="6" customFormat="1" ht="30" customHeight="1" x14ac:dyDescent="0.25">
      <c r="A901" s="2070"/>
      <c r="B901" s="2067"/>
      <c r="C901" s="160" t="s">
        <v>247</v>
      </c>
      <c r="D901" s="887" t="s">
        <v>10</v>
      </c>
      <c r="E901" s="962">
        <v>46251</v>
      </c>
      <c r="F901" s="70">
        <f t="shared" si="562"/>
        <v>35</v>
      </c>
      <c r="G901" s="12">
        <v>5000</v>
      </c>
      <c r="H901" s="11"/>
      <c r="I901" s="11"/>
      <c r="J901" s="1388"/>
      <c r="K901" s="1399">
        <f>IFERROR(SUMIF(INTAKE!$A:$A,$T901,INTAKE!$P:$P),0)</f>
        <v>1000</v>
      </c>
      <c r="L901" s="1702">
        <f t="shared" si="563"/>
        <v>4000</v>
      </c>
      <c r="M901" s="101"/>
      <c r="N901" s="249"/>
      <c r="O901" s="101"/>
      <c r="P901" s="750"/>
      <c r="Q901" s="795"/>
      <c r="R901" s="785">
        <f>IFERROR(VLOOKUP($Q901,'391'!$S:$Z,8,0),"")</f>
        <v>0</v>
      </c>
      <c r="S901" s="786"/>
      <c r="T901" s="787" t="str">
        <f>$Q$908&amp;C901&amp;E901</f>
        <v>Allplex GF (Local)A19.146251</v>
      </c>
      <c r="U901" s="787"/>
      <c r="V901" s="787"/>
      <c r="W901" s="785">
        <f>IFERROR(VLOOKUP($Q901,'391'!$S:$AG,15,0),0)</f>
        <v>0</v>
      </c>
      <c r="X901" s="1090">
        <f t="shared" si="564"/>
        <v>5000</v>
      </c>
      <c r="Y901" s="785"/>
      <c r="Z901" s="785"/>
      <c r="AA901" s="787"/>
      <c r="AB901" s="787"/>
      <c r="AC901" s="679"/>
      <c r="AD901" s="679"/>
      <c r="AE901" s="679"/>
      <c r="AF901" s="679"/>
      <c r="AG901" s="679"/>
      <c r="AH901" s="679"/>
      <c r="AI901" s="682"/>
      <c r="AJ901" s="682"/>
      <c r="AK901" s="682"/>
      <c r="AL901" s="682"/>
      <c r="AM901" s="682"/>
      <c r="AN901" s="682"/>
      <c r="AO901" s="682"/>
      <c r="AP901" s="682"/>
      <c r="AQ901" s="682"/>
      <c r="AR901" s="682"/>
      <c r="AS901" s="682"/>
    </row>
    <row r="902" spans="1:45" s="6" customFormat="1" ht="30" customHeight="1" x14ac:dyDescent="0.25">
      <c r="A902" s="2070"/>
      <c r="B902" s="2067"/>
      <c r="C902" s="160" t="s">
        <v>1190</v>
      </c>
      <c r="D902" s="887" t="s">
        <v>10</v>
      </c>
      <c r="E902" s="962">
        <v>46265</v>
      </c>
      <c r="F902" s="70">
        <f t="shared" si="562"/>
        <v>21</v>
      </c>
      <c r="G902" s="12">
        <v>12000</v>
      </c>
      <c r="H902" s="11"/>
      <c r="I902" s="11"/>
      <c r="J902" s="1388"/>
      <c r="K902" s="11">
        <f>IFERROR(SUMIF(INTAKE!$A:$A,$T902,INTAKE!$P:$P),0)</f>
        <v>0</v>
      </c>
      <c r="L902" s="1702">
        <f t="shared" si="563"/>
        <v>12000</v>
      </c>
      <c r="M902" s="101"/>
      <c r="N902" s="249"/>
      <c r="O902" s="101"/>
      <c r="P902" s="750"/>
      <c r="Q902" s="795"/>
      <c r="R902" s="785">
        <f>IFERROR(VLOOKUP($Q902,'391'!$S:$Z,8,0),"")</f>
        <v>0</v>
      </c>
      <c r="S902" s="786"/>
      <c r="T902" s="787" t="str">
        <f>$Q$908&amp;C902&amp;E902</f>
        <v>Allplex GF (Local)A18.146265</v>
      </c>
      <c r="U902" s="787"/>
      <c r="V902" s="787"/>
      <c r="W902" s="785">
        <f>IFERROR(VLOOKUP($Q902,'391'!$S:$AG,15,0),0)</f>
        <v>0</v>
      </c>
      <c r="X902" s="1090">
        <f t="shared" si="564"/>
        <v>12000</v>
      </c>
      <c r="Y902" s="785"/>
      <c r="Z902" s="785"/>
      <c r="AA902" s="787"/>
      <c r="AB902" s="787"/>
      <c r="AC902" s="679"/>
      <c r="AD902" s="679"/>
      <c r="AE902" s="679"/>
      <c r="AF902" s="679"/>
      <c r="AG902" s="679"/>
      <c r="AH902" s="679"/>
      <c r="AI902" s="682"/>
      <c r="AJ902" s="682"/>
      <c r="AK902" s="682"/>
      <c r="AL902" s="682"/>
      <c r="AM902" s="682"/>
      <c r="AN902" s="682"/>
      <c r="AO902" s="682"/>
      <c r="AP902" s="682"/>
      <c r="AQ902" s="682"/>
      <c r="AR902" s="682"/>
      <c r="AS902" s="682"/>
    </row>
    <row r="903" spans="1:45" s="6" customFormat="1" ht="30" hidden="1" customHeight="1" x14ac:dyDescent="0.25">
      <c r="A903" s="2070"/>
      <c r="B903" s="2067"/>
      <c r="C903" s="160"/>
      <c r="D903" s="887" t="s">
        <v>10</v>
      </c>
      <c r="E903" s="962">
        <v>46251</v>
      </c>
      <c r="F903" s="70">
        <f t="shared" ref="F903:F906" si="565">$L$7-E903</f>
        <v>35</v>
      </c>
      <c r="G903" s="12">
        <v>0</v>
      </c>
      <c r="H903" s="11"/>
      <c r="I903" s="11"/>
      <c r="J903" s="1388"/>
      <c r="K903" s="11">
        <f>IFERROR(SUMIF(INTAKE!$A:$A,$T903,INTAKE!$P:$P),0)</f>
        <v>0</v>
      </c>
      <c r="L903" s="1702">
        <f t="shared" si="563"/>
        <v>0</v>
      </c>
      <c r="M903" s="101"/>
      <c r="N903" s="249"/>
      <c r="O903" s="101"/>
      <c r="P903" s="750"/>
      <c r="Q903" s="795"/>
      <c r="R903" s="785">
        <f>IFERROR(VLOOKUP($Q903,'391'!$S:$Z,8,0),"")</f>
        <v>0</v>
      </c>
      <c r="S903" s="786"/>
      <c r="T903" s="787" t="str">
        <f>$Q$908&amp;C903&amp;E903</f>
        <v>Allplex GF (Local)46251</v>
      </c>
      <c r="U903" s="787"/>
      <c r="V903" s="787"/>
      <c r="W903" s="785">
        <f>IFERROR(VLOOKUP($Q903,'391'!$S:$AG,15,0),0)</f>
        <v>0</v>
      </c>
      <c r="X903" s="1090">
        <f t="shared" si="564"/>
        <v>0</v>
      </c>
      <c r="Y903" s="785"/>
      <c r="Z903" s="785"/>
      <c r="AA903" s="787"/>
      <c r="AB903" s="787"/>
      <c r="AC903" s="679"/>
      <c r="AD903" s="679"/>
      <c r="AE903" s="679"/>
      <c r="AF903" s="679"/>
      <c r="AG903" s="679"/>
      <c r="AH903" s="679"/>
      <c r="AI903" s="682"/>
      <c r="AJ903" s="682"/>
      <c r="AK903" s="682"/>
      <c r="AL903" s="682"/>
      <c r="AM903" s="682"/>
      <c r="AN903" s="682"/>
      <c r="AO903" s="682"/>
      <c r="AP903" s="682"/>
      <c r="AQ903" s="682"/>
      <c r="AR903" s="682"/>
      <c r="AS903" s="682"/>
    </row>
    <row r="904" spans="1:45" s="6" customFormat="1" ht="30" hidden="1" customHeight="1" x14ac:dyDescent="0.25">
      <c r="A904" s="2070"/>
      <c r="B904" s="2067"/>
      <c r="C904" s="160"/>
      <c r="D904" s="887" t="s">
        <v>10</v>
      </c>
      <c r="E904" s="962">
        <v>46265</v>
      </c>
      <c r="F904" s="70">
        <f t="shared" si="565"/>
        <v>21</v>
      </c>
      <c r="G904" s="12">
        <v>0</v>
      </c>
      <c r="H904" s="11"/>
      <c r="I904" s="11"/>
      <c r="J904" s="1388"/>
      <c r="K904" s="11">
        <f>IFERROR(SUMIF(INTAKE!$A:$A,$T904,INTAKE!$P:$P),0)</f>
        <v>0</v>
      </c>
      <c r="L904" s="1702">
        <f t="shared" si="563"/>
        <v>0</v>
      </c>
      <c r="M904" s="101"/>
      <c r="N904" s="249"/>
      <c r="O904" s="101"/>
      <c r="P904" s="750"/>
      <c r="Q904" s="795"/>
      <c r="R904" s="785">
        <f>IFERROR(VLOOKUP($Q904,'391'!$S:$Z,8,0),"")</f>
        <v>0</v>
      </c>
      <c r="S904" s="786"/>
      <c r="T904" s="787" t="str">
        <f>$Q$908&amp;C904&amp;E904</f>
        <v>Allplex GF (Local)46265</v>
      </c>
      <c r="U904" s="787"/>
      <c r="V904" s="787"/>
      <c r="W904" s="785">
        <f>IFERROR(VLOOKUP($Q904,'391'!$S:$AG,15,0),0)</f>
        <v>0</v>
      </c>
      <c r="X904" s="1090">
        <f t="shared" si="564"/>
        <v>0</v>
      </c>
      <c r="Y904" s="785"/>
      <c r="Z904" s="785"/>
      <c r="AA904" s="787"/>
      <c r="AB904" s="787"/>
      <c r="AC904" s="679"/>
      <c r="AD904" s="679"/>
      <c r="AE904" s="679"/>
      <c r="AF904" s="679"/>
      <c r="AG904" s="679"/>
      <c r="AH904" s="679"/>
      <c r="AI904" s="682"/>
      <c r="AJ904" s="682"/>
      <c r="AK904" s="682"/>
      <c r="AL904" s="682"/>
      <c r="AM904" s="682"/>
      <c r="AN904" s="682"/>
      <c r="AO904" s="682"/>
      <c r="AP904" s="682"/>
      <c r="AQ904" s="682"/>
      <c r="AR904" s="682"/>
      <c r="AS904" s="682"/>
    </row>
    <row r="905" spans="1:45" s="6" customFormat="1" ht="30" hidden="1" customHeight="1" x14ac:dyDescent="0.25">
      <c r="A905" s="2070"/>
      <c r="B905" s="2067"/>
      <c r="C905" s="160"/>
      <c r="D905" s="887" t="s">
        <v>10</v>
      </c>
      <c r="E905" s="962">
        <v>46265</v>
      </c>
      <c r="F905" s="70">
        <f t="shared" ref="F905" si="566">$L$7-E905</f>
        <v>21</v>
      </c>
      <c r="G905" s="12">
        <v>0</v>
      </c>
      <c r="H905" s="11"/>
      <c r="I905" s="11"/>
      <c r="J905" s="1388"/>
      <c r="K905" s="11">
        <f>IFERROR(SUMIF(INTAKE!$A:$A,$T905,INTAKE!$P:$P),0)</f>
        <v>0</v>
      </c>
      <c r="L905" s="1702">
        <f t="shared" si="563"/>
        <v>0</v>
      </c>
      <c r="M905" s="101"/>
      <c r="N905" s="249"/>
      <c r="O905" s="101"/>
      <c r="P905" s="750"/>
      <c r="Q905" s="795"/>
      <c r="R905" s="785">
        <f>IFERROR(VLOOKUP($Q905,'391'!$S:$Z,8,0),"")</f>
        <v>0</v>
      </c>
      <c r="S905" s="786"/>
      <c r="T905" s="787" t="str">
        <f>$Q$909&amp;C905&amp;E905</f>
        <v>ALLPLEX GF (USA)46265</v>
      </c>
      <c r="U905" s="787"/>
      <c r="V905" s="787"/>
      <c r="W905" s="785">
        <f>IFERROR(VLOOKUP($Q905,'391'!$S:$AG,15,0),0)</f>
        <v>0</v>
      </c>
      <c r="X905" s="1090">
        <f t="shared" si="564"/>
        <v>0</v>
      </c>
      <c r="Y905" s="785"/>
      <c r="Z905" s="785"/>
      <c r="AA905" s="787"/>
      <c r="AB905" s="787"/>
      <c r="AC905" s="679"/>
      <c r="AD905" s="679"/>
      <c r="AE905" s="679"/>
      <c r="AF905" s="679"/>
      <c r="AG905" s="679"/>
      <c r="AH905" s="679"/>
      <c r="AI905" s="682"/>
      <c r="AJ905" s="682"/>
      <c r="AK905" s="682"/>
      <c r="AL905" s="682"/>
      <c r="AM905" s="682"/>
      <c r="AN905" s="682"/>
      <c r="AO905" s="682"/>
      <c r="AP905" s="682"/>
      <c r="AQ905" s="682"/>
      <c r="AR905" s="682"/>
      <c r="AS905" s="682"/>
    </row>
    <row r="906" spans="1:45" s="6" customFormat="1" ht="30" hidden="1" customHeight="1" x14ac:dyDescent="0.25">
      <c r="A906" s="2070"/>
      <c r="B906" s="2067"/>
      <c r="C906" s="160"/>
      <c r="D906" s="887" t="s">
        <v>10</v>
      </c>
      <c r="E906" s="962">
        <v>46265</v>
      </c>
      <c r="F906" s="70">
        <f t="shared" si="565"/>
        <v>21</v>
      </c>
      <c r="G906" s="12">
        <v>0</v>
      </c>
      <c r="H906" s="11"/>
      <c r="I906" s="11"/>
      <c r="J906" s="1388"/>
      <c r="K906" s="11">
        <f>IFERROR(SUMIF(INTAKE!$A:$A,$T906,INTAKE!$P:$P),0)</f>
        <v>0</v>
      </c>
      <c r="L906" s="1711">
        <f t="shared" si="563"/>
        <v>0</v>
      </c>
      <c r="M906" s="101"/>
      <c r="N906" s="249"/>
      <c r="O906" s="101"/>
      <c r="P906" s="750"/>
      <c r="Q906" s="795"/>
      <c r="R906" s="785">
        <f>IFERROR(VLOOKUP($Q906,'391'!$S:$Z,8,0),"")</f>
        <v>0</v>
      </c>
      <c r="S906" s="786"/>
      <c r="T906" s="787" t="str">
        <f>$Q$909&amp;C906&amp;E906</f>
        <v>ALLPLEX GF (USA)46265</v>
      </c>
      <c r="U906" s="787"/>
      <c r="V906" s="787"/>
      <c r="W906" s="785">
        <f>IFERROR(VLOOKUP($Q906,'391'!$S:$AG,15,0),0)</f>
        <v>0</v>
      </c>
      <c r="X906" s="1090">
        <f t="shared" si="564"/>
        <v>0</v>
      </c>
      <c r="Y906" s="785"/>
      <c r="Z906" s="785"/>
      <c r="AA906" s="787"/>
      <c r="AB906" s="787"/>
      <c r="AC906" s="679"/>
      <c r="AD906" s="679"/>
      <c r="AE906" s="679"/>
      <c r="AF906" s="679"/>
      <c r="AG906" s="679"/>
      <c r="AH906" s="679"/>
      <c r="AI906" s="682"/>
      <c r="AJ906" s="682"/>
      <c r="AK906" s="682"/>
      <c r="AL906" s="682"/>
      <c r="AM906" s="682"/>
      <c r="AN906" s="682"/>
      <c r="AO906" s="682"/>
      <c r="AP906" s="682"/>
      <c r="AQ906" s="682"/>
      <c r="AR906" s="682"/>
      <c r="AS906" s="682"/>
    </row>
    <row r="907" spans="1:45" s="6" customFormat="1" ht="30" hidden="1" customHeight="1" x14ac:dyDescent="0.25">
      <c r="A907" s="2070"/>
      <c r="B907" s="2067"/>
      <c r="C907" s="160"/>
      <c r="D907" s="887" t="s">
        <v>10</v>
      </c>
      <c r="E907" s="962">
        <v>46265</v>
      </c>
      <c r="F907" s="70">
        <f t="shared" si="562"/>
        <v>21</v>
      </c>
      <c r="G907" s="12">
        <v>0</v>
      </c>
      <c r="H907" s="11"/>
      <c r="I907" s="11"/>
      <c r="J907" s="1388"/>
      <c r="K907" s="11">
        <f>IFERROR(SUMIF(INTAKE!$A:$A,$T907,INTAKE!$P:$P),0)</f>
        <v>0</v>
      </c>
      <c r="L907" s="1702">
        <f t="shared" si="563"/>
        <v>0</v>
      </c>
      <c r="M907" s="101"/>
      <c r="N907" s="249"/>
      <c r="O907" s="101"/>
      <c r="P907" s="750"/>
      <c r="Q907" s="795"/>
      <c r="R907" s="785">
        <f>IFERROR(VLOOKUP($Q907,'391'!$S:$Z,8,0),"")</f>
        <v>0</v>
      </c>
      <c r="S907" s="786"/>
      <c r="T907" s="787" t="str">
        <f>$Q$909&amp;C907&amp;E907</f>
        <v>ALLPLEX GF (USA)46265</v>
      </c>
      <c r="U907" s="787"/>
      <c r="V907" s="787"/>
      <c r="W907" s="785">
        <f>IFERROR(VLOOKUP($Q907,'391'!$S:$AG,15,0),0)</f>
        <v>0</v>
      </c>
      <c r="X907" s="1090">
        <f t="shared" si="564"/>
        <v>0</v>
      </c>
      <c r="Y907" s="785"/>
      <c r="Z907" s="785"/>
      <c r="AA907" s="787"/>
      <c r="AB907" s="787"/>
      <c r="AC907" s="679"/>
      <c r="AD907" s="679"/>
      <c r="AE907" s="679"/>
      <c r="AF907" s="679"/>
      <c r="AG907" s="679"/>
      <c r="AH907" s="679"/>
      <c r="AI907" s="682"/>
      <c r="AJ907" s="682"/>
      <c r="AK907" s="682"/>
      <c r="AL907" s="682"/>
      <c r="AM907" s="682"/>
      <c r="AN907" s="682"/>
      <c r="AO907" s="682"/>
      <c r="AP907" s="682"/>
      <c r="AQ907" s="682"/>
      <c r="AR907" s="682"/>
      <c r="AS907" s="682"/>
    </row>
    <row r="908" spans="1:45" s="6" customFormat="1" ht="30" customHeight="1" x14ac:dyDescent="0.25">
      <c r="A908" s="2070"/>
      <c r="B908" s="2067"/>
      <c r="C908" s="187" t="s">
        <v>46</v>
      </c>
      <c r="D908" s="852" t="s">
        <v>10</v>
      </c>
      <c r="E908" s="968">
        <v>46251</v>
      </c>
      <c r="F908" s="73">
        <f t="shared" si="562"/>
        <v>35</v>
      </c>
      <c r="G908" s="58">
        <v>1601.4200000000003</v>
      </c>
      <c r="H908" s="58"/>
      <c r="I908" s="58">
        <f>+SUM(K901:K906)</f>
        <v>1000</v>
      </c>
      <c r="J908" s="1365">
        <f>+usage!I127</f>
        <v>657.68</v>
      </c>
      <c r="K908" s="11">
        <f>IFERROR(SUMIF(INTAKE!$A:$A,$T908,INTAKE!$P:$P),0)</f>
        <v>0</v>
      </c>
      <c r="L908" s="1533">
        <f t="shared" si="563"/>
        <v>1943.7400000000002</v>
      </c>
      <c r="M908" s="101"/>
      <c r="N908" s="249"/>
      <c r="O908" s="101"/>
      <c r="P908" s="750"/>
      <c r="Q908" s="666" t="s">
        <v>1205</v>
      </c>
      <c r="R908" s="785">
        <f>IFERROR(VLOOKUP($Q908,'391'!$S:$Z,8,0),"")</f>
        <v>4436.08</v>
      </c>
      <c r="S908" s="786"/>
      <c r="T908" s="787" t="str">
        <f>$Q$909&amp;C908&amp;E908</f>
        <v>ALLPLEX GF (USA)Feedmill46251</v>
      </c>
      <c r="U908" s="787"/>
      <c r="V908" s="787"/>
      <c r="W908" s="785">
        <f>IFERROR(VLOOKUP($Q908,'391'!$S:$AG,15,0),0)</f>
        <v>18601.420000000002</v>
      </c>
      <c r="X908" s="1090">
        <f t="shared" si="564"/>
        <v>-17000</v>
      </c>
      <c r="Y908" s="785"/>
      <c r="Z908" s="785"/>
      <c r="AA908" s="787"/>
      <c r="AB908" s="787"/>
      <c r="AC908" s="679"/>
      <c r="AD908" s="679"/>
      <c r="AE908" s="679"/>
      <c r="AF908" s="679"/>
      <c r="AG908" s="679"/>
      <c r="AH908" s="679"/>
      <c r="AI908" s="682"/>
      <c r="AJ908" s="682"/>
      <c r="AK908" s="682"/>
      <c r="AL908" s="682"/>
      <c r="AM908" s="682"/>
      <c r="AN908" s="682"/>
      <c r="AO908" s="682"/>
      <c r="AP908" s="682"/>
      <c r="AQ908" s="682"/>
      <c r="AR908" s="682"/>
      <c r="AS908" s="682"/>
    </row>
    <row r="909" spans="1:45" s="265" customFormat="1" ht="30" customHeight="1" x14ac:dyDescent="0.25">
      <c r="A909" s="2019" t="s">
        <v>18</v>
      </c>
      <c r="B909" s="2020"/>
      <c r="C909" s="88"/>
      <c r="D909" s="864"/>
      <c r="E909" s="864"/>
      <c r="F909" s="865"/>
      <c r="G909" s="1297">
        <v>18601.420000000002</v>
      </c>
      <c r="H909" s="1297">
        <f t="shared" ref="H909:I909" si="567">SUM(H900:H908)</f>
        <v>0</v>
      </c>
      <c r="I909" s="1297">
        <f t="shared" si="567"/>
        <v>1000</v>
      </c>
      <c r="J909" s="1297">
        <f t="shared" ref="J909:L909" si="568">SUM(J900:J908)</f>
        <v>657.68</v>
      </c>
      <c r="K909" s="1297">
        <f t="shared" si="568"/>
        <v>1000</v>
      </c>
      <c r="L909" s="1297">
        <f t="shared" si="568"/>
        <v>17943.740000000002</v>
      </c>
      <c r="M909" s="59">
        <f>IFERROR(((R909+R908)/$S$2),"")</f>
        <v>739.34666666666669</v>
      </c>
      <c r="N909" s="366">
        <f>(L909/M909)</f>
        <v>24.269724621738114</v>
      </c>
      <c r="O909" s="59">
        <f>IFERROR(SUMIF(ETM!$A:$A,$Q909,ETM!$E:$E),"")</f>
        <v>760.16666666666663</v>
      </c>
      <c r="P909" s="880">
        <f>IFERROR(L909/O909,0)</f>
        <v>23.605007673755757</v>
      </c>
      <c r="Q909" s="814" t="s">
        <v>668</v>
      </c>
      <c r="R909" s="785" t="str">
        <f>IFERROR(VLOOKUP($Q909,'391'!$S:$Z,8,0),"0")</f>
        <v>0</v>
      </c>
      <c r="S909" s="796"/>
      <c r="T909" s="797"/>
      <c r="U909" s="797"/>
      <c r="V909" s="797"/>
      <c r="W909" s="785">
        <f>IFERROR(VLOOKUP($Q909,'391'!$S:$AG,15,0),0)</f>
        <v>0</v>
      </c>
      <c r="X909" s="1231">
        <f>G909-(W909+W908)</f>
        <v>0</v>
      </c>
      <c r="Y909" s="785"/>
      <c r="Z909" s="785"/>
      <c r="AA909" s="797"/>
      <c r="AB909" s="797"/>
      <c r="AC909" s="551"/>
      <c r="AD909" s="551"/>
      <c r="AE909" s="551"/>
      <c r="AF909" s="551"/>
      <c r="AG909" s="551"/>
      <c r="AH909" s="551"/>
      <c r="AI909" s="704"/>
      <c r="AJ909" s="704"/>
      <c r="AK909" s="704"/>
      <c r="AL909" s="704"/>
      <c r="AM909" s="704"/>
      <c r="AN909" s="704"/>
      <c r="AO909" s="704"/>
      <c r="AP909" s="704"/>
      <c r="AQ909" s="704"/>
      <c r="AR909" s="704"/>
      <c r="AS909" s="704"/>
    </row>
    <row r="910" spans="1:45" s="6" customFormat="1" ht="30" hidden="1" customHeight="1" x14ac:dyDescent="0.25">
      <c r="A910" s="1997">
        <f>IF(L927=0,"",MAX($A$16:A909)+1)</f>
        <v>58</v>
      </c>
      <c r="B910" s="2066" t="s">
        <v>1237</v>
      </c>
      <c r="C910" s="160"/>
      <c r="D910" s="881" t="s">
        <v>10</v>
      </c>
      <c r="E910" s="976">
        <v>45989</v>
      </c>
      <c r="F910" s="71">
        <f t="shared" ref="F910:F912" si="569">$L$7-E910</f>
        <v>297</v>
      </c>
      <c r="G910" s="11">
        <v>0</v>
      </c>
      <c r="H910" s="12"/>
      <c r="I910" s="12"/>
      <c r="J910" s="1368"/>
      <c r="K910" s="11">
        <f>IFERROR(SUMIF(INTAKE!$A:$A,$T910,INTAKE!$P:$P),0)</f>
        <v>0</v>
      </c>
      <c r="L910" s="1702">
        <f t="shared" ref="L910:L926" si="570">+G910+H910+I910-J910-K910</f>
        <v>0</v>
      </c>
      <c r="M910" s="147"/>
      <c r="N910" s="248"/>
      <c r="O910" s="1451"/>
      <c r="P910" s="748"/>
      <c r="Q910" s="795"/>
      <c r="R910" s="785">
        <f>IFERROR(VLOOKUP($Q910,'391'!$S:$Z,8,0),"")</f>
        <v>0</v>
      </c>
      <c r="S910" s="786"/>
      <c r="T910" s="787" t="str">
        <f t="shared" ref="T910:T919" si="571">$Q$926&amp;C910&amp;E910</f>
        <v>Allplex S (Local)45989</v>
      </c>
      <c r="U910" s="787"/>
      <c r="V910" s="787"/>
      <c r="W910" s="785">
        <f>IFERROR(VLOOKUP($Q910,'391'!$S:$AG,15,0),0)</f>
        <v>0</v>
      </c>
      <c r="X910" s="1090">
        <f t="shared" ref="X910:X926" si="572">G910-W910</f>
        <v>0</v>
      </c>
      <c r="Y910" s="785"/>
      <c r="Z910" s="785"/>
      <c r="AA910" s="787"/>
      <c r="AB910" s="787"/>
      <c r="AC910" s="679"/>
      <c r="AD910" s="679"/>
      <c r="AE910" s="679"/>
      <c r="AF910" s="679"/>
      <c r="AG910" s="679"/>
      <c r="AH910" s="679"/>
      <c r="AI910" s="682"/>
      <c r="AJ910" s="682"/>
      <c r="AK910" s="682"/>
      <c r="AL910" s="682"/>
      <c r="AM910" s="682"/>
      <c r="AN910" s="682"/>
      <c r="AO910" s="682"/>
      <c r="AP910" s="682"/>
      <c r="AQ910" s="682"/>
      <c r="AR910" s="682"/>
      <c r="AS910" s="682"/>
    </row>
    <row r="911" spans="1:45" s="6" customFormat="1" ht="30" customHeight="1" x14ac:dyDescent="0.25">
      <c r="A911" s="1998"/>
      <c r="B911" s="2067"/>
      <c r="C911" s="160" t="s">
        <v>1661</v>
      </c>
      <c r="D911" s="881" t="s">
        <v>10</v>
      </c>
      <c r="E911" s="976">
        <v>46251</v>
      </c>
      <c r="F911" s="71">
        <f t="shared" si="569"/>
        <v>35</v>
      </c>
      <c r="G911" s="11">
        <v>0</v>
      </c>
      <c r="H911" s="12"/>
      <c r="I911" s="12"/>
      <c r="J911" s="1368"/>
      <c r="K911" s="11">
        <f>IFERROR(SUMIF(INTAKE!$A:$A,$T911,INTAKE!$P:$P),0)</f>
        <v>0</v>
      </c>
      <c r="L911" s="1702">
        <f t="shared" si="570"/>
        <v>0</v>
      </c>
      <c r="M911" s="101"/>
      <c r="N911" s="249"/>
      <c r="O911" s="369"/>
      <c r="P911" s="750"/>
      <c r="Q911" s="795"/>
      <c r="R911" s="785">
        <f>IFERROR(VLOOKUP($Q911,'391'!$S:$Z,8,0),"")</f>
        <v>0</v>
      </c>
      <c r="S911" s="786"/>
      <c r="T911" s="787" t="str">
        <f t="shared" si="571"/>
        <v>Allplex S (Local)A22.546251</v>
      </c>
      <c r="U911" s="787"/>
      <c r="V911" s="787"/>
      <c r="W911" s="785">
        <f>IFERROR(VLOOKUP($Q911,'391'!$S:$AG,15,0),0)</f>
        <v>0</v>
      </c>
      <c r="X911" s="1090">
        <f t="shared" si="572"/>
        <v>0</v>
      </c>
      <c r="Y911" s="785"/>
      <c r="Z911" s="785"/>
      <c r="AA911" s="787"/>
      <c r="AB911" s="787"/>
      <c r="AC911" s="679"/>
      <c r="AD911" s="679"/>
      <c r="AE911" s="679"/>
      <c r="AF911" s="679"/>
      <c r="AG911" s="679"/>
      <c r="AH911" s="679"/>
      <c r="AI911" s="682"/>
      <c r="AJ911" s="682"/>
      <c r="AK911" s="682"/>
      <c r="AL911" s="682"/>
      <c r="AM911" s="682"/>
      <c r="AN911" s="682"/>
      <c r="AO911" s="682"/>
      <c r="AP911" s="682"/>
      <c r="AQ911" s="682"/>
      <c r="AR911" s="682"/>
      <c r="AS911" s="682"/>
    </row>
    <row r="912" spans="1:45" s="6" customFormat="1" ht="30" customHeight="1" x14ac:dyDescent="0.25">
      <c r="A912" s="1998"/>
      <c r="B912" s="2067"/>
      <c r="C912" s="160" t="s">
        <v>509</v>
      </c>
      <c r="D912" s="881" t="s">
        <v>10</v>
      </c>
      <c r="E912" s="976">
        <v>46265</v>
      </c>
      <c r="F912" s="71">
        <f t="shared" si="569"/>
        <v>21</v>
      </c>
      <c r="G912" s="11">
        <v>7000</v>
      </c>
      <c r="H912" s="12"/>
      <c r="I912" s="12"/>
      <c r="J912" s="1368"/>
      <c r="K912" s="11">
        <f>IFERROR(SUMIF(INTAKE!$A:$A,$T912,INTAKE!$P:$P),0)</f>
        <v>0</v>
      </c>
      <c r="L912" s="1702">
        <f t="shared" si="570"/>
        <v>7000</v>
      </c>
      <c r="M912" s="101"/>
      <c r="N912" s="249"/>
      <c r="O912" s="369"/>
      <c r="P912" s="750"/>
      <c r="Q912" s="795"/>
      <c r="R912" s="785">
        <f>IFERROR(VLOOKUP($Q912,'391'!$S:$Z,8,0),"")</f>
        <v>0</v>
      </c>
      <c r="S912" s="786"/>
      <c r="T912" s="787" t="str">
        <f t="shared" si="571"/>
        <v>Allplex S (Local)A18.546265</v>
      </c>
      <c r="U912" s="787"/>
      <c r="V912" s="787"/>
      <c r="W912" s="785">
        <f>IFERROR(VLOOKUP($Q912,'391'!$S:$AG,15,0),0)</f>
        <v>0</v>
      </c>
      <c r="X912" s="1090">
        <f t="shared" si="572"/>
        <v>7000</v>
      </c>
      <c r="Y912" s="785"/>
      <c r="Z912" s="785"/>
      <c r="AA912" s="787"/>
      <c r="AB912" s="787"/>
      <c r="AC912" s="679"/>
      <c r="AD912" s="679"/>
      <c r="AE912" s="679"/>
      <c r="AF912" s="679"/>
      <c r="AG912" s="679"/>
      <c r="AH912" s="679"/>
      <c r="AI912" s="682"/>
      <c r="AJ912" s="682"/>
      <c r="AK912" s="682"/>
      <c r="AL912" s="682"/>
      <c r="AM912" s="682"/>
      <c r="AN912" s="682"/>
      <c r="AO912" s="682"/>
      <c r="AP912" s="682"/>
      <c r="AQ912" s="682"/>
      <c r="AR912" s="682"/>
      <c r="AS912" s="682"/>
    </row>
    <row r="913" spans="1:45" s="6" customFormat="1" ht="30" hidden="1" customHeight="1" x14ac:dyDescent="0.25">
      <c r="A913" s="1998"/>
      <c r="B913" s="2067"/>
      <c r="C913" s="160"/>
      <c r="D913" s="881" t="s">
        <v>10</v>
      </c>
      <c r="E913" s="976">
        <v>46265</v>
      </c>
      <c r="F913" s="71">
        <f t="shared" ref="F913" si="573">$L$7-E913</f>
        <v>21</v>
      </c>
      <c r="G913" s="11">
        <v>0</v>
      </c>
      <c r="H913" s="12"/>
      <c r="I913" s="12"/>
      <c r="J913" s="1368"/>
      <c r="K913" s="11">
        <f>IFERROR(SUMIF(INTAKE!$A:$A,$T913,INTAKE!$P:$P),0)</f>
        <v>0</v>
      </c>
      <c r="L913" s="1702">
        <f t="shared" si="570"/>
        <v>0</v>
      </c>
      <c r="M913" s="101"/>
      <c r="N913" s="249"/>
      <c r="O913" s="369"/>
      <c r="P913" s="750"/>
      <c r="Q913" s="795"/>
      <c r="R913" s="785">
        <f>IFERROR(VLOOKUP($Q913,'391'!$S:$Z,8,0),"")</f>
        <v>0</v>
      </c>
      <c r="S913" s="786"/>
      <c r="T913" s="787" t="str">
        <f t="shared" si="571"/>
        <v>Allplex S (Local)46265</v>
      </c>
      <c r="U913" s="787"/>
      <c r="V913" s="787"/>
      <c r="W913" s="785">
        <f>IFERROR(VLOOKUP($Q913,'391'!$S:$AG,15,0),0)</f>
        <v>0</v>
      </c>
      <c r="X913" s="1090">
        <f t="shared" si="572"/>
        <v>0</v>
      </c>
      <c r="Y913" s="785"/>
      <c r="Z913" s="785"/>
      <c r="AA913" s="787"/>
      <c r="AB913" s="787"/>
      <c r="AC913" s="679"/>
      <c r="AD913" s="679"/>
      <c r="AE913" s="679"/>
      <c r="AF913" s="679"/>
      <c r="AG913" s="679"/>
      <c r="AH913" s="679"/>
      <c r="AI913" s="682"/>
      <c r="AJ913" s="682"/>
      <c r="AK913" s="682"/>
      <c r="AL913" s="682"/>
      <c r="AM913" s="682"/>
      <c r="AN913" s="682"/>
      <c r="AO913" s="682"/>
      <c r="AP913" s="682"/>
      <c r="AQ913" s="682"/>
      <c r="AR913" s="682"/>
      <c r="AS913" s="682"/>
    </row>
    <row r="914" spans="1:45" s="6" customFormat="1" ht="30" hidden="1" customHeight="1" x14ac:dyDescent="0.25">
      <c r="A914" s="1998"/>
      <c r="B914" s="2072"/>
      <c r="C914" s="160"/>
      <c r="D914" s="881" t="s">
        <v>10</v>
      </c>
      <c r="E914" s="976">
        <v>46020</v>
      </c>
      <c r="F914" s="71">
        <f t="shared" ref="F914" si="574">$L$7-E914</f>
        <v>266</v>
      </c>
      <c r="G914" s="11">
        <v>0</v>
      </c>
      <c r="H914" s="12"/>
      <c r="I914" s="12"/>
      <c r="J914" s="1368"/>
      <c r="K914" s="11">
        <f>IFERROR(SUMIF(INTAKE!$A:$A,$T914,INTAKE!$P:$P),0)</f>
        <v>0</v>
      </c>
      <c r="L914" s="1702">
        <f t="shared" ref="L914:L921" si="575">+G914+H914+I914-J914-K914</f>
        <v>0</v>
      </c>
      <c r="M914" s="101"/>
      <c r="N914" s="249"/>
      <c r="O914" s="369"/>
      <c r="P914" s="750"/>
      <c r="Q914" s="795"/>
      <c r="R914" s="785">
        <f>IFERROR(VLOOKUP($Q914,'391'!$S:$Z,8,0),"")</f>
        <v>0</v>
      </c>
      <c r="S914" s="786"/>
      <c r="T914" s="787" t="str">
        <f t="shared" si="571"/>
        <v>Allplex S (Local)46020</v>
      </c>
      <c r="U914" s="787"/>
      <c r="V914" s="787"/>
      <c r="W914" s="785">
        <f>IFERROR(VLOOKUP($Q914,'391'!$S:$AG,15,0),0)</f>
        <v>0</v>
      </c>
      <c r="X914" s="1090">
        <f t="shared" ref="X914:X921" si="576">G914-W914</f>
        <v>0</v>
      </c>
      <c r="Y914" s="785"/>
      <c r="Z914" s="785"/>
      <c r="AA914" s="787"/>
      <c r="AB914" s="787"/>
      <c r="AC914" s="679"/>
      <c r="AD914" s="679"/>
      <c r="AE914" s="679"/>
      <c r="AF914" s="679"/>
      <c r="AG914" s="679"/>
      <c r="AH914" s="679"/>
      <c r="AI914" s="682"/>
      <c r="AJ914" s="682"/>
      <c r="AK914" s="682"/>
      <c r="AL914" s="682"/>
      <c r="AM914" s="682"/>
      <c r="AN914" s="682"/>
      <c r="AO914" s="682"/>
      <c r="AP914" s="682"/>
      <c r="AQ914" s="682"/>
      <c r="AR914" s="682"/>
      <c r="AS914" s="682"/>
    </row>
    <row r="915" spans="1:45" s="6" customFormat="1" ht="30" hidden="1" customHeight="1" x14ac:dyDescent="0.25">
      <c r="A915" s="1998"/>
      <c r="B915" s="2072"/>
      <c r="C915" s="160"/>
      <c r="D915" s="881" t="s">
        <v>10</v>
      </c>
      <c r="E915" s="976">
        <v>45989</v>
      </c>
      <c r="F915" s="71">
        <f t="shared" ref="F915" si="577">$L$7-E915</f>
        <v>297</v>
      </c>
      <c r="G915" s="11">
        <v>0</v>
      </c>
      <c r="H915" s="12"/>
      <c r="I915" s="12"/>
      <c r="J915" s="1368"/>
      <c r="K915" s="11">
        <f>IFERROR(SUMIF(INTAKE!$A:$A,$T915,INTAKE!$P:$P),0)</f>
        <v>0</v>
      </c>
      <c r="L915" s="1702">
        <f t="shared" si="575"/>
        <v>0</v>
      </c>
      <c r="M915" s="101"/>
      <c r="N915" s="249"/>
      <c r="O915" s="369"/>
      <c r="P915" s="750"/>
      <c r="Q915" s="795"/>
      <c r="R915" s="785">
        <f>IFERROR(VLOOKUP($Q915,'391'!$S:$Z,8,0),"")</f>
        <v>0</v>
      </c>
      <c r="S915" s="786"/>
      <c r="T915" s="787" t="str">
        <f t="shared" si="571"/>
        <v>Allplex S (Local)45989</v>
      </c>
      <c r="U915" s="787"/>
      <c r="V915" s="787"/>
      <c r="W915" s="785">
        <f>IFERROR(VLOOKUP($Q915,'391'!$S:$AG,15,0),0)</f>
        <v>0</v>
      </c>
      <c r="X915" s="1090">
        <f t="shared" si="576"/>
        <v>0</v>
      </c>
      <c r="Y915" s="785"/>
      <c r="Z915" s="785"/>
      <c r="AA915" s="787"/>
      <c r="AB915" s="787"/>
      <c r="AC915" s="679"/>
      <c r="AD915" s="679"/>
      <c r="AE915" s="679"/>
      <c r="AF915" s="679"/>
      <c r="AG915" s="679"/>
      <c r="AH915" s="679"/>
      <c r="AI915" s="682"/>
      <c r="AJ915" s="682"/>
      <c r="AK915" s="682"/>
      <c r="AL915" s="682"/>
      <c r="AM915" s="682"/>
      <c r="AN915" s="682"/>
      <c r="AO915" s="682"/>
      <c r="AP915" s="682"/>
      <c r="AQ915" s="682"/>
      <c r="AR915" s="682"/>
      <c r="AS915" s="682"/>
    </row>
    <row r="916" spans="1:45" s="6" customFormat="1" ht="30" hidden="1" customHeight="1" x14ac:dyDescent="0.25">
      <c r="A916" s="1998"/>
      <c r="B916" s="2072"/>
      <c r="C916" s="160"/>
      <c r="D916" s="881" t="s">
        <v>10</v>
      </c>
      <c r="E916" s="976">
        <v>45989</v>
      </c>
      <c r="F916" s="71">
        <f t="shared" ref="F916" si="578">$L$7-E916</f>
        <v>297</v>
      </c>
      <c r="G916" s="11">
        <v>0</v>
      </c>
      <c r="H916" s="12"/>
      <c r="I916" s="12"/>
      <c r="J916" s="1368"/>
      <c r="K916" s="11">
        <f>IFERROR(SUMIF(INTAKE!$A:$A,$T916,INTAKE!$P:$P),0)</f>
        <v>0</v>
      </c>
      <c r="L916" s="1702">
        <f t="shared" si="575"/>
        <v>0</v>
      </c>
      <c r="M916" s="101"/>
      <c r="N916" s="249"/>
      <c r="O916" s="369"/>
      <c r="P916" s="750"/>
      <c r="Q916" s="795"/>
      <c r="R916" s="785">
        <f>IFERROR(VLOOKUP($Q916,'391'!$S:$Z,8,0),"")</f>
        <v>0</v>
      </c>
      <c r="S916" s="786"/>
      <c r="T916" s="787" t="str">
        <f t="shared" si="571"/>
        <v>Allplex S (Local)45989</v>
      </c>
      <c r="U916" s="787"/>
      <c r="V916" s="787"/>
      <c r="W916" s="785">
        <f>IFERROR(VLOOKUP($Q916,'391'!$S:$AG,15,0),0)</f>
        <v>0</v>
      </c>
      <c r="X916" s="1090">
        <f t="shared" si="576"/>
        <v>0</v>
      </c>
      <c r="Y916" s="785"/>
      <c r="Z916" s="785"/>
      <c r="AA916" s="787"/>
      <c r="AB916" s="787"/>
      <c r="AC916" s="679"/>
      <c r="AD916" s="679"/>
      <c r="AE916" s="679"/>
      <c r="AF916" s="679"/>
      <c r="AG916" s="679"/>
      <c r="AH916" s="679"/>
      <c r="AI916" s="682"/>
      <c r="AJ916" s="682"/>
      <c r="AK916" s="682"/>
      <c r="AL916" s="682"/>
      <c r="AM916" s="682"/>
      <c r="AN916" s="682"/>
      <c r="AO916" s="682"/>
      <c r="AP916" s="682"/>
      <c r="AQ916" s="682"/>
      <c r="AR916" s="682"/>
      <c r="AS916" s="682"/>
    </row>
    <row r="917" spans="1:45" s="6" customFormat="1" ht="30" hidden="1" customHeight="1" x14ac:dyDescent="0.25">
      <c r="A917" s="1998"/>
      <c r="B917" s="2072"/>
      <c r="C917" s="160"/>
      <c r="D917" s="881" t="s">
        <v>10</v>
      </c>
      <c r="E917" s="976">
        <v>45989</v>
      </c>
      <c r="F917" s="71">
        <f t="shared" ref="F917" si="579">$L$7-E917</f>
        <v>297</v>
      </c>
      <c r="G917" s="11">
        <v>0</v>
      </c>
      <c r="H917" s="12"/>
      <c r="I917" s="12"/>
      <c r="J917" s="1368"/>
      <c r="K917" s="11">
        <f>IFERROR(SUMIF(INTAKE!$A:$A,$T917,INTAKE!$P:$P),0)</f>
        <v>0</v>
      </c>
      <c r="L917" s="1702">
        <f t="shared" si="575"/>
        <v>0</v>
      </c>
      <c r="M917" s="101"/>
      <c r="N917" s="249"/>
      <c r="O917" s="369"/>
      <c r="P917" s="750"/>
      <c r="Q917" s="795"/>
      <c r="R917" s="785">
        <f>IFERROR(VLOOKUP($Q917,'391'!$S:$Z,8,0),"")</f>
        <v>0</v>
      </c>
      <c r="S917" s="786"/>
      <c r="T917" s="787" t="str">
        <f t="shared" si="571"/>
        <v>Allplex S (Local)45989</v>
      </c>
      <c r="U917" s="787"/>
      <c r="V917" s="787"/>
      <c r="W917" s="785">
        <f>IFERROR(VLOOKUP($Q917,'391'!$S:$AG,15,0),0)</f>
        <v>0</v>
      </c>
      <c r="X917" s="1090">
        <f t="shared" si="576"/>
        <v>0</v>
      </c>
      <c r="Y917" s="785"/>
      <c r="Z917" s="785"/>
      <c r="AA917" s="787"/>
      <c r="AB917" s="787"/>
      <c r="AC917" s="679"/>
      <c r="AD917" s="679"/>
      <c r="AE917" s="679"/>
      <c r="AF917" s="679"/>
      <c r="AG917" s="679"/>
      <c r="AH917" s="679"/>
      <c r="AI917" s="682"/>
      <c r="AJ917" s="682"/>
      <c r="AK917" s="682"/>
      <c r="AL917" s="682"/>
      <c r="AM917" s="682"/>
      <c r="AN917" s="682"/>
      <c r="AO917" s="682"/>
      <c r="AP917" s="682"/>
      <c r="AQ917" s="682"/>
      <c r="AR917" s="682"/>
      <c r="AS917" s="682"/>
    </row>
    <row r="918" spans="1:45" s="6" customFormat="1" ht="30" hidden="1" customHeight="1" x14ac:dyDescent="0.25">
      <c r="A918" s="1998"/>
      <c r="B918" s="2072"/>
      <c r="C918" s="160"/>
      <c r="D918" s="881" t="s">
        <v>10</v>
      </c>
      <c r="E918" s="976">
        <v>45989</v>
      </c>
      <c r="F918" s="71">
        <f t="shared" ref="F918" si="580">$L$7-E918</f>
        <v>297</v>
      </c>
      <c r="G918" s="11">
        <v>0</v>
      </c>
      <c r="H918" s="12"/>
      <c r="I918" s="12"/>
      <c r="J918" s="1368"/>
      <c r="K918" s="11">
        <f>IFERROR(SUMIF(INTAKE!$A:$A,$T918,INTAKE!$P:$P),0)</f>
        <v>0</v>
      </c>
      <c r="L918" s="1702">
        <f t="shared" si="575"/>
        <v>0</v>
      </c>
      <c r="M918" s="101"/>
      <c r="N918" s="249"/>
      <c r="O918" s="369"/>
      <c r="P918" s="750"/>
      <c r="Q918" s="795"/>
      <c r="R918" s="785">
        <f>IFERROR(VLOOKUP($Q918,'391'!$S:$Z,8,0),"")</f>
        <v>0</v>
      </c>
      <c r="S918" s="786"/>
      <c r="T918" s="787" t="str">
        <f t="shared" si="571"/>
        <v>Allplex S (Local)45989</v>
      </c>
      <c r="U918" s="787"/>
      <c r="V918" s="787"/>
      <c r="W918" s="785">
        <f>IFERROR(VLOOKUP($Q918,'391'!$S:$AG,15,0),0)</f>
        <v>0</v>
      </c>
      <c r="X918" s="1090">
        <f t="shared" si="576"/>
        <v>0</v>
      </c>
      <c r="Y918" s="785"/>
      <c r="Z918" s="785"/>
      <c r="AA918" s="787"/>
      <c r="AB918" s="787"/>
      <c r="AC918" s="679"/>
      <c r="AD918" s="679"/>
      <c r="AE918" s="679"/>
      <c r="AF918" s="679"/>
      <c r="AG918" s="679"/>
      <c r="AH918" s="679"/>
      <c r="AI918" s="682"/>
      <c r="AJ918" s="682"/>
      <c r="AK918" s="682"/>
      <c r="AL918" s="682"/>
      <c r="AM918" s="682"/>
      <c r="AN918" s="682"/>
      <c r="AO918" s="682"/>
      <c r="AP918" s="682"/>
      <c r="AQ918" s="682"/>
      <c r="AR918" s="682"/>
      <c r="AS918" s="682"/>
    </row>
    <row r="919" spans="1:45" s="6" customFormat="1" ht="30" hidden="1" customHeight="1" x14ac:dyDescent="0.25">
      <c r="A919" s="1998"/>
      <c r="B919" s="2072"/>
      <c r="C919" s="160"/>
      <c r="D919" s="881" t="s">
        <v>10</v>
      </c>
      <c r="E919" s="976">
        <v>45989</v>
      </c>
      <c r="F919" s="71">
        <f t="shared" ref="F919" si="581">$L$7-E919</f>
        <v>297</v>
      </c>
      <c r="G919" s="11">
        <v>0</v>
      </c>
      <c r="H919" s="12"/>
      <c r="I919" s="12"/>
      <c r="J919" s="1368"/>
      <c r="K919" s="11">
        <f>IFERROR(SUMIF(INTAKE!$A:$A,$T919,INTAKE!$P:$P),0)</f>
        <v>0</v>
      </c>
      <c r="L919" s="1702">
        <f t="shared" si="575"/>
        <v>0</v>
      </c>
      <c r="M919" s="101"/>
      <c r="N919" s="249"/>
      <c r="O919" s="369"/>
      <c r="P919" s="750"/>
      <c r="Q919" s="795"/>
      <c r="R919" s="785">
        <f>IFERROR(VLOOKUP($Q919,'391'!$S:$Z,8,0),"")</f>
        <v>0</v>
      </c>
      <c r="S919" s="786"/>
      <c r="T919" s="787" t="str">
        <f t="shared" si="571"/>
        <v>Allplex S (Local)45989</v>
      </c>
      <c r="U919" s="787"/>
      <c r="V919" s="787"/>
      <c r="W919" s="785">
        <f>IFERROR(VLOOKUP($Q919,'391'!$S:$AG,15,0),0)</f>
        <v>0</v>
      </c>
      <c r="X919" s="1090">
        <f t="shared" si="576"/>
        <v>0</v>
      </c>
      <c r="Y919" s="785"/>
      <c r="Z919" s="785"/>
      <c r="AA919" s="787"/>
      <c r="AB919" s="787"/>
      <c r="AC919" s="679"/>
      <c r="AD919" s="679"/>
      <c r="AE919" s="679"/>
      <c r="AF919" s="679"/>
      <c r="AG919" s="679"/>
      <c r="AH919" s="679"/>
      <c r="AI919" s="682"/>
      <c r="AJ919" s="682"/>
      <c r="AK919" s="682"/>
      <c r="AL919" s="682"/>
      <c r="AM919" s="682"/>
      <c r="AN919" s="682"/>
      <c r="AO919" s="682"/>
      <c r="AP919" s="682"/>
      <c r="AQ919" s="682"/>
      <c r="AR919" s="682"/>
      <c r="AS919" s="682"/>
    </row>
    <row r="920" spans="1:45" s="6" customFormat="1" ht="30" hidden="1" customHeight="1" x14ac:dyDescent="0.25">
      <c r="A920" s="1998"/>
      <c r="B920" s="2072"/>
      <c r="C920" s="160"/>
      <c r="D920" s="881" t="s">
        <v>10</v>
      </c>
      <c r="E920" s="976">
        <v>45989</v>
      </c>
      <c r="F920" s="71">
        <f t="shared" ref="F920" si="582">$L$7-E920</f>
        <v>297</v>
      </c>
      <c r="G920" s="11">
        <v>0</v>
      </c>
      <c r="H920" s="12"/>
      <c r="I920" s="12"/>
      <c r="J920" s="1368"/>
      <c r="K920" s="11">
        <f>IFERROR(SUMIF(INTAKE!$A:$A,$T920,INTAKE!$P:$P),0)</f>
        <v>0</v>
      </c>
      <c r="L920" s="1702">
        <f t="shared" si="575"/>
        <v>0</v>
      </c>
      <c r="M920" s="101"/>
      <c r="N920" s="249"/>
      <c r="O920" s="369"/>
      <c r="P920" s="750"/>
      <c r="Q920" s="795"/>
      <c r="R920" s="785">
        <f>IFERROR(VLOOKUP($Q920,'391'!$S:$Z,8,0),"")</f>
        <v>0</v>
      </c>
      <c r="S920" s="786"/>
      <c r="T920" s="787" t="str">
        <f>$Q$927&amp;C920&amp;E920</f>
        <v>ALLPLEX S (USA)45989</v>
      </c>
      <c r="U920" s="787"/>
      <c r="V920" s="787"/>
      <c r="W920" s="785">
        <f>IFERROR(VLOOKUP($Q920,'391'!$S:$AG,15,0),0)</f>
        <v>0</v>
      </c>
      <c r="X920" s="1090">
        <f t="shared" si="576"/>
        <v>0</v>
      </c>
      <c r="Y920" s="785"/>
      <c r="Z920" s="785"/>
      <c r="AA920" s="787"/>
      <c r="AB920" s="787"/>
      <c r="AC920" s="679"/>
      <c r="AD920" s="679"/>
      <c r="AE920" s="679"/>
      <c r="AF920" s="679"/>
      <c r="AG920" s="679"/>
      <c r="AH920" s="679"/>
      <c r="AI920" s="682"/>
      <c r="AJ920" s="682"/>
      <c r="AK920" s="682"/>
      <c r="AL920" s="682"/>
      <c r="AM920" s="682"/>
      <c r="AN920" s="682"/>
      <c r="AO920" s="682"/>
      <c r="AP920" s="682"/>
      <c r="AQ920" s="682"/>
      <c r="AR920" s="682"/>
      <c r="AS920" s="682"/>
    </row>
    <row r="921" spans="1:45" s="6" customFormat="1" ht="30" hidden="1" customHeight="1" x14ac:dyDescent="0.25">
      <c r="A921" s="1998"/>
      <c r="B921" s="2072"/>
      <c r="C921" s="160"/>
      <c r="D921" s="881" t="s">
        <v>10</v>
      </c>
      <c r="E921" s="976">
        <v>45989</v>
      </c>
      <c r="F921" s="71">
        <f t="shared" ref="F921" si="583">$L$7-E921</f>
        <v>297</v>
      </c>
      <c r="G921" s="11">
        <v>0</v>
      </c>
      <c r="H921" s="12"/>
      <c r="I921" s="12"/>
      <c r="J921" s="1368"/>
      <c r="K921" s="11">
        <f>IFERROR(SUMIF(INTAKE!$A:$A,$T921,INTAKE!$P:$P),0)</f>
        <v>0</v>
      </c>
      <c r="L921" s="1702">
        <f t="shared" si="575"/>
        <v>0</v>
      </c>
      <c r="M921" s="101"/>
      <c r="N921" s="249"/>
      <c r="O921" s="369"/>
      <c r="P921" s="750"/>
      <c r="Q921" s="795"/>
      <c r="R921" s="785">
        <f>IFERROR(VLOOKUP($Q921,'391'!$S:$Z,8,0),"")</f>
        <v>0</v>
      </c>
      <c r="S921" s="786"/>
      <c r="T921" s="787" t="str">
        <f>$Q$927&amp;C921&amp;E921</f>
        <v>ALLPLEX S (USA)45989</v>
      </c>
      <c r="U921" s="787"/>
      <c r="V921" s="787"/>
      <c r="W921" s="785">
        <f>IFERROR(VLOOKUP($Q921,'391'!$S:$AG,15,0),0)</f>
        <v>0</v>
      </c>
      <c r="X921" s="1090">
        <f t="shared" si="576"/>
        <v>0</v>
      </c>
      <c r="Y921" s="785"/>
      <c r="Z921" s="785"/>
      <c r="AA921" s="787"/>
      <c r="AB921" s="787"/>
      <c r="AC921" s="679"/>
      <c r="AD921" s="679"/>
      <c r="AE921" s="679"/>
      <c r="AF921" s="679"/>
      <c r="AG921" s="679"/>
      <c r="AH921" s="679"/>
      <c r="AI921" s="682"/>
      <c r="AJ921" s="682"/>
      <c r="AK921" s="682"/>
      <c r="AL921" s="682"/>
      <c r="AM921" s="682"/>
      <c r="AN921" s="682"/>
      <c r="AO921" s="682"/>
      <c r="AP921" s="682"/>
      <c r="AQ921" s="682"/>
      <c r="AR921" s="682"/>
      <c r="AS921" s="682"/>
    </row>
    <row r="922" spans="1:45" s="6" customFormat="1" ht="30" hidden="1" customHeight="1" x14ac:dyDescent="0.25">
      <c r="A922" s="1998"/>
      <c r="B922" s="2067"/>
      <c r="C922" s="160"/>
      <c r="D922" s="881" t="s">
        <v>10</v>
      </c>
      <c r="E922" s="976">
        <v>45989</v>
      </c>
      <c r="F922" s="71">
        <f t="shared" ref="F922" si="584">$L$7-E922</f>
        <v>297</v>
      </c>
      <c r="G922" s="11">
        <v>0</v>
      </c>
      <c r="H922" s="12"/>
      <c r="I922" s="12"/>
      <c r="J922" s="1368"/>
      <c r="K922" s="11">
        <f>IFERROR(SUMIF(INTAKE!$A:$A,$T922,INTAKE!$P:$P),0)</f>
        <v>0</v>
      </c>
      <c r="L922" s="1702">
        <f t="shared" si="570"/>
        <v>0</v>
      </c>
      <c r="M922" s="101"/>
      <c r="N922" s="249"/>
      <c r="O922" s="369"/>
      <c r="P922" s="750"/>
      <c r="Q922" s="795"/>
      <c r="R922" s="785">
        <f>IFERROR(VLOOKUP($Q922,'391'!$S:$Z,8,0),"")</f>
        <v>0</v>
      </c>
      <c r="S922" s="786"/>
      <c r="T922" s="787" t="str">
        <f>$Q$926&amp;C922&amp;E922</f>
        <v>Allplex S (Local)45989</v>
      </c>
      <c r="U922" s="787"/>
      <c r="V922" s="787"/>
      <c r="W922" s="785">
        <f>IFERROR(VLOOKUP($Q922,'391'!$S:$AG,15,0),0)</f>
        <v>0</v>
      </c>
      <c r="X922" s="1090">
        <f t="shared" si="572"/>
        <v>0</v>
      </c>
      <c r="Y922" s="785"/>
      <c r="Z922" s="785"/>
      <c r="AA922" s="787"/>
      <c r="AB922" s="787"/>
      <c r="AC922" s="679"/>
      <c r="AD922" s="679"/>
      <c r="AE922" s="679"/>
      <c r="AF922" s="679"/>
      <c r="AG922" s="679"/>
      <c r="AH922" s="679"/>
      <c r="AI922" s="682"/>
      <c r="AJ922" s="682"/>
      <c r="AK922" s="682"/>
      <c r="AL922" s="682"/>
      <c r="AM922" s="682"/>
      <c r="AN922" s="682"/>
      <c r="AO922" s="682"/>
      <c r="AP922" s="682"/>
      <c r="AQ922" s="682"/>
      <c r="AR922" s="682"/>
      <c r="AS922" s="682"/>
    </row>
    <row r="923" spans="1:45" s="6" customFormat="1" ht="30" hidden="1" customHeight="1" x14ac:dyDescent="0.25">
      <c r="A923" s="1998"/>
      <c r="B923" s="2067"/>
      <c r="C923" s="160"/>
      <c r="D923" s="881" t="s">
        <v>10</v>
      </c>
      <c r="E923" s="976">
        <v>45989</v>
      </c>
      <c r="F923" s="71">
        <f t="shared" ref="F923" si="585">$L$7-E923</f>
        <v>297</v>
      </c>
      <c r="G923" s="11">
        <v>0</v>
      </c>
      <c r="H923" s="12"/>
      <c r="I923" s="12"/>
      <c r="J923" s="1368"/>
      <c r="K923" s="11">
        <f>IFERROR(SUMIF(INTAKE!$A:$A,$T923,INTAKE!$P:$P),0)</f>
        <v>0</v>
      </c>
      <c r="L923" s="1702">
        <f t="shared" si="570"/>
        <v>0</v>
      </c>
      <c r="M923" s="101"/>
      <c r="N923" s="249"/>
      <c r="O923" s="369"/>
      <c r="P923" s="750"/>
      <c r="Q923" s="795"/>
      <c r="R923" s="785">
        <f>IFERROR(VLOOKUP($Q923,'391'!$S:$Z,8,0),"")</f>
        <v>0</v>
      </c>
      <c r="S923" s="786"/>
      <c r="T923" s="787" t="str">
        <f>$Q$926&amp;C923&amp;E923</f>
        <v>Allplex S (Local)45989</v>
      </c>
      <c r="U923" s="787"/>
      <c r="V923" s="787"/>
      <c r="W923" s="785">
        <f>IFERROR(VLOOKUP($Q923,'391'!$S:$AG,15,0),0)</f>
        <v>0</v>
      </c>
      <c r="X923" s="1090">
        <f t="shared" si="572"/>
        <v>0</v>
      </c>
      <c r="Y923" s="785"/>
      <c r="Z923" s="785"/>
      <c r="AA923" s="787"/>
      <c r="AB923" s="787"/>
      <c r="AC923" s="679"/>
      <c r="AD923" s="679"/>
      <c r="AE923" s="679"/>
      <c r="AF923" s="679"/>
      <c r="AG923" s="679"/>
      <c r="AH923" s="679"/>
      <c r="AI923" s="682"/>
      <c r="AJ923" s="682"/>
      <c r="AK923" s="682"/>
      <c r="AL923" s="682"/>
      <c r="AM923" s="682"/>
      <c r="AN923" s="682"/>
      <c r="AO923" s="682"/>
      <c r="AP923" s="682"/>
      <c r="AQ923" s="682"/>
      <c r="AR923" s="682"/>
      <c r="AS923" s="682"/>
    </row>
    <row r="924" spans="1:45" s="6" customFormat="1" ht="30" hidden="1" customHeight="1" x14ac:dyDescent="0.25">
      <c r="A924" s="1998"/>
      <c r="B924" s="2067"/>
      <c r="C924" s="160"/>
      <c r="D924" s="881" t="s">
        <v>10</v>
      </c>
      <c r="E924" s="976">
        <v>45989</v>
      </c>
      <c r="F924" s="71">
        <f t="shared" ref="F924" si="586">$L$7-E924</f>
        <v>297</v>
      </c>
      <c r="G924" s="11">
        <v>0</v>
      </c>
      <c r="H924" s="12"/>
      <c r="I924" s="12"/>
      <c r="J924" s="1368"/>
      <c r="K924" s="11">
        <f>IFERROR(SUMIF(INTAKE!$A:$A,$T924,INTAKE!$P:$P),0)</f>
        <v>0</v>
      </c>
      <c r="L924" s="1702">
        <f t="shared" si="570"/>
        <v>0</v>
      </c>
      <c r="M924" s="101"/>
      <c r="N924" s="249"/>
      <c r="O924" s="369"/>
      <c r="P924" s="750"/>
      <c r="Q924" s="795"/>
      <c r="R924" s="785">
        <f>IFERROR(VLOOKUP($Q924,'391'!$S:$Z,8,0),"")</f>
        <v>0</v>
      </c>
      <c r="S924" s="786"/>
      <c r="T924" s="787" t="str">
        <f>$Q$927&amp;C924&amp;E924</f>
        <v>ALLPLEX S (USA)45989</v>
      </c>
      <c r="U924" s="787"/>
      <c r="V924" s="787"/>
      <c r="W924" s="785">
        <f>IFERROR(VLOOKUP($Q924,'391'!$S:$AG,15,0),0)</f>
        <v>0</v>
      </c>
      <c r="X924" s="1090">
        <f t="shared" si="572"/>
        <v>0</v>
      </c>
      <c r="Y924" s="785"/>
      <c r="Z924" s="785"/>
      <c r="AA924" s="787"/>
      <c r="AB924" s="787"/>
      <c r="AC924" s="679"/>
      <c r="AD924" s="679"/>
      <c r="AE924" s="679"/>
      <c r="AF924" s="679"/>
      <c r="AG924" s="679"/>
      <c r="AH924" s="679"/>
      <c r="AI924" s="682"/>
      <c r="AJ924" s="682"/>
      <c r="AK924" s="682"/>
      <c r="AL924" s="682"/>
      <c r="AM924" s="682"/>
      <c r="AN924" s="682"/>
      <c r="AO924" s="682"/>
      <c r="AP924" s="682"/>
      <c r="AQ924" s="682"/>
      <c r="AR924" s="682"/>
      <c r="AS924" s="682"/>
    </row>
    <row r="925" spans="1:45" s="6" customFormat="1" ht="30" hidden="1" customHeight="1" x14ac:dyDescent="0.25">
      <c r="A925" s="1998"/>
      <c r="B925" s="2067"/>
      <c r="C925" s="160"/>
      <c r="D925" s="881" t="s">
        <v>10</v>
      </c>
      <c r="E925" s="976">
        <v>45989</v>
      </c>
      <c r="F925" s="71">
        <f t="shared" ref="F925" si="587">$L$7-E925</f>
        <v>297</v>
      </c>
      <c r="G925" s="11">
        <v>0</v>
      </c>
      <c r="H925" s="12"/>
      <c r="I925" s="12"/>
      <c r="J925" s="1368"/>
      <c r="K925" s="11">
        <f>IFERROR(SUMIF(INTAKE!$A:$A,$T925,INTAKE!$P:$P),0)</f>
        <v>0</v>
      </c>
      <c r="L925" s="1702">
        <f t="shared" si="570"/>
        <v>0</v>
      </c>
      <c r="M925" s="101"/>
      <c r="N925" s="249"/>
      <c r="O925" s="369"/>
      <c r="P925" s="750"/>
      <c r="Q925" s="795"/>
      <c r="R925" s="785">
        <f>IFERROR(VLOOKUP($Q925,'391'!$S:$Z,8,0),"")</f>
        <v>0</v>
      </c>
      <c r="S925" s="786"/>
      <c r="T925" s="787" t="str">
        <f>$Q$927&amp;C925&amp;E925</f>
        <v>ALLPLEX S (USA)45989</v>
      </c>
      <c r="U925" s="787"/>
      <c r="V925" s="787"/>
      <c r="W925" s="785">
        <f>IFERROR(VLOOKUP($Q925,'391'!$S:$AG,15,0),0)</f>
        <v>0</v>
      </c>
      <c r="X925" s="1090">
        <f t="shared" si="572"/>
        <v>0</v>
      </c>
      <c r="Y925" s="785"/>
      <c r="Z925" s="785"/>
      <c r="AA925" s="787"/>
      <c r="AB925" s="787"/>
      <c r="AC925" s="679"/>
      <c r="AD925" s="679"/>
      <c r="AE925" s="679"/>
      <c r="AF925" s="679"/>
      <c r="AG925" s="679"/>
      <c r="AH925" s="679"/>
      <c r="AI925" s="682"/>
      <c r="AJ925" s="682"/>
      <c r="AK925" s="682"/>
      <c r="AL925" s="682"/>
      <c r="AM925" s="682"/>
      <c r="AN925" s="682"/>
      <c r="AO925" s="682"/>
      <c r="AP925" s="682"/>
      <c r="AQ925" s="682"/>
      <c r="AR925" s="682"/>
      <c r="AS925" s="682"/>
    </row>
    <row r="926" spans="1:45" s="6" customFormat="1" ht="30" customHeight="1" x14ac:dyDescent="0.25">
      <c r="A926" s="1998"/>
      <c r="B926" s="2067"/>
      <c r="C926" s="107" t="s">
        <v>46</v>
      </c>
      <c r="D926" s="850" t="s">
        <v>10</v>
      </c>
      <c r="E926" s="960">
        <v>46251</v>
      </c>
      <c r="F926" s="42">
        <f t="shared" ref="F926" si="588">$L$7-E926</f>
        <v>35</v>
      </c>
      <c r="G926" s="56">
        <v>1732.8200000000015</v>
      </c>
      <c r="H926" s="56"/>
      <c r="I926" s="56">
        <f>+SUM(K910:K923)</f>
        <v>0</v>
      </c>
      <c r="J926" s="1369">
        <f>+usage!I126</f>
        <v>375.66</v>
      </c>
      <c r="K926" s="11">
        <f>IFERROR(SUMIF(INTAKE!$A:$A,$T926,INTAKE!$P:$P),0)</f>
        <v>0</v>
      </c>
      <c r="L926" s="1533">
        <f t="shared" si="570"/>
        <v>1357.1600000000014</v>
      </c>
      <c r="M926" s="101"/>
      <c r="N926" s="249"/>
      <c r="O926" s="369"/>
      <c r="P926" s="750"/>
      <c r="Q926" s="666" t="s">
        <v>1206</v>
      </c>
      <c r="R926" s="785">
        <f>IFERROR(VLOOKUP($Q926,'391'!$S:$Z,8,0),"")</f>
        <v>2857.32</v>
      </c>
      <c r="S926" s="786"/>
      <c r="T926" s="787" t="str">
        <f>$Q$927&amp;C926&amp;E926</f>
        <v>ALLPLEX S (USA)Feedmill46251</v>
      </c>
      <c r="U926" s="787"/>
      <c r="V926" s="787"/>
      <c r="W926" s="785">
        <f>IFERROR(VLOOKUP($Q926,'391'!$S:$AG,15,0),0)</f>
        <v>8732.82</v>
      </c>
      <c r="X926" s="1090">
        <f t="shared" si="572"/>
        <v>-6999.9999999999982</v>
      </c>
      <c r="Y926" s="785"/>
      <c r="Z926" s="785"/>
      <c r="AA926" s="787"/>
      <c r="AB926" s="787"/>
      <c r="AC926" s="679"/>
      <c r="AD926" s="679"/>
      <c r="AE926" s="679"/>
      <c r="AF926" s="679"/>
      <c r="AG926" s="679"/>
      <c r="AH926" s="679"/>
      <c r="AI926" s="682"/>
      <c r="AJ926" s="682"/>
      <c r="AK926" s="682"/>
      <c r="AL926" s="682"/>
      <c r="AM926" s="682"/>
      <c r="AN926" s="682"/>
      <c r="AO926" s="682"/>
      <c r="AP926" s="682"/>
      <c r="AQ926" s="682"/>
      <c r="AR926" s="682"/>
      <c r="AS926" s="682"/>
    </row>
    <row r="927" spans="1:45" s="265" customFormat="1" ht="30" customHeight="1" x14ac:dyDescent="0.25">
      <c r="A927" s="2019" t="s">
        <v>19</v>
      </c>
      <c r="B927" s="2020"/>
      <c r="C927" s="88"/>
      <c r="D927" s="864"/>
      <c r="E927" s="864"/>
      <c r="F927" s="865"/>
      <c r="G927" s="1297">
        <v>8732.8200000000015</v>
      </c>
      <c r="H927" s="1297">
        <f t="shared" ref="H927:L927" si="589">SUM(H910:H926)</f>
        <v>0</v>
      </c>
      <c r="I927" s="1297">
        <f t="shared" si="589"/>
        <v>0</v>
      </c>
      <c r="J927" s="1297">
        <f t="shared" si="589"/>
        <v>375.66</v>
      </c>
      <c r="K927" s="1297">
        <f t="shared" si="589"/>
        <v>0</v>
      </c>
      <c r="L927" s="1297">
        <f t="shared" si="589"/>
        <v>8357.1600000000017</v>
      </c>
      <c r="M927" s="59">
        <f>IFERROR(((R927+R926)/$S$2),"")</f>
        <v>476.22</v>
      </c>
      <c r="N927" s="854">
        <f>(L927/M927)</f>
        <v>17.548947965226159</v>
      </c>
      <c r="O927" s="59">
        <f>IFERROR(SUMIF(ETM!$A:$A,$Q927,ETM!$E:$E),"")</f>
        <v>417.5</v>
      </c>
      <c r="P927" s="855">
        <f>IFERROR(L927/O927,0)</f>
        <v>20.017149700598807</v>
      </c>
      <c r="Q927" s="814" t="s">
        <v>669</v>
      </c>
      <c r="R927" s="785" t="str">
        <f>IFERROR(VLOOKUP($Q927,'391'!$S:$Z,8,0),"0")</f>
        <v>0</v>
      </c>
      <c r="S927" s="796"/>
      <c r="T927" s="787"/>
      <c r="U927" s="797"/>
      <c r="V927" s="797"/>
      <c r="W927" s="785">
        <f>IFERROR(VLOOKUP($Q927,'391'!$S:$AG,15,0),0)</f>
        <v>0</v>
      </c>
      <c r="X927" s="1231">
        <f>G927-(W927+W926)</f>
        <v>0</v>
      </c>
      <c r="Y927" s="785"/>
      <c r="Z927" s="785"/>
      <c r="AA927" s="797"/>
      <c r="AB927" s="797"/>
      <c r="AC927" s="551"/>
      <c r="AD927" s="551"/>
      <c r="AE927" s="551"/>
      <c r="AF927" s="551"/>
      <c r="AG927" s="551"/>
      <c r="AH927" s="551"/>
      <c r="AI927" s="704"/>
      <c r="AJ927" s="704"/>
      <c r="AK927" s="704"/>
      <c r="AL927" s="704"/>
      <c r="AM927" s="704"/>
      <c r="AN927" s="704"/>
      <c r="AO927" s="704"/>
      <c r="AP927" s="704"/>
      <c r="AQ927" s="704"/>
      <c r="AR927" s="704"/>
      <c r="AS927" s="704"/>
    </row>
    <row r="928" spans="1:45" s="6" customFormat="1" ht="30" hidden="1" customHeight="1" x14ac:dyDescent="0.25">
      <c r="A928" s="2073" t="str">
        <f>IF(L932=0,"",MAX($A$16:A927)+1)</f>
        <v/>
      </c>
      <c r="B928" s="2015" t="s">
        <v>204</v>
      </c>
      <c r="C928" s="2203" t="s">
        <v>139</v>
      </c>
      <c r="D928" s="887" t="s">
        <v>10</v>
      </c>
      <c r="E928" s="888">
        <v>41811</v>
      </c>
      <c r="F928" s="70">
        <f>$L$7-E928</f>
        <v>4475</v>
      </c>
      <c r="G928" s="12">
        <v>0</v>
      </c>
      <c r="H928" s="12"/>
      <c r="I928" s="12"/>
      <c r="J928" s="1368"/>
      <c r="K928" s="12"/>
      <c r="L928" s="1533">
        <f t="shared" ref="L928:L940" si="590">+G928+H928+I928-J928-K928</f>
        <v>0</v>
      </c>
      <c r="M928" s="20"/>
      <c r="N928" s="196"/>
      <c r="O928" s="20"/>
      <c r="P928" s="857"/>
      <c r="Q928" s="795"/>
      <c r="R928" s="785">
        <f>IFERROR(VLOOKUP($Q928,'391'!$S:$Z,8,0),"")</f>
        <v>0</v>
      </c>
      <c r="S928" s="786"/>
      <c r="T928" s="787" t="str">
        <f t="shared" ref="T928:T934" si="591">$Q$927&amp;C928&amp;E928</f>
        <v>ALLPLEX S (USA)X5.341811</v>
      </c>
      <c r="U928" s="787"/>
      <c r="V928" s="787"/>
      <c r="W928" s="785">
        <f>IFERROR(VLOOKUP($Q928,'391'!$S:$AG,15,0),0)</f>
        <v>0</v>
      </c>
      <c r="X928" s="1090">
        <f t="shared" ref="X928:X992" si="592">G928-W928</f>
        <v>0</v>
      </c>
      <c r="Y928" s="785"/>
      <c r="Z928" s="785"/>
      <c r="AA928" s="787"/>
      <c r="AB928" s="787"/>
      <c r="AC928" s="679"/>
      <c r="AD928" s="679"/>
      <c r="AE928" s="679"/>
      <c r="AF928" s="679"/>
      <c r="AG928" s="679"/>
      <c r="AH928" s="679"/>
      <c r="AI928" s="682"/>
      <c r="AJ928" s="682"/>
      <c r="AK928" s="682"/>
      <c r="AL928" s="682"/>
      <c r="AM928" s="682"/>
      <c r="AN928" s="682"/>
      <c r="AO928" s="682"/>
      <c r="AP928" s="682"/>
      <c r="AQ928" s="682"/>
      <c r="AR928" s="682"/>
      <c r="AS928" s="682"/>
    </row>
    <row r="929" spans="1:45" s="6" customFormat="1" ht="30" hidden="1" customHeight="1" x14ac:dyDescent="0.25">
      <c r="A929" s="2070"/>
      <c r="B929" s="2016"/>
      <c r="C929" s="2204"/>
      <c r="D929" s="887" t="s">
        <v>10</v>
      </c>
      <c r="E929" s="888">
        <v>41811</v>
      </c>
      <c r="F929" s="70">
        <f>$L$7-E929</f>
        <v>4475</v>
      </c>
      <c r="G929" s="12">
        <v>0</v>
      </c>
      <c r="H929" s="12"/>
      <c r="I929" s="12"/>
      <c r="J929" s="1368"/>
      <c r="K929" s="12"/>
      <c r="L929" s="1533">
        <f t="shared" si="590"/>
        <v>0</v>
      </c>
      <c r="M929" s="22"/>
      <c r="N929" s="920"/>
      <c r="O929" s="22"/>
      <c r="P929" s="857"/>
      <c r="Q929" s="795"/>
      <c r="R929" s="785">
        <f>IFERROR(VLOOKUP($Q929,'391'!$S:$Z,8,0),"")</f>
        <v>0</v>
      </c>
      <c r="S929" s="786"/>
      <c r="T929" s="787" t="str">
        <f t="shared" si="591"/>
        <v>ALLPLEX S (USA)41811</v>
      </c>
      <c r="U929" s="787"/>
      <c r="V929" s="787"/>
      <c r="W929" s="785">
        <f>IFERROR(VLOOKUP($Q929,'391'!$S:$AG,15,0),0)</f>
        <v>0</v>
      </c>
      <c r="X929" s="1090">
        <f t="shared" si="592"/>
        <v>0</v>
      </c>
      <c r="Y929" s="785"/>
      <c r="Z929" s="785"/>
      <c r="AA929" s="787"/>
      <c r="AB929" s="787"/>
      <c r="AC929" s="679"/>
      <c r="AD929" s="679"/>
      <c r="AE929" s="679"/>
      <c r="AF929" s="679"/>
      <c r="AG929" s="679"/>
      <c r="AH929" s="679"/>
      <c r="AI929" s="682"/>
      <c r="AJ929" s="682"/>
      <c r="AK929" s="682"/>
      <c r="AL929" s="682"/>
      <c r="AM929" s="682"/>
      <c r="AN929" s="682"/>
      <c r="AO929" s="682"/>
      <c r="AP929" s="682"/>
      <c r="AQ929" s="682"/>
      <c r="AR929" s="682"/>
      <c r="AS929" s="682"/>
    </row>
    <row r="930" spans="1:45" s="6" customFormat="1" ht="30" hidden="1" customHeight="1" x14ac:dyDescent="0.25">
      <c r="A930" s="2070"/>
      <c r="B930" s="2016"/>
      <c r="C930" s="2204"/>
      <c r="D930" s="887" t="s">
        <v>10</v>
      </c>
      <c r="E930" s="888">
        <v>41811</v>
      </c>
      <c r="F930" s="70">
        <f>$L$7-E930</f>
        <v>4475</v>
      </c>
      <c r="G930" s="12">
        <v>0</v>
      </c>
      <c r="H930" s="12"/>
      <c r="I930" s="12"/>
      <c r="J930" s="1368"/>
      <c r="K930" s="12"/>
      <c r="L930" s="1533">
        <f t="shared" si="590"/>
        <v>0</v>
      </c>
      <c r="M930" s="22"/>
      <c r="N930" s="920"/>
      <c r="O930" s="22"/>
      <c r="P930" s="857"/>
      <c r="Q930" s="795"/>
      <c r="R930" s="785">
        <f>IFERROR(VLOOKUP($Q930,'391'!$S:$Z,8,0),"")</f>
        <v>0</v>
      </c>
      <c r="S930" s="786"/>
      <c r="T930" s="787" t="str">
        <f t="shared" si="591"/>
        <v>ALLPLEX S (USA)41811</v>
      </c>
      <c r="U930" s="787"/>
      <c r="V930" s="787"/>
      <c r="W930" s="785">
        <f>IFERROR(VLOOKUP($Q930,'391'!$S:$AG,15,0),0)</f>
        <v>0</v>
      </c>
      <c r="X930" s="1090">
        <f t="shared" si="592"/>
        <v>0</v>
      </c>
      <c r="Y930" s="785"/>
      <c r="Z930" s="785"/>
      <c r="AA930" s="787"/>
      <c r="AB930" s="787"/>
      <c r="AC930" s="679"/>
      <c r="AD930" s="679"/>
      <c r="AE930" s="679"/>
      <c r="AF930" s="679"/>
      <c r="AG930" s="679"/>
      <c r="AH930" s="679"/>
      <c r="AI930" s="682"/>
      <c r="AJ930" s="682"/>
      <c r="AK930" s="682"/>
      <c r="AL930" s="682"/>
      <c r="AM930" s="682"/>
      <c r="AN930" s="682"/>
      <c r="AO930" s="682"/>
      <c r="AP930" s="682"/>
      <c r="AQ930" s="682"/>
      <c r="AR930" s="682"/>
      <c r="AS930" s="682"/>
    </row>
    <row r="931" spans="1:45" ht="30" hidden="1" customHeight="1" x14ac:dyDescent="0.25">
      <c r="A931" s="2070"/>
      <c r="B931" s="2016"/>
      <c r="C931" s="119" t="s">
        <v>46</v>
      </c>
      <c r="D931" s="863" t="s">
        <v>10</v>
      </c>
      <c r="E931" s="886">
        <v>41811</v>
      </c>
      <c r="F931" s="39">
        <f>$L$7-E931</f>
        <v>4475</v>
      </c>
      <c r="G931" s="37">
        <v>0</v>
      </c>
      <c r="H931" s="37"/>
      <c r="I931" s="37"/>
      <c r="J931" s="1385"/>
      <c r="K931" s="37"/>
      <c r="L931" s="1533">
        <f t="shared" si="590"/>
        <v>0</v>
      </c>
      <c r="M931" s="49"/>
      <c r="N931" s="920"/>
      <c r="O931" s="49"/>
      <c r="P931" s="857"/>
      <c r="Q931" s="795"/>
      <c r="R931" s="785">
        <f>IFERROR(VLOOKUP($Q931,'391'!$S:$Z,8,0),"")</f>
        <v>0</v>
      </c>
      <c r="T931" s="787" t="str">
        <f t="shared" si="591"/>
        <v>ALLPLEX S (USA)Feedmill41811</v>
      </c>
      <c r="U931" s="787"/>
      <c r="V931" s="787"/>
      <c r="W931" s="785">
        <f>IFERROR(VLOOKUP($Q931,'391'!$S:$AG,15,0),0)</f>
        <v>0</v>
      </c>
      <c r="X931" s="1090">
        <f t="shared" si="592"/>
        <v>0</v>
      </c>
      <c r="Y931" s="785"/>
      <c r="Z931" s="785"/>
      <c r="AA931" s="787"/>
      <c r="AB931" s="787"/>
      <c r="AC931" s="679"/>
    </row>
    <row r="932" spans="1:45" s="265" customFormat="1" ht="30" hidden="1" customHeight="1" x14ac:dyDescent="0.25">
      <c r="A932" s="2019" t="s">
        <v>202</v>
      </c>
      <c r="B932" s="2020"/>
      <c r="C932" s="88"/>
      <c r="D932" s="864"/>
      <c r="E932" s="864"/>
      <c r="F932" s="865"/>
      <c r="G932" s="1297">
        <v>0</v>
      </c>
      <c r="H932" s="1344">
        <f>SUM(H928:H931)</f>
        <v>0</v>
      </c>
      <c r="I932" s="1344">
        <f>SUM(I928:I931)</f>
        <v>0</v>
      </c>
      <c r="J932" s="1400">
        <f>SUM(J928:J931)</f>
        <v>0</v>
      </c>
      <c r="K932" s="1344"/>
      <c r="L932" s="1533">
        <f t="shared" si="590"/>
        <v>0</v>
      </c>
      <c r="M932" s="59"/>
      <c r="N932" s="366"/>
      <c r="O932" s="59"/>
      <c r="P932" s="857"/>
      <c r="Q932" s="795"/>
      <c r="R932" s="785">
        <f>IFERROR(VLOOKUP($Q932,'391'!$S:$Z,8,0),"")</f>
        <v>0</v>
      </c>
      <c r="S932" s="796"/>
      <c r="T932" s="787" t="str">
        <f t="shared" si="591"/>
        <v>ALLPLEX S (USA)</v>
      </c>
      <c r="U932" s="797"/>
      <c r="V932" s="797"/>
      <c r="W932" s="785">
        <f>IFERROR(VLOOKUP($Q932,'391'!$S:$AG,15,0),0)</f>
        <v>0</v>
      </c>
      <c r="X932" s="1090">
        <f t="shared" si="592"/>
        <v>0</v>
      </c>
      <c r="Y932" s="785"/>
      <c r="Z932" s="785"/>
      <c r="AA932" s="797"/>
      <c r="AB932" s="797"/>
      <c r="AC932" s="551"/>
      <c r="AD932" s="551"/>
      <c r="AE932" s="551"/>
      <c r="AF932" s="551"/>
      <c r="AG932" s="551"/>
      <c r="AH932" s="551"/>
      <c r="AI932" s="704"/>
      <c r="AJ932" s="704"/>
      <c r="AK932" s="704"/>
      <c r="AL932" s="704"/>
      <c r="AM932" s="704"/>
      <c r="AN932" s="704"/>
      <c r="AO932" s="704"/>
      <c r="AP932" s="704"/>
      <c r="AQ932" s="704"/>
      <c r="AR932" s="704"/>
      <c r="AS932" s="704"/>
    </row>
    <row r="933" spans="1:45" s="6" customFormat="1" ht="30" hidden="1" customHeight="1" x14ac:dyDescent="0.25">
      <c r="A933" s="2073">
        <f>IF(L941=0,"",MAX($A$16:A932)+1)</f>
        <v>59</v>
      </c>
      <c r="B933" s="2066" t="s">
        <v>517</v>
      </c>
      <c r="C933" s="120" t="s">
        <v>235</v>
      </c>
      <c r="D933" s="887" t="s">
        <v>10</v>
      </c>
      <c r="E933" s="888">
        <v>42595</v>
      </c>
      <c r="F933" s="75">
        <f t="shared" ref="F933:F940" si="593">$L$7-E933</f>
        <v>3691</v>
      </c>
      <c r="G933" s="12">
        <v>0</v>
      </c>
      <c r="H933" s="12"/>
      <c r="I933" s="12"/>
      <c r="J933" s="1368"/>
      <c r="K933" s="12"/>
      <c r="L933" s="1533">
        <f t="shared" si="590"/>
        <v>0</v>
      </c>
      <c r="M933" s="66"/>
      <c r="N933" s="920"/>
      <c r="O933" s="66"/>
      <c r="P933" s="857"/>
      <c r="Q933" s="795"/>
      <c r="R933" s="785">
        <f>IFERROR(VLOOKUP($Q933,'391'!$S:$Z,8,0),"")</f>
        <v>0</v>
      </c>
      <c r="S933" s="786"/>
      <c r="T933" s="787" t="str">
        <f t="shared" si="591"/>
        <v>ALLPLEX S (USA)V7.342595</v>
      </c>
      <c r="U933" s="787"/>
      <c r="V933" s="787"/>
      <c r="W933" s="785">
        <f>IFERROR(VLOOKUP($Q933,'391'!$S:$AG,15,0),0)</f>
        <v>0</v>
      </c>
      <c r="X933" s="1090">
        <f t="shared" si="592"/>
        <v>0</v>
      </c>
      <c r="Y933" s="785"/>
      <c r="Z933" s="785"/>
      <c r="AA933" s="787"/>
      <c r="AB933" s="787"/>
      <c r="AC933" s="679"/>
      <c r="AD933" s="679"/>
      <c r="AE933" s="679"/>
      <c r="AF933" s="679"/>
      <c r="AG933" s="679"/>
      <c r="AH933" s="679"/>
      <c r="AI933" s="682"/>
      <c r="AJ933" s="682"/>
      <c r="AK933" s="682"/>
      <c r="AL933" s="682"/>
      <c r="AM933" s="682"/>
      <c r="AN933" s="682"/>
      <c r="AO933" s="682"/>
      <c r="AP933" s="682"/>
      <c r="AQ933" s="682"/>
      <c r="AR933" s="682"/>
      <c r="AS933" s="682"/>
    </row>
    <row r="934" spans="1:45" s="6" customFormat="1" ht="30" hidden="1" customHeight="1" x14ac:dyDescent="0.25">
      <c r="A934" s="2070"/>
      <c r="B934" s="2072"/>
      <c r="C934" s="120" t="s">
        <v>264</v>
      </c>
      <c r="D934" s="887" t="s">
        <v>10</v>
      </c>
      <c r="E934" s="888">
        <v>42700</v>
      </c>
      <c r="F934" s="75">
        <f t="shared" si="593"/>
        <v>3586</v>
      </c>
      <c r="G934" s="12">
        <v>0</v>
      </c>
      <c r="H934" s="12"/>
      <c r="I934" s="12"/>
      <c r="J934" s="1368"/>
      <c r="K934" s="12"/>
      <c r="L934" s="1533">
        <f t="shared" si="590"/>
        <v>0</v>
      </c>
      <c r="M934" s="101"/>
      <c r="N934" s="249"/>
      <c r="O934" s="101"/>
      <c r="P934" s="857"/>
      <c r="Q934" s="795"/>
      <c r="R934" s="785">
        <f>IFERROR(VLOOKUP($Q934,'391'!$S:$Z,8,0),"")</f>
        <v>0</v>
      </c>
      <c r="S934" s="786"/>
      <c r="T934" s="787" t="str">
        <f t="shared" si="591"/>
        <v>ALLPLEX S (USA)Z5.242700</v>
      </c>
      <c r="U934" s="787"/>
      <c r="V934" s="787"/>
      <c r="W934" s="785">
        <f>IFERROR(VLOOKUP($Q934,'391'!$S:$AG,15,0),0)</f>
        <v>0</v>
      </c>
      <c r="X934" s="1090">
        <f t="shared" si="592"/>
        <v>0</v>
      </c>
      <c r="Y934" s="785"/>
      <c r="Z934" s="785"/>
      <c r="AA934" s="787"/>
      <c r="AB934" s="787"/>
      <c r="AC934" s="679"/>
      <c r="AD934" s="679"/>
      <c r="AE934" s="679"/>
      <c r="AF934" s="679"/>
      <c r="AG934" s="679"/>
      <c r="AH934" s="679"/>
      <c r="AI934" s="682"/>
      <c r="AJ934" s="682"/>
      <c r="AK934" s="682"/>
      <c r="AL934" s="682"/>
      <c r="AM934" s="682"/>
      <c r="AN934" s="682"/>
      <c r="AO934" s="682"/>
      <c r="AP934" s="682"/>
      <c r="AQ934" s="682"/>
      <c r="AR934" s="682"/>
      <c r="AS934" s="682"/>
    </row>
    <row r="935" spans="1:45" s="6" customFormat="1" ht="30" hidden="1" customHeight="1" x14ac:dyDescent="0.25">
      <c r="A935" s="2070"/>
      <c r="B935" s="2072"/>
      <c r="C935" s="120"/>
      <c r="D935" s="887" t="s">
        <v>10</v>
      </c>
      <c r="E935" s="888">
        <v>46123</v>
      </c>
      <c r="F935" s="75">
        <f t="shared" si="593"/>
        <v>163</v>
      </c>
      <c r="G935" s="12">
        <v>0</v>
      </c>
      <c r="H935" s="12"/>
      <c r="I935" s="12"/>
      <c r="J935" s="1368"/>
      <c r="K935" s="12">
        <f>IFERROR(SUMIF(INTAKE!$A:$A,$T935,INTAKE!$P:$P),0)</f>
        <v>0</v>
      </c>
      <c r="L935" s="1702">
        <f t="shared" si="590"/>
        <v>0</v>
      </c>
      <c r="M935" s="101"/>
      <c r="N935" s="249"/>
      <c r="O935" s="101"/>
      <c r="P935" s="857"/>
      <c r="Q935" s="795"/>
      <c r="R935" s="785">
        <f>IFERROR(VLOOKUP($Q935,'391'!$S:$Z,8,0),"")</f>
        <v>0</v>
      </c>
      <c r="S935" s="786"/>
      <c r="T935" s="787" t="str">
        <f t="shared" ref="T935:T940" si="594">$Q$941&amp;C935&amp;E935</f>
        <v>Pigortek 659 (France)46123</v>
      </c>
      <c r="U935" s="787"/>
      <c r="V935" s="787"/>
      <c r="W935" s="785">
        <f>IFERROR(VLOOKUP($Q935,'391'!$S:$AG,15,0),0)</f>
        <v>0</v>
      </c>
      <c r="X935" s="1090">
        <f t="shared" si="592"/>
        <v>0</v>
      </c>
      <c r="Y935" s="785"/>
      <c r="Z935" s="785"/>
      <c r="AA935" s="787"/>
      <c r="AB935" s="787"/>
      <c r="AC935" s="679"/>
      <c r="AD935" s="679"/>
      <c r="AE935" s="679"/>
      <c r="AF935" s="679"/>
      <c r="AG935" s="679"/>
      <c r="AH935" s="679"/>
      <c r="AI935" s="682"/>
      <c r="AJ935" s="682"/>
      <c r="AK935" s="682"/>
      <c r="AL935" s="682"/>
      <c r="AM935" s="682"/>
      <c r="AN935" s="682"/>
      <c r="AO935" s="682"/>
      <c r="AP935" s="682"/>
      <c r="AQ935" s="682"/>
      <c r="AR935" s="682"/>
      <c r="AS935" s="682"/>
    </row>
    <row r="936" spans="1:45" s="6" customFormat="1" ht="30" customHeight="1" x14ac:dyDescent="0.25">
      <c r="A936" s="2070"/>
      <c r="B936" s="2072"/>
      <c r="C936" s="120" t="s">
        <v>581</v>
      </c>
      <c r="D936" s="887" t="s">
        <v>10</v>
      </c>
      <c r="E936" s="888">
        <v>46247</v>
      </c>
      <c r="F936" s="75">
        <f t="shared" si="593"/>
        <v>39</v>
      </c>
      <c r="G936" s="12">
        <v>0</v>
      </c>
      <c r="H936" s="12"/>
      <c r="I936" s="12"/>
      <c r="J936" s="1368"/>
      <c r="K936" s="12">
        <f>IFERROR(SUMIF(INTAKE!$A:$A,$T936,INTAKE!$P:$P),0)</f>
        <v>0</v>
      </c>
      <c r="L936" s="1702">
        <f t="shared" si="590"/>
        <v>0</v>
      </c>
      <c r="M936" s="101"/>
      <c r="N936" s="101"/>
      <c r="O936" s="101"/>
      <c r="P936" s="738"/>
      <c r="Q936" s="795"/>
      <c r="R936" s="785">
        <f>IFERROR(VLOOKUP($Q936,'391'!$S:$Z,8,0),"")</f>
        <v>0</v>
      </c>
      <c r="S936" s="786"/>
      <c r="T936" s="787" t="str">
        <f t="shared" si="594"/>
        <v>Pigortek 659 (France)V5.146247</v>
      </c>
      <c r="U936" s="787"/>
      <c r="V936" s="787"/>
      <c r="W936" s="785">
        <f>IFERROR(VLOOKUP($Q936,'391'!$S:$AG,15,0),0)</f>
        <v>0</v>
      </c>
      <c r="X936" s="1090">
        <f t="shared" si="592"/>
        <v>0</v>
      </c>
      <c r="Y936" s="785"/>
      <c r="Z936" s="785"/>
      <c r="AA936" s="787"/>
      <c r="AB936" s="787"/>
      <c r="AC936" s="679"/>
      <c r="AD936" s="679"/>
      <c r="AE936" s="679"/>
      <c r="AF936" s="679"/>
      <c r="AG936" s="679"/>
      <c r="AH936" s="679"/>
      <c r="AI936" s="682"/>
      <c r="AJ936" s="682"/>
      <c r="AK936" s="682"/>
      <c r="AL936" s="682"/>
      <c r="AM936" s="682"/>
      <c r="AN936" s="682"/>
      <c r="AO936" s="682"/>
      <c r="AP936" s="682"/>
      <c r="AQ936" s="682"/>
      <c r="AR936" s="682"/>
      <c r="AS936" s="682"/>
    </row>
    <row r="937" spans="1:45" s="6" customFormat="1" ht="30" customHeight="1" x14ac:dyDescent="0.25">
      <c r="A937" s="2070"/>
      <c r="B937" s="2072"/>
      <c r="C937" s="120" t="s">
        <v>581</v>
      </c>
      <c r="D937" s="887" t="s">
        <v>10</v>
      </c>
      <c r="E937" s="888">
        <v>46270</v>
      </c>
      <c r="F937" s="75">
        <f t="shared" ref="F937" si="595">$L$7-E937</f>
        <v>16</v>
      </c>
      <c r="G937" s="12">
        <v>900</v>
      </c>
      <c r="H937" s="12"/>
      <c r="I937" s="12"/>
      <c r="J937" s="1368"/>
      <c r="K937" s="12">
        <f>IFERROR(SUMIF(INTAKE!$A:$A,$T937,INTAKE!$P:$P),0)</f>
        <v>75</v>
      </c>
      <c r="L937" s="1711">
        <f t="shared" si="590"/>
        <v>825</v>
      </c>
      <c r="M937" s="379"/>
      <c r="N937" s="379"/>
      <c r="O937" s="379"/>
      <c r="P937" s="736"/>
      <c r="Q937" s="795"/>
      <c r="R937" s="785">
        <f>IFERROR(VLOOKUP($Q937,'391'!$S:$Z,8,0),"")</f>
        <v>0</v>
      </c>
      <c r="S937" s="786"/>
      <c r="T937" s="787" t="str">
        <f t="shared" si="594"/>
        <v>Pigortek 659 (France)V5.146270</v>
      </c>
      <c r="U937" s="787"/>
      <c r="V937" s="787"/>
      <c r="W937" s="785">
        <f>IFERROR(VLOOKUP($Q937,'391'!$S:$AG,15,0),0)</f>
        <v>0</v>
      </c>
      <c r="X937" s="1090">
        <f t="shared" si="592"/>
        <v>900</v>
      </c>
      <c r="Y937" s="785"/>
      <c r="Z937" s="785"/>
      <c r="AA937" s="787"/>
      <c r="AB937" s="787"/>
      <c r="AC937" s="679"/>
      <c r="AD937" s="679"/>
      <c r="AE937" s="679"/>
      <c r="AF937" s="679"/>
      <c r="AG937" s="679"/>
      <c r="AH937" s="679"/>
      <c r="AI937" s="682"/>
      <c r="AJ937" s="682"/>
      <c r="AK937" s="682"/>
      <c r="AL937" s="682"/>
      <c r="AM937" s="682"/>
      <c r="AN937" s="682"/>
      <c r="AO937" s="682"/>
      <c r="AP937" s="682"/>
      <c r="AQ937" s="682"/>
      <c r="AR937" s="682"/>
      <c r="AS937" s="682"/>
    </row>
    <row r="938" spans="1:45" s="6" customFormat="1" ht="30" hidden="1" customHeight="1" x14ac:dyDescent="0.25">
      <c r="A938" s="2070"/>
      <c r="B938" s="2072"/>
      <c r="C938" s="120"/>
      <c r="D938" s="887" t="s">
        <v>10</v>
      </c>
      <c r="E938" s="888">
        <v>46247</v>
      </c>
      <c r="F938" s="75">
        <f t="shared" ref="F938" si="596">$L$7-E938</f>
        <v>39</v>
      </c>
      <c r="G938" s="12">
        <v>0</v>
      </c>
      <c r="H938" s="12"/>
      <c r="I938" s="12"/>
      <c r="J938" s="1368"/>
      <c r="K938" s="12">
        <f>IFERROR(SUMIF(INTAKE!$A:$A,$T938,INTAKE!$P:$P),0)</f>
        <v>0</v>
      </c>
      <c r="L938" s="1702">
        <f t="shared" si="590"/>
        <v>0</v>
      </c>
      <c r="M938" s="379"/>
      <c r="N938" s="379"/>
      <c r="O938" s="379"/>
      <c r="P938" s="736"/>
      <c r="Q938" s="795"/>
      <c r="R938" s="785">
        <f>IFERROR(VLOOKUP($Q938,'391'!$S:$Z,8,0),"")</f>
        <v>0</v>
      </c>
      <c r="S938" s="786"/>
      <c r="T938" s="787" t="str">
        <f t="shared" si="594"/>
        <v>Pigortek 659 (France)46247</v>
      </c>
      <c r="U938" s="787"/>
      <c r="V938" s="787"/>
      <c r="W938" s="785">
        <f>IFERROR(VLOOKUP($Q938,'391'!$S:$AG,15,0),0)</f>
        <v>0</v>
      </c>
      <c r="X938" s="1090">
        <f t="shared" si="592"/>
        <v>0</v>
      </c>
      <c r="Y938" s="785"/>
      <c r="Z938" s="785"/>
      <c r="AA938" s="787"/>
      <c r="AB938" s="787"/>
      <c r="AC938" s="679"/>
      <c r="AD938" s="679"/>
      <c r="AE938" s="679"/>
      <c r="AF938" s="679"/>
      <c r="AG938" s="679"/>
      <c r="AH938" s="679"/>
      <c r="AI938" s="682"/>
      <c r="AJ938" s="682"/>
      <c r="AK938" s="682"/>
      <c r="AL938" s="682"/>
      <c r="AM938" s="682"/>
      <c r="AN938" s="682"/>
      <c r="AO938" s="682"/>
      <c r="AP938" s="682"/>
      <c r="AQ938" s="682"/>
      <c r="AR938" s="682"/>
      <c r="AS938" s="682"/>
    </row>
    <row r="939" spans="1:45" s="6" customFormat="1" ht="30" hidden="1" customHeight="1" x14ac:dyDescent="0.25">
      <c r="A939" s="2070"/>
      <c r="B939" s="2072"/>
      <c r="C939" s="120"/>
      <c r="D939" s="887" t="s">
        <v>10</v>
      </c>
      <c r="E939" s="888">
        <v>45659</v>
      </c>
      <c r="F939" s="75">
        <f t="shared" si="593"/>
        <v>627</v>
      </c>
      <c r="G939" s="12">
        <v>0</v>
      </c>
      <c r="H939" s="12"/>
      <c r="I939" s="12"/>
      <c r="J939" s="1368"/>
      <c r="K939" s="12">
        <f>IFERROR(SUMIF(INTAKE!$A:$A,$T939,INTAKE!$P:$P),0)</f>
        <v>0</v>
      </c>
      <c r="L939" s="1533">
        <f t="shared" si="590"/>
        <v>0</v>
      </c>
      <c r="M939" s="379"/>
      <c r="N939" s="379"/>
      <c r="O939" s="379"/>
      <c r="P939" s="736"/>
      <c r="Q939" s="795"/>
      <c r="R939" s="785">
        <f>IFERROR(VLOOKUP($Q939,'391'!$S:$Z,8,0),"")</f>
        <v>0</v>
      </c>
      <c r="S939" s="786"/>
      <c r="T939" s="787" t="str">
        <f t="shared" si="594"/>
        <v>Pigortek 659 (France)45659</v>
      </c>
      <c r="U939" s="787"/>
      <c r="V939" s="787"/>
      <c r="W939" s="785">
        <f>IFERROR(VLOOKUP($Q939,'391'!$S:$AG,15,0),0)</f>
        <v>0</v>
      </c>
      <c r="X939" s="1090">
        <f t="shared" si="592"/>
        <v>0</v>
      </c>
      <c r="Y939" s="785"/>
      <c r="Z939" s="785"/>
      <c r="AA939" s="787"/>
      <c r="AB939" s="787"/>
      <c r="AC939" s="679"/>
      <c r="AD939" s="679"/>
      <c r="AE939" s="679"/>
      <c r="AF939" s="679"/>
      <c r="AG939" s="679"/>
      <c r="AH939" s="679"/>
      <c r="AI939" s="682"/>
      <c r="AJ939" s="682"/>
      <c r="AK939" s="682"/>
      <c r="AL939" s="682"/>
      <c r="AM939" s="682"/>
      <c r="AN939" s="682"/>
      <c r="AO939" s="682"/>
      <c r="AP939" s="682"/>
      <c r="AQ939" s="682"/>
      <c r="AR939" s="682"/>
      <c r="AS939" s="682"/>
    </row>
    <row r="940" spans="1:45" s="6" customFormat="1" ht="30" customHeight="1" x14ac:dyDescent="0.25">
      <c r="A940" s="2070"/>
      <c r="B940" s="2068"/>
      <c r="C940" s="123" t="s">
        <v>46</v>
      </c>
      <c r="D940" s="850" t="s">
        <v>10</v>
      </c>
      <c r="E940" s="851">
        <v>46270</v>
      </c>
      <c r="F940" s="911">
        <f t="shared" si="593"/>
        <v>16</v>
      </c>
      <c r="G940" s="56">
        <v>164.67999999999992</v>
      </c>
      <c r="H940" s="56"/>
      <c r="I940" s="56">
        <f>SUM(K936:K937)</f>
        <v>75</v>
      </c>
      <c r="J940" s="1369">
        <f>+usage!I92</f>
        <v>23.61</v>
      </c>
      <c r="K940" s="12">
        <f>IFERROR(SUMIF(INTAKE!$A:$A,$T940,INTAKE!$P:$P),0)</f>
        <v>0</v>
      </c>
      <c r="L940" s="1533">
        <f t="shared" si="590"/>
        <v>216.06999999999994</v>
      </c>
      <c r="M940" s="379"/>
      <c r="N940" s="379"/>
      <c r="O940" s="379"/>
      <c r="P940" s="736"/>
      <c r="Q940" s="795"/>
      <c r="R940" s="785">
        <f>IFERROR(VLOOKUP($Q940,'391'!$S:$Z,8,0),"")</f>
        <v>0</v>
      </c>
      <c r="S940" s="786"/>
      <c r="T940" s="787" t="str">
        <f t="shared" si="594"/>
        <v>Pigortek 659 (France)Feedmill46270</v>
      </c>
      <c r="U940" s="787"/>
      <c r="V940" s="787"/>
      <c r="W940" s="785">
        <f>IFERROR(VLOOKUP($Q940,'391'!$S:$AG,15,0),0)</f>
        <v>0</v>
      </c>
      <c r="X940" s="1090">
        <f t="shared" si="592"/>
        <v>164.67999999999992</v>
      </c>
      <c r="Y940" s="785"/>
      <c r="Z940" s="785"/>
      <c r="AA940" s="787"/>
      <c r="AB940" s="787"/>
      <c r="AC940" s="679"/>
      <c r="AD940" s="679"/>
      <c r="AE940" s="679"/>
      <c r="AF940" s="679"/>
      <c r="AG940" s="679"/>
      <c r="AH940" s="679"/>
      <c r="AI940" s="682"/>
      <c r="AJ940" s="682"/>
      <c r="AK940" s="682"/>
      <c r="AL940" s="682"/>
      <c r="AM940" s="682"/>
      <c r="AN940" s="682"/>
      <c r="AO940" s="682"/>
      <c r="AP940" s="682"/>
      <c r="AQ940" s="682"/>
      <c r="AR940" s="682"/>
      <c r="AS940" s="682"/>
    </row>
    <row r="941" spans="1:45" s="265" customFormat="1" ht="30" customHeight="1" x14ac:dyDescent="0.25">
      <c r="A941" s="2019" t="s">
        <v>518</v>
      </c>
      <c r="B941" s="2020"/>
      <c r="C941" s="88"/>
      <c r="D941" s="864"/>
      <c r="E941" s="864"/>
      <c r="F941" s="865"/>
      <c r="G941" s="1297">
        <v>1064.6799999999998</v>
      </c>
      <c r="H941" s="1297">
        <f t="shared" ref="H941:L941" si="597">SUM(H933:H940)</f>
        <v>0</v>
      </c>
      <c r="I941" s="1297">
        <f t="shared" si="597"/>
        <v>75</v>
      </c>
      <c r="J941" s="1297">
        <f t="shared" si="597"/>
        <v>23.61</v>
      </c>
      <c r="K941" s="1297">
        <f t="shared" si="597"/>
        <v>75</v>
      </c>
      <c r="L941" s="1297">
        <f t="shared" si="597"/>
        <v>1041.07</v>
      </c>
      <c r="M941" s="59">
        <f>IFERROR((R941/$S$2),"")</f>
        <v>69.486666666666665</v>
      </c>
      <c r="N941" s="854">
        <f>(L941/M941)</f>
        <v>14.982298762352489</v>
      </c>
      <c r="O941" s="59">
        <f>IFERROR(SUMIF(ETM!$A:$A,$Q941,ETM!$E:$E),"")</f>
        <v>61.666666666666671</v>
      </c>
      <c r="P941" s="880">
        <f>IFERROR(L941/O941,0)</f>
        <v>16.882216216216214</v>
      </c>
      <c r="Q941" s="814" t="s">
        <v>670</v>
      </c>
      <c r="R941" s="785">
        <f>IFERROR(VLOOKUP($Q941,'391'!$S:$Z,8,0),"")</f>
        <v>416.92</v>
      </c>
      <c r="S941" s="796"/>
      <c r="T941" s="797"/>
      <c r="U941" s="797"/>
      <c r="V941" s="797"/>
      <c r="W941" s="785">
        <f>IFERROR(VLOOKUP($Q941,'391'!$S:$AG,15,0),0)</f>
        <v>1064.68</v>
      </c>
      <c r="X941" s="1090">
        <f t="shared" si="592"/>
        <v>0</v>
      </c>
      <c r="Y941" s="785"/>
      <c r="Z941" s="785"/>
      <c r="AA941" s="797"/>
      <c r="AB941" s="797"/>
      <c r="AC941" s="551"/>
      <c r="AD941" s="551"/>
      <c r="AE941" s="551"/>
      <c r="AF941" s="551"/>
      <c r="AG941" s="551"/>
      <c r="AH941" s="551"/>
      <c r="AI941" s="704"/>
      <c r="AJ941" s="704"/>
      <c r="AK941" s="704"/>
      <c r="AL941" s="704"/>
      <c r="AM941" s="704"/>
      <c r="AN941" s="704"/>
      <c r="AO941" s="704"/>
      <c r="AP941" s="704"/>
      <c r="AQ941" s="704"/>
      <c r="AR941" s="704"/>
      <c r="AS941" s="704"/>
    </row>
    <row r="942" spans="1:45" s="6" customFormat="1" ht="30" hidden="1" customHeight="1" x14ac:dyDescent="0.25">
      <c r="A942" s="1997">
        <f>IF(L953=0,"",MAX($A$16:A941)+1)</f>
        <v>60</v>
      </c>
      <c r="B942" s="2015" t="s">
        <v>1374</v>
      </c>
      <c r="C942" s="143"/>
      <c r="D942" s="1746" t="s">
        <v>10</v>
      </c>
      <c r="E942" s="882">
        <v>46186</v>
      </c>
      <c r="F942" s="359">
        <f t="shared" ref="F942:F947" si="598">$L$7-E942</f>
        <v>100</v>
      </c>
      <c r="G942" s="12">
        <v>0</v>
      </c>
      <c r="H942" s="12"/>
      <c r="I942" s="12"/>
      <c r="J942" s="1368"/>
      <c r="K942" s="12">
        <f>IFERROR(SUMIF(INTAKE!$A:$A,$T942,INTAKE!$P:$P),0)</f>
        <v>0</v>
      </c>
      <c r="L942" s="1702">
        <f t="shared" ref="L942:L952" si="599">+G942+H942+I942-J942-K942</f>
        <v>0</v>
      </c>
      <c r="M942" s="66"/>
      <c r="N942" s="66"/>
      <c r="O942" s="66"/>
      <c r="P942" s="744"/>
      <c r="Q942" s="795"/>
      <c r="R942" s="785">
        <f>IFERROR(VLOOKUP($Q942,'391'!$S:$Z,8,0),"")</f>
        <v>0</v>
      </c>
      <c r="S942" s="786"/>
      <c r="T942" s="787" t="str">
        <f t="shared" ref="T942:T950" si="600">$Q$953&amp;C942&amp;E942</f>
        <v>Myco curb liquid46186</v>
      </c>
      <c r="U942" s="787"/>
      <c r="V942" s="787"/>
      <c r="W942" s="785">
        <f>IFERROR(VLOOKUP($Q942,'391'!$S:$AG,15,0),0)</f>
        <v>0</v>
      </c>
      <c r="X942" s="1090">
        <f t="shared" si="592"/>
        <v>0</v>
      </c>
      <c r="Y942" s="785"/>
      <c r="Z942" s="785"/>
      <c r="AA942" s="787"/>
      <c r="AB942" s="787"/>
      <c r="AC942" s="679"/>
      <c r="AD942" s="679"/>
      <c r="AE942" s="679"/>
      <c r="AF942" s="679"/>
      <c r="AG942" s="679"/>
      <c r="AH942" s="679"/>
      <c r="AI942" s="682"/>
      <c r="AJ942" s="682"/>
      <c r="AK942" s="682"/>
      <c r="AL942" s="682"/>
      <c r="AM942" s="682"/>
      <c r="AN942" s="682"/>
      <c r="AO942" s="682"/>
      <c r="AP942" s="682"/>
      <c r="AQ942" s="682"/>
      <c r="AR942" s="682"/>
      <c r="AS942" s="682"/>
    </row>
    <row r="943" spans="1:45" s="6" customFormat="1" ht="30" customHeight="1" x14ac:dyDescent="0.25">
      <c r="A943" s="1998"/>
      <c r="B943" s="2016"/>
      <c r="C943" s="143" t="s">
        <v>1794</v>
      </c>
      <c r="D943" s="1746" t="s">
        <v>10</v>
      </c>
      <c r="E943" s="882">
        <v>46191</v>
      </c>
      <c r="F943" s="359">
        <f t="shared" si="598"/>
        <v>95</v>
      </c>
      <c r="G943" s="12">
        <v>14000</v>
      </c>
      <c r="H943" s="12"/>
      <c r="I943" s="12"/>
      <c r="J943" s="1368"/>
      <c r="K943" s="12">
        <f>IFERROR(SUMIF(INTAKE!$A:$A,$T943,INTAKE!$P:$P),0)</f>
        <v>0</v>
      </c>
      <c r="L943" s="1702">
        <f t="shared" si="599"/>
        <v>14000</v>
      </c>
      <c r="M943" s="101"/>
      <c r="N943" s="101"/>
      <c r="O943" s="101"/>
      <c r="P943" s="738"/>
      <c r="Q943" s="795"/>
      <c r="R943" s="785">
        <f>IFERROR(VLOOKUP($Q943,'391'!$S:$Z,8,0),"")</f>
        <v>0</v>
      </c>
      <c r="S943" s="786"/>
      <c r="T943" s="787" t="str">
        <f t="shared" si="600"/>
        <v>Myco curb liquidA16.2A46191</v>
      </c>
      <c r="U943" s="787"/>
      <c r="V943" s="787"/>
      <c r="W943" s="785">
        <f>IFERROR(VLOOKUP($Q943,'391'!$S:$AG,15,0),0)</f>
        <v>0</v>
      </c>
      <c r="X943" s="1090">
        <f t="shared" si="592"/>
        <v>14000</v>
      </c>
      <c r="Y943" s="785"/>
      <c r="Z943" s="785"/>
      <c r="AA943" s="787"/>
      <c r="AB943" s="787"/>
      <c r="AC943" s="679"/>
      <c r="AD943" s="679"/>
      <c r="AE943" s="679"/>
      <c r="AF943" s="679"/>
      <c r="AG943" s="679"/>
      <c r="AH943" s="679"/>
      <c r="AI943" s="682"/>
      <c r="AJ943" s="682"/>
      <c r="AK943" s="682"/>
      <c r="AL943" s="682"/>
      <c r="AM943" s="682"/>
      <c r="AN943" s="682"/>
      <c r="AO943" s="682"/>
      <c r="AP943" s="682"/>
      <c r="AQ943" s="682"/>
      <c r="AR943" s="682"/>
      <c r="AS943" s="682"/>
    </row>
    <row r="944" spans="1:45" s="6" customFormat="1" ht="30" customHeight="1" x14ac:dyDescent="0.25">
      <c r="A944" s="1998"/>
      <c r="B944" s="2016"/>
      <c r="C944" s="143" t="s">
        <v>1794</v>
      </c>
      <c r="D944" s="1746" t="s">
        <v>10</v>
      </c>
      <c r="E944" s="882">
        <v>46213</v>
      </c>
      <c r="F944" s="359">
        <f t="shared" si="598"/>
        <v>73</v>
      </c>
      <c r="G944" s="12">
        <v>18000</v>
      </c>
      <c r="H944" s="12"/>
      <c r="I944" s="12"/>
      <c r="J944" s="1388"/>
      <c r="K944" s="12">
        <f>IFERROR(SUMIF(INTAKE!$A:$A,$T944,INTAKE!$P:$P),0)</f>
        <v>0</v>
      </c>
      <c r="L944" s="1702">
        <f t="shared" si="599"/>
        <v>18000</v>
      </c>
      <c r="M944" s="101"/>
      <c r="N944" s="101"/>
      <c r="O944" s="101"/>
      <c r="P944" s="738"/>
      <c r="Q944" s="795"/>
      <c r="R944" s="785">
        <f>IFERROR(VLOOKUP($Q944,'391'!$S:$Z,8,0),"")</f>
        <v>0</v>
      </c>
      <c r="S944" s="786"/>
      <c r="T944" s="787" t="str">
        <f t="shared" si="600"/>
        <v>Myco curb liquidA16.2A46213</v>
      </c>
      <c r="U944" s="787"/>
      <c r="V944" s="787"/>
      <c r="W944" s="785">
        <f>IFERROR(VLOOKUP($Q944,'391'!$S:$AG,15,0),0)</f>
        <v>0</v>
      </c>
      <c r="X944" s="1090">
        <f t="shared" si="592"/>
        <v>18000</v>
      </c>
      <c r="Y944" s="785"/>
      <c r="Z944" s="785"/>
      <c r="AA944" s="787"/>
      <c r="AB944" s="787"/>
      <c r="AC944" s="679"/>
      <c r="AD944" s="679"/>
      <c r="AE944" s="679"/>
      <c r="AF944" s="679"/>
      <c r="AG944" s="679"/>
      <c r="AH944" s="679"/>
      <c r="AI944" s="682"/>
      <c r="AJ944" s="682"/>
      <c r="AK944" s="682"/>
      <c r="AL944" s="682"/>
      <c r="AM944" s="682"/>
      <c r="AN944" s="682"/>
      <c r="AO944" s="682"/>
      <c r="AP944" s="682"/>
      <c r="AQ944" s="682"/>
      <c r="AR944" s="682"/>
      <c r="AS944" s="682"/>
    </row>
    <row r="945" spans="1:45" s="6" customFormat="1" ht="30" customHeight="1" x14ac:dyDescent="0.25">
      <c r="A945" s="1998"/>
      <c r="B945" s="2017"/>
      <c r="C945" s="143" t="s">
        <v>1883</v>
      </c>
      <c r="D945" s="1746" t="s">
        <v>10</v>
      </c>
      <c r="E945" s="882">
        <v>46233</v>
      </c>
      <c r="F945" s="359">
        <f t="shared" si="598"/>
        <v>53</v>
      </c>
      <c r="G945" s="12">
        <v>18000</v>
      </c>
      <c r="H945" s="12"/>
      <c r="I945" s="12"/>
      <c r="J945" s="1388"/>
      <c r="K945" s="12">
        <f>IFERROR(SUMIF(INTAKE!$A:$A,$T945,INTAKE!$P:$P),0)</f>
        <v>0</v>
      </c>
      <c r="L945" s="1702">
        <f t="shared" ref="L945" si="601">+G945+H945+I945-J945-K945</f>
        <v>18000</v>
      </c>
      <c r="M945" s="369"/>
      <c r="N945" s="369"/>
      <c r="O945" s="369"/>
      <c r="P945" s="738"/>
      <c r="Q945" s="795"/>
      <c r="R945" s="785">
        <f>IFERROR(VLOOKUP($Q945,'391'!$S:$Z,8,0),"")</f>
        <v>0</v>
      </c>
      <c r="S945" s="786"/>
      <c r="T945" s="787" t="str">
        <f t="shared" si="600"/>
        <v>Myco curb liquidA16.1B46233</v>
      </c>
      <c r="U945" s="787"/>
      <c r="V945" s="787"/>
      <c r="W945" s="785">
        <f>IFERROR(VLOOKUP($Q945,'391'!$S:$AG,15,0),0)</f>
        <v>0</v>
      </c>
      <c r="X945" s="1090">
        <f t="shared" ref="X945" si="602">G945-W945</f>
        <v>18000</v>
      </c>
      <c r="Y945" s="785"/>
      <c r="Z945" s="785"/>
      <c r="AA945" s="787"/>
      <c r="AB945" s="787"/>
      <c r="AC945" s="679"/>
      <c r="AD945" s="679"/>
      <c r="AE945" s="679"/>
      <c r="AF945" s="679"/>
      <c r="AG945" s="679"/>
      <c r="AH945" s="679"/>
      <c r="AI945" s="682"/>
      <c r="AJ945" s="682"/>
      <c r="AK945" s="682"/>
      <c r="AL945" s="682"/>
      <c r="AM945" s="682"/>
      <c r="AN945" s="682"/>
      <c r="AO945" s="682"/>
      <c r="AP945" s="682"/>
      <c r="AQ945" s="682"/>
      <c r="AR945" s="682"/>
      <c r="AS945" s="682"/>
    </row>
    <row r="946" spans="1:45" s="6" customFormat="1" ht="30" customHeight="1" x14ac:dyDescent="0.25">
      <c r="A946" s="1998"/>
      <c r="B946" s="2016"/>
      <c r="C946" s="143" t="s">
        <v>256</v>
      </c>
      <c r="D946" s="1746" t="s">
        <v>10</v>
      </c>
      <c r="E946" s="882">
        <v>46239</v>
      </c>
      <c r="F946" s="359">
        <f t="shared" si="598"/>
        <v>47</v>
      </c>
      <c r="G946" s="12">
        <v>18000</v>
      </c>
      <c r="H946" s="12"/>
      <c r="I946" s="12"/>
      <c r="J946" s="1388"/>
      <c r="K946" s="12">
        <f>IFERROR(SUMIF(INTAKE!$A:$A,$T946,INTAKE!$P:$P),0)</f>
        <v>0</v>
      </c>
      <c r="L946" s="1702">
        <f t="shared" si="599"/>
        <v>18000</v>
      </c>
      <c r="M946" s="369"/>
      <c r="N946" s="369"/>
      <c r="O946" s="369"/>
      <c r="P946" s="738"/>
      <c r="Q946" s="795"/>
      <c r="R946" s="785">
        <f>IFERROR(VLOOKUP($Q946,'391'!$S:$Z,8,0),"")</f>
        <v>0</v>
      </c>
      <c r="S946" s="786"/>
      <c r="T946" s="787" t="str">
        <f t="shared" si="600"/>
        <v>Myco curb liquidB14.346239</v>
      </c>
      <c r="U946" s="787"/>
      <c r="V946" s="787"/>
      <c r="W946" s="785">
        <f>IFERROR(VLOOKUP($Q946,'391'!$S:$AG,15,0),0)</f>
        <v>0</v>
      </c>
      <c r="X946" s="1090">
        <f t="shared" si="592"/>
        <v>18000</v>
      </c>
      <c r="Y946" s="785"/>
      <c r="Z946" s="785"/>
      <c r="AA946" s="787"/>
      <c r="AB946" s="787"/>
      <c r="AC946" s="679"/>
      <c r="AD946" s="679"/>
      <c r="AE946" s="679"/>
      <c r="AF946" s="679"/>
      <c r="AG946" s="679"/>
      <c r="AH946" s="679"/>
      <c r="AI946" s="682"/>
      <c r="AJ946" s="682"/>
      <c r="AK946" s="682"/>
      <c r="AL946" s="682"/>
      <c r="AM946" s="682"/>
      <c r="AN946" s="682"/>
      <c r="AO946" s="682"/>
      <c r="AP946" s="682"/>
      <c r="AQ946" s="682"/>
      <c r="AR946" s="682"/>
      <c r="AS946" s="682"/>
    </row>
    <row r="947" spans="1:45" s="6" customFormat="1" ht="30" customHeight="1" x14ac:dyDescent="0.25">
      <c r="A947" s="1998"/>
      <c r="B947" s="2018"/>
      <c r="C947" s="143" t="s">
        <v>2257</v>
      </c>
      <c r="D947" s="1746" t="s">
        <v>10</v>
      </c>
      <c r="E947" s="882">
        <v>46270</v>
      </c>
      <c r="F947" s="359">
        <f t="shared" si="598"/>
        <v>16</v>
      </c>
      <c r="G947" s="12">
        <v>18000</v>
      </c>
      <c r="H947" s="12"/>
      <c r="I947" s="12"/>
      <c r="J947" s="1388"/>
      <c r="K947" s="12">
        <f>IFERROR(SUMIF(INTAKE!$A:$A,$T947,INTAKE!$P:$P),0)</f>
        <v>0</v>
      </c>
      <c r="L947" s="1702">
        <f t="shared" si="599"/>
        <v>18000</v>
      </c>
      <c r="M947" s="369"/>
      <c r="N947" s="369"/>
      <c r="O947" s="369"/>
      <c r="P947" s="738"/>
      <c r="Q947" s="795"/>
      <c r="R947" s="785">
        <f>IFERROR(VLOOKUP($Q947,'391'!$S:$Z,8,0),"")</f>
        <v>0</v>
      </c>
      <c r="S947" s="786"/>
      <c r="T947" s="787" t="str">
        <f t="shared" si="600"/>
        <v>Myco curb liquidA16.1A46270</v>
      </c>
      <c r="U947" s="787"/>
      <c r="V947" s="787"/>
      <c r="W947" s="785">
        <f>IFERROR(VLOOKUP($Q947,'391'!$S:$AG,15,0),0)</f>
        <v>0</v>
      </c>
      <c r="X947" s="1090">
        <f t="shared" si="592"/>
        <v>18000</v>
      </c>
      <c r="Y947" s="785"/>
      <c r="Z947" s="785"/>
      <c r="AA947" s="787"/>
      <c r="AB947" s="787"/>
      <c r="AC947" s="679"/>
      <c r="AD947" s="679"/>
      <c r="AE947" s="679"/>
      <c r="AF947" s="679"/>
      <c r="AG947" s="679"/>
      <c r="AH947" s="679"/>
      <c r="AI947" s="682"/>
      <c r="AJ947" s="682"/>
      <c r="AK947" s="682"/>
      <c r="AL947" s="682"/>
      <c r="AM947" s="682"/>
      <c r="AN947" s="682"/>
      <c r="AO947" s="682"/>
      <c r="AP947" s="682"/>
      <c r="AQ947" s="682"/>
      <c r="AR947" s="682"/>
      <c r="AS947" s="682"/>
    </row>
    <row r="948" spans="1:45" s="6" customFormat="1" ht="30" customHeight="1" x14ac:dyDescent="0.25">
      <c r="A948" s="1998"/>
      <c r="B948" s="2017"/>
      <c r="C948" s="143" t="s">
        <v>2257</v>
      </c>
      <c r="D948" s="1746" t="s">
        <v>10</v>
      </c>
      <c r="E948" s="882">
        <v>46272</v>
      </c>
      <c r="F948" s="359">
        <f t="shared" ref="F948:F949" si="603">$L$7-E948</f>
        <v>14</v>
      </c>
      <c r="G948" s="12">
        <v>18000</v>
      </c>
      <c r="H948" s="12"/>
      <c r="I948" s="12"/>
      <c r="J948" s="1388"/>
      <c r="K948" s="12">
        <f>IFERROR(SUMIF(INTAKE!$A:$A,$T948,INTAKE!$P:$P),0)</f>
        <v>0</v>
      </c>
      <c r="L948" s="1702">
        <f t="shared" ref="L948" si="604">+G948+H948+I948-J948-K948</f>
        <v>18000</v>
      </c>
      <c r="M948" s="369"/>
      <c r="N948" s="369"/>
      <c r="O948" s="369"/>
      <c r="P948" s="738"/>
      <c r="Q948" s="795"/>
      <c r="R948" s="785">
        <f>IFERROR(VLOOKUP($Q948,'391'!$S:$Z,8,0),"")</f>
        <v>0</v>
      </c>
      <c r="S948" s="786"/>
      <c r="T948" s="787" t="str">
        <f t="shared" si="600"/>
        <v>Myco curb liquidA16.1A46272</v>
      </c>
      <c r="U948" s="787"/>
      <c r="V948" s="787"/>
      <c r="W948" s="785">
        <f>IFERROR(VLOOKUP($Q948,'391'!$S:$AG,15,0),0)</f>
        <v>0</v>
      </c>
      <c r="X948" s="1090">
        <f t="shared" ref="X948" si="605">G948-W948</f>
        <v>18000</v>
      </c>
      <c r="Y948" s="785"/>
      <c r="Z948" s="785"/>
      <c r="AA948" s="787"/>
      <c r="AB948" s="787"/>
      <c r="AC948" s="679"/>
      <c r="AD948" s="679"/>
      <c r="AE948" s="679"/>
      <c r="AF948" s="679"/>
      <c r="AG948" s="679"/>
      <c r="AH948" s="679"/>
      <c r="AI948" s="682"/>
      <c r="AJ948" s="682"/>
      <c r="AK948" s="682"/>
      <c r="AL948" s="682"/>
      <c r="AM948" s="682"/>
      <c r="AN948" s="682"/>
      <c r="AO948" s="682"/>
      <c r="AP948" s="682"/>
      <c r="AQ948" s="682"/>
      <c r="AR948" s="682"/>
      <c r="AS948" s="682"/>
    </row>
    <row r="949" spans="1:45" s="6" customFormat="1" ht="30" customHeight="1" x14ac:dyDescent="0.25">
      <c r="A949" s="1998"/>
      <c r="B949" s="2016"/>
      <c r="C949" s="1483" t="s">
        <v>1199</v>
      </c>
      <c r="D949" s="977" t="s">
        <v>10</v>
      </c>
      <c r="E949" s="853">
        <v>46158</v>
      </c>
      <c r="F949" s="41">
        <f t="shared" si="603"/>
        <v>128</v>
      </c>
      <c r="G949" s="56">
        <v>162</v>
      </c>
      <c r="H949" s="56"/>
      <c r="I949" s="1401"/>
      <c r="J949" s="1369">
        <f>sdmixer!K13</f>
        <v>0</v>
      </c>
      <c r="K949" s="1379"/>
      <c r="L949" s="1533">
        <f t="shared" si="599"/>
        <v>162</v>
      </c>
      <c r="M949" s="369"/>
      <c r="N949" s="369"/>
      <c r="O949" s="369"/>
      <c r="P949" s="738"/>
      <c r="Q949" s="795"/>
      <c r="R949" s="785">
        <f>IFERROR(VLOOKUP($Q949,'391'!$S:$Z,8,0),"")</f>
        <v>0</v>
      </c>
      <c r="S949" s="786"/>
      <c r="T949" s="787" t="str">
        <f t="shared" si="600"/>
        <v>Myco curb liquidSilo46158</v>
      </c>
      <c r="U949" s="787"/>
      <c r="V949" s="787"/>
      <c r="W949" s="785">
        <f>IFERROR(VLOOKUP($Q949,'391'!$S:$AG,15,0),0)</f>
        <v>0</v>
      </c>
      <c r="X949" s="1090">
        <f t="shared" si="592"/>
        <v>162</v>
      </c>
      <c r="Y949" s="785"/>
      <c r="Z949" s="785"/>
      <c r="AA949" s="787"/>
      <c r="AB949" s="787"/>
      <c r="AC949" s="679"/>
      <c r="AD949" s="679"/>
      <c r="AE949" s="679"/>
      <c r="AF949" s="679"/>
      <c r="AG949" s="679"/>
      <c r="AH949" s="679"/>
      <c r="AI949" s="682"/>
      <c r="AJ949" s="682"/>
      <c r="AK949" s="682"/>
      <c r="AL949" s="682"/>
      <c r="AM949" s="682"/>
      <c r="AN949" s="682"/>
      <c r="AO949" s="682"/>
      <c r="AP949" s="682"/>
      <c r="AQ949" s="682"/>
      <c r="AR949" s="682"/>
      <c r="AS949" s="682"/>
    </row>
    <row r="950" spans="1:45" s="6" customFormat="1" ht="30" customHeight="1" x14ac:dyDescent="0.25">
      <c r="A950" s="1998"/>
      <c r="B950" s="2016"/>
      <c r="C950" s="151" t="s">
        <v>495</v>
      </c>
      <c r="D950" s="977" t="s">
        <v>10</v>
      </c>
      <c r="E950" s="853">
        <v>46214</v>
      </c>
      <c r="F950" s="41">
        <f t="shared" ref="F950:F952" si="606">$L$7-E950</f>
        <v>72</v>
      </c>
      <c r="G950" s="56">
        <v>28782.699999999997</v>
      </c>
      <c r="H950" s="56"/>
      <c r="I950" s="1401"/>
      <c r="J950" s="1774">
        <v>1100</v>
      </c>
      <c r="K950" s="1379"/>
      <c r="L950" s="1533">
        <f t="shared" si="599"/>
        <v>27682.699999999997</v>
      </c>
      <c r="M950" s="369"/>
      <c r="N950" s="369"/>
      <c r="O950" s="369"/>
      <c r="P950" s="738"/>
      <c r="Q950" s="795"/>
      <c r="R950" s="785">
        <f>IFERROR(VLOOKUP($Q950,'391'!$S:$Z,8,0),"")</f>
        <v>0</v>
      </c>
      <c r="S950" s="786"/>
      <c r="T950" s="787" t="str">
        <f t="shared" si="600"/>
        <v>Myco curb liquidLA446214</v>
      </c>
      <c r="U950" s="787"/>
      <c r="V950" s="787"/>
      <c r="W950" s="785">
        <f>IFERROR(VLOOKUP($Q950,'391'!$S:$AG,15,0),0)</f>
        <v>0</v>
      </c>
      <c r="X950" s="1090">
        <f t="shared" si="592"/>
        <v>28782.699999999997</v>
      </c>
      <c r="Y950" s="785"/>
      <c r="Z950" s="785"/>
      <c r="AA950" s="787"/>
      <c r="AB950" s="787"/>
      <c r="AC950" s="679"/>
      <c r="AD950" s="679"/>
      <c r="AE950" s="679"/>
      <c r="AF950" s="679"/>
      <c r="AG950" s="679"/>
      <c r="AH950" s="679"/>
      <c r="AI950" s="682"/>
      <c r="AJ950" s="682"/>
      <c r="AK950" s="682"/>
      <c r="AL950" s="682"/>
      <c r="AM950" s="682"/>
      <c r="AN950" s="682"/>
      <c r="AO950" s="682"/>
      <c r="AP950" s="682"/>
      <c r="AQ950" s="682"/>
      <c r="AR950" s="682"/>
      <c r="AS950" s="682"/>
    </row>
    <row r="951" spans="1:45" s="6" customFormat="1" ht="30" customHeight="1" x14ac:dyDescent="0.25">
      <c r="A951" s="1998"/>
      <c r="B951" s="2016"/>
      <c r="C951" s="149" t="s">
        <v>589</v>
      </c>
      <c r="D951" s="977" t="s">
        <v>10</v>
      </c>
      <c r="E951" s="851">
        <v>46255</v>
      </c>
      <c r="F951" s="41">
        <f t="shared" si="606"/>
        <v>31</v>
      </c>
      <c r="G951" s="56">
        <v>27463.03</v>
      </c>
      <c r="H951" s="56"/>
      <c r="I951" s="1401"/>
      <c r="J951" s="1369">
        <f>usage!I104-J949-J950</f>
        <v>808.51</v>
      </c>
      <c r="K951" s="1709"/>
      <c r="L951" s="1533">
        <f t="shared" si="599"/>
        <v>26654.52</v>
      </c>
      <c r="M951" s="369"/>
      <c r="N951" s="369"/>
      <c r="O951" s="369"/>
      <c r="P951" s="738"/>
      <c r="Q951" s="795"/>
      <c r="R951" s="785">
        <f>IFERROR(VLOOKUP($Q951,'391'!$S:$Z,8,0),"")</f>
        <v>0</v>
      </c>
      <c r="S951" s="786"/>
      <c r="T951" s="787"/>
      <c r="U951" s="787"/>
      <c r="V951" s="787"/>
      <c r="W951" s="785">
        <f>IFERROR(VLOOKUP($Q951,'391'!$S:$AG,15,0),0)</f>
        <v>0</v>
      </c>
      <c r="X951" s="1090">
        <f t="shared" si="592"/>
        <v>27463.03</v>
      </c>
      <c r="Y951" s="785"/>
      <c r="Z951" s="785"/>
      <c r="AA951" s="787"/>
      <c r="AB951" s="787"/>
      <c r="AC951" s="679"/>
      <c r="AD951" s="679"/>
      <c r="AE951" s="679"/>
      <c r="AF951" s="679"/>
      <c r="AG951" s="679"/>
      <c r="AH951" s="679"/>
      <c r="AI951" s="682"/>
      <c r="AJ951" s="682"/>
      <c r="AK951" s="682"/>
      <c r="AL951" s="682"/>
      <c r="AM951" s="682"/>
      <c r="AN951" s="682"/>
      <c r="AO951" s="682"/>
      <c r="AP951" s="682"/>
      <c r="AQ951" s="682"/>
      <c r="AR951" s="682"/>
      <c r="AS951" s="682"/>
    </row>
    <row r="952" spans="1:45" ht="30" hidden="1" customHeight="1" x14ac:dyDescent="0.25">
      <c r="A952" s="1998"/>
      <c r="B952" s="2016"/>
      <c r="C952" s="149" t="s">
        <v>1199</v>
      </c>
      <c r="D952" s="977" t="s">
        <v>10</v>
      </c>
      <c r="E952" s="851">
        <v>44818</v>
      </c>
      <c r="F952" s="41">
        <f t="shared" si="606"/>
        <v>1468</v>
      </c>
      <c r="G952" s="56">
        <v>0</v>
      </c>
      <c r="H952" s="56"/>
      <c r="I952" s="56"/>
      <c r="J952" s="1369"/>
      <c r="K952" s="56"/>
      <c r="L952" s="1533">
        <f t="shared" si="599"/>
        <v>0</v>
      </c>
      <c r="M952" s="370"/>
      <c r="N952" s="162"/>
      <c r="O952" s="47"/>
      <c r="P952" s="857"/>
      <c r="Q952" s="795"/>
      <c r="R952" s="785">
        <f>IFERROR(VLOOKUP($Q952,'391'!$S:$Z,8,0),"")</f>
        <v>0</v>
      </c>
      <c r="U952" s="787"/>
      <c r="V952" s="787"/>
      <c r="W952" s="785">
        <f>IFERROR(VLOOKUP($Q952,'391'!$S:$AG,15,0),0)</f>
        <v>0</v>
      </c>
      <c r="X952" s="1090">
        <f t="shared" si="592"/>
        <v>0</v>
      </c>
      <c r="Y952" s="785"/>
      <c r="Z952" s="785"/>
      <c r="AA952" s="787"/>
      <c r="AB952" s="787"/>
      <c r="AC952" s="679"/>
    </row>
    <row r="953" spans="1:45" s="265" customFormat="1" ht="30" customHeight="1" x14ac:dyDescent="0.25">
      <c r="A953" s="2019" t="s">
        <v>132</v>
      </c>
      <c r="B953" s="2020"/>
      <c r="C953" s="88"/>
      <c r="D953" s="864"/>
      <c r="E953" s="864"/>
      <c r="F953" s="865"/>
      <c r="G953" s="1297">
        <v>160407.73000000001</v>
      </c>
      <c r="H953" s="1297">
        <f>+SUM(H942:H951)</f>
        <v>0</v>
      </c>
      <c r="I953" s="1297">
        <f t="shared" ref="I953:L953" si="607">+SUM(I942:I951)</f>
        <v>0</v>
      </c>
      <c r="J953" s="1297">
        <f t="shared" si="607"/>
        <v>1908.51</v>
      </c>
      <c r="K953" s="1297">
        <f t="shared" si="607"/>
        <v>0</v>
      </c>
      <c r="L953" s="1297">
        <f t="shared" si="607"/>
        <v>158499.22</v>
      </c>
      <c r="M953" s="982">
        <f>IFERROR((R953/$S$2),"")</f>
        <v>3043.1583333333333</v>
      </c>
      <c r="N953" s="366">
        <f>IFERROR(L953/M953,0)</f>
        <v>52.083790141273184</v>
      </c>
      <c r="O953" s="982">
        <f>IFERROR(SUMIF(ETM!$A:$A,$Q953,ETM!$E:$E),"")</f>
        <v>2032.833333333333</v>
      </c>
      <c r="P953" s="855">
        <f>IFERROR(L953/O953,0)</f>
        <v>77.969608920226293</v>
      </c>
      <c r="Q953" s="814" t="s">
        <v>671</v>
      </c>
      <c r="R953" s="785">
        <f>IFERROR(VLOOKUP($Q953,'391'!$S:$Z,8,0),"")</f>
        <v>18258.95</v>
      </c>
      <c r="S953" s="796"/>
      <c r="T953" s="797"/>
      <c r="U953" s="797"/>
      <c r="V953" s="797"/>
      <c r="W953" s="785">
        <f>IFERROR(VLOOKUP($Q953,'391'!$S:$AG,15,0),0)</f>
        <v>160407.73000000001</v>
      </c>
      <c r="X953" s="1090">
        <f t="shared" si="592"/>
        <v>0</v>
      </c>
      <c r="Y953" s="785"/>
      <c r="Z953" s="785"/>
      <c r="AA953" s="797"/>
      <c r="AB953" s="797"/>
      <c r="AC953" s="551"/>
      <c r="AD953" s="551"/>
      <c r="AE953" s="551"/>
      <c r="AF953" s="551"/>
      <c r="AG953" s="551"/>
      <c r="AH953" s="551"/>
      <c r="AI953" s="704"/>
      <c r="AJ953" s="704"/>
      <c r="AK953" s="704"/>
      <c r="AL953" s="704"/>
      <c r="AM953" s="704"/>
      <c r="AN953" s="704"/>
      <c r="AO953" s="704"/>
      <c r="AP953" s="704"/>
      <c r="AQ953" s="704"/>
      <c r="AR953" s="704"/>
      <c r="AS953" s="704"/>
    </row>
    <row r="954" spans="1:45" s="405" customFormat="1" ht="30" hidden="1" customHeight="1" x14ac:dyDescent="0.25">
      <c r="A954" s="2021" t="str">
        <f>IF(L956=0,"",MAX($A$16:A953)+1)</f>
        <v/>
      </c>
      <c r="B954" s="2024" t="s">
        <v>73</v>
      </c>
      <c r="C954" s="844" t="s">
        <v>159</v>
      </c>
      <c r="D954" s="959" t="s">
        <v>10</v>
      </c>
      <c r="E954" s="961">
        <v>41510</v>
      </c>
      <c r="F954" s="74">
        <f>$L$7-E954</f>
        <v>4776</v>
      </c>
      <c r="G954" s="63">
        <v>0</v>
      </c>
      <c r="H954" s="1402"/>
      <c r="I954" s="1402"/>
      <c r="J954" s="1403"/>
      <c r="K954" s="1402"/>
      <c r="L954" s="1533">
        <f t="shared" ref="L954:L962" si="608">+G954+H954+I954-J954-K954</f>
        <v>0</v>
      </c>
      <c r="M954" s="372"/>
      <c r="N954" s="360"/>
      <c r="O954" s="372"/>
      <c r="P954" s="857"/>
      <c r="Q954" s="795"/>
      <c r="R954" s="785">
        <f>IFERROR(VLOOKUP($Q954,'391'!$S:$Z,8,0),"")</f>
        <v>0</v>
      </c>
      <c r="S954" s="796"/>
      <c r="T954" s="797"/>
      <c r="U954" s="797"/>
      <c r="V954" s="797"/>
      <c r="W954" s="785">
        <f>IFERROR(VLOOKUP($Q954,'391'!$S:$AG,15,0),0)</f>
        <v>0</v>
      </c>
      <c r="X954" s="1090">
        <f t="shared" si="592"/>
        <v>0</v>
      </c>
      <c r="Y954" s="785"/>
      <c r="Z954" s="785"/>
      <c r="AA954" s="797"/>
      <c r="AB954" s="797"/>
      <c r="AC954" s="683"/>
      <c r="AD954" s="683"/>
      <c r="AE954" s="683"/>
      <c r="AF954" s="683"/>
      <c r="AG954" s="683"/>
      <c r="AH954" s="683"/>
      <c r="AI954" s="705"/>
      <c r="AJ954" s="705"/>
      <c r="AK954" s="705"/>
      <c r="AL954" s="705"/>
      <c r="AM954" s="705"/>
      <c r="AN954" s="705"/>
      <c r="AO954" s="705"/>
      <c r="AP954" s="705"/>
      <c r="AQ954" s="705"/>
      <c r="AR954" s="705"/>
      <c r="AS954" s="705"/>
    </row>
    <row r="955" spans="1:45" s="415" customFormat="1" ht="30" hidden="1" customHeight="1" x14ac:dyDescent="0.25">
      <c r="A955" s="2023"/>
      <c r="B955" s="2026"/>
      <c r="C955" s="135" t="s">
        <v>46</v>
      </c>
      <c r="D955" s="850" t="s">
        <v>10</v>
      </c>
      <c r="E955" s="851">
        <v>41510</v>
      </c>
      <c r="F955" s="42">
        <f>$L$7-E955</f>
        <v>4776</v>
      </c>
      <c r="G955" s="56">
        <v>0</v>
      </c>
      <c r="H955" s="56"/>
      <c r="I955" s="56"/>
      <c r="J955" s="1369">
        <v>0</v>
      </c>
      <c r="K955" s="56"/>
      <c r="L955" s="1533">
        <f t="shared" si="608"/>
        <v>0</v>
      </c>
      <c r="M955" s="136"/>
      <c r="N955" s="134"/>
      <c r="O955" s="136"/>
      <c r="P955" s="857"/>
      <c r="Q955" s="795"/>
      <c r="R955" s="785">
        <f>IFERROR(VLOOKUP($Q955,'391'!$S:$Z,8,0),"")</f>
        <v>0</v>
      </c>
      <c r="S955" s="796"/>
      <c r="T955" s="797"/>
      <c r="U955" s="797"/>
      <c r="V955" s="797"/>
      <c r="W955" s="785">
        <f>IFERROR(VLOOKUP($Q955,'391'!$S:$AG,15,0),0)</f>
        <v>0</v>
      </c>
      <c r="X955" s="1090">
        <f t="shared" si="592"/>
        <v>0</v>
      </c>
      <c r="Y955" s="785"/>
      <c r="Z955" s="785"/>
      <c r="AA955" s="797"/>
      <c r="AB955" s="797"/>
      <c r="AC955" s="683"/>
      <c r="AD955" s="683"/>
      <c r="AE955" s="683"/>
      <c r="AF955" s="683"/>
      <c r="AG955" s="683"/>
      <c r="AH955" s="683"/>
      <c r="AI955" s="705"/>
      <c r="AJ955" s="705"/>
      <c r="AK955" s="705"/>
      <c r="AL955" s="705"/>
      <c r="AM955" s="705"/>
      <c r="AN955" s="705"/>
      <c r="AO955" s="705"/>
      <c r="AP955" s="705"/>
      <c r="AQ955" s="705"/>
      <c r="AR955" s="705"/>
      <c r="AS955" s="705"/>
    </row>
    <row r="956" spans="1:45" s="265" customFormat="1" ht="30" hidden="1" customHeight="1" x14ac:dyDescent="0.25">
      <c r="A956" s="2019" t="s">
        <v>33</v>
      </c>
      <c r="B956" s="2020"/>
      <c r="C956" s="983"/>
      <c r="D956" s="864"/>
      <c r="E956" s="864"/>
      <c r="F956" s="865"/>
      <c r="G956" s="1297">
        <v>0</v>
      </c>
      <c r="H956" s="1344">
        <f>SUM(H954:H955)</f>
        <v>0</v>
      </c>
      <c r="I956" s="1344">
        <f>SUM(I954:I955)</f>
        <v>0</v>
      </c>
      <c r="J956" s="1400">
        <f>SUM(J954:J955)</f>
        <v>0</v>
      </c>
      <c r="K956" s="1344"/>
      <c r="L956" s="1533">
        <f t="shared" si="608"/>
        <v>0</v>
      </c>
      <c r="M956" s="1451"/>
      <c r="N956" s="984" t="e">
        <f>(L956/M956)/1000</f>
        <v>#DIV/0!</v>
      </c>
      <c r="O956" s="1451"/>
      <c r="P956" s="857" t="e">
        <f>(L956/O956)/1000</f>
        <v>#DIV/0!</v>
      </c>
      <c r="Q956" s="795"/>
      <c r="R956" s="785">
        <f>IFERROR(VLOOKUP($Q956,'391'!$S:$Z,8,0),"")</f>
        <v>0</v>
      </c>
      <c r="S956" s="796"/>
      <c r="T956" s="797"/>
      <c r="U956" s="797"/>
      <c r="V956" s="797"/>
      <c r="W956" s="785">
        <f>IFERROR(VLOOKUP($Q956,'391'!$S:$AG,15,0),0)</f>
        <v>0</v>
      </c>
      <c r="X956" s="1090">
        <f t="shared" si="592"/>
        <v>0</v>
      </c>
      <c r="Y956" s="785"/>
      <c r="Z956" s="785"/>
      <c r="AA956" s="797"/>
      <c r="AB956" s="797"/>
      <c r="AC956" s="551"/>
      <c r="AD956" s="551"/>
      <c r="AE956" s="551"/>
      <c r="AF956" s="551"/>
      <c r="AG956" s="551"/>
      <c r="AH956" s="551"/>
      <c r="AI956" s="704"/>
      <c r="AJ956" s="704"/>
      <c r="AK956" s="704"/>
      <c r="AL956" s="704"/>
      <c r="AM956" s="704"/>
      <c r="AN956" s="704"/>
      <c r="AO956" s="704"/>
      <c r="AP956" s="704"/>
      <c r="AQ956" s="704"/>
      <c r="AR956" s="704"/>
      <c r="AS956" s="704"/>
    </row>
    <row r="957" spans="1:45" s="265" customFormat="1" ht="30" hidden="1" customHeight="1" x14ac:dyDescent="0.25">
      <c r="A957" s="1997">
        <f>IF(L963=0,"",MAX($A$16:A956)+1)</f>
        <v>61</v>
      </c>
      <c r="B957" s="2015" t="s">
        <v>496</v>
      </c>
      <c r="C957" s="160"/>
      <c r="D957" s="881" t="s">
        <v>10</v>
      </c>
      <c r="E957" s="882">
        <v>45807</v>
      </c>
      <c r="F957" s="71">
        <f t="shared" ref="F957:F959" si="609">$L$7-E957</f>
        <v>479</v>
      </c>
      <c r="G957" s="11">
        <v>0</v>
      </c>
      <c r="H957" s="12"/>
      <c r="I957" s="12"/>
      <c r="J957" s="1368"/>
      <c r="K957" s="1379">
        <f>IFERROR(SUMIF(INTAKE!$A:$A,$T957,INTAKE!$P:$P),0)</f>
        <v>0</v>
      </c>
      <c r="L957" s="1702">
        <f t="shared" si="608"/>
        <v>0</v>
      </c>
      <c r="M957" s="147"/>
      <c r="N957" s="369"/>
      <c r="O957" s="101"/>
      <c r="P957" s="738"/>
      <c r="Q957" s="795"/>
      <c r="R957" s="785">
        <f>IFERROR(VLOOKUP($Q957,'391'!$S:$Z,8,0),"")</f>
        <v>0</v>
      </c>
      <c r="S957" s="796"/>
      <c r="T957" s="797" t="str">
        <f t="shared" ref="T957:T962" si="610">$Q$963&amp;C957&amp;E957</f>
        <v>Acid Lac Premium Liquip (Singapore)45807</v>
      </c>
      <c r="U957" s="797"/>
      <c r="V957" s="797"/>
      <c r="W957" s="785">
        <f>IFERROR(VLOOKUP($Q957,'391'!$S:$AG,15,0),0)</f>
        <v>0</v>
      </c>
      <c r="X957" s="1090">
        <f t="shared" si="592"/>
        <v>0</v>
      </c>
      <c r="Y957" s="785"/>
      <c r="Z957" s="785"/>
      <c r="AA957" s="797"/>
      <c r="AB957" s="797"/>
      <c r="AC957" s="551"/>
      <c r="AD957" s="551"/>
      <c r="AE957" s="551"/>
      <c r="AF957" s="551"/>
      <c r="AG957" s="551"/>
      <c r="AH957" s="551"/>
      <c r="AI957" s="704"/>
      <c r="AJ957" s="704"/>
      <c r="AK957" s="704"/>
      <c r="AL957" s="704"/>
      <c r="AM957" s="704"/>
      <c r="AN957" s="704"/>
      <c r="AO957" s="704"/>
      <c r="AP957" s="704"/>
      <c r="AQ957" s="704"/>
      <c r="AR957" s="704"/>
      <c r="AS957" s="704"/>
    </row>
    <row r="958" spans="1:45" s="265" customFormat="1" ht="30" hidden="1" customHeight="1" x14ac:dyDescent="0.25">
      <c r="A958" s="1998"/>
      <c r="B958" s="2016"/>
      <c r="C958" s="160"/>
      <c r="D958" s="881" t="s">
        <v>10</v>
      </c>
      <c r="E958" s="882">
        <v>45834</v>
      </c>
      <c r="F958" s="71">
        <f t="shared" si="609"/>
        <v>452</v>
      </c>
      <c r="G958" s="11">
        <v>0</v>
      </c>
      <c r="H958" s="12"/>
      <c r="I958" s="12"/>
      <c r="J958" s="1368"/>
      <c r="K958" s="12">
        <f>IFERROR(SUMIF(INTAKE!$A:$A,$T958,INTAKE!$P:$P),0)</f>
        <v>0</v>
      </c>
      <c r="L958" s="1702">
        <f t="shared" si="608"/>
        <v>0</v>
      </c>
      <c r="M958" s="147"/>
      <c r="N958" s="369"/>
      <c r="O958" s="147"/>
      <c r="P958" s="738"/>
      <c r="Q958" s="795"/>
      <c r="R958" s="785">
        <f>IFERROR(VLOOKUP($Q958,'391'!$S:$Z,8,0),"")</f>
        <v>0</v>
      </c>
      <c r="S958" s="796"/>
      <c r="T958" s="797" t="str">
        <f t="shared" si="610"/>
        <v>Acid Lac Premium Liquip (Singapore)45834</v>
      </c>
      <c r="U958" s="797"/>
      <c r="V958" s="797"/>
      <c r="W958" s="785">
        <f>IFERROR(VLOOKUP($Q958,'391'!$S:$AG,15,0),0)</f>
        <v>0</v>
      </c>
      <c r="X958" s="1090">
        <f t="shared" si="592"/>
        <v>0</v>
      </c>
      <c r="Y958" s="785"/>
      <c r="Z958" s="785"/>
      <c r="AA958" s="797"/>
      <c r="AB958" s="797"/>
      <c r="AC958" s="551"/>
      <c r="AD958" s="551"/>
      <c r="AE958" s="551"/>
      <c r="AF958" s="551"/>
      <c r="AG958" s="551"/>
      <c r="AH958" s="551"/>
      <c r="AI958" s="704"/>
      <c r="AJ958" s="704"/>
      <c r="AK958" s="704"/>
      <c r="AL958" s="704"/>
      <c r="AM958" s="704"/>
      <c r="AN958" s="704"/>
      <c r="AO958" s="704"/>
      <c r="AP958" s="704"/>
      <c r="AQ958" s="704"/>
      <c r="AR958" s="704"/>
      <c r="AS958" s="704"/>
    </row>
    <row r="959" spans="1:45" s="265" customFormat="1" ht="30" customHeight="1" x14ac:dyDescent="0.25">
      <c r="A959" s="1998"/>
      <c r="B959" s="2016"/>
      <c r="C959" s="160" t="s">
        <v>151</v>
      </c>
      <c r="D959" s="881" t="s">
        <v>10</v>
      </c>
      <c r="E959" s="882">
        <v>46261</v>
      </c>
      <c r="F959" s="71">
        <f t="shared" si="609"/>
        <v>25</v>
      </c>
      <c r="G959" s="11">
        <v>12000</v>
      </c>
      <c r="H959" s="12"/>
      <c r="I959" s="12"/>
      <c r="J959" s="1368"/>
      <c r="K959" s="12">
        <f>IFERROR(SUMIF(INTAKE!$A:$A,$T959,INTAKE!$P:$P),0)</f>
        <v>0</v>
      </c>
      <c r="L959" s="1702">
        <f t="shared" si="608"/>
        <v>12000</v>
      </c>
      <c r="M959" s="101"/>
      <c r="N959" s="369"/>
      <c r="O959" s="101"/>
      <c r="P959" s="738"/>
      <c r="Q959" s="795"/>
      <c r="R959" s="785">
        <f>IFERROR(VLOOKUP($Q959,'391'!$S:$Z,8,0),"")</f>
        <v>0</v>
      </c>
      <c r="S959" s="796"/>
      <c r="T959" s="797" t="str">
        <f t="shared" si="610"/>
        <v>Acid Lac Premium Liquip (Singapore)B15.146261</v>
      </c>
      <c r="U959" s="797"/>
      <c r="V959" s="797"/>
      <c r="W959" s="785">
        <f>IFERROR(VLOOKUP($Q959,'391'!$S:$AG,15,0),0)</f>
        <v>0</v>
      </c>
      <c r="X959" s="1090">
        <f t="shared" si="592"/>
        <v>12000</v>
      </c>
      <c r="Y959" s="785"/>
      <c r="Z959" s="785"/>
      <c r="AA959" s="797"/>
      <c r="AB959" s="797"/>
      <c r="AC959" s="551"/>
      <c r="AD959" s="551"/>
      <c r="AE959" s="551"/>
      <c r="AF959" s="551"/>
      <c r="AG959" s="551"/>
      <c r="AH959" s="551"/>
      <c r="AI959" s="704"/>
      <c r="AJ959" s="704"/>
      <c r="AK959" s="704"/>
      <c r="AL959" s="704"/>
      <c r="AM959" s="704"/>
      <c r="AN959" s="704"/>
      <c r="AO959" s="704"/>
      <c r="AP959" s="704"/>
      <c r="AQ959" s="704"/>
      <c r="AR959" s="704"/>
      <c r="AS959" s="704"/>
    </row>
    <row r="960" spans="1:45" s="265" customFormat="1" ht="30" hidden="1" customHeight="1" x14ac:dyDescent="0.25">
      <c r="A960" s="1998"/>
      <c r="B960" s="2016"/>
      <c r="C960" s="160"/>
      <c r="D960" s="881" t="s">
        <v>10</v>
      </c>
      <c r="E960" s="882">
        <v>46261</v>
      </c>
      <c r="F960" s="71">
        <f t="shared" ref="F960:F962" si="611">$L$7-E960</f>
        <v>25</v>
      </c>
      <c r="G960" s="11">
        <v>0</v>
      </c>
      <c r="H960" s="12"/>
      <c r="I960" s="12"/>
      <c r="J960" s="1368"/>
      <c r="K960" s="12">
        <f>IFERROR(SUMIF(INTAKE!$A:$A,$T960,INTAKE!$P:$P),0)</f>
        <v>0</v>
      </c>
      <c r="L960" s="1702">
        <f t="shared" si="608"/>
        <v>0</v>
      </c>
      <c r="M960" s="101"/>
      <c r="N960" s="920"/>
      <c r="O960" s="101"/>
      <c r="P960" s="738"/>
      <c r="Q960" s="795"/>
      <c r="R960" s="785">
        <f>IFERROR(VLOOKUP($Q960,'391'!$S:$Z,8,0),"")</f>
        <v>0</v>
      </c>
      <c r="S960" s="796"/>
      <c r="T960" s="797" t="str">
        <f t="shared" si="610"/>
        <v>Acid Lac Premium Liquip (Singapore)46261</v>
      </c>
      <c r="U960" s="797"/>
      <c r="V960" s="797"/>
      <c r="W960" s="785">
        <f>IFERROR(VLOOKUP($Q960,'391'!$S:$AG,15,0),0)</f>
        <v>0</v>
      </c>
      <c r="X960" s="1090">
        <f t="shared" si="592"/>
        <v>0</v>
      </c>
      <c r="Y960" s="785"/>
      <c r="Z960" s="785"/>
      <c r="AA960" s="797"/>
      <c r="AB960" s="797"/>
      <c r="AC960" s="551"/>
      <c r="AD960" s="551"/>
      <c r="AE960" s="551"/>
      <c r="AF960" s="551"/>
      <c r="AG960" s="551"/>
      <c r="AH960" s="551"/>
      <c r="AI960" s="704"/>
      <c r="AJ960" s="704"/>
      <c r="AK960" s="704"/>
      <c r="AL960" s="704"/>
      <c r="AM960" s="704"/>
      <c r="AN960" s="704"/>
      <c r="AO960" s="704"/>
      <c r="AP960" s="704"/>
      <c r="AQ960" s="704"/>
      <c r="AR960" s="704"/>
      <c r="AS960" s="704"/>
    </row>
    <row r="961" spans="1:45" s="265" customFormat="1" ht="30" hidden="1" customHeight="1" x14ac:dyDescent="0.25">
      <c r="A961" s="1998"/>
      <c r="B961" s="2017"/>
      <c r="C961" s="160"/>
      <c r="D961" s="881" t="s">
        <v>10</v>
      </c>
      <c r="E961" s="882">
        <v>46058</v>
      </c>
      <c r="F961" s="71">
        <f t="shared" si="611"/>
        <v>228</v>
      </c>
      <c r="G961" s="11">
        <v>0</v>
      </c>
      <c r="H961" s="12"/>
      <c r="I961" s="12"/>
      <c r="J961" s="1368"/>
      <c r="K961" s="12">
        <f>IFERROR(SUMIF(INTAKE!$A:$A,$T961,INTAKE!$P:$P),0)</f>
        <v>0</v>
      </c>
      <c r="L961" s="1702">
        <f t="shared" si="608"/>
        <v>0</v>
      </c>
      <c r="M961" s="101"/>
      <c r="N961" s="1460"/>
      <c r="O961" s="101"/>
      <c r="P961" s="738"/>
      <c r="Q961" s="795"/>
      <c r="R961" s="785">
        <f>IFERROR(VLOOKUP($Q961,'391'!$S:$Z,8,0),"")</f>
        <v>0</v>
      </c>
      <c r="S961" s="796"/>
      <c r="T961" s="797" t="str">
        <f t="shared" si="610"/>
        <v>Acid Lac Premium Liquip (Singapore)46058</v>
      </c>
      <c r="U961" s="797"/>
      <c r="V961" s="797"/>
      <c r="W961" s="785">
        <f>IFERROR(VLOOKUP($Q961,'391'!$S:$AG,15,0),0)</f>
        <v>0</v>
      </c>
      <c r="X961" s="1090">
        <f t="shared" si="592"/>
        <v>0</v>
      </c>
      <c r="Y961" s="785"/>
      <c r="Z961" s="785"/>
      <c r="AA961" s="797"/>
      <c r="AB961" s="797"/>
      <c r="AC961" s="551"/>
      <c r="AD961" s="551"/>
      <c r="AE961" s="551"/>
      <c r="AF961" s="551"/>
      <c r="AG961" s="551"/>
      <c r="AH961" s="551"/>
      <c r="AI961" s="704"/>
      <c r="AJ961" s="704"/>
      <c r="AK961" s="704"/>
      <c r="AL961" s="704"/>
      <c r="AM961" s="704"/>
      <c r="AN961" s="704"/>
      <c r="AO961" s="704"/>
      <c r="AP961" s="704"/>
      <c r="AQ961" s="704"/>
      <c r="AR961" s="704"/>
      <c r="AS961" s="704"/>
    </row>
    <row r="962" spans="1:45" s="265" customFormat="1" ht="30" customHeight="1" x14ac:dyDescent="0.25">
      <c r="A962" s="1998"/>
      <c r="B962" s="2016"/>
      <c r="C962" s="151" t="s">
        <v>497</v>
      </c>
      <c r="D962" s="985" t="s">
        <v>10</v>
      </c>
      <c r="E962" s="853">
        <v>46261</v>
      </c>
      <c r="F962" s="856">
        <f t="shared" si="611"/>
        <v>25</v>
      </c>
      <c r="G962" s="56">
        <v>27253.9</v>
      </c>
      <c r="H962" s="56"/>
      <c r="I962" s="56">
        <f>SUM(K957:K961)</f>
        <v>0</v>
      </c>
      <c r="J962" s="1369">
        <f>+usage!I96</f>
        <v>356.4</v>
      </c>
      <c r="K962" s="12">
        <f>IFERROR(SUMIF(INTAKE!$A:$A,$T962,INTAKE!$P:$P),0)</f>
        <v>0</v>
      </c>
      <c r="L962" s="1533">
        <f t="shared" si="608"/>
        <v>26897.5</v>
      </c>
      <c r="M962" s="369"/>
      <c r="N962" s="369"/>
      <c r="O962" s="369"/>
      <c r="P962" s="738"/>
      <c r="Q962" s="795"/>
      <c r="R962" s="785">
        <f>IFERROR(VLOOKUP($Q962,'391'!$S:$Z,8,0),"")</f>
        <v>0</v>
      </c>
      <c r="S962" s="796"/>
      <c r="T962" s="797" t="str">
        <f t="shared" si="610"/>
        <v>Acid Lac Premium Liquip (Singapore)LA146261</v>
      </c>
      <c r="U962" s="797"/>
      <c r="V962" s="797"/>
      <c r="W962" s="785">
        <f>IFERROR(VLOOKUP($Q962,'391'!$S:$AG,15,0),0)</f>
        <v>0</v>
      </c>
      <c r="X962" s="1090">
        <f t="shared" si="592"/>
        <v>27253.9</v>
      </c>
      <c r="Y962" s="785"/>
      <c r="Z962" s="785"/>
      <c r="AA962" s="797"/>
      <c r="AB962" s="797"/>
      <c r="AC962" s="551"/>
      <c r="AD962" s="551"/>
      <c r="AE962" s="551"/>
      <c r="AF962" s="551"/>
      <c r="AG962" s="551"/>
      <c r="AH962" s="551"/>
      <c r="AI962" s="704"/>
      <c r="AJ962" s="704"/>
      <c r="AK962" s="704"/>
      <c r="AL962" s="704"/>
      <c r="AM962" s="704"/>
      <c r="AN962" s="704"/>
      <c r="AO962" s="704"/>
      <c r="AP962" s="704"/>
      <c r="AQ962" s="704"/>
      <c r="AR962" s="704"/>
      <c r="AS962" s="704"/>
    </row>
    <row r="963" spans="1:45" s="265" customFormat="1" ht="30" customHeight="1" x14ac:dyDescent="0.25">
      <c r="A963" s="2019" t="s">
        <v>498</v>
      </c>
      <c r="B963" s="2020"/>
      <c r="C963" s="88"/>
      <c r="D963" s="864"/>
      <c r="E963" s="864"/>
      <c r="F963" s="865"/>
      <c r="G963" s="1297">
        <v>39253.9</v>
      </c>
      <c r="H963" s="1297">
        <f>+SUM(H957:H962)</f>
        <v>0</v>
      </c>
      <c r="I963" s="1297">
        <f t="shared" ref="I963:L963" si="612">+SUM(I957:I962)</f>
        <v>0</v>
      </c>
      <c r="J963" s="1297">
        <f t="shared" si="612"/>
        <v>356.4</v>
      </c>
      <c r="K963" s="1297">
        <f t="shared" si="612"/>
        <v>0</v>
      </c>
      <c r="L963" s="1297">
        <f t="shared" si="612"/>
        <v>38897.5</v>
      </c>
      <c r="M963" s="982">
        <f>IFERROR((R963/$S$2),"")</f>
        <v>932.35</v>
      </c>
      <c r="N963" s="366">
        <f>(L963/M963)</f>
        <v>41.719847696680432</v>
      </c>
      <c r="O963" s="982">
        <f>IFERROR(SUMIF(ETM!$A:$A,$Q963,ETM!$E:$E),"")</f>
        <v>903.50000000000011</v>
      </c>
      <c r="P963" s="855">
        <f>IFERROR(L963/O963,0)</f>
        <v>43.052019922523513</v>
      </c>
      <c r="Q963" s="814" t="s">
        <v>496</v>
      </c>
      <c r="R963" s="785">
        <f>IFERROR(VLOOKUP($Q963,'391'!$S:$Z,8,0),"")</f>
        <v>5594.1</v>
      </c>
      <c r="S963" s="796"/>
      <c r="T963" s="797"/>
      <c r="U963" s="797"/>
      <c r="V963" s="797"/>
      <c r="W963" s="785">
        <f>IFERROR(VLOOKUP($Q963,'391'!$S:$AG,15,0),0)</f>
        <v>39253.9</v>
      </c>
      <c r="X963" s="1090">
        <f t="shared" si="592"/>
        <v>0</v>
      </c>
      <c r="Y963" s="785"/>
      <c r="Z963" s="785"/>
      <c r="AA963" s="797"/>
      <c r="AB963" s="797"/>
      <c r="AC963" s="551"/>
      <c r="AD963" s="551"/>
      <c r="AE963" s="551"/>
      <c r="AF963" s="551"/>
      <c r="AG963" s="551"/>
      <c r="AH963" s="551"/>
      <c r="AI963" s="704"/>
      <c r="AJ963" s="704"/>
      <c r="AK963" s="704"/>
      <c r="AL963" s="704"/>
      <c r="AM963" s="704"/>
      <c r="AN963" s="704"/>
      <c r="AO963" s="704"/>
      <c r="AP963" s="704"/>
      <c r="AQ963" s="704"/>
      <c r="AR963" s="704"/>
      <c r="AS963" s="704"/>
    </row>
    <row r="964" spans="1:45" s="405" customFormat="1" ht="7.5" hidden="1" customHeight="1" x14ac:dyDescent="0.25">
      <c r="A964" s="2063">
        <f>IF(L969=0,"",MAX($A$16:A963)+1)</f>
        <v>62</v>
      </c>
      <c r="B964" s="2008" t="s">
        <v>545</v>
      </c>
      <c r="C964" s="1141"/>
      <c r="D964" s="959" t="s">
        <v>10</v>
      </c>
      <c r="E964" s="961">
        <v>45798</v>
      </c>
      <c r="F964" s="74">
        <f>$L$7-E964</f>
        <v>488</v>
      </c>
      <c r="G964" s="63">
        <v>0</v>
      </c>
      <c r="H964" s="64"/>
      <c r="I964" s="64"/>
      <c r="J964" s="1367"/>
      <c r="K964" s="64">
        <f>IFERROR(SUMIF(INTAKE!$A:$A,$T964,INTAKE!$P:$P),0)</f>
        <v>0</v>
      </c>
      <c r="L964" s="1702">
        <f>+G964+H964+I964-J964-K964</f>
        <v>0</v>
      </c>
      <c r="M964" s="137"/>
      <c r="N964" s="920"/>
      <c r="O964" s="137"/>
      <c r="P964" s="744"/>
      <c r="Q964" s="795"/>
      <c r="R964" s="785">
        <f>IFERROR(VLOOKUP($Q964,'391'!$S:$Z,8,0),"")</f>
        <v>0</v>
      </c>
      <c r="S964" s="796"/>
      <c r="T964" s="797" t="str">
        <f>$Q$969&amp;C964&amp;E964</f>
        <v>Phytocee Powder (India)45798</v>
      </c>
      <c r="U964" s="797"/>
      <c r="V964" s="797"/>
      <c r="W964" s="785">
        <f>IFERROR(VLOOKUP($Q964,'391'!$S:$AG,15,0),0)</f>
        <v>0</v>
      </c>
      <c r="X964" s="1090">
        <f t="shared" si="592"/>
        <v>0</v>
      </c>
      <c r="Y964" s="785"/>
      <c r="Z964" s="785"/>
      <c r="AA964" s="797"/>
      <c r="AB964" s="797"/>
      <c r="AC964" s="683"/>
      <c r="AD964" s="683"/>
      <c r="AE964" s="683"/>
      <c r="AF964" s="683"/>
      <c r="AG964" s="683"/>
      <c r="AH964" s="683"/>
      <c r="AI964" s="705"/>
      <c r="AJ964" s="705"/>
      <c r="AK964" s="705"/>
      <c r="AL964" s="705"/>
      <c r="AM964" s="705"/>
      <c r="AN964" s="705"/>
      <c r="AO964" s="705"/>
      <c r="AP964" s="705"/>
      <c r="AQ964" s="705"/>
      <c r="AR964" s="705"/>
      <c r="AS964" s="705"/>
    </row>
    <row r="965" spans="1:45" s="405" customFormat="1" ht="30" hidden="1" customHeight="1" x14ac:dyDescent="0.25">
      <c r="A965" s="2078"/>
      <c r="B965" s="2200"/>
      <c r="C965" s="1141"/>
      <c r="D965" s="959" t="s">
        <v>10</v>
      </c>
      <c r="E965" s="961">
        <v>45973</v>
      </c>
      <c r="F965" s="74">
        <f>$L$7-E965</f>
        <v>313</v>
      </c>
      <c r="G965" s="63">
        <v>0</v>
      </c>
      <c r="H965" s="64"/>
      <c r="I965" s="64"/>
      <c r="J965" s="1367"/>
      <c r="K965" s="64">
        <f>IFERROR(SUMIF(INTAKE!$A:$A,$T965,INTAKE!$P:$P),0)</f>
        <v>0</v>
      </c>
      <c r="L965" s="1702">
        <f>+G965+H965+I965-J965-K965</f>
        <v>0</v>
      </c>
      <c r="M965" s="172"/>
      <c r="N965" s="848"/>
      <c r="O965" s="172"/>
      <c r="P965" s="738"/>
      <c r="Q965" s="795"/>
      <c r="R965" s="785">
        <f>IFERROR(VLOOKUP($Q965,'391'!$S:$Z,8,0),"")</f>
        <v>0</v>
      </c>
      <c r="S965" s="796"/>
      <c r="T965" s="797" t="str">
        <f>$Q$969&amp;C965&amp;E965</f>
        <v>Phytocee Powder (India)45973</v>
      </c>
      <c r="U965" s="797"/>
      <c r="V965" s="797"/>
      <c r="W965" s="785">
        <f>IFERROR(VLOOKUP($Q965,'391'!$S:$AG,15,0),0)</f>
        <v>0</v>
      </c>
      <c r="X965" s="1090">
        <f t="shared" si="592"/>
        <v>0</v>
      </c>
      <c r="Y965" s="785"/>
      <c r="Z965" s="785"/>
      <c r="AA965" s="797"/>
      <c r="AB965" s="797"/>
      <c r="AC965" s="683"/>
      <c r="AD965" s="683"/>
      <c r="AE965" s="683"/>
      <c r="AF965" s="683"/>
      <c r="AG965" s="683"/>
      <c r="AH965" s="683"/>
      <c r="AI965" s="705"/>
      <c r="AJ965" s="705"/>
      <c r="AK965" s="705"/>
      <c r="AL965" s="705"/>
      <c r="AM965" s="705"/>
      <c r="AN965" s="705"/>
      <c r="AO965" s="705"/>
      <c r="AP965" s="705"/>
      <c r="AQ965" s="705"/>
      <c r="AR965" s="705"/>
      <c r="AS965" s="705"/>
    </row>
    <row r="966" spans="1:45" s="405" customFormat="1" ht="30" customHeight="1" x14ac:dyDescent="0.25">
      <c r="A966" s="2078"/>
      <c r="B966" s="2200"/>
      <c r="C966" s="1141" t="s">
        <v>251</v>
      </c>
      <c r="D966" s="959" t="s">
        <v>10</v>
      </c>
      <c r="E966" s="961">
        <v>46262</v>
      </c>
      <c r="F966" s="74">
        <f>$L$7-E966</f>
        <v>24</v>
      </c>
      <c r="G966" s="63">
        <v>325</v>
      </c>
      <c r="H966" s="64"/>
      <c r="I966" s="64"/>
      <c r="J966" s="1367"/>
      <c r="K966" s="64">
        <f>IFERROR(SUMIF(INTAKE!$A:$A,$T966,INTAKE!$P:$P),0)</f>
        <v>50</v>
      </c>
      <c r="L966" s="1702">
        <f>+G966+H966+I966-J966-K966</f>
        <v>275</v>
      </c>
      <c r="M966" s="172"/>
      <c r="N966" s="848"/>
      <c r="O966" s="172"/>
      <c r="P966" s="738"/>
      <c r="Q966" s="795"/>
      <c r="R966" s="785">
        <f>IFERROR(VLOOKUP($Q966,'391'!$S:$Z,8,0),"")</f>
        <v>0</v>
      </c>
      <c r="S966" s="796"/>
      <c r="T966" s="797" t="str">
        <f>$Q$969&amp;C966&amp;E966</f>
        <v>Phytocee Powder (India)Z7.146262</v>
      </c>
      <c r="U966" s="797"/>
      <c r="V966" s="797"/>
      <c r="W966" s="785">
        <f>IFERROR(VLOOKUP($Q966,'391'!$S:$AG,15,0),0)</f>
        <v>0</v>
      </c>
      <c r="X966" s="1090">
        <f t="shared" si="592"/>
        <v>325</v>
      </c>
      <c r="Y966" s="785"/>
      <c r="Z966" s="785"/>
      <c r="AA966" s="797"/>
      <c r="AB966" s="797"/>
      <c r="AC966" s="683"/>
      <c r="AD966" s="683"/>
      <c r="AE966" s="683"/>
      <c r="AF966" s="683"/>
      <c r="AG966" s="683"/>
      <c r="AH966" s="683"/>
      <c r="AI966" s="705"/>
      <c r="AJ966" s="705"/>
      <c r="AK966" s="705"/>
      <c r="AL966" s="705"/>
      <c r="AM966" s="705"/>
      <c r="AN966" s="705"/>
      <c r="AO966" s="705"/>
      <c r="AP966" s="705"/>
      <c r="AQ966" s="705"/>
      <c r="AR966" s="705"/>
      <c r="AS966" s="705"/>
    </row>
    <row r="967" spans="1:45" s="13" customFormat="1" ht="30" hidden="1" customHeight="1" x14ac:dyDescent="0.25">
      <c r="A967" s="2078"/>
      <c r="B967" s="2200"/>
      <c r="C967" s="1141"/>
      <c r="D967" s="959" t="s">
        <v>10</v>
      </c>
      <c r="E967" s="961">
        <v>46262</v>
      </c>
      <c r="F967" s="74">
        <f>$L$7-E967</f>
        <v>24</v>
      </c>
      <c r="G967" s="63">
        <v>0</v>
      </c>
      <c r="H967" s="64"/>
      <c r="I967" s="64"/>
      <c r="J967" s="1367"/>
      <c r="K967" s="64">
        <f>IFERROR(SUMIF(INTAKE!$A:$A,$T967,INTAKE!$P:$P),0)</f>
        <v>0</v>
      </c>
      <c r="L967" s="1702">
        <f>+G967+H967+I967-J967-K967</f>
        <v>0</v>
      </c>
      <c r="M967" s="48"/>
      <c r="N967" s="163"/>
      <c r="O967" s="48"/>
      <c r="P967" s="738"/>
      <c r="Q967" s="795"/>
      <c r="R967" s="785">
        <f>IFERROR(VLOOKUP($Q967,'391'!$S:$Z,8,0),"")</f>
        <v>0</v>
      </c>
      <c r="S967" s="796"/>
      <c r="T967" s="797" t="str">
        <f>$Q$969&amp;C967&amp;E967</f>
        <v>Phytocee Powder (India)46262</v>
      </c>
      <c r="U967" s="797"/>
      <c r="V967" s="797"/>
      <c r="W967" s="785">
        <f>IFERROR(VLOOKUP($Q967,'391'!$S:$AG,15,0),0)</f>
        <v>0</v>
      </c>
      <c r="X967" s="1090">
        <f t="shared" si="592"/>
        <v>0</v>
      </c>
      <c r="Y967" s="785"/>
      <c r="Z967" s="785"/>
      <c r="AA967" s="797"/>
      <c r="AB967" s="797"/>
      <c r="AC967" s="683"/>
      <c r="AD967" s="683"/>
      <c r="AE967" s="683"/>
      <c r="AF967" s="683"/>
      <c r="AG967" s="683"/>
      <c r="AH967" s="683"/>
      <c r="AI967" s="705"/>
      <c r="AJ967" s="705"/>
      <c r="AK967" s="705"/>
      <c r="AL967" s="705"/>
      <c r="AM967" s="705"/>
      <c r="AN967" s="705"/>
      <c r="AO967" s="705"/>
      <c r="AP967" s="705"/>
      <c r="AQ967" s="705"/>
      <c r="AR967" s="705"/>
      <c r="AS967" s="705"/>
    </row>
    <row r="968" spans="1:45" s="415" customFormat="1" ht="30" customHeight="1" x14ac:dyDescent="0.25">
      <c r="A968" s="2078"/>
      <c r="B968" s="2200"/>
      <c r="C968" s="131" t="s">
        <v>46</v>
      </c>
      <c r="D968" s="875" t="s">
        <v>10</v>
      </c>
      <c r="E968" s="876">
        <v>46262</v>
      </c>
      <c r="F968" s="74">
        <f>$L$7-E968</f>
        <v>24</v>
      </c>
      <c r="G968" s="974">
        <v>65.819999999999965</v>
      </c>
      <c r="H968" s="958"/>
      <c r="I968" s="958">
        <f>+SUM(K964:K967)</f>
        <v>50</v>
      </c>
      <c r="J968" s="1397">
        <f>usage!I155</f>
        <v>38.61</v>
      </c>
      <c r="K968" s="64">
        <f>IFERROR(SUMIF(INTAKE!$A:$A,$T968,INTAKE!$P:$P),0)</f>
        <v>0</v>
      </c>
      <c r="L968" s="1533">
        <f>+G968+H968+I968-J968-K968</f>
        <v>77.209999999999965</v>
      </c>
      <c r="M968" s="136"/>
      <c r="N968" s="848"/>
      <c r="O968" s="136"/>
      <c r="P968" s="740"/>
      <c r="Q968" s="795"/>
      <c r="R968" s="785">
        <f>IFERROR(VLOOKUP($Q968,'391'!$S:$Z,8,0),"")</f>
        <v>0</v>
      </c>
      <c r="S968" s="796"/>
      <c r="T968" s="797" t="str">
        <f>$Q$969&amp;C968&amp;E968</f>
        <v>Phytocee Powder (India)Feedmill46262</v>
      </c>
      <c r="U968" s="797"/>
      <c r="V968" s="797"/>
      <c r="W968" s="785">
        <f>IFERROR(VLOOKUP($Q968,'391'!$S:$AG,15,0),0)</f>
        <v>0</v>
      </c>
      <c r="X968" s="1090">
        <f t="shared" si="592"/>
        <v>65.819999999999965</v>
      </c>
      <c r="Y968" s="785"/>
      <c r="Z968" s="785"/>
      <c r="AA968" s="797"/>
      <c r="AB968" s="797"/>
      <c r="AC968" s="683"/>
      <c r="AD968" s="683"/>
      <c r="AE968" s="683"/>
      <c r="AF968" s="683"/>
      <c r="AG968" s="683"/>
      <c r="AH968" s="683"/>
      <c r="AI968" s="705"/>
      <c r="AJ968" s="705"/>
      <c r="AK968" s="705"/>
      <c r="AL968" s="705"/>
      <c r="AM968" s="705"/>
      <c r="AN968" s="705"/>
      <c r="AO968" s="705"/>
      <c r="AP968" s="705"/>
      <c r="AQ968" s="705"/>
      <c r="AR968" s="705"/>
      <c r="AS968" s="705"/>
    </row>
    <row r="969" spans="1:45" s="265" customFormat="1" ht="30" customHeight="1" x14ac:dyDescent="0.25">
      <c r="A969" s="2019" t="s">
        <v>544</v>
      </c>
      <c r="B969" s="2020"/>
      <c r="C969" s="88"/>
      <c r="D969" s="864"/>
      <c r="E969" s="864"/>
      <c r="F969" s="865"/>
      <c r="G969" s="1297">
        <v>390.81999999999994</v>
      </c>
      <c r="H969" s="1344">
        <f t="shared" ref="H969:I969" si="613">SUM(H964:H968)</f>
        <v>0</v>
      </c>
      <c r="I969" s="1297">
        <f t="shared" si="613"/>
        <v>50</v>
      </c>
      <c r="J969" s="1297">
        <f t="shared" ref="J969:L969" si="614">SUM(J964:J968)</f>
        <v>38.61</v>
      </c>
      <c r="K969" s="1297">
        <f t="shared" si="614"/>
        <v>50</v>
      </c>
      <c r="L969" s="1297">
        <f t="shared" si="614"/>
        <v>352.21</v>
      </c>
      <c r="M969" s="982">
        <f>IFERROR((R969/$S$2),"")</f>
        <v>10.368333333333334</v>
      </c>
      <c r="N969" s="366">
        <f>IFERROR((L969/M969),0)</f>
        <v>33.969779778170711</v>
      </c>
      <c r="O969" s="982">
        <f>IFERROR(SUMIF(ETM!$A:$A,$Q969,ETM!$E:$E),"")</f>
        <v>14.499999999999998</v>
      </c>
      <c r="P969" s="880">
        <f>IFERROR(L969/O969,0)</f>
        <v>24.290344827586207</v>
      </c>
      <c r="Q969" s="814" t="s">
        <v>545</v>
      </c>
      <c r="R969" s="785">
        <f>IFERROR(VLOOKUP($Q969,'391'!$S:$Z,8,0),"")</f>
        <v>62.21</v>
      </c>
      <c r="S969" s="796"/>
      <c r="T969" s="797"/>
      <c r="U969" s="797"/>
      <c r="V969" s="797"/>
      <c r="W969" s="785">
        <f>IFERROR(VLOOKUP($Q969,'391'!$S:$AG,15,0),0)</f>
        <v>390.82</v>
      </c>
      <c r="X969" s="1090">
        <f t="shared" si="592"/>
        <v>0</v>
      </c>
      <c r="Y969" s="785"/>
      <c r="Z969" s="785"/>
      <c r="AA969" s="797"/>
      <c r="AB969" s="797"/>
      <c r="AC969" s="551"/>
      <c r="AD969" s="551"/>
      <c r="AE969" s="551"/>
      <c r="AF969" s="551"/>
      <c r="AG969" s="551"/>
      <c r="AH969" s="551"/>
      <c r="AI969" s="704"/>
      <c r="AJ969" s="704"/>
      <c r="AK969" s="704"/>
      <c r="AL969" s="704"/>
      <c r="AM969" s="704"/>
      <c r="AN969" s="704"/>
      <c r="AO969" s="704"/>
      <c r="AP969" s="704"/>
      <c r="AQ969" s="704"/>
      <c r="AR969" s="704"/>
      <c r="AS969" s="704"/>
    </row>
    <row r="970" spans="1:45" s="405" customFormat="1" ht="30" hidden="1" customHeight="1" x14ac:dyDescent="0.25">
      <c r="A970" s="2063" t="str">
        <f>IF(L975=0,"",MAX($A$16:A969)+1)</f>
        <v/>
      </c>
      <c r="B970" s="2008" t="s">
        <v>1742</v>
      </c>
      <c r="C970" s="1141" t="s">
        <v>273</v>
      </c>
      <c r="D970" s="959" t="s">
        <v>10</v>
      </c>
      <c r="E970" s="961">
        <v>46017</v>
      </c>
      <c r="F970" s="74">
        <f>$L$7-E970</f>
        <v>269</v>
      </c>
      <c r="G970" s="63">
        <v>0</v>
      </c>
      <c r="H970" s="64"/>
      <c r="I970" s="64"/>
      <c r="J970" s="1367"/>
      <c r="K970" s="64">
        <f>IFERROR(SUMIF(INTAKE!$A:$A,$T970,INTAKE!$P:$P),0)</f>
        <v>0</v>
      </c>
      <c r="L970" s="1702">
        <f>+G970+H970+I970-J970-K970</f>
        <v>0</v>
      </c>
      <c r="M970" s="137"/>
      <c r="N970" s="920"/>
      <c r="O970" s="137"/>
      <c r="P970" s="744"/>
      <c r="Q970" s="795"/>
      <c r="R970" s="785">
        <f>IFERROR(VLOOKUP($Q970,'391'!$S:$Z,8,0),"")</f>
        <v>0</v>
      </c>
      <c r="S970" s="796"/>
      <c r="T970" s="797" t="str">
        <f>$Q$975&amp;C970&amp;E970</f>
        <v>Enerzyme (Singapore)A19.546017</v>
      </c>
      <c r="U970" s="797"/>
      <c r="V970" s="797"/>
      <c r="W970" s="785">
        <f>IFERROR(VLOOKUP($Q970,'391'!$S:$AG,15,0),0)</f>
        <v>0</v>
      </c>
      <c r="X970" s="1090">
        <f t="shared" ref="X970:X975" si="615">G970-W970</f>
        <v>0</v>
      </c>
      <c r="Y970" s="785"/>
      <c r="Z970" s="785"/>
      <c r="AA970" s="797"/>
      <c r="AB970" s="797"/>
      <c r="AC970" s="683"/>
      <c r="AD970" s="683"/>
      <c r="AE970" s="683"/>
      <c r="AF970" s="683"/>
      <c r="AG970" s="683"/>
      <c r="AH970" s="683"/>
      <c r="AI970" s="705"/>
      <c r="AJ970" s="705"/>
      <c r="AK970" s="705"/>
      <c r="AL970" s="705"/>
      <c r="AM970" s="705"/>
      <c r="AN970" s="705"/>
      <c r="AO970" s="705"/>
      <c r="AP970" s="705"/>
      <c r="AQ970" s="705"/>
      <c r="AR970" s="705"/>
      <c r="AS970" s="705"/>
    </row>
    <row r="971" spans="1:45" s="405" customFormat="1" ht="30" hidden="1" customHeight="1" x14ac:dyDescent="0.25">
      <c r="A971" s="2078"/>
      <c r="B971" s="2200"/>
      <c r="C971" s="1141"/>
      <c r="D971" s="959" t="s">
        <v>10</v>
      </c>
      <c r="E971" s="961"/>
      <c r="F971" s="74">
        <f>$L$7-E971</f>
        <v>46286</v>
      </c>
      <c r="G971" s="63">
        <v>0</v>
      </c>
      <c r="H971" s="64"/>
      <c r="I971" s="64"/>
      <c r="J971" s="1367"/>
      <c r="K971" s="64">
        <f>IFERROR(SUMIF(INTAKE!$A:$A,$T971,INTAKE!$P:$P),0)</f>
        <v>0</v>
      </c>
      <c r="L971" s="1702">
        <f>+G971+H971+I971-J971-K971</f>
        <v>0</v>
      </c>
      <c r="M971" s="172"/>
      <c r="N971" s="848"/>
      <c r="O971" s="172"/>
      <c r="P971" s="738"/>
      <c r="Q971" s="795"/>
      <c r="R971" s="785">
        <f>IFERROR(VLOOKUP($Q971,'391'!$S:$Z,8,0),"")</f>
        <v>0</v>
      </c>
      <c r="S971" s="796"/>
      <c r="T971" s="797" t="str">
        <f t="shared" ref="T971:T974" si="616">$Q$975&amp;C971&amp;E971</f>
        <v>Enerzyme (Singapore)</v>
      </c>
      <c r="U971" s="797"/>
      <c r="V971" s="797"/>
      <c r="W971" s="785">
        <f>IFERROR(VLOOKUP($Q971,'391'!$S:$AG,15,0),0)</f>
        <v>0</v>
      </c>
      <c r="X971" s="1090">
        <f t="shared" si="615"/>
        <v>0</v>
      </c>
      <c r="Y971" s="785"/>
      <c r="Z971" s="785"/>
      <c r="AA971" s="797"/>
      <c r="AB971" s="797"/>
      <c r="AC971" s="683"/>
      <c r="AD971" s="683"/>
      <c r="AE971" s="683"/>
      <c r="AF971" s="683"/>
      <c r="AG971" s="683"/>
      <c r="AH971" s="683"/>
      <c r="AI971" s="705"/>
      <c r="AJ971" s="705"/>
      <c r="AK971" s="705"/>
      <c r="AL971" s="705"/>
      <c r="AM971" s="705"/>
      <c r="AN971" s="705"/>
      <c r="AO971" s="705"/>
      <c r="AP971" s="705"/>
      <c r="AQ971" s="705"/>
      <c r="AR971" s="705"/>
      <c r="AS971" s="705"/>
    </row>
    <row r="972" spans="1:45" s="405" customFormat="1" ht="30" hidden="1" customHeight="1" x14ac:dyDescent="0.25">
      <c r="A972" s="2078"/>
      <c r="B972" s="2200"/>
      <c r="C972" s="1141"/>
      <c r="D972" s="959" t="s">
        <v>10</v>
      </c>
      <c r="E972" s="961"/>
      <c r="F972" s="74">
        <f>$L$7-E972</f>
        <v>46286</v>
      </c>
      <c r="G972" s="63">
        <v>0</v>
      </c>
      <c r="H972" s="64"/>
      <c r="I972" s="64"/>
      <c r="J972" s="1367"/>
      <c r="K972" s="64">
        <f>IFERROR(SUMIF(INTAKE!$A:$A,$T972,INTAKE!$P:$P),0)</f>
        <v>0</v>
      </c>
      <c r="L972" s="1533">
        <f>+G972+H972+I972-J972-K972</f>
        <v>0</v>
      </c>
      <c r="M972" s="172"/>
      <c r="N972" s="848"/>
      <c r="O972" s="172"/>
      <c r="P972" s="738"/>
      <c r="Q972" s="795"/>
      <c r="R972" s="785">
        <f>IFERROR(VLOOKUP($Q972,'391'!$S:$Z,8,0),"")</f>
        <v>0</v>
      </c>
      <c r="S972" s="796"/>
      <c r="T972" s="797" t="str">
        <f t="shared" si="616"/>
        <v>Enerzyme (Singapore)</v>
      </c>
      <c r="U972" s="797"/>
      <c r="V972" s="797"/>
      <c r="W972" s="785">
        <f>IFERROR(VLOOKUP($Q972,'391'!$S:$AG,15,0),0)</f>
        <v>0</v>
      </c>
      <c r="X972" s="1090">
        <f t="shared" si="615"/>
        <v>0</v>
      </c>
      <c r="Y972" s="785"/>
      <c r="Z972" s="785"/>
      <c r="AA972" s="797"/>
      <c r="AB972" s="797"/>
      <c r="AC972" s="683"/>
      <c r="AD972" s="683"/>
      <c r="AE972" s="683"/>
      <c r="AF972" s="683"/>
      <c r="AG972" s="683"/>
      <c r="AH972" s="683"/>
      <c r="AI972" s="705"/>
      <c r="AJ972" s="705"/>
      <c r="AK972" s="705"/>
      <c r="AL972" s="705"/>
      <c r="AM972" s="705"/>
      <c r="AN972" s="705"/>
      <c r="AO972" s="705"/>
      <c r="AP972" s="705"/>
      <c r="AQ972" s="705"/>
      <c r="AR972" s="705"/>
      <c r="AS972" s="705"/>
    </row>
    <row r="973" spans="1:45" s="13" customFormat="1" ht="30" hidden="1" customHeight="1" x14ac:dyDescent="0.25">
      <c r="A973" s="2078"/>
      <c r="B973" s="2200"/>
      <c r="C973" s="1141"/>
      <c r="D973" s="959" t="s">
        <v>10</v>
      </c>
      <c r="E973" s="961"/>
      <c r="F973" s="74">
        <f>$L$7-E973</f>
        <v>46286</v>
      </c>
      <c r="G973" s="63">
        <v>0</v>
      </c>
      <c r="H973" s="64"/>
      <c r="I973" s="64"/>
      <c r="J973" s="1367"/>
      <c r="K973" s="64">
        <f>IFERROR(SUMIF(INTAKE!$A:$A,$T973,INTAKE!$P:$P),0)</f>
        <v>0</v>
      </c>
      <c r="L973" s="1533">
        <f>+G973+H973+I973-J973-K973</f>
        <v>0</v>
      </c>
      <c r="M973" s="48"/>
      <c r="N973" s="163"/>
      <c r="O973" s="48"/>
      <c r="P973" s="738"/>
      <c r="Q973" s="795"/>
      <c r="R973" s="785">
        <f>IFERROR(VLOOKUP($Q973,'391'!$S:$Z,8,0),"")</f>
        <v>0</v>
      </c>
      <c r="S973" s="796"/>
      <c r="T973" s="797" t="str">
        <f t="shared" si="616"/>
        <v>Enerzyme (Singapore)</v>
      </c>
      <c r="U973" s="797"/>
      <c r="V973" s="797"/>
      <c r="W973" s="785">
        <f>IFERROR(VLOOKUP($Q973,'391'!$S:$AG,15,0),0)</f>
        <v>0</v>
      </c>
      <c r="X973" s="1090">
        <f t="shared" si="615"/>
        <v>0</v>
      </c>
      <c r="Y973" s="785"/>
      <c r="Z973" s="785"/>
      <c r="AA973" s="797"/>
      <c r="AB973" s="797"/>
      <c r="AC973" s="683"/>
      <c r="AD973" s="683"/>
      <c r="AE973" s="683"/>
      <c r="AF973" s="683"/>
      <c r="AG973" s="683"/>
      <c r="AH973" s="683"/>
      <c r="AI973" s="705"/>
      <c r="AJ973" s="705"/>
      <c r="AK973" s="705"/>
      <c r="AL973" s="705"/>
      <c r="AM973" s="705"/>
      <c r="AN973" s="705"/>
      <c r="AO973" s="705"/>
      <c r="AP973" s="705"/>
      <c r="AQ973" s="705"/>
      <c r="AR973" s="705"/>
      <c r="AS973" s="705"/>
    </row>
    <row r="974" spans="1:45" s="415" customFormat="1" ht="30" hidden="1" customHeight="1" x14ac:dyDescent="0.25">
      <c r="A974" s="2078"/>
      <c r="B974" s="2200"/>
      <c r="C974" s="131" t="s">
        <v>46</v>
      </c>
      <c r="D974" s="875" t="s">
        <v>10</v>
      </c>
      <c r="E974" s="876">
        <v>46017</v>
      </c>
      <c r="F974" s="74">
        <f>$L$7-E974</f>
        <v>269</v>
      </c>
      <c r="G974" s="974">
        <v>0</v>
      </c>
      <c r="H974" s="958"/>
      <c r="I974" s="958">
        <f>+SUM(K970:K971)</f>
        <v>0</v>
      </c>
      <c r="J974" s="1397">
        <f>usage!I208</f>
        <v>0</v>
      </c>
      <c r="K974" s="64">
        <f>IFERROR(SUMIF(INTAKE!$A:$A,$T974,INTAKE!$P:$P),0)</f>
        <v>0</v>
      </c>
      <c r="L974" s="1533">
        <f>+G974+H974+I974-J974-K974</f>
        <v>0</v>
      </c>
      <c r="M974" s="136"/>
      <c r="N974" s="848"/>
      <c r="O974" s="136"/>
      <c r="P974" s="740"/>
      <c r="Q974" s="795"/>
      <c r="R974" s="785">
        <f>IFERROR(VLOOKUP($Q974,'391'!$S:$Z,8,0),"")</f>
        <v>0</v>
      </c>
      <c r="S974" s="796"/>
      <c r="T974" s="797" t="str">
        <f t="shared" si="616"/>
        <v>Enerzyme (Singapore)Feedmill46017</v>
      </c>
      <c r="U974" s="797"/>
      <c r="V974" s="797"/>
      <c r="W974" s="785">
        <f>IFERROR(VLOOKUP($Q974,'391'!$S:$AG,15,0),0)</f>
        <v>0</v>
      </c>
      <c r="X974" s="1090">
        <f t="shared" si="615"/>
        <v>0</v>
      </c>
      <c r="Y974" s="785"/>
      <c r="Z974" s="785"/>
      <c r="AA974" s="797"/>
      <c r="AB974" s="797"/>
      <c r="AC974" s="683"/>
      <c r="AD974" s="683"/>
      <c r="AE974" s="683"/>
      <c r="AF974" s="683"/>
      <c r="AG974" s="683"/>
      <c r="AH974" s="683"/>
      <c r="AI974" s="705"/>
      <c r="AJ974" s="705"/>
      <c r="AK974" s="705"/>
      <c r="AL974" s="705"/>
      <c r="AM974" s="705"/>
      <c r="AN974" s="705"/>
      <c r="AO974" s="705"/>
      <c r="AP974" s="705"/>
      <c r="AQ974" s="705"/>
      <c r="AR974" s="705"/>
      <c r="AS974" s="705"/>
    </row>
    <row r="975" spans="1:45" s="265" customFormat="1" ht="30" hidden="1" customHeight="1" x14ac:dyDescent="0.25">
      <c r="A975" s="2019" t="s">
        <v>1720</v>
      </c>
      <c r="B975" s="2020"/>
      <c r="C975" s="88"/>
      <c r="D975" s="864"/>
      <c r="E975" s="864"/>
      <c r="F975" s="865"/>
      <c r="G975" s="1297">
        <v>0</v>
      </c>
      <c r="H975" s="1344">
        <f t="shared" ref="H975:I975" si="617">SUM(H970:H974)</f>
        <v>0</v>
      </c>
      <c r="I975" s="1297">
        <f t="shared" si="617"/>
        <v>0</v>
      </c>
      <c r="J975" s="1297">
        <f t="shared" ref="J975:L975" si="618">SUM(J970:J974)</f>
        <v>0</v>
      </c>
      <c r="K975" s="1297">
        <f t="shared" si="618"/>
        <v>0</v>
      </c>
      <c r="L975" s="1297">
        <f t="shared" si="618"/>
        <v>0</v>
      </c>
      <c r="M975" s="982" t="str">
        <f>IFERROR((R975/$S$2),"")</f>
        <v/>
      </c>
      <c r="N975" s="366">
        <f>IFERROR((L975/M975),0)</f>
        <v>0</v>
      </c>
      <c r="O975" s="982">
        <f>IFERROR(SUMIF(ETM!$A:$A,$Q975,ETM!$E:$E),"")</f>
        <v>0</v>
      </c>
      <c r="P975" s="880">
        <f>IFERROR(L975/O975,0)</f>
        <v>0</v>
      </c>
      <c r="Q975" s="666" t="s">
        <v>1718</v>
      </c>
      <c r="R975" s="785" t="str">
        <f>IFERROR(VLOOKUP($Q975,'391'!$S:$Z,8,0),"")</f>
        <v/>
      </c>
      <c r="S975" s="796"/>
      <c r="T975" s="797"/>
      <c r="U975" s="797"/>
      <c r="V975" s="797"/>
      <c r="W975" s="785">
        <f>IFERROR(VLOOKUP($Q975,'391'!$S:$AG,15,0),0)</f>
        <v>0</v>
      </c>
      <c r="X975" s="1090">
        <f t="shared" si="615"/>
        <v>0</v>
      </c>
      <c r="Y975" s="785"/>
      <c r="Z975" s="785"/>
      <c r="AA975" s="797"/>
      <c r="AB975" s="797"/>
      <c r="AC975" s="551"/>
      <c r="AD975" s="551"/>
      <c r="AE975" s="551"/>
      <c r="AF975" s="551"/>
      <c r="AG975" s="551"/>
      <c r="AH975" s="551"/>
      <c r="AI975" s="704"/>
      <c r="AJ975" s="704"/>
      <c r="AK975" s="704"/>
      <c r="AL975" s="704"/>
      <c r="AM975" s="704"/>
      <c r="AN975" s="704"/>
      <c r="AO975" s="704"/>
      <c r="AP975" s="704"/>
      <c r="AQ975" s="704"/>
      <c r="AR975" s="704"/>
      <c r="AS975" s="704"/>
    </row>
    <row r="976" spans="1:45" s="405" customFormat="1" ht="30" customHeight="1" x14ac:dyDescent="0.25">
      <c r="A976" s="2063">
        <f>IF(L981=0,"",MAX($A$16:A975)+1)</f>
        <v>63</v>
      </c>
      <c r="B976" s="2008" t="s">
        <v>1665</v>
      </c>
      <c r="C976" s="1141" t="s">
        <v>324</v>
      </c>
      <c r="D976" s="959" t="s">
        <v>10</v>
      </c>
      <c r="E976" s="961">
        <v>46261</v>
      </c>
      <c r="F976" s="74">
        <f>$L$7-E976</f>
        <v>25</v>
      </c>
      <c r="G976" s="63">
        <v>1875</v>
      </c>
      <c r="H976" s="64"/>
      <c r="I976" s="64"/>
      <c r="J976" s="1367"/>
      <c r="K976" s="64">
        <f>IFERROR(SUMIF(INTAKE!$A:$A,$T976,INTAKE!$P:$P),0)</f>
        <v>175</v>
      </c>
      <c r="L976" s="1702">
        <f>+G976+H976+I976-J976-K976</f>
        <v>1700</v>
      </c>
      <c r="M976" s="137"/>
      <c r="N976" s="920"/>
      <c r="O976" s="137"/>
      <c r="P976" s="744"/>
      <c r="Q976" s="795"/>
      <c r="R976" s="785">
        <f>IFERROR(VLOOKUP($Q976,'391'!$S:$Z,8,0),"")</f>
        <v>0</v>
      </c>
      <c r="S976" s="796"/>
      <c r="T976" s="797" t="str">
        <f>$Q$981&amp;C976&amp;E976</f>
        <v>ROVABIO ADVANCE T-FLEX 25(SG)A19.446261</v>
      </c>
      <c r="U976" s="797"/>
      <c r="V976" s="797"/>
      <c r="W976" s="785">
        <f>IFERROR(VLOOKUP($Q976,'391'!$S:$AG,15,0),0)</f>
        <v>0</v>
      </c>
      <c r="X976" s="1090">
        <f t="shared" ref="X976:X981" si="619">G976-W976</f>
        <v>1875</v>
      </c>
      <c r="Y976" s="785"/>
      <c r="Z976" s="785"/>
      <c r="AA976" s="797"/>
      <c r="AB976" s="797"/>
      <c r="AC976" s="683"/>
      <c r="AD976" s="683"/>
      <c r="AE976" s="683"/>
      <c r="AF976" s="683"/>
      <c r="AG976" s="683"/>
      <c r="AH976" s="683"/>
      <c r="AI976" s="705"/>
      <c r="AJ976" s="705"/>
      <c r="AK976" s="705"/>
      <c r="AL976" s="705"/>
      <c r="AM976" s="705"/>
      <c r="AN976" s="705"/>
      <c r="AO976" s="705"/>
      <c r="AP976" s="705"/>
      <c r="AQ976" s="705"/>
      <c r="AR976" s="705"/>
      <c r="AS976" s="705"/>
    </row>
    <row r="977" spans="1:45" s="405" customFormat="1" ht="30" hidden="1" customHeight="1" x14ac:dyDescent="0.25">
      <c r="A977" s="2078"/>
      <c r="B977" s="2200"/>
      <c r="C977" s="1141"/>
      <c r="D977" s="959" t="s">
        <v>10</v>
      </c>
      <c r="E977" s="961">
        <v>46261</v>
      </c>
      <c r="F977" s="74">
        <f>$L$7-E977</f>
        <v>25</v>
      </c>
      <c r="G977" s="63">
        <v>0</v>
      </c>
      <c r="H977" s="64"/>
      <c r="I977" s="64"/>
      <c r="J977" s="1367"/>
      <c r="K977" s="64">
        <f>IFERROR(SUMIF(INTAKE!$A:$A,$T977,INTAKE!$P:$P),0)</f>
        <v>0</v>
      </c>
      <c r="L977" s="1702">
        <f>+G977+H977+I977-J977-K977</f>
        <v>0</v>
      </c>
      <c r="M977" s="172"/>
      <c r="N977" s="848"/>
      <c r="O977" s="172"/>
      <c r="P977" s="738"/>
      <c r="Q977" s="795"/>
      <c r="R977" s="785">
        <f>IFERROR(VLOOKUP($Q977,'391'!$S:$Z,8,0),"")</f>
        <v>0</v>
      </c>
      <c r="S977" s="796"/>
      <c r="T977" s="797" t="str">
        <f t="shared" ref="T977:T980" si="620">$Q$981&amp;C977&amp;E977</f>
        <v>ROVABIO ADVANCE T-FLEX 25(SG)46261</v>
      </c>
      <c r="U977" s="797"/>
      <c r="V977" s="797"/>
      <c r="W977" s="785">
        <f>IFERROR(VLOOKUP($Q977,'391'!$S:$AG,15,0),0)</f>
        <v>0</v>
      </c>
      <c r="X977" s="1090">
        <f t="shared" si="619"/>
        <v>0</v>
      </c>
      <c r="Y977" s="785"/>
      <c r="Z977" s="785"/>
      <c r="AA977" s="797"/>
      <c r="AB977" s="797"/>
      <c r="AC977" s="683"/>
      <c r="AD977" s="683"/>
      <c r="AE977" s="683"/>
      <c r="AF977" s="683"/>
      <c r="AG977" s="683"/>
      <c r="AH977" s="683"/>
      <c r="AI977" s="705"/>
      <c r="AJ977" s="705"/>
      <c r="AK977" s="705"/>
      <c r="AL977" s="705"/>
      <c r="AM977" s="705"/>
      <c r="AN977" s="705"/>
      <c r="AO977" s="705"/>
      <c r="AP977" s="705"/>
      <c r="AQ977" s="705"/>
      <c r="AR977" s="705"/>
      <c r="AS977" s="705"/>
    </row>
    <row r="978" spans="1:45" s="405" customFormat="1" ht="30" hidden="1" customHeight="1" x14ac:dyDescent="0.25">
      <c r="A978" s="2078"/>
      <c r="B978" s="2200"/>
      <c r="C978" s="1141"/>
      <c r="D978" s="959" t="s">
        <v>10</v>
      </c>
      <c r="E978" s="961">
        <v>46190</v>
      </c>
      <c r="F978" s="74">
        <f>$L$7-E978</f>
        <v>96</v>
      </c>
      <c r="G978" s="63">
        <v>0</v>
      </c>
      <c r="H978" s="64"/>
      <c r="I978" s="64"/>
      <c r="J978" s="1367"/>
      <c r="K978" s="64">
        <f>IFERROR(SUMIF(INTAKE!$A:$A,$T978,INTAKE!$P:$P),0)</f>
        <v>0</v>
      </c>
      <c r="L978" s="1533">
        <f>+G978+H978+I978-J978-K978</f>
        <v>0</v>
      </c>
      <c r="M978" s="172"/>
      <c r="N978" s="848"/>
      <c r="O978" s="172"/>
      <c r="P978" s="738"/>
      <c r="Q978" s="795"/>
      <c r="R978" s="785">
        <f>IFERROR(VLOOKUP($Q978,'391'!$S:$Z,8,0),"")</f>
        <v>0</v>
      </c>
      <c r="S978" s="796"/>
      <c r="T978" s="797" t="str">
        <f t="shared" si="620"/>
        <v>ROVABIO ADVANCE T-FLEX 25(SG)46190</v>
      </c>
      <c r="U978" s="797"/>
      <c r="V978" s="797"/>
      <c r="W978" s="785">
        <f>IFERROR(VLOOKUP($Q978,'391'!$S:$AG,15,0),0)</f>
        <v>0</v>
      </c>
      <c r="X978" s="1090">
        <f t="shared" si="619"/>
        <v>0</v>
      </c>
      <c r="Y978" s="785"/>
      <c r="Z978" s="785"/>
      <c r="AA978" s="797"/>
      <c r="AB978" s="797"/>
      <c r="AC978" s="683"/>
      <c r="AD978" s="683"/>
      <c r="AE978" s="683"/>
      <c r="AF978" s="683"/>
      <c r="AG978" s="683"/>
      <c r="AH978" s="683"/>
      <c r="AI978" s="705"/>
      <c r="AJ978" s="705"/>
      <c r="AK978" s="705"/>
      <c r="AL978" s="705"/>
      <c r="AM978" s="705"/>
      <c r="AN978" s="705"/>
      <c r="AO978" s="705"/>
      <c r="AP978" s="705"/>
      <c r="AQ978" s="705"/>
      <c r="AR978" s="705"/>
      <c r="AS978" s="705"/>
    </row>
    <row r="979" spans="1:45" s="13" customFormat="1" ht="30" hidden="1" customHeight="1" x14ac:dyDescent="0.25">
      <c r="A979" s="2078"/>
      <c r="B979" s="2200"/>
      <c r="C979" s="1141"/>
      <c r="D979" s="959" t="s">
        <v>10</v>
      </c>
      <c r="E979" s="961">
        <v>44443</v>
      </c>
      <c r="F979" s="74">
        <f>$L$7-E979</f>
        <v>1843</v>
      </c>
      <c r="G979" s="63">
        <v>0</v>
      </c>
      <c r="H979" s="64"/>
      <c r="I979" s="64"/>
      <c r="J979" s="1367"/>
      <c r="K979" s="64">
        <f>IFERROR(SUMIF(INTAKE!$A:$A,$T979,INTAKE!$P:$P),0)</f>
        <v>0</v>
      </c>
      <c r="L979" s="1533">
        <f>+G979+H979+I979-J979-K979</f>
        <v>0</v>
      </c>
      <c r="M979" s="48"/>
      <c r="N979" s="163"/>
      <c r="O979" s="48"/>
      <c r="P979" s="738"/>
      <c r="Q979" s="795"/>
      <c r="R979" s="785">
        <f>IFERROR(VLOOKUP($Q979,'391'!$S:$Z,8,0),"")</f>
        <v>0</v>
      </c>
      <c r="S979" s="796"/>
      <c r="T979" s="797" t="str">
        <f t="shared" si="620"/>
        <v>ROVABIO ADVANCE T-FLEX 25(SG)44443</v>
      </c>
      <c r="U979" s="797"/>
      <c r="V979" s="797"/>
      <c r="W979" s="785">
        <f>IFERROR(VLOOKUP($Q979,'391'!$S:$AG,15,0),0)</f>
        <v>0</v>
      </c>
      <c r="X979" s="1090">
        <f t="shared" si="619"/>
        <v>0</v>
      </c>
      <c r="Y979" s="785"/>
      <c r="Z979" s="785"/>
      <c r="AA979" s="797"/>
      <c r="AB979" s="797"/>
      <c r="AC979" s="683"/>
      <c r="AD979" s="683"/>
      <c r="AE979" s="683"/>
      <c r="AF979" s="683"/>
      <c r="AG979" s="683"/>
      <c r="AH979" s="683"/>
      <c r="AI979" s="705"/>
      <c r="AJ979" s="705"/>
      <c r="AK979" s="705"/>
      <c r="AL979" s="705"/>
      <c r="AM979" s="705"/>
      <c r="AN979" s="705"/>
      <c r="AO979" s="705"/>
      <c r="AP979" s="705"/>
      <c r="AQ979" s="705"/>
      <c r="AR979" s="705"/>
      <c r="AS979" s="705"/>
    </row>
    <row r="980" spans="1:45" s="415" customFormat="1" ht="30" customHeight="1" x14ac:dyDescent="0.25">
      <c r="A980" s="2078"/>
      <c r="B980" s="2200"/>
      <c r="C980" s="131" t="s">
        <v>46</v>
      </c>
      <c r="D980" s="875" t="s">
        <v>10</v>
      </c>
      <c r="E980" s="876">
        <v>46261</v>
      </c>
      <c r="F980" s="74">
        <f>$L$7-E980</f>
        <v>25</v>
      </c>
      <c r="G980" s="974">
        <v>213.45000000000002</v>
      </c>
      <c r="H980" s="958"/>
      <c r="I980" s="958">
        <f>+SUM(K976:K977)</f>
        <v>175</v>
      </c>
      <c r="J980" s="1397">
        <f>usage!I203</f>
        <v>162.88</v>
      </c>
      <c r="K980" s="64">
        <f>IFERROR(SUMIF(INTAKE!$A:$A,$T980,INTAKE!$P:$P),0)</f>
        <v>0</v>
      </c>
      <c r="L980" s="1533">
        <f>+G980+H980+I980-J980-K980</f>
        <v>225.57000000000005</v>
      </c>
      <c r="M980" s="136"/>
      <c r="N980" s="848"/>
      <c r="O980" s="136"/>
      <c r="P980" s="740"/>
      <c r="Q980" s="795"/>
      <c r="R980" s="785">
        <f>IFERROR(VLOOKUP($Q980,'391'!$S:$Z,8,0),"")</f>
        <v>0</v>
      </c>
      <c r="S980" s="796"/>
      <c r="T980" s="797" t="str">
        <f t="shared" si="620"/>
        <v>ROVABIO ADVANCE T-FLEX 25(SG)Feedmill46261</v>
      </c>
      <c r="U980" s="797"/>
      <c r="V980" s="797"/>
      <c r="W980" s="785">
        <f>IFERROR(VLOOKUP($Q980,'391'!$S:$AG,15,0),0)</f>
        <v>0</v>
      </c>
      <c r="X980" s="1090">
        <f t="shared" si="619"/>
        <v>213.45000000000002</v>
      </c>
      <c r="Y980" s="785"/>
      <c r="Z980" s="785"/>
      <c r="AA980" s="797"/>
      <c r="AB980" s="797"/>
      <c r="AC980" s="683"/>
      <c r="AD980" s="683"/>
      <c r="AE980" s="683"/>
      <c r="AF980" s="683"/>
      <c r="AG980" s="683"/>
      <c r="AH980" s="683"/>
      <c r="AI980" s="705"/>
      <c r="AJ980" s="705"/>
      <c r="AK980" s="705"/>
      <c r="AL980" s="705"/>
      <c r="AM980" s="705"/>
      <c r="AN980" s="705"/>
      <c r="AO980" s="705"/>
      <c r="AP980" s="705"/>
      <c r="AQ980" s="705"/>
      <c r="AR980" s="705"/>
      <c r="AS980" s="705"/>
    </row>
    <row r="981" spans="1:45" s="265" customFormat="1" ht="30" customHeight="1" x14ac:dyDescent="0.25">
      <c r="A981" s="2019" t="s">
        <v>1670</v>
      </c>
      <c r="B981" s="2020"/>
      <c r="C981" s="88"/>
      <c r="D981" s="864"/>
      <c r="E981" s="864"/>
      <c r="F981" s="865"/>
      <c r="G981" s="1297">
        <v>2088.4499999999998</v>
      </c>
      <c r="H981" s="1344">
        <f t="shared" ref="H981:I981" si="621">SUM(H976:H980)</f>
        <v>0</v>
      </c>
      <c r="I981" s="1297">
        <f t="shared" si="621"/>
        <v>175</v>
      </c>
      <c r="J981" s="1297">
        <f t="shared" ref="J981:L981" si="622">SUM(J976:J980)</f>
        <v>162.88</v>
      </c>
      <c r="K981" s="1297">
        <f t="shared" si="622"/>
        <v>175</v>
      </c>
      <c r="L981" s="1297">
        <f t="shared" si="622"/>
        <v>1925.5700000000002</v>
      </c>
      <c r="M981" s="982">
        <f>IFERROR((R981/$S$2),"")</f>
        <v>103.80166666666668</v>
      </c>
      <c r="N981" s="366">
        <f>IFERROR((L981/M981),0)</f>
        <v>18.550472856890543</v>
      </c>
      <c r="O981" s="982">
        <f>IFERROR(SUMIF(ETM!$A:$A,$Q981,ETM!$E:$E),"")</f>
        <v>121.16666666666666</v>
      </c>
      <c r="P981" s="880">
        <f>IFERROR(L981/O981,0)</f>
        <v>15.891911966987623</v>
      </c>
      <c r="Q981" s="666" t="s">
        <v>1667</v>
      </c>
      <c r="R981" s="785">
        <f>IFERROR(VLOOKUP($Q981,'391'!$S:$Z,8,0),"")</f>
        <v>622.81000000000006</v>
      </c>
      <c r="S981" s="796"/>
      <c r="T981" s="797"/>
      <c r="U981" s="797"/>
      <c r="V981" s="797"/>
      <c r="W981" s="785">
        <f>IFERROR(VLOOKUP($Q981,'391'!$S:$AG,15,0),0)</f>
        <v>2088.4499999999998</v>
      </c>
      <c r="X981" s="1090">
        <f t="shared" si="619"/>
        <v>0</v>
      </c>
      <c r="Y981" s="785"/>
      <c r="Z981" s="785"/>
      <c r="AA981" s="797"/>
      <c r="AB981" s="797"/>
      <c r="AC981" s="551"/>
      <c r="AD981" s="551"/>
      <c r="AE981" s="551"/>
      <c r="AF981" s="551"/>
      <c r="AG981" s="551"/>
      <c r="AH981" s="551"/>
      <c r="AI981" s="704"/>
      <c r="AJ981" s="704"/>
      <c r="AK981" s="704"/>
      <c r="AL981" s="704"/>
      <c r="AM981" s="704"/>
      <c r="AN981" s="704"/>
      <c r="AO981" s="704"/>
      <c r="AP981" s="704"/>
      <c r="AQ981" s="704"/>
      <c r="AR981" s="704"/>
      <c r="AS981" s="704"/>
    </row>
    <row r="982" spans="1:45" s="405" customFormat="1" ht="30" hidden="1" customHeight="1" x14ac:dyDescent="0.25">
      <c r="A982" s="2063">
        <f>IF(L987=0,"",MAX($A$16:A981)+1)</f>
        <v>64</v>
      </c>
      <c r="B982" s="2008" t="s">
        <v>1654</v>
      </c>
      <c r="C982" s="1141"/>
      <c r="D982" s="959" t="s">
        <v>10</v>
      </c>
      <c r="E982" s="961">
        <v>45981</v>
      </c>
      <c r="F982" s="74">
        <f>$L$7-E982</f>
        <v>305</v>
      </c>
      <c r="G982" s="63">
        <v>0</v>
      </c>
      <c r="H982" s="64"/>
      <c r="I982" s="64"/>
      <c r="J982" s="1367"/>
      <c r="K982" s="64">
        <f>IFERROR(SUMIF(INTAKE!$A:$A,$T982,INTAKE!$P:$P),0)</f>
        <v>0</v>
      </c>
      <c r="L982" s="1702">
        <f>+G982+H982+I982-J982-K982</f>
        <v>0</v>
      </c>
      <c r="M982" s="137"/>
      <c r="N982" s="920"/>
      <c r="O982" s="137"/>
      <c r="P982" s="744"/>
      <c r="Q982" s="795"/>
      <c r="R982" s="785">
        <f>IFERROR(VLOOKUP($Q982,'391'!$S:$Z,8,0),"")</f>
        <v>0</v>
      </c>
      <c r="S982" s="796"/>
      <c r="T982" s="797" t="str">
        <f t="shared" ref="T982:T986" si="623">$Q$987&amp;C982&amp;E982</f>
        <v>ROVABIO# PHY PLUS 10000T (SG)45981</v>
      </c>
      <c r="U982" s="797"/>
      <c r="V982" s="797"/>
      <c r="W982" s="785">
        <f>IFERROR(VLOOKUP($Q982,'391'!$S:$AG,15,0),0)</f>
        <v>0</v>
      </c>
      <c r="X982" s="1090">
        <f t="shared" ref="X982:X987" si="624">G982-W982</f>
        <v>0</v>
      </c>
      <c r="Y982" s="785"/>
      <c r="Z982" s="785"/>
      <c r="AA982" s="797"/>
      <c r="AB982" s="797"/>
      <c r="AC982" s="683"/>
      <c r="AD982" s="683"/>
      <c r="AE982" s="683"/>
      <c r="AF982" s="683"/>
      <c r="AG982" s="683"/>
      <c r="AH982" s="683"/>
      <c r="AI982" s="705"/>
      <c r="AJ982" s="705"/>
      <c r="AK982" s="705"/>
      <c r="AL982" s="705"/>
      <c r="AM982" s="705"/>
      <c r="AN982" s="705"/>
      <c r="AO982" s="705"/>
      <c r="AP982" s="705"/>
      <c r="AQ982" s="705"/>
      <c r="AR982" s="705"/>
      <c r="AS982" s="705"/>
    </row>
    <row r="983" spans="1:45" s="405" customFormat="1" ht="30" customHeight="1" x14ac:dyDescent="0.25">
      <c r="A983" s="2078"/>
      <c r="B983" s="2200"/>
      <c r="C983" s="1141" t="s">
        <v>1297</v>
      </c>
      <c r="D983" s="959" t="s">
        <v>10</v>
      </c>
      <c r="E983" s="961">
        <v>46261</v>
      </c>
      <c r="F983" s="74">
        <f>$L$7-E983</f>
        <v>25</v>
      </c>
      <c r="G983" s="63">
        <v>975</v>
      </c>
      <c r="H983" s="64"/>
      <c r="I983" s="64"/>
      <c r="J983" s="1367"/>
      <c r="K983" s="64">
        <f>IFERROR(SUMIF(INTAKE!$A:$A,$T983,INTAKE!$P:$P),0)</f>
        <v>75</v>
      </c>
      <c r="L983" s="1702">
        <f>+G983+H983+I983-J983-K983</f>
        <v>900</v>
      </c>
      <c r="M983" s="172"/>
      <c r="N983" s="848"/>
      <c r="O983" s="172"/>
      <c r="P983" s="738"/>
      <c r="Q983" s="795"/>
      <c r="R983" s="785">
        <f>IFERROR(VLOOKUP($Q983,'391'!$S:$Z,8,0),"")</f>
        <v>0</v>
      </c>
      <c r="S983" s="796"/>
      <c r="T983" s="797" t="str">
        <f t="shared" si="623"/>
        <v>ROVABIO# PHY PLUS 10000T (SG)Y5.146261</v>
      </c>
      <c r="U983" s="797"/>
      <c r="V983" s="797"/>
      <c r="W983" s="785">
        <f>IFERROR(VLOOKUP($Q983,'391'!$S:$AG,15,0),0)</f>
        <v>0</v>
      </c>
      <c r="X983" s="1090">
        <f t="shared" si="624"/>
        <v>975</v>
      </c>
      <c r="Y983" s="785"/>
      <c r="Z983" s="785"/>
      <c r="AA983" s="797"/>
      <c r="AB983" s="797"/>
      <c r="AC983" s="683"/>
      <c r="AD983" s="683"/>
      <c r="AE983" s="683"/>
      <c r="AF983" s="683"/>
      <c r="AG983" s="683"/>
      <c r="AH983" s="683"/>
      <c r="AI983" s="705"/>
      <c r="AJ983" s="705"/>
      <c r="AK983" s="705"/>
      <c r="AL983" s="705"/>
      <c r="AM983" s="705"/>
      <c r="AN983" s="705"/>
      <c r="AO983" s="705"/>
      <c r="AP983" s="705"/>
      <c r="AQ983" s="705"/>
      <c r="AR983" s="705"/>
      <c r="AS983" s="705"/>
    </row>
    <row r="984" spans="1:45" s="405" customFormat="1" ht="30" hidden="1" customHeight="1" x14ac:dyDescent="0.25">
      <c r="A984" s="2078"/>
      <c r="B984" s="2200"/>
      <c r="C984" s="1141"/>
      <c r="D984" s="959" t="s">
        <v>10</v>
      </c>
      <c r="E984" s="961">
        <v>46261</v>
      </c>
      <c r="F984" s="74">
        <f>$L$7-E984</f>
        <v>25</v>
      </c>
      <c r="G984" s="63">
        <v>0</v>
      </c>
      <c r="H984" s="64"/>
      <c r="I984" s="64"/>
      <c r="J984" s="1367"/>
      <c r="K984" s="64">
        <f>IFERROR(SUMIF(INTAKE!$A:$A,$T984,INTAKE!$P:$P),0)</f>
        <v>0</v>
      </c>
      <c r="L984" s="1702">
        <f>+G984+H984+I984-J984-K984</f>
        <v>0</v>
      </c>
      <c r="M984" s="172"/>
      <c r="N984" s="848"/>
      <c r="O984" s="172"/>
      <c r="P984" s="738"/>
      <c r="Q984" s="795"/>
      <c r="R984" s="785">
        <f>IFERROR(VLOOKUP($Q984,'391'!$S:$Z,8,0),"")</f>
        <v>0</v>
      </c>
      <c r="S984" s="796"/>
      <c r="T984" s="797" t="str">
        <f t="shared" si="623"/>
        <v>ROVABIO# PHY PLUS 10000T (SG)46261</v>
      </c>
      <c r="U984" s="797"/>
      <c r="V984" s="797"/>
      <c r="W984" s="785">
        <f>IFERROR(VLOOKUP($Q984,'391'!$S:$AG,15,0),0)</f>
        <v>0</v>
      </c>
      <c r="X984" s="1090">
        <f t="shared" si="624"/>
        <v>0</v>
      </c>
      <c r="Y984" s="785"/>
      <c r="Z984" s="785"/>
      <c r="AA984" s="797"/>
      <c r="AB984" s="797"/>
      <c r="AC984" s="683"/>
      <c r="AD984" s="683"/>
      <c r="AE984" s="683"/>
      <c r="AF984" s="683"/>
      <c r="AG984" s="683"/>
      <c r="AH984" s="683"/>
      <c r="AI984" s="705"/>
      <c r="AJ984" s="705"/>
      <c r="AK984" s="705"/>
      <c r="AL984" s="705"/>
      <c r="AM984" s="705"/>
      <c r="AN984" s="705"/>
      <c r="AO984" s="705"/>
      <c r="AP984" s="705"/>
      <c r="AQ984" s="705"/>
      <c r="AR984" s="705"/>
      <c r="AS984" s="705"/>
    </row>
    <row r="985" spans="1:45" s="13" customFormat="1" ht="30" hidden="1" customHeight="1" x14ac:dyDescent="0.25">
      <c r="A985" s="2078"/>
      <c r="B985" s="2200"/>
      <c r="C985" s="1141"/>
      <c r="D985" s="959" t="s">
        <v>10</v>
      </c>
      <c r="E985" s="961">
        <v>44443</v>
      </c>
      <c r="F985" s="74">
        <f>$L$7-E985</f>
        <v>1843</v>
      </c>
      <c r="G985" s="63">
        <v>0</v>
      </c>
      <c r="H985" s="64"/>
      <c r="I985" s="64"/>
      <c r="J985" s="1367"/>
      <c r="K985" s="64">
        <f>IFERROR(SUMIF(INTAKE!$A:$A,$T985,INTAKE!$P:$P),0)</f>
        <v>0</v>
      </c>
      <c r="L985" s="1533">
        <f>+G985+H985+I985-J985-K985</f>
        <v>0</v>
      </c>
      <c r="M985" s="48"/>
      <c r="N985" s="163"/>
      <c r="O985" s="48"/>
      <c r="P985" s="738"/>
      <c r="Q985" s="795"/>
      <c r="R985" s="785">
        <f>IFERROR(VLOOKUP($Q985,'391'!$S:$Z,8,0),"")</f>
        <v>0</v>
      </c>
      <c r="S985" s="796"/>
      <c r="T985" s="797" t="str">
        <f t="shared" si="623"/>
        <v>ROVABIO# PHY PLUS 10000T (SG)44443</v>
      </c>
      <c r="U985" s="797"/>
      <c r="V985" s="797"/>
      <c r="W985" s="785">
        <f>IFERROR(VLOOKUP($Q985,'391'!$S:$AG,15,0),0)</f>
        <v>0</v>
      </c>
      <c r="X985" s="1090">
        <f t="shared" si="624"/>
        <v>0</v>
      </c>
      <c r="Y985" s="785"/>
      <c r="Z985" s="785"/>
      <c r="AA985" s="797"/>
      <c r="AB985" s="797"/>
      <c r="AC985" s="683"/>
      <c r="AD985" s="683"/>
      <c r="AE985" s="683"/>
      <c r="AF985" s="683"/>
      <c r="AG985" s="683"/>
      <c r="AH985" s="683"/>
      <c r="AI985" s="705"/>
      <c r="AJ985" s="705"/>
      <c r="AK985" s="705"/>
      <c r="AL985" s="705"/>
      <c r="AM985" s="705"/>
      <c r="AN985" s="705"/>
      <c r="AO985" s="705"/>
      <c r="AP985" s="705"/>
      <c r="AQ985" s="705"/>
      <c r="AR985" s="705"/>
      <c r="AS985" s="705"/>
    </row>
    <row r="986" spans="1:45" s="415" customFormat="1" ht="30" customHeight="1" x14ac:dyDescent="0.25">
      <c r="A986" s="2078"/>
      <c r="B986" s="2200"/>
      <c r="C986" s="131" t="s">
        <v>46</v>
      </c>
      <c r="D986" s="875" t="s">
        <v>10</v>
      </c>
      <c r="E986" s="876">
        <v>46261</v>
      </c>
      <c r="F986" s="74">
        <f>$L$7-E986</f>
        <v>25</v>
      </c>
      <c r="G986" s="974">
        <v>94.710000000000008</v>
      </c>
      <c r="H986" s="958"/>
      <c r="I986" s="958">
        <f>+SUM(K982:K984)</f>
        <v>75</v>
      </c>
      <c r="J986" s="1397">
        <f>usage!I202</f>
        <v>81.56</v>
      </c>
      <c r="K986" s="64">
        <f>IFERROR(SUMIF(INTAKE!$A:$A,$T986,INTAKE!$P:$P),0)</f>
        <v>0</v>
      </c>
      <c r="L986" s="1533">
        <f>+G986+H986+I986-J986-K986</f>
        <v>88.15</v>
      </c>
      <c r="M986" s="136"/>
      <c r="N986" s="848"/>
      <c r="O986" s="136"/>
      <c r="P986" s="740"/>
      <c r="Q986" s="795"/>
      <c r="R986" s="785">
        <f>IFERROR(VLOOKUP($Q986,'391'!$S:$Z,8,0),"")</f>
        <v>0</v>
      </c>
      <c r="S986" s="796"/>
      <c r="T986" s="797" t="str">
        <f t="shared" si="623"/>
        <v>ROVABIO# PHY PLUS 10000T (SG)Feedmill46261</v>
      </c>
      <c r="U986" s="797"/>
      <c r="V986" s="797"/>
      <c r="W986" s="785">
        <f>IFERROR(VLOOKUP($Q986,'391'!$S:$AG,15,0),0)</f>
        <v>0</v>
      </c>
      <c r="X986" s="1090">
        <f t="shared" si="624"/>
        <v>94.710000000000008</v>
      </c>
      <c r="Y986" s="785"/>
      <c r="Z986" s="785"/>
      <c r="AA986" s="797"/>
      <c r="AB986" s="797"/>
      <c r="AC986" s="683"/>
      <c r="AD986" s="683"/>
      <c r="AE986" s="683"/>
      <c r="AF986" s="683"/>
      <c r="AG986" s="683"/>
      <c r="AH986" s="683"/>
      <c r="AI986" s="705"/>
      <c r="AJ986" s="705"/>
      <c r="AK986" s="705"/>
      <c r="AL986" s="705"/>
      <c r="AM986" s="705"/>
      <c r="AN986" s="705"/>
      <c r="AO986" s="705"/>
      <c r="AP986" s="705"/>
      <c r="AQ986" s="705"/>
      <c r="AR986" s="705"/>
      <c r="AS986" s="705"/>
    </row>
    <row r="987" spans="1:45" s="265" customFormat="1" ht="30" customHeight="1" x14ac:dyDescent="0.25">
      <c r="A987" s="2019" t="s">
        <v>1655</v>
      </c>
      <c r="B987" s="2020"/>
      <c r="C987" s="88"/>
      <c r="D987" s="864"/>
      <c r="E987" s="864"/>
      <c r="F987" s="865"/>
      <c r="G987" s="1297">
        <v>1069.71</v>
      </c>
      <c r="H987" s="1344">
        <f t="shared" ref="H987:I987" si="625">SUM(H982:H986)</f>
        <v>0</v>
      </c>
      <c r="I987" s="1297">
        <f t="shared" si="625"/>
        <v>75</v>
      </c>
      <c r="J987" s="1297">
        <f t="shared" ref="J987:L987" si="626">SUM(J982:J986)</f>
        <v>81.56</v>
      </c>
      <c r="K987" s="1297">
        <f t="shared" si="626"/>
        <v>75</v>
      </c>
      <c r="L987" s="1297">
        <f t="shared" si="626"/>
        <v>988.15</v>
      </c>
      <c r="M987" s="982">
        <f>IFERROR((R987/$S$2),"")</f>
        <v>52.22</v>
      </c>
      <c r="N987" s="366">
        <f>IFERROR((L987/M987),0)</f>
        <v>18.922826503255457</v>
      </c>
      <c r="O987" s="982">
        <f>IFERROR(SUMIF(ETM!$A:$A,$Q987,ETM!$E:$E),"")</f>
        <v>60.666666666666664</v>
      </c>
      <c r="P987" s="880">
        <f>IFERROR(L987/O987,0)</f>
        <v>16.288186813186812</v>
      </c>
      <c r="Q987" s="666" t="s">
        <v>1654</v>
      </c>
      <c r="R987" s="785">
        <f>IFERROR(VLOOKUP($Q987,'391'!$S:$Z,8,0),"")</f>
        <v>313.32</v>
      </c>
      <c r="S987" s="796"/>
      <c r="T987" s="797"/>
      <c r="U987" s="797"/>
      <c r="V987" s="797"/>
      <c r="W987" s="785">
        <f>IFERROR(VLOOKUP($Q987,'391'!$S:$AG,15,0),0)</f>
        <v>1069.71</v>
      </c>
      <c r="X987" s="1090">
        <f t="shared" si="624"/>
        <v>0</v>
      </c>
      <c r="Y987" s="785"/>
      <c r="Z987" s="785"/>
      <c r="AA987" s="797"/>
      <c r="AB987" s="797"/>
      <c r="AC987" s="551"/>
      <c r="AD987" s="551"/>
      <c r="AE987" s="551"/>
      <c r="AF987" s="551"/>
      <c r="AG987" s="551"/>
      <c r="AH987" s="551"/>
      <c r="AI987" s="704"/>
      <c r="AJ987" s="704"/>
      <c r="AK987" s="704"/>
      <c r="AL987" s="704"/>
      <c r="AM987" s="704"/>
      <c r="AN987" s="704"/>
      <c r="AO987" s="704"/>
      <c r="AP987" s="704"/>
      <c r="AQ987" s="704"/>
      <c r="AR987" s="704"/>
      <c r="AS987" s="704"/>
    </row>
    <row r="988" spans="1:45" s="405" customFormat="1" ht="30" hidden="1" customHeight="1" x14ac:dyDescent="0.25">
      <c r="A988" s="2063">
        <f>IF(L993=0,"",MAX($A$16:A987)+1)</f>
        <v>65</v>
      </c>
      <c r="B988" s="2090" t="s">
        <v>1336</v>
      </c>
      <c r="C988" s="114"/>
      <c r="D988" s="959" t="s">
        <v>10</v>
      </c>
      <c r="E988" s="961">
        <v>45035</v>
      </c>
      <c r="F988" s="74">
        <f>$L$7-E988</f>
        <v>1251</v>
      </c>
      <c r="G988" s="63">
        <v>0</v>
      </c>
      <c r="H988" s="64"/>
      <c r="I988" s="1348"/>
      <c r="J988" s="1404"/>
      <c r="K988" s="1348">
        <f>IFERROR(SUMIF(INTAKE!$A:$A,$T988,INTAKE!$P:$P),0)</f>
        <v>0</v>
      </c>
      <c r="L988" s="1533">
        <f>+G988+H988+I988-J988-K988</f>
        <v>0</v>
      </c>
      <c r="M988" s="137"/>
      <c r="N988" s="920"/>
      <c r="O988" s="137"/>
      <c r="P988" s="744"/>
      <c r="Q988" s="795"/>
      <c r="R988" s="785">
        <f>IFERROR(VLOOKUP($Q988,'391'!$S:$Z,8,0),"")</f>
        <v>0</v>
      </c>
      <c r="S988" s="796"/>
      <c r="T988" s="797" t="str">
        <f>$Q$993&amp;C988&amp;E988</f>
        <v>Rovabio max Advance L (Belgium)45035</v>
      </c>
      <c r="U988" s="797"/>
      <c r="V988" s="797"/>
      <c r="W988" s="785">
        <f>IFERROR(VLOOKUP($Q988,'391'!$S:$AG,15,0),0)</f>
        <v>0</v>
      </c>
      <c r="X988" s="1090">
        <f t="shared" si="592"/>
        <v>0</v>
      </c>
      <c r="Y988" s="785"/>
      <c r="Z988" s="785"/>
      <c r="AA988" s="797"/>
      <c r="AB988" s="797"/>
      <c r="AC988" s="683"/>
      <c r="AD988" s="683"/>
      <c r="AE988" s="683"/>
      <c r="AF988" s="683"/>
      <c r="AG988" s="683"/>
      <c r="AH988" s="683"/>
      <c r="AI988" s="705"/>
      <c r="AJ988" s="705"/>
      <c r="AK988" s="705"/>
      <c r="AL988" s="705"/>
      <c r="AM988" s="705"/>
      <c r="AN988" s="705"/>
      <c r="AO988" s="705"/>
      <c r="AP988" s="705"/>
      <c r="AQ988" s="705"/>
      <c r="AR988" s="705"/>
      <c r="AS988" s="705"/>
    </row>
    <row r="989" spans="1:45" s="405" customFormat="1" ht="30" customHeight="1" x14ac:dyDescent="0.25">
      <c r="A989" s="2078"/>
      <c r="B989" s="2197"/>
      <c r="C989" s="114" t="s">
        <v>1621</v>
      </c>
      <c r="D989" s="959" t="s">
        <v>10</v>
      </c>
      <c r="E989" s="961">
        <v>46213</v>
      </c>
      <c r="F989" s="74">
        <f>$L$7-E989</f>
        <v>73</v>
      </c>
      <c r="G989" s="63">
        <v>912</v>
      </c>
      <c r="H989" s="64"/>
      <c r="I989" s="64"/>
      <c r="J989" s="1367"/>
      <c r="K989" s="64">
        <f>IFERROR(SUMIF(INTAKE!$A:$A,$T989,INTAKE!$P:$P),0)</f>
        <v>0</v>
      </c>
      <c r="L989" s="1702">
        <f>+G989+H989+I989-J989-K989</f>
        <v>912</v>
      </c>
      <c r="M989" s="172"/>
      <c r="N989" s="848"/>
      <c r="O989" s="172"/>
      <c r="P989" s="738"/>
      <c r="Q989" s="795"/>
      <c r="R989" s="785">
        <f>IFERROR(VLOOKUP($Q989,'391'!$S:$Z,8,0),"")</f>
        <v>0</v>
      </c>
      <c r="S989" s="796"/>
      <c r="T989" s="797" t="str">
        <f>$Q$992&amp;"H"&amp;E989</f>
        <v>Rovabio Advance Phy L (Belgium)H46213</v>
      </c>
      <c r="U989" s="797"/>
      <c r="V989" s="797"/>
      <c r="W989" s="785">
        <f>IFERROR(VLOOKUP($Q989,'391'!$S:$AG,15,0),0)</f>
        <v>0</v>
      </c>
      <c r="X989" s="1090">
        <f t="shared" si="592"/>
        <v>912</v>
      </c>
      <c r="Y989" s="785"/>
      <c r="Z989" s="785"/>
      <c r="AA989" s="797"/>
      <c r="AB989" s="797"/>
      <c r="AC989" s="683"/>
      <c r="AD989" s="683"/>
      <c r="AE989" s="683"/>
      <c r="AF989" s="683"/>
      <c r="AG989" s="683"/>
      <c r="AH989" s="683"/>
      <c r="AI989" s="705"/>
      <c r="AJ989" s="705"/>
      <c r="AK989" s="705"/>
      <c r="AL989" s="705"/>
      <c r="AM989" s="705"/>
      <c r="AN989" s="705"/>
      <c r="AO989" s="705"/>
      <c r="AP989" s="705"/>
      <c r="AQ989" s="705"/>
      <c r="AR989" s="705"/>
      <c r="AS989" s="705"/>
    </row>
    <row r="990" spans="1:45" s="405" customFormat="1" ht="30" customHeight="1" x14ac:dyDescent="0.25">
      <c r="A990" s="2078"/>
      <c r="B990" s="2197"/>
      <c r="C990" s="114" t="s">
        <v>1621</v>
      </c>
      <c r="D990" s="959" t="s">
        <v>10</v>
      </c>
      <c r="E990" s="961">
        <v>46247</v>
      </c>
      <c r="F990" s="74">
        <f>$L$7-E990</f>
        <v>39</v>
      </c>
      <c r="G990" s="63">
        <v>7296</v>
      </c>
      <c r="H990" s="64"/>
      <c r="I990" s="64"/>
      <c r="J990" s="1367"/>
      <c r="K990" s="64"/>
      <c r="L990" s="1702">
        <f>+G990+H990+I990-J990-K990</f>
        <v>7296</v>
      </c>
      <c r="M990" s="172"/>
      <c r="N990" s="848"/>
      <c r="O990" s="172"/>
      <c r="P990" s="738"/>
      <c r="Q990" s="795"/>
      <c r="R990" s="785">
        <f>IFERROR(VLOOKUP($Q990,'391'!$S:$Z,8,0),"")</f>
        <v>0</v>
      </c>
      <c r="S990" s="796"/>
      <c r="T990" s="797" t="str">
        <f>$Q$992&amp;"H"&amp;E990</f>
        <v>Rovabio Advance Phy L (Belgium)H46247</v>
      </c>
      <c r="U990" s="797"/>
      <c r="V990" s="797"/>
      <c r="W990" s="785">
        <f>IFERROR(VLOOKUP($Q990,'391'!$S:$AG,15,0),0)</f>
        <v>0</v>
      </c>
      <c r="X990" s="1090">
        <f t="shared" si="592"/>
        <v>7296</v>
      </c>
      <c r="Y990" s="785"/>
      <c r="Z990" s="785"/>
      <c r="AA990" s="797"/>
      <c r="AB990" s="797"/>
      <c r="AC990" s="683"/>
      <c r="AD990" s="683"/>
      <c r="AE990" s="683"/>
      <c r="AF990" s="683"/>
      <c r="AG990" s="683"/>
      <c r="AH990" s="683"/>
      <c r="AI990" s="705"/>
      <c r="AJ990" s="705"/>
      <c r="AK990" s="705"/>
      <c r="AL990" s="705"/>
      <c r="AM990" s="705"/>
      <c r="AN990" s="705"/>
      <c r="AO990" s="705"/>
      <c r="AP990" s="705"/>
      <c r="AQ990" s="705"/>
      <c r="AR990" s="705"/>
      <c r="AS990" s="705"/>
    </row>
    <row r="991" spans="1:45" s="13" customFormat="1" ht="30" customHeight="1" x14ac:dyDescent="0.25">
      <c r="A991" s="2078"/>
      <c r="B991" s="2197"/>
      <c r="C991" s="114" t="s">
        <v>1621</v>
      </c>
      <c r="D991" s="959" t="s">
        <v>10</v>
      </c>
      <c r="E991" s="961">
        <v>46275</v>
      </c>
      <c r="F991" s="74">
        <f>$L$7-E991</f>
        <v>11</v>
      </c>
      <c r="G991" s="63">
        <v>7296</v>
      </c>
      <c r="H991" s="64"/>
      <c r="I991" s="64"/>
      <c r="J991" s="1367"/>
      <c r="K991" s="64"/>
      <c r="L991" s="1702">
        <f>+G991+H991+I991-J991-K991</f>
        <v>7296</v>
      </c>
      <c r="M991" s="48"/>
      <c r="N991" s="163"/>
      <c r="O991" s="48"/>
      <c r="P991" s="738"/>
      <c r="Q991" s="795"/>
      <c r="R991" s="785">
        <f>IFERROR(VLOOKUP($Q991,'391'!$S:$Z,8,0),"")</f>
        <v>0</v>
      </c>
      <c r="S991" s="796"/>
      <c r="T991" s="797" t="str">
        <f>$Q$992&amp;"H"&amp;E991</f>
        <v>Rovabio Advance Phy L (Belgium)H46275</v>
      </c>
      <c r="U991" s="797"/>
      <c r="V991" s="797"/>
      <c r="W991" s="785">
        <f>IFERROR(VLOOKUP($Q991,'391'!$S:$AG,15,0),0)</f>
        <v>0</v>
      </c>
      <c r="X991" s="1090">
        <f t="shared" si="592"/>
        <v>7296</v>
      </c>
      <c r="Y991" s="785"/>
      <c r="Z991" s="785"/>
      <c r="AA991" s="797"/>
      <c r="AB991" s="797"/>
      <c r="AC991" s="683"/>
      <c r="AD991" s="683"/>
      <c r="AE991" s="683"/>
      <c r="AF991" s="683"/>
      <c r="AG991" s="683"/>
      <c r="AH991" s="683"/>
      <c r="AI991" s="705"/>
      <c r="AJ991" s="705"/>
      <c r="AK991" s="705"/>
      <c r="AL991" s="705"/>
      <c r="AM991" s="705"/>
      <c r="AN991" s="705"/>
      <c r="AO991" s="705"/>
      <c r="AP991" s="705"/>
      <c r="AQ991" s="705"/>
      <c r="AR991" s="705"/>
      <c r="AS991" s="705"/>
    </row>
    <row r="992" spans="1:45" s="415" customFormat="1" ht="30" customHeight="1" x14ac:dyDescent="0.25">
      <c r="A992" s="2078"/>
      <c r="B992" s="2197"/>
      <c r="C992" s="131" t="s">
        <v>870</v>
      </c>
      <c r="D992" s="875" t="s">
        <v>10</v>
      </c>
      <c r="E992" s="876">
        <v>46213</v>
      </c>
      <c r="F992" s="74">
        <f>$L$7-E992</f>
        <v>73</v>
      </c>
      <c r="G992" s="974">
        <v>3016.47</v>
      </c>
      <c r="H992" s="958"/>
      <c r="I992" s="1405">
        <f>+SUM(K988:K991)</f>
        <v>0</v>
      </c>
      <c r="J992" s="1397">
        <f>+usage!I86</f>
        <v>183</v>
      </c>
      <c r="K992" s="64">
        <f>IFERROR(SUMIF(INTAKE!$A:$A,$T992,INTAKE!$P:$P),0)</f>
        <v>0</v>
      </c>
      <c r="L992" s="1533">
        <f>+G992+H992+I992-J992-K992</f>
        <v>2833.47</v>
      </c>
      <c r="M992" s="136"/>
      <c r="N992" s="848"/>
      <c r="O992" s="136"/>
      <c r="P992" s="740"/>
      <c r="Q992" s="666" t="s">
        <v>1324</v>
      </c>
      <c r="R992" s="785">
        <f>IFERROR(VLOOKUP($Q992,'391'!$S:$Z,8,0),"0")</f>
        <v>1702</v>
      </c>
      <c r="S992" s="796"/>
      <c r="T992" s="797" t="str">
        <f>$Q$993&amp;C992&amp;E992</f>
        <v>Rovabio max Advance L (Belgium)LA1046213</v>
      </c>
      <c r="U992" s="797"/>
      <c r="V992" s="797"/>
      <c r="W992" s="785">
        <f>IFERROR(VLOOKUP($Q992,'391'!$S:$AG,15,0),0)</f>
        <v>18520.47</v>
      </c>
      <c r="X992" s="1090">
        <f t="shared" si="592"/>
        <v>-15504.000000000002</v>
      </c>
      <c r="Y992" s="785"/>
      <c r="Z992" s="785"/>
      <c r="AA992" s="797"/>
      <c r="AB992" s="797"/>
      <c r="AC992" s="683"/>
      <c r="AD992" s="683"/>
      <c r="AE992" s="683"/>
      <c r="AF992" s="683"/>
      <c r="AG992" s="683"/>
      <c r="AH992" s="683"/>
      <c r="AI992" s="705"/>
      <c r="AJ992" s="705"/>
      <c r="AK992" s="705"/>
      <c r="AL992" s="705"/>
      <c r="AM992" s="705"/>
      <c r="AN992" s="705"/>
      <c r="AO992" s="705"/>
      <c r="AP992" s="705"/>
      <c r="AQ992" s="705"/>
      <c r="AR992" s="705"/>
      <c r="AS992" s="705"/>
    </row>
    <row r="993" spans="1:45" s="265" customFormat="1" ht="30" customHeight="1" x14ac:dyDescent="0.25">
      <c r="A993" s="2019" t="s">
        <v>530</v>
      </c>
      <c r="B993" s="2020"/>
      <c r="C993" s="88"/>
      <c r="D993" s="864"/>
      <c r="E993" s="864"/>
      <c r="F993" s="865"/>
      <c r="G993" s="1297">
        <v>18520.47</v>
      </c>
      <c r="H993" s="1344">
        <f>SUM(H988:H992)</f>
        <v>0</v>
      </c>
      <c r="I993" s="1297">
        <f t="shared" ref="I993" si="627">SUM(I988:I992)</f>
        <v>0</v>
      </c>
      <c r="J993" s="1297">
        <f t="shared" ref="J993:L993" si="628">SUM(J988:J992)</f>
        <v>183</v>
      </c>
      <c r="K993" s="1297">
        <f t="shared" si="628"/>
        <v>0</v>
      </c>
      <c r="L993" s="1297">
        <f t="shared" si="628"/>
        <v>18337.47</v>
      </c>
      <c r="M993" s="982">
        <f>IFERROR((S993/$S$2),"")</f>
        <v>283.66666666666669</v>
      </c>
      <c r="N993" s="366">
        <f>(L993/M993)</f>
        <v>64.644430082256164</v>
      </c>
      <c r="O993" s="982">
        <f>IFERROR(SUMIF(ETM!$A:$A,$Q993,ETM!$E:$E),"")</f>
        <v>274.33333333333331</v>
      </c>
      <c r="P993" s="880">
        <f>IFERROR(L993/O993,0)</f>
        <v>66.843754556500613</v>
      </c>
      <c r="Q993" s="814" t="s">
        <v>672</v>
      </c>
      <c r="R993" s="785" t="str">
        <f>IFERROR(VLOOKUP($Q993,'391'!$S:$Z,8,0),"0")</f>
        <v>0</v>
      </c>
      <c r="S993" s="800">
        <f>+R993+R992</f>
        <v>1702</v>
      </c>
      <c r="T993" s="797"/>
      <c r="U993" s="797"/>
      <c r="V993" s="797"/>
      <c r="W993" s="785">
        <f>IFERROR(VLOOKUP($Q993,'391'!$S:$AG,15,0),0)</f>
        <v>0</v>
      </c>
      <c r="X993" s="1231">
        <f>G993-W993-W992</f>
        <v>0</v>
      </c>
      <c r="Y993" s="785"/>
      <c r="Z993" s="785"/>
      <c r="AA993" s="797"/>
      <c r="AB993" s="797"/>
      <c r="AC993" s="551"/>
      <c r="AD993" s="551"/>
      <c r="AE993" s="551"/>
      <c r="AF993" s="551"/>
      <c r="AG993" s="551"/>
      <c r="AH993" s="551"/>
      <c r="AI993" s="704"/>
      <c r="AJ993" s="704"/>
      <c r="AK993" s="704"/>
      <c r="AL993" s="704"/>
      <c r="AM993" s="704"/>
      <c r="AN993" s="704"/>
      <c r="AO993" s="704"/>
      <c r="AP993" s="704"/>
      <c r="AQ993" s="704"/>
      <c r="AR993" s="704"/>
      <c r="AS993" s="704"/>
    </row>
    <row r="994" spans="1:45" s="416" customFormat="1" ht="30" hidden="1" customHeight="1" x14ac:dyDescent="0.25">
      <c r="A994" s="2021">
        <f>IF(L1000=0,"",MAX($A$16:A993)+1)</f>
        <v>66</v>
      </c>
      <c r="B994" s="2015" t="s">
        <v>60</v>
      </c>
      <c r="C994" s="139"/>
      <c r="D994" s="959" t="s">
        <v>10</v>
      </c>
      <c r="E994" s="961">
        <v>46039</v>
      </c>
      <c r="F994" s="938">
        <f t="shared" ref="F994:F996" si="629">$L$7-E994</f>
        <v>247</v>
      </c>
      <c r="G994" s="63">
        <v>0</v>
      </c>
      <c r="H994" s="63"/>
      <c r="I994" s="63"/>
      <c r="J994" s="1378"/>
      <c r="K994" s="64">
        <f>IFERROR(SUMIF(INTAKE!$A:$A,$T994,INTAKE!$P:$P),0)</f>
        <v>0</v>
      </c>
      <c r="L994" s="1533">
        <f t="shared" ref="L994:L999" si="630">+G994+H994+I994-J994-K994</f>
        <v>0</v>
      </c>
      <c r="M994" s="50"/>
      <c r="N994" s="1468"/>
      <c r="O994" s="1451"/>
      <c r="P994" s="1479"/>
      <c r="Q994" s="795"/>
      <c r="R994" s="785">
        <f>IFERROR(VLOOKUP($Q994,'391'!$S:$Z,8,0),"")</f>
        <v>0</v>
      </c>
      <c r="S994" s="796"/>
      <c r="T994" s="797" t="str">
        <f t="shared" ref="T994:T998" si="631">$Q$1000&amp;C994&amp;E994</f>
        <v>Mycostatin-2046039</v>
      </c>
      <c r="U994" s="797"/>
      <c r="V994" s="797"/>
      <c r="W994" s="785">
        <f>IFERROR(VLOOKUP($Q994,'391'!$S:$AG,15,0),0)</f>
        <v>0</v>
      </c>
      <c r="X994" s="1090">
        <f t="shared" ref="X994:X1015" si="632">G994-W994</f>
        <v>0</v>
      </c>
      <c r="Y994" s="785"/>
      <c r="Z994" s="785"/>
      <c r="AA994" s="797"/>
      <c r="AB994" s="797"/>
      <c r="AC994" s="681"/>
      <c r="AD994" s="681"/>
      <c r="AE994" s="681"/>
      <c r="AF994" s="681"/>
      <c r="AG994" s="681"/>
      <c r="AH994" s="681"/>
      <c r="AI994" s="703"/>
      <c r="AJ994" s="703"/>
      <c r="AK994" s="703"/>
      <c r="AL994" s="703"/>
      <c r="AM994" s="703"/>
      <c r="AN994" s="703"/>
      <c r="AO994" s="703"/>
      <c r="AP994" s="703"/>
      <c r="AQ994" s="703"/>
      <c r="AR994" s="703"/>
      <c r="AS994" s="703"/>
    </row>
    <row r="995" spans="1:45" s="416" customFormat="1" ht="30" hidden="1" customHeight="1" x14ac:dyDescent="0.25">
      <c r="A995" s="2022"/>
      <c r="B995" s="2016"/>
      <c r="C995" s="139"/>
      <c r="D995" s="959" t="s">
        <v>10</v>
      </c>
      <c r="E995" s="961">
        <v>46079</v>
      </c>
      <c r="F995" s="938">
        <f t="shared" si="629"/>
        <v>207</v>
      </c>
      <c r="G995" s="63">
        <v>0</v>
      </c>
      <c r="H995" s="974"/>
      <c r="I995" s="11"/>
      <c r="J995" s="1366"/>
      <c r="K995" s="63">
        <f>IFERROR(SUMIF(INTAKE!$A:$A,$T995,INTAKE!$P:$P),0)</f>
        <v>0</v>
      </c>
      <c r="L995" s="1702">
        <f t="shared" si="630"/>
        <v>0</v>
      </c>
      <c r="M995" s="373"/>
      <c r="N995" s="163"/>
      <c r="O995" s="48"/>
      <c r="P995" s="750"/>
      <c r="Q995" s="795"/>
      <c r="R995" s="785">
        <f>IFERROR(VLOOKUP($Q995,'391'!$S:$Z,8,0),"")</f>
        <v>0</v>
      </c>
      <c r="S995" s="796"/>
      <c r="T995" s="797" t="str">
        <f t="shared" si="631"/>
        <v>Mycostatin-2046079</v>
      </c>
      <c r="U995" s="797"/>
      <c r="V995" s="797"/>
      <c r="W995" s="785">
        <f>IFERROR(VLOOKUP($Q995,'391'!$S:$AG,15,0),0)</f>
        <v>0</v>
      </c>
      <c r="X995" s="1090">
        <f t="shared" si="632"/>
        <v>0</v>
      </c>
      <c r="Y995" s="785"/>
      <c r="Z995" s="785"/>
      <c r="AA995" s="797"/>
      <c r="AB995" s="797"/>
      <c r="AC995" s="681"/>
      <c r="AD995" s="681"/>
      <c r="AE995" s="681"/>
      <c r="AF995" s="681"/>
      <c r="AG995" s="681"/>
      <c r="AH995" s="681"/>
      <c r="AI995" s="703"/>
      <c r="AJ995" s="703"/>
      <c r="AK995" s="703"/>
      <c r="AL995" s="703"/>
      <c r="AM995" s="703"/>
      <c r="AN995" s="703"/>
      <c r="AO995" s="703"/>
      <c r="AP995" s="703"/>
      <c r="AQ995" s="703"/>
      <c r="AR995" s="703"/>
      <c r="AS995" s="703"/>
    </row>
    <row r="996" spans="1:45" s="417" customFormat="1" ht="30" customHeight="1" x14ac:dyDescent="0.25">
      <c r="A996" s="2022"/>
      <c r="B996" s="2016"/>
      <c r="C996" s="139" t="s">
        <v>1249</v>
      </c>
      <c r="D996" s="959" t="s">
        <v>10</v>
      </c>
      <c r="E996" s="961">
        <v>46262</v>
      </c>
      <c r="F996" s="938">
        <f t="shared" si="629"/>
        <v>24</v>
      </c>
      <c r="G996" s="63">
        <v>425</v>
      </c>
      <c r="H996" s="974"/>
      <c r="I996" s="11"/>
      <c r="J996" s="1366"/>
      <c r="K996" s="63">
        <f>IFERROR(SUMIF(INTAKE!$A:$A,$T996,INTAKE!$P:$P),0)</f>
        <v>0</v>
      </c>
      <c r="L996" s="1702">
        <f t="shared" si="630"/>
        <v>425</v>
      </c>
      <c r="M996" s="373"/>
      <c r="N996" s="163"/>
      <c r="O996" s="48"/>
      <c r="P996" s="750"/>
      <c r="Q996" s="795"/>
      <c r="R996" s="785">
        <f>IFERROR(VLOOKUP($Q996,'391'!$S:$Z,8,0),"")</f>
        <v>0</v>
      </c>
      <c r="S996" s="796"/>
      <c r="T996" s="797" t="str">
        <f t="shared" si="631"/>
        <v>Mycostatin-20E146262</v>
      </c>
      <c r="U996" s="797"/>
      <c r="V996" s="797"/>
      <c r="W996" s="785">
        <f>IFERROR(VLOOKUP($Q996,'391'!$S:$AG,15,0),0)</f>
        <v>0</v>
      </c>
      <c r="X996" s="1090">
        <f t="shared" si="632"/>
        <v>425</v>
      </c>
      <c r="Y996" s="785"/>
      <c r="Z996" s="785"/>
      <c r="AA996" s="797"/>
      <c r="AB996" s="797"/>
      <c r="AC996" s="681"/>
      <c r="AD996" s="681"/>
      <c r="AE996" s="681"/>
      <c r="AF996" s="681"/>
      <c r="AG996" s="681"/>
      <c r="AH996" s="681"/>
      <c r="AI996" s="703"/>
      <c r="AJ996" s="703"/>
      <c r="AK996" s="703"/>
      <c r="AL996" s="703"/>
      <c r="AM996" s="703"/>
      <c r="AN996" s="703"/>
      <c r="AO996" s="703"/>
      <c r="AP996" s="703"/>
      <c r="AQ996" s="703"/>
      <c r="AR996" s="703"/>
      <c r="AS996" s="703"/>
    </row>
    <row r="997" spans="1:45" s="417" customFormat="1" ht="30" hidden="1" customHeight="1" x14ac:dyDescent="0.25">
      <c r="A997" s="2022"/>
      <c r="B997" s="2017"/>
      <c r="C997" s="139"/>
      <c r="D997" s="959" t="s">
        <v>10</v>
      </c>
      <c r="E997" s="961">
        <v>46262</v>
      </c>
      <c r="F997" s="938">
        <f t="shared" ref="F997" si="633">$L$7-E997</f>
        <v>24</v>
      </c>
      <c r="G997" s="63">
        <v>0</v>
      </c>
      <c r="H997" s="974"/>
      <c r="I997" s="11"/>
      <c r="J997" s="1366"/>
      <c r="K997" s="63">
        <f>IFERROR(SUMIF(INTAKE!$A:$A,$T997,INTAKE!$P:$P),0)</f>
        <v>0</v>
      </c>
      <c r="L997" s="1711">
        <f t="shared" si="630"/>
        <v>0</v>
      </c>
      <c r="M997" s="373"/>
      <c r="N997" s="163"/>
      <c r="O997" s="48"/>
      <c r="P997" s="750"/>
      <c r="Q997" s="795"/>
      <c r="R997" s="785">
        <f>IFERROR(VLOOKUP($Q997,'391'!$S:$Z,8,0),"")</f>
        <v>0</v>
      </c>
      <c r="S997" s="796"/>
      <c r="T997" s="797" t="str">
        <f t="shared" si="631"/>
        <v>Mycostatin-2046262</v>
      </c>
      <c r="U997" s="797"/>
      <c r="V997" s="797"/>
      <c r="W997" s="785">
        <f>IFERROR(VLOOKUP($Q997,'391'!$S:$AG,15,0),0)</f>
        <v>0</v>
      </c>
      <c r="X997" s="1090">
        <f t="shared" si="632"/>
        <v>0</v>
      </c>
      <c r="Y997" s="785"/>
      <c r="Z997" s="785"/>
      <c r="AA997" s="797"/>
      <c r="AB997" s="797"/>
      <c r="AC997" s="681"/>
      <c r="AD997" s="681"/>
      <c r="AE997" s="681"/>
      <c r="AF997" s="681"/>
      <c r="AG997" s="681"/>
      <c r="AH997" s="681"/>
      <c r="AI997" s="703"/>
      <c r="AJ997" s="703"/>
      <c r="AK997" s="703"/>
      <c r="AL997" s="703"/>
      <c r="AM997" s="703"/>
      <c r="AN997" s="703"/>
      <c r="AO997" s="703"/>
      <c r="AP997" s="703"/>
      <c r="AQ997" s="703"/>
      <c r="AR997" s="703"/>
      <c r="AS997" s="703"/>
    </row>
    <row r="998" spans="1:45" s="417" customFormat="1" ht="30" hidden="1" customHeight="1" x14ac:dyDescent="0.25">
      <c r="A998" s="2022"/>
      <c r="B998" s="2017"/>
      <c r="C998" s="139"/>
      <c r="D998" s="959" t="s">
        <v>10</v>
      </c>
      <c r="E998" s="961">
        <v>45933</v>
      </c>
      <c r="F998" s="938">
        <f t="shared" ref="F998:F999" si="634">$L$7-E998</f>
        <v>353</v>
      </c>
      <c r="G998" s="63">
        <v>0</v>
      </c>
      <c r="H998" s="974"/>
      <c r="I998" s="11"/>
      <c r="J998" s="1366"/>
      <c r="K998" s="63">
        <f>IFERROR(SUMIF(INTAKE!$A:$A,$T998,INTAKE!$P:$P),0)</f>
        <v>0</v>
      </c>
      <c r="L998" s="1702">
        <f t="shared" si="630"/>
        <v>0</v>
      </c>
      <c r="M998" s="373"/>
      <c r="N998" s="163"/>
      <c r="O998" s="48"/>
      <c r="P998" s="750"/>
      <c r="Q998" s="795"/>
      <c r="R998" s="785">
        <f>IFERROR(VLOOKUP($Q998,'391'!$S:$Z,8,0),"")</f>
        <v>0</v>
      </c>
      <c r="S998" s="796"/>
      <c r="T998" s="797" t="str">
        <f t="shared" si="631"/>
        <v>Mycostatin-2045933</v>
      </c>
      <c r="U998" s="797"/>
      <c r="V998" s="797"/>
      <c r="W998" s="785">
        <f>IFERROR(VLOOKUP($Q998,'391'!$S:$AG,15,0),0)</f>
        <v>0</v>
      </c>
      <c r="X998" s="1090">
        <f t="shared" si="632"/>
        <v>0</v>
      </c>
      <c r="Y998" s="785"/>
      <c r="Z998" s="785"/>
      <c r="AA998" s="797"/>
      <c r="AB998" s="797"/>
      <c r="AC998" s="681"/>
      <c r="AD998" s="681"/>
      <c r="AE998" s="681"/>
      <c r="AF998" s="681"/>
      <c r="AG998" s="681"/>
      <c r="AH998" s="681"/>
      <c r="AI998" s="703"/>
      <c r="AJ998" s="703"/>
      <c r="AK998" s="703"/>
      <c r="AL998" s="703"/>
      <c r="AM998" s="703"/>
      <c r="AN998" s="703"/>
      <c r="AO998" s="703"/>
      <c r="AP998" s="703"/>
      <c r="AQ998" s="703"/>
      <c r="AR998" s="703"/>
      <c r="AS998" s="703"/>
    </row>
    <row r="999" spans="1:45" s="401" customFormat="1" ht="30" customHeight="1" x14ac:dyDescent="0.25">
      <c r="A999" s="2023"/>
      <c r="B999" s="2196"/>
      <c r="C999" s="61" t="s">
        <v>46</v>
      </c>
      <c r="D999" s="863" t="s">
        <v>10</v>
      </c>
      <c r="E999" s="886">
        <v>46262</v>
      </c>
      <c r="F999" s="39">
        <f t="shared" si="634"/>
        <v>24</v>
      </c>
      <c r="G999" s="37">
        <v>209.6399999999999</v>
      </c>
      <c r="H999" s="37"/>
      <c r="I999" s="37">
        <f>+SUM(K994:K998)</f>
        <v>0</v>
      </c>
      <c r="J999" s="1365">
        <f>+usage!I136</f>
        <v>95.45</v>
      </c>
      <c r="K999" s="63">
        <f>IFERROR(SUMIF(INTAKE!$A:$A,$T999,INTAKE!$P:$P),0)</f>
        <v>0</v>
      </c>
      <c r="L999" s="1533">
        <f t="shared" si="630"/>
        <v>114.1899999999999</v>
      </c>
      <c r="M999" s="374"/>
      <c r="N999" s="84"/>
      <c r="O999" s="40"/>
      <c r="P999" s="756"/>
      <c r="Q999" s="795"/>
      <c r="R999" s="785">
        <f>IFERROR(VLOOKUP($Q999,'391'!$S:$Z,8,0),"")</f>
        <v>0</v>
      </c>
      <c r="S999" s="796"/>
      <c r="T999" s="797" t="str">
        <f>$Q$1000&amp;C999&amp;E999</f>
        <v>Mycostatin-20Feedmill46262</v>
      </c>
      <c r="U999" s="797"/>
      <c r="V999" s="797"/>
      <c r="W999" s="785">
        <f>IFERROR(VLOOKUP($Q999,'391'!$S:$AG,15,0),0)</f>
        <v>0</v>
      </c>
      <c r="X999" s="1090">
        <f t="shared" si="632"/>
        <v>209.6399999999999</v>
      </c>
      <c r="Y999" s="785"/>
      <c r="Z999" s="785"/>
      <c r="AA999" s="797"/>
      <c r="AB999" s="797"/>
      <c r="AC999" s="681"/>
      <c r="AD999" s="681"/>
      <c r="AE999" s="681"/>
      <c r="AF999" s="681"/>
      <c r="AG999" s="681"/>
      <c r="AH999" s="681"/>
      <c r="AI999" s="703"/>
      <c r="AJ999" s="703"/>
      <c r="AK999" s="703"/>
      <c r="AL999" s="703"/>
      <c r="AM999" s="703"/>
      <c r="AN999" s="703"/>
      <c r="AO999" s="703"/>
      <c r="AP999" s="703"/>
      <c r="AQ999" s="703"/>
      <c r="AR999" s="703"/>
      <c r="AS999" s="703"/>
    </row>
    <row r="1000" spans="1:45" s="265" customFormat="1" ht="30" customHeight="1" x14ac:dyDescent="0.25">
      <c r="A1000" s="2048" t="s">
        <v>61</v>
      </c>
      <c r="B1000" s="2049"/>
      <c r="C1000" s="88"/>
      <c r="D1000" s="864"/>
      <c r="E1000" s="864"/>
      <c r="F1000" s="865"/>
      <c r="G1000" s="1297">
        <v>634.63999999999987</v>
      </c>
      <c r="H1000" s="1297">
        <f>+SUM(H994:H999)</f>
        <v>0</v>
      </c>
      <c r="I1000" s="1297">
        <f>+SUM(I994:I999)</f>
        <v>0</v>
      </c>
      <c r="J1000" s="1297">
        <f>+SUM(J994:J999)</f>
        <v>95.45</v>
      </c>
      <c r="K1000" s="1297">
        <f>+SUM(K994:K999)</f>
        <v>0</v>
      </c>
      <c r="L1000" s="1297">
        <f>+SUM(L994:L999)</f>
        <v>539.18999999999994</v>
      </c>
      <c r="M1000" s="59">
        <f>IFERROR((R1000/$S$2),"")</f>
        <v>31.823333333333334</v>
      </c>
      <c r="N1000" s="366">
        <f>IFERROR(L1000/M1000,0)</f>
        <v>16.943228239237456</v>
      </c>
      <c r="O1000" s="59">
        <f>IFERROR(SUMIF(ETM!$A:$A,$Q1000,ETM!$E:$E),"")</f>
        <v>50.833333333333336</v>
      </c>
      <c r="P1000" s="880">
        <f>IFERROR(L1000/O1000,0)</f>
        <v>10.60701639344262</v>
      </c>
      <c r="Q1000" s="1818" t="s">
        <v>60</v>
      </c>
      <c r="R1000" s="785">
        <f>IFERROR(VLOOKUP($Q1000,'391'!$S:$Z,8,0),"")</f>
        <v>190.94</v>
      </c>
      <c r="S1000" s="796"/>
      <c r="T1000" s="797"/>
      <c r="U1000" s="797"/>
      <c r="V1000" s="797"/>
      <c r="W1000" s="785">
        <f>IFERROR(VLOOKUP($Q1000,'391'!$S:$AG,15,0),0)</f>
        <v>634.64</v>
      </c>
      <c r="X1000" s="1090">
        <f t="shared" si="632"/>
        <v>0</v>
      </c>
      <c r="Y1000" s="785"/>
      <c r="Z1000" s="785"/>
      <c r="AA1000" s="797"/>
      <c r="AB1000" s="797"/>
      <c r="AC1000" s="551"/>
      <c r="AD1000" s="551"/>
      <c r="AE1000" s="551"/>
      <c r="AF1000" s="551"/>
      <c r="AG1000" s="551"/>
      <c r="AH1000" s="551"/>
      <c r="AI1000" s="704"/>
      <c r="AJ1000" s="704"/>
      <c r="AK1000" s="704"/>
      <c r="AL1000" s="704"/>
      <c r="AM1000" s="704"/>
      <c r="AN1000" s="704"/>
      <c r="AO1000" s="704"/>
      <c r="AP1000" s="704"/>
      <c r="AQ1000" s="704"/>
      <c r="AR1000" s="704"/>
      <c r="AS1000" s="704"/>
    </row>
    <row r="1001" spans="1:45" s="416" customFormat="1" ht="30" hidden="1" customHeight="1" x14ac:dyDescent="0.25">
      <c r="A1001" s="2021" t="str">
        <f>IF(L1007=0,"",MAX($A$16:A1000)+1)</f>
        <v/>
      </c>
      <c r="B1001" s="2015" t="s">
        <v>1714</v>
      </c>
      <c r="C1001" s="139" t="s">
        <v>283</v>
      </c>
      <c r="D1001" s="959" t="s">
        <v>10</v>
      </c>
      <c r="E1001" s="961">
        <v>46017</v>
      </c>
      <c r="F1001" s="74">
        <f>$L$7-E1001</f>
        <v>269</v>
      </c>
      <c r="G1001" s="63">
        <v>0</v>
      </c>
      <c r="H1001" s="63"/>
      <c r="I1001" s="63"/>
      <c r="J1001" s="1378"/>
      <c r="K1001" s="64">
        <f>IFERROR(SUMIF(INTAKE!$A:$A,$T1001,INTAKE!$P:$P),0)</f>
        <v>0</v>
      </c>
      <c r="L1001" s="1702">
        <f t="shared" ref="L1001:L1006" si="635">+G1001+H1001+I1001-J1001-K1001</f>
        <v>0</v>
      </c>
      <c r="M1001" s="50"/>
      <c r="N1001" s="1468"/>
      <c r="O1001" s="1451"/>
      <c r="P1001" s="1479"/>
      <c r="Q1001" s="795"/>
      <c r="R1001" s="785">
        <f>IFERROR(VLOOKUP($Q1001,'391'!$S:$Z,8,0),"")</f>
        <v>0</v>
      </c>
      <c r="S1001" s="796"/>
      <c r="T1001" s="797" t="str">
        <f>$Q$1007&amp;C1001&amp;E1001</f>
        <v>PhyLink (Singapore)A19.346017</v>
      </c>
      <c r="U1001" s="797"/>
      <c r="V1001" s="797"/>
      <c r="W1001" s="785">
        <f>IFERROR(VLOOKUP($Q1001,'391'!$S:$AG,15,0),0)</f>
        <v>0</v>
      </c>
      <c r="X1001" s="1090">
        <f t="shared" ref="X1001:X1007" si="636">G1001-W1001</f>
        <v>0</v>
      </c>
      <c r="Y1001" s="785"/>
      <c r="Z1001" s="785"/>
      <c r="AA1001" s="797"/>
      <c r="AB1001" s="797"/>
      <c r="AC1001" s="681"/>
      <c r="AD1001" s="681"/>
      <c r="AE1001" s="681"/>
      <c r="AF1001" s="681"/>
      <c r="AG1001" s="681"/>
      <c r="AH1001" s="681"/>
      <c r="AI1001" s="703"/>
      <c r="AJ1001" s="703"/>
      <c r="AK1001" s="703"/>
      <c r="AL1001" s="703"/>
      <c r="AM1001" s="703"/>
      <c r="AN1001" s="703"/>
      <c r="AO1001" s="703"/>
      <c r="AP1001" s="703"/>
      <c r="AQ1001" s="703"/>
      <c r="AR1001" s="703"/>
      <c r="AS1001" s="703"/>
    </row>
    <row r="1002" spans="1:45" s="416" customFormat="1" ht="30" hidden="1" customHeight="1" x14ac:dyDescent="0.25">
      <c r="A1002" s="2022"/>
      <c r="B1002" s="2016"/>
      <c r="C1002" s="139"/>
      <c r="D1002" s="959" t="s">
        <v>10</v>
      </c>
      <c r="E1002" s="961">
        <v>45744</v>
      </c>
      <c r="F1002" s="938">
        <f t="shared" ref="F1002:F1006" si="637">$L$7-E1002</f>
        <v>542</v>
      </c>
      <c r="G1002" s="63">
        <v>0</v>
      </c>
      <c r="H1002" s="974"/>
      <c r="I1002" s="11"/>
      <c r="J1002" s="1366"/>
      <c r="K1002" s="63">
        <f>IFERROR(SUMIF(INTAKE!$A:$A,$T1002,INTAKE!$P:$P),0)</f>
        <v>0</v>
      </c>
      <c r="L1002" s="1702">
        <f t="shared" si="635"/>
        <v>0</v>
      </c>
      <c r="M1002" s="373"/>
      <c r="N1002" s="163"/>
      <c r="O1002" s="48"/>
      <c r="P1002" s="750"/>
      <c r="Q1002" s="795"/>
      <c r="R1002" s="785">
        <f>IFERROR(VLOOKUP($Q1002,'391'!$S:$Z,8,0),"")</f>
        <v>0</v>
      </c>
      <c r="S1002" s="796"/>
      <c r="T1002" s="797" t="str">
        <f t="shared" ref="T1002:T1006" si="638">$Q$1007&amp;C1002&amp;E1002</f>
        <v>PhyLink (Singapore)45744</v>
      </c>
      <c r="U1002" s="797"/>
      <c r="V1002" s="797"/>
      <c r="W1002" s="785">
        <f>IFERROR(VLOOKUP($Q1002,'391'!$S:$AG,15,0),0)</f>
        <v>0</v>
      </c>
      <c r="X1002" s="1090">
        <f t="shared" si="636"/>
        <v>0</v>
      </c>
      <c r="Y1002" s="785"/>
      <c r="Z1002" s="785"/>
      <c r="AA1002" s="797"/>
      <c r="AB1002" s="797"/>
      <c r="AC1002" s="681"/>
      <c r="AD1002" s="681"/>
      <c r="AE1002" s="681"/>
      <c r="AF1002" s="681"/>
      <c r="AG1002" s="681"/>
      <c r="AH1002" s="681"/>
      <c r="AI1002" s="703"/>
      <c r="AJ1002" s="703"/>
      <c r="AK1002" s="703"/>
      <c r="AL1002" s="703"/>
      <c r="AM1002" s="703"/>
      <c r="AN1002" s="703"/>
      <c r="AO1002" s="703"/>
      <c r="AP1002" s="703"/>
      <c r="AQ1002" s="703"/>
      <c r="AR1002" s="703"/>
      <c r="AS1002" s="703"/>
    </row>
    <row r="1003" spans="1:45" s="417" customFormat="1" ht="30" hidden="1" customHeight="1" x14ac:dyDescent="0.25">
      <c r="A1003" s="2022"/>
      <c r="B1003" s="2016"/>
      <c r="C1003" s="139"/>
      <c r="D1003" s="959" t="s">
        <v>10</v>
      </c>
      <c r="E1003" s="961">
        <v>45933</v>
      </c>
      <c r="F1003" s="938">
        <f t="shared" si="637"/>
        <v>353</v>
      </c>
      <c r="G1003" s="63">
        <v>0</v>
      </c>
      <c r="H1003" s="974"/>
      <c r="I1003" s="11"/>
      <c r="J1003" s="1366"/>
      <c r="K1003" s="63">
        <f>IFERROR(SUMIF(INTAKE!$A:$A,$T1003,INTAKE!$P:$P),0)</f>
        <v>0</v>
      </c>
      <c r="L1003" s="1702">
        <f t="shared" si="635"/>
        <v>0</v>
      </c>
      <c r="M1003" s="373"/>
      <c r="N1003" s="163"/>
      <c r="O1003" s="48"/>
      <c r="P1003" s="750"/>
      <c r="Q1003" s="795"/>
      <c r="R1003" s="785">
        <f>IFERROR(VLOOKUP($Q1003,'391'!$S:$Z,8,0),"")</f>
        <v>0</v>
      </c>
      <c r="S1003" s="796"/>
      <c r="T1003" s="797" t="str">
        <f t="shared" si="638"/>
        <v>PhyLink (Singapore)45933</v>
      </c>
      <c r="U1003" s="797"/>
      <c r="V1003" s="797"/>
      <c r="W1003" s="785">
        <f>IFERROR(VLOOKUP($Q1003,'391'!$S:$AG,15,0),0)</f>
        <v>0</v>
      </c>
      <c r="X1003" s="1090">
        <f t="shared" si="636"/>
        <v>0</v>
      </c>
      <c r="Y1003" s="785"/>
      <c r="Z1003" s="785"/>
      <c r="AA1003" s="797"/>
      <c r="AB1003" s="797"/>
      <c r="AC1003" s="681"/>
      <c r="AD1003" s="681"/>
      <c r="AE1003" s="681"/>
      <c r="AF1003" s="681"/>
      <c r="AG1003" s="681"/>
      <c r="AH1003" s="681"/>
      <c r="AI1003" s="703"/>
      <c r="AJ1003" s="703"/>
      <c r="AK1003" s="703"/>
      <c r="AL1003" s="703"/>
      <c r="AM1003" s="703"/>
      <c r="AN1003" s="703"/>
      <c r="AO1003" s="703"/>
      <c r="AP1003" s="703"/>
      <c r="AQ1003" s="703"/>
      <c r="AR1003" s="703"/>
      <c r="AS1003" s="703"/>
    </row>
    <row r="1004" spans="1:45" s="417" customFormat="1" ht="30" hidden="1" customHeight="1" x14ac:dyDescent="0.25">
      <c r="A1004" s="2022"/>
      <c r="B1004" s="2017"/>
      <c r="C1004" s="139"/>
      <c r="D1004" s="959" t="s">
        <v>10</v>
      </c>
      <c r="E1004" s="961">
        <v>45933</v>
      </c>
      <c r="F1004" s="938">
        <f t="shared" si="637"/>
        <v>353</v>
      </c>
      <c r="G1004" s="63">
        <v>0</v>
      </c>
      <c r="H1004" s="974"/>
      <c r="I1004" s="11"/>
      <c r="J1004" s="1366"/>
      <c r="K1004" s="63">
        <f>IFERROR(SUMIF(INTAKE!$A:$A,$T1004,INTAKE!$P:$P),0)</f>
        <v>0</v>
      </c>
      <c r="L1004" s="1711">
        <f t="shared" si="635"/>
        <v>0</v>
      </c>
      <c r="M1004" s="373"/>
      <c r="N1004" s="163"/>
      <c r="O1004" s="48"/>
      <c r="P1004" s="750"/>
      <c r="Q1004" s="795"/>
      <c r="R1004" s="785">
        <f>IFERROR(VLOOKUP($Q1004,'391'!$S:$Z,8,0),"")</f>
        <v>0</v>
      </c>
      <c r="S1004" s="796"/>
      <c r="T1004" s="797" t="str">
        <f t="shared" si="638"/>
        <v>PhyLink (Singapore)45933</v>
      </c>
      <c r="U1004" s="797"/>
      <c r="V1004" s="797"/>
      <c r="W1004" s="785">
        <f>IFERROR(VLOOKUP($Q1004,'391'!$S:$AG,15,0),0)</f>
        <v>0</v>
      </c>
      <c r="X1004" s="1090">
        <f t="shared" si="636"/>
        <v>0</v>
      </c>
      <c r="Y1004" s="785"/>
      <c r="Z1004" s="785"/>
      <c r="AA1004" s="797"/>
      <c r="AB1004" s="797"/>
      <c r="AC1004" s="681"/>
      <c r="AD1004" s="681"/>
      <c r="AE1004" s="681"/>
      <c r="AF1004" s="681"/>
      <c r="AG1004" s="681"/>
      <c r="AH1004" s="681"/>
      <c r="AI1004" s="703"/>
      <c r="AJ1004" s="703"/>
      <c r="AK1004" s="703"/>
      <c r="AL1004" s="703"/>
      <c r="AM1004" s="703"/>
      <c r="AN1004" s="703"/>
      <c r="AO1004" s="703"/>
      <c r="AP1004" s="703"/>
      <c r="AQ1004" s="703"/>
      <c r="AR1004" s="703"/>
      <c r="AS1004" s="703"/>
    </row>
    <row r="1005" spans="1:45" s="417" customFormat="1" ht="30" hidden="1" customHeight="1" x14ac:dyDescent="0.25">
      <c r="A1005" s="2022"/>
      <c r="B1005" s="2017"/>
      <c r="C1005" s="139"/>
      <c r="D1005" s="959" t="s">
        <v>10</v>
      </c>
      <c r="E1005" s="961">
        <v>45933</v>
      </c>
      <c r="F1005" s="938">
        <f t="shared" si="637"/>
        <v>353</v>
      </c>
      <c r="G1005" s="63">
        <v>0</v>
      </c>
      <c r="H1005" s="974"/>
      <c r="I1005" s="11"/>
      <c r="J1005" s="1366"/>
      <c r="K1005" s="63">
        <f>IFERROR(SUMIF(INTAKE!$A:$A,$T1005,INTAKE!$P:$P),0)</f>
        <v>0</v>
      </c>
      <c r="L1005" s="1702">
        <f t="shared" si="635"/>
        <v>0</v>
      </c>
      <c r="M1005" s="373"/>
      <c r="N1005" s="163"/>
      <c r="O1005" s="48"/>
      <c r="P1005" s="750"/>
      <c r="Q1005" s="795"/>
      <c r="R1005" s="785">
        <f>IFERROR(VLOOKUP($Q1005,'391'!$S:$Z,8,0),"")</f>
        <v>0</v>
      </c>
      <c r="S1005" s="796"/>
      <c r="T1005" s="797" t="str">
        <f t="shared" si="638"/>
        <v>PhyLink (Singapore)45933</v>
      </c>
      <c r="U1005" s="797"/>
      <c r="V1005" s="797"/>
      <c r="W1005" s="785">
        <f>IFERROR(VLOOKUP($Q1005,'391'!$S:$AG,15,0),0)</f>
        <v>0</v>
      </c>
      <c r="X1005" s="1090">
        <f t="shared" si="636"/>
        <v>0</v>
      </c>
      <c r="Y1005" s="785"/>
      <c r="Z1005" s="785"/>
      <c r="AA1005" s="797"/>
      <c r="AB1005" s="797"/>
      <c r="AC1005" s="681"/>
      <c r="AD1005" s="681"/>
      <c r="AE1005" s="681"/>
      <c r="AF1005" s="681"/>
      <c r="AG1005" s="681"/>
      <c r="AH1005" s="681"/>
      <c r="AI1005" s="703"/>
      <c r="AJ1005" s="703"/>
      <c r="AK1005" s="703"/>
      <c r="AL1005" s="703"/>
      <c r="AM1005" s="703"/>
      <c r="AN1005" s="703"/>
      <c r="AO1005" s="703"/>
      <c r="AP1005" s="703"/>
      <c r="AQ1005" s="703"/>
      <c r="AR1005" s="703"/>
      <c r="AS1005" s="703"/>
    </row>
    <row r="1006" spans="1:45" s="401" customFormat="1" ht="30" hidden="1" customHeight="1" x14ac:dyDescent="0.25">
      <c r="A1006" s="2023"/>
      <c r="B1006" s="2196"/>
      <c r="C1006" s="61" t="s">
        <v>46</v>
      </c>
      <c r="D1006" s="863" t="s">
        <v>10</v>
      </c>
      <c r="E1006" s="886">
        <v>46017</v>
      </c>
      <c r="F1006" s="39">
        <f t="shared" si="637"/>
        <v>269</v>
      </c>
      <c r="G1006" s="37">
        <v>0</v>
      </c>
      <c r="H1006" s="37"/>
      <c r="I1006" s="37">
        <f>+SUM(K1001:K1005)</f>
        <v>0</v>
      </c>
      <c r="J1006" s="1365">
        <f>usage!I207</f>
        <v>0</v>
      </c>
      <c r="K1006" s="63">
        <f>IFERROR(SUMIF(INTAKE!$A:$A,$T1006,INTAKE!$P:$P),0)</f>
        <v>0</v>
      </c>
      <c r="L1006" s="1533">
        <f t="shared" si="635"/>
        <v>0</v>
      </c>
      <c r="M1006" s="374"/>
      <c r="N1006" s="84"/>
      <c r="O1006" s="40"/>
      <c r="P1006" s="756"/>
      <c r="Q1006" s="795"/>
      <c r="R1006" s="785">
        <f>IFERROR(VLOOKUP($Q1006,'391'!$S:$Z,8,0),"")</f>
        <v>0</v>
      </c>
      <c r="S1006" s="796"/>
      <c r="T1006" s="797" t="str">
        <f t="shared" si="638"/>
        <v>PhyLink (Singapore)Feedmill46017</v>
      </c>
      <c r="U1006" s="797"/>
      <c r="V1006" s="797"/>
      <c r="W1006" s="785">
        <f>IFERROR(VLOOKUP($Q1006,'391'!$S:$AG,15,0),0)</f>
        <v>0</v>
      </c>
      <c r="X1006" s="1090">
        <f t="shared" si="636"/>
        <v>0</v>
      </c>
      <c r="Y1006" s="785"/>
      <c r="Z1006" s="785"/>
      <c r="AA1006" s="797"/>
      <c r="AB1006" s="797"/>
      <c r="AC1006" s="681"/>
      <c r="AD1006" s="681"/>
      <c r="AE1006" s="681"/>
      <c r="AF1006" s="681"/>
      <c r="AG1006" s="681"/>
      <c r="AH1006" s="681"/>
      <c r="AI1006" s="703"/>
      <c r="AJ1006" s="703"/>
      <c r="AK1006" s="703"/>
      <c r="AL1006" s="703"/>
      <c r="AM1006" s="703"/>
      <c r="AN1006" s="703"/>
      <c r="AO1006" s="703"/>
      <c r="AP1006" s="703"/>
      <c r="AQ1006" s="703"/>
      <c r="AR1006" s="703"/>
      <c r="AS1006" s="703"/>
    </row>
    <row r="1007" spans="1:45" s="265" customFormat="1" ht="30" hidden="1" customHeight="1" x14ac:dyDescent="0.25">
      <c r="A1007" s="2019" t="s">
        <v>1714</v>
      </c>
      <c r="B1007" s="2020"/>
      <c r="C1007" s="88"/>
      <c r="D1007" s="864"/>
      <c r="E1007" s="864"/>
      <c r="F1007" s="865"/>
      <c r="G1007" s="1297">
        <v>0</v>
      </c>
      <c r="H1007" s="1297">
        <f>+SUM(H1001:H1006)</f>
        <v>0</v>
      </c>
      <c r="I1007" s="1297">
        <f>+SUM(I1001:I1006)</f>
        <v>0</v>
      </c>
      <c r="J1007" s="1297">
        <f>+SUM(J1001:J1006)</f>
        <v>0</v>
      </c>
      <c r="K1007" s="1297">
        <f>+SUM(K1001:K1006)</f>
        <v>0</v>
      </c>
      <c r="L1007" s="1297">
        <f>+SUM(L1001:L1006)</f>
        <v>0</v>
      </c>
      <c r="M1007" s="59" t="str">
        <f>IFERROR((R1007/$S$2),"")</f>
        <v/>
      </c>
      <c r="N1007" s="366">
        <f>IFERROR(L1007/M1007,0)</f>
        <v>0</v>
      </c>
      <c r="O1007" s="59">
        <f>IFERROR(SUMIF(ETM!$A:$A,$Q1007,ETM!$E:$E),"")</f>
        <v>0</v>
      </c>
      <c r="P1007" s="880">
        <f>IFERROR(L1007/O1007,0)</f>
        <v>0</v>
      </c>
      <c r="Q1007" s="666" t="s">
        <v>1714</v>
      </c>
      <c r="R1007" s="785" t="str">
        <f>IFERROR(VLOOKUP($Q1007,'391'!$S:$Z,8,0),"")</f>
        <v/>
      </c>
      <c r="S1007" s="796"/>
      <c r="T1007" s="797"/>
      <c r="U1007" s="797"/>
      <c r="V1007" s="797"/>
      <c r="W1007" s="785">
        <f>IFERROR(VLOOKUP($Q1007,'391'!$S:$AG,15,0),0)</f>
        <v>0</v>
      </c>
      <c r="X1007" s="1090">
        <f t="shared" si="636"/>
        <v>0</v>
      </c>
      <c r="Y1007" s="785"/>
      <c r="Z1007" s="785"/>
      <c r="AA1007" s="797"/>
      <c r="AB1007" s="797"/>
      <c r="AC1007" s="551"/>
      <c r="AD1007" s="551"/>
      <c r="AE1007" s="551"/>
      <c r="AF1007" s="551"/>
      <c r="AG1007" s="551"/>
      <c r="AH1007" s="551"/>
      <c r="AI1007" s="704"/>
      <c r="AJ1007" s="704"/>
      <c r="AK1007" s="704"/>
      <c r="AL1007" s="704"/>
      <c r="AM1007" s="704"/>
      <c r="AN1007" s="704"/>
      <c r="AO1007" s="704"/>
      <c r="AP1007" s="704"/>
      <c r="AQ1007" s="704"/>
      <c r="AR1007" s="704"/>
      <c r="AS1007" s="704"/>
    </row>
    <row r="1008" spans="1:45" s="409" customFormat="1" ht="30" hidden="1" customHeight="1" x14ac:dyDescent="0.25">
      <c r="A1008" s="2045">
        <f>IF(L1016=0,"",MAX($A$16:A1007)+1)</f>
        <v>67</v>
      </c>
      <c r="B1008" s="2198" t="s">
        <v>1248</v>
      </c>
      <c r="C1008" s="193"/>
      <c r="D1008" s="987" t="s">
        <v>10</v>
      </c>
      <c r="E1008" s="988">
        <v>46059</v>
      </c>
      <c r="F1008" s="989">
        <f t="shared" ref="F1008:F1010" si="639">$L$7-E1008</f>
        <v>227</v>
      </c>
      <c r="G1008" s="1370">
        <v>0</v>
      </c>
      <c r="H1008" s="1395"/>
      <c r="I1008" s="1395"/>
      <c r="J1008" s="1396"/>
      <c r="K1008" s="1395">
        <f>IFERROR(SUMIF(INTAKE!$A:$A,$T1008,INTAKE!$P:$P),0)</f>
        <v>0</v>
      </c>
      <c r="L1008" s="1702">
        <f t="shared" ref="L1008:L1015" si="640">+G1008+H1008+I1008-J1008-K1008</f>
        <v>0</v>
      </c>
      <c r="M1008" s="1452"/>
      <c r="N1008" s="1468"/>
      <c r="O1008" s="1452"/>
      <c r="P1008" s="753"/>
      <c r="Q1008" s="795"/>
      <c r="R1008" s="785">
        <f>IFERROR(VLOOKUP($Q1008,'391'!$S:$Z,8,0),"")</f>
        <v>0</v>
      </c>
      <c r="S1008" s="796"/>
      <c r="T1008" s="797" t="str">
        <f>$Q$1015&amp;C1008&amp;E1008</f>
        <v>Mycofix Plus 3.0 (Singapore)46059</v>
      </c>
      <c r="U1008" s="797"/>
      <c r="V1008" s="797"/>
      <c r="W1008" s="785">
        <f>IFERROR(VLOOKUP($Q1008,'391'!$S:$AG,15,0),0)</f>
        <v>0</v>
      </c>
      <c r="X1008" s="1090">
        <f t="shared" si="632"/>
        <v>0</v>
      </c>
      <c r="Y1008" s="785"/>
      <c r="Z1008" s="785"/>
      <c r="AA1008" s="797"/>
      <c r="AB1008" s="797"/>
      <c r="AC1008" s="681"/>
      <c r="AD1008" s="681"/>
      <c r="AE1008" s="681"/>
      <c r="AF1008" s="681"/>
      <c r="AG1008" s="681"/>
      <c r="AH1008" s="681"/>
      <c r="AI1008" s="703"/>
      <c r="AJ1008" s="703"/>
      <c r="AK1008" s="703"/>
      <c r="AL1008" s="703"/>
      <c r="AM1008" s="703"/>
      <c r="AN1008" s="703"/>
      <c r="AO1008" s="703"/>
      <c r="AP1008" s="703"/>
      <c r="AQ1008" s="703"/>
      <c r="AR1008" s="703"/>
      <c r="AS1008" s="703"/>
    </row>
    <row r="1009" spans="1:45" s="409" customFormat="1" ht="30" customHeight="1" x14ac:dyDescent="0.25">
      <c r="A1009" s="2046"/>
      <c r="B1009" s="2199"/>
      <c r="C1009" s="193" t="s">
        <v>273</v>
      </c>
      <c r="D1009" s="987" t="s">
        <v>10</v>
      </c>
      <c r="E1009" s="988">
        <v>46248</v>
      </c>
      <c r="F1009" s="989">
        <f t="shared" si="639"/>
        <v>38</v>
      </c>
      <c r="G1009" s="1370">
        <v>1000</v>
      </c>
      <c r="H1009" s="1395"/>
      <c r="I1009" s="1395"/>
      <c r="J1009" s="1396"/>
      <c r="K1009" s="1395">
        <f>IFERROR(SUMIF(INTAKE!$A:$A,$T1009,INTAKE!$P:$P),0)</f>
        <v>1000</v>
      </c>
      <c r="L1009" s="1702">
        <f t="shared" si="640"/>
        <v>0</v>
      </c>
      <c r="M1009" s="375"/>
      <c r="N1009" s="375"/>
      <c r="O1009" s="375"/>
      <c r="P1009" s="754"/>
      <c r="Q1009" s="795"/>
      <c r="R1009" s="785">
        <f>IFERROR(VLOOKUP($Q1009,'391'!$S:$Z,8,0),"")</f>
        <v>0</v>
      </c>
      <c r="S1009" s="796"/>
      <c r="T1009" s="797" t="str">
        <f>$Q$1015&amp;C1009&amp;E1009</f>
        <v>Mycofix Plus 3.0 (Singapore)A19.546248</v>
      </c>
      <c r="U1009" s="797"/>
      <c r="V1009" s="797"/>
      <c r="W1009" s="785">
        <f>IFERROR(VLOOKUP($Q1009,'391'!$S:$AG,15,0),0)</f>
        <v>0</v>
      </c>
      <c r="X1009" s="1090">
        <f t="shared" si="632"/>
        <v>1000</v>
      </c>
      <c r="Y1009" s="785"/>
      <c r="Z1009" s="785"/>
      <c r="AA1009" s="797"/>
      <c r="AB1009" s="797"/>
      <c r="AC1009" s="681"/>
      <c r="AD1009" s="681"/>
      <c r="AE1009" s="681"/>
      <c r="AF1009" s="681"/>
      <c r="AG1009" s="681"/>
      <c r="AH1009" s="681"/>
      <c r="AI1009" s="703"/>
      <c r="AJ1009" s="703"/>
      <c r="AK1009" s="703"/>
      <c r="AL1009" s="703"/>
      <c r="AM1009" s="703"/>
      <c r="AN1009" s="703"/>
      <c r="AO1009" s="703"/>
      <c r="AP1009" s="703"/>
      <c r="AQ1009" s="703"/>
      <c r="AR1009" s="703"/>
      <c r="AS1009" s="703"/>
    </row>
    <row r="1010" spans="1:45" s="409" customFormat="1" ht="30" customHeight="1" x14ac:dyDescent="0.25">
      <c r="A1010" s="2046"/>
      <c r="B1010" s="2199"/>
      <c r="C1010" s="193" t="s">
        <v>287</v>
      </c>
      <c r="D1010" s="987" t="s">
        <v>10</v>
      </c>
      <c r="E1010" s="988">
        <v>46254</v>
      </c>
      <c r="F1010" s="989">
        <f t="shared" si="639"/>
        <v>32</v>
      </c>
      <c r="G1010" s="1370">
        <v>2000</v>
      </c>
      <c r="H1010" s="1395"/>
      <c r="I1010" s="1395"/>
      <c r="J1010" s="1396"/>
      <c r="K1010" s="1395">
        <f>IFERROR(SUMIF(INTAKE!$A:$A,$T1010,INTAKE!$P:$P),0)</f>
        <v>0</v>
      </c>
      <c r="L1010" s="1702">
        <f t="shared" si="640"/>
        <v>2000</v>
      </c>
      <c r="M1010" s="375"/>
      <c r="N1010" s="375"/>
      <c r="O1010" s="375"/>
      <c r="P1010" s="754"/>
      <c r="Q1010" s="795"/>
      <c r="R1010" s="785">
        <f>IFERROR(VLOOKUP($Q1010,'391'!$S:$Z,8,0),"")</f>
        <v>0</v>
      </c>
      <c r="S1010" s="796"/>
      <c r="T1010" s="797" t="str">
        <f>$Q$1015&amp;C1010&amp;E1010</f>
        <v>Mycofix Plus 3.0 (Singapore)A19.646254</v>
      </c>
      <c r="U1010" s="797"/>
      <c r="V1010" s="797"/>
      <c r="W1010" s="785">
        <f>IFERROR(VLOOKUP($Q1010,'391'!$S:$AG,15,0),0)</f>
        <v>0</v>
      </c>
      <c r="X1010" s="1090">
        <f t="shared" si="632"/>
        <v>2000</v>
      </c>
      <c r="Y1010" s="785"/>
      <c r="Z1010" s="785"/>
      <c r="AA1010" s="797"/>
      <c r="AB1010" s="797"/>
      <c r="AC1010" s="681"/>
      <c r="AD1010" s="681"/>
      <c r="AE1010" s="681"/>
      <c r="AF1010" s="681"/>
      <c r="AG1010" s="681"/>
      <c r="AH1010" s="681"/>
      <c r="AI1010" s="703"/>
      <c r="AJ1010" s="703"/>
      <c r="AK1010" s="703"/>
      <c r="AL1010" s="703"/>
      <c r="AM1010" s="703"/>
      <c r="AN1010" s="703"/>
      <c r="AO1010" s="703"/>
      <c r="AP1010" s="703"/>
      <c r="AQ1010" s="703"/>
      <c r="AR1010" s="703"/>
      <c r="AS1010" s="703"/>
    </row>
    <row r="1011" spans="1:45" s="409" customFormat="1" ht="30" hidden="1" customHeight="1" x14ac:dyDescent="0.25">
      <c r="A1011" s="2046"/>
      <c r="B1011" s="2199"/>
      <c r="C1011" s="193"/>
      <c r="D1011" s="987" t="s">
        <v>10</v>
      </c>
      <c r="E1011" s="988">
        <v>46254</v>
      </c>
      <c r="F1011" s="989">
        <f t="shared" ref="F1011:F1015" si="641">$L$7-E1011</f>
        <v>32</v>
      </c>
      <c r="G1011" s="1370">
        <v>0</v>
      </c>
      <c r="H1011" s="1395"/>
      <c r="I1011" s="1395"/>
      <c r="J1011" s="1396"/>
      <c r="K1011" s="1395">
        <f>IFERROR(SUMIF(INTAKE!$A:$A,$T1011,INTAKE!$P:$P),0)</f>
        <v>0</v>
      </c>
      <c r="L1011" s="1702">
        <f t="shared" si="640"/>
        <v>0</v>
      </c>
      <c r="M1011" s="375"/>
      <c r="N1011" s="375"/>
      <c r="O1011" s="375"/>
      <c r="P1011" s="754"/>
      <c r="Q1011" s="795"/>
      <c r="R1011" s="785">
        <f>IFERROR(VLOOKUP($Q1011,'391'!$S:$Z,8,0),"")</f>
        <v>0</v>
      </c>
      <c r="S1011" s="796"/>
      <c r="T1011" s="797" t="str">
        <f>$Q$1016&amp;C1011&amp;E1011</f>
        <v>Mycofix Plus 5.0 (Singapore)46254</v>
      </c>
      <c r="U1011" s="797"/>
      <c r="V1011" s="797"/>
      <c r="W1011" s="785">
        <f>IFERROR(VLOOKUP($Q1011,'391'!$S:$AG,15,0),0)</f>
        <v>0</v>
      </c>
      <c r="X1011" s="1090">
        <f t="shared" si="632"/>
        <v>0</v>
      </c>
      <c r="Y1011" s="785"/>
      <c r="Z1011" s="785"/>
      <c r="AA1011" s="797"/>
      <c r="AB1011" s="797"/>
      <c r="AC1011" s="681"/>
      <c r="AD1011" s="681"/>
      <c r="AE1011" s="681"/>
      <c r="AF1011" s="681"/>
      <c r="AG1011" s="681"/>
      <c r="AH1011" s="681"/>
      <c r="AI1011" s="703"/>
      <c r="AJ1011" s="703"/>
      <c r="AK1011" s="703"/>
      <c r="AL1011" s="703"/>
      <c r="AM1011" s="703"/>
      <c r="AN1011" s="703"/>
      <c r="AO1011" s="703"/>
      <c r="AP1011" s="703"/>
      <c r="AQ1011" s="703"/>
      <c r="AR1011" s="703"/>
      <c r="AS1011" s="703"/>
    </row>
    <row r="1012" spans="1:45" s="409" customFormat="1" ht="30" hidden="1" customHeight="1" x14ac:dyDescent="0.25">
      <c r="A1012" s="2046"/>
      <c r="B1012" s="2199"/>
      <c r="C1012" s="193"/>
      <c r="D1012" s="987" t="s">
        <v>10</v>
      </c>
      <c r="E1012" s="988">
        <v>42742</v>
      </c>
      <c r="F1012" s="989">
        <f t="shared" si="641"/>
        <v>3544</v>
      </c>
      <c r="G1012" s="1395">
        <v>0</v>
      </c>
      <c r="H1012" s="1395"/>
      <c r="I1012" s="1395"/>
      <c r="J1012" s="1396"/>
      <c r="K1012" s="1395">
        <f>IFERROR(SUMIF(INTAKE!$A:$A,$T1012,INTAKE!$P:$P),0)</f>
        <v>0</v>
      </c>
      <c r="L1012" s="1533">
        <f t="shared" si="640"/>
        <v>0</v>
      </c>
      <c r="M1012" s="375"/>
      <c r="N1012" s="375"/>
      <c r="O1012" s="375"/>
      <c r="P1012" s="754"/>
      <c r="Q1012" s="795"/>
      <c r="R1012" s="785">
        <f>IFERROR(VLOOKUP($Q1012,'391'!$S:$Z,8,0),"")</f>
        <v>0</v>
      </c>
      <c r="S1012" s="796"/>
      <c r="T1012" s="797" t="str">
        <f>$Q$1016&amp;C1012&amp;E1012</f>
        <v>Mycofix Plus 5.0 (Singapore)42742</v>
      </c>
      <c r="U1012" s="797"/>
      <c r="V1012" s="797"/>
      <c r="W1012" s="785">
        <f>IFERROR(VLOOKUP($Q1012,'391'!$S:$AG,15,0),0)</f>
        <v>0</v>
      </c>
      <c r="X1012" s="1090">
        <f t="shared" si="632"/>
        <v>0</v>
      </c>
      <c r="Y1012" s="785"/>
      <c r="Z1012" s="785"/>
      <c r="AA1012" s="797"/>
      <c r="AB1012" s="797"/>
      <c r="AC1012" s="681"/>
      <c r="AD1012" s="681"/>
      <c r="AE1012" s="681"/>
      <c r="AF1012" s="681"/>
      <c r="AG1012" s="681"/>
      <c r="AH1012" s="681"/>
      <c r="AI1012" s="703"/>
      <c r="AJ1012" s="703"/>
      <c r="AK1012" s="703"/>
      <c r="AL1012" s="703"/>
      <c r="AM1012" s="703"/>
      <c r="AN1012" s="703"/>
      <c r="AO1012" s="703"/>
      <c r="AP1012" s="703"/>
      <c r="AQ1012" s="703"/>
      <c r="AR1012" s="703"/>
      <c r="AS1012" s="703"/>
    </row>
    <row r="1013" spans="1:45" s="409" customFormat="1" ht="30" hidden="1" customHeight="1" x14ac:dyDescent="0.25">
      <c r="A1013" s="2046"/>
      <c r="B1013" s="2199"/>
      <c r="C1013" s="193"/>
      <c r="D1013" s="987" t="s">
        <v>10</v>
      </c>
      <c r="E1013" s="988">
        <v>42749</v>
      </c>
      <c r="F1013" s="989">
        <f t="shared" si="641"/>
        <v>3537</v>
      </c>
      <c r="G1013" s="1395">
        <v>0</v>
      </c>
      <c r="H1013" s="1395"/>
      <c r="I1013" s="1395"/>
      <c r="J1013" s="1396"/>
      <c r="K1013" s="1395">
        <f>IFERROR(SUMIF(INTAKE!$A:$A,$T1013,INTAKE!$P:$P),0)</f>
        <v>0</v>
      </c>
      <c r="L1013" s="1533">
        <f t="shared" si="640"/>
        <v>0</v>
      </c>
      <c r="M1013" s="375"/>
      <c r="N1013" s="375"/>
      <c r="O1013" s="375"/>
      <c r="P1013" s="754"/>
      <c r="Q1013" s="795"/>
      <c r="R1013" s="785">
        <f>IFERROR(VLOOKUP($Q1013,'391'!$S:$Z,8,0),"")</f>
        <v>0</v>
      </c>
      <c r="S1013" s="796"/>
      <c r="T1013" s="797" t="str">
        <f>$Q$1016&amp;C1013&amp;E1013</f>
        <v>Mycofix Plus 5.0 (Singapore)42749</v>
      </c>
      <c r="U1013" s="797"/>
      <c r="V1013" s="797"/>
      <c r="W1013" s="785">
        <f>IFERROR(VLOOKUP($Q1013,'391'!$S:$AG,15,0),0)</f>
        <v>0</v>
      </c>
      <c r="X1013" s="1090">
        <f t="shared" si="632"/>
        <v>0</v>
      </c>
      <c r="Y1013" s="785"/>
      <c r="Z1013" s="785"/>
      <c r="AA1013" s="797"/>
      <c r="AB1013" s="797"/>
      <c r="AC1013" s="681"/>
      <c r="AD1013" s="681"/>
      <c r="AE1013" s="681"/>
      <c r="AF1013" s="681"/>
      <c r="AG1013" s="681"/>
      <c r="AH1013" s="681"/>
      <c r="AI1013" s="703"/>
      <c r="AJ1013" s="703"/>
      <c r="AK1013" s="703"/>
      <c r="AL1013" s="703"/>
      <c r="AM1013" s="703"/>
      <c r="AN1013" s="703"/>
      <c r="AO1013" s="703"/>
      <c r="AP1013" s="703"/>
      <c r="AQ1013" s="703"/>
      <c r="AR1013" s="703"/>
      <c r="AS1013" s="703"/>
    </row>
    <row r="1014" spans="1:45" s="409" customFormat="1" ht="30" hidden="1" customHeight="1" x14ac:dyDescent="0.25">
      <c r="A1014" s="2046"/>
      <c r="B1014" s="2199"/>
      <c r="C1014" s="193"/>
      <c r="D1014" s="987" t="s">
        <v>10</v>
      </c>
      <c r="E1014" s="988">
        <v>42770</v>
      </c>
      <c r="F1014" s="989">
        <f t="shared" si="641"/>
        <v>3516</v>
      </c>
      <c r="G1014" s="1395">
        <v>0</v>
      </c>
      <c r="H1014" s="1395"/>
      <c r="I1014" s="1395"/>
      <c r="J1014" s="1396"/>
      <c r="K1014" s="1395">
        <f>IFERROR(SUMIF(INTAKE!$A:$A,$T1014,INTAKE!$P:$P),0)</f>
        <v>0</v>
      </c>
      <c r="L1014" s="1533">
        <f t="shared" si="640"/>
        <v>0</v>
      </c>
      <c r="M1014" s="375"/>
      <c r="N1014" s="375"/>
      <c r="O1014" s="375"/>
      <c r="P1014" s="754"/>
      <c r="Q1014" s="795"/>
      <c r="R1014" s="785">
        <f>IFERROR(VLOOKUP($Q1014,'391'!$S:$Z,8,0),"")</f>
        <v>0</v>
      </c>
      <c r="S1014" s="796"/>
      <c r="T1014" s="797" t="str">
        <f>$Q$1016&amp;C1014&amp;E1014</f>
        <v>Mycofix Plus 5.0 (Singapore)42770</v>
      </c>
      <c r="U1014" s="797"/>
      <c r="V1014" s="797"/>
      <c r="W1014" s="785">
        <f>IFERROR(VLOOKUP($Q1014,'391'!$S:$AG,15,0),0)</f>
        <v>0</v>
      </c>
      <c r="X1014" s="1090">
        <f t="shared" si="632"/>
        <v>0</v>
      </c>
      <c r="Y1014" s="785"/>
      <c r="Z1014" s="785"/>
      <c r="AA1014" s="797"/>
      <c r="AB1014" s="797"/>
      <c r="AC1014" s="681"/>
      <c r="AD1014" s="681"/>
      <c r="AE1014" s="681"/>
      <c r="AF1014" s="681"/>
      <c r="AG1014" s="681"/>
      <c r="AH1014" s="681"/>
      <c r="AI1014" s="703"/>
      <c r="AJ1014" s="703"/>
      <c r="AK1014" s="703"/>
      <c r="AL1014" s="703"/>
      <c r="AM1014" s="703"/>
      <c r="AN1014" s="703"/>
      <c r="AO1014" s="703"/>
      <c r="AP1014" s="703"/>
      <c r="AQ1014" s="703"/>
      <c r="AR1014" s="703"/>
      <c r="AS1014" s="703"/>
    </row>
    <row r="1015" spans="1:45" s="401" customFormat="1" ht="30" customHeight="1" x14ac:dyDescent="0.25">
      <c r="A1015" s="2047"/>
      <c r="B1015" s="2202"/>
      <c r="C1015" s="61" t="s">
        <v>46</v>
      </c>
      <c r="D1015" s="990" t="s">
        <v>10</v>
      </c>
      <c r="E1015" s="991">
        <v>46248</v>
      </c>
      <c r="F1015" s="992">
        <f t="shared" si="641"/>
        <v>38</v>
      </c>
      <c r="G1015" s="1406">
        <v>194.63999999999987</v>
      </c>
      <c r="H1015" s="1406"/>
      <c r="I1015" s="1406">
        <f>+SUM(K1008:K1011)</f>
        <v>1000</v>
      </c>
      <c r="J1015" s="1407">
        <f>+usage!I106</f>
        <v>125.66</v>
      </c>
      <c r="K1015" s="1395">
        <f>IFERROR(SUMIF(INTAKE!$A:$A,$T1015,INTAKE!$P:$P),0)</f>
        <v>0</v>
      </c>
      <c r="L1015" s="1533">
        <f t="shared" si="640"/>
        <v>1068.9799999999998</v>
      </c>
      <c r="M1015" s="384"/>
      <c r="N1015" s="384"/>
      <c r="O1015" s="384"/>
      <c r="P1015" s="757"/>
      <c r="Q1015" s="795" t="s">
        <v>1229</v>
      </c>
      <c r="R1015" s="785">
        <f>IFERROR(VLOOKUP($Q1015,'391'!$S:$Z,8,0),"0")</f>
        <v>644.91999999999996</v>
      </c>
      <c r="S1015" s="796"/>
      <c r="T1015" s="797" t="str">
        <f>$Q$1016&amp;C1015&amp;E1015</f>
        <v>Mycofix Plus 5.0 (Singapore)Feedmill46248</v>
      </c>
      <c r="U1015" s="797"/>
      <c r="V1015" s="797"/>
      <c r="W1015" s="785">
        <f>IFERROR(VLOOKUP($Q1015,'391'!$S:$AG,15,0),0)</f>
        <v>3194.64</v>
      </c>
      <c r="X1015" s="1090">
        <f t="shared" si="632"/>
        <v>-3000</v>
      </c>
      <c r="Y1015" s="785"/>
      <c r="Z1015" s="785"/>
      <c r="AA1015" s="797"/>
      <c r="AB1015" s="797"/>
      <c r="AC1015" s="681"/>
      <c r="AD1015" s="681"/>
      <c r="AE1015" s="681"/>
      <c r="AF1015" s="681"/>
      <c r="AG1015" s="681"/>
      <c r="AH1015" s="681"/>
      <c r="AI1015" s="703"/>
      <c r="AJ1015" s="703"/>
      <c r="AK1015" s="703"/>
      <c r="AL1015" s="703"/>
      <c r="AM1015" s="703"/>
      <c r="AN1015" s="703"/>
      <c r="AO1015" s="703"/>
      <c r="AP1015" s="703"/>
      <c r="AQ1015" s="703"/>
      <c r="AR1015" s="703"/>
      <c r="AS1015" s="703"/>
    </row>
    <row r="1016" spans="1:45" s="265" customFormat="1" ht="30" customHeight="1" x14ac:dyDescent="0.25">
      <c r="A1016" s="2019" t="s">
        <v>62</v>
      </c>
      <c r="B1016" s="2020"/>
      <c r="C1016" s="88"/>
      <c r="D1016" s="864"/>
      <c r="E1016" s="864"/>
      <c r="F1016" s="865"/>
      <c r="G1016" s="1297">
        <v>3194.64</v>
      </c>
      <c r="H1016" s="1297">
        <f t="shared" ref="H1016:L1016" si="642">+SUM(H1008:H1015)</f>
        <v>0</v>
      </c>
      <c r="I1016" s="1297">
        <f t="shared" si="642"/>
        <v>1000</v>
      </c>
      <c r="J1016" s="1297">
        <f t="shared" si="642"/>
        <v>125.66</v>
      </c>
      <c r="K1016" s="1297">
        <f t="shared" si="642"/>
        <v>1000</v>
      </c>
      <c r="L1016" s="1297">
        <f t="shared" si="642"/>
        <v>3068.9799999999996</v>
      </c>
      <c r="M1016" s="982">
        <f>IFERROR((S1016/$S$2),"")</f>
        <v>107.48666666666666</v>
      </c>
      <c r="N1016" s="366">
        <f>IFERROR(L1016/M1016,0)</f>
        <v>28.552192520002478</v>
      </c>
      <c r="O1016" s="982">
        <f>IFERROR(SUMIF(ETM!$A:$A,$Q1016,ETM!$E:$E),"")</f>
        <v>106</v>
      </c>
      <c r="P1016" s="880">
        <f>IFERROR(L1016/O1016,0)</f>
        <v>28.95264150943396</v>
      </c>
      <c r="Q1016" s="814" t="s">
        <v>673</v>
      </c>
      <c r="R1016" s="785" t="str">
        <f>IFERROR(VLOOKUP($Q1016,'391'!$S:$Z,8,0),"0")</f>
        <v>0</v>
      </c>
      <c r="S1016" s="796">
        <f>+R1015+R1016</f>
        <v>644.91999999999996</v>
      </c>
      <c r="T1016" s="797"/>
      <c r="U1016" s="797"/>
      <c r="V1016" s="797"/>
      <c r="W1016" s="785">
        <f>IFERROR(VLOOKUP($Q1016,'391'!$S:$AG,15,0),0)</f>
        <v>0</v>
      </c>
      <c r="X1016" s="1231">
        <f>G1016-W1016-W1015</f>
        <v>0</v>
      </c>
      <c r="Y1016" s="785"/>
      <c r="Z1016" s="785"/>
      <c r="AA1016" s="797"/>
      <c r="AB1016" s="797"/>
      <c r="AC1016" s="551"/>
      <c r="AD1016" s="551"/>
      <c r="AE1016" s="551"/>
      <c r="AF1016" s="551"/>
      <c r="AG1016" s="551"/>
      <c r="AH1016" s="551"/>
      <c r="AI1016" s="704"/>
      <c r="AJ1016" s="704"/>
      <c r="AK1016" s="704"/>
      <c r="AL1016" s="704"/>
      <c r="AM1016" s="704"/>
      <c r="AN1016" s="704"/>
      <c r="AO1016" s="704"/>
      <c r="AP1016" s="704"/>
      <c r="AQ1016" s="704"/>
      <c r="AR1016" s="704"/>
      <c r="AS1016" s="704"/>
    </row>
    <row r="1017" spans="1:45" s="409" customFormat="1" ht="30" hidden="1" customHeight="1" x14ac:dyDescent="0.25">
      <c r="A1017" s="2021" t="str">
        <f>IF(L1023=0,"",MAX($A$16:A1016)+1)</f>
        <v/>
      </c>
      <c r="B1017" s="2198" t="s">
        <v>63</v>
      </c>
      <c r="C1017" s="139"/>
      <c r="D1017" s="887" t="s">
        <v>10</v>
      </c>
      <c r="E1017" s="888">
        <v>45624</v>
      </c>
      <c r="F1017" s="70">
        <f t="shared" ref="F1017" si="643">$L$7-E1017</f>
        <v>662</v>
      </c>
      <c r="G1017" s="63">
        <v>0</v>
      </c>
      <c r="H1017" s="63"/>
      <c r="I1017" s="63"/>
      <c r="J1017" s="1378"/>
      <c r="K1017" s="1408">
        <f>IFERROR(SUMIF(INTAKE!$A:$A,$T1017,INTAKE!$P:$P),0)</f>
        <v>0</v>
      </c>
      <c r="L1017" s="1702">
        <f t="shared" ref="L1017:L1022" si="644">+G1017+H1017+I1017-J1017-K1017</f>
        <v>0</v>
      </c>
      <c r="M1017" s="376"/>
      <c r="N1017" s="176"/>
      <c r="O1017" s="50"/>
      <c r="P1017" s="857"/>
      <c r="Q1017" s="795"/>
      <c r="R1017" s="785">
        <f>IFERROR(VLOOKUP($Q1017,'391'!$S:$Z,8,0),"")</f>
        <v>0</v>
      </c>
      <c r="S1017" s="796"/>
      <c r="T1017" s="797" t="str">
        <f t="shared" ref="T1017:T1022" si="645">$Q$1023&amp;C1017&amp;E1017</f>
        <v>Novasil Plus45624</v>
      </c>
      <c r="U1017" s="797"/>
      <c r="V1017" s="797"/>
      <c r="W1017" s="785">
        <f>IFERROR(VLOOKUP($Q1017,'391'!$S:$AG,15,0),0)</f>
        <v>0</v>
      </c>
      <c r="X1017" s="1090">
        <f t="shared" ref="X1017:X1081" si="646">G1017-W1017</f>
        <v>0</v>
      </c>
      <c r="Y1017" s="785"/>
      <c r="Z1017" s="785"/>
      <c r="AA1017" s="797"/>
      <c r="AB1017" s="797"/>
      <c r="AC1017" s="681"/>
      <c r="AD1017" s="681"/>
      <c r="AE1017" s="681"/>
      <c r="AF1017" s="681"/>
      <c r="AG1017" s="681"/>
      <c r="AH1017" s="681"/>
      <c r="AI1017" s="703"/>
      <c r="AJ1017" s="703"/>
      <c r="AK1017" s="703"/>
      <c r="AL1017" s="703"/>
      <c r="AM1017" s="703"/>
      <c r="AN1017" s="703"/>
      <c r="AO1017" s="703"/>
      <c r="AP1017" s="703"/>
      <c r="AQ1017" s="703"/>
      <c r="AR1017" s="703"/>
      <c r="AS1017" s="703"/>
    </row>
    <row r="1018" spans="1:45" s="409" customFormat="1" ht="30" hidden="1" customHeight="1" x14ac:dyDescent="0.25">
      <c r="A1018" s="2022"/>
      <c r="B1018" s="2199"/>
      <c r="C1018" s="139"/>
      <c r="D1018" s="887" t="s">
        <v>10</v>
      </c>
      <c r="E1018" s="888">
        <v>45519</v>
      </c>
      <c r="F1018" s="70">
        <f t="shared" ref="F1018:F1022" si="647">$L$7-E1018</f>
        <v>767</v>
      </c>
      <c r="G1018" s="63">
        <v>0</v>
      </c>
      <c r="H1018" s="63"/>
      <c r="I1018" s="63"/>
      <c r="J1018" s="1378"/>
      <c r="K1018" s="1408">
        <f>IFERROR(SUMIF(INTAKE!$A:$A,$T1018,INTAKE!$P:$P),0)</f>
        <v>0</v>
      </c>
      <c r="L1018" s="1533">
        <f t="shared" si="644"/>
        <v>0</v>
      </c>
      <c r="M1018" s="373"/>
      <c r="N1018" s="163"/>
      <c r="O1018" s="48"/>
      <c r="P1018" s="750"/>
      <c r="Q1018" s="795"/>
      <c r="R1018" s="785">
        <f>IFERROR(VLOOKUP($Q1018,'391'!$S:$Z,8,0),"")</f>
        <v>0</v>
      </c>
      <c r="S1018" s="796"/>
      <c r="T1018" s="797" t="str">
        <f t="shared" si="645"/>
        <v>Novasil Plus45519</v>
      </c>
      <c r="U1018" s="797"/>
      <c r="V1018" s="797"/>
      <c r="W1018" s="785">
        <f>IFERROR(VLOOKUP($Q1018,'391'!$S:$AG,15,0),0)</f>
        <v>0</v>
      </c>
      <c r="X1018" s="1090">
        <f t="shared" si="646"/>
        <v>0</v>
      </c>
      <c r="Y1018" s="785"/>
      <c r="Z1018" s="785"/>
      <c r="AA1018" s="797"/>
      <c r="AB1018" s="797"/>
      <c r="AC1018" s="681"/>
      <c r="AD1018" s="681"/>
      <c r="AE1018" s="681"/>
      <c r="AF1018" s="681"/>
      <c r="AG1018" s="681"/>
      <c r="AH1018" s="681"/>
      <c r="AI1018" s="703"/>
      <c r="AJ1018" s="703"/>
      <c r="AK1018" s="703"/>
      <c r="AL1018" s="703"/>
      <c r="AM1018" s="703"/>
      <c r="AN1018" s="703"/>
      <c r="AO1018" s="703"/>
      <c r="AP1018" s="703"/>
      <c r="AQ1018" s="703"/>
      <c r="AR1018" s="703"/>
      <c r="AS1018" s="703"/>
    </row>
    <row r="1019" spans="1:45" s="409" customFormat="1" ht="30" hidden="1" customHeight="1" x14ac:dyDescent="0.25">
      <c r="A1019" s="2022"/>
      <c r="B1019" s="2199"/>
      <c r="C1019" s="139"/>
      <c r="D1019" s="887"/>
      <c r="E1019" s="888"/>
      <c r="F1019" s="70">
        <f t="shared" si="647"/>
        <v>46286</v>
      </c>
      <c r="G1019" s="63">
        <v>0</v>
      </c>
      <c r="H1019" s="63"/>
      <c r="I1019" s="63"/>
      <c r="J1019" s="1378"/>
      <c r="K1019" s="63">
        <f>IFERROR(SUMIF(INTAKE!$A:$A,$T1019,INTAKE!$P:$P),0)</f>
        <v>0</v>
      </c>
      <c r="L1019" s="1533">
        <f t="shared" si="644"/>
        <v>0</v>
      </c>
      <c r="M1019" s="373"/>
      <c r="N1019" s="163"/>
      <c r="O1019" s="48"/>
      <c r="P1019" s="750"/>
      <c r="Q1019" s="795"/>
      <c r="R1019" s="785">
        <f>IFERROR(VLOOKUP($Q1019,'391'!$S:$Z,8,0),"")</f>
        <v>0</v>
      </c>
      <c r="S1019" s="796"/>
      <c r="T1019" s="797" t="str">
        <f t="shared" si="645"/>
        <v>Novasil Plus</v>
      </c>
      <c r="U1019" s="797"/>
      <c r="V1019" s="797"/>
      <c r="W1019" s="785">
        <f>IFERROR(VLOOKUP($Q1019,'391'!$S:$AG,15,0),0)</f>
        <v>0</v>
      </c>
      <c r="X1019" s="1090">
        <f t="shared" si="646"/>
        <v>0</v>
      </c>
      <c r="Y1019" s="785"/>
      <c r="Z1019" s="785"/>
      <c r="AA1019" s="797"/>
      <c r="AB1019" s="797"/>
      <c r="AC1019" s="681"/>
      <c r="AD1019" s="681"/>
      <c r="AE1019" s="681"/>
      <c r="AF1019" s="681"/>
      <c r="AG1019" s="681"/>
      <c r="AH1019" s="681"/>
      <c r="AI1019" s="703"/>
      <c r="AJ1019" s="703"/>
      <c r="AK1019" s="703"/>
      <c r="AL1019" s="703"/>
      <c r="AM1019" s="703"/>
      <c r="AN1019" s="703"/>
      <c r="AO1019" s="703"/>
      <c r="AP1019" s="703"/>
      <c r="AQ1019" s="703"/>
      <c r="AR1019" s="703"/>
      <c r="AS1019" s="703"/>
    </row>
    <row r="1020" spans="1:45" s="409" customFormat="1" ht="30" hidden="1" customHeight="1" x14ac:dyDescent="0.25">
      <c r="A1020" s="2022"/>
      <c r="B1020" s="2199"/>
      <c r="C1020" s="139"/>
      <c r="D1020" s="987" t="s">
        <v>10</v>
      </c>
      <c r="E1020" s="988">
        <v>46238</v>
      </c>
      <c r="F1020" s="70">
        <f t="shared" ref="F1020" si="648">$L$7-E1020</f>
        <v>48</v>
      </c>
      <c r="G1020" s="63">
        <v>0</v>
      </c>
      <c r="H1020" s="63"/>
      <c r="I1020" s="63"/>
      <c r="J1020" s="1378"/>
      <c r="K1020" s="63">
        <f>IFERROR(SUMIF(INTAKE!$A:$A,$T1020,INTAKE!$P:$P),0)</f>
        <v>0</v>
      </c>
      <c r="L1020" s="1702">
        <f t="shared" si="644"/>
        <v>0</v>
      </c>
      <c r="M1020" s="373"/>
      <c r="N1020" s="163"/>
      <c r="O1020" s="48"/>
      <c r="P1020" s="750"/>
      <c r="Q1020" s="795"/>
      <c r="R1020" s="785">
        <f>IFERROR(VLOOKUP($Q1020,'391'!$S:$Z,8,0),"")</f>
        <v>0</v>
      </c>
      <c r="S1020" s="796"/>
      <c r="T1020" s="797" t="str">
        <f t="shared" si="645"/>
        <v>Novasil Plus46238</v>
      </c>
      <c r="U1020" s="797"/>
      <c r="V1020" s="797"/>
      <c r="W1020" s="785">
        <f>IFERROR(VLOOKUP($Q1020,'391'!$S:$AG,15,0),0)</f>
        <v>0</v>
      </c>
      <c r="X1020" s="1090">
        <f t="shared" si="646"/>
        <v>0</v>
      </c>
      <c r="Y1020" s="785"/>
      <c r="Z1020" s="785"/>
      <c r="AA1020" s="797"/>
      <c r="AB1020" s="797"/>
      <c r="AC1020" s="681"/>
      <c r="AD1020" s="681"/>
      <c r="AE1020" s="681"/>
      <c r="AF1020" s="681"/>
      <c r="AG1020" s="681"/>
      <c r="AH1020" s="681"/>
      <c r="AI1020" s="703"/>
      <c r="AJ1020" s="703"/>
      <c r="AK1020" s="703"/>
      <c r="AL1020" s="703"/>
      <c r="AM1020" s="703"/>
      <c r="AN1020" s="703"/>
      <c r="AO1020" s="703"/>
      <c r="AP1020" s="703"/>
      <c r="AQ1020" s="703"/>
      <c r="AR1020" s="703"/>
      <c r="AS1020" s="703"/>
    </row>
    <row r="1021" spans="1:45" s="409" customFormat="1" ht="30" hidden="1" customHeight="1" x14ac:dyDescent="0.25">
      <c r="A1021" s="2022"/>
      <c r="B1021" s="2199"/>
      <c r="C1021" s="139"/>
      <c r="D1021" s="987" t="s">
        <v>10</v>
      </c>
      <c r="E1021" s="988">
        <v>46177</v>
      </c>
      <c r="F1021" s="70">
        <f t="shared" si="647"/>
        <v>109</v>
      </c>
      <c r="G1021" s="63">
        <v>0</v>
      </c>
      <c r="H1021" s="63"/>
      <c r="I1021" s="63"/>
      <c r="J1021" s="1378"/>
      <c r="K1021" s="63">
        <f>IFERROR(SUMIF(INTAKE!$A:$A,$T1021,INTAKE!$P:$P),0)</f>
        <v>0</v>
      </c>
      <c r="L1021" s="1702">
        <f t="shared" si="644"/>
        <v>0</v>
      </c>
      <c r="M1021" s="373"/>
      <c r="N1021" s="163"/>
      <c r="O1021" s="48"/>
      <c r="P1021" s="750"/>
      <c r="Q1021" s="795"/>
      <c r="R1021" s="785">
        <f>IFERROR(VLOOKUP($Q1021,'391'!$S:$Z,8,0),"")</f>
        <v>0</v>
      </c>
      <c r="S1021" s="796"/>
      <c r="T1021" s="797" t="str">
        <f t="shared" si="645"/>
        <v>Novasil Plus46177</v>
      </c>
      <c r="U1021" s="797"/>
      <c r="V1021" s="797"/>
      <c r="W1021" s="785">
        <f>IFERROR(VLOOKUP($Q1021,'391'!$S:$AG,15,0),0)</f>
        <v>0</v>
      </c>
      <c r="X1021" s="1090">
        <f t="shared" si="646"/>
        <v>0</v>
      </c>
      <c r="Y1021" s="785"/>
      <c r="Z1021" s="785"/>
      <c r="AA1021" s="797"/>
      <c r="AB1021" s="797"/>
      <c r="AC1021" s="681"/>
      <c r="AD1021" s="681"/>
      <c r="AE1021" s="681"/>
      <c r="AF1021" s="681"/>
      <c r="AG1021" s="681"/>
      <c r="AH1021" s="681"/>
      <c r="AI1021" s="703"/>
      <c r="AJ1021" s="703"/>
      <c r="AK1021" s="703"/>
      <c r="AL1021" s="703"/>
      <c r="AM1021" s="703"/>
      <c r="AN1021" s="703"/>
      <c r="AO1021" s="703"/>
      <c r="AP1021" s="703"/>
      <c r="AQ1021" s="703"/>
      <c r="AR1021" s="703"/>
      <c r="AS1021" s="703"/>
    </row>
    <row r="1022" spans="1:45" s="409" customFormat="1" ht="30" hidden="1" customHeight="1" x14ac:dyDescent="0.25">
      <c r="A1022" s="2022"/>
      <c r="B1022" s="2199"/>
      <c r="C1022" s="138" t="s">
        <v>46</v>
      </c>
      <c r="D1022" s="852" t="s">
        <v>10</v>
      </c>
      <c r="E1022" s="853">
        <v>46238</v>
      </c>
      <c r="F1022" s="70">
        <f t="shared" si="647"/>
        <v>48</v>
      </c>
      <c r="G1022" s="1365">
        <v>0</v>
      </c>
      <c r="H1022" s="64"/>
      <c r="I1022" s="58">
        <f>+SUM(K1017:K1021)</f>
        <v>0</v>
      </c>
      <c r="J1022" s="1365">
        <f>+usage!I107</f>
        <v>0</v>
      </c>
      <c r="K1022" s="63">
        <f>IFERROR(SUMIF(INTAKE!$A:$A,$T1022,INTAKE!$P:$P),0)</f>
        <v>0</v>
      </c>
      <c r="L1022" s="1533">
        <f t="shared" si="644"/>
        <v>0</v>
      </c>
      <c r="M1022" s="48"/>
      <c r="N1022" s="162"/>
      <c r="O1022" s="45"/>
      <c r="P1022" s="756"/>
      <c r="Q1022" s="795"/>
      <c r="R1022" s="785">
        <f>IFERROR(VLOOKUP($Q1022,'391'!$S:$Z,8,0),"")</f>
        <v>0</v>
      </c>
      <c r="S1022" s="796"/>
      <c r="T1022" s="797" t="str">
        <f t="shared" si="645"/>
        <v>Novasil PlusFeedmill46238</v>
      </c>
      <c r="U1022" s="797"/>
      <c r="V1022" s="797"/>
      <c r="W1022" s="785">
        <f>IFERROR(VLOOKUP($Q1022,'391'!$S:$AG,15,0),0)</f>
        <v>0</v>
      </c>
      <c r="X1022" s="1090">
        <f t="shared" si="646"/>
        <v>0</v>
      </c>
      <c r="Y1022" s="785"/>
      <c r="Z1022" s="785"/>
      <c r="AA1022" s="797"/>
      <c r="AB1022" s="797"/>
      <c r="AC1022" s="681"/>
      <c r="AD1022" s="681"/>
      <c r="AE1022" s="681"/>
      <c r="AF1022" s="681"/>
      <c r="AG1022" s="681"/>
      <c r="AH1022" s="681"/>
      <c r="AI1022" s="703"/>
      <c r="AJ1022" s="703"/>
      <c r="AK1022" s="703"/>
      <c r="AL1022" s="703"/>
      <c r="AM1022" s="703"/>
      <c r="AN1022" s="703"/>
      <c r="AO1022" s="703"/>
      <c r="AP1022" s="703"/>
      <c r="AQ1022" s="703"/>
      <c r="AR1022" s="703"/>
      <c r="AS1022" s="703"/>
    </row>
    <row r="1023" spans="1:45" s="265" customFormat="1" ht="30" hidden="1" customHeight="1" x14ac:dyDescent="0.25">
      <c r="A1023" s="2019" t="s">
        <v>64</v>
      </c>
      <c r="B1023" s="2020"/>
      <c r="C1023" s="88"/>
      <c r="D1023" s="864"/>
      <c r="E1023" s="864"/>
      <c r="F1023" s="865"/>
      <c r="G1023" s="1297">
        <v>0</v>
      </c>
      <c r="H1023" s="1297">
        <f t="shared" ref="H1023:L1023" si="649">SUM(H1017:H1022)</f>
        <v>0</v>
      </c>
      <c r="I1023" s="1297">
        <f t="shared" si="649"/>
        <v>0</v>
      </c>
      <c r="J1023" s="1297">
        <f t="shared" si="649"/>
        <v>0</v>
      </c>
      <c r="K1023" s="1297">
        <f t="shared" si="649"/>
        <v>0</v>
      </c>
      <c r="L1023" s="1297">
        <f t="shared" si="649"/>
        <v>0</v>
      </c>
      <c r="M1023" s="982" t="str">
        <f>IFERROR((R1023/$S$2),"")</f>
        <v/>
      </c>
      <c r="N1023" s="366">
        <f>IFERROR(L1023/M1023,0)</f>
        <v>0</v>
      </c>
      <c r="O1023" s="982">
        <f>IFERROR(SUMIF(ETM!$A:$A,$Q1023,ETM!$E:$E),"")</f>
        <v>0</v>
      </c>
      <c r="P1023" s="880">
        <f>IFERROR(L1023/O1023,0)</f>
        <v>0</v>
      </c>
      <c r="Q1023" s="814" t="s">
        <v>63</v>
      </c>
      <c r="R1023" s="785" t="str">
        <f>IFERROR(VLOOKUP($Q1023,'391'!$S:$Z,8,0),"")</f>
        <v/>
      </c>
      <c r="S1023" s="796"/>
      <c r="T1023" s="797"/>
      <c r="U1023" s="797"/>
      <c r="V1023" s="797"/>
      <c r="W1023" s="785">
        <f>IFERROR(VLOOKUP($Q1023,'391'!$S:$AG,15,0),0)</f>
        <v>0</v>
      </c>
      <c r="X1023" s="1090">
        <f t="shared" si="646"/>
        <v>0</v>
      </c>
      <c r="Y1023" s="785"/>
      <c r="Z1023" s="785"/>
      <c r="AA1023" s="797"/>
      <c r="AB1023" s="797"/>
      <c r="AC1023" s="551"/>
      <c r="AD1023" s="551"/>
      <c r="AE1023" s="551"/>
      <c r="AF1023" s="551"/>
      <c r="AG1023" s="551"/>
      <c r="AH1023" s="551"/>
      <c r="AI1023" s="704"/>
      <c r="AJ1023" s="704"/>
      <c r="AK1023" s="704"/>
      <c r="AL1023" s="704"/>
      <c r="AM1023" s="704"/>
      <c r="AN1023" s="704"/>
      <c r="AO1023" s="704"/>
      <c r="AP1023" s="704"/>
      <c r="AQ1023" s="704"/>
      <c r="AR1023" s="704"/>
      <c r="AS1023" s="704"/>
    </row>
    <row r="1024" spans="1:45" s="409" customFormat="1" ht="30" hidden="1" customHeight="1" x14ac:dyDescent="0.25">
      <c r="A1024" s="2021" t="str">
        <f>IF(L1029=0,"",MAX($A$16:A1023)+1)</f>
        <v/>
      </c>
      <c r="B1024" s="2043" t="s">
        <v>595</v>
      </c>
      <c r="C1024" s="158" t="s">
        <v>248</v>
      </c>
      <c r="D1024" s="881" t="s">
        <v>10</v>
      </c>
      <c r="E1024" s="882">
        <v>45957</v>
      </c>
      <c r="F1024" s="71">
        <f>$L$7-E1024</f>
        <v>329</v>
      </c>
      <c r="G1024" s="64">
        <v>0</v>
      </c>
      <c r="H1024" s="64"/>
      <c r="I1024" s="64"/>
      <c r="J1024" s="1367"/>
      <c r="K1024" s="63">
        <f>IFERROR(SUMIF(INTAKE!$A:$A,$T1024,INTAKE!$P:$P),0)</f>
        <v>0</v>
      </c>
      <c r="L1024" s="1711">
        <f t="shared" ref="L1024:L1039" si="650">+G1024+H1024+I1024-J1024-K1024</f>
        <v>0</v>
      </c>
      <c r="M1024" s="377"/>
      <c r="N1024" s="176"/>
      <c r="O1024" s="46"/>
      <c r="P1024" s="748"/>
      <c r="Q1024" s="795"/>
      <c r="R1024" s="785">
        <f>IFERROR(VLOOKUP($Q1024,'391'!$S:$Z,8,0),"")</f>
        <v>0</v>
      </c>
      <c r="S1024" s="796"/>
      <c r="T1024" s="797" t="str">
        <f>$Q$1029&amp;C1024&amp;E1024</f>
        <v>Biofil Yellow 2%Y4.145957</v>
      </c>
      <c r="U1024" s="797"/>
      <c r="V1024" s="797"/>
      <c r="W1024" s="785">
        <f>IFERROR(VLOOKUP($Q1024,'391'!$S:$AG,15,0),0)</f>
        <v>0</v>
      </c>
      <c r="X1024" s="1090">
        <f t="shared" si="646"/>
        <v>0</v>
      </c>
      <c r="Y1024" s="785"/>
      <c r="Z1024" s="785"/>
      <c r="AA1024" s="797"/>
      <c r="AB1024" s="797"/>
      <c r="AC1024" s="681"/>
      <c r="AD1024" s="681"/>
      <c r="AE1024" s="681"/>
      <c r="AF1024" s="681"/>
      <c r="AG1024" s="681"/>
      <c r="AH1024" s="681"/>
      <c r="AI1024" s="703"/>
      <c r="AJ1024" s="703"/>
      <c r="AK1024" s="703"/>
      <c r="AL1024" s="703"/>
      <c r="AM1024" s="703"/>
      <c r="AN1024" s="703"/>
      <c r="AO1024" s="703"/>
      <c r="AP1024" s="703"/>
      <c r="AQ1024" s="703"/>
      <c r="AR1024" s="703"/>
      <c r="AS1024" s="703"/>
    </row>
    <row r="1025" spans="1:45" s="409" customFormat="1" ht="30" hidden="1" customHeight="1" x14ac:dyDescent="0.25">
      <c r="A1025" s="2022"/>
      <c r="B1025" s="2065"/>
      <c r="C1025" s="158"/>
      <c r="D1025" s="881" t="s">
        <v>10</v>
      </c>
      <c r="E1025" s="882">
        <v>44133</v>
      </c>
      <c r="F1025" s="71">
        <f>$L$7-E1025</f>
        <v>2153</v>
      </c>
      <c r="G1025" s="64">
        <v>0</v>
      </c>
      <c r="H1025" s="64"/>
      <c r="I1025" s="64"/>
      <c r="J1025" s="1367"/>
      <c r="K1025" s="64"/>
      <c r="L1025" s="1533">
        <f t="shared" si="650"/>
        <v>0</v>
      </c>
      <c r="M1025" s="377"/>
      <c r="N1025" s="176"/>
      <c r="O1025" s="46"/>
      <c r="P1025" s="748"/>
      <c r="Q1025" s="795"/>
      <c r="R1025" s="785">
        <f>IFERROR(VLOOKUP($Q1025,'391'!$S:$Z,8,0),"")</f>
        <v>0</v>
      </c>
      <c r="S1025" s="796"/>
      <c r="T1025" s="797" t="str">
        <f t="shared" ref="T1025:T1028" si="651">$Q$1029&amp;C1025&amp;E1025</f>
        <v>Biofil Yellow 2%44133</v>
      </c>
      <c r="U1025" s="797"/>
      <c r="V1025" s="797"/>
      <c r="W1025" s="785">
        <f>IFERROR(VLOOKUP($Q1025,'391'!$S:$AG,15,0),0)</f>
        <v>0</v>
      </c>
      <c r="X1025" s="1090">
        <f t="shared" si="646"/>
        <v>0</v>
      </c>
      <c r="Y1025" s="785"/>
      <c r="Z1025" s="785"/>
      <c r="AA1025" s="797"/>
      <c r="AB1025" s="797"/>
      <c r="AC1025" s="681"/>
      <c r="AD1025" s="681"/>
      <c r="AE1025" s="681"/>
      <c r="AF1025" s="681"/>
      <c r="AG1025" s="681"/>
      <c r="AH1025" s="681"/>
      <c r="AI1025" s="703"/>
      <c r="AJ1025" s="703"/>
      <c r="AK1025" s="703"/>
      <c r="AL1025" s="703"/>
      <c r="AM1025" s="703"/>
      <c r="AN1025" s="703"/>
      <c r="AO1025" s="703"/>
      <c r="AP1025" s="703"/>
      <c r="AQ1025" s="703"/>
      <c r="AR1025" s="703"/>
      <c r="AS1025" s="703"/>
    </row>
    <row r="1026" spans="1:45" s="409" customFormat="1" ht="30" hidden="1" customHeight="1" x14ac:dyDescent="0.25">
      <c r="A1026" s="2022"/>
      <c r="B1026" s="2065"/>
      <c r="C1026" s="158"/>
      <c r="D1026" s="881" t="s">
        <v>10</v>
      </c>
      <c r="E1026" s="882">
        <v>44133</v>
      </c>
      <c r="F1026" s="71">
        <f>$L$7-E1026</f>
        <v>2153</v>
      </c>
      <c r="G1026" s="64">
        <v>0</v>
      </c>
      <c r="H1026" s="64"/>
      <c r="I1026" s="64"/>
      <c r="J1026" s="1367"/>
      <c r="K1026" s="64"/>
      <c r="L1026" s="1533">
        <f t="shared" si="650"/>
        <v>0</v>
      </c>
      <c r="M1026" s="377"/>
      <c r="N1026" s="176"/>
      <c r="O1026" s="46"/>
      <c r="P1026" s="748"/>
      <c r="Q1026" s="795"/>
      <c r="R1026" s="785">
        <f>IFERROR(VLOOKUP($Q1026,'391'!$S:$Z,8,0),"")</f>
        <v>0</v>
      </c>
      <c r="S1026" s="796"/>
      <c r="T1026" s="797" t="str">
        <f t="shared" si="651"/>
        <v>Biofil Yellow 2%44133</v>
      </c>
      <c r="U1026" s="797"/>
      <c r="V1026" s="797"/>
      <c r="W1026" s="785">
        <f>IFERROR(VLOOKUP($Q1026,'391'!$S:$AG,15,0),0)</f>
        <v>0</v>
      </c>
      <c r="X1026" s="1090">
        <f t="shared" si="646"/>
        <v>0</v>
      </c>
      <c r="Y1026" s="785"/>
      <c r="Z1026" s="785"/>
      <c r="AA1026" s="797"/>
      <c r="AB1026" s="797"/>
      <c r="AC1026" s="681"/>
      <c r="AD1026" s="681"/>
      <c r="AE1026" s="681"/>
      <c r="AF1026" s="681"/>
      <c r="AG1026" s="681"/>
      <c r="AH1026" s="681"/>
      <c r="AI1026" s="703"/>
      <c r="AJ1026" s="703"/>
      <c r="AK1026" s="703"/>
      <c r="AL1026" s="703"/>
      <c r="AM1026" s="703"/>
      <c r="AN1026" s="703"/>
      <c r="AO1026" s="703"/>
      <c r="AP1026" s="703"/>
      <c r="AQ1026" s="703"/>
      <c r="AR1026" s="703"/>
      <c r="AS1026" s="703"/>
    </row>
    <row r="1027" spans="1:45" s="409" customFormat="1" ht="30" hidden="1" customHeight="1" x14ac:dyDescent="0.25">
      <c r="A1027" s="2022"/>
      <c r="B1027" s="2065"/>
      <c r="C1027" s="158"/>
      <c r="D1027" s="881" t="s">
        <v>10</v>
      </c>
      <c r="E1027" s="882">
        <v>42962</v>
      </c>
      <c r="F1027" s="71">
        <f>$L$7-E1027</f>
        <v>3324</v>
      </c>
      <c r="G1027" s="64">
        <v>0</v>
      </c>
      <c r="H1027" s="64"/>
      <c r="I1027" s="64"/>
      <c r="J1027" s="1367"/>
      <c r="K1027" s="64"/>
      <c r="L1027" s="1533">
        <f t="shared" si="650"/>
        <v>0</v>
      </c>
      <c r="M1027" s="373"/>
      <c r="N1027" s="163"/>
      <c r="O1027" s="48"/>
      <c r="P1027" s="750"/>
      <c r="Q1027" s="795"/>
      <c r="R1027" s="785">
        <f>IFERROR(VLOOKUP($Q1027,'391'!$S:$Z,8,0),"")</f>
        <v>0</v>
      </c>
      <c r="S1027" s="796"/>
      <c r="T1027" s="797" t="str">
        <f t="shared" si="651"/>
        <v>Biofil Yellow 2%42962</v>
      </c>
      <c r="U1027" s="797"/>
      <c r="V1027" s="797"/>
      <c r="W1027" s="785">
        <f>IFERROR(VLOOKUP($Q1027,'391'!$S:$AG,15,0),0)</f>
        <v>0</v>
      </c>
      <c r="X1027" s="1090">
        <f t="shared" si="646"/>
        <v>0</v>
      </c>
      <c r="Y1027" s="785"/>
      <c r="Z1027" s="785"/>
      <c r="AA1027" s="797"/>
      <c r="AB1027" s="797"/>
      <c r="AC1027" s="681"/>
      <c r="AD1027" s="681"/>
      <c r="AE1027" s="681"/>
      <c r="AF1027" s="681"/>
      <c r="AG1027" s="681"/>
      <c r="AH1027" s="681"/>
      <c r="AI1027" s="703"/>
      <c r="AJ1027" s="703"/>
      <c r="AK1027" s="703"/>
      <c r="AL1027" s="703"/>
      <c r="AM1027" s="703"/>
      <c r="AN1027" s="703"/>
      <c r="AO1027" s="703"/>
      <c r="AP1027" s="703"/>
      <c r="AQ1027" s="703"/>
      <c r="AR1027" s="703"/>
      <c r="AS1027" s="703"/>
    </row>
    <row r="1028" spans="1:45" s="401" customFormat="1" ht="30" hidden="1" customHeight="1" x14ac:dyDescent="0.25">
      <c r="A1028" s="2023"/>
      <c r="B1028" s="2044"/>
      <c r="C1028" s="128" t="s">
        <v>46</v>
      </c>
      <c r="D1028" s="863" t="s">
        <v>10</v>
      </c>
      <c r="E1028" s="993">
        <v>45957</v>
      </c>
      <c r="F1028" s="39">
        <f>$L$7-E1028</f>
        <v>329</v>
      </c>
      <c r="G1028" s="37">
        <v>0</v>
      </c>
      <c r="H1028" s="37"/>
      <c r="I1028" s="37">
        <f>SUM(K1024:K1025)</f>
        <v>0</v>
      </c>
      <c r="J1028" s="1385">
        <f>usage!I89</f>
        <v>0</v>
      </c>
      <c r="K1028" s="37"/>
      <c r="L1028" s="1533">
        <f t="shared" si="650"/>
        <v>0</v>
      </c>
      <c r="M1028" s="378"/>
      <c r="N1028" s="87"/>
      <c r="O1028" s="35"/>
      <c r="P1028" s="751"/>
      <c r="Q1028" s="795"/>
      <c r="R1028" s="785">
        <f>IFERROR(VLOOKUP($Q1028,'391'!$S:$Z,8,0),"")</f>
        <v>0</v>
      </c>
      <c r="S1028" s="796"/>
      <c r="T1028" s="797" t="str">
        <f t="shared" si="651"/>
        <v>Biofil Yellow 2%Feedmill45957</v>
      </c>
      <c r="U1028" s="797"/>
      <c r="V1028" s="797"/>
      <c r="W1028" s="785">
        <f>IFERROR(VLOOKUP($Q1028,'391'!$S:$AG,15,0),0)</f>
        <v>0</v>
      </c>
      <c r="X1028" s="1090">
        <f t="shared" si="646"/>
        <v>0</v>
      </c>
      <c r="Y1028" s="785"/>
      <c r="Z1028" s="785"/>
      <c r="AA1028" s="797"/>
      <c r="AB1028" s="797"/>
      <c r="AC1028" s="681"/>
      <c r="AD1028" s="681"/>
      <c r="AE1028" s="681"/>
      <c r="AF1028" s="681"/>
      <c r="AG1028" s="681"/>
      <c r="AH1028" s="681"/>
      <c r="AI1028" s="703"/>
      <c r="AJ1028" s="703"/>
      <c r="AK1028" s="703"/>
      <c r="AL1028" s="703"/>
      <c r="AM1028" s="703"/>
      <c r="AN1028" s="703"/>
      <c r="AO1028" s="703"/>
      <c r="AP1028" s="703"/>
      <c r="AQ1028" s="703"/>
      <c r="AR1028" s="703"/>
      <c r="AS1028" s="703"/>
    </row>
    <row r="1029" spans="1:45" s="265" customFormat="1" ht="30" hidden="1" customHeight="1" x14ac:dyDescent="0.25">
      <c r="A1029" s="2201" t="s">
        <v>328</v>
      </c>
      <c r="B1029" s="2020"/>
      <c r="C1029" s="88"/>
      <c r="D1029" s="930"/>
      <c r="E1029" s="930"/>
      <c r="F1029" s="931"/>
      <c r="G1029" s="1297">
        <v>0</v>
      </c>
      <c r="H1029" s="1297">
        <f t="shared" ref="H1029:L1029" si="652">SUM(H1024:H1028)</f>
        <v>0</v>
      </c>
      <c r="I1029" s="1297">
        <f t="shared" si="652"/>
        <v>0</v>
      </c>
      <c r="J1029" s="1297">
        <f t="shared" si="652"/>
        <v>0</v>
      </c>
      <c r="K1029" s="1297">
        <f t="shared" si="652"/>
        <v>0</v>
      </c>
      <c r="L1029" s="1297">
        <f t="shared" si="652"/>
        <v>0</v>
      </c>
      <c r="M1029" s="982"/>
      <c r="N1029" s="854">
        <f>IFERROR(L1029/M1029,0)</f>
        <v>0</v>
      </c>
      <c r="O1029" s="982"/>
      <c r="P1029" s="880">
        <f>IFERROR(L1029/O1029,0)</f>
        <v>0</v>
      </c>
      <c r="Q1029" s="666" t="s">
        <v>595</v>
      </c>
      <c r="R1029" s="785" t="str">
        <f>IFERROR(VLOOKUP($Q1029,'391'!$S:$Z,8,0),"")</f>
        <v/>
      </c>
      <c r="S1029" s="796"/>
      <c r="T1029" s="797"/>
      <c r="U1029" s="797"/>
      <c r="V1029" s="797"/>
      <c r="W1029" s="785">
        <f>IFERROR(VLOOKUP($Q1029,'391'!$S:$AG,15,0),0)</f>
        <v>0</v>
      </c>
      <c r="X1029" s="1090">
        <f t="shared" si="646"/>
        <v>0</v>
      </c>
      <c r="Y1029" s="785"/>
      <c r="Z1029" s="785"/>
      <c r="AA1029" s="797"/>
      <c r="AB1029" s="797"/>
      <c r="AC1029" s="551"/>
      <c r="AD1029" s="551"/>
      <c r="AE1029" s="551"/>
      <c r="AF1029" s="551"/>
      <c r="AG1029" s="551"/>
      <c r="AH1029" s="551"/>
      <c r="AI1029" s="704"/>
      <c r="AJ1029" s="704"/>
      <c r="AK1029" s="704"/>
      <c r="AL1029" s="704"/>
      <c r="AM1029" s="704"/>
      <c r="AN1029" s="704"/>
      <c r="AO1029" s="704"/>
      <c r="AP1029" s="704"/>
      <c r="AQ1029" s="704"/>
      <c r="AR1029" s="704"/>
      <c r="AS1029" s="704"/>
    </row>
    <row r="1030" spans="1:45" s="409" customFormat="1" ht="30" hidden="1" customHeight="1" x14ac:dyDescent="0.25">
      <c r="A1030" s="2021" t="str">
        <f>IF(L1034=0,"",MAX($A$16:A1029)+1)</f>
        <v/>
      </c>
      <c r="B1030" s="2043" t="s">
        <v>536</v>
      </c>
      <c r="C1030" s="243" t="s">
        <v>287</v>
      </c>
      <c r="D1030" s="987" t="s">
        <v>10</v>
      </c>
      <c r="E1030" s="988">
        <v>43944</v>
      </c>
      <c r="F1030" s="994">
        <f>$L$7-E1030</f>
        <v>2342</v>
      </c>
      <c r="G1030" s="1409">
        <v>0</v>
      </c>
      <c r="H1030" s="1370"/>
      <c r="I1030" s="1370"/>
      <c r="J1030" s="1371"/>
      <c r="K1030" s="1370"/>
      <c r="L1030" s="1533">
        <f t="shared" si="650"/>
        <v>0</v>
      </c>
      <c r="M1030" s="377"/>
      <c r="N1030" s="176"/>
      <c r="O1030" s="377"/>
      <c r="P1030" s="744"/>
      <c r="Q1030" s="795"/>
      <c r="R1030" s="785">
        <f>IFERROR(VLOOKUP($Q1030,'391'!$S:$Z,8,0),"")</f>
        <v>0</v>
      </c>
      <c r="S1030" s="796"/>
      <c r="T1030" s="797"/>
      <c r="U1030" s="797"/>
      <c r="V1030" s="797"/>
      <c r="W1030" s="785">
        <f>IFERROR(VLOOKUP($Q1030,'391'!$S:$AG,15,0),0)</f>
        <v>0</v>
      </c>
      <c r="X1030" s="1090">
        <f t="shared" si="646"/>
        <v>0</v>
      </c>
      <c r="Y1030" s="785"/>
      <c r="Z1030" s="785"/>
      <c r="AA1030" s="797"/>
      <c r="AB1030" s="797"/>
      <c r="AC1030" s="681"/>
      <c r="AD1030" s="681"/>
      <c r="AE1030" s="681"/>
      <c r="AF1030" s="681"/>
      <c r="AG1030" s="681"/>
      <c r="AH1030" s="681"/>
      <c r="AI1030" s="703"/>
      <c r="AJ1030" s="703"/>
      <c r="AK1030" s="703"/>
      <c r="AL1030" s="703"/>
      <c r="AM1030" s="703"/>
      <c r="AN1030" s="703"/>
      <c r="AO1030" s="703"/>
      <c r="AP1030" s="703"/>
      <c r="AQ1030" s="703"/>
      <c r="AR1030" s="703"/>
      <c r="AS1030" s="703"/>
    </row>
    <row r="1031" spans="1:45" s="409" customFormat="1" ht="30" hidden="1" customHeight="1" x14ac:dyDescent="0.25">
      <c r="A1031" s="2022"/>
      <c r="B1031" s="2065"/>
      <c r="C1031" s="243"/>
      <c r="D1031" s="987"/>
      <c r="E1031" s="988"/>
      <c r="F1031" s="994"/>
      <c r="G1031" s="1409">
        <v>0</v>
      </c>
      <c r="H1031" s="1370"/>
      <c r="I1031" s="1370"/>
      <c r="J1031" s="1371"/>
      <c r="K1031" s="1370"/>
      <c r="L1031" s="1533">
        <f t="shared" si="650"/>
        <v>0</v>
      </c>
      <c r="M1031" s="377"/>
      <c r="N1031" s="176"/>
      <c r="O1031" s="377"/>
      <c r="P1031" s="734"/>
      <c r="Q1031" s="795"/>
      <c r="R1031" s="785">
        <f>IFERROR(VLOOKUP($Q1031,'391'!$S:$Z,8,0),"")</f>
        <v>0</v>
      </c>
      <c r="S1031" s="796"/>
      <c r="T1031" s="797"/>
      <c r="U1031" s="797"/>
      <c r="V1031" s="797"/>
      <c r="W1031" s="785">
        <f>IFERROR(VLOOKUP($Q1031,'391'!$S:$AG,15,0),0)</f>
        <v>0</v>
      </c>
      <c r="X1031" s="1090">
        <f t="shared" si="646"/>
        <v>0</v>
      </c>
      <c r="Y1031" s="785"/>
      <c r="Z1031" s="785"/>
      <c r="AA1031" s="797"/>
      <c r="AB1031" s="797"/>
      <c r="AC1031" s="681"/>
      <c r="AD1031" s="681"/>
      <c r="AE1031" s="681"/>
      <c r="AF1031" s="681"/>
      <c r="AG1031" s="681"/>
      <c r="AH1031" s="681"/>
      <c r="AI1031" s="703"/>
      <c r="AJ1031" s="703"/>
      <c r="AK1031" s="703"/>
      <c r="AL1031" s="703"/>
      <c r="AM1031" s="703"/>
      <c r="AN1031" s="703"/>
      <c r="AO1031" s="703"/>
      <c r="AP1031" s="703"/>
      <c r="AQ1031" s="703"/>
      <c r="AR1031" s="703"/>
      <c r="AS1031" s="703"/>
    </row>
    <row r="1032" spans="1:45" s="409" customFormat="1" ht="30" hidden="1" customHeight="1" x14ac:dyDescent="0.25">
      <c r="A1032" s="2022"/>
      <c r="B1032" s="2065"/>
      <c r="C1032" s="243" t="s">
        <v>287</v>
      </c>
      <c r="D1032" s="987" t="s">
        <v>10</v>
      </c>
      <c r="E1032" s="988">
        <v>43944</v>
      </c>
      <c r="F1032" s="994">
        <f>$L$7-E1032</f>
        <v>2342</v>
      </c>
      <c r="G1032" s="1409">
        <v>0</v>
      </c>
      <c r="H1032" s="1370"/>
      <c r="I1032" s="1370"/>
      <c r="J1032" s="1371"/>
      <c r="K1032" s="1370"/>
      <c r="L1032" s="1533">
        <f t="shared" si="650"/>
        <v>0</v>
      </c>
      <c r="M1032" s="373"/>
      <c r="N1032" s="163"/>
      <c r="O1032" s="48"/>
      <c r="P1032" s="738"/>
      <c r="Q1032" s="795"/>
      <c r="R1032" s="785">
        <f>IFERROR(VLOOKUP($Q1032,'391'!$S:$Z,8,0),"")</f>
        <v>0</v>
      </c>
      <c r="S1032" s="796"/>
      <c r="T1032" s="797"/>
      <c r="U1032" s="797"/>
      <c r="V1032" s="797"/>
      <c r="W1032" s="785">
        <f>IFERROR(VLOOKUP($Q1032,'391'!$S:$AG,15,0),0)</f>
        <v>0</v>
      </c>
      <c r="X1032" s="1090">
        <f t="shared" si="646"/>
        <v>0</v>
      </c>
      <c r="Y1032" s="785"/>
      <c r="Z1032" s="785"/>
      <c r="AA1032" s="797"/>
      <c r="AB1032" s="797"/>
      <c r="AC1032" s="681"/>
      <c r="AD1032" s="681"/>
      <c r="AE1032" s="681"/>
      <c r="AF1032" s="681"/>
      <c r="AG1032" s="681"/>
      <c r="AH1032" s="681"/>
      <c r="AI1032" s="703"/>
      <c r="AJ1032" s="703"/>
      <c r="AK1032" s="703"/>
      <c r="AL1032" s="703"/>
      <c r="AM1032" s="703"/>
      <c r="AN1032" s="703"/>
      <c r="AO1032" s="703"/>
      <c r="AP1032" s="703"/>
      <c r="AQ1032" s="703"/>
      <c r="AR1032" s="703"/>
      <c r="AS1032" s="703"/>
    </row>
    <row r="1033" spans="1:45" s="409" customFormat="1" ht="30" hidden="1" customHeight="1" x14ac:dyDescent="0.25">
      <c r="A1033" s="2022"/>
      <c r="B1033" s="2065"/>
      <c r="C1033" s="388" t="s">
        <v>46</v>
      </c>
      <c r="D1033" s="995" t="s">
        <v>10</v>
      </c>
      <c r="E1033" s="996">
        <v>43944</v>
      </c>
      <c r="F1033" s="997">
        <f>$L$7-E1033</f>
        <v>2342</v>
      </c>
      <c r="G1033" s="1376">
        <v>0</v>
      </c>
      <c r="H1033" s="1376"/>
      <c r="I1033" s="1376">
        <f>K1030+K1032+K1031</f>
        <v>0</v>
      </c>
      <c r="J1033" s="1377">
        <f>usage!I90</f>
        <v>0</v>
      </c>
      <c r="K1033" s="1376"/>
      <c r="L1033" s="1533">
        <f t="shared" si="650"/>
        <v>0</v>
      </c>
      <c r="M1033" s="373"/>
      <c r="N1033" s="373"/>
      <c r="O1033" s="1456"/>
      <c r="P1033" s="754"/>
      <c r="Q1033" s="795"/>
      <c r="R1033" s="785">
        <f>IFERROR(VLOOKUP($Q1033,'391'!$S:$Z,8,0),"")</f>
        <v>0</v>
      </c>
      <c r="S1033" s="796"/>
      <c r="T1033" s="797"/>
      <c r="U1033" s="797"/>
      <c r="V1033" s="797"/>
      <c r="W1033" s="785">
        <f>IFERROR(VLOOKUP($Q1033,'391'!$S:$AG,15,0),0)</f>
        <v>0</v>
      </c>
      <c r="X1033" s="1090">
        <f t="shared" si="646"/>
        <v>0</v>
      </c>
      <c r="Y1033" s="785"/>
      <c r="Z1033" s="785"/>
      <c r="AA1033" s="797"/>
      <c r="AB1033" s="797"/>
      <c r="AC1033" s="681"/>
      <c r="AD1033" s="681"/>
      <c r="AE1033" s="681"/>
      <c r="AF1033" s="681"/>
      <c r="AG1033" s="681"/>
      <c r="AH1033" s="681"/>
      <c r="AI1033" s="703"/>
      <c r="AJ1033" s="703"/>
      <c r="AK1033" s="703"/>
      <c r="AL1033" s="703"/>
      <c r="AM1033" s="703"/>
      <c r="AN1033" s="703"/>
      <c r="AO1033" s="703"/>
      <c r="AP1033" s="703"/>
      <c r="AQ1033" s="703"/>
      <c r="AR1033" s="703"/>
      <c r="AS1033" s="703"/>
    </row>
    <row r="1034" spans="1:45" s="265" customFormat="1" ht="30" hidden="1" customHeight="1" x14ac:dyDescent="0.25">
      <c r="A1034" s="2019" t="s">
        <v>537</v>
      </c>
      <c r="B1034" s="2020"/>
      <c r="C1034" s="88"/>
      <c r="D1034" s="864"/>
      <c r="E1034" s="864"/>
      <c r="F1034" s="865"/>
      <c r="G1034" s="1297">
        <v>0</v>
      </c>
      <c r="H1034" s="1297">
        <f t="shared" ref="H1034:I1034" si="653">SUM(H1030:H1033)</f>
        <v>0</v>
      </c>
      <c r="I1034" s="1297">
        <f t="shared" si="653"/>
        <v>0</v>
      </c>
      <c r="J1034" s="1297">
        <f t="shared" ref="J1034:K1034" si="654">SUM(J1030:J1033)</f>
        <v>0</v>
      </c>
      <c r="K1034" s="1297">
        <f t="shared" si="654"/>
        <v>0</v>
      </c>
      <c r="L1034" s="1533">
        <f t="shared" si="650"/>
        <v>0</v>
      </c>
      <c r="M1034" s="982"/>
      <c r="N1034" s="854">
        <f>IFERROR(L1034/M1034,0)</f>
        <v>0</v>
      </c>
      <c r="O1034" s="982"/>
      <c r="P1034" s="880">
        <f>IFERROR(L1034/O1034,0)</f>
        <v>0</v>
      </c>
      <c r="Q1034" s="795"/>
      <c r="R1034" s="785">
        <f>IFERROR(VLOOKUP($Q1034,'391'!$S:$Z,8,0),"")</f>
        <v>0</v>
      </c>
      <c r="S1034" s="796"/>
      <c r="T1034" s="797"/>
      <c r="U1034" s="797"/>
      <c r="V1034" s="797"/>
      <c r="W1034" s="785">
        <f>IFERROR(VLOOKUP($Q1034,'391'!$S:$AG,15,0),0)</f>
        <v>0</v>
      </c>
      <c r="X1034" s="1090">
        <f t="shared" si="646"/>
        <v>0</v>
      </c>
      <c r="Y1034" s="785"/>
      <c r="Z1034" s="785"/>
      <c r="AA1034" s="797"/>
      <c r="AB1034" s="797"/>
      <c r="AC1034" s="551"/>
      <c r="AD1034" s="551"/>
      <c r="AE1034" s="551"/>
      <c r="AF1034" s="551"/>
      <c r="AG1034" s="551"/>
      <c r="AH1034" s="551"/>
      <c r="AI1034" s="704"/>
      <c r="AJ1034" s="704"/>
      <c r="AK1034" s="704"/>
      <c r="AL1034" s="704"/>
      <c r="AM1034" s="704"/>
      <c r="AN1034" s="704"/>
      <c r="AO1034" s="704"/>
      <c r="AP1034" s="704"/>
      <c r="AQ1034" s="704"/>
      <c r="AR1034" s="704"/>
      <c r="AS1034" s="704"/>
    </row>
    <row r="1035" spans="1:45" s="265" customFormat="1" ht="30" customHeight="1" x14ac:dyDescent="0.25">
      <c r="A1035" s="2021">
        <f>IF(L1040=0,"",MAX($A$16:A1023)+1)</f>
        <v>68</v>
      </c>
      <c r="B1035" s="2043" t="s">
        <v>560</v>
      </c>
      <c r="C1035" s="243" t="s">
        <v>601</v>
      </c>
      <c r="D1035" s="987" t="s">
        <v>10</v>
      </c>
      <c r="E1035" s="988">
        <v>46231</v>
      </c>
      <c r="F1035" s="994">
        <f>$L$7-E1035</f>
        <v>55</v>
      </c>
      <c r="G1035" s="1409">
        <v>250</v>
      </c>
      <c r="H1035" s="1370"/>
      <c r="I1035" s="1370"/>
      <c r="J1035" s="1371"/>
      <c r="K1035" s="1370">
        <f>IFERROR(SUMIF(INTAKE!$A:$A,$T1035,INTAKE!$P:$P),0)</f>
        <v>125</v>
      </c>
      <c r="L1035" s="1702">
        <f t="shared" si="650"/>
        <v>125</v>
      </c>
      <c r="M1035" s="377"/>
      <c r="N1035" s="176"/>
      <c r="O1035" s="377"/>
      <c r="P1035" s="744"/>
      <c r="Q1035" s="795"/>
      <c r="R1035" s="785">
        <f>IFERROR(VLOOKUP($Q1035,'391'!$S:$Z,8,0),"")</f>
        <v>0</v>
      </c>
      <c r="S1035" s="796"/>
      <c r="T1035" s="797" t="str">
        <f>$Q$1040&amp;C1035&amp;E1035</f>
        <v>Leader Yellow (China)Z4.146231</v>
      </c>
      <c r="U1035" s="797"/>
      <c r="V1035" s="797"/>
      <c r="W1035" s="785">
        <f>IFERROR(VLOOKUP($Q1035,'391'!$S:$AG,15,0),0)</f>
        <v>0</v>
      </c>
      <c r="X1035" s="1090">
        <f t="shared" si="646"/>
        <v>250</v>
      </c>
      <c r="Y1035" s="785"/>
      <c r="Z1035" s="785"/>
      <c r="AA1035" s="797"/>
      <c r="AB1035" s="797"/>
      <c r="AC1035" s="551"/>
      <c r="AD1035" s="551"/>
      <c r="AE1035" s="551"/>
      <c r="AF1035" s="551"/>
      <c r="AG1035" s="551"/>
      <c r="AH1035" s="551"/>
      <c r="AI1035" s="704"/>
      <c r="AJ1035" s="704"/>
      <c r="AK1035" s="704"/>
      <c r="AL1035" s="704"/>
      <c r="AM1035" s="704"/>
      <c r="AN1035" s="704"/>
      <c r="AO1035" s="704"/>
      <c r="AP1035" s="704"/>
      <c r="AQ1035" s="704"/>
      <c r="AR1035" s="704"/>
      <c r="AS1035" s="704"/>
    </row>
    <row r="1036" spans="1:45" s="265" customFormat="1" ht="30" customHeight="1" x14ac:dyDescent="0.25">
      <c r="A1036" s="2022"/>
      <c r="B1036" s="2065"/>
      <c r="C1036" s="243" t="s">
        <v>1933</v>
      </c>
      <c r="D1036" s="987" t="s">
        <v>10</v>
      </c>
      <c r="E1036" s="988">
        <v>46282</v>
      </c>
      <c r="F1036" s="994">
        <f>$L$7-E1036</f>
        <v>4</v>
      </c>
      <c r="G1036" s="1409">
        <v>2500</v>
      </c>
      <c r="H1036" s="1370"/>
      <c r="I1036" s="1370"/>
      <c r="J1036" s="1371"/>
      <c r="K1036" s="1370">
        <f>IFERROR(SUMIF(INTAKE!$A:$A,$T1036,INTAKE!$P:$P),0)</f>
        <v>0</v>
      </c>
      <c r="L1036" s="1702">
        <f t="shared" si="650"/>
        <v>2500</v>
      </c>
      <c r="M1036" s="373"/>
      <c r="N1036" s="163"/>
      <c r="O1036" s="48"/>
      <c r="P1036" s="738"/>
      <c r="Q1036" s="795"/>
      <c r="R1036" s="785">
        <f>IFERROR(VLOOKUP($Q1036,'391'!$S:$Z,8,0),"")</f>
        <v>0</v>
      </c>
      <c r="S1036" s="796"/>
      <c r="T1036" s="797" t="str">
        <f>$Q$1040&amp;C1036&amp;E1036</f>
        <v>Leader Yellow (China)Z1.146282</v>
      </c>
      <c r="U1036" s="797"/>
      <c r="V1036" s="797"/>
      <c r="W1036" s="785">
        <f>IFERROR(VLOOKUP($Q1036,'391'!$S:$AG,15,0),0)</f>
        <v>0</v>
      </c>
      <c r="X1036" s="1090">
        <f t="shared" si="646"/>
        <v>2500</v>
      </c>
      <c r="Y1036" s="785"/>
      <c r="Z1036" s="785"/>
      <c r="AA1036" s="797"/>
      <c r="AB1036" s="797"/>
      <c r="AC1036" s="551"/>
      <c r="AD1036" s="551"/>
      <c r="AE1036" s="551"/>
      <c r="AF1036" s="551"/>
      <c r="AG1036" s="551"/>
      <c r="AH1036" s="551"/>
      <c r="AI1036" s="704"/>
      <c r="AJ1036" s="704"/>
      <c r="AK1036" s="704"/>
      <c r="AL1036" s="704"/>
      <c r="AM1036" s="704"/>
      <c r="AN1036" s="704"/>
      <c r="AO1036" s="704"/>
      <c r="AP1036" s="704"/>
      <c r="AQ1036" s="704"/>
      <c r="AR1036" s="704"/>
      <c r="AS1036" s="704"/>
    </row>
    <row r="1037" spans="1:45" s="265" customFormat="1" ht="30" customHeight="1" x14ac:dyDescent="0.25">
      <c r="A1037" s="2022"/>
      <c r="B1037" s="2065"/>
      <c r="C1037" s="243" t="s">
        <v>601</v>
      </c>
      <c r="D1037" s="987" t="s">
        <v>10</v>
      </c>
      <c r="E1037" s="988">
        <v>46282</v>
      </c>
      <c r="F1037" s="994">
        <f>$L$7-E1037</f>
        <v>4</v>
      </c>
      <c r="G1037" s="1409">
        <v>2500</v>
      </c>
      <c r="H1037" s="1370"/>
      <c r="I1037" s="1370"/>
      <c r="J1037" s="1371"/>
      <c r="K1037" s="1370">
        <f>IFERROR(SUMIF(INTAKE!$A:$A,$T1037,INTAKE!$P:$P),0)</f>
        <v>0</v>
      </c>
      <c r="L1037" s="1702">
        <f t="shared" si="650"/>
        <v>2500</v>
      </c>
      <c r="M1037" s="373"/>
      <c r="N1037" s="163"/>
      <c r="O1037" s="48"/>
      <c r="P1037" s="738"/>
      <c r="Q1037" s="795"/>
      <c r="R1037" s="785">
        <f>IFERROR(VLOOKUP($Q1037,'391'!$S:$Z,8,0),"")</f>
        <v>0</v>
      </c>
      <c r="S1037" s="796"/>
      <c r="T1037" s="797" t="str">
        <f>$Q$1040&amp;C1037&amp;E1037</f>
        <v>Leader Yellow (China)Z4.146282</v>
      </c>
      <c r="U1037" s="797"/>
      <c r="V1037" s="797"/>
      <c r="W1037" s="785">
        <f>IFERROR(VLOOKUP($Q1037,'391'!$S:$AG,15,0),0)</f>
        <v>0</v>
      </c>
      <c r="X1037" s="1090">
        <f t="shared" si="646"/>
        <v>2500</v>
      </c>
      <c r="Y1037" s="785"/>
      <c r="Z1037" s="785"/>
      <c r="AA1037" s="797"/>
      <c r="AB1037" s="797"/>
      <c r="AC1037" s="551"/>
      <c r="AD1037" s="551"/>
      <c r="AE1037" s="551"/>
      <c r="AF1037" s="551"/>
      <c r="AG1037" s="551"/>
      <c r="AH1037" s="551"/>
      <c r="AI1037" s="704"/>
      <c r="AJ1037" s="704"/>
      <c r="AK1037" s="704"/>
      <c r="AL1037" s="704"/>
      <c r="AM1037" s="704"/>
      <c r="AN1037" s="704"/>
      <c r="AO1037" s="704"/>
      <c r="AP1037" s="704"/>
      <c r="AQ1037" s="704"/>
      <c r="AR1037" s="704"/>
      <c r="AS1037" s="704"/>
    </row>
    <row r="1038" spans="1:45" s="265" customFormat="1" ht="30" hidden="1" customHeight="1" x14ac:dyDescent="0.25">
      <c r="A1038" s="2022"/>
      <c r="B1038" s="2069"/>
      <c r="C1038" s="243"/>
      <c r="D1038" s="987" t="s">
        <v>10</v>
      </c>
      <c r="E1038" s="988">
        <v>45278</v>
      </c>
      <c r="F1038" s="994">
        <f>$L$7-E1038</f>
        <v>1008</v>
      </c>
      <c r="G1038" s="1409">
        <v>0</v>
      </c>
      <c r="H1038" s="1370"/>
      <c r="I1038" s="1370"/>
      <c r="J1038" s="1371"/>
      <c r="K1038" s="1370">
        <f>IFERROR(SUMIF(INTAKE!$A:$A,$T1038,INTAKE!$P:$P),0)</f>
        <v>0</v>
      </c>
      <c r="L1038" s="1533">
        <f t="shared" si="650"/>
        <v>0</v>
      </c>
      <c r="M1038" s="373"/>
      <c r="N1038" s="163"/>
      <c r="O1038" s="48"/>
      <c r="P1038" s="738"/>
      <c r="Q1038" s="795"/>
      <c r="R1038" s="785">
        <f>IFERROR(VLOOKUP($Q1038,'391'!$S:$Z,8,0),"")</f>
        <v>0</v>
      </c>
      <c r="S1038" s="796"/>
      <c r="T1038" s="797" t="str">
        <f>$Q$1040&amp;C1038&amp;E1038</f>
        <v>Leader Yellow (China)45278</v>
      </c>
      <c r="U1038" s="797"/>
      <c r="V1038" s="797"/>
      <c r="W1038" s="785">
        <f>IFERROR(VLOOKUP($Q1038,'391'!$S:$AG,15,0),0)</f>
        <v>0</v>
      </c>
      <c r="X1038" s="1090">
        <f t="shared" si="646"/>
        <v>0</v>
      </c>
      <c r="Y1038" s="785"/>
      <c r="Z1038" s="785"/>
      <c r="AA1038" s="797"/>
      <c r="AB1038" s="797"/>
      <c r="AC1038" s="551"/>
      <c r="AD1038" s="551"/>
      <c r="AE1038" s="551"/>
      <c r="AF1038" s="551"/>
      <c r="AG1038" s="551"/>
      <c r="AH1038" s="551"/>
      <c r="AI1038" s="704"/>
      <c r="AJ1038" s="704"/>
      <c r="AK1038" s="704"/>
      <c r="AL1038" s="704"/>
      <c r="AM1038" s="704"/>
      <c r="AN1038" s="704"/>
      <c r="AO1038" s="704"/>
      <c r="AP1038" s="704"/>
      <c r="AQ1038" s="704"/>
      <c r="AR1038" s="704"/>
      <c r="AS1038" s="704"/>
    </row>
    <row r="1039" spans="1:45" s="265" customFormat="1" ht="30" customHeight="1" x14ac:dyDescent="0.25">
      <c r="A1039" s="2022"/>
      <c r="B1039" s="2065"/>
      <c r="C1039" s="388" t="s">
        <v>46</v>
      </c>
      <c r="D1039" s="995" t="s">
        <v>10</v>
      </c>
      <c r="E1039" s="996">
        <v>46231</v>
      </c>
      <c r="F1039" s="997">
        <f>$L$7-E1039</f>
        <v>55</v>
      </c>
      <c r="G1039" s="1376">
        <v>172.29999999999995</v>
      </c>
      <c r="H1039" s="1376"/>
      <c r="I1039" s="1376">
        <f>K1035+K1037+K1036</f>
        <v>125</v>
      </c>
      <c r="J1039" s="1377">
        <f>usage!I91</f>
        <v>235.25</v>
      </c>
      <c r="K1039" s="1370">
        <f>IFERROR(SUMIF(INTAKE!$A:$A,$T1039,INTAKE!$P:$P),0)</f>
        <v>0</v>
      </c>
      <c r="L1039" s="1533">
        <f t="shared" si="650"/>
        <v>62.049999999999955</v>
      </c>
      <c r="M1039" s="373"/>
      <c r="N1039" s="373"/>
      <c r="O1039" s="1456"/>
      <c r="P1039" s="754"/>
      <c r="Q1039" s="795"/>
      <c r="R1039" s="785">
        <f>IFERROR(VLOOKUP($Q1039,'391'!$S:$Z,8,0),"")</f>
        <v>0</v>
      </c>
      <c r="S1039" s="796"/>
      <c r="T1039" s="797" t="str">
        <f>$Q$1040&amp;C1039&amp;E1039</f>
        <v>Leader Yellow (China)Feedmill46231</v>
      </c>
      <c r="U1039" s="797"/>
      <c r="V1039" s="797"/>
      <c r="W1039" s="785">
        <f>IFERROR(VLOOKUP($Q1039,'391'!$S:$AG,15,0),0)</f>
        <v>0</v>
      </c>
      <c r="X1039" s="1090">
        <f t="shared" si="646"/>
        <v>172.29999999999995</v>
      </c>
      <c r="Y1039" s="785"/>
      <c r="Z1039" s="785"/>
      <c r="AA1039" s="797"/>
      <c r="AB1039" s="797"/>
      <c r="AC1039" s="551"/>
      <c r="AD1039" s="551"/>
      <c r="AE1039" s="551"/>
      <c r="AF1039" s="551"/>
      <c r="AG1039" s="551"/>
      <c r="AH1039" s="551"/>
      <c r="AI1039" s="704"/>
      <c r="AJ1039" s="704"/>
      <c r="AK1039" s="704"/>
      <c r="AL1039" s="704"/>
      <c r="AM1039" s="704"/>
      <c r="AN1039" s="704"/>
      <c r="AO1039" s="704"/>
      <c r="AP1039" s="704"/>
      <c r="AQ1039" s="704"/>
      <c r="AR1039" s="704"/>
      <c r="AS1039" s="704"/>
    </row>
    <row r="1040" spans="1:45" s="265" customFormat="1" ht="30" customHeight="1" x14ac:dyDescent="0.25">
      <c r="A1040" s="845"/>
      <c r="B1040" s="846" t="s">
        <v>561</v>
      </c>
      <c r="C1040" s="88"/>
      <c r="D1040" s="864"/>
      <c r="E1040" s="864"/>
      <c r="F1040" s="865"/>
      <c r="G1040" s="1297">
        <v>5422.3</v>
      </c>
      <c r="H1040" s="1297">
        <f t="shared" ref="H1040:I1040" si="655">SUM(H1035:H1039)</f>
        <v>0</v>
      </c>
      <c r="I1040" s="1297">
        <f t="shared" si="655"/>
        <v>125</v>
      </c>
      <c r="J1040" s="1297">
        <f t="shared" ref="J1040:L1040" si="656">SUM(J1035:J1039)</f>
        <v>235.25</v>
      </c>
      <c r="K1040" s="1297">
        <f t="shared" si="656"/>
        <v>125</v>
      </c>
      <c r="L1040" s="1297">
        <f t="shared" si="656"/>
        <v>5187.05</v>
      </c>
      <c r="M1040" s="982">
        <f>IFERROR((R1040/$S$2),"")</f>
        <v>71.75</v>
      </c>
      <c r="N1040" s="854">
        <f>IFERROR(L1040/M1040,0)</f>
        <v>72.293379790940776</v>
      </c>
      <c r="O1040" s="982">
        <f>IFERROR(SUMIF(ETM!$A:$A,$Q1040,ETM!$E:$E),"")</f>
        <v>101.66666666666667</v>
      </c>
      <c r="P1040" s="880">
        <f>IFERROR(L1040/O1040,0)</f>
        <v>51.020163934426229</v>
      </c>
      <c r="Q1040" s="814" t="s">
        <v>674</v>
      </c>
      <c r="R1040" s="785">
        <f>IFERROR(VLOOKUP($Q1040,'391'!$S:$Z,8,0),"")</f>
        <v>430.5</v>
      </c>
      <c r="S1040" s="796"/>
      <c r="T1040" s="797"/>
      <c r="U1040" s="797"/>
      <c r="V1040" s="797"/>
      <c r="W1040" s="785">
        <f>IFERROR(VLOOKUP($Q1040,'391'!$S:$AG,15,0),0)</f>
        <v>5422.3</v>
      </c>
      <c r="X1040" s="1090">
        <f t="shared" si="646"/>
        <v>0</v>
      </c>
      <c r="Y1040" s="785"/>
      <c r="Z1040" s="785"/>
      <c r="AA1040" s="797"/>
      <c r="AB1040" s="797"/>
      <c r="AC1040" s="551"/>
      <c r="AD1040" s="551"/>
      <c r="AE1040" s="551"/>
      <c r="AF1040" s="551"/>
      <c r="AG1040" s="551"/>
      <c r="AH1040" s="551"/>
      <c r="AI1040" s="704"/>
      <c r="AJ1040" s="704"/>
      <c r="AK1040" s="704"/>
      <c r="AL1040" s="704"/>
      <c r="AM1040" s="704"/>
      <c r="AN1040" s="704"/>
      <c r="AO1040" s="704"/>
      <c r="AP1040" s="704"/>
      <c r="AQ1040" s="704"/>
      <c r="AR1040" s="704"/>
      <c r="AS1040" s="704"/>
    </row>
    <row r="1041" spans="1:45" s="409" customFormat="1" ht="30" hidden="1" customHeight="1" x14ac:dyDescent="0.25">
      <c r="A1041" s="2021" t="str">
        <f>IF(L1048=0,"",MAX($A$16:A1040)+1)</f>
        <v/>
      </c>
      <c r="B1041" s="2024" t="s">
        <v>280</v>
      </c>
      <c r="C1041" s="143" t="s">
        <v>1249</v>
      </c>
      <c r="D1041" s="887" t="s">
        <v>10</v>
      </c>
      <c r="E1041" s="888">
        <v>45440</v>
      </c>
      <c r="F1041" s="70">
        <f t="shared" ref="F1041:F1047" si="657">$L$7-E1041</f>
        <v>846</v>
      </c>
      <c r="G1041" s="11">
        <v>0</v>
      </c>
      <c r="H1041" s="64"/>
      <c r="I1041" s="64"/>
      <c r="J1041" s="1378"/>
      <c r="K1041" s="64">
        <f>IFERROR(SUMIF(INTAKE!$A:$A,$T1041,INTAKE!$P:$P),0)</f>
        <v>0</v>
      </c>
      <c r="L1041" s="1533">
        <f t="shared" ref="L1041:L1055" si="658">+G1041+H1041+I1041-J1041-K1041</f>
        <v>0</v>
      </c>
      <c r="M1041" s="376"/>
      <c r="N1041" s="167"/>
      <c r="O1041" s="50"/>
      <c r="P1041" s="747"/>
      <c r="Q1041" s="795"/>
      <c r="R1041" s="785">
        <f>IFERROR(VLOOKUP($Q1041,'391'!$S:$Z,8,0),"")</f>
        <v>0</v>
      </c>
      <c r="S1041" s="796"/>
      <c r="T1041" s="797" t="str">
        <f t="shared" ref="T1041:T1047" si="659">$Q$1048&amp;C1041&amp;E1041</f>
        <v>VersazymeE145440</v>
      </c>
      <c r="U1041" s="797"/>
      <c r="V1041" s="797"/>
      <c r="W1041" s="785">
        <f>IFERROR(VLOOKUP($Q1041,'391'!$S:$AG,15,0),0)</f>
        <v>0</v>
      </c>
      <c r="X1041" s="1090">
        <f t="shared" si="646"/>
        <v>0</v>
      </c>
      <c r="Y1041" s="785"/>
      <c r="Z1041" s="785"/>
      <c r="AA1041" s="797"/>
      <c r="AB1041" s="797"/>
      <c r="AC1041" s="681"/>
      <c r="AD1041" s="681"/>
      <c r="AE1041" s="681"/>
      <c r="AF1041" s="681"/>
      <c r="AG1041" s="681"/>
      <c r="AH1041" s="681"/>
      <c r="AI1041" s="703"/>
      <c r="AJ1041" s="703"/>
      <c r="AK1041" s="703"/>
      <c r="AL1041" s="703"/>
      <c r="AM1041" s="703"/>
      <c r="AN1041" s="703"/>
      <c r="AO1041" s="703"/>
      <c r="AP1041" s="703"/>
      <c r="AQ1041" s="703"/>
      <c r="AR1041" s="703"/>
      <c r="AS1041" s="703"/>
    </row>
    <row r="1042" spans="1:45" s="409" customFormat="1" ht="30" hidden="1" customHeight="1" x14ac:dyDescent="0.25">
      <c r="A1042" s="2022"/>
      <c r="B1042" s="2025"/>
      <c r="C1042" s="143"/>
      <c r="D1042" s="887" t="s">
        <v>10</v>
      </c>
      <c r="E1042" s="888">
        <v>45440</v>
      </c>
      <c r="F1042" s="70">
        <f t="shared" si="657"/>
        <v>846</v>
      </c>
      <c r="G1042" s="11">
        <v>0</v>
      </c>
      <c r="H1042" s="64"/>
      <c r="I1042" s="64"/>
      <c r="J1042" s="1378"/>
      <c r="K1042" s="64">
        <f>IFERROR(SUMIF(INTAKE!$A:$A,$T1042,INTAKE!$P:$P),0)</f>
        <v>0</v>
      </c>
      <c r="L1042" s="1533">
        <f t="shared" si="658"/>
        <v>0</v>
      </c>
      <c r="M1042" s="373"/>
      <c r="N1042" s="163"/>
      <c r="O1042" s="48"/>
      <c r="P1042" s="750"/>
      <c r="Q1042" s="795"/>
      <c r="R1042" s="785">
        <f>IFERROR(VLOOKUP($Q1042,'391'!$S:$Z,8,0),"")</f>
        <v>0</v>
      </c>
      <c r="S1042" s="796"/>
      <c r="T1042" s="797" t="str">
        <f t="shared" si="659"/>
        <v>Versazyme45440</v>
      </c>
      <c r="U1042" s="797"/>
      <c r="V1042" s="797"/>
      <c r="W1042" s="785">
        <f>IFERROR(VLOOKUP($Q1042,'391'!$S:$AG,15,0),0)</f>
        <v>0</v>
      </c>
      <c r="X1042" s="1090">
        <f t="shared" si="646"/>
        <v>0</v>
      </c>
      <c r="Y1042" s="785"/>
      <c r="Z1042" s="785"/>
      <c r="AA1042" s="797"/>
      <c r="AB1042" s="797"/>
      <c r="AC1042" s="681"/>
      <c r="AD1042" s="681"/>
      <c r="AE1042" s="681"/>
      <c r="AF1042" s="681"/>
      <c r="AG1042" s="681"/>
      <c r="AH1042" s="681"/>
      <c r="AI1042" s="703"/>
      <c r="AJ1042" s="703"/>
      <c r="AK1042" s="703"/>
      <c r="AL1042" s="703"/>
      <c r="AM1042" s="703"/>
      <c r="AN1042" s="703"/>
      <c r="AO1042" s="703"/>
      <c r="AP1042" s="703"/>
      <c r="AQ1042" s="703"/>
      <c r="AR1042" s="703"/>
      <c r="AS1042" s="703"/>
    </row>
    <row r="1043" spans="1:45" s="409" customFormat="1" ht="30" hidden="1" customHeight="1" x14ac:dyDescent="0.25">
      <c r="A1043" s="2022"/>
      <c r="B1043" s="2025"/>
      <c r="C1043" s="143"/>
      <c r="D1043" s="887" t="s">
        <v>10</v>
      </c>
      <c r="E1043" s="888">
        <v>45415</v>
      </c>
      <c r="F1043" s="70">
        <f t="shared" si="657"/>
        <v>871</v>
      </c>
      <c r="G1043" s="11">
        <v>0</v>
      </c>
      <c r="H1043" s="64"/>
      <c r="I1043" s="64"/>
      <c r="J1043" s="1378"/>
      <c r="K1043" s="64">
        <f>IFERROR(SUMIF(INTAKE!$A:$A,$T1043,INTAKE!$P:$P),0)</f>
        <v>0</v>
      </c>
      <c r="L1043" s="1533">
        <f t="shared" si="658"/>
        <v>0</v>
      </c>
      <c r="M1043" s="370"/>
      <c r="N1043" s="162"/>
      <c r="O1043" s="45"/>
      <c r="P1043" s="756"/>
      <c r="Q1043" s="795"/>
      <c r="R1043" s="785">
        <f>IFERROR(VLOOKUP($Q1043,'391'!$S:$Z,8,0),"")</f>
        <v>0</v>
      </c>
      <c r="S1043" s="796"/>
      <c r="T1043" s="797" t="str">
        <f t="shared" si="659"/>
        <v>Versazyme45415</v>
      </c>
      <c r="U1043" s="797"/>
      <c r="V1043" s="797"/>
      <c r="W1043" s="785">
        <f>IFERROR(VLOOKUP($Q1043,'391'!$S:$AG,15,0),0)</f>
        <v>0</v>
      </c>
      <c r="X1043" s="1090">
        <f t="shared" si="646"/>
        <v>0</v>
      </c>
      <c r="Y1043" s="785"/>
      <c r="Z1043" s="785"/>
      <c r="AA1043" s="797"/>
      <c r="AB1043" s="797"/>
      <c r="AC1043" s="681"/>
      <c r="AD1043" s="681"/>
      <c r="AE1043" s="681"/>
      <c r="AF1043" s="681"/>
      <c r="AG1043" s="681"/>
      <c r="AH1043" s="681"/>
      <c r="AI1043" s="703"/>
      <c r="AJ1043" s="703"/>
      <c r="AK1043" s="703"/>
      <c r="AL1043" s="703"/>
      <c r="AM1043" s="703"/>
      <c r="AN1043" s="703"/>
      <c r="AO1043" s="703"/>
      <c r="AP1043" s="703"/>
      <c r="AQ1043" s="703"/>
      <c r="AR1043" s="703"/>
      <c r="AS1043" s="703"/>
    </row>
    <row r="1044" spans="1:45" s="409" customFormat="1" ht="30" hidden="1" customHeight="1" x14ac:dyDescent="0.25">
      <c r="A1044" s="2022"/>
      <c r="B1044" s="2025"/>
      <c r="C1044" s="143"/>
      <c r="D1044" s="887" t="s">
        <v>10</v>
      </c>
      <c r="E1044" s="888">
        <v>45287</v>
      </c>
      <c r="F1044" s="70">
        <f t="shared" si="657"/>
        <v>999</v>
      </c>
      <c r="G1044" s="11">
        <v>0</v>
      </c>
      <c r="H1044" s="64"/>
      <c r="I1044" s="64"/>
      <c r="J1044" s="1378"/>
      <c r="K1044" s="64">
        <f>IFERROR(SUMIF(INTAKE!$A:$A,$T1044,INTAKE!$P:$P),0)</f>
        <v>0</v>
      </c>
      <c r="L1044" s="1533">
        <f t="shared" si="658"/>
        <v>0</v>
      </c>
      <c r="M1044" s="370"/>
      <c r="N1044" s="162"/>
      <c r="O1044" s="45"/>
      <c r="P1044" s="756"/>
      <c r="Q1044" s="795"/>
      <c r="R1044" s="785">
        <f>IFERROR(VLOOKUP($Q1044,'391'!$S:$Z,8,0),"")</f>
        <v>0</v>
      </c>
      <c r="S1044" s="796"/>
      <c r="T1044" s="797" t="str">
        <f t="shared" si="659"/>
        <v>Versazyme45287</v>
      </c>
      <c r="U1044" s="797"/>
      <c r="V1044" s="797"/>
      <c r="W1044" s="785">
        <f>IFERROR(VLOOKUP($Q1044,'391'!$S:$AG,15,0),0)</f>
        <v>0</v>
      </c>
      <c r="X1044" s="1090">
        <f t="shared" si="646"/>
        <v>0</v>
      </c>
      <c r="Y1044" s="785"/>
      <c r="Z1044" s="785"/>
      <c r="AA1044" s="797"/>
      <c r="AB1044" s="797"/>
      <c r="AC1044" s="681"/>
      <c r="AD1044" s="681"/>
      <c r="AE1044" s="681"/>
      <c r="AF1044" s="681"/>
      <c r="AG1044" s="681"/>
      <c r="AH1044" s="681"/>
      <c r="AI1044" s="703"/>
      <c r="AJ1044" s="703"/>
      <c r="AK1044" s="703"/>
      <c r="AL1044" s="703"/>
      <c r="AM1044" s="703"/>
      <c r="AN1044" s="703"/>
      <c r="AO1044" s="703"/>
      <c r="AP1044" s="703"/>
      <c r="AQ1044" s="703"/>
      <c r="AR1044" s="703"/>
      <c r="AS1044" s="703"/>
    </row>
    <row r="1045" spans="1:45" s="409" customFormat="1" ht="30" hidden="1" customHeight="1" x14ac:dyDescent="0.25">
      <c r="A1045" s="2022"/>
      <c r="B1045" s="2025"/>
      <c r="C1045" s="143"/>
      <c r="D1045" s="887" t="s">
        <v>10</v>
      </c>
      <c r="E1045" s="888">
        <v>43642</v>
      </c>
      <c r="F1045" s="70">
        <f t="shared" si="657"/>
        <v>2644</v>
      </c>
      <c r="G1045" s="11">
        <v>0</v>
      </c>
      <c r="H1045" s="64"/>
      <c r="I1045" s="64"/>
      <c r="J1045" s="1378"/>
      <c r="K1045" s="64">
        <f>IFERROR(SUMIF(INTAKE!$A:$A,$T1045,INTAKE!$P:$P),0)</f>
        <v>0</v>
      </c>
      <c r="L1045" s="1533">
        <f t="shared" si="658"/>
        <v>0</v>
      </c>
      <c r="M1045" s="370"/>
      <c r="N1045" s="162"/>
      <c r="O1045" s="45"/>
      <c r="P1045" s="756"/>
      <c r="Q1045" s="795"/>
      <c r="R1045" s="785">
        <f>IFERROR(VLOOKUP($Q1045,'391'!$S:$Z,8,0),"")</f>
        <v>0</v>
      </c>
      <c r="S1045" s="796"/>
      <c r="T1045" s="797" t="str">
        <f t="shared" si="659"/>
        <v>Versazyme43642</v>
      </c>
      <c r="U1045" s="797"/>
      <c r="V1045" s="797"/>
      <c r="W1045" s="785">
        <f>IFERROR(VLOOKUP($Q1045,'391'!$S:$AG,15,0),0)</f>
        <v>0</v>
      </c>
      <c r="X1045" s="1090">
        <f t="shared" si="646"/>
        <v>0</v>
      </c>
      <c r="Y1045" s="785"/>
      <c r="Z1045" s="785"/>
      <c r="AA1045" s="797"/>
      <c r="AB1045" s="797"/>
      <c r="AC1045" s="681"/>
      <c r="AD1045" s="681"/>
      <c r="AE1045" s="681"/>
      <c r="AF1045" s="681"/>
      <c r="AG1045" s="681"/>
      <c r="AH1045" s="681"/>
      <c r="AI1045" s="703"/>
      <c r="AJ1045" s="703"/>
      <c r="AK1045" s="703"/>
      <c r="AL1045" s="703"/>
      <c r="AM1045" s="703"/>
      <c r="AN1045" s="703"/>
      <c r="AO1045" s="703"/>
      <c r="AP1045" s="703"/>
      <c r="AQ1045" s="703"/>
      <c r="AR1045" s="703"/>
      <c r="AS1045" s="703"/>
    </row>
    <row r="1046" spans="1:45" s="409" customFormat="1" ht="27" hidden="1" customHeight="1" x14ac:dyDescent="0.25">
      <c r="A1046" s="2022"/>
      <c r="B1046" s="2025"/>
      <c r="C1046" s="143"/>
      <c r="D1046" s="887" t="s">
        <v>10</v>
      </c>
      <c r="E1046" s="888">
        <v>42921</v>
      </c>
      <c r="F1046" s="70">
        <f t="shared" si="657"/>
        <v>3365</v>
      </c>
      <c r="G1046" s="11">
        <v>0</v>
      </c>
      <c r="H1046" s="11"/>
      <c r="I1046" s="11"/>
      <c r="J1046" s="1368"/>
      <c r="K1046" s="64">
        <f>IFERROR(SUMIF(INTAKE!$A:$A,$T1046,INTAKE!$P:$P),0)</f>
        <v>0</v>
      </c>
      <c r="L1046" s="1533">
        <f t="shared" si="658"/>
        <v>0</v>
      </c>
      <c r="M1046" s="379"/>
      <c r="N1046" s="920"/>
      <c r="O1046" s="1451"/>
      <c r="P1046" s="1477"/>
      <c r="Q1046" s="795"/>
      <c r="R1046" s="785">
        <f>IFERROR(VLOOKUP($Q1046,'391'!$S:$Z,8,0),"")</f>
        <v>0</v>
      </c>
      <c r="S1046" s="796"/>
      <c r="T1046" s="797" t="str">
        <f t="shared" si="659"/>
        <v>Versazyme42921</v>
      </c>
      <c r="U1046" s="797"/>
      <c r="V1046" s="797"/>
      <c r="W1046" s="785">
        <f>IFERROR(VLOOKUP($Q1046,'391'!$S:$AG,15,0),0)</f>
        <v>0</v>
      </c>
      <c r="X1046" s="1090">
        <f t="shared" si="646"/>
        <v>0</v>
      </c>
      <c r="Y1046" s="785"/>
      <c r="Z1046" s="785"/>
      <c r="AA1046" s="797"/>
      <c r="AB1046" s="797"/>
      <c r="AC1046" s="681"/>
      <c r="AD1046" s="681"/>
      <c r="AE1046" s="681"/>
      <c r="AF1046" s="681"/>
      <c r="AG1046" s="681"/>
      <c r="AH1046" s="681"/>
      <c r="AI1046" s="703"/>
      <c r="AJ1046" s="703"/>
      <c r="AK1046" s="703"/>
      <c r="AL1046" s="703"/>
      <c r="AM1046" s="703"/>
      <c r="AN1046" s="703"/>
      <c r="AO1046" s="703"/>
      <c r="AP1046" s="703"/>
      <c r="AQ1046" s="703"/>
      <c r="AR1046" s="703"/>
      <c r="AS1046" s="703"/>
    </row>
    <row r="1047" spans="1:45" s="409" customFormat="1" ht="30" hidden="1" customHeight="1" x14ac:dyDescent="0.25">
      <c r="A1047" s="2022"/>
      <c r="B1047" s="2025"/>
      <c r="C1047" s="138" t="s">
        <v>46</v>
      </c>
      <c r="D1047" s="852" t="s">
        <v>10</v>
      </c>
      <c r="E1047" s="853">
        <v>45440</v>
      </c>
      <c r="F1047" s="73">
        <f t="shared" si="657"/>
        <v>846</v>
      </c>
      <c r="G1047" s="58">
        <v>0</v>
      </c>
      <c r="H1047" s="64"/>
      <c r="I1047" s="1214">
        <f>+SUM(K1041:K1043)</f>
        <v>0</v>
      </c>
      <c r="J1047" s="1369">
        <f>+usage!I88</f>
        <v>0</v>
      </c>
      <c r="K1047" s="64">
        <f>IFERROR(SUMIF(INTAKE!$A:$A,$T1047,INTAKE!$P:$P),0)</f>
        <v>0</v>
      </c>
      <c r="L1047" s="1533">
        <f t="shared" si="658"/>
        <v>0</v>
      </c>
      <c r="M1047" s="48"/>
      <c r="N1047" s="162"/>
      <c r="O1047" s="45"/>
      <c r="P1047" s="756"/>
      <c r="Q1047" s="795"/>
      <c r="R1047" s="785">
        <f>IFERROR(VLOOKUP($Q1047,'391'!$S:$Z,8,0),"")</f>
        <v>0</v>
      </c>
      <c r="S1047" s="796"/>
      <c r="T1047" s="797" t="str">
        <f t="shared" si="659"/>
        <v>VersazymeFeedmill45440</v>
      </c>
      <c r="U1047" s="797"/>
      <c r="V1047" s="797"/>
      <c r="W1047" s="785">
        <f>IFERROR(VLOOKUP($Q1047,'391'!$S:$AG,15,0),0)</f>
        <v>0</v>
      </c>
      <c r="X1047" s="1090">
        <f t="shared" si="646"/>
        <v>0</v>
      </c>
      <c r="Y1047" s="785"/>
      <c r="Z1047" s="785"/>
      <c r="AA1047" s="797"/>
      <c r="AB1047" s="797"/>
      <c r="AC1047" s="681"/>
      <c r="AD1047" s="681"/>
      <c r="AE1047" s="681"/>
      <c r="AF1047" s="681"/>
      <c r="AG1047" s="681"/>
      <c r="AH1047" s="681"/>
      <c r="AI1047" s="703"/>
      <c r="AJ1047" s="703"/>
      <c r="AK1047" s="703"/>
      <c r="AL1047" s="703"/>
      <c r="AM1047" s="703"/>
      <c r="AN1047" s="703"/>
      <c r="AO1047" s="703"/>
      <c r="AP1047" s="703"/>
      <c r="AQ1047" s="703"/>
      <c r="AR1047" s="703"/>
      <c r="AS1047" s="703"/>
    </row>
    <row r="1048" spans="1:45" s="409" customFormat="1" ht="30" hidden="1" customHeight="1" x14ac:dyDescent="0.25">
      <c r="A1048" s="2019" t="s">
        <v>121</v>
      </c>
      <c r="B1048" s="2020"/>
      <c r="C1048" s="88"/>
      <c r="D1048" s="864"/>
      <c r="E1048" s="864"/>
      <c r="F1048" s="865"/>
      <c r="G1048" s="1297">
        <v>0</v>
      </c>
      <c r="H1048" s="1297">
        <f t="shared" ref="H1048:I1048" si="660">SUM(H1041:H1047)</f>
        <v>0</v>
      </c>
      <c r="I1048" s="1297">
        <f t="shared" si="660"/>
        <v>0</v>
      </c>
      <c r="J1048" s="1297">
        <f t="shared" ref="J1048:K1048" si="661">SUM(J1041:J1047)</f>
        <v>0</v>
      </c>
      <c r="K1048" s="1297">
        <f t="shared" si="661"/>
        <v>0</v>
      </c>
      <c r="L1048" s="1533">
        <f t="shared" si="658"/>
        <v>0</v>
      </c>
      <c r="M1048" s="982" t="str">
        <f>IFERROR((R1048/$S$2),"")</f>
        <v/>
      </c>
      <c r="N1048" s="854">
        <f>IFERROR(L1048/M1048,0)</f>
        <v>0</v>
      </c>
      <c r="O1048" s="982">
        <f>IFERROR(SUMIF(ETM!$A:$A,$Q1048,ETM!$E:$E),"")</f>
        <v>0</v>
      </c>
      <c r="P1048" s="880">
        <f>IFERROR(L1048/O1048,0)</f>
        <v>0</v>
      </c>
      <c r="Q1048" s="814" t="s">
        <v>374</v>
      </c>
      <c r="R1048" s="785" t="str">
        <f>IFERROR(VLOOKUP($Q1048,'391'!$S:$Z,8,0),"")</f>
        <v/>
      </c>
      <c r="S1048" s="796"/>
      <c r="T1048" s="797"/>
      <c r="U1048" s="797"/>
      <c r="V1048" s="797"/>
      <c r="W1048" s="785">
        <f>IFERROR(VLOOKUP($Q1048,'391'!$S:$AG,15,0),0)</f>
        <v>0</v>
      </c>
      <c r="X1048" s="1090">
        <f t="shared" si="646"/>
        <v>0</v>
      </c>
      <c r="Y1048" s="785"/>
      <c r="Z1048" s="785"/>
      <c r="AA1048" s="797"/>
      <c r="AB1048" s="797"/>
      <c r="AC1048" s="681"/>
      <c r="AD1048" s="681"/>
      <c r="AE1048" s="681"/>
      <c r="AF1048" s="681"/>
      <c r="AG1048" s="681"/>
      <c r="AH1048" s="681"/>
      <c r="AI1048" s="703"/>
      <c r="AJ1048" s="703"/>
      <c r="AK1048" s="703"/>
      <c r="AL1048" s="703"/>
      <c r="AM1048" s="703"/>
      <c r="AN1048" s="703"/>
      <c r="AO1048" s="703"/>
      <c r="AP1048" s="703"/>
      <c r="AQ1048" s="703"/>
      <c r="AR1048" s="703"/>
      <c r="AS1048" s="703"/>
    </row>
    <row r="1049" spans="1:45" s="409" customFormat="1" ht="30" hidden="1" customHeight="1" x14ac:dyDescent="0.25">
      <c r="A1049" s="2021">
        <f>IF(L1056=0,"",MAX($A$16:A1048)+1)</f>
        <v>69</v>
      </c>
      <c r="B1049" s="2024" t="s">
        <v>1907</v>
      </c>
      <c r="C1049" s="127"/>
      <c r="D1049" s="881" t="s">
        <v>10</v>
      </c>
      <c r="E1049" s="882">
        <v>45128</v>
      </c>
      <c r="F1049" s="71">
        <f t="shared" ref="F1049:F1055" si="662">$L$7-E1049</f>
        <v>1158</v>
      </c>
      <c r="G1049" s="64">
        <v>0</v>
      </c>
      <c r="H1049" s="64"/>
      <c r="I1049" s="1410"/>
      <c r="J1049" s="1367"/>
      <c r="K1049" s="64">
        <f>IFERROR(SUMIF(INTAKE!$A:$A,$T1049,INTAKE!$P:$P),0)</f>
        <v>0</v>
      </c>
      <c r="L1049" s="1533">
        <f t="shared" si="658"/>
        <v>0</v>
      </c>
      <c r="M1049" s="376"/>
      <c r="N1049" s="167"/>
      <c r="O1049" s="50"/>
      <c r="P1049" s="747"/>
      <c r="Q1049" s="795"/>
      <c r="R1049" s="785">
        <f>IFERROR(VLOOKUP($Q1049,'391'!$S:$Z,8,0),"")</f>
        <v>0</v>
      </c>
      <c r="S1049" s="796"/>
      <c r="T1049" s="797" t="str">
        <f t="shared" ref="T1049:T1055" si="663">$Q$1056&amp;C1049&amp;E1049</f>
        <v>Roxolin45128</v>
      </c>
      <c r="U1049" s="797"/>
      <c r="V1049" s="797"/>
      <c r="W1049" s="785">
        <f>IFERROR(VLOOKUP($Q1049,'391'!$S:$AG,15,0),0)</f>
        <v>0</v>
      </c>
      <c r="X1049" s="1090">
        <f t="shared" si="646"/>
        <v>0</v>
      </c>
      <c r="Y1049" s="785"/>
      <c r="Z1049" s="785"/>
      <c r="AA1049" s="797"/>
      <c r="AB1049" s="797"/>
      <c r="AC1049" s="681"/>
      <c r="AD1049" s="681"/>
      <c r="AE1049" s="681"/>
      <c r="AF1049" s="681"/>
      <c r="AG1049" s="681"/>
      <c r="AH1049" s="681"/>
      <c r="AI1049" s="703"/>
      <c r="AJ1049" s="703"/>
      <c r="AK1049" s="703"/>
      <c r="AL1049" s="703"/>
      <c r="AM1049" s="703"/>
      <c r="AN1049" s="703"/>
      <c r="AO1049" s="703"/>
      <c r="AP1049" s="703"/>
      <c r="AQ1049" s="703"/>
      <c r="AR1049" s="703"/>
      <c r="AS1049" s="703"/>
    </row>
    <row r="1050" spans="1:45" s="409" customFormat="1" ht="30" hidden="1" customHeight="1" x14ac:dyDescent="0.25">
      <c r="A1050" s="2022"/>
      <c r="B1050" s="2025"/>
      <c r="C1050" s="127"/>
      <c r="D1050" s="881" t="s">
        <v>10</v>
      </c>
      <c r="E1050" s="882">
        <v>45680</v>
      </c>
      <c r="F1050" s="71">
        <f t="shared" si="662"/>
        <v>606</v>
      </c>
      <c r="G1050" s="64">
        <v>0</v>
      </c>
      <c r="H1050" s="64"/>
      <c r="I1050" s="1410"/>
      <c r="J1050" s="1367"/>
      <c r="K1050" s="64">
        <f>IFERROR(SUMIF(INTAKE!$A:$A,$T1050,INTAKE!$P:$P),0)</f>
        <v>0</v>
      </c>
      <c r="L1050" s="1702">
        <f t="shared" si="658"/>
        <v>0</v>
      </c>
      <c r="M1050" s="377"/>
      <c r="N1050" s="176"/>
      <c r="O1050" s="46"/>
      <c r="P1050" s="748"/>
      <c r="Q1050" s="795"/>
      <c r="R1050" s="785">
        <f>IFERROR(VLOOKUP($Q1050,'391'!$S:$Z,8,0),"")</f>
        <v>0</v>
      </c>
      <c r="S1050" s="796"/>
      <c r="T1050" s="797" t="str">
        <f t="shared" si="663"/>
        <v>Roxolin45680</v>
      </c>
      <c r="U1050" s="797"/>
      <c r="V1050" s="797"/>
      <c r="W1050" s="785">
        <f>IFERROR(VLOOKUP($Q1050,'391'!$S:$AG,15,0),0)</f>
        <v>0</v>
      </c>
      <c r="X1050" s="1090">
        <f t="shared" si="646"/>
        <v>0</v>
      </c>
      <c r="Y1050" s="785"/>
      <c r="Z1050" s="785"/>
      <c r="AA1050" s="797"/>
      <c r="AB1050" s="797"/>
      <c r="AC1050" s="681"/>
      <c r="AD1050" s="681"/>
      <c r="AE1050" s="681"/>
      <c r="AF1050" s="681"/>
      <c r="AG1050" s="681"/>
      <c r="AH1050" s="681"/>
      <c r="AI1050" s="703"/>
      <c r="AJ1050" s="703"/>
      <c r="AK1050" s="703"/>
      <c r="AL1050" s="703"/>
      <c r="AM1050" s="703"/>
      <c r="AN1050" s="703"/>
      <c r="AO1050" s="703"/>
      <c r="AP1050" s="703"/>
      <c r="AQ1050" s="703"/>
      <c r="AR1050" s="703"/>
      <c r="AS1050" s="703"/>
    </row>
    <row r="1051" spans="1:45" s="409" customFormat="1" ht="30" hidden="1" customHeight="1" x14ac:dyDescent="0.25">
      <c r="A1051" s="2022"/>
      <c r="B1051" s="2025"/>
      <c r="C1051" s="1199"/>
      <c r="D1051" s="881" t="s">
        <v>10</v>
      </c>
      <c r="E1051" s="882">
        <v>45996</v>
      </c>
      <c r="F1051" s="71">
        <f t="shared" si="662"/>
        <v>290</v>
      </c>
      <c r="G1051" s="64">
        <v>0</v>
      </c>
      <c r="H1051" s="64"/>
      <c r="I1051" s="1410"/>
      <c r="J1051" s="1367"/>
      <c r="K1051" s="64">
        <f>IFERROR(SUMIF(INTAKE!$A:$A,$T1051,INTAKE!$P:$P),0)</f>
        <v>0</v>
      </c>
      <c r="L1051" s="1702">
        <f t="shared" si="658"/>
        <v>0</v>
      </c>
      <c r="M1051" s="373"/>
      <c r="N1051" s="163"/>
      <c r="O1051" s="48"/>
      <c r="P1051" s="750"/>
      <c r="Q1051" s="795"/>
      <c r="R1051" s="785">
        <f>IFERROR(VLOOKUP($Q1051,'391'!$S:$Z,8,0),"")</f>
        <v>0</v>
      </c>
      <c r="S1051" s="796"/>
      <c r="T1051" s="797" t="str">
        <f t="shared" si="663"/>
        <v>Roxolin45996</v>
      </c>
      <c r="U1051" s="797"/>
      <c r="V1051" s="797"/>
      <c r="W1051" s="785">
        <f>IFERROR(VLOOKUP($Q1051,'391'!$S:$AG,15,0),0)</f>
        <v>0</v>
      </c>
      <c r="X1051" s="1090">
        <f t="shared" si="646"/>
        <v>0</v>
      </c>
      <c r="Y1051" s="785"/>
      <c r="Z1051" s="785"/>
      <c r="AA1051" s="797"/>
      <c r="AB1051" s="797"/>
      <c r="AC1051" s="681"/>
      <c r="AD1051" s="681"/>
      <c r="AE1051" s="681"/>
      <c r="AF1051" s="681"/>
      <c r="AG1051" s="681"/>
      <c r="AH1051" s="681"/>
      <c r="AI1051" s="703"/>
      <c r="AJ1051" s="703"/>
      <c r="AK1051" s="703"/>
      <c r="AL1051" s="703"/>
      <c r="AM1051" s="703"/>
      <c r="AN1051" s="703"/>
      <c r="AO1051" s="703"/>
      <c r="AP1051" s="703"/>
      <c r="AQ1051" s="703"/>
      <c r="AR1051" s="703"/>
      <c r="AS1051" s="703"/>
    </row>
    <row r="1052" spans="1:45" s="409" customFormat="1" ht="28.5" customHeight="1" x14ac:dyDescent="0.25">
      <c r="A1052" s="2022"/>
      <c r="B1052" s="2025"/>
      <c r="C1052" s="1199" t="s">
        <v>1249</v>
      </c>
      <c r="D1052" s="881" t="s">
        <v>10</v>
      </c>
      <c r="E1052" s="882">
        <v>46254</v>
      </c>
      <c r="F1052" s="71">
        <f t="shared" si="662"/>
        <v>32</v>
      </c>
      <c r="G1052" s="64">
        <v>540</v>
      </c>
      <c r="H1052" s="64"/>
      <c r="I1052" s="1410"/>
      <c r="J1052" s="1367"/>
      <c r="K1052" s="64">
        <f>IFERROR(SUMIF(INTAKE!$A:$A,$T1052,INTAKE!$P:$P),0)</f>
        <v>0</v>
      </c>
      <c r="L1052" s="1702">
        <f t="shared" si="658"/>
        <v>540</v>
      </c>
      <c r="M1052" s="370"/>
      <c r="N1052" s="162"/>
      <c r="O1052" s="45"/>
      <c r="P1052" s="756"/>
      <c r="Q1052" s="795"/>
      <c r="R1052" s="785">
        <f>IFERROR(VLOOKUP($Q1052,'391'!$S:$Z,8,0),"")</f>
        <v>0</v>
      </c>
      <c r="S1052" s="796"/>
      <c r="T1052" s="797" t="str">
        <f t="shared" si="663"/>
        <v>RoxolinE146254</v>
      </c>
      <c r="U1052" s="797"/>
      <c r="V1052" s="797"/>
      <c r="W1052" s="785">
        <f>IFERROR(VLOOKUP($Q1052,'391'!$S:$AG,15,0),0)</f>
        <v>0</v>
      </c>
      <c r="X1052" s="1090">
        <f t="shared" si="646"/>
        <v>540</v>
      </c>
      <c r="Y1052" s="785"/>
      <c r="Z1052" s="785"/>
      <c r="AA1052" s="797"/>
      <c r="AB1052" s="797"/>
      <c r="AC1052" s="681"/>
      <c r="AD1052" s="681"/>
      <c r="AE1052" s="681"/>
      <c r="AF1052" s="681"/>
      <c r="AG1052" s="681"/>
      <c r="AH1052" s="681"/>
      <c r="AI1052" s="703"/>
      <c r="AJ1052" s="703"/>
      <c r="AK1052" s="703"/>
      <c r="AL1052" s="703"/>
      <c r="AM1052" s="703"/>
      <c r="AN1052" s="703"/>
      <c r="AO1052" s="703"/>
      <c r="AP1052" s="703"/>
      <c r="AQ1052" s="703"/>
      <c r="AR1052" s="703"/>
      <c r="AS1052" s="703"/>
    </row>
    <row r="1053" spans="1:45" s="409" customFormat="1" ht="30" customHeight="1" x14ac:dyDescent="0.25">
      <c r="A1053" s="2022"/>
      <c r="B1053" s="2025"/>
      <c r="C1053" s="1199" t="s">
        <v>1249</v>
      </c>
      <c r="D1053" s="881" t="s">
        <v>10</v>
      </c>
      <c r="E1053" s="882">
        <v>46275</v>
      </c>
      <c r="F1053" s="71">
        <f t="shared" ref="F1053" si="664">$L$7-E1053</f>
        <v>11</v>
      </c>
      <c r="G1053" s="64">
        <v>800</v>
      </c>
      <c r="H1053" s="64"/>
      <c r="I1053" s="1410"/>
      <c r="J1053" s="1367"/>
      <c r="K1053" s="64">
        <f>IFERROR(SUMIF(INTAKE!$A:$A,$T1053,INTAKE!$P:$P),0)</f>
        <v>0</v>
      </c>
      <c r="L1053" s="1711">
        <f t="shared" si="658"/>
        <v>800</v>
      </c>
      <c r="M1053" s="370"/>
      <c r="N1053" s="162"/>
      <c r="O1053" s="45"/>
      <c r="P1053" s="756"/>
      <c r="Q1053" s="795"/>
      <c r="R1053" s="785">
        <f>IFERROR(VLOOKUP($Q1053,'391'!$S:$Z,8,0),"")</f>
        <v>0</v>
      </c>
      <c r="S1053" s="796"/>
      <c r="T1053" s="797" t="str">
        <f t="shared" si="663"/>
        <v>RoxolinE146275</v>
      </c>
      <c r="U1053" s="797"/>
      <c r="V1053" s="797"/>
      <c r="W1053" s="785">
        <f>IFERROR(VLOOKUP($Q1053,'391'!$S:$AG,15,0),0)</f>
        <v>0</v>
      </c>
      <c r="X1053" s="1090">
        <f t="shared" si="646"/>
        <v>800</v>
      </c>
      <c r="Y1053" s="785"/>
      <c r="Z1053" s="785"/>
      <c r="AA1053" s="797"/>
      <c r="AB1053" s="797"/>
      <c r="AC1053" s="681"/>
      <c r="AD1053" s="681"/>
      <c r="AE1053" s="681"/>
      <c r="AF1053" s="681"/>
      <c r="AG1053" s="681"/>
      <c r="AH1053" s="681"/>
      <c r="AI1053" s="703"/>
      <c r="AJ1053" s="703"/>
      <c r="AK1053" s="703"/>
      <c r="AL1053" s="703"/>
      <c r="AM1053" s="703"/>
      <c r="AN1053" s="703"/>
      <c r="AO1053" s="703"/>
      <c r="AP1053" s="703"/>
      <c r="AQ1053" s="703"/>
      <c r="AR1053" s="703"/>
      <c r="AS1053" s="703"/>
    </row>
    <row r="1054" spans="1:45" s="409" customFormat="1" ht="30" hidden="1" customHeight="1" x14ac:dyDescent="0.25">
      <c r="A1054" s="2022"/>
      <c r="B1054" s="2108"/>
      <c r="C1054" s="1199"/>
      <c r="D1054" s="881" t="s">
        <v>10</v>
      </c>
      <c r="E1054" s="882">
        <v>45821</v>
      </c>
      <c r="F1054" s="71">
        <f t="shared" ref="F1054" si="665">$L$7-E1054</f>
        <v>465</v>
      </c>
      <c r="G1054" s="64">
        <v>0</v>
      </c>
      <c r="H1054" s="64"/>
      <c r="I1054" s="1410"/>
      <c r="J1054" s="1367"/>
      <c r="K1054" s="64">
        <f>IFERROR(SUMIF(INTAKE!$A:$A,$T1054,INTAKE!$P:$P),0)</f>
        <v>0</v>
      </c>
      <c r="L1054" s="1711">
        <f t="shared" ref="L1054" si="666">+G1054+H1054+I1054-J1054-K1054</f>
        <v>0</v>
      </c>
      <c r="M1054" s="370"/>
      <c r="N1054" s="162"/>
      <c r="O1054" s="45"/>
      <c r="P1054" s="756"/>
      <c r="Q1054" s="795"/>
      <c r="R1054" s="785">
        <f>IFERROR(VLOOKUP($Q1054,'391'!$S:$Z,8,0),"")</f>
        <v>0</v>
      </c>
      <c r="S1054" s="796"/>
      <c r="T1054" s="797" t="str">
        <f t="shared" si="663"/>
        <v>Roxolin45821</v>
      </c>
      <c r="U1054" s="797"/>
      <c r="V1054" s="797"/>
      <c r="W1054" s="785">
        <f>IFERROR(VLOOKUP($Q1054,'391'!$S:$AG,15,0),0)</f>
        <v>0</v>
      </c>
      <c r="X1054" s="1090">
        <f t="shared" ref="X1054" si="667">G1054-W1054</f>
        <v>0</v>
      </c>
      <c r="Y1054" s="785"/>
      <c r="Z1054" s="785"/>
      <c r="AA1054" s="797"/>
      <c r="AB1054" s="797"/>
      <c r="AC1054" s="681"/>
      <c r="AD1054" s="681"/>
      <c r="AE1054" s="681"/>
      <c r="AF1054" s="681"/>
      <c r="AG1054" s="681"/>
      <c r="AH1054" s="681"/>
      <c r="AI1054" s="703"/>
      <c r="AJ1054" s="703"/>
      <c r="AK1054" s="703"/>
      <c r="AL1054" s="703"/>
      <c r="AM1054" s="703"/>
      <c r="AN1054" s="703"/>
      <c r="AO1054" s="703"/>
      <c r="AP1054" s="703"/>
      <c r="AQ1054" s="703"/>
      <c r="AR1054" s="703"/>
      <c r="AS1054" s="703"/>
    </row>
    <row r="1055" spans="1:45" s="401" customFormat="1" ht="30" customHeight="1" x14ac:dyDescent="0.25">
      <c r="A1055" s="2023"/>
      <c r="B1055" s="2026"/>
      <c r="C1055" s="138" t="s">
        <v>46</v>
      </c>
      <c r="D1055" s="903" t="s">
        <v>10</v>
      </c>
      <c r="E1055" s="904">
        <v>46254</v>
      </c>
      <c r="F1055" s="258">
        <f t="shared" si="662"/>
        <v>32</v>
      </c>
      <c r="G1055" s="1214">
        <v>118</v>
      </c>
      <c r="H1055" s="1214"/>
      <c r="I1055" s="1214">
        <f>SUM(K1049:K1053)</f>
        <v>0</v>
      </c>
      <c r="J1055" s="1390">
        <f>usage!I138</f>
        <v>0</v>
      </c>
      <c r="K1055" s="64">
        <f>IFERROR(SUMIF(INTAKE!$A:$A,$T1055,INTAKE!$P:$P),0)</f>
        <v>0</v>
      </c>
      <c r="L1055" s="1533">
        <f t="shared" si="658"/>
        <v>118</v>
      </c>
      <c r="M1055" s="378"/>
      <c r="N1055" s="87"/>
      <c r="O1055" s="35"/>
      <c r="P1055" s="751"/>
      <c r="Q1055" s="795"/>
      <c r="R1055" s="785">
        <f>IFERROR(VLOOKUP($Q1055,'391'!$S:$Z,8,0),"")</f>
        <v>0</v>
      </c>
      <c r="S1055" s="796"/>
      <c r="T1055" s="797" t="str">
        <f t="shared" si="663"/>
        <v>RoxolinFeedmill46254</v>
      </c>
      <c r="U1055" s="797"/>
      <c r="V1055" s="797"/>
      <c r="W1055" s="785">
        <f>IFERROR(VLOOKUP($Q1055,'391'!$S:$AG,15,0),0)</f>
        <v>0</v>
      </c>
      <c r="X1055" s="1090">
        <f t="shared" si="646"/>
        <v>118</v>
      </c>
      <c r="Y1055" s="785"/>
      <c r="Z1055" s="785"/>
      <c r="AA1055" s="797"/>
      <c r="AB1055" s="797"/>
      <c r="AC1055" s="681"/>
      <c r="AD1055" s="681"/>
      <c r="AE1055" s="681"/>
      <c r="AF1055" s="681"/>
      <c r="AG1055" s="681"/>
      <c r="AH1055" s="681"/>
      <c r="AI1055" s="703"/>
      <c r="AJ1055" s="703"/>
      <c r="AK1055" s="703"/>
      <c r="AL1055" s="703"/>
      <c r="AM1055" s="703"/>
      <c r="AN1055" s="703"/>
      <c r="AO1055" s="703"/>
      <c r="AP1055" s="703"/>
      <c r="AQ1055" s="703"/>
      <c r="AR1055" s="703"/>
      <c r="AS1055" s="703"/>
    </row>
    <row r="1056" spans="1:45" s="265" customFormat="1" ht="30" customHeight="1" x14ac:dyDescent="0.25">
      <c r="A1056" s="2019" t="s">
        <v>218</v>
      </c>
      <c r="B1056" s="2020"/>
      <c r="C1056" s="88"/>
      <c r="D1056" s="864"/>
      <c r="E1056" s="864"/>
      <c r="F1056" s="865"/>
      <c r="G1056" s="1297">
        <v>1458</v>
      </c>
      <c r="H1056" s="1297">
        <f t="shared" ref="H1056:L1056" si="668">+SUM(H1049:H1055)</f>
        <v>0</v>
      </c>
      <c r="I1056" s="1297">
        <f t="shared" si="668"/>
        <v>0</v>
      </c>
      <c r="J1056" s="1297">
        <f>+SUM(J1049:J1055)</f>
        <v>0</v>
      </c>
      <c r="K1056" s="1297">
        <f t="shared" si="668"/>
        <v>0</v>
      </c>
      <c r="L1056" s="1297">
        <f t="shared" si="668"/>
        <v>1458</v>
      </c>
      <c r="M1056" s="982">
        <f>IFERROR((R1056/$S$2),"")</f>
        <v>8</v>
      </c>
      <c r="N1056" s="366">
        <f>IFERROR(L1056/M1056,0)</f>
        <v>182.25</v>
      </c>
      <c r="O1056" s="982">
        <f>IFERROR(SUMIF(ETM!$A:$A,$Q1056,ETM!$E:$E),"")</f>
        <v>32.166666666666671</v>
      </c>
      <c r="P1056" s="880">
        <f>IFERROR(L1056/O1056,0)</f>
        <v>45.326424870466312</v>
      </c>
      <c r="Q1056" s="814" t="s">
        <v>675</v>
      </c>
      <c r="R1056" s="785">
        <f>IFERROR(VLOOKUP($Q1056,'391'!$S:$Z,8,0),"0")</f>
        <v>48</v>
      </c>
      <c r="S1056" s="819">
        <f>+R1056+R1062</f>
        <v>76.010000000000005</v>
      </c>
      <c r="T1056" s="797"/>
      <c r="U1056" s="797"/>
      <c r="V1056" s="797"/>
      <c r="W1056" s="785">
        <f>IFERROR(VLOOKUP($Q1056,'391'!$S:$AG,15,0),0)</f>
        <v>1458</v>
      </c>
      <c r="X1056" s="1090">
        <f>G1056-W1056</f>
        <v>0</v>
      </c>
      <c r="Y1056" s="785"/>
      <c r="Z1056" s="785"/>
      <c r="AA1056" s="797"/>
      <c r="AB1056" s="797"/>
      <c r="AC1056" s="551"/>
      <c r="AD1056" s="551"/>
      <c r="AE1056" s="551"/>
      <c r="AF1056" s="551"/>
      <c r="AG1056" s="551"/>
      <c r="AH1056" s="551"/>
      <c r="AI1056" s="704"/>
      <c r="AJ1056" s="704"/>
      <c r="AK1056" s="704"/>
      <c r="AL1056" s="704"/>
      <c r="AM1056" s="704"/>
      <c r="AN1056" s="704"/>
      <c r="AO1056" s="704"/>
      <c r="AP1056" s="704"/>
      <c r="AQ1056" s="704"/>
      <c r="AR1056" s="704"/>
      <c r="AS1056" s="704"/>
    </row>
    <row r="1057" spans="1:45" s="409" customFormat="1" ht="30" hidden="1" customHeight="1" x14ac:dyDescent="0.25">
      <c r="A1057" s="2021">
        <f>IF(L1062=0,"",MAX($A$16:A1056)+1)</f>
        <v>70</v>
      </c>
      <c r="B1057" s="2024" t="s">
        <v>1906</v>
      </c>
      <c r="C1057" s="1198"/>
      <c r="D1057" s="881" t="s">
        <v>10</v>
      </c>
      <c r="E1057" s="882">
        <v>45869</v>
      </c>
      <c r="F1057" s="71">
        <f>$L$7-E1057</f>
        <v>417</v>
      </c>
      <c r="G1057" s="64">
        <v>0</v>
      </c>
      <c r="H1057" s="64"/>
      <c r="I1057" s="64"/>
      <c r="J1057" s="1367"/>
      <c r="K1057" s="64">
        <f>IFERROR(SUMIF(INTAKE!$A:$A,$T1057,INTAKE!$P:$P),0)</f>
        <v>0</v>
      </c>
      <c r="L1057" s="1702">
        <f t="shared" ref="L1057:L1088" si="669">+G1057+H1057+I1057-J1057-K1057</f>
        <v>0</v>
      </c>
      <c r="M1057" s="376"/>
      <c r="N1057" s="167"/>
      <c r="O1057" s="45"/>
      <c r="P1057" s="747"/>
      <c r="Q1057" s="795"/>
      <c r="R1057" s="785">
        <f>IFERROR(VLOOKUP($Q1057,'391'!$S:$Z,8,0),"")</f>
        <v>0</v>
      </c>
      <c r="S1057" s="796"/>
      <c r="T1057" s="797" t="str">
        <f>$Q$1062&amp;C1057&amp;E1057</f>
        <v>Advance Haquinol45869</v>
      </c>
      <c r="U1057" s="797"/>
      <c r="V1057" s="797"/>
      <c r="W1057" s="785">
        <f>IFERROR(VLOOKUP($Q1057,'391'!$S:$AG,15,0),0)</f>
        <v>0</v>
      </c>
      <c r="X1057" s="1090">
        <f t="shared" si="646"/>
        <v>0</v>
      </c>
      <c r="Y1057" s="785"/>
      <c r="Z1057" s="785"/>
      <c r="AA1057" s="797"/>
      <c r="AB1057" s="797"/>
      <c r="AC1057" s="681"/>
      <c r="AD1057" s="681"/>
      <c r="AE1057" s="681"/>
      <c r="AF1057" s="681"/>
      <c r="AG1057" s="681"/>
      <c r="AH1057" s="681"/>
      <c r="AI1057" s="703"/>
      <c r="AJ1057" s="703"/>
      <c r="AK1057" s="703"/>
      <c r="AL1057" s="703"/>
      <c r="AM1057" s="703"/>
      <c r="AN1057" s="703"/>
      <c r="AO1057" s="703"/>
      <c r="AP1057" s="703"/>
      <c r="AQ1057" s="703"/>
      <c r="AR1057" s="703"/>
      <c r="AS1057" s="703"/>
    </row>
    <row r="1058" spans="1:45" s="409" customFormat="1" ht="30" hidden="1" customHeight="1" x14ac:dyDescent="0.25">
      <c r="A1058" s="2022"/>
      <c r="B1058" s="2025"/>
      <c r="C1058" s="1198"/>
      <c r="D1058" s="881" t="s">
        <v>10</v>
      </c>
      <c r="E1058" s="882">
        <v>45987</v>
      </c>
      <c r="F1058" s="71">
        <f>$L$7-E1058</f>
        <v>299</v>
      </c>
      <c r="G1058" s="64">
        <v>0</v>
      </c>
      <c r="H1058" s="64"/>
      <c r="I1058" s="64"/>
      <c r="J1058" s="1367"/>
      <c r="K1058" s="64">
        <f>IFERROR(SUMIF(INTAKE!$A:$A,$T1058,INTAKE!$P:$P),0)</f>
        <v>0</v>
      </c>
      <c r="L1058" s="1702">
        <f t="shared" si="669"/>
        <v>0</v>
      </c>
      <c r="M1058" s="564"/>
      <c r="N1058" s="565"/>
      <c r="O1058" s="45"/>
      <c r="P1058" s="748"/>
      <c r="Q1058" s="795"/>
      <c r="R1058" s="785">
        <f>IFERROR(VLOOKUP($Q1058,'391'!$S:$Z,8,0),"")</f>
        <v>0</v>
      </c>
      <c r="S1058" s="796"/>
      <c r="T1058" s="797" t="str">
        <f>$Q$1062&amp;C1058&amp;E1058</f>
        <v>Advance Haquinol45987</v>
      </c>
      <c r="U1058" s="797"/>
      <c r="V1058" s="797"/>
      <c r="W1058" s="785">
        <f>IFERROR(VLOOKUP($Q1058,'391'!$S:$AG,15,0),0)</f>
        <v>0</v>
      </c>
      <c r="X1058" s="1090">
        <f t="shared" si="646"/>
        <v>0</v>
      </c>
      <c r="Y1058" s="785"/>
      <c r="Z1058" s="785"/>
      <c r="AA1058" s="797"/>
      <c r="AB1058" s="797"/>
      <c r="AC1058" s="681"/>
      <c r="AD1058" s="681"/>
      <c r="AE1058" s="681"/>
      <c r="AF1058" s="681"/>
      <c r="AG1058" s="681"/>
      <c r="AH1058" s="681"/>
      <c r="AI1058" s="703"/>
      <c r="AJ1058" s="703"/>
      <c r="AK1058" s="703"/>
      <c r="AL1058" s="703"/>
      <c r="AM1058" s="703"/>
      <c r="AN1058" s="703"/>
      <c r="AO1058" s="703"/>
      <c r="AP1058" s="703"/>
      <c r="AQ1058" s="703"/>
      <c r="AR1058" s="703"/>
      <c r="AS1058" s="703"/>
    </row>
    <row r="1059" spans="1:45" s="409" customFormat="1" ht="30" customHeight="1" x14ac:dyDescent="0.25">
      <c r="A1059" s="2022"/>
      <c r="B1059" s="2025"/>
      <c r="C1059" s="1198" t="s">
        <v>1313</v>
      </c>
      <c r="D1059" s="881" t="s">
        <v>10</v>
      </c>
      <c r="E1059" s="882">
        <v>46037</v>
      </c>
      <c r="F1059" s="71">
        <f>$L$7-E1059</f>
        <v>249</v>
      </c>
      <c r="G1059" s="64">
        <v>200</v>
      </c>
      <c r="H1059" s="64"/>
      <c r="I1059" s="64"/>
      <c r="J1059" s="1367"/>
      <c r="K1059" s="1348">
        <f>IFERROR(SUMIF(INTAKE!$A:$A,$T1059,INTAKE!$P:$P),0)</f>
        <v>40</v>
      </c>
      <c r="L1059" s="1702">
        <f t="shared" si="669"/>
        <v>160</v>
      </c>
      <c r="M1059" s="1836"/>
      <c r="N1059" s="1837"/>
      <c r="O1059" s="45"/>
      <c r="P1059" s="748"/>
      <c r="Q1059" s="795"/>
      <c r="R1059" s="785">
        <f>IFERROR(VLOOKUP($Q1059,'391'!$S:$Z,8,0),"")</f>
        <v>0</v>
      </c>
      <c r="S1059" s="796"/>
      <c r="T1059" s="797" t="str">
        <f>$Q$1062&amp;C1059&amp;E1059</f>
        <v>Advance HaquinolE246037</v>
      </c>
      <c r="U1059" s="797"/>
      <c r="V1059" s="797"/>
      <c r="W1059" s="785">
        <f>IFERROR(VLOOKUP($Q1059,'391'!$S:$AG,15,0),0)</f>
        <v>0</v>
      </c>
      <c r="X1059" s="1090">
        <f t="shared" si="646"/>
        <v>200</v>
      </c>
      <c r="Y1059" s="785"/>
      <c r="Z1059" s="785"/>
      <c r="AA1059" s="797"/>
      <c r="AB1059" s="797"/>
      <c r="AC1059" s="681"/>
      <c r="AD1059" s="681"/>
      <c r="AE1059" s="681"/>
      <c r="AF1059" s="681"/>
      <c r="AG1059" s="681"/>
      <c r="AH1059" s="681"/>
      <c r="AI1059" s="703"/>
      <c r="AJ1059" s="703"/>
      <c r="AK1059" s="703"/>
      <c r="AL1059" s="703"/>
      <c r="AM1059" s="703"/>
      <c r="AN1059" s="703"/>
      <c r="AO1059" s="703"/>
      <c r="AP1059" s="703"/>
      <c r="AQ1059" s="703"/>
      <c r="AR1059" s="703"/>
      <c r="AS1059" s="703"/>
    </row>
    <row r="1060" spans="1:45" s="409" customFormat="1" ht="30" hidden="1" customHeight="1" x14ac:dyDescent="0.25">
      <c r="A1060" s="2022"/>
      <c r="B1060" s="2107"/>
      <c r="C1060" s="1198"/>
      <c r="D1060" s="881" t="s">
        <v>10</v>
      </c>
      <c r="E1060" s="882">
        <v>46037</v>
      </c>
      <c r="F1060" s="71">
        <f>$L$7-E1060</f>
        <v>249</v>
      </c>
      <c r="G1060" s="64">
        <v>0</v>
      </c>
      <c r="H1060" s="64"/>
      <c r="I1060" s="64"/>
      <c r="J1060" s="1367"/>
      <c r="K1060" s="64">
        <f>IFERROR(SUMIF(INTAKE!$A:$A,$T1060,INTAKE!$P:$P),0)</f>
        <v>0</v>
      </c>
      <c r="L1060" s="1702">
        <f t="shared" si="669"/>
        <v>0</v>
      </c>
      <c r="M1060" s="1838"/>
      <c r="N1060" s="606"/>
      <c r="O1060" s="45"/>
      <c r="P1060" s="748"/>
      <c r="Q1060" s="795"/>
      <c r="R1060" s="785">
        <f>IFERROR(VLOOKUP($Q1060,'391'!$S:$Z,8,0),"")</f>
        <v>0</v>
      </c>
      <c r="S1060" s="796"/>
      <c r="T1060" s="797" t="str">
        <f>$Q$1062&amp;C1060&amp;E1060</f>
        <v>Advance Haquinol46037</v>
      </c>
      <c r="U1060" s="797"/>
      <c r="V1060" s="797"/>
      <c r="W1060" s="785">
        <f>IFERROR(VLOOKUP($Q1060,'391'!$S:$AG,15,0),0)</f>
        <v>0</v>
      </c>
      <c r="X1060" s="1090">
        <f t="shared" si="646"/>
        <v>0</v>
      </c>
      <c r="Y1060" s="785"/>
      <c r="Z1060" s="785"/>
      <c r="AA1060" s="797"/>
      <c r="AB1060" s="797"/>
      <c r="AC1060" s="681"/>
      <c r="AD1060" s="681"/>
      <c r="AE1060" s="681"/>
      <c r="AF1060" s="681"/>
      <c r="AG1060" s="681"/>
      <c r="AH1060" s="681"/>
      <c r="AI1060" s="703"/>
      <c r="AJ1060" s="703"/>
      <c r="AK1060" s="703"/>
      <c r="AL1060" s="703"/>
      <c r="AM1060" s="703"/>
      <c r="AN1060" s="703"/>
      <c r="AO1060" s="703"/>
      <c r="AP1060" s="703"/>
      <c r="AQ1060" s="703"/>
      <c r="AR1060" s="703"/>
      <c r="AS1060" s="703"/>
    </row>
    <row r="1061" spans="1:45" s="401" customFormat="1" ht="30" customHeight="1" x14ac:dyDescent="0.25">
      <c r="A1061" s="2023"/>
      <c r="B1061" s="2026"/>
      <c r="C1061" s="61" t="s">
        <v>46</v>
      </c>
      <c r="D1061" s="850" t="s">
        <v>10</v>
      </c>
      <c r="E1061" s="851">
        <v>46037</v>
      </c>
      <c r="F1061" s="42">
        <f>$L$7-E1061</f>
        <v>249</v>
      </c>
      <c r="G1061" s="207">
        <v>0</v>
      </c>
      <c r="H1061" s="37"/>
      <c r="I1061" s="58">
        <f>SUM(K1057:K1060)</f>
        <v>40</v>
      </c>
      <c r="J1061" s="1385">
        <f>usage!I139</f>
        <v>24</v>
      </c>
      <c r="K1061" s="64">
        <f>IFERROR(SUMIF(INTAKE!$A:$A,$T1061,INTAKE!$P:$P),0)</f>
        <v>0</v>
      </c>
      <c r="L1061" s="1533">
        <f t="shared" si="669"/>
        <v>16</v>
      </c>
      <c r="M1061" s="40"/>
      <c r="N1061" s="84"/>
      <c r="O1061" s="40"/>
      <c r="P1061" s="750"/>
      <c r="Q1061" s="795"/>
      <c r="R1061" s="785">
        <f>IFERROR(VLOOKUP($Q1061,'391'!$S:$Z,8,0),"")</f>
        <v>0</v>
      </c>
      <c r="S1061" s="796"/>
      <c r="T1061" s="797" t="str">
        <f>$Q$1062&amp;C1061&amp;E1061</f>
        <v>Advance HaquinolFeedmill46037</v>
      </c>
      <c r="U1061" s="797"/>
      <c r="V1061" s="797"/>
      <c r="W1061" s="785">
        <f>IFERROR(VLOOKUP($Q1061,'391'!$S:$AG,15,0),0)</f>
        <v>0</v>
      </c>
      <c r="X1061" s="1090">
        <f t="shared" si="646"/>
        <v>0</v>
      </c>
      <c r="Y1061" s="785"/>
      <c r="Z1061" s="785"/>
      <c r="AA1061" s="797"/>
      <c r="AB1061" s="797"/>
      <c r="AC1061" s="681"/>
      <c r="AD1061" s="681"/>
      <c r="AE1061" s="681"/>
      <c r="AF1061" s="681"/>
      <c r="AG1061" s="681"/>
      <c r="AH1061" s="681"/>
      <c r="AI1061" s="703"/>
      <c r="AJ1061" s="703"/>
      <c r="AK1061" s="703"/>
      <c r="AL1061" s="703"/>
      <c r="AM1061" s="703"/>
      <c r="AN1061" s="703"/>
      <c r="AO1061" s="703"/>
      <c r="AP1061" s="703"/>
      <c r="AQ1061" s="703"/>
      <c r="AR1061" s="703"/>
      <c r="AS1061" s="703"/>
    </row>
    <row r="1062" spans="1:45" s="265" customFormat="1" ht="30" customHeight="1" x14ac:dyDescent="0.25">
      <c r="A1062" s="2019" t="s">
        <v>594</v>
      </c>
      <c r="B1062" s="2020"/>
      <c r="C1062" s="88"/>
      <c r="D1062" s="864"/>
      <c r="E1062" s="864"/>
      <c r="F1062" s="865"/>
      <c r="G1062" s="1297">
        <v>200</v>
      </c>
      <c r="H1062" s="1297">
        <f t="shared" ref="H1062:L1062" si="670">+SUM(H1057:H1061)</f>
        <v>0</v>
      </c>
      <c r="I1062" s="1297">
        <f t="shared" si="670"/>
        <v>40</v>
      </c>
      <c r="J1062" s="1297">
        <f t="shared" si="670"/>
        <v>24</v>
      </c>
      <c r="K1062" s="1297">
        <f t="shared" si="670"/>
        <v>40</v>
      </c>
      <c r="L1062" s="1297">
        <f t="shared" si="670"/>
        <v>176</v>
      </c>
      <c r="M1062" s="982">
        <f>IFERROR((R1062/$S$2),"")</f>
        <v>4.6683333333333339</v>
      </c>
      <c r="N1062" s="366">
        <f>IFERROR(L1062/M1062,0)</f>
        <v>37.700821135308814</v>
      </c>
      <c r="O1062" s="59">
        <f>IFERROR(SUMIF(ETM!$A:$A,$Q1062,ETM!$E:$E),"")</f>
        <v>0.83333333333333337</v>
      </c>
      <c r="P1062" s="880">
        <f>IFERROR(L1062/O1062,0)</f>
        <v>211.2</v>
      </c>
      <c r="Q1062" s="814" t="s">
        <v>593</v>
      </c>
      <c r="R1062" s="785">
        <f>IFERROR(VLOOKUP($Q1062,'391'!$S:$Z,8,0),"0")</f>
        <v>28.01</v>
      </c>
      <c r="S1062" s="796"/>
      <c r="T1062" s="797"/>
      <c r="U1062" s="797"/>
      <c r="V1062" s="797"/>
      <c r="W1062" s="785">
        <f>IFERROR(VLOOKUP($Q1062,'391'!$S:$AG,15,0),0)</f>
        <v>199.65</v>
      </c>
      <c r="X1062" s="1090">
        <f t="shared" si="646"/>
        <v>0.34999999999999432</v>
      </c>
      <c r="Y1062" s="785"/>
      <c r="Z1062" s="785"/>
      <c r="AA1062" s="797"/>
      <c r="AB1062" s="797"/>
      <c r="AC1062" s="551"/>
      <c r="AD1062" s="551"/>
      <c r="AE1062" s="551"/>
      <c r="AF1062" s="551"/>
      <c r="AG1062" s="551"/>
      <c r="AH1062" s="551"/>
      <c r="AI1062" s="704"/>
      <c r="AJ1062" s="704"/>
      <c r="AK1062" s="704"/>
      <c r="AL1062" s="704"/>
      <c r="AM1062" s="704"/>
      <c r="AN1062" s="704"/>
      <c r="AO1062" s="704"/>
      <c r="AP1062" s="704"/>
      <c r="AQ1062" s="704"/>
      <c r="AR1062" s="704"/>
      <c r="AS1062" s="704"/>
    </row>
    <row r="1063" spans="1:45" s="409" customFormat="1" ht="30" hidden="1" customHeight="1" x14ac:dyDescent="0.25">
      <c r="A1063" s="2021" t="str">
        <f>IF(L1069=0,"",MAX($A$16:A1062)+1)</f>
        <v/>
      </c>
      <c r="B1063" s="2024" t="s">
        <v>963</v>
      </c>
      <c r="C1063" s="127" t="s">
        <v>324</v>
      </c>
      <c r="D1063" s="881" t="s">
        <v>10</v>
      </c>
      <c r="E1063" s="882">
        <v>45478</v>
      </c>
      <c r="F1063" s="71">
        <f t="shared" ref="F1063:F1068" si="671">$L$7-E1063</f>
        <v>808</v>
      </c>
      <c r="G1063" s="64">
        <v>0</v>
      </c>
      <c r="H1063" s="64"/>
      <c r="I1063" s="64"/>
      <c r="J1063" s="1367"/>
      <c r="K1063" s="64">
        <f>IFERROR(SUMIF(INTAKE!$A:$A,$T1063,INTAKE!$P:$P),0)</f>
        <v>0</v>
      </c>
      <c r="L1063" s="1533">
        <f t="shared" si="669"/>
        <v>0</v>
      </c>
      <c r="M1063" s="376"/>
      <c r="N1063" s="167"/>
      <c r="O1063" s="376"/>
      <c r="P1063" s="747"/>
      <c r="Q1063" s="795"/>
      <c r="R1063" s="785">
        <f>IFERROR(VLOOKUP($Q1063,'391'!$S:$Z,8,0),"")</f>
        <v>0</v>
      </c>
      <c r="S1063" s="796"/>
      <c r="T1063" s="797" t="str">
        <f t="shared" ref="T1063:T1068" si="672">$Q$1069&amp;C1063&amp;E1063</f>
        <v>Florpan-SA19.445478</v>
      </c>
      <c r="U1063" s="797"/>
      <c r="V1063" s="797"/>
      <c r="W1063" s="785">
        <f>IFERROR(VLOOKUP($Q1063,'391'!$S:$AG,15,0),0)</f>
        <v>0</v>
      </c>
      <c r="X1063" s="1090">
        <f t="shared" si="646"/>
        <v>0</v>
      </c>
      <c r="Y1063" s="785"/>
      <c r="Z1063" s="785"/>
      <c r="AA1063" s="797"/>
      <c r="AB1063" s="797"/>
      <c r="AC1063" s="681"/>
      <c r="AD1063" s="681"/>
      <c r="AE1063" s="681"/>
      <c r="AF1063" s="681"/>
      <c r="AG1063" s="681"/>
      <c r="AH1063" s="681"/>
      <c r="AI1063" s="703"/>
      <c r="AJ1063" s="703"/>
      <c r="AK1063" s="703"/>
      <c r="AL1063" s="703"/>
      <c r="AM1063" s="703"/>
      <c r="AN1063" s="703"/>
      <c r="AO1063" s="703"/>
      <c r="AP1063" s="703"/>
      <c r="AQ1063" s="703"/>
      <c r="AR1063" s="703"/>
      <c r="AS1063" s="703"/>
    </row>
    <row r="1064" spans="1:45" s="409" customFormat="1" ht="30" hidden="1" customHeight="1" x14ac:dyDescent="0.25">
      <c r="A1064" s="2022"/>
      <c r="B1064" s="2025"/>
      <c r="C1064" s="127"/>
      <c r="D1064" s="881" t="s">
        <v>10</v>
      </c>
      <c r="E1064" s="882">
        <v>44379</v>
      </c>
      <c r="F1064" s="71">
        <f t="shared" si="671"/>
        <v>1907</v>
      </c>
      <c r="G1064" s="64">
        <v>0</v>
      </c>
      <c r="H1064" s="64"/>
      <c r="I1064" s="64"/>
      <c r="J1064" s="1367"/>
      <c r="K1064" s="64">
        <f>IFERROR(SUMIF(INTAKE!$A:$A,$T1064,INTAKE!$P:$P),0)</f>
        <v>0</v>
      </c>
      <c r="L1064" s="1533">
        <f t="shared" si="669"/>
        <v>0</v>
      </c>
      <c r="M1064" s="373"/>
      <c r="N1064" s="163"/>
      <c r="O1064" s="373"/>
      <c r="P1064" s="750"/>
      <c r="Q1064" s="795"/>
      <c r="R1064" s="785">
        <f>IFERROR(VLOOKUP($Q1064,'391'!$S:$Z,8,0),"")</f>
        <v>0</v>
      </c>
      <c r="S1064" s="796"/>
      <c r="T1064" s="797" t="str">
        <f t="shared" si="672"/>
        <v>Florpan-S44379</v>
      </c>
      <c r="U1064" s="797"/>
      <c r="V1064" s="797"/>
      <c r="W1064" s="785">
        <f>IFERROR(VLOOKUP($Q1064,'391'!$S:$AG,15,0),0)</f>
        <v>0</v>
      </c>
      <c r="X1064" s="1090">
        <f t="shared" si="646"/>
        <v>0</v>
      </c>
      <c r="Y1064" s="785"/>
      <c r="Z1064" s="785"/>
      <c r="AA1064" s="797"/>
      <c r="AB1064" s="797"/>
      <c r="AC1064" s="681"/>
      <c r="AD1064" s="681"/>
      <c r="AE1064" s="681"/>
      <c r="AF1064" s="681"/>
      <c r="AG1064" s="681"/>
      <c r="AH1064" s="681"/>
      <c r="AI1064" s="703"/>
      <c r="AJ1064" s="703"/>
      <c r="AK1064" s="703"/>
      <c r="AL1064" s="703"/>
      <c r="AM1064" s="703"/>
      <c r="AN1064" s="703"/>
      <c r="AO1064" s="703"/>
      <c r="AP1064" s="703"/>
      <c r="AQ1064" s="703"/>
      <c r="AR1064" s="703"/>
      <c r="AS1064" s="703"/>
    </row>
    <row r="1065" spans="1:45" s="409" customFormat="1" ht="30" hidden="1" customHeight="1" x14ac:dyDescent="0.25">
      <c r="A1065" s="2022"/>
      <c r="B1065" s="2025"/>
      <c r="C1065" s="127"/>
      <c r="D1065" s="881" t="s">
        <v>10</v>
      </c>
      <c r="E1065" s="882">
        <v>44386</v>
      </c>
      <c r="F1065" s="71">
        <f t="shared" si="671"/>
        <v>1900</v>
      </c>
      <c r="G1065" s="64">
        <v>0</v>
      </c>
      <c r="H1065" s="64"/>
      <c r="I1065" s="64"/>
      <c r="J1065" s="1367"/>
      <c r="K1065" s="64">
        <f>IFERROR(SUMIF(INTAKE!$A:$A,$T1065,INTAKE!$P:$P),0)</f>
        <v>0</v>
      </c>
      <c r="L1065" s="1533">
        <f t="shared" si="669"/>
        <v>0</v>
      </c>
      <c r="M1065" s="373"/>
      <c r="N1065" s="163"/>
      <c r="O1065" s="373"/>
      <c r="P1065" s="756"/>
      <c r="Q1065" s="795"/>
      <c r="R1065" s="785">
        <f>IFERROR(VLOOKUP($Q1065,'391'!$S:$Z,8,0),"")</f>
        <v>0</v>
      </c>
      <c r="S1065" s="796"/>
      <c r="T1065" s="797" t="str">
        <f t="shared" si="672"/>
        <v>Florpan-S44386</v>
      </c>
      <c r="U1065" s="797"/>
      <c r="V1065" s="797"/>
      <c r="W1065" s="785">
        <f>IFERROR(VLOOKUP($Q1065,'391'!$S:$AG,15,0),0)</f>
        <v>0</v>
      </c>
      <c r="X1065" s="1090">
        <f t="shared" si="646"/>
        <v>0</v>
      </c>
      <c r="Y1065" s="785"/>
      <c r="Z1065" s="785"/>
      <c r="AA1065" s="797"/>
      <c r="AB1065" s="797"/>
      <c r="AC1065" s="681"/>
      <c r="AD1065" s="681"/>
      <c r="AE1065" s="681"/>
      <c r="AF1065" s="681"/>
      <c r="AG1065" s="681"/>
      <c r="AH1065" s="681"/>
      <c r="AI1065" s="703"/>
      <c r="AJ1065" s="703"/>
      <c r="AK1065" s="703"/>
      <c r="AL1065" s="703"/>
      <c r="AM1065" s="703"/>
      <c r="AN1065" s="703"/>
      <c r="AO1065" s="703"/>
      <c r="AP1065" s="703"/>
      <c r="AQ1065" s="703"/>
      <c r="AR1065" s="703"/>
      <c r="AS1065" s="703"/>
    </row>
    <row r="1066" spans="1:45" s="409" customFormat="1" ht="30" hidden="1" customHeight="1" x14ac:dyDescent="0.25">
      <c r="A1066" s="2022"/>
      <c r="B1066" s="2025"/>
      <c r="C1066" s="127"/>
      <c r="D1066" s="881" t="s">
        <v>10</v>
      </c>
      <c r="E1066" s="882">
        <v>44386</v>
      </c>
      <c r="F1066" s="71">
        <f t="shared" si="671"/>
        <v>1900</v>
      </c>
      <c r="G1066" s="64">
        <v>0</v>
      </c>
      <c r="H1066" s="64"/>
      <c r="I1066" s="64"/>
      <c r="J1066" s="1367"/>
      <c r="K1066" s="64">
        <f>IFERROR(SUMIF(INTAKE!$A:$A,$T1066,INTAKE!$P:$P),0)</f>
        <v>0</v>
      </c>
      <c r="L1066" s="1533">
        <f t="shared" si="669"/>
        <v>0</v>
      </c>
      <c r="M1066" s="373"/>
      <c r="N1066" s="163"/>
      <c r="O1066" s="373"/>
      <c r="P1066" s="756"/>
      <c r="Q1066" s="795"/>
      <c r="R1066" s="785">
        <f>IFERROR(VLOOKUP($Q1066,'391'!$S:$Z,8,0),"")</f>
        <v>0</v>
      </c>
      <c r="S1066" s="796"/>
      <c r="T1066" s="797" t="str">
        <f t="shared" si="672"/>
        <v>Florpan-S44386</v>
      </c>
      <c r="U1066" s="797"/>
      <c r="V1066" s="797"/>
      <c r="W1066" s="785">
        <f>IFERROR(VLOOKUP($Q1066,'391'!$S:$AG,15,0),0)</f>
        <v>0</v>
      </c>
      <c r="X1066" s="1090">
        <f t="shared" si="646"/>
        <v>0</v>
      </c>
      <c r="Y1066" s="785"/>
      <c r="Z1066" s="785"/>
      <c r="AA1066" s="797"/>
      <c r="AB1066" s="797"/>
      <c r="AC1066" s="681"/>
      <c r="AD1066" s="681"/>
      <c r="AE1066" s="681"/>
      <c r="AF1066" s="681"/>
      <c r="AG1066" s="681"/>
      <c r="AH1066" s="681"/>
      <c r="AI1066" s="703"/>
      <c r="AJ1066" s="703"/>
      <c r="AK1066" s="703"/>
      <c r="AL1066" s="703"/>
      <c r="AM1066" s="703"/>
      <c r="AN1066" s="703"/>
      <c r="AO1066" s="703"/>
      <c r="AP1066" s="703"/>
      <c r="AQ1066" s="703"/>
      <c r="AR1066" s="703"/>
      <c r="AS1066" s="703"/>
    </row>
    <row r="1067" spans="1:45" s="409" customFormat="1" ht="30" hidden="1" customHeight="1" x14ac:dyDescent="0.25">
      <c r="A1067" s="2022"/>
      <c r="B1067" s="2025"/>
      <c r="C1067" s="127"/>
      <c r="D1067" s="881" t="s">
        <v>10</v>
      </c>
      <c r="E1067" s="882">
        <v>42593</v>
      </c>
      <c r="F1067" s="71">
        <f t="shared" si="671"/>
        <v>3693</v>
      </c>
      <c r="G1067" s="64">
        <v>0</v>
      </c>
      <c r="H1067" s="64"/>
      <c r="I1067" s="64"/>
      <c r="J1067" s="1367"/>
      <c r="K1067" s="64">
        <f>IFERROR(SUMIF(INTAKE!$A:$A,$T1067,INTAKE!$P:$P),0)</f>
        <v>0</v>
      </c>
      <c r="L1067" s="1533">
        <f t="shared" si="669"/>
        <v>0</v>
      </c>
      <c r="M1067" s="373"/>
      <c r="N1067" s="163"/>
      <c r="O1067" s="373"/>
      <c r="P1067" s="750"/>
      <c r="Q1067" s="795"/>
      <c r="R1067" s="785">
        <f>IFERROR(VLOOKUP($Q1067,'391'!$S:$Z,8,0),"")</f>
        <v>0</v>
      </c>
      <c r="S1067" s="796"/>
      <c r="T1067" s="797" t="str">
        <f t="shared" si="672"/>
        <v>Florpan-S42593</v>
      </c>
      <c r="U1067" s="797"/>
      <c r="V1067" s="797"/>
      <c r="W1067" s="785">
        <f>IFERROR(VLOOKUP($Q1067,'391'!$S:$AG,15,0),0)</f>
        <v>0</v>
      </c>
      <c r="X1067" s="1090">
        <f t="shared" si="646"/>
        <v>0</v>
      </c>
      <c r="Y1067" s="785"/>
      <c r="Z1067" s="785"/>
      <c r="AA1067" s="797"/>
      <c r="AB1067" s="797"/>
      <c r="AC1067" s="681"/>
      <c r="AD1067" s="681"/>
      <c r="AE1067" s="681"/>
      <c r="AF1067" s="681"/>
      <c r="AG1067" s="681"/>
      <c r="AH1067" s="681"/>
      <c r="AI1067" s="703"/>
      <c r="AJ1067" s="703"/>
      <c r="AK1067" s="703"/>
      <c r="AL1067" s="703"/>
      <c r="AM1067" s="703"/>
      <c r="AN1067" s="703"/>
      <c r="AO1067" s="703"/>
      <c r="AP1067" s="703"/>
      <c r="AQ1067" s="703"/>
      <c r="AR1067" s="703"/>
      <c r="AS1067" s="703"/>
    </row>
    <row r="1068" spans="1:45" s="401" customFormat="1" ht="30" hidden="1" customHeight="1" x14ac:dyDescent="0.25">
      <c r="A1068" s="2023"/>
      <c r="B1068" s="2026"/>
      <c r="C1068" s="97" t="s">
        <v>46</v>
      </c>
      <c r="D1068" s="850" t="s">
        <v>10</v>
      </c>
      <c r="E1068" s="853">
        <v>45478</v>
      </c>
      <c r="F1068" s="42">
        <f t="shared" si="671"/>
        <v>808</v>
      </c>
      <c r="G1068" s="37">
        <v>0</v>
      </c>
      <c r="H1068" s="37"/>
      <c r="I1068" s="1214">
        <f>SUM(K1063:K1066)</f>
        <v>0</v>
      </c>
      <c r="J1068" s="1385">
        <f>+usage!I131</f>
        <v>0</v>
      </c>
      <c r="K1068" s="37"/>
      <c r="L1068" s="1533">
        <f t="shared" si="669"/>
        <v>0</v>
      </c>
      <c r="M1068" s="40"/>
      <c r="N1068" s="84"/>
      <c r="O1068" s="40"/>
      <c r="P1068" s="857"/>
      <c r="Q1068" s="795" t="s">
        <v>848</v>
      </c>
      <c r="R1068" s="785" t="str">
        <f>IFERROR(VLOOKUP($Q1068,'391'!$S:$Z,8,0),"0")</f>
        <v>0</v>
      </c>
      <c r="S1068" s="796">
        <f>+R1068+R1069+R1078+R1077</f>
        <v>2019.98</v>
      </c>
      <c r="T1068" s="797" t="str">
        <f t="shared" si="672"/>
        <v>Florpan-SFeedmill45478</v>
      </c>
      <c r="U1068" s="797"/>
      <c r="V1068" s="797"/>
      <c r="W1068" s="785">
        <f>IFERROR(VLOOKUP($Q1068,'391'!$S:$AG,15,0),0)</f>
        <v>0</v>
      </c>
      <c r="X1068" s="1090">
        <f t="shared" si="646"/>
        <v>0</v>
      </c>
      <c r="Y1068" s="785"/>
      <c r="Z1068" s="785"/>
      <c r="AA1068" s="797"/>
      <c r="AB1068" s="797"/>
      <c r="AC1068" s="681"/>
      <c r="AD1068" s="681"/>
      <c r="AE1068" s="681"/>
      <c r="AF1068" s="681"/>
      <c r="AG1068" s="681"/>
      <c r="AH1068" s="681"/>
      <c r="AI1068" s="703"/>
      <c r="AJ1068" s="703"/>
      <c r="AK1068" s="703"/>
      <c r="AL1068" s="703"/>
      <c r="AM1068" s="703"/>
      <c r="AN1068" s="703"/>
      <c r="AO1068" s="703"/>
      <c r="AP1068" s="703"/>
      <c r="AQ1068" s="703"/>
      <c r="AR1068" s="703"/>
      <c r="AS1068" s="703"/>
    </row>
    <row r="1069" spans="1:45" s="265" customFormat="1" ht="30" hidden="1" customHeight="1" x14ac:dyDescent="0.25">
      <c r="A1069" s="2019" t="s">
        <v>616</v>
      </c>
      <c r="B1069" s="2020"/>
      <c r="C1069" s="88"/>
      <c r="D1069" s="864"/>
      <c r="E1069" s="864"/>
      <c r="F1069" s="865"/>
      <c r="G1069" s="1297">
        <v>0</v>
      </c>
      <c r="H1069" s="1297">
        <f t="shared" ref="H1069:I1069" si="673">SUM(H1063:H1068)</f>
        <v>0</v>
      </c>
      <c r="I1069" s="1297">
        <f t="shared" si="673"/>
        <v>0</v>
      </c>
      <c r="J1069" s="1297">
        <f t="shared" ref="J1069:K1069" si="674">SUM(J1063:J1068)</f>
        <v>0</v>
      </c>
      <c r="K1069" s="1297">
        <f t="shared" si="674"/>
        <v>0</v>
      </c>
      <c r="L1069" s="1533">
        <f t="shared" si="669"/>
        <v>0</v>
      </c>
      <c r="M1069" s="998">
        <f>IFERROR(S1068/$S$2,"")</f>
        <v>336.66333333333336</v>
      </c>
      <c r="N1069" s="366">
        <f>IFERROR(L1069/M1069,0)</f>
        <v>0</v>
      </c>
      <c r="O1069" s="982">
        <f>IFERROR(SUMIF(ETM!$A:$A,$Q1069,ETM!$E:$E),"")</f>
        <v>0</v>
      </c>
      <c r="P1069" s="880">
        <f>IFERROR(L1069/O1069,0)</f>
        <v>0</v>
      </c>
      <c r="Q1069" s="814" t="s">
        <v>676</v>
      </c>
      <c r="R1069" s="785" t="str">
        <f>IFERROR(VLOOKUP($Q1069,'391'!$S:$Z,8,0),"0")</f>
        <v>0</v>
      </c>
      <c r="S1069" s="796"/>
      <c r="T1069" s="797"/>
      <c r="U1069" s="797"/>
      <c r="V1069" s="797"/>
      <c r="W1069" s="785">
        <f>IFERROR(VLOOKUP($Q1069,'391'!$S:$AG,15,0),0)</f>
        <v>0</v>
      </c>
      <c r="X1069" s="1090">
        <f t="shared" si="646"/>
        <v>0</v>
      </c>
      <c r="Y1069" s="1088">
        <f>+W1069+W1068</f>
        <v>0</v>
      </c>
      <c r="Z1069" s="1091">
        <f>+L1069-Y1069</f>
        <v>0</v>
      </c>
      <c r="AA1069" s="797"/>
      <c r="AB1069" s="797"/>
      <c r="AC1069" s="551"/>
      <c r="AD1069" s="551"/>
      <c r="AE1069" s="551"/>
      <c r="AF1069" s="551"/>
      <c r="AG1069" s="551"/>
      <c r="AH1069" s="551"/>
      <c r="AI1069" s="704"/>
      <c r="AJ1069" s="704"/>
      <c r="AK1069" s="704"/>
      <c r="AL1069" s="704"/>
      <c r="AM1069" s="704"/>
      <c r="AN1069" s="704"/>
      <c r="AO1069" s="704"/>
      <c r="AP1069" s="704"/>
      <c r="AQ1069" s="704"/>
      <c r="AR1069" s="704"/>
      <c r="AS1069" s="704"/>
    </row>
    <row r="1070" spans="1:45" s="409" customFormat="1" ht="30" hidden="1" customHeight="1" x14ac:dyDescent="0.25">
      <c r="A1070" s="2021">
        <f>IF(L1078=0,"",MAX($A$16:A1069)+1)</f>
        <v>71</v>
      </c>
      <c r="B1070" s="2058" t="s">
        <v>1137</v>
      </c>
      <c r="C1070" s="127"/>
      <c r="D1070" s="881" t="s">
        <v>10</v>
      </c>
      <c r="E1070" s="882">
        <v>46200</v>
      </c>
      <c r="F1070" s="71">
        <f t="shared" ref="F1070:F1077" si="675">$L$7-E1070</f>
        <v>86</v>
      </c>
      <c r="G1070" s="64">
        <v>0</v>
      </c>
      <c r="H1070" s="64"/>
      <c r="I1070" s="64"/>
      <c r="J1070" s="1367"/>
      <c r="K1070" s="64">
        <f>IFERROR(SUMIF(INTAKE!$A:$A,$T1070,INTAKE!$P:$P),0)</f>
        <v>0</v>
      </c>
      <c r="L1070" s="1702">
        <f t="shared" si="669"/>
        <v>0</v>
      </c>
      <c r="M1070" s="376"/>
      <c r="N1070" s="167"/>
      <c r="O1070" s="376"/>
      <c r="P1070" s="747"/>
      <c r="Q1070" s="795"/>
      <c r="R1070" s="785">
        <f>IFERROR(VLOOKUP($Q1070,'391'!$S:$Z,8,0),"")</f>
        <v>0</v>
      </c>
      <c r="S1070" s="796"/>
      <c r="T1070" s="797" t="str">
        <f>$Q$1078&amp;C1070&amp;E1070</f>
        <v>APA FLOFE 4P46200</v>
      </c>
      <c r="U1070" s="797"/>
      <c r="V1070" s="797"/>
      <c r="W1070" s="785">
        <f>IFERROR(VLOOKUP($Q1070,'391'!$S:$AG,15,0),0)</f>
        <v>0</v>
      </c>
      <c r="X1070" s="1090">
        <f t="shared" si="646"/>
        <v>0</v>
      </c>
      <c r="Y1070" s="785"/>
      <c r="Z1070" s="785"/>
      <c r="AA1070" s="797"/>
      <c r="AB1070" s="797"/>
      <c r="AC1070" s="681"/>
      <c r="AD1070" s="681"/>
      <c r="AE1070" s="681"/>
      <c r="AF1070" s="681"/>
      <c r="AG1070" s="681"/>
      <c r="AH1070" s="681"/>
      <c r="AI1070" s="703"/>
      <c r="AJ1070" s="703"/>
      <c r="AK1070" s="703"/>
      <c r="AL1070" s="703"/>
      <c r="AM1070" s="703"/>
      <c r="AN1070" s="703"/>
      <c r="AO1070" s="703"/>
      <c r="AP1070" s="703"/>
      <c r="AQ1070" s="703"/>
      <c r="AR1070" s="703"/>
      <c r="AS1070" s="703"/>
    </row>
    <row r="1071" spans="1:45" s="409" customFormat="1" ht="30" customHeight="1" x14ac:dyDescent="0.25">
      <c r="A1071" s="2022"/>
      <c r="B1071" s="2060"/>
      <c r="C1071" s="127" t="s">
        <v>1313</v>
      </c>
      <c r="D1071" s="881" t="s">
        <v>10</v>
      </c>
      <c r="E1071" s="882">
        <v>46219</v>
      </c>
      <c r="F1071" s="71">
        <f t="shared" si="675"/>
        <v>67</v>
      </c>
      <c r="G1071" s="64">
        <v>3000</v>
      </c>
      <c r="H1071" s="64"/>
      <c r="I1071" s="64"/>
      <c r="J1071" s="1367"/>
      <c r="K1071" s="64">
        <f>IFERROR(SUMIF(INTAKE!$A:$A,$T1071,INTAKE!$P:$P),0)</f>
        <v>0</v>
      </c>
      <c r="L1071" s="1702">
        <f t="shared" si="669"/>
        <v>3000</v>
      </c>
      <c r="M1071" s="373"/>
      <c r="N1071" s="163"/>
      <c r="O1071" s="373"/>
      <c r="P1071" s="750"/>
      <c r="Q1071" s="795"/>
      <c r="R1071" s="785">
        <f>IFERROR(VLOOKUP($Q1071,'391'!$S:$Z,8,0),"")</f>
        <v>0</v>
      </c>
      <c r="S1071" s="796"/>
      <c r="T1071" s="797" t="str">
        <f>$Q$1078&amp;C1071&amp;E1071</f>
        <v>APA FLOFE 4PE246219</v>
      </c>
      <c r="U1071" s="797"/>
      <c r="V1071" s="797"/>
      <c r="W1071" s="785">
        <f>IFERROR(VLOOKUP($Q1071,'391'!$S:$AG,15,0),0)</f>
        <v>0</v>
      </c>
      <c r="X1071" s="1090">
        <f t="shared" si="646"/>
        <v>3000</v>
      </c>
      <c r="Y1071" s="785"/>
      <c r="Z1071" s="785"/>
      <c r="AA1071" s="797"/>
      <c r="AB1071" s="797"/>
      <c r="AC1071" s="681"/>
      <c r="AD1071" s="681"/>
      <c r="AE1071" s="681"/>
      <c r="AF1071" s="681"/>
      <c r="AG1071" s="681"/>
      <c r="AH1071" s="681"/>
      <c r="AI1071" s="703"/>
      <c r="AJ1071" s="703"/>
      <c r="AK1071" s="703"/>
      <c r="AL1071" s="703"/>
      <c r="AM1071" s="703"/>
      <c r="AN1071" s="703"/>
      <c r="AO1071" s="703"/>
      <c r="AP1071" s="703"/>
      <c r="AQ1071" s="703"/>
      <c r="AR1071" s="703"/>
      <c r="AS1071" s="703"/>
    </row>
    <row r="1072" spans="1:45" s="409" customFormat="1" ht="30" hidden="1" customHeight="1" x14ac:dyDescent="0.25">
      <c r="A1072" s="2022"/>
      <c r="B1072" s="2060"/>
      <c r="C1072" s="127"/>
      <c r="D1072" s="881" t="s">
        <v>10</v>
      </c>
      <c r="E1072" s="882">
        <v>45226</v>
      </c>
      <c r="F1072" s="71">
        <f t="shared" si="675"/>
        <v>1060</v>
      </c>
      <c r="G1072" s="64">
        <v>0</v>
      </c>
      <c r="H1072" s="64"/>
      <c r="I1072" s="64"/>
      <c r="J1072" s="1367"/>
      <c r="K1072" s="64">
        <f>IFERROR(SUMIF(INTAKE!$A:$A,$T1072,INTAKE!$P:$P),0)</f>
        <v>0</v>
      </c>
      <c r="L1072" s="1533">
        <f t="shared" si="669"/>
        <v>0</v>
      </c>
      <c r="M1072" s="373"/>
      <c r="N1072" s="163"/>
      <c r="O1072" s="373"/>
      <c r="P1072" s="756"/>
      <c r="Q1072" s="795"/>
      <c r="R1072" s="785">
        <f>IFERROR(VLOOKUP($Q1072,'391'!$S:$Z,8,0),"")</f>
        <v>0</v>
      </c>
      <c r="S1072" s="796"/>
      <c r="T1072" s="797" t="str">
        <f>$Q$1077&amp;C1072&amp;E1072</f>
        <v>FlorPAN-4S(Korea)45226</v>
      </c>
      <c r="U1072" s="797"/>
      <c r="V1072" s="797"/>
      <c r="W1072" s="785">
        <f>IFERROR(VLOOKUP($Q1072,'391'!$S:$AG,15,0),0)</f>
        <v>0</v>
      </c>
      <c r="X1072" s="1090">
        <f t="shared" si="646"/>
        <v>0</v>
      </c>
      <c r="Y1072" s="785"/>
      <c r="Z1072" s="785"/>
      <c r="AA1072" s="797"/>
      <c r="AB1072" s="797"/>
      <c r="AC1072" s="681"/>
      <c r="AD1072" s="681"/>
      <c r="AE1072" s="681"/>
      <c r="AF1072" s="681"/>
      <c r="AG1072" s="681"/>
      <c r="AH1072" s="681"/>
      <c r="AI1072" s="703"/>
      <c r="AJ1072" s="703"/>
      <c r="AK1072" s="703"/>
      <c r="AL1072" s="703"/>
      <c r="AM1072" s="703"/>
      <c r="AN1072" s="703"/>
      <c r="AO1072" s="703"/>
      <c r="AP1072" s="703"/>
      <c r="AQ1072" s="703"/>
      <c r="AR1072" s="703"/>
      <c r="AS1072" s="703"/>
    </row>
    <row r="1073" spans="1:45" s="409" customFormat="1" ht="30" hidden="1" customHeight="1" x14ac:dyDescent="0.25">
      <c r="A1073" s="2022"/>
      <c r="B1073" s="2060"/>
      <c r="C1073" s="127"/>
      <c r="D1073" s="881" t="s">
        <v>10</v>
      </c>
      <c r="E1073" s="882">
        <v>45226</v>
      </c>
      <c r="F1073" s="71">
        <f t="shared" si="675"/>
        <v>1060</v>
      </c>
      <c r="G1073" s="64">
        <v>0</v>
      </c>
      <c r="H1073" s="64"/>
      <c r="I1073" s="64"/>
      <c r="J1073" s="1367"/>
      <c r="K1073" s="64">
        <f>IFERROR(SUMIF(INTAKE!$A:$A,$T1073,INTAKE!$P:$P),0)</f>
        <v>0</v>
      </c>
      <c r="L1073" s="1533">
        <f t="shared" si="669"/>
        <v>0</v>
      </c>
      <c r="M1073" s="373"/>
      <c r="N1073" s="163"/>
      <c r="O1073" s="373"/>
      <c r="P1073" s="756"/>
      <c r="Q1073" s="795"/>
      <c r="R1073" s="785">
        <f>IFERROR(VLOOKUP($Q1073,'391'!$S:$Z,8,0),"")</f>
        <v>0</v>
      </c>
      <c r="S1073" s="796"/>
      <c r="T1073" s="797" t="str">
        <f>$Q$1077&amp;C1073&amp;E1073</f>
        <v>FlorPAN-4S(Korea)45226</v>
      </c>
      <c r="U1073" s="797"/>
      <c r="V1073" s="797"/>
      <c r="W1073" s="785">
        <f>IFERROR(VLOOKUP($Q1073,'391'!$S:$AG,15,0),0)</f>
        <v>0</v>
      </c>
      <c r="X1073" s="1090">
        <f t="shared" si="646"/>
        <v>0</v>
      </c>
      <c r="Y1073" s="785"/>
      <c r="Z1073" s="785"/>
      <c r="AA1073" s="797"/>
      <c r="AB1073" s="797"/>
      <c r="AC1073" s="681"/>
      <c r="AD1073" s="681"/>
      <c r="AE1073" s="681"/>
      <c r="AF1073" s="681"/>
      <c r="AG1073" s="681"/>
      <c r="AH1073" s="681"/>
      <c r="AI1073" s="703"/>
      <c r="AJ1073" s="703"/>
      <c r="AK1073" s="703"/>
      <c r="AL1073" s="703"/>
      <c r="AM1073" s="703"/>
      <c r="AN1073" s="703"/>
      <c r="AO1073" s="703"/>
      <c r="AP1073" s="703"/>
      <c r="AQ1073" s="703"/>
      <c r="AR1073" s="703"/>
      <c r="AS1073" s="703"/>
    </row>
    <row r="1074" spans="1:45" s="409" customFormat="1" ht="30" hidden="1" customHeight="1" x14ac:dyDescent="0.25">
      <c r="A1074" s="2022"/>
      <c r="B1074" s="2060"/>
      <c r="C1074" s="127"/>
      <c r="D1074" s="881" t="s">
        <v>10</v>
      </c>
      <c r="E1074" s="882">
        <v>45226</v>
      </c>
      <c r="F1074" s="71">
        <f t="shared" si="675"/>
        <v>1060</v>
      </c>
      <c r="G1074" s="64">
        <v>0</v>
      </c>
      <c r="H1074" s="64"/>
      <c r="I1074" s="64"/>
      <c r="J1074" s="1367"/>
      <c r="K1074" s="64">
        <f>IFERROR(SUMIF(INTAKE!$A:$A,$T1074,INTAKE!$P:$P),0)</f>
        <v>0</v>
      </c>
      <c r="L1074" s="1533">
        <f t="shared" si="669"/>
        <v>0</v>
      </c>
      <c r="M1074" s="373"/>
      <c r="N1074" s="163"/>
      <c r="O1074" s="373"/>
      <c r="P1074" s="750"/>
      <c r="Q1074" s="795"/>
      <c r="R1074" s="785">
        <f>IFERROR(VLOOKUP($Q1074,'391'!$S:$Z,8,0),"")</f>
        <v>0</v>
      </c>
      <c r="S1074" s="796"/>
      <c r="T1074" s="797" t="str">
        <f>$Q$1077&amp;C1074&amp;E1074</f>
        <v>FlorPAN-4S(Korea)45226</v>
      </c>
      <c r="U1074" s="797"/>
      <c r="V1074" s="797"/>
      <c r="W1074" s="785">
        <f>IFERROR(VLOOKUP($Q1074,'391'!$S:$AG,15,0),0)</f>
        <v>0</v>
      </c>
      <c r="X1074" s="1090">
        <f t="shared" si="646"/>
        <v>0</v>
      </c>
      <c r="Y1074" s="785"/>
      <c r="Z1074" s="785"/>
      <c r="AA1074" s="797"/>
      <c r="AB1074" s="797"/>
      <c r="AC1074" s="681"/>
      <c r="AD1074" s="681"/>
      <c r="AE1074" s="681"/>
      <c r="AF1074" s="681"/>
      <c r="AG1074" s="681"/>
      <c r="AH1074" s="681"/>
      <c r="AI1074" s="703"/>
      <c r="AJ1074" s="703"/>
      <c r="AK1074" s="703"/>
      <c r="AL1074" s="703"/>
      <c r="AM1074" s="703"/>
      <c r="AN1074" s="703"/>
      <c r="AO1074" s="703"/>
      <c r="AP1074" s="703"/>
      <c r="AQ1074" s="703"/>
      <c r="AR1074" s="703"/>
      <c r="AS1074" s="703"/>
    </row>
    <row r="1075" spans="1:45" s="409" customFormat="1" ht="30" hidden="1" customHeight="1" x14ac:dyDescent="0.25">
      <c r="A1075" s="2022"/>
      <c r="B1075" s="2059"/>
      <c r="C1075" s="127"/>
      <c r="D1075" s="881" t="s">
        <v>10</v>
      </c>
      <c r="E1075" s="882">
        <v>45226</v>
      </c>
      <c r="F1075" s="71">
        <f t="shared" si="675"/>
        <v>1060</v>
      </c>
      <c r="G1075" s="64">
        <v>0</v>
      </c>
      <c r="H1075" s="64"/>
      <c r="I1075" s="64"/>
      <c r="J1075" s="1367"/>
      <c r="K1075" s="64">
        <f>IFERROR(SUMIF(INTAKE!$A:$A,$T1075,INTAKE!$P:$P),0)</f>
        <v>0</v>
      </c>
      <c r="L1075" s="1533">
        <f t="shared" si="669"/>
        <v>0</v>
      </c>
      <c r="M1075" s="373"/>
      <c r="N1075" s="163"/>
      <c r="O1075" s="373"/>
      <c r="P1075" s="750"/>
      <c r="Q1075" s="795"/>
      <c r="R1075" s="785">
        <f>IFERROR(VLOOKUP($Q1075,'391'!$S:$Z,8,0),"")</f>
        <v>0</v>
      </c>
      <c r="S1075" s="796"/>
      <c r="T1075" s="797" t="str">
        <f>$Q$1077&amp;C1075&amp;E1075</f>
        <v>FlorPAN-4S(Korea)45226</v>
      </c>
      <c r="U1075" s="797"/>
      <c r="V1075" s="797"/>
      <c r="W1075" s="785">
        <f>IFERROR(VLOOKUP($Q1075,'391'!$S:$AG,15,0),0)</f>
        <v>0</v>
      </c>
      <c r="X1075" s="1090">
        <f t="shared" si="646"/>
        <v>0</v>
      </c>
      <c r="Y1075" s="785"/>
      <c r="Z1075" s="785"/>
      <c r="AA1075" s="797"/>
      <c r="AB1075" s="797"/>
      <c r="AC1075" s="681"/>
      <c r="AD1075" s="681"/>
      <c r="AE1075" s="681"/>
      <c r="AF1075" s="681"/>
      <c r="AG1075" s="681"/>
      <c r="AH1075" s="681"/>
      <c r="AI1075" s="703"/>
      <c r="AJ1075" s="703"/>
      <c r="AK1075" s="703"/>
      <c r="AL1075" s="703"/>
      <c r="AM1075" s="703"/>
      <c r="AN1075" s="703"/>
      <c r="AO1075" s="703"/>
      <c r="AP1075" s="703"/>
      <c r="AQ1075" s="703"/>
      <c r="AR1075" s="703"/>
      <c r="AS1075" s="703"/>
    </row>
    <row r="1076" spans="1:45" s="409" customFormat="1" ht="30" hidden="1" customHeight="1" x14ac:dyDescent="0.25">
      <c r="A1076" s="2022"/>
      <c r="B1076" s="2059"/>
      <c r="C1076" s="127"/>
      <c r="D1076" s="881" t="s">
        <v>10</v>
      </c>
      <c r="E1076" s="882">
        <v>45226</v>
      </c>
      <c r="F1076" s="71">
        <f t="shared" si="675"/>
        <v>1060</v>
      </c>
      <c r="G1076" s="64">
        <v>0</v>
      </c>
      <c r="H1076" s="64"/>
      <c r="I1076" s="64"/>
      <c r="J1076" s="1367"/>
      <c r="K1076" s="64">
        <f>IFERROR(SUMIF(INTAKE!$A:$A,$T1076,INTAKE!$P:$P),0)</f>
        <v>0</v>
      </c>
      <c r="L1076" s="1533">
        <f t="shared" si="669"/>
        <v>0</v>
      </c>
      <c r="M1076" s="373"/>
      <c r="N1076" s="163"/>
      <c r="O1076" s="373"/>
      <c r="P1076" s="750"/>
      <c r="Q1076" s="795"/>
      <c r="R1076" s="785">
        <f>IFERROR(VLOOKUP($Q1076,'391'!$S:$Z,8,0),"")</f>
        <v>0</v>
      </c>
      <c r="S1076" s="796"/>
      <c r="T1076" s="797" t="str">
        <f>$Q$1077&amp;C1076&amp;E1076</f>
        <v>FlorPAN-4S(Korea)45226</v>
      </c>
      <c r="U1076" s="797"/>
      <c r="V1076" s="797"/>
      <c r="W1076" s="785">
        <f>IFERROR(VLOOKUP($Q1076,'391'!$S:$AG,15,0),0)</f>
        <v>0</v>
      </c>
      <c r="X1076" s="1090">
        <f t="shared" si="646"/>
        <v>0</v>
      </c>
      <c r="Y1076" s="785"/>
      <c r="Z1076" s="785"/>
      <c r="AA1076" s="797"/>
      <c r="AB1076" s="797"/>
      <c r="AC1076" s="681"/>
      <c r="AD1076" s="681"/>
      <c r="AE1076" s="681"/>
      <c r="AF1076" s="681"/>
      <c r="AG1076" s="681"/>
      <c r="AH1076" s="681"/>
      <c r="AI1076" s="703"/>
      <c r="AJ1076" s="703"/>
      <c r="AK1076" s="703"/>
      <c r="AL1076" s="703"/>
      <c r="AM1076" s="703"/>
      <c r="AN1076" s="703"/>
      <c r="AO1076" s="703"/>
      <c r="AP1076" s="703"/>
      <c r="AQ1076" s="703"/>
      <c r="AR1076" s="703"/>
      <c r="AS1076" s="703"/>
    </row>
    <row r="1077" spans="1:45" s="401" customFormat="1" ht="30" customHeight="1" x14ac:dyDescent="0.25">
      <c r="A1077" s="2023"/>
      <c r="B1077" s="2061"/>
      <c r="C1077" s="97" t="s">
        <v>46</v>
      </c>
      <c r="D1077" s="850" t="s">
        <v>10</v>
      </c>
      <c r="E1077" s="851">
        <v>46219</v>
      </c>
      <c r="F1077" s="42">
        <f t="shared" si="675"/>
        <v>67</v>
      </c>
      <c r="G1077" s="37">
        <v>942.3</v>
      </c>
      <c r="H1077" s="37"/>
      <c r="I1077" s="1214">
        <f>SUM(K1070:K1074)</f>
        <v>0</v>
      </c>
      <c r="J1077" s="1385">
        <f>usage!I132</f>
        <v>0</v>
      </c>
      <c r="K1077" s="64">
        <f>IFERROR(SUMIF(INTAKE!$A:$A,$T1077,INTAKE!$P:$P),0)</f>
        <v>0</v>
      </c>
      <c r="L1077" s="1533">
        <f t="shared" si="669"/>
        <v>942.3</v>
      </c>
      <c r="M1077" s="40"/>
      <c r="N1077" s="84"/>
      <c r="O1077" s="40"/>
      <c r="P1077" s="857"/>
      <c r="Q1077" s="795" t="s">
        <v>1141</v>
      </c>
      <c r="R1077" s="785" t="str">
        <f>IFERROR(VLOOKUP($Q1077,'391'!$S:$Z,8,0),"0")</f>
        <v>0</v>
      </c>
      <c r="S1077" s="796">
        <f>+R1077+R1078</f>
        <v>2019.98</v>
      </c>
      <c r="T1077" s="797" t="str">
        <f>$Q$1078&amp;C1077&amp;E1077</f>
        <v>APA FLOFE 4PFeedmill46219</v>
      </c>
      <c r="U1077" s="797"/>
      <c r="V1077" s="797"/>
      <c r="W1077" s="785">
        <f>IFERROR(VLOOKUP($Q1077,'391'!$S:$AG,15,0),0)</f>
        <v>0</v>
      </c>
      <c r="X1077" s="1090">
        <f t="shared" si="646"/>
        <v>942.3</v>
      </c>
      <c r="Y1077" s="785"/>
      <c r="Z1077" s="785"/>
      <c r="AA1077" s="797"/>
      <c r="AB1077" s="797"/>
      <c r="AC1077" s="681"/>
      <c r="AD1077" s="681"/>
      <c r="AE1077" s="681"/>
      <c r="AF1077" s="681"/>
      <c r="AG1077" s="681"/>
      <c r="AH1077" s="681"/>
      <c r="AI1077" s="703"/>
      <c r="AJ1077" s="703"/>
      <c r="AK1077" s="703"/>
      <c r="AL1077" s="703"/>
      <c r="AM1077" s="703"/>
      <c r="AN1077" s="703"/>
      <c r="AO1077" s="703"/>
      <c r="AP1077" s="703"/>
      <c r="AQ1077" s="703"/>
      <c r="AR1077" s="703"/>
      <c r="AS1077" s="703"/>
    </row>
    <row r="1078" spans="1:45" s="265" customFormat="1" ht="30" customHeight="1" x14ac:dyDescent="0.25">
      <c r="A1078" s="2019" t="s">
        <v>968</v>
      </c>
      <c r="B1078" s="2020"/>
      <c r="C1078" s="88"/>
      <c r="D1078" s="864"/>
      <c r="E1078" s="864"/>
      <c r="F1078" s="865"/>
      <c r="G1078" s="1297">
        <v>3942.3</v>
      </c>
      <c r="H1078" s="1297">
        <f t="shared" ref="H1078:I1078" si="676">SUM(H1070:H1077)</f>
        <v>0</v>
      </c>
      <c r="I1078" s="1297">
        <f t="shared" si="676"/>
        <v>0</v>
      </c>
      <c r="J1078" s="1297">
        <f t="shared" ref="J1078:L1078" si="677">SUM(J1070:J1077)</f>
        <v>0</v>
      </c>
      <c r="K1078" s="1297">
        <f t="shared" si="677"/>
        <v>0</v>
      </c>
      <c r="L1078" s="1297">
        <f t="shared" si="677"/>
        <v>3942.3</v>
      </c>
      <c r="M1078" s="998">
        <f>M1069</f>
        <v>336.66333333333336</v>
      </c>
      <c r="N1078" s="366">
        <f>IFERROR(L1078/M1078,0)</f>
        <v>11.709917919979405</v>
      </c>
      <c r="O1078" s="982">
        <f>O1069</f>
        <v>0</v>
      </c>
      <c r="P1078" s="880">
        <f>IFERROR(L1078/O1078,0)</f>
        <v>0</v>
      </c>
      <c r="Q1078" s="814" t="s">
        <v>969</v>
      </c>
      <c r="R1078" s="785">
        <f>IFERROR(VLOOKUP($Q1078,'391'!$S:$Z,8,0),"0")</f>
        <v>2019.98</v>
      </c>
      <c r="S1078" s="796"/>
      <c r="T1078" s="797"/>
      <c r="U1078" s="797"/>
      <c r="V1078" s="797"/>
      <c r="W1078" s="785">
        <f>IFERROR(VLOOKUP($Q1078,'391'!$S:$AG,15,0),0)</f>
        <v>3942.3</v>
      </c>
      <c r="X1078" s="1090">
        <f t="shared" si="646"/>
        <v>0</v>
      </c>
      <c r="Y1078" s="1259">
        <f>+W1078+W1077</f>
        <v>3942.3</v>
      </c>
      <c r="Z1078" s="1091">
        <f>G1078-Y1078</f>
        <v>0</v>
      </c>
      <c r="AA1078" s="797"/>
      <c r="AB1078" s="797"/>
      <c r="AC1078" s="551"/>
      <c r="AD1078" s="551"/>
      <c r="AE1078" s="551"/>
      <c r="AF1078" s="551"/>
      <c r="AG1078" s="551"/>
      <c r="AH1078" s="551"/>
      <c r="AI1078" s="704"/>
      <c r="AJ1078" s="704"/>
      <c r="AK1078" s="704"/>
      <c r="AL1078" s="704"/>
      <c r="AM1078" s="704"/>
      <c r="AN1078" s="704"/>
      <c r="AO1078" s="704"/>
      <c r="AP1078" s="704"/>
      <c r="AQ1078" s="704"/>
      <c r="AR1078" s="704"/>
      <c r="AS1078" s="704"/>
    </row>
    <row r="1079" spans="1:45" s="409" customFormat="1" ht="30" hidden="1" customHeight="1" x14ac:dyDescent="0.25">
      <c r="A1079" s="2021" t="str">
        <f>IF(L1084=0,"",MAX($A$16:A1069)+1)</f>
        <v/>
      </c>
      <c r="B1079" s="2024" t="s">
        <v>409</v>
      </c>
      <c r="C1079" s="651" t="s">
        <v>146</v>
      </c>
      <c r="D1079" s="881" t="s">
        <v>10</v>
      </c>
      <c r="E1079" s="882">
        <v>43614</v>
      </c>
      <c r="F1079" s="71">
        <f>$L$7-E1079</f>
        <v>2672</v>
      </c>
      <c r="G1079" s="64">
        <v>0</v>
      </c>
      <c r="H1079" s="1358"/>
      <c r="I1079" s="1358"/>
      <c r="J1079" s="1411"/>
      <c r="K1079" s="1358"/>
      <c r="L1079" s="1533">
        <f t="shared" si="669"/>
        <v>0</v>
      </c>
      <c r="M1079" s="376"/>
      <c r="N1079" s="167"/>
      <c r="O1079" s="50"/>
      <c r="P1079" s="747"/>
      <c r="Q1079" s="795"/>
      <c r="R1079" s="785">
        <f>IFERROR(VLOOKUP($Q1079,'391'!$S:$Z,8,0),"")</f>
        <v>0</v>
      </c>
      <c r="S1079" s="796"/>
      <c r="T1079" s="797"/>
      <c r="U1079" s="797"/>
      <c r="V1079" s="797"/>
      <c r="W1079" s="785">
        <f>IFERROR(VLOOKUP($Q1079,'391'!$S:$AG,15,0),0)</f>
        <v>0</v>
      </c>
      <c r="X1079" s="1090">
        <f t="shared" si="646"/>
        <v>0</v>
      </c>
      <c r="Y1079" s="785"/>
      <c r="Z1079" s="785"/>
      <c r="AA1079" s="797"/>
      <c r="AB1079" s="797"/>
      <c r="AC1079" s="681"/>
      <c r="AD1079" s="681"/>
      <c r="AE1079" s="681"/>
      <c r="AF1079" s="681"/>
      <c r="AG1079" s="681"/>
      <c r="AH1079" s="681"/>
      <c r="AI1079" s="703"/>
      <c r="AJ1079" s="703"/>
      <c r="AK1079" s="703"/>
      <c r="AL1079" s="703"/>
      <c r="AM1079" s="703"/>
      <c r="AN1079" s="703"/>
      <c r="AO1079" s="703"/>
      <c r="AP1079" s="703"/>
      <c r="AQ1079" s="703"/>
      <c r="AR1079" s="703"/>
      <c r="AS1079" s="703"/>
    </row>
    <row r="1080" spans="1:45" s="409" customFormat="1" ht="30" hidden="1" customHeight="1" x14ac:dyDescent="0.25">
      <c r="A1080" s="2022"/>
      <c r="B1080" s="2025"/>
      <c r="C1080" s="127" t="s">
        <v>146</v>
      </c>
      <c r="D1080" s="881" t="s">
        <v>10</v>
      </c>
      <c r="E1080" s="882">
        <v>43614</v>
      </c>
      <c r="F1080" s="71">
        <f>$L$7-E1080</f>
        <v>2672</v>
      </c>
      <c r="G1080" s="64">
        <v>0</v>
      </c>
      <c r="H1080" s="1410"/>
      <c r="I1080" s="1410"/>
      <c r="J1080" s="1412"/>
      <c r="K1080" s="1410"/>
      <c r="L1080" s="1533">
        <f t="shared" si="669"/>
        <v>0</v>
      </c>
      <c r="M1080" s="377"/>
      <c r="N1080" s="176"/>
      <c r="O1080" s="46"/>
      <c r="P1080" s="748"/>
      <c r="Q1080" s="795"/>
      <c r="R1080" s="785">
        <f>IFERROR(VLOOKUP($Q1080,'391'!$S:$Z,8,0),"")</f>
        <v>0</v>
      </c>
      <c r="S1080" s="796"/>
      <c r="T1080" s="797"/>
      <c r="U1080" s="797"/>
      <c r="V1080" s="797"/>
      <c r="W1080" s="785">
        <f>IFERROR(VLOOKUP($Q1080,'391'!$S:$AG,15,0),0)</f>
        <v>0</v>
      </c>
      <c r="X1080" s="1090">
        <f t="shared" si="646"/>
        <v>0</v>
      </c>
      <c r="Y1080" s="785"/>
      <c r="Z1080" s="785"/>
      <c r="AA1080" s="797"/>
      <c r="AB1080" s="797"/>
      <c r="AC1080" s="681"/>
      <c r="AD1080" s="681"/>
      <c r="AE1080" s="681"/>
      <c r="AF1080" s="681"/>
      <c r="AG1080" s="681"/>
      <c r="AH1080" s="681"/>
      <c r="AI1080" s="703"/>
      <c r="AJ1080" s="703"/>
      <c r="AK1080" s="703"/>
      <c r="AL1080" s="703"/>
      <c r="AM1080" s="703"/>
      <c r="AN1080" s="703"/>
      <c r="AO1080" s="703"/>
      <c r="AP1080" s="703"/>
      <c r="AQ1080" s="703"/>
      <c r="AR1080" s="703"/>
      <c r="AS1080" s="703"/>
    </row>
    <row r="1081" spans="1:45" s="409" customFormat="1" ht="30" hidden="1" customHeight="1" x14ac:dyDescent="0.25">
      <c r="A1081" s="2022"/>
      <c r="B1081" s="2025"/>
      <c r="C1081" s="127" t="s">
        <v>255</v>
      </c>
      <c r="D1081" s="881" t="s">
        <v>10</v>
      </c>
      <c r="E1081" s="882">
        <v>43550</v>
      </c>
      <c r="F1081" s="71">
        <f>$L$7-E1081</f>
        <v>2736</v>
      </c>
      <c r="G1081" s="64">
        <v>0</v>
      </c>
      <c r="H1081" s="64"/>
      <c r="I1081" s="64"/>
      <c r="J1081" s="1367"/>
      <c r="K1081" s="64"/>
      <c r="L1081" s="1533">
        <f t="shared" si="669"/>
        <v>0</v>
      </c>
      <c r="M1081" s="373"/>
      <c r="N1081" s="163"/>
      <c r="O1081" s="48"/>
      <c r="P1081" s="750"/>
      <c r="Q1081" s="795"/>
      <c r="R1081" s="785">
        <f>IFERROR(VLOOKUP($Q1081,'391'!$S:$Z,8,0),"")</f>
        <v>0</v>
      </c>
      <c r="S1081" s="796"/>
      <c r="T1081" s="797"/>
      <c r="U1081" s="797"/>
      <c r="V1081" s="797"/>
      <c r="W1081" s="785">
        <f>IFERROR(VLOOKUP($Q1081,'391'!$S:$AG,15,0),0)</f>
        <v>0</v>
      </c>
      <c r="X1081" s="1090">
        <f t="shared" si="646"/>
        <v>0</v>
      </c>
      <c r="Y1081" s="785"/>
      <c r="Z1081" s="785"/>
      <c r="AA1081" s="797"/>
      <c r="AB1081" s="797"/>
      <c r="AC1081" s="681"/>
      <c r="AD1081" s="681"/>
      <c r="AE1081" s="681"/>
      <c r="AF1081" s="681"/>
      <c r="AG1081" s="681"/>
      <c r="AH1081" s="681"/>
      <c r="AI1081" s="703"/>
      <c r="AJ1081" s="703"/>
      <c r="AK1081" s="703"/>
      <c r="AL1081" s="703"/>
      <c r="AM1081" s="703"/>
      <c r="AN1081" s="703"/>
      <c r="AO1081" s="703"/>
      <c r="AP1081" s="703"/>
      <c r="AQ1081" s="703"/>
      <c r="AR1081" s="703"/>
      <c r="AS1081" s="703"/>
    </row>
    <row r="1082" spans="1:45" s="409" customFormat="1" ht="30" hidden="1" customHeight="1" x14ac:dyDescent="0.25">
      <c r="A1082" s="2022"/>
      <c r="B1082" s="2025"/>
      <c r="C1082" s="127" t="s">
        <v>255</v>
      </c>
      <c r="D1082" s="881" t="s">
        <v>10</v>
      </c>
      <c r="E1082" s="882">
        <v>43550</v>
      </c>
      <c r="F1082" s="71">
        <f>$L$7-E1082</f>
        <v>2736</v>
      </c>
      <c r="G1082" s="64">
        <v>0</v>
      </c>
      <c r="H1082" s="64"/>
      <c r="I1082" s="64"/>
      <c r="J1082" s="1367"/>
      <c r="K1082" s="64"/>
      <c r="L1082" s="1533">
        <f t="shared" si="669"/>
        <v>0</v>
      </c>
      <c r="M1082" s="373"/>
      <c r="N1082" s="163"/>
      <c r="O1082" s="48"/>
      <c r="P1082" s="750"/>
      <c r="Q1082" s="795"/>
      <c r="R1082" s="785">
        <f>IFERROR(VLOOKUP($Q1082,'391'!$S:$Z,8,0),"")</f>
        <v>0</v>
      </c>
      <c r="S1082" s="796"/>
      <c r="T1082" s="797"/>
      <c r="U1082" s="797"/>
      <c r="V1082" s="797"/>
      <c r="W1082" s="785">
        <f>IFERROR(VLOOKUP($Q1082,'391'!$S:$AG,15,0),0)</f>
        <v>0</v>
      </c>
      <c r="X1082" s="1090">
        <f t="shared" ref="X1082:X1155" si="678">G1082-W1082</f>
        <v>0</v>
      </c>
      <c r="Y1082" s="785"/>
      <c r="Z1082" s="785"/>
      <c r="AA1082" s="797"/>
      <c r="AB1082" s="797"/>
      <c r="AC1082" s="681"/>
      <c r="AD1082" s="681"/>
      <c r="AE1082" s="681"/>
      <c r="AF1082" s="681"/>
      <c r="AG1082" s="681"/>
      <c r="AH1082" s="681"/>
      <c r="AI1082" s="703"/>
      <c r="AJ1082" s="703"/>
      <c r="AK1082" s="703"/>
      <c r="AL1082" s="703"/>
      <c r="AM1082" s="703"/>
      <c r="AN1082" s="703"/>
      <c r="AO1082" s="703"/>
      <c r="AP1082" s="703"/>
      <c r="AQ1082" s="703"/>
      <c r="AR1082" s="703"/>
      <c r="AS1082" s="703"/>
    </row>
    <row r="1083" spans="1:45" s="401" customFormat="1" ht="30" hidden="1" customHeight="1" x14ac:dyDescent="0.25">
      <c r="A1083" s="2023"/>
      <c r="B1083" s="2026"/>
      <c r="C1083" s="138" t="s">
        <v>46</v>
      </c>
      <c r="D1083" s="850" t="s">
        <v>10</v>
      </c>
      <c r="E1083" s="882">
        <v>43614</v>
      </c>
      <c r="F1083" s="42">
        <f>$L$7-E1083</f>
        <v>2672</v>
      </c>
      <c r="G1083" s="37">
        <v>0</v>
      </c>
      <c r="H1083" s="37"/>
      <c r="I1083" s="37"/>
      <c r="J1083" s="1385">
        <f>+usage!I145</f>
        <v>0</v>
      </c>
      <c r="K1083" s="37"/>
      <c r="L1083" s="1533">
        <f t="shared" si="669"/>
        <v>0</v>
      </c>
      <c r="M1083" s="40"/>
      <c r="N1083" s="84"/>
      <c r="O1083" s="40"/>
      <c r="P1083" s="756"/>
      <c r="Q1083" s="795"/>
      <c r="R1083" s="785">
        <f>IFERROR(VLOOKUP($Q1083,'391'!$S:$Z,8,0),"")</f>
        <v>0</v>
      </c>
      <c r="S1083" s="796"/>
      <c r="T1083" s="797"/>
      <c r="U1083" s="797"/>
      <c r="V1083" s="797"/>
      <c r="W1083" s="785">
        <f>IFERROR(VLOOKUP($Q1083,'391'!$S:$AG,15,0),0)</f>
        <v>0</v>
      </c>
      <c r="X1083" s="1090">
        <f t="shared" si="678"/>
        <v>0</v>
      </c>
      <c r="Y1083" s="785"/>
      <c r="Z1083" s="785"/>
      <c r="AA1083" s="797"/>
      <c r="AB1083" s="797"/>
      <c r="AC1083" s="681"/>
      <c r="AD1083" s="681"/>
      <c r="AE1083" s="681"/>
      <c r="AF1083" s="681"/>
      <c r="AG1083" s="681"/>
      <c r="AH1083" s="681"/>
      <c r="AI1083" s="703"/>
      <c r="AJ1083" s="703"/>
      <c r="AK1083" s="703"/>
      <c r="AL1083" s="703"/>
      <c r="AM1083" s="703"/>
      <c r="AN1083" s="703"/>
      <c r="AO1083" s="703"/>
      <c r="AP1083" s="703"/>
      <c r="AQ1083" s="703"/>
      <c r="AR1083" s="703"/>
      <c r="AS1083" s="703"/>
    </row>
    <row r="1084" spans="1:45" s="265" customFormat="1" ht="30" hidden="1" customHeight="1" x14ac:dyDescent="0.25">
      <c r="A1084" s="2019" t="s">
        <v>503</v>
      </c>
      <c r="B1084" s="2020"/>
      <c r="C1084" s="88"/>
      <c r="D1084" s="864"/>
      <c r="E1084" s="864"/>
      <c r="F1084" s="865"/>
      <c r="G1084" s="1297">
        <v>0</v>
      </c>
      <c r="H1084" s="1297">
        <f t="shared" ref="H1084:K1084" si="679">SUM(H1079:H1083)</f>
        <v>0</v>
      </c>
      <c r="I1084" s="1297">
        <f t="shared" si="679"/>
        <v>0</v>
      </c>
      <c r="J1084" s="1297">
        <f t="shared" si="679"/>
        <v>0</v>
      </c>
      <c r="K1084" s="1297">
        <f t="shared" si="679"/>
        <v>0</v>
      </c>
      <c r="L1084" s="1533">
        <f t="shared" si="669"/>
        <v>0</v>
      </c>
      <c r="M1084" s="59"/>
      <c r="N1084" s="366">
        <f>IFERROR(L1084/M1084,0)</f>
        <v>0</v>
      </c>
      <c r="O1084" s="59"/>
      <c r="P1084" s="880">
        <f>IFERROR(L1084/O1084,0)</f>
        <v>0</v>
      </c>
      <c r="Q1084" s="795"/>
      <c r="R1084" s="785">
        <f>IFERROR(VLOOKUP($Q1084,'391'!$S:$Z,8,0),"")</f>
        <v>0</v>
      </c>
      <c r="S1084" s="796"/>
      <c r="T1084" s="797"/>
      <c r="U1084" s="797"/>
      <c r="V1084" s="797"/>
      <c r="W1084" s="785">
        <f>IFERROR(VLOOKUP($Q1084,'391'!$S:$AG,15,0),0)</f>
        <v>0</v>
      </c>
      <c r="X1084" s="1090">
        <f t="shared" si="678"/>
        <v>0</v>
      </c>
      <c r="Y1084" s="785"/>
      <c r="Z1084" s="785"/>
      <c r="AA1084" s="797"/>
      <c r="AB1084" s="797"/>
      <c r="AC1084" s="551"/>
      <c r="AD1084" s="551"/>
      <c r="AE1084" s="551"/>
      <c r="AF1084" s="551"/>
      <c r="AG1084" s="551"/>
      <c r="AH1084" s="551"/>
      <c r="AI1084" s="704"/>
      <c r="AJ1084" s="704"/>
      <c r="AK1084" s="704"/>
      <c r="AL1084" s="704"/>
      <c r="AM1084" s="704"/>
      <c r="AN1084" s="704"/>
      <c r="AO1084" s="704"/>
      <c r="AP1084" s="704"/>
      <c r="AQ1084" s="704"/>
      <c r="AR1084" s="704"/>
      <c r="AS1084" s="704"/>
    </row>
    <row r="1085" spans="1:45" s="409" customFormat="1" ht="30" hidden="1" customHeight="1" x14ac:dyDescent="0.25">
      <c r="A1085" s="2021" t="str">
        <f>IF(L1091=0,"",MAX($A$16:A1084)+1)</f>
        <v/>
      </c>
      <c r="B1085" s="2024" t="s">
        <v>609</v>
      </c>
      <c r="C1085" s="127" t="s">
        <v>596</v>
      </c>
      <c r="D1085" s="881" t="s">
        <v>10</v>
      </c>
      <c r="E1085" s="882">
        <v>44580</v>
      </c>
      <c r="F1085" s="71">
        <f t="shared" ref="F1085:F1090" si="680">$L$7-E1085</f>
        <v>1706</v>
      </c>
      <c r="G1085" s="64">
        <v>0</v>
      </c>
      <c r="H1085" s="64"/>
      <c r="I1085" s="64"/>
      <c r="J1085" s="1367"/>
      <c r="K1085" s="64">
        <f>IFERROR(SUMIF(INTAKE!$A:$A,$T1085,INTAKE!$P:$P),0)</f>
        <v>0</v>
      </c>
      <c r="L1085" s="1533">
        <f t="shared" si="669"/>
        <v>0</v>
      </c>
      <c r="M1085" s="376"/>
      <c r="N1085" s="167"/>
      <c r="O1085" s="50"/>
      <c r="P1085" s="747"/>
      <c r="Q1085" s="795"/>
      <c r="R1085" s="785">
        <f>IFERROR(VLOOKUP($Q1085,'391'!$S:$Z,8,0),"")</f>
        <v>0</v>
      </c>
      <c r="S1085" s="796"/>
      <c r="T1085" s="797" t="str">
        <f t="shared" ref="T1085:T1090" si="681">$Q$1091&amp;C1085&amp;E1085</f>
        <v>Pigfen 40mg/g (Bulgaria)V2.144580</v>
      </c>
      <c r="U1085" s="797"/>
      <c r="V1085" s="797"/>
      <c r="W1085" s="785">
        <f>IFERROR(VLOOKUP($Q1085,'391'!$S:$AG,15,0),0)</f>
        <v>0</v>
      </c>
      <c r="X1085" s="1090">
        <f t="shared" si="678"/>
        <v>0</v>
      </c>
      <c r="Y1085" s="785"/>
      <c r="Z1085" s="785"/>
      <c r="AA1085" s="797"/>
      <c r="AB1085" s="797"/>
      <c r="AC1085" s="681"/>
      <c r="AD1085" s="681"/>
      <c r="AE1085" s="681"/>
      <c r="AF1085" s="681"/>
      <c r="AG1085" s="681"/>
      <c r="AH1085" s="681"/>
      <c r="AI1085" s="703"/>
      <c r="AJ1085" s="703"/>
      <c r="AK1085" s="703"/>
      <c r="AL1085" s="703"/>
      <c r="AM1085" s="703"/>
      <c r="AN1085" s="703"/>
      <c r="AO1085" s="703"/>
      <c r="AP1085" s="703"/>
      <c r="AQ1085" s="703"/>
      <c r="AR1085" s="703"/>
      <c r="AS1085" s="703"/>
    </row>
    <row r="1086" spans="1:45" s="409" customFormat="1" ht="30" hidden="1" customHeight="1" x14ac:dyDescent="0.25">
      <c r="A1086" s="2022"/>
      <c r="B1086" s="2025"/>
      <c r="C1086" s="127" t="s">
        <v>596</v>
      </c>
      <c r="D1086" s="881" t="s">
        <v>10</v>
      </c>
      <c r="E1086" s="882">
        <v>44622</v>
      </c>
      <c r="F1086" s="71">
        <f t="shared" si="680"/>
        <v>1664</v>
      </c>
      <c r="G1086" s="64">
        <v>0</v>
      </c>
      <c r="H1086" s="64"/>
      <c r="I1086" s="64"/>
      <c r="J1086" s="1367"/>
      <c r="K1086" s="64">
        <f>IFERROR(SUMIF(INTAKE!$A:$A,$T1086,INTAKE!$P:$P),0)</f>
        <v>0</v>
      </c>
      <c r="L1086" s="1533">
        <f t="shared" si="669"/>
        <v>0</v>
      </c>
      <c r="M1086" s="373"/>
      <c r="N1086" s="163"/>
      <c r="O1086" s="48"/>
      <c r="P1086" s="750"/>
      <c r="Q1086" s="795"/>
      <c r="R1086" s="785">
        <f>IFERROR(VLOOKUP($Q1086,'391'!$S:$Z,8,0),"")</f>
        <v>0</v>
      </c>
      <c r="S1086" s="796"/>
      <c r="T1086" s="797" t="str">
        <f t="shared" si="681"/>
        <v>Pigfen 40mg/g (Bulgaria)V2.144622</v>
      </c>
      <c r="U1086" s="797"/>
      <c r="V1086" s="797"/>
      <c r="W1086" s="785">
        <f>IFERROR(VLOOKUP($Q1086,'391'!$S:$AG,15,0),0)</f>
        <v>0</v>
      </c>
      <c r="X1086" s="1090">
        <f t="shared" si="678"/>
        <v>0</v>
      </c>
      <c r="Y1086" s="785"/>
      <c r="Z1086" s="785"/>
      <c r="AA1086" s="797"/>
      <c r="AB1086" s="797"/>
      <c r="AC1086" s="681"/>
      <c r="AD1086" s="681"/>
      <c r="AE1086" s="681"/>
      <c r="AF1086" s="681"/>
      <c r="AG1086" s="681"/>
      <c r="AH1086" s="681"/>
      <c r="AI1086" s="703"/>
      <c r="AJ1086" s="703"/>
      <c r="AK1086" s="703"/>
      <c r="AL1086" s="703"/>
      <c r="AM1086" s="703"/>
      <c r="AN1086" s="703"/>
      <c r="AO1086" s="703"/>
      <c r="AP1086" s="703"/>
      <c r="AQ1086" s="703"/>
      <c r="AR1086" s="703"/>
      <c r="AS1086" s="703"/>
    </row>
    <row r="1087" spans="1:45" s="409" customFormat="1" ht="30" hidden="1" customHeight="1" x14ac:dyDescent="0.25">
      <c r="A1087" s="2022"/>
      <c r="B1087" s="2025"/>
      <c r="C1087" s="127"/>
      <c r="D1087" s="881" t="s">
        <v>10</v>
      </c>
      <c r="E1087" s="882">
        <v>44622</v>
      </c>
      <c r="F1087" s="71">
        <f t="shared" si="680"/>
        <v>1664</v>
      </c>
      <c r="G1087" s="64">
        <v>0</v>
      </c>
      <c r="H1087" s="64"/>
      <c r="I1087" s="64"/>
      <c r="J1087" s="1367"/>
      <c r="K1087" s="64">
        <f>IFERROR(SUMIF(INTAKE!$A:$A,$T1087,INTAKE!$P:$P),0)</f>
        <v>0</v>
      </c>
      <c r="L1087" s="1533">
        <f t="shared" si="669"/>
        <v>0</v>
      </c>
      <c r="M1087" s="370"/>
      <c r="N1087" s="162"/>
      <c r="O1087" s="45"/>
      <c r="P1087" s="756"/>
      <c r="Q1087" s="795"/>
      <c r="R1087" s="785">
        <f>IFERROR(VLOOKUP($Q1087,'391'!$S:$Z,8,0),"")</f>
        <v>0</v>
      </c>
      <c r="S1087" s="796"/>
      <c r="T1087" s="797" t="str">
        <f t="shared" si="681"/>
        <v>Pigfen 40mg/g (Bulgaria)44622</v>
      </c>
      <c r="U1087" s="797"/>
      <c r="V1087" s="797"/>
      <c r="W1087" s="785">
        <f>IFERROR(VLOOKUP($Q1087,'391'!$S:$AG,15,0),0)</f>
        <v>0</v>
      </c>
      <c r="X1087" s="1090">
        <f t="shared" si="678"/>
        <v>0</v>
      </c>
      <c r="Y1087" s="785"/>
      <c r="Z1087" s="785"/>
      <c r="AA1087" s="797"/>
      <c r="AB1087" s="797"/>
      <c r="AC1087" s="681"/>
      <c r="AD1087" s="681"/>
      <c r="AE1087" s="681"/>
      <c r="AF1087" s="681"/>
      <c r="AG1087" s="681"/>
      <c r="AH1087" s="681"/>
      <c r="AI1087" s="703"/>
      <c r="AJ1087" s="703"/>
      <c r="AK1087" s="703"/>
      <c r="AL1087" s="703"/>
      <c r="AM1087" s="703"/>
      <c r="AN1087" s="703"/>
      <c r="AO1087" s="703"/>
      <c r="AP1087" s="703"/>
      <c r="AQ1087" s="703"/>
      <c r="AR1087" s="703"/>
      <c r="AS1087" s="703"/>
    </row>
    <row r="1088" spans="1:45" s="409" customFormat="1" ht="30" hidden="1" customHeight="1" x14ac:dyDescent="0.25">
      <c r="A1088" s="2022"/>
      <c r="B1088" s="2025"/>
      <c r="C1088" s="127"/>
      <c r="D1088" s="881" t="s">
        <v>10</v>
      </c>
      <c r="E1088" s="882">
        <v>44356</v>
      </c>
      <c r="F1088" s="71">
        <f t="shared" si="680"/>
        <v>1930</v>
      </c>
      <c r="G1088" s="64">
        <v>0</v>
      </c>
      <c r="H1088" s="64"/>
      <c r="I1088" s="64"/>
      <c r="J1088" s="1367"/>
      <c r="K1088" s="64">
        <f>IFERROR(SUMIF(INTAKE!$A:$A,$T1088,INTAKE!$P:$P),0)</f>
        <v>0</v>
      </c>
      <c r="L1088" s="1533">
        <f t="shared" si="669"/>
        <v>0</v>
      </c>
      <c r="M1088" s="370"/>
      <c r="N1088" s="162"/>
      <c r="O1088" s="45"/>
      <c r="P1088" s="756"/>
      <c r="Q1088" s="795"/>
      <c r="R1088" s="785">
        <f>IFERROR(VLOOKUP($Q1088,'391'!$S:$Z,8,0),"")</f>
        <v>0</v>
      </c>
      <c r="S1088" s="796"/>
      <c r="T1088" s="797" t="str">
        <f t="shared" si="681"/>
        <v>Pigfen 40mg/g (Bulgaria)44356</v>
      </c>
      <c r="U1088" s="797"/>
      <c r="V1088" s="797"/>
      <c r="W1088" s="785">
        <f>IFERROR(VLOOKUP($Q1088,'391'!$S:$AG,15,0),0)</f>
        <v>0</v>
      </c>
      <c r="X1088" s="1090">
        <f t="shared" si="678"/>
        <v>0</v>
      </c>
      <c r="Y1088" s="785"/>
      <c r="Z1088" s="785"/>
      <c r="AA1088" s="797"/>
      <c r="AB1088" s="797"/>
      <c r="AC1088" s="681"/>
      <c r="AD1088" s="681"/>
      <c r="AE1088" s="681"/>
      <c r="AF1088" s="681"/>
      <c r="AG1088" s="681"/>
      <c r="AH1088" s="681"/>
      <c r="AI1088" s="703"/>
      <c r="AJ1088" s="703"/>
      <c r="AK1088" s="703"/>
      <c r="AL1088" s="703"/>
      <c r="AM1088" s="703"/>
      <c r="AN1088" s="703"/>
      <c r="AO1088" s="703"/>
      <c r="AP1088" s="703"/>
      <c r="AQ1088" s="703"/>
      <c r="AR1088" s="703"/>
      <c r="AS1088" s="703"/>
    </row>
    <row r="1089" spans="1:45" s="409" customFormat="1" ht="30" hidden="1" customHeight="1" x14ac:dyDescent="0.25">
      <c r="A1089" s="2022"/>
      <c r="B1089" s="2025"/>
      <c r="C1089" s="127"/>
      <c r="D1089" s="881" t="s">
        <v>10</v>
      </c>
      <c r="E1089" s="882">
        <v>43895</v>
      </c>
      <c r="F1089" s="71">
        <f t="shared" si="680"/>
        <v>2391</v>
      </c>
      <c r="G1089" s="64">
        <v>0</v>
      </c>
      <c r="H1089" s="64"/>
      <c r="I1089" s="64"/>
      <c r="J1089" s="1367"/>
      <c r="K1089" s="64">
        <f>IFERROR(SUMIF(INTAKE!$A:$A,$T1089,INTAKE!$P:$P),0)</f>
        <v>0</v>
      </c>
      <c r="L1089" s="1533">
        <f t="shared" ref="L1089:L1119" si="682">+G1089+H1089+I1089-J1089-K1089</f>
        <v>0</v>
      </c>
      <c r="M1089" s="370"/>
      <c r="N1089" s="162"/>
      <c r="O1089" s="45"/>
      <c r="P1089" s="756"/>
      <c r="Q1089" s="795"/>
      <c r="R1089" s="785">
        <f>IFERROR(VLOOKUP($Q1089,'391'!$S:$Z,8,0),"")</f>
        <v>0</v>
      </c>
      <c r="S1089" s="796"/>
      <c r="T1089" s="797" t="str">
        <f t="shared" si="681"/>
        <v>Pigfen 40mg/g (Bulgaria)43895</v>
      </c>
      <c r="U1089" s="797"/>
      <c r="V1089" s="797"/>
      <c r="W1089" s="785">
        <f>IFERROR(VLOOKUP($Q1089,'391'!$S:$AG,15,0),0)</f>
        <v>0</v>
      </c>
      <c r="X1089" s="1090">
        <f t="shared" si="678"/>
        <v>0</v>
      </c>
      <c r="Y1089" s="785"/>
      <c r="Z1089" s="785"/>
      <c r="AA1089" s="797"/>
      <c r="AB1089" s="797"/>
      <c r="AC1089" s="681"/>
      <c r="AD1089" s="681"/>
      <c r="AE1089" s="681"/>
      <c r="AF1089" s="681"/>
      <c r="AG1089" s="681"/>
      <c r="AH1089" s="681"/>
      <c r="AI1089" s="703"/>
      <c r="AJ1089" s="703"/>
      <c r="AK1089" s="703"/>
      <c r="AL1089" s="703"/>
      <c r="AM1089" s="703"/>
      <c r="AN1089" s="703"/>
      <c r="AO1089" s="703"/>
      <c r="AP1089" s="703"/>
      <c r="AQ1089" s="703"/>
      <c r="AR1089" s="703"/>
      <c r="AS1089" s="703"/>
    </row>
    <row r="1090" spans="1:45" s="401" customFormat="1" ht="30" hidden="1" customHeight="1" x14ac:dyDescent="0.25">
      <c r="A1090" s="2023"/>
      <c r="B1090" s="2026"/>
      <c r="C1090" s="138" t="s">
        <v>46</v>
      </c>
      <c r="D1090" s="850" t="s">
        <v>10</v>
      </c>
      <c r="E1090" s="851">
        <v>44622</v>
      </c>
      <c r="F1090" s="42">
        <f t="shared" si="680"/>
        <v>1664</v>
      </c>
      <c r="G1090" s="37">
        <v>0</v>
      </c>
      <c r="H1090" s="37"/>
      <c r="I1090" s="37">
        <f>SUM(K1085:K1087)</f>
        <v>0</v>
      </c>
      <c r="J1090" s="1385">
        <f>+usage!I146</f>
        <v>0</v>
      </c>
      <c r="K1090" s="64">
        <f>IFERROR(SUMIF(INTAKE!$A:$A,$T1090,INTAKE!$P:$P),0)</f>
        <v>0</v>
      </c>
      <c r="L1090" s="1533">
        <f t="shared" si="682"/>
        <v>0</v>
      </c>
      <c r="M1090" s="40"/>
      <c r="N1090" s="84"/>
      <c r="O1090" s="40"/>
      <c r="P1090" s="756"/>
      <c r="Q1090" s="795"/>
      <c r="R1090" s="785">
        <f>IFERROR(VLOOKUP($Q1090,'391'!$S:$Z,8,0),"")</f>
        <v>0</v>
      </c>
      <c r="S1090" s="796"/>
      <c r="T1090" s="797" t="str">
        <f t="shared" si="681"/>
        <v>Pigfen 40mg/g (Bulgaria)Feedmill44622</v>
      </c>
      <c r="U1090" s="797"/>
      <c r="V1090" s="797"/>
      <c r="W1090" s="785">
        <f>IFERROR(VLOOKUP($Q1090,'391'!$S:$AG,15,0),0)</f>
        <v>0</v>
      </c>
      <c r="X1090" s="1090">
        <f t="shared" si="678"/>
        <v>0</v>
      </c>
      <c r="Y1090" s="785"/>
      <c r="Z1090" s="785"/>
      <c r="AA1090" s="797"/>
      <c r="AB1090" s="797"/>
      <c r="AC1090" s="681"/>
      <c r="AD1090" s="681"/>
      <c r="AE1090" s="681"/>
      <c r="AF1090" s="681"/>
      <c r="AG1090" s="681"/>
      <c r="AH1090" s="681"/>
      <c r="AI1090" s="703"/>
      <c r="AJ1090" s="703"/>
      <c r="AK1090" s="703"/>
      <c r="AL1090" s="703"/>
      <c r="AM1090" s="703"/>
      <c r="AN1090" s="703"/>
      <c r="AO1090" s="703"/>
      <c r="AP1090" s="703"/>
      <c r="AQ1090" s="703"/>
      <c r="AR1090" s="703"/>
      <c r="AS1090" s="703"/>
    </row>
    <row r="1091" spans="1:45" s="265" customFormat="1" ht="30" hidden="1" customHeight="1" x14ac:dyDescent="0.25">
      <c r="A1091" s="2019" t="s">
        <v>1123</v>
      </c>
      <c r="B1091" s="2020"/>
      <c r="C1091" s="88"/>
      <c r="D1091" s="864"/>
      <c r="E1091" s="864"/>
      <c r="F1091" s="865"/>
      <c r="G1091" s="1297">
        <v>0</v>
      </c>
      <c r="H1091" s="1297">
        <f t="shared" ref="H1091:I1091" si="683">SUM(H1085:H1090)</f>
        <v>0</v>
      </c>
      <c r="I1091" s="1297">
        <f t="shared" si="683"/>
        <v>0</v>
      </c>
      <c r="J1091" s="1297">
        <f t="shared" ref="J1091:K1091" si="684">SUM(J1085:J1090)</f>
        <v>0</v>
      </c>
      <c r="K1091" s="1297">
        <f t="shared" si="684"/>
        <v>0</v>
      </c>
      <c r="L1091" s="1533">
        <f t="shared" si="682"/>
        <v>0</v>
      </c>
      <c r="M1091" s="59">
        <f>IFERROR(S1091/$S$2,"")</f>
        <v>32.200000000000003</v>
      </c>
      <c r="N1091" s="366">
        <f>IFERROR(L1091/M1091,0)</f>
        <v>0</v>
      </c>
      <c r="O1091" s="59">
        <f>IFERROR(SUMIF(ETM!$A:$A,$Q1091,ETM!$E:$E),"")</f>
        <v>26</v>
      </c>
      <c r="P1091" s="880">
        <f>IFERROR(L1091/O1091,0)</f>
        <v>0</v>
      </c>
      <c r="Q1091" s="814" t="s">
        <v>677</v>
      </c>
      <c r="R1091" s="785" t="str">
        <f>IFERROR(VLOOKUP($Q1091,'391'!$S:$Z,8,0),"0")</f>
        <v>0</v>
      </c>
      <c r="S1091" s="819">
        <f>+R1091+R1341</f>
        <v>193.20000000000002</v>
      </c>
      <c r="T1091" s="797"/>
      <c r="U1091" s="797"/>
      <c r="V1091" s="797"/>
      <c r="W1091" s="785">
        <f>IFERROR(VLOOKUP($Q1091,'391'!$S:$AG,15,0),0)</f>
        <v>0</v>
      </c>
      <c r="X1091" s="1090">
        <f t="shared" si="678"/>
        <v>0</v>
      </c>
      <c r="Y1091" s="785"/>
      <c r="Z1091" s="785"/>
      <c r="AA1091" s="797"/>
      <c r="AB1091" s="797"/>
      <c r="AC1091" s="551"/>
      <c r="AD1091" s="551"/>
      <c r="AE1091" s="551"/>
      <c r="AF1091" s="551"/>
      <c r="AG1091" s="551"/>
      <c r="AH1091" s="551"/>
      <c r="AI1091" s="704"/>
      <c r="AJ1091" s="704"/>
      <c r="AK1091" s="704"/>
      <c r="AL1091" s="704"/>
      <c r="AM1091" s="704"/>
      <c r="AN1091" s="704"/>
      <c r="AO1091" s="704"/>
      <c r="AP1091" s="704"/>
      <c r="AQ1091" s="704"/>
      <c r="AR1091" s="704"/>
      <c r="AS1091" s="704"/>
    </row>
    <row r="1092" spans="1:45" s="409" customFormat="1" ht="30" hidden="1" customHeight="1" x14ac:dyDescent="0.25">
      <c r="A1092" s="2021">
        <f>IF(L1098=0,"",MAX($A$16:A1091)+1)</f>
        <v>72</v>
      </c>
      <c r="B1092" s="2024" t="s">
        <v>349</v>
      </c>
      <c r="C1092" s="160"/>
      <c r="D1092" s="881" t="s">
        <v>10</v>
      </c>
      <c r="E1092" s="882">
        <v>45953</v>
      </c>
      <c r="F1092" s="71">
        <f t="shared" ref="F1092" si="685">$L$7-E1092</f>
        <v>333</v>
      </c>
      <c r="G1092" s="64">
        <v>0</v>
      </c>
      <c r="H1092" s="64"/>
      <c r="I1092" s="64"/>
      <c r="J1092" s="1367"/>
      <c r="K1092" s="1348">
        <f>IFERROR(SUMIF(INTAKE!$A:$A,$T1092,INTAKE!$P:$P),0)</f>
        <v>0</v>
      </c>
      <c r="L1092" s="1702">
        <f t="shared" si="682"/>
        <v>0</v>
      </c>
      <c r="M1092" s="380"/>
      <c r="N1092" s="95"/>
      <c r="O1092" s="44"/>
      <c r="P1092" s="758"/>
      <c r="Q1092" s="795"/>
      <c r="R1092" s="785">
        <f>IFERROR(VLOOKUP($Q1092,'391'!$S:$Z,8,0),"")</f>
        <v>0</v>
      </c>
      <c r="S1092" s="796"/>
      <c r="T1092" s="797" t="str">
        <f t="shared" ref="T1092:T1097" si="686">$Q$1098&amp;C1092&amp;E1092</f>
        <v>Avi - Mul Top Feed Grade (Italy)45953</v>
      </c>
      <c r="U1092" s="797"/>
      <c r="V1092" s="797"/>
      <c r="W1092" s="785">
        <f>IFERROR(VLOOKUP($Q1092,'391'!$S:$AG,15,0),0)</f>
        <v>0</v>
      </c>
      <c r="X1092" s="1090">
        <f t="shared" si="678"/>
        <v>0</v>
      </c>
      <c r="Y1092" s="785"/>
      <c r="Z1092" s="785"/>
      <c r="AA1092" s="797"/>
      <c r="AB1092" s="797"/>
      <c r="AC1092" s="681"/>
      <c r="AD1092" s="681"/>
      <c r="AE1092" s="681"/>
      <c r="AF1092" s="681"/>
      <c r="AG1092" s="681"/>
      <c r="AH1092" s="681"/>
      <c r="AI1092" s="703"/>
      <c r="AJ1092" s="703"/>
      <c r="AK1092" s="703"/>
      <c r="AL1092" s="703"/>
      <c r="AM1092" s="703"/>
      <c r="AN1092" s="703"/>
      <c r="AO1092" s="703"/>
      <c r="AP1092" s="703"/>
      <c r="AQ1092" s="703"/>
      <c r="AR1092" s="703"/>
      <c r="AS1092" s="703"/>
    </row>
    <row r="1093" spans="1:45" s="409" customFormat="1" ht="30" hidden="1" customHeight="1" x14ac:dyDescent="0.25">
      <c r="A1093" s="2022"/>
      <c r="B1093" s="2025"/>
      <c r="C1093" s="160"/>
      <c r="D1093" s="881" t="s">
        <v>10</v>
      </c>
      <c r="E1093" s="882">
        <v>45999</v>
      </c>
      <c r="F1093" s="71">
        <f t="shared" ref="F1093" si="687">$L$7-E1093</f>
        <v>287</v>
      </c>
      <c r="G1093" s="64">
        <v>0</v>
      </c>
      <c r="H1093" s="64"/>
      <c r="I1093" s="64"/>
      <c r="J1093" s="1367"/>
      <c r="K1093" s="1348">
        <f>IFERROR(SUMIF(INTAKE!$A:$A,$T1093,INTAKE!$P:$P),0)</f>
        <v>0</v>
      </c>
      <c r="L1093" s="1702">
        <f t="shared" si="682"/>
        <v>0</v>
      </c>
      <c r="M1093" s="389"/>
      <c r="N1093" s="163"/>
      <c r="O1093" s="48"/>
      <c r="P1093" s="750"/>
      <c r="Q1093" s="795"/>
      <c r="R1093" s="785">
        <f>IFERROR(VLOOKUP($Q1093,'391'!$S:$Z,8,0),"")</f>
        <v>0</v>
      </c>
      <c r="S1093" s="796"/>
      <c r="T1093" s="797" t="str">
        <f t="shared" si="686"/>
        <v>Avi - Mul Top Feed Grade (Italy)45999</v>
      </c>
      <c r="U1093" s="797"/>
      <c r="V1093" s="797"/>
      <c r="W1093" s="785">
        <f>IFERROR(VLOOKUP($Q1093,'391'!$S:$AG,15,0),0)</f>
        <v>0</v>
      </c>
      <c r="X1093" s="1090">
        <f t="shared" si="678"/>
        <v>0</v>
      </c>
      <c r="Y1093" s="785"/>
      <c r="Z1093" s="785"/>
      <c r="AA1093" s="797"/>
      <c r="AB1093" s="797"/>
      <c r="AC1093" s="681"/>
      <c r="AD1093" s="681"/>
      <c r="AE1093" s="681"/>
      <c r="AF1093" s="681"/>
      <c r="AG1093" s="681"/>
      <c r="AH1093" s="681"/>
      <c r="AI1093" s="703"/>
      <c r="AJ1093" s="703"/>
      <c r="AK1093" s="703"/>
      <c r="AL1093" s="703"/>
      <c r="AM1093" s="703"/>
      <c r="AN1093" s="703"/>
      <c r="AO1093" s="703"/>
      <c r="AP1093" s="703"/>
      <c r="AQ1093" s="703"/>
      <c r="AR1093" s="703"/>
      <c r="AS1093" s="703"/>
    </row>
    <row r="1094" spans="1:45" s="409" customFormat="1" ht="30" customHeight="1" x14ac:dyDescent="0.25">
      <c r="A1094" s="2022"/>
      <c r="B1094" s="2025"/>
      <c r="C1094" s="160" t="s">
        <v>490</v>
      </c>
      <c r="D1094" s="881" t="s">
        <v>10</v>
      </c>
      <c r="E1094" s="882">
        <v>46205</v>
      </c>
      <c r="F1094" s="71">
        <f t="shared" ref="F1094:F1095" si="688">$L$7-E1094</f>
        <v>81</v>
      </c>
      <c r="G1094" s="64">
        <v>2700</v>
      </c>
      <c r="H1094" s="1348"/>
      <c r="I1094" s="64"/>
      <c r="J1094" s="1367"/>
      <c r="K1094" s="64">
        <f>IFERROR(SUMIF(INTAKE!$A:$A,$T1094,INTAKE!$P:$P),0)</f>
        <v>0</v>
      </c>
      <c r="L1094" s="1702">
        <f t="shared" si="682"/>
        <v>2700</v>
      </c>
      <c r="M1094" s="510"/>
      <c r="N1094" s="162"/>
      <c r="O1094" s="45"/>
      <c r="P1094" s="756"/>
      <c r="Q1094" s="795"/>
      <c r="R1094" s="785">
        <f>IFERROR(VLOOKUP($Q1094,'391'!$S:$Z,8,0),"")</f>
        <v>0</v>
      </c>
      <c r="S1094" s="796"/>
      <c r="T1094" s="797" t="str">
        <f t="shared" si="686"/>
        <v>Avi - Mul Top Feed Grade (Italy)A15.146205</v>
      </c>
      <c r="U1094" s="797"/>
      <c r="V1094" s="797"/>
      <c r="W1094" s="785">
        <f>IFERROR(VLOOKUP($Q1094,'391'!$S:$AG,15,0),0)</f>
        <v>0</v>
      </c>
      <c r="X1094" s="1090">
        <f t="shared" si="678"/>
        <v>2700</v>
      </c>
      <c r="Y1094" s="785"/>
      <c r="Z1094" s="785"/>
      <c r="AA1094" s="797"/>
      <c r="AB1094" s="797"/>
      <c r="AC1094" s="681"/>
      <c r="AD1094" s="681"/>
      <c r="AE1094" s="681"/>
      <c r="AF1094" s="681"/>
      <c r="AG1094" s="681"/>
      <c r="AH1094" s="681"/>
      <c r="AI1094" s="703"/>
      <c r="AJ1094" s="703"/>
      <c r="AK1094" s="703"/>
      <c r="AL1094" s="703"/>
      <c r="AM1094" s="703"/>
      <c r="AN1094" s="703"/>
      <c r="AO1094" s="703"/>
      <c r="AP1094" s="703"/>
      <c r="AQ1094" s="703"/>
      <c r="AR1094" s="703"/>
      <c r="AS1094" s="703"/>
    </row>
    <row r="1095" spans="1:45" s="409" customFormat="1" ht="30" customHeight="1" x14ac:dyDescent="0.25">
      <c r="A1095" s="2022"/>
      <c r="B1095" s="2025"/>
      <c r="C1095" s="160" t="s">
        <v>490</v>
      </c>
      <c r="D1095" s="881" t="s">
        <v>10</v>
      </c>
      <c r="E1095" s="882">
        <v>46233</v>
      </c>
      <c r="F1095" s="71">
        <f t="shared" si="688"/>
        <v>53</v>
      </c>
      <c r="G1095" s="64">
        <v>16200</v>
      </c>
      <c r="H1095" s="1348"/>
      <c r="I1095" s="64"/>
      <c r="J1095" s="1367"/>
      <c r="K1095" s="64">
        <f>IFERROR(SUMIF(INTAKE!$A:$A,$T1095,INTAKE!$P:$P),0)</f>
        <v>0</v>
      </c>
      <c r="L1095" s="1702">
        <f t="shared" si="682"/>
        <v>16200</v>
      </c>
      <c r="M1095" s="510"/>
      <c r="N1095" s="162"/>
      <c r="O1095" s="45"/>
      <c r="P1095" s="756"/>
      <c r="Q1095" s="795"/>
      <c r="R1095" s="785">
        <f>IFERROR(VLOOKUP($Q1095,'391'!$S:$Z,8,0),"")</f>
        <v>0</v>
      </c>
      <c r="S1095" s="796"/>
      <c r="T1095" s="797" t="str">
        <f t="shared" si="686"/>
        <v>Avi - Mul Top Feed Grade (Italy)A15.146233</v>
      </c>
      <c r="U1095" s="797"/>
      <c r="V1095" s="797"/>
      <c r="W1095" s="785">
        <f>IFERROR(VLOOKUP($Q1095,'391'!$S:$AG,15,0),0)</f>
        <v>0</v>
      </c>
      <c r="X1095" s="1090">
        <f t="shared" si="678"/>
        <v>16200</v>
      </c>
      <c r="Y1095" s="785"/>
      <c r="Z1095" s="785"/>
      <c r="AA1095" s="797"/>
      <c r="AB1095" s="797"/>
      <c r="AC1095" s="681"/>
      <c r="AD1095" s="681"/>
      <c r="AE1095" s="681"/>
      <c r="AF1095" s="681"/>
      <c r="AG1095" s="681"/>
      <c r="AH1095" s="681"/>
      <c r="AI1095" s="703"/>
      <c r="AJ1095" s="703"/>
      <c r="AK1095" s="703"/>
      <c r="AL1095" s="703"/>
      <c r="AM1095" s="703"/>
      <c r="AN1095" s="703"/>
      <c r="AO1095" s="703"/>
      <c r="AP1095" s="703"/>
      <c r="AQ1095" s="703"/>
      <c r="AR1095" s="703"/>
      <c r="AS1095" s="703"/>
    </row>
    <row r="1096" spans="1:45" s="409" customFormat="1" ht="30" hidden="1" customHeight="1" x14ac:dyDescent="0.25">
      <c r="A1096" s="2022"/>
      <c r="B1096" s="2025"/>
      <c r="C1096" s="160"/>
      <c r="D1096" s="881" t="s">
        <v>10</v>
      </c>
      <c r="E1096" s="882">
        <v>46233</v>
      </c>
      <c r="F1096" s="71">
        <f t="shared" ref="F1096:F1097" si="689">$L$7-E1096</f>
        <v>53</v>
      </c>
      <c r="G1096" s="64">
        <v>0</v>
      </c>
      <c r="H1096" s="64"/>
      <c r="I1096" s="64"/>
      <c r="J1096" s="1367"/>
      <c r="K1096" s="64">
        <f>IFERROR(SUMIF(INTAKE!$A:$A,$T1096,INTAKE!$P:$P),0)</f>
        <v>0</v>
      </c>
      <c r="L1096" s="1702">
        <f t="shared" si="682"/>
        <v>0</v>
      </c>
      <c r="M1096" s="510"/>
      <c r="N1096" s="162"/>
      <c r="O1096" s="45"/>
      <c r="P1096" s="756"/>
      <c r="Q1096" s="795"/>
      <c r="R1096" s="785">
        <f>IFERROR(VLOOKUP($Q1096,'391'!$S:$Z,8,0),"")</f>
        <v>0</v>
      </c>
      <c r="S1096" s="796"/>
      <c r="T1096" s="797" t="str">
        <f t="shared" si="686"/>
        <v>Avi - Mul Top Feed Grade (Italy)46233</v>
      </c>
      <c r="U1096" s="797"/>
      <c r="V1096" s="797"/>
      <c r="W1096" s="785">
        <f>IFERROR(VLOOKUP($Q1096,'391'!$S:$AG,15,0),0)</f>
        <v>0</v>
      </c>
      <c r="X1096" s="1090">
        <f t="shared" si="678"/>
        <v>0</v>
      </c>
      <c r="Y1096" s="785"/>
      <c r="Z1096" s="785"/>
      <c r="AA1096" s="797"/>
      <c r="AB1096" s="797"/>
      <c r="AC1096" s="681"/>
      <c r="AD1096" s="681"/>
      <c r="AE1096" s="681"/>
      <c r="AF1096" s="681"/>
      <c r="AG1096" s="681"/>
      <c r="AH1096" s="681"/>
      <c r="AI1096" s="703"/>
      <c r="AJ1096" s="703"/>
      <c r="AK1096" s="703"/>
      <c r="AL1096" s="703"/>
      <c r="AM1096" s="703"/>
      <c r="AN1096" s="703"/>
      <c r="AO1096" s="703"/>
      <c r="AP1096" s="703"/>
      <c r="AQ1096" s="703"/>
      <c r="AR1096" s="703"/>
      <c r="AS1096" s="703"/>
    </row>
    <row r="1097" spans="1:45" s="401" customFormat="1" ht="30" customHeight="1" x14ac:dyDescent="0.25">
      <c r="A1097" s="2023"/>
      <c r="B1097" s="2026"/>
      <c r="C1097" s="61" t="s">
        <v>867</v>
      </c>
      <c r="D1097" s="850" t="s">
        <v>10</v>
      </c>
      <c r="E1097" s="851">
        <v>46205</v>
      </c>
      <c r="F1097" s="42">
        <f t="shared" si="689"/>
        <v>81</v>
      </c>
      <c r="G1097" s="37">
        <v>1275.02</v>
      </c>
      <c r="H1097" s="37"/>
      <c r="I1097" s="37">
        <f>+SUM(K1092:K1095)</f>
        <v>0</v>
      </c>
      <c r="J1097" s="1385">
        <f>+usage!I102</f>
        <v>253.9</v>
      </c>
      <c r="K1097" s="64">
        <f>IFERROR(SUMIF(INTAKE!$A:$A,$T1097,INTAKE!$P:$P),0)</f>
        <v>0</v>
      </c>
      <c r="L1097" s="1533">
        <f t="shared" si="682"/>
        <v>1021.12</v>
      </c>
      <c r="M1097" s="40"/>
      <c r="N1097" s="84"/>
      <c r="O1097" s="40"/>
      <c r="P1097" s="756"/>
      <c r="Q1097" s="795"/>
      <c r="R1097" s="785">
        <f>IFERROR(VLOOKUP($Q1097,'391'!$S:$Z,8,0),"")</f>
        <v>0</v>
      </c>
      <c r="S1097" s="796"/>
      <c r="T1097" s="797" t="str">
        <f t="shared" si="686"/>
        <v>Avi - Mul Top Feed Grade (Italy)LA846205</v>
      </c>
      <c r="U1097" s="797"/>
      <c r="V1097" s="797"/>
      <c r="W1097" s="785">
        <f>IFERROR(VLOOKUP($Q1097,'391'!$S:$AG,15,0),0)</f>
        <v>0</v>
      </c>
      <c r="X1097" s="1090">
        <f t="shared" si="678"/>
        <v>1275.02</v>
      </c>
      <c r="Y1097" s="785"/>
      <c r="Z1097" s="785"/>
      <c r="AA1097" s="797"/>
      <c r="AB1097" s="797"/>
      <c r="AC1097" s="681"/>
      <c r="AD1097" s="681"/>
      <c r="AE1097" s="681"/>
      <c r="AF1097" s="681"/>
      <c r="AG1097" s="681"/>
      <c r="AH1097" s="681"/>
      <c r="AI1097" s="703"/>
      <c r="AJ1097" s="703"/>
      <c r="AK1097" s="703"/>
      <c r="AL1097" s="703"/>
      <c r="AM1097" s="703"/>
      <c r="AN1097" s="703"/>
      <c r="AO1097" s="703"/>
      <c r="AP1097" s="703"/>
      <c r="AQ1097" s="703"/>
      <c r="AR1097" s="703"/>
      <c r="AS1097" s="703"/>
    </row>
    <row r="1098" spans="1:45" s="265" customFormat="1" ht="30" customHeight="1" x14ac:dyDescent="0.25">
      <c r="A1098" s="2019" t="s">
        <v>329</v>
      </c>
      <c r="B1098" s="2020"/>
      <c r="C1098" s="88"/>
      <c r="D1098" s="864"/>
      <c r="E1098" s="864"/>
      <c r="F1098" s="865"/>
      <c r="G1098" s="1297">
        <v>20175.02</v>
      </c>
      <c r="H1098" s="1297">
        <f>+SUM(H1092:H1097)</f>
        <v>0</v>
      </c>
      <c r="I1098" s="1297">
        <f t="shared" ref="I1098:L1098" si="690">+SUM(I1092:I1097)</f>
        <v>0</v>
      </c>
      <c r="J1098" s="1297">
        <f t="shared" si="690"/>
        <v>253.9</v>
      </c>
      <c r="K1098" s="1297">
        <f t="shared" si="690"/>
        <v>0</v>
      </c>
      <c r="L1098" s="1297">
        <f t="shared" si="690"/>
        <v>19921.12</v>
      </c>
      <c r="M1098" s="59">
        <f>IFERROR(R1098/$S$2,"")</f>
        <v>303.58333333333331</v>
      </c>
      <c r="N1098" s="366">
        <f>IFERROR(L1098/M1098,0)</f>
        <v>65.619939610211361</v>
      </c>
      <c r="O1098" s="59">
        <f>IFERROR(SUMIF(ETM!$A:$A,$Q1098,ETM!$E:$E),"")</f>
        <v>285.33333333333331</v>
      </c>
      <c r="P1098" s="880">
        <f>IFERROR(L1098/O1098,0)</f>
        <v>69.817009345794389</v>
      </c>
      <c r="Q1098" s="814" t="s">
        <v>678</v>
      </c>
      <c r="R1098" s="785">
        <f>IFERROR(VLOOKUP($Q1098,'391'!$S:$Z,8,0),"")</f>
        <v>1821.5</v>
      </c>
      <c r="S1098" s="796"/>
      <c r="T1098" s="797"/>
      <c r="U1098" s="797"/>
      <c r="V1098" s="797"/>
      <c r="W1098" s="785">
        <f>IFERROR(VLOOKUP($Q1098,'391'!$S:$AG,15,0),0)</f>
        <v>20175.02</v>
      </c>
      <c r="X1098" s="1090">
        <f t="shared" si="678"/>
        <v>0</v>
      </c>
      <c r="Y1098" s="785"/>
      <c r="Z1098" s="785"/>
      <c r="AA1098" s="797"/>
      <c r="AB1098" s="797"/>
      <c r="AC1098" s="551"/>
      <c r="AD1098" s="551"/>
      <c r="AE1098" s="551"/>
      <c r="AF1098" s="551"/>
      <c r="AG1098" s="551"/>
      <c r="AH1098" s="551"/>
      <c r="AI1098" s="704"/>
      <c r="AJ1098" s="704"/>
      <c r="AK1098" s="704"/>
      <c r="AL1098" s="704"/>
      <c r="AM1098" s="704"/>
      <c r="AN1098" s="704"/>
      <c r="AO1098" s="704"/>
      <c r="AP1098" s="704"/>
      <c r="AQ1098" s="704"/>
      <c r="AR1098" s="704"/>
      <c r="AS1098" s="704"/>
    </row>
    <row r="1099" spans="1:45" s="409" customFormat="1" ht="30" customHeight="1" x14ac:dyDescent="0.25">
      <c r="A1099" s="2021">
        <f>IF(L1106=0,"",MAX($A$16:A1098)+1)</f>
        <v>73</v>
      </c>
      <c r="B1099" s="2024" t="s">
        <v>1903</v>
      </c>
      <c r="C1099" s="127" t="s">
        <v>255</v>
      </c>
      <c r="D1099" s="881" t="s">
        <v>10</v>
      </c>
      <c r="E1099" s="882">
        <v>46241</v>
      </c>
      <c r="F1099" s="71">
        <f t="shared" ref="F1099" si="691">$L$7-E1099</f>
        <v>45</v>
      </c>
      <c r="G1099" s="63">
        <v>25</v>
      </c>
      <c r="H1099" s="64"/>
      <c r="I1099" s="64"/>
      <c r="J1099" s="1378"/>
      <c r="K1099" s="64">
        <f>IFERROR(SUMIF(INTAKE!$A:$A,$T1099,INTAKE!$P:$P),0)</f>
        <v>0</v>
      </c>
      <c r="L1099" s="1702">
        <f t="shared" si="682"/>
        <v>25</v>
      </c>
      <c r="M1099" s="377"/>
      <c r="N1099" s="176"/>
      <c r="O1099" s="46"/>
      <c r="P1099" s="748"/>
      <c r="Q1099" s="795"/>
      <c r="R1099" s="785">
        <f>IFERROR(VLOOKUP($Q1099,'391'!$S:$Z,8,0),"")</f>
        <v>0</v>
      </c>
      <c r="S1099" s="796"/>
      <c r="T1099" s="797" t="str">
        <f t="shared" ref="T1099:T1105" si="692">$Q$1106&amp;C1099&amp;E1099</f>
        <v>ActisafZ6.246241</v>
      </c>
      <c r="U1099" s="797"/>
      <c r="V1099" s="797"/>
      <c r="W1099" s="785">
        <f>IFERROR(VLOOKUP($Q1099,'391'!$S:$AG,15,0),0)</f>
        <v>0</v>
      </c>
      <c r="X1099" s="1090">
        <f t="shared" si="678"/>
        <v>25</v>
      </c>
      <c r="Y1099" s="785"/>
      <c r="Z1099" s="785"/>
      <c r="AA1099" s="797"/>
      <c r="AB1099" s="797"/>
      <c r="AC1099" s="681"/>
      <c r="AD1099" s="681"/>
      <c r="AE1099" s="681"/>
      <c r="AF1099" s="681"/>
      <c r="AG1099" s="681"/>
      <c r="AH1099" s="681"/>
      <c r="AI1099" s="703"/>
      <c r="AJ1099" s="703"/>
      <c r="AK1099" s="703"/>
      <c r="AL1099" s="703"/>
      <c r="AM1099" s="703"/>
      <c r="AN1099" s="703"/>
      <c r="AO1099" s="703"/>
      <c r="AP1099" s="703"/>
      <c r="AQ1099" s="703"/>
      <c r="AR1099" s="703"/>
      <c r="AS1099" s="703"/>
    </row>
    <row r="1100" spans="1:45" s="409" customFormat="1" ht="30" hidden="1" customHeight="1" x14ac:dyDescent="0.25">
      <c r="A1100" s="2022"/>
      <c r="B1100" s="2025"/>
      <c r="C1100" s="127"/>
      <c r="D1100" s="881" t="s">
        <v>10</v>
      </c>
      <c r="E1100" s="882">
        <v>46241</v>
      </c>
      <c r="F1100" s="71">
        <f t="shared" ref="F1100:F1105" si="693">$L$7-E1100</f>
        <v>45</v>
      </c>
      <c r="G1100" s="63">
        <v>0</v>
      </c>
      <c r="H1100" s="64"/>
      <c r="I1100" s="64"/>
      <c r="J1100" s="1378"/>
      <c r="K1100" s="64">
        <f>IFERROR(SUMIF(INTAKE!$A:$A,$T1100,INTAKE!$P:$P),0)</f>
        <v>0</v>
      </c>
      <c r="L1100" s="1533">
        <f t="shared" si="682"/>
        <v>0</v>
      </c>
      <c r="M1100" s="373"/>
      <c r="N1100" s="163"/>
      <c r="O1100" s="48"/>
      <c r="P1100" s="750"/>
      <c r="Q1100" s="795"/>
      <c r="R1100" s="785">
        <f>IFERROR(VLOOKUP($Q1100,'391'!$S:$Z,8,0),"")</f>
        <v>0</v>
      </c>
      <c r="S1100" s="796"/>
      <c r="T1100" s="797" t="str">
        <f t="shared" si="692"/>
        <v>Actisaf46241</v>
      </c>
      <c r="U1100" s="797"/>
      <c r="V1100" s="797"/>
      <c r="W1100" s="785">
        <f>IFERROR(VLOOKUP($Q1100,'391'!$S:$AG,15,0),0)</f>
        <v>0</v>
      </c>
      <c r="X1100" s="1090">
        <f t="shared" si="678"/>
        <v>0</v>
      </c>
      <c r="Y1100" s="785"/>
      <c r="Z1100" s="785"/>
      <c r="AA1100" s="797"/>
      <c r="AB1100" s="797"/>
      <c r="AC1100" s="681"/>
      <c r="AD1100" s="681"/>
      <c r="AE1100" s="681"/>
      <c r="AF1100" s="681"/>
      <c r="AG1100" s="681"/>
      <c r="AH1100" s="681"/>
      <c r="AI1100" s="703"/>
      <c r="AJ1100" s="703"/>
      <c r="AK1100" s="703"/>
      <c r="AL1100" s="703"/>
      <c r="AM1100" s="703"/>
      <c r="AN1100" s="703"/>
      <c r="AO1100" s="703"/>
      <c r="AP1100" s="703"/>
      <c r="AQ1100" s="703"/>
      <c r="AR1100" s="703"/>
      <c r="AS1100" s="703"/>
    </row>
    <row r="1101" spans="1:45" s="409" customFormat="1" ht="30" hidden="1" customHeight="1" x14ac:dyDescent="0.25">
      <c r="A1101" s="2022"/>
      <c r="B1101" s="2025"/>
      <c r="C1101" s="127"/>
      <c r="D1101" s="881" t="s">
        <v>10</v>
      </c>
      <c r="E1101" s="882">
        <v>44894</v>
      </c>
      <c r="F1101" s="71">
        <f t="shared" si="693"/>
        <v>1392</v>
      </c>
      <c r="G1101" s="63">
        <v>0</v>
      </c>
      <c r="H1101" s="64"/>
      <c r="I1101" s="64"/>
      <c r="J1101" s="1378"/>
      <c r="K1101" s="64">
        <f>IFERROR(SUMIF(INTAKE!$A:$A,$T1101,INTAKE!$P:$P),0)</f>
        <v>0</v>
      </c>
      <c r="L1101" s="1533">
        <f t="shared" si="682"/>
        <v>0</v>
      </c>
      <c r="M1101" s="373"/>
      <c r="N1101" s="163"/>
      <c r="O1101" s="48"/>
      <c r="P1101" s="750"/>
      <c r="Q1101" s="795"/>
      <c r="R1101" s="785">
        <f>IFERROR(VLOOKUP($Q1101,'391'!$S:$Z,8,0),"")</f>
        <v>0</v>
      </c>
      <c r="S1101" s="796"/>
      <c r="T1101" s="797" t="str">
        <f t="shared" si="692"/>
        <v>Actisaf44894</v>
      </c>
      <c r="U1101" s="797"/>
      <c r="V1101" s="797"/>
      <c r="W1101" s="785">
        <f>IFERROR(VLOOKUP($Q1101,'391'!$S:$AG,15,0),0)</f>
        <v>0</v>
      </c>
      <c r="X1101" s="1090">
        <f t="shared" si="678"/>
        <v>0</v>
      </c>
      <c r="Y1101" s="785"/>
      <c r="Z1101" s="785"/>
      <c r="AA1101" s="797"/>
      <c r="AB1101" s="797"/>
      <c r="AC1101" s="681"/>
      <c r="AD1101" s="681"/>
      <c r="AE1101" s="681"/>
      <c r="AF1101" s="681"/>
      <c r="AG1101" s="681"/>
      <c r="AH1101" s="681"/>
      <c r="AI1101" s="703"/>
      <c r="AJ1101" s="703"/>
      <c r="AK1101" s="703"/>
      <c r="AL1101" s="703"/>
      <c r="AM1101" s="703"/>
      <c r="AN1101" s="703"/>
      <c r="AO1101" s="703"/>
      <c r="AP1101" s="703"/>
      <c r="AQ1101" s="703"/>
      <c r="AR1101" s="703"/>
      <c r="AS1101" s="703"/>
    </row>
    <row r="1102" spans="1:45" s="409" customFormat="1" ht="30" hidden="1" customHeight="1" x14ac:dyDescent="0.25">
      <c r="A1102" s="2022"/>
      <c r="B1102" s="2025"/>
      <c r="C1102" s="127"/>
      <c r="D1102" s="881" t="s">
        <v>10</v>
      </c>
      <c r="E1102" s="882">
        <v>44650</v>
      </c>
      <c r="F1102" s="71">
        <f t="shared" si="693"/>
        <v>1636</v>
      </c>
      <c r="G1102" s="63">
        <v>0</v>
      </c>
      <c r="H1102" s="64"/>
      <c r="I1102" s="64"/>
      <c r="J1102" s="1378"/>
      <c r="K1102" s="64">
        <f>IFERROR(SUMIF(INTAKE!$A:$A,$T1102,INTAKE!$P:$P),0)</f>
        <v>0</v>
      </c>
      <c r="L1102" s="1533">
        <f t="shared" si="682"/>
        <v>0</v>
      </c>
      <c r="M1102" s="373"/>
      <c r="N1102" s="163"/>
      <c r="O1102" s="48"/>
      <c r="P1102" s="750"/>
      <c r="Q1102" s="795"/>
      <c r="R1102" s="785">
        <f>IFERROR(VLOOKUP($Q1102,'391'!$S:$Z,8,0),"")</f>
        <v>0</v>
      </c>
      <c r="S1102" s="796"/>
      <c r="T1102" s="797" t="str">
        <f t="shared" si="692"/>
        <v>Actisaf44650</v>
      </c>
      <c r="U1102" s="797"/>
      <c r="V1102" s="797"/>
      <c r="W1102" s="785">
        <f>IFERROR(VLOOKUP($Q1102,'391'!$S:$AG,15,0),0)</f>
        <v>0</v>
      </c>
      <c r="X1102" s="1090">
        <f t="shared" si="678"/>
        <v>0</v>
      </c>
      <c r="Y1102" s="785"/>
      <c r="Z1102" s="785"/>
      <c r="AA1102" s="797"/>
      <c r="AB1102" s="797"/>
      <c r="AC1102" s="681"/>
      <c r="AD1102" s="681"/>
      <c r="AE1102" s="681"/>
      <c r="AF1102" s="681"/>
      <c r="AG1102" s="681"/>
      <c r="AH1102" s="681"/>
      <c r="AI1102" s="703"/>
      <c r="AJ1102" s="703"/>
      <c r="AK1102" s="703"/>
      <c r="AL1102" s="703"/>
      <c r="AM1102" s="703"/>
      <c r="AN1102" s="703"/>
      <c r="AO1102" s="703"/>
      <c r="AP1102" s="703"/>
      <c r="AQ1102" s="703"/>
      <c r="AR1102" s="703"/>
      <c r="AS1102" s="703"/>
    </row>
    <row r="1103" spans="1:45" s="409" customFormat="1" ht="30" hidden="1" customHeight="1" x14ac:dyDescent="0.25">
      <c r="A1103" s="2022"/>
      <c r="B1103" s="2025"/>
      <c r="C1103" s="127"/>
      <c r="D1103" s="881" t="s">
        <v>10</v>
      </c>
      <c r="E1103" s="882">
        <v>42985</v>
      </c>
      <c r="F1103" s="71">
        <f t="shared" si="693"/>
        <v>3301</v>
      </c>
      <c r="G1103" s="63">
        <v>0</v>
      </c>
      <c r="H1103" s="64"/>
      <c r="I1103" s="64"/>
      <c r="J1103" s="1378"/>
      <c r="K1103" s="64">
        <f>IFERROR(SUMIF(INTAKE!$A:$A,$T1103,INTAKE!$P:$P),0)</f>
        <v>0</v>
      </c>
      <c r="L1103" s="1533">
        <f t="shared" si="682"/>
        <v>0</v>
      </c>
      <c r="M1103" s="373"/>
      <c r="N1103" s="163"/>
      <c r="O1103" s="48"/>
      <c r="P1103" s="750"/>
      <c r="Q1103" s="795"/>
      <c r="R1103" s="785">
        <f>IFERROR(VLOOKUP($Q1103,'391'!$S:$Z,8,0),"")</f>
        <v>0</v>
      </c>
      <c r="S1103" s="796"/>
      <c r="T1103" s="797" t="str">
        <f t="shared" si="692"/>
        <v>Actisaf42985</v>
      </c>
      <c r="U1103" s="797"/>
      <c r="V1103" s="797"/>
      <c r="W1103" s="785">
        <f>IFERROR(VLOOKUP($Q1103,'391'!$S:$AG,15,0),0)</f>
        <v>0</v>
      </c>
      <c r="X1103" s="1090">
        <f t="shared" si="678"/>
        <v>0</v>
      </c>
      <c r="Y1103" s="785"/>
      <c r="Z1103" s="785"/>
      <c r="AA1103" s="797"/>
      <c r="AB1103" s="797"/>
      <c r="AC1103" s="681"/>
      <c r="AD1103" s="681"/>
      <c r="AE1103" s="681"/>
      <c r="AF1103" s="681"/>
      <c r="AG1103" s="681"/>
      <c r="AH1103" s="681"/>
      <c r="AI1103" s="703"/>
      <c r="AJ1103" s="703"/>
      <c r="AK1103" s="703"/>
      <c r="AL1103" s="703"/>
      <c r="AM1103" s="703"/>
      <c r="AN1103" s="703"/>
      <c r="AO1103" s="703"/>
      <c r="AP1103" s="703"/>
      <c r="AQ1103" s="703"/>
      <c r="AR1103" s="703"/>
      <c r="AS1103" s="703"/>
    </row>
    <row r="1104" spans="1:45" s="409" customFormat="1" ht="30" hidden="1" customHeight="1" x14ac:dyDescent="0.25">
      <c r="A1104" s="2022"/>
      <c r="B1104" s="2025"/>
      <c r="C1104" s="127"/>
      <c r="D1104" s="881" t="s">
        <v>10</v>
      </c>
      <c r="E1104" s="882">
        <v>42985</v>
      </c>
      <c r="F1104" s="71">
        <f t="shared" si="693"/>
        <v>3301</v>
      </c>
      <c r="G1104" s="63">
        <v>0</v>
      </c>
      <c r="H1104" s="64"/>
      <c r="I1104" s="64"/>
      <c r="J1104" s="1378"/>
      <c r="K1104" s="64">
        <f>IFERROR(SUMIF(INTAKE!$A:$A,$T1104,INTAKE!$P:$P),0)</f>
        <v>0</v>
      </c>
      <c r="L1104" s="1533">
        <f t="shared" si="682"/>
        <v>0</v>
      </c>
      <c r="M1104" s="373"/>
      <c r="N1104" s="163"/>
      <c r="O1104" s="48"/>
      <c r="P1104" s="750"/>
      <c r="Q1104" s="795"/>
      <c r="R1104" s="785">
        <f>IFERROR(VLOOKUP($Q1104,'391'!$S:$Z,8,0),"")</f>
        <v>0</v>
      </c>
      <c r="S1104" s="796"/>
      <c r="T1104" s="797" t="str">
        <f t="shared" si="692"/>
        <v>Actisaf42985</v>
      </c>
      <c r="U1104" s="797"/>
      <c r="V1104" s="797"/>
      <c r="W1104" s="785">
        <f>IFERROR(VLOOKUP($Q1104,'391'!$S:$AG,15,0),0)</f>
        <v>0</v>
      </c>
      <c r="X1104" s="1090">
        <f t="shared" si="678"/>
        <v>0</v>
      </c>
      <c r="Y1104" s="785"/>
      <c r="Z1104" s="785"/>
      <c r="AA1104" s="797"/>
      <c r="AB1104" s="797"/>
      <c r="AC1104" s="681"/>
      <c r="AD1104" s="681"/>
      <c r="AE1104" s="681"/>
      <c r="AF1104" s="681"/>
      <c r="AG1104" s="681"/>
      <c r="AH1104" s="681"/>
      <c r="AI1104" s="703"/>
      <c r="AJ1104" s="703"/>
      <c r="AK1104" s="703"/>
      <c r="AL1104" s="703"/>
      <c r="AM1104" s="703"/>
      <c r="AN1104" s="703"/>
      <c r="AO1104" s="703"/>
      <c r="AP1104" s="703"/>
      <c r="AQ1104" s="703"/>
      <c r="AR1104" s="703"/>
      <c r="AS1104" s="703"/>
    </row>
    <row r="1105" spans="1:45" s="401" customFormat="1" ht="30" customHeight="1" x14ac:dyDescent="0.25">
      <c r="A1105" s="2023"/>
      <c r="B1105" s="2026"/>
      <c r="C1105" s="97" t="s">
        <v>46</v>
      </c>
      <c r="D1105" s="863" t="s">
        <v>10</v>
      </c>
      <c r="E1105" s="853">
        <v>46205</v>
      </c>
      <c r="F1105" s="39">
        <f t="shared" si="693"/>
        <v>81</v>
      </c>
      <c r="G1105" s="37">
        <v>12.14</v>
      </c>
      <c r="H1105" s="64"/>
      <c r="I1105" s="37">
        <f>+SUM(K1099:K1101)</f>
        <v>0</v>
      </c>
      <c r="J1105" s="1385">
        <f>+usage!I72</f>
        <v>3.9</v>
      </c>
      <c r="K1105" s="64">
        <f>IFERROR(SUMIF(INTAKE!$A:$A,$T1105,INTAKE!$P:$P),0)</f>
        <v>0</v>
      </c>
      <c r="L1105" s="1533">
        <f t="shared" si="682"/>
        <v>8.24</v>
      </c>
      <c r="M1105" s="374"/>
      <c r="N1105" s="84"/>
      <c r="O1105" s="40"/>
      <c r="P1105" s="756"/>
      <c r="Q1105" s="795"/>
      <c r="R1105" s="785">
        <f>IFERROR(VLOOKUP($Q1105,'391'!$S:$Z,8,0),"")</f>
        <v>0</v>
      </c>
      <c r="S1105" s="796"/>
      <c r="T1105" s="797" t="str">
        <f t="shared" si="692"/>
        <v>ActisafFeedmill46205</v>
      </c>
      <c r="U1105" s="797"/>
      <c r="V1105" s="797"/>
      <c r="W1105" s="785">
        <f>IFERROR(VLOOKUP($Q1105,'391'!$S:$AG,15,0),0)</f>
        <v>0</v>
      </c>
      <c r="X1105" s="1090">
        <f t="shared" si="678"/>
        <v>12.14</v>
      </c>
      <c r="Y1105" s="785"/>
      <c r="Z1105" s="785"/>
      <c r="AA1105" s="797"/>
      <c r="AB1105" s="797"/>
      <c r="AC1105" s="681"/>
      <c r="AD1105" s="681"/>
      <c r="AE1105" s="681"/>
      <c r="AF1105" s="681"/>
      <c r="AG1105" s="681"/>
      <c r="AH1105" s="681"/>
      <c r="AI1105" s="703"/>
      <c r="AJ1105" s="703"/>
      <c r="AK1105" s="703"/>
      <c r="AL1105" s="703"/>
      <c r="AM1105" s="703"/>
      <c r="AN1105" s="703"/>
      <c r="AO1105" s="703"/>
      <c r="AP1105" s="703"/>
      <c r="AQ1105" s="703"/>
      <c r="AR1105" s="703"/>
      <c r="AS1105" s="703"/>
    </row>
    <row r="1106" spans="1:45" s="265" customFormat="1" ht="30" customHeight="1" x14ac:dyDescent="0.25">
      <c r="A1106" s="2019" t="s">
        <v>203</v>
      </c>
      <c r="B1106" s="2020"/>
      <c r="C1106" s="88"/>
      <c r="D1106" s="864"/>
      <c r="E1106" s="864"/>
      <c r="F1106" s="865"/>
      <c r="G1106" s="1297">
        <v>37.14</v>
      </c>
      <c r="H1106" s="1344">
        <f t="shared" ref="H1106:I1106" si="694">SUM(H1099:H1105)</f>
        <v>0</v>
      </c>
      <c r="I1106" s="1297">
        <f t="shared" si="694"/>
        <v>0</v>
      </c>
      <c r="J1106" s="1297">
        <f t="shared" ref="J1106:L1106" si="695">SUM(J1099:J1105)</f>
        <v>3.9</v>
      </c>
      <c r="K1106" s="1297">
        <f t="shared" si="695"/>
        <v>0</v>
      </c>
      <c r="L1106" s="1297">
        <f t="shared" si="695"/>
        <v>33.24</v>
      </c>
      <c r="M1106" s="59">
        <f>IFERROR(R1106/$S$2,"")</f>
        <v>0</v>
      </c>
      <c r="N1106" s="366">
        <f>IFERROR(L1106/M1106,0)</f>
        <v>0</v>
      </c>
      <c r="O1106" s="59">
        <f>IFERROR(SUMIF(ETM!$A:$A,$Q1106,ETM!$E:$E),"")</f>
        <v>0</v>
      </c>
      <c r="P1106" s="880">
        <f>IFERROR(L1106/O1106,0)</f>
        <v>0</v>
      </c>
      <c r="Q1106" s="814" t="s">
        <v>367</v>
      </c>
      <c r="R1106" s="785">
        <f>IFERROR(VLOOKUP($Q1106,'391'!$S:$Z,8,0),"")</f>
        <v>0</v>
      </c>
      <c r="S1106" s="796"/>
      <c r="T1106" s="797"/>
      <c r="U1106" s="797"/>
      <c r="V1106" s="797"/>
      <c r="W1106" s="785">
        <f>IFERROR(VLOOKUP($Q1106,'391'!$S:$AG,15,0),0)</f>
        <v>37.14</v>
      </c>
      <c r="X1106" s="1090">
        <f t="shared" si="678"/>
        <v>0</v>
      </c>
      <c r="Y1106" s="785"/>
      <c r="Z1106" s="785"/>
      <c r="AA1106" s="797"/>
      <c r="AB1106" s="797"/>
      <c r="AC1106" s="551"/>
      <c r="AD1106" s="551"/>
      <c r="AE1106" s="551"/>
      <c r="AF1106" s="551"/>
      <c r="AG1106" s="551"/>
      <c r="AH1106" s="551"/>
      <c r="AI1106" s="704"/>
      <c r="AJ1106" s="704"/>
      <c r="AK1106" s="704"/>
      <c r="AL1106" s="704"/>
      <c r="AM1106" s="704"/>
      <c r="AN1106" s="704"/>
      <c r="AO1106" s="704"/>
      <c r="AP1106" s="704"/>
      <c r="AQ1106" s="704"/>
      <c r="AR1106" s="704"/>
      <c r="AS1106" s="704"/>
    </row>
    <row r="1107" spans="1:45" s="409" customFormat="1" ht="30" hidden="1" customHeight="1" x14ac:dyDescent="0.25">
      <c r="A1107" s="2021" t="str">
        <f>IF(L1113=0,"",MAX($A$16:A1106)+1)</f>
        <v/>
      </c>
      <c r="B1107" s="2024" t="s">
        <v>1573</v>
      </c>
      <c r="C1107" s="129" t="s">
        <v>1213</v>
      </c>
      <c r="D1107" s="881" t="s">
        <v>10</v>
      </c>
      <c r="E1107" s="882">
        <v>45772</v>
      </c>
      <c r="F1107" s="71">
        <f t="shared" ref="F1107" si="696">$L$7-E1107</f>
        <v>514</v>
      </c>
      <c r="G1107" s="64">
        <v>0</v>
      </c>
      <c r="H1107" s="64"/>
      <c r="I1107" s="64"/>
      <c r="J1107" s="1413"/>
      <c r="K1107" s="1348">
        <f>IFERROR(SUMIF(INTAKE!$A:$A,$T1107,INTAKE!$P:$P),0)</f>
        <v>0</v>
      </c>
      <c r="L1107" s="1702">
        <f t="shared" si="682"/>
        <v>0</v>
      </c>
      <c r="M1107" s="376"/>
      <c r="N1107" s="167"/>
      <c r="O1107" s="50"/>
      <c r="P1107" s="747"/>
      <c r="Q1107" s="795"/>
      <c r="R1107" s="785">
        <f>IFERROR(VLOOKUP($Q1107,'391'!$S:$Z,8,0),"")</f>
        <v>0</v>
      </c>
      <c r="S1107" s="796"/>
      <c r="T1107" s="797" t="str">
        <f>$Q$1113&amp;C1107&amp;E1107</f>
        <v>Advance Amoxicillin (VN)E345772</v>
      </c>
      <c r="U1107" s="797"/>
      <c r="V1107" s="797"/>
      <c r="W1107" s="785">
        <f>IFERROR(VLOOKUP($Q1107,'391'!$S:$AG,15,0),0)</f>
        <v>0</v>
      </c>
      <c r="X1107" s="1090">
        <f t="shared" si="678"/>
        <v>0</v>
      </c>
      <c r="Y1107" s="785"/>
      <c r="Z1107" s="785"/>
      <c r="AA1107" s="797"/>
      <c r="AB1107" s="797"/>
      <c r="AC1107" s="681"/>
      <c r="AD1107" s="681"/>
      <c r="AE1107" s="681"/>
      <c r="AF1107" s="681"/>
      <c r="AG1107" s="681"/>
      <c r="AH1107" s="681"/>
      <c r="AI1107" s="703"/>
      <c r="AJ1107" s="703"/>
      <c r="AK1107" s="703"/>
      <c r="AL1107" s="703"/>
      <c r="AM1107" s="703"/>
      <c r="AN1107" s="703"/>
      <c r="AO1107" s="703"/>
      <c r="AP1107" s="703"/>
      <c r="AQ1107" s="703"/>
      <c r="AR1107" s="703"/>
      <c r="AS1107" s="703"/>
    </row>
    <row r="1108" spans="1:45" s="409" customFormat="1" ht="30" hidden="1" customHeight="1" x14ac:dyDescent="0.25">
      <c r="A1108" s="2022"/>
      <c r="B1108" s="2025"/>
      <c r="C1108" s="190"/>
      <c r="D1108" s="26" t="s">
        <v>10</v>
      </c>
      <c r="E1108" s="19">
        <v>44000</v>
      </c>
      <c r="F1108" s="17">
        <f t="shared" ref="F1108:F1112" si="697">$L$7-E1108</f>
        <v>2286</v>
      </c>
      <c r="G1108" s="64">
        <v>0</v>
      </c>
      <c r="H1108" s="64"/>
      <c r="I1108" s="64"/>
      <c r="J1108" s="1413"/>
      <c r="K1108" s="64"/>
      <c r="L1108" s="1533">
        <f t="shared" si="682"/>
        <v>0</v>
      </c>
      <c r="M1108" s="373"/>
      <c r="N1108" s="163"/>
      <c r="O1108" s="48"/>
      <c r="P1108" s="750"/>
      <c r="Q1108" s="795"/>
      <c r="R1108" s="785">
        <f>IFERROR(VLOOKUP($Q1108,'391'!$S:$Z,8,0),"")</f>
        <v>0</v>
      </c>
      <c r="S1108" s="796"/>
      <c r="T1108" s="797"/>
      <c r="U1108" s="797"/>
      <c r="V1108" s="797"/>
      <c r="W1108" s="785">
        <f>IFERROR(VLOOKUP($Q1108,'391'!$S:$AG,15,0),0)</f>
        <v>0</v>
      </c>
      <c r="X1108" s="1090">
        <f t="shared" si="678"/>
        <v>0</v>
      </c>
      <c r="Y1108" s="785"/>
      <c r="Z1108" s="785"/>
      <c r="AA1108" s="797"/>
      <c r="AB1108" s="797"/>
      <c r="AC1108" s="681"/>
      <c r="AD1108" s="681"/>
      <c r="AE1108" s="681"/>
      <c r="AF1108" s="681"/>
      <c r="AG1108" s="681"/>
      <c r="AH1108" s="681"/>
      <c r="AI1108" s="703"/>
      <c r="AJ1108" s="703"/>
      <c r="AK1108" s="703"/>
      <c r="AL1108" s="703"/>
      <c r="AM1108" s="703"/>
      <c r="AN1108" s="703"/>
      <c r="AO1108" s="703"/>
      <c r="AP1108" s="703"/>
      <c r="AQ1108" s="703"/>
      <c r="AR1108" s="703"/>
      <c r="AS1108" s="703"/>
    </row>
    <row r="1109" spans="1:45" s="409" customFormat="1" ht="30" hidden="1" customHeight="1" x14ac:dyDescent="0.25">
      <c r="A1109" s="2022"/>
      <c r="B1109" s="2025"/>
      <c r="C1109" s="190" t="s">
        <v>138</v>
      </c>
      <c r="D1109" s="26" t="s">
        <v>10</v>
      </c>
      <c r="E1109" s="19">
        <v>43978</v>
      </c>
      <c r="F1109" s="17">
        <f t="shared" si="697"/>
        <v>2308</v>
      </c>
      <c r="G1109" s="64">
        <v>0</v>
      </c>
      <c r="H1109" s="64"/>
      <c r="I1109" s="64"/>
      <c r="J1109" s="1413"/>
      <c r="K1109" s="64"/>
      <c r="L1109" s="1533">
        <f t="shared" si="682"/>
        <v>0</v>
      </c>
      <c r="M1109" s="373"/>
      <c r="N1109" s="163"/>
      <c r="O1109" s="48"/>
      <c r="P1109" s="750"/>
      <c r="Q1109" s="795"/>
      <c r="R1109" s="785">
        <f>IFERROR(VLOOKUP($Q1109,'391'!$S:$Z,8,0),"")</f>
        <v>0</v>
      </c>
      <c r="S1109" s="796"/>
      <c r="T1109" s="797"/>
      <c r="U1109" s="797"/>
      <c r="V1109" s="797"/>
      <c r="W1109" s="785">
        <f>IFERROR(VLOOKUP($Q1109,'391'!$S:$AG,15,0),0)</f>
        <v>0</v>
      </c>
      <c r="X1109" s="1090">
        <f t="shared" si="678"/>
        <v>0</v>
      </c>
      <c r="Y1109" s="785"/>
      <c r="Z1109" s="785"/>
      <c r="AA1109" s="797"/>
      <c r="AB1109" s="797"/>
      <c r="AC1109" s="681"/>
      <c r="AD1109" s="681"/>
      <c r="AE1109" s="681"/>
      <c r="AF1109" s="681"/>
      <c r="AG1109" s="681"/>
      <c r="AH1109" s="681"/>
      <c r="AI1109" s="703"/>
      <c r="AJ1109" s="703"/>
      <c r="AK1109" s="703"/>
      <c r="AL1109" s="703"/>
      <c r="AM1109" s="703"/>
      <c r="AN1109" s="703"/>
      <c r="AO1109" s="703"/>
      <c r="AP1109" s="703"/>
      <c r="AQ1109" s="703"/>
      <c r="AR1109" s="703"/>
      <c r="AS1109" s="703"/>
    </row>
    <row r="1110" spans="1:45" s="409" customFormat="1" ht="30" hidden="1" customHeight="1" x14ac:dyDescent="0.25">
      <c r="A1110" s="2022"/>
      <c r="B1110" s="2025"/>
      <c r="C1110" s="190" t="s">
        <v>273</v>
      </c>
      <c r="D1110" s="26" t="s">
        <v>10</v>
      </c>
      <c r="E1110" s="19">
        <v>44000</v>
      </c>
      <c r="F1110" s="17">
        <f t="shared" si="697"/>
        <v>2286</v>
      </c>
      <c r="G1110" s="64">
        <v>0</v>
      </c>
      <c r="H1110" s="64"/>
      <c r="I1110" s="64"/>
      <c r="J1110" s="1413"/>
      <c r="K1110" s="1414"/>
      <c r="L1110" s="1533">
        <f t="shared" si="682"/>
        <v>0</v>
      </c>
      <c r="M1110" s="370"/>
      <c r="N1110" s="162"/>
      <c r="O1110" s="45"/>
      <c r="P1110" s="756"/>
      <c r="Q1110" s="795"/>
      <c r="R1110" s="785">
        <f>IFERROR(VLOOKUP($Q1110,'391'!$S:$Z,8,0),"")</f>
        <v>0</v>
      </c>
      <c r="S1110" s="796"/>
      <c r="T1110" s="797"/>
      <c r="U1110" s="797"/>
      <c r="V1110" s="797"/>
      <c r="W1110" s="785">
        <f>IFERROR(VLOOKUP($Q1110,'391'!$S:$AG,15,0),0)</f>
        <v>0</v>
      </c>
      <c r="X1110" s="1090">
        <f t="shared" si="678"/>
        <v>0</v>
      </c>
      <c r="Y1110" s="785"/>
      <c r="Z1110" s="785"/>
      <c r="AA1110" s="797"/>
      <c r="AB1110" s="797"/>
      <c r="AC1110" s="681"/>
      <c r="AD1110" s="681"/>
      <c r="AE1110" s="681"/>
      <c r="AF1110" s="681"/>
      <c r="AG1110" s="681"/>
      <c r="AH1110" s="681"/>
      <c r="AI1110" s="703"/>
      <c r="AJ1110" s="703"/>
      <c r="AK1110" s="703"/>
      <c r="AL1110" s="703"/>
      <c r="AM1110" s="703"/>
      <c r="AN1110" s="703"/>
      <c r="AO1110" s="703"/>
      <c r="AP1110" s="703"/>
      <c r="AQ1110" s="703"/>
      <c r="AR1110" s="703"/>
      <c r="AS1110" s="703"/>
    </row>
    <row r="1111" spans="1:45" s="409" customFormat="1" ht="30" hidden="1" customHeight="1" x14ac:dyDescent="0.25">
      <c r="A1111" s="2022"/>
      <c r="B1111" s="2025"/>
      <c r="C1111" s="190" t="s">
        <v>138</v>
      </c>
      <c r="D1111" s="26" t="s">
        <v>10</v>
      </c>
      <c r="E1111" s="19">
        <v>43978</v>
      </c>
      <c r="F1111" s="17">
        <f t="shared" si="697"/>
        <v>2308</v>
      </c>
      <c r="G1111" s="64">
        <v>0</v>
      </c>
      <c r="H1111" s="64"/>
      <c r="I1111" s="64"/>
      <c r="J1111" s="1413"/>
      <c r="K1111" s="1414"/>
      <c r="L1111" s="1533">
        <f t="shared" si="682"/>
        <v>0</v>
      </c>
      <c r="M1111" s="370"/>
      <c r="N1111" s="162"/>
      <c r="O1111" s="45"/>
      <c r="P1111" s="756"/>
      <c r="Q1111" s="795"/>
      <c r="R1111" s="785">
        <f>IFERROR(VLOOKUP($Q1111,'391'!$S:$Z,8,0),"")</f>
        <v>0</v>
      </c>
      <c r="S1111" s="796"/>
      <c r="T1111" s="797"/>
      <c r="U1111" s="797"/>
      <c r="V1111" s="797"/>
      <c r="W1111" s="785">
        <f>IFERROR(VLOOKUP($Q1111,'391'!$S:$AG,15,0),0)</f>
        <v>0</v>
      </c>
      <c r="X1111" s="1090">
        <f t="shared" si="678"/>
        <v>0</v>
      </c>
      <c r="Y1111" s="785"/>
      <c r="Z1111" s="785"/>
      <c r="AA1111" s="797"/>
      <c r="AB1111" s="797"/>
      <c r="AC1111" s="681"/>
      <c r="AD1111" s="681"/>
      <c r="AE1111" s="681"/>
      <c r="AF1111" s="681"/>
      <c r="AG1111" s="681"/>
      <c r="AH1111" s="681"/>
      <c r="AI1111" s="703"/>
      <c r="AJ1111" s="703"/>
      <c r="AK1111" s="703"/>
      <c r="AL1111" s="703"/>
      <c r="AM1111" s="703"/>
      <c r="AN1111" s="703"/>
      <c r="AO1111" s="703"/>
      <c r="AP1111" s="703"/>
      <c r="AQ1111" s="703"/>
      <c r="AR1111" s="703"/>
      <c r="AS1111" s="703"/>
    </row>
    <row r="1112" spans="1:45" s="401" customFormat="1" ht="30" hidden="1" customHeight="1" x14ac:dyDescent="0.25">
      <c r="A1112" s="2023"/>
      <c r="B1112" s="2026"/>
      <c r="C1112" s="138" t="s">
        <v>46</v>
      </c>
      <c r="D1112" s="198" t="s">
        <v>10</v>
      </c>
      <c r="E1112" s="853">
        <v>45772</v>
      </c>
      <c r="F1112" s="73">
        <f t="shared" si="697"/>
        <v>514</v>
      </c>
      <c r="G1112" s="37">
        <v>0</v>
      </c>
      <c r="H1112" s="1415"/>
      <c r="I1112" s="37">
        <f>+SUM(K1107:K1111)</f>
        <v>0</v>
      </c>
      <c r="J1112" s="37"/>
      <c r="K1112" s="37"/>
      <c r="L1112" s="1533">
        <f t="shared" si="682"/>
        <v>0</v>
      </c>
      <c r="M1112" s="35"/>
      <c r="N1112" s="87"/>
      <c r="O1112" s="35"/>
      <c r="P1112" s="751"/>
      <c r="Q1112" s="795"/>
      <c r="R1112" s="785">
        <f>IFERROR(VLOOKUP($Q1112,'391'!$S:$Z,8,0),"")</f>
        <v>0</v>
      </c>
      <c r="S1112" s="796"/>
      <c r="T1112" s="797"/>
      <c r="U1112" s="797"/>
      <c r="V1112" s="797"/>
      <c r="W1112" s="785">
        <f>IFERROR(VLOOKUP($Q1112,'391'!$S:$AG,15,0),0)</f>
        <v>0</v>
      </c>
      <c r="X1112" s="1090">
        <f t="shared" si="678"/>
        <v>0</v>
      </c>
      <c r="Y1112" s="785"/>
      <c r="Z1112" s="785"/>
      <c r="AA1112" s="797"/>
      <c r="AB1112" s="797"/>
      <c r="AC1112" s="681"/>
      <c r="AD1112" s="681"/>
      <c r="AE1112" s="681"/>
      <c r="AF1112" s="681"/>
      <c r="AG1112" s="681"/>
      <c r="AH1112" s="681"/>
      <c r="AI1112" s="703"/>
      <c r="AJ1112" s="703"/>
      <c r="AK1112" s="703"/>
      <c r="AL1112" s="703"/>
      <c r="AM1112" s="703"/>
      <c r="AN1112" s="703"/>
      <c r="AO1112" s="703"/>
      <c r="AP1112" s="703"/>
      <c r="AQ1112" s="703"/>
      <c r="AR1112" s="703"/>
      <c r="AS1112" s="703"/>
    </row>
    <row r="1113" spans="1:45" s="265" customFormat="1" ht="30" hidden="1" customHeight="1" x14ac:dyDescent="0.25">
      <c r="A1113" s="2019" t="s">
        <v>1580</v>
      </c>
      <c r="B1113" s="2020"/>
      <c r="C1113" s="2020"/>
      <c r="D1113" s="91"/>
      <c r="E1113" s="91"/>
      <c r="F1113" s="221"/>
      <c r="G1113" s="1416">
        <v>0</v>
      </c>
      <c r="H1113" s="1344">
        <f>SUM(H1107:H1112)</f>
        <v>0</v>
      </c>
      <c r="I1113" s="1297">
        <f>SUM(I1107:I1112)</f>
        <v>0</v>
      </c>
      <c r="J1113" s="1386">
        <f>SUM(J1107:J1112)</f>
        <v>0</v>
      </c>
      <c r="K1113" s="1297">
        <f>+SUM(K1107:K1112)</f>
        <v>0</v>
      </c>
      <c r="L1113" s="1297">
        <f>+SUM(L1107:L1112)</f>
        <v>0</v>
      </c>
      <c r="M1113" s="59" t="str">
        <f>IFERROR(R1113/$S$2,"")</f>
        <v/>
      </c>
      <c r="N1113" s="99">
        <f>IFERROR(L1113/M1113,0)</f>
        <v>0</v>
      </c>
      <c r="O1113" s="371">
        <f>IFERROR(SUMIF(ETM!$A:$A,$Q1113,ETM!$E:$E),"")</f>
        <v>0</v>
      </c>
      <c r="P1113" s="741">
        <f>IFERROR(L1113/O1113,0)</f>
        <v>0</v>
      </c>
      <c r="Q1113" s="814" t="s">
        <v>1577</v>
      </c>
      <c r="R1113" s="785" t="str">
        <f>IFERROR(VLOOKUP($Q1113,'391'!$S:$Z,8,0),"")</f>
        <v/>
      </c>
      <c r="S1113" s="796"/>
      <c r="T1113" s="797"/>
      <c r="U1113" s="797"/>
      <c r="V1113" s="797"/>
      <c r="W1113" s="785">
        <f>IFERROR(VLOOKUP($Q1113,'391'!$S:$AG,15,0),0)</f>
        <v>0</v>
      </c>
      <c r="X1113" s="1090">
        <f t="shared" si="678"/>
        <v>0</v>
      </c>
      <c r="Y1113" s="785"/>
      <c r="Z1113" s="785"/>
      <c r="AA1113" s="797"/>
      <c r="AB1113" s="797"/>
      <c r="AC1113" s="551"/>
      <c r="AD1113" s="551"/>
      <c r="AE1113" s="551"/>
      <c r="AF1113" s="551"/>
      <c r="AG1113" s="551"/>
      <c r="AH1113" s="551"/>
      <c r="AI1113" s="704"/>
      <c r="AJ1113" s="704"/>
      <c r="AK1113" s="704"/>
      <c r="AL1113" s="704"/>
      <c r="AM1113" s="704"/>
      <c r="AN1113" s="704"/>
      <c r="AO1113" s="704"/>
      <c r="AP1113" s="704"/>
      <c r="AQ1113" s="704"/>
      <c r="AR1113" s="704"/>
      <c r="AS1113" s="704"/>
    </row>
    <row r="1114" spans="1:45" s="409" customFormat="1" ht="30" hidden="1" customHeight="1" x14ac:dyDescent="0.25">
      <c r="A1114" s="2021" t="str">
        <f>IF(L1120=0,"",MAX($A$16:A1113)+1)</f>
        <v/>
      </c>
      <c r="B1114" s="2024" t="s">
        <v>1352</v>
      </c>
      <c r="C1114" s="190" t="s">
        <v>1313</v>
      </c>
      <c r="D1114" s="26" t="s">
        <v>10</v>
      </c>
      <c r="E1114" s="882">
        <v>45855</v>
      </c>
      <c r="F1114" s="71">
        <f t="shared" ref="F1114:F1119" si="698">$L$7-E1114</f>
        <v>431</v>
      </c>
      <c r="G1114" s="64">
        <v>0</v>
      </c>
      <c r="H1114" s="64"/>
      <c r="I1114" s="64"/>
      <c r="J1114" s="1413"/>
      <c r="K1114" s="1348">
        <f>IFERROR(SUMIF(INTAKE!$A:$A,$T1114,INTAKE!$P:$P),0)</f>
        <v>0</v>
      </c>
      <c r="L1114" s="1702">
        <f t="shared" si="682"/>
        <v>0</v>
      </c>
      <c r="M1114" s="376"/>
      <c r="N1114" s="167"/>
      <c r="O1114" s="50"/>
      <c r="P1114" s="747"/>
      <c r="Q1114" s="795"/>
      <c r="R1114" s="785">
        <f>IFERROR(VLOOKUP($Q1114,'391'!$S:$Z,8,0),"")</f>
        <v>0</v>
      </c>
      <c r="S1114" s="796"/>
      <c r="T1114" s="797" t="str">
        <f t="shared" ref="T1114:T1119" si="699">$Q$1120&amp;C1114&amp;E1114</f>
        <v>Vetrimoxin 50 Matrix (Italy)E245855</v>
      </c>
      <c r="U1114" s="797"/>
      <c r="V1114" s="797"/>
      <c r="W1114" s="785">
        <f>IFERROR(VLOOKUP($Q1114,'391'!$S:$AG,15,0),0)</f>
        <v>0</v>
      </c>
      <c r="X1114" s="1090">
        <f t="shared" si="678"/>
        <v>0</v>
      </c>
      <c r="Y1114" s="785"/>
      <c r="Z1114" s="785"/>
      <c r="AA1114" s="797"/>
      <c r="AB1114" s="797"/>
      <c r="AC1114" s="681"/>
      <c r="AD1114" s="681"/>
      <c r="AE1114" s="681"/>
      <c r="AF1114" s="681"/>
      <c r="AG1114" s="681"/>
      <c r="AH1114" s="681"/>
      <c r="AI1114" s="703"/>
      <c r="AJ1114" s="703"/>
      <c r="AK1114" s="703"/>
      <c r="AL1114" s="703"/>
      <c r="AM1114" s="703"/>
      <c r="AN1114" s="703"/>
      <c r="AO1114" s="703"/>
      <c r="AP1114" s="703"/>
      <c r="AQ1114" s="703"/>
      <c r="AR1114" s="703"/>
      <c r="AS1114" s="703"/>
    </row>
    <row r="1115" spans="1:45" s="409" customFormat="1" ht="30" hidden="1" customHeight="1" x14ac:dyDescent="0.25">
      <c r="A1115" s="2022"/>
      <c r="B1115" s="2025"/>
      <c r="C1115" s="190"/>
      <c r="D1115" s="26" t="s">
        <v>10</v>
      </c>
      <c r="E1115" s="882">
        <v>44000</v>
      </c>
      <c r="F1115" s="71">
        <f t="shared" si="698"/>
        <v>2286</v>
      </c>
      <c r="G1115" s="64">
        <v>0</v>
      </c>
      <c r="H1115" s="64"/>
      <c r="I1115" s="64"/>
      <c r="J1115" s="1413"/>
      <c r="K1115" s="64"/>
      <c r="L1115" s="1533">
        <f t="shared" si="682"/>
        <v>0</v>
      </c>
      <c r="M1115" s="373"/>
      <c r="N1115" s="163"/>
      <c r="O1115" s="48"/>
      <c r="P1115" s="750"/>
      <c r="Q1115" s="795"/>
      <c r="R1115" s="785">
        <f>IFERROR(VLOOKUP($Q1115,'391'!$S:$Z,8,0),"")</f>
        <v>0</v>
      </c>
      <c r="S1115" s="796"/>
      <c r="T1115" s="797" t="str">
        <f t="shared" si="699"/>
        <v>Vetrimoxin 50 Matrix (Italy)44000</v>
      </c>
      <c r="U1115" s="797"/>
      <c r="V1115" s="797"/>
      <c r="W1115" s="785">
        <f>IFERROR(VLOOKUP($Q1115,'391'!$S:$AG,15,0),0)</f>
        <v>0</v>
      </c>
      <c r="X1115" s="1090">
        <f t="shared" si="678"/>
        <v>0</v>
      </c>
      <c r="Y1115" s="785"/>
      <c r="Z1115" s="785"/>
      <c r="AA1115" s="797"/>
      <c r="AB1115" s="797"/>
      <c r="AC1115" s="681"/>
      <c r="AD1115" s="681"/>
      <c r="AE1115" s="681"/>
      <c r="AF1115" s="681"/>
      <c r="AG1115" s="681"/>
      <c r="AH1115" s="681"/>
      <c r="AI1115" s="703"/>
      <c r="AJ1115" s="703"/>
      <c r="AK1115" s="703"/>
      <c r="AL1115" s="703"/>
      <c r="AM1115" s="703"/>
      <c r="AN1115" s="703"/>
      <c r="AO1115" s="703"/>
      <c r="AP1115" s="703"/>
      <c r="AQ1115" s="703"/>
      <c r="AR1115" s="703"/>
      <c r="AS1115" s="703"/>
    </row>
    <row r="1116" spans="1:45" s="409" customFormat="1" ht="30" hidden="1" customHeight="1" x14ac:dyDescent="0.25">
      <c r="A1116" s="2022"/>
      <c r="B1116" s="2025"/>
      <c r="C1116" s="190"/>
      <c r="D1116" s="26" t="s">
        <v>10</v>
      </c>
      <c r="E1116" s="882">
        <v>43978</v>
      </c>
      <c r="F1116" s="71">
        <f t="shared" si="698"/>
        <v>2308</v>
      </c>
      <c r="G1116" s="64">
        <v>0</v>
      </c>
      <c r="H1116" s="64"/>
      <c r="I1116" s="64"/>
      <c r="J1116" s="1413"/>
      <c r="K1116" s="64"/>
      <c r="L1116" s="1533">
        <f t="shared" si="682"/>
        <v>0</v>
      </c>
      <c r="M1116" s="373"/>
      <c r="N1116" s="163"/>
      <c r="O1116" s="48"/>
      <c r="P1116" s="750"/>
      <c r="Q1116" s="795"/>
      <c r="R1116" s="785">
        <f>IFERROR(VLOOKUP($Q1116,'391'!$S:$Z,8,0),"")</f>
        <v>0</v>
      </c>
      <c r="S1116" s="796"/>
      <c r="T1116" s="797" t="str">
        <f t="shared" si="699"/>
        <v>Vetrimoxin 50 Matrix (Italy)43978</v>
      </c>
      <c r="U1116" s="797"/>
      <c r="V1116" s="797"/>
      <c r="W1116" s="785">
        <f>IFERROR(VLOOKUP($Q1116,'391'!$S:$AG,15,0),0)</f>
        <v>0</v>
      </c>
      <c r="X1116" s="1090">
        <f t="shared" si="678"/>
        <v>0</v>
      </c>
      <c r="Y1116" s="785"/>
      <c r="Z1116" s="785"/>
      <c r="AA1116" s="797"/>
      <c r="AB1116" s="797"/>
      <c r="AC1116" s="681"/>
      <c r="AD1116" s="681"/>
      <c r="AE1116" s="681"/>
      <c r="AF1116" s="681"/>
      <c r="AG1116" s="681"/>
      <c r="AH1116" s="681"/>
      <c r="AI1116" s="703"/>
      <c r="AJ1116" s="703"/>
      <c r="AK1116" s="703"/>
      <c r="AL1116" s="703"/>
      <c r="AM1116" s="703"/>
      <c r="AN1116" s="703"/>
      <c r="AO1116" s="703"/>
      <c r="AP1116" s="703"/>
      <c r="AQ1116" s="703"/>
      <c r="AR1116" s="703"/>
      <c r="AS1116" s="703"/>
    </row>
    <row r="1117" spans="1:45" s="409" customFormat="1" ht="30" hidden="1" customHeight="1" x14ac:dyDescent="0.25">
      <c r="A1117" s="2022"/>
      <c r="B1117" s="2025"/>
      <c r="C1117" s="190"/>
      <c r="D1117" s="26" t="s">
        <v>10</v>
      </c>
      <c r="E1117" s="882">
        <v>44000</v>
      </c>
      <c r="F1117" s="71">
        <f t="shared" si="698"/>
        <v>2286</v>
      </c>
      <c r="G1117" s="64">
        <v>0</v>
      </c>
      <c r="H1117" s="64"/>
      <c r="I1117" s="64"/>
      <c r="J1117" s="1413"/>
      <c r="K1117" s="1414"/>
      <c r="L1117" s="1533">
        <f t="shared" si="682"/>
        <v>0</v>
      </c>
      <c r="M1117" s="370"/>
      <c r="N1117" s="162"/>
      <c r="O1117" s="45"/>
      <c r="P1117" s="756"/>
      <c r="Q1117" s="795"/>
      <c r="R1117" s="785">
        <f>IFERROR(VLOOKUP($Q1117,'391'!$S:$Z,8,0),"")</f>
        <v>0</v>
      </c>
      <c r="S1117" s="796"/>
      <c r="T1117" s="797" t="str">
        <f t="shared" si="699"/>
        <v>Vetrimoxin 50 Matrix (Italy)44000</v>
      </c>
      <c r="U1117" s="797"/>
      <c r="V1117" s="797"/>
      <c r="W1117" s="785">
        <f>IFERROR(VLOOKUP($Q1117,'391'!$S:$AG,15,0),0)</f>
        <v>0</v>
      </c>
      <c r="X1117" s="1090">
        <f t="shared" si="678"/>
        <v>0</v>
      </c>
      <c r="Y1117" s="785"/>
      <c r="Z1117" s="785"/>
      <c r="AA1117" s="797"/>
      <c r="AB1117" s="797"/>
      <c r="AC1117" s="681"/>
      <c r="AD1117" s="681"/>
      <c r="AE1117" s="681"/>
      <c r="AF1117" s="681"/>
      <c r="AG1117" s="681"/>
      <c r="AH1117" s="681"/>
      <c r="AI1117" s="703"/>
      <c r="AJ1117" s="703"/>
      <c r="AK1117" s="703"/>
      <c r="AL1117" s="703"/>
      <c r="AM1117" s="703"/>
      <c r="AN1117" s="703"/>
      <c r="AO1117" s="703"/>
      <c r="AP1117" s="703"/>
      <c r="AQ1117" s="703"/>
      <c r="AR1117" s="703"/>
      <c r="AS1117" s="703"/>
    </row>
    <row r="1118" spans="1:45" s="409" customFormat="1" ht="30" hidden="1" customHeight="1" x14ac:dyDescent="0.25">
      <c r="A1118" s="2022"/>
      <c r="B1118" s="2025"/>
      <c r="C1118" s="190"/>
      <c r="D1118" s="26" t="s">
        <v>10</v>
      </c>
      <c r="E1118" s="882">
        <v>43978</v>
      </c>
      <c r="F1118" s="71">
        <f t="shared" si="698"/>
        <v>2308</v>
      </c>
      <c r="G1118" s="64">
        <v>0</v>
      </c>
      <c r="H1118" s="64"/>
      <c r="I1118" s="64"/>
      <c r="J1118" s="1413"/>
      <c r="K1118" s="1414"/>
      <c r="L1118" s="1533">
        <f t="shared" si="682"/>
        <v>0</v>
      </c>
      <c r="M1118" s="370"/>
      <c r="N1118" s="162"/>
      <c r="O1118" s="45"/>
      <c r="P1118" s="756"/>
      <c r="Q1118" s="795"/>
      <c r="R1118" s="785">
        <f>IFERROR(VLOOKUP($Q1118,'391'!$S:$Z,8,0),"")</f>
        <v>0</v>
      </c>
      <c r="S1118" s="796"/>
      <c r="T1118" s="797" t="str">
        <f t="shared" si="699"/>
        <v>Vetrimoxin 50 Matrix (Italy)43978</v>
      </c>
      <c r="U1118" s="797"/>
      <c r="V1118" s="797"/>
      <c r="W1118" s="785">
        <f>IFERROR(VLOOKUP($Q1118,'391'!$S:$AG,15,0),0)</f>
        <v>0</v>
      </c>
      <c r="X1118" s="1090">
        <f t="shared" si="678"/>
        <v>0</v>
      </c>
      <c r="Y1118" s="785"/>
      <c r="Z1118" s="785"/>
      <c r="AA1118" s="797"/>
      <c r="AB1118" s="797"/>
      <c r="AC1118" s="681"/>
      <c r="AD1118" s="681"/>
      <c r="AE1118" s="681"/>
      <c r="AF1118" s="681"/>
      <c r="AG1118" s="681"/>
      <c r="AH1118" s="681"/>
      <c r="AI1118" s="703"/>
      <c r="AJ1118" s="703"/>
      <c r="AK1118" s="703"/>
      <c r="AL1118" s="703"/>
      <c r="AM1118" s="703"/>
      <c r="AN1118" s="703"/>
      <c r="AO1118" s="703"/>
      <c r="AP1118" s="703"/>
      <c r="AQ1118" s="703"/>
      <c r="AR1118" s="703"/>
      <c r="AS1118" s="703"/>
    </row>
    <row r="1119" spans="1:45" s="401" customFormat="1" ht="30" hidden="1" customHeight="1" x14ac:dyDescent="0.25">
      <c r="A1119" s="2023"/>
      <c r="B1119" s="2026"/>
      <c r="C1119" s="138" t="s">
        <v>46</v>
      </c>
      <c r="D1119" s="198" t="s">
        <v>10</v>
      </c>
      <c r="E1119" s="853">
        <v>45855</v>
      </c>
      <c r="F1119" s="73">
        <f t="shared" si="698"/>
        <v>431</v>
      </c>
      <c r="G1119" s="37">
        <v>0</v>
      </c>
      <c r="H1119" s="1415"/>
      <c r="I1119" s="37">
        <f>+SUM(K1114:K1118)</f>
        <v>0</v>
      </c>
      <c r="J1119" s="37">
        <f>usage!I187</f>
        <v>0</v>
      </c>
      <c r="K1119" s="37"/>
      <c r="L1119" s="1533">
        <f t="shared" si="682"/>
        <v>0</v>
      </c>
      <c r="M1119" s="35"/>
      <c r="N1119" s="87"/>
      <c r="O1119" s="35"/>
      <c r="P1119" s="751"/>
      <c r="Q1119" s="795"/>
      <c r="R1119" s="785">
        <f>IFERROR(VLOOKUP($Q1119,'391'!$S:$Z,8,0),"")</f>
        <v>0</v>
      </c>
      <c r="S1119" s="796"/>
      <c r="T1119" s="797" t="str">
        <f t="shared" si="699"/>
        <v>Vetrimoxin 50 Matrix (Italy)Feedmill45855</v>
      </c>
      <c r="U1119" s="797"/>
      <c r="V1119" s="797"/>
      <c r="W1119" s="785">
        <f>IFERROR(VLOOKUP($Q1119,'391'!$S:$AG,15,0),0)</f>
        <v>0</v>
      </c>
      <c r="X1119" s="1090">
        <f t="shared" si="678"/>
        <v>0</v>
      </c>
      <c r="Y1119" s="785"/>
      <c r="Z1119" s="785"/>
      <c r="AA1119" s="797"/>
      <c r="AB1119" s="797"/>
      <c r="AC1119" s="681"/>
      <c r="AD1119" s="681"/>
      <c r="AE1119" s="681"/>
      <c r="AF1119" s="681"/>
      <c r="AG1119" s="681"/>
      <c r="AH1119" s="681"/>
      <c r="AI1119" s="703"/>
      <c r="AJ1119" s="703"/>
      <c r="AK1119" s="703"/>
      <c r="AL1119" s="703"/>
      <c r="AM1119" s="703"/>
      <c r="AN1119" s="703"/>
      <c r="AO1119" s="703"/>
      <c r="AP1119" s="703"/>
      <c r="AQ1119" s="703"/>
      <c r="AR1119" s="703"/>
      <c r="AS1119" s="703"/>
    </row>
    <row r="1120" spans="1:45" s="265" customFormat="1" ht="30" hidden="1" customHeight="1" x14ac:dyDescent="0.25">
      <c r="A1120" s="2019" t="s">
        <v>1353</v>
      </c>
      <c r="B1120" s="2020"/>
      <c r="C1120" s="2020"/>
      <c r="D1120" s="91"/>
      <c r="E1120" s="91"/>
      <c r="F1120" s="221"/>
      <c r="G1120" s="1416">
        <v>0</v>
      </c>
      <c r="H1120" s="1344">
        <f>SUM(H1114:H1119)</f>
        <v>0</v>
      </c>
      <c r="I1120" s="1297">
        <f>SUM(I1114:I1119)</f>
        <v>0</v>
      </c>
      <c r="J1120" s="1386">
        <f>SUM(J1114:J1119)</f>
        <v>0</v>
      </c>
      <c r="K1120" s="1297">
        <f>+SUM(K1114:K1119)</f>
        <v>0</v>
      </c>
      <c r="L1120" s="1297">
        <f>+SUM(L1114:L1119)</f>
        <v>0</v>
      </c>
      <c r="M1120" s="59" t="str">
        <f>IFERROR(R1120/$S$2,"")</f>
        <v/>
      </c>
      <c r="N1120" s="99">
        <f>IFERROR(L1120/M1120,0)</f>
        <v>0</v>
      </c>
      <c r="O1120" s="371">
        <f>O1113</f>
        <v>0</v>
      </c>
      <c r="P1120" s="741">
        <f>IFERROR(L1120/O1120,0)</f>
        <v>0</v>
      </c>
      <c r="Q1120" s="814" t="s">
        <v>1352</v>
      </c>
      <c r="R1120" s="785" t="str">
        <f>IFERROR(VLOOKUP($Q1120,'391'!$S:$Z,8,0),"")</f>
        <v/>
      </c>
      <c r="S1120" s="796"/>
      <c r="T1120" s="797"/>
      <c r="U1120" s="797"/>
      <c r="V1120" s="797"/>
      <c r="W1120" s="785">
        <f>IFERROR(VLOOKUP($Q1120,'391'!$S:$AG,15,0),0)</f>
        <v>0</v>
      </c>
      <c r="X1120" s="1090">
        <f t="shared" si="678"/>
        <v>0</v>
      </c>
      <c r="Y1120" s="785"/>
      <c r="Z1120" s="785"/>
      <c r="AA1120" s="797"/>
      <c r="AB1120" s="797"/>
      <c r="AC1120" s="551"/>
      <c r="AD1120" s="551"/>
      <c r="AE1120" s="551"/>
      <c r="AF1120" s="551"/>
      <c r="AG1120" s="551"/>
      <c r="AH1120" s="551"/>
      <c r="AI1120" s="704"/>
      <c r="AJ1120" s="704"/>
      <c r="AK1120" s="704"/>
      <c r="AL1120" s="704"/>
      <c r="AM1120" s="704"/>
      <c r="AN1120" s="704"/>
      <c r="AO1120" s="704"/>
      <c r="AP1120" s="704"/>
      <c r="AQ1120" s="704"/>
      <c r="AR1120" s="704"/>
      <c r="AS1120" s="704"/>
    </row>
    <row r="1121" spans="1:45" s="409" customFormat="1" ht="30" hidden="1" customHeight="1" x14ac:dyDescent="0.25">
      <c r="A1121" s="2021">
        <f>IF(L1128=0,"",MAX($A$16:A1120)+1)</f>
        <v>74</v>
      </c>
      <c r="B1121" s="2024" t="s">
        <v>1904</v>
      </c>
      <c r="C1121" s="129"/>
      <c r="D1121" s="881" t="s">
        <v>10</v>
      </c>
      <c r="E1121" s="882">
        <v>45829</v>
      </c>
      <c r="F1121" s="71">
        <f t="shared" ref="F1121:F1127" si="700">$L$7-E1121</f>
        <v>457</v>
      </c>
      <c r="G1121" s="64">
        <v>0</v>
      </c>
      <c r="H1121" s="64"/>
      <c r="I1121" s="64"/>
      <c r="J1121" s="1412"/>
      <c r="K1121" s="1348">
        <f>IFERROR(SUMIF(INTAKE!$A:$A,$T1121,INTAKE!$P:$P),0)</f>
        <v>0</v>
      </c>
      <c r="L1121" s="1702">
        <f t="shared" ref="L1121:L1127" si="701">+G1121+H1121+I1121-J1121-K1121</f>
        <v>0</v>
      </c>
      <c r="M1121" s="50"/>
      <c r="N1121" s="167"/>
      <c r="O1121" s="1825"/>
      <c r="P1121" s="1826"/>
      <c r="Q1121" s="795"/>
      <c r="R1121" s="785">
        <f>IFERROR(VLOOKUP($Q1121,'391'!$S:$Z,8,0),"")</f>
        <v>0</v>
      </c>
      <c r="S1121" s="796"/>
      <c r="T1121" s="797" t="str">
        <f t="shared" ref="T1121:T1127" si="702">$Q$1128&amp;C1121&amp;E1121</f>
        <v>Amoxicillin 80%45829</v>
      </c>
      <c r="U1121" s="797"/>
      <c r="V1121" s="797"/>
      <c r="W1121" s="785">
        <f>IFERROR(VLOOKUP($Q1121,'391'!$S:$AG,15,0),0)</f>
        <v>0</v>
      </c>
      <c r="X1121" s="1090">
        <f t="shared" si="678"/>
        <v>0</v>
      </c>
      <c r="Y1121" s="785"/>
      <c r="Z1121" s="785"/>
      <c r="AA1121" s="797"/>
      <c r="AB1121" s="797"/>
      <c r="AC1121" s="681"/>
      <c r="AD1121" s="681"/>
      <c r="AE1121" s="681"/>
      <c r="AF1121" s="681"/>
      <c r="AG1121" s="681"/>
      <c r="AH1121" s="681"/>
      <c r="AI1121" s="703"/>
      <c r="AJ1121" s="703"/>
      <c r="AK1121" s="703"/>
      <c r="AL1121" s="703"/>
      <c r="AM1121" s="703"/>
      <c r="AN1121" s="703"/>
      <c r="AO1121" s="703"/>
      <c r="AP1121" s="703"/>
      <c r="AQ1121" s="703"/>
      <c r="AR1121" s="703"/>
      <c r="AS1121" s="703"/>
    </row>
    <row r="1122" spans="1:45" s="409" customFormat="1" ht="30" hidden="1" customHeight="1" x14ac:dyDescent="0.25">
      <c r="A1122" s="2022"/>
      <c r="B1122" s="2025"/>
      <c r="C1122" s="129"/>
      <c r="D1122" s="881" t="s">
        <v>10</v>
      </c>
      <c r="E1122" s="1776">
        <v>46171</v>
      </c>
      <c r="F1122" s="71">
        <f t="shared" si="700"/>
        <v>115</v>
      </c>
      <c r="G1122" s="1381">
        <v>0</v>
      </c>
      <c r="H1122" s="1381"/>
      <c r="I1122" s="1381"/>
      <c r="J1122" s="1899"/>
      <c r="K1122" s="1348">
        <f>IFERROR(SUMIF(INTAKE!$A:$A,$T1122,INTAKE!$P:$P),0)</f>
        <v>0</v>
      </c>
      <c r="L1122" s="1702">
        <f t="shared" si="701"/>
        <v>0</v>
      </c>
      <c r="M1122" s="46"/>
      <c r="N1122" s="176"/>
      <c r="O1122" s="48"/>
      <c r="P1122" s="1827"/>
      <c r="Q1122" s="795"/>
      <c r="R1122" s="785">
        <f>IFERROR(VLOOKUP($Q1122,'391'!$S:$Z,8,0),"")</f>
        <v>0</v>
      </c>
      <c r="S1122" s="796"/>
      <c r="T1122" s="797" t="str">
        <f t="shared" si="702"/>
        <v>Amoxicillin 80%46171</v>
      </c>
      <c r="U1122" s="797"/>
      <c r="V1122" s="797"/>
      <c r="W1122" s="785">
        <f>IFERROR(VLOOKUP($Q1122,'391'!$S:$AG,15,0),0)</f>
        <v>0</v>
      </c>
      <c r="X1122" s="1090">
        <f t="shared" si="678"/>
        <v>0</v>
      </c>
      <c r="Y1122" s="785"/>
      <c r="Z1122" s="785"/>
      <c r="AA1122" s="797"/>
      <c r="AB1122" s="797"/>
      <c r="AC1122" s="681"/>
      <c r="AD1122" s="681"/>
      <c r="AE1122" s="681"/>
      <c r="AF1122" s="681"/>
      <c r="AG1122" s="681"/>
      <c r="AH1122" s="681"/>
      <c r="AI1122" s="703"/>
      <c r="AJ1122" s="703"/>
      <c r="AK1122" s="703"/>
      <c r="AL1122" s="703"/>
      <c r="AM1122" s="703"/>
      <c r="AN1122" s="703"/>
      <c r="AO1122" s="703"/>
      <c r="AP1122" s="703"/>
      <c r="AQ1122" s="703"/>
      <c r="AR1122" s="703"/>
      <c r="AS1122" s="703"/>
    </row>
    <row r="1123" spans="1:45" s="409" customFormat="1" ht="30" hidden="1" customHeight="1" x14ac:dyDescent="0.25">
      <c r="A1123" s="2022"/>
      <c r="B1123" s="2025"/>
      <c r="C1123" s="129"/>
      <c r="D1123" s="881" t="s">
        <v>10</v>
      </c>
      <c r="E1123" s="1776">
        <v>46199</v>
      </c>
      <c r="F1123" s="71">
        <f t="shared" ref="F1123" si="703">$L$7-E1123</f>
        <v>87</v>
      </c>
      <c r="G1123" s="1381">
        <v>0</v>
      </c>
      <c r="H1123" s="1381"/>
      <c r="I1123" s="1381"/>
      <c r="J1123" s="1899"/>
      <c r="K1123" s="1348">
        <f>IFERROR(SUMIF(INTAKE!$A:$A,$T1123,INTAKE!$P:$P),0)</f>
        <v>0</v>
      </c>
      <c r="L1123" s="1702">
        <f t="shared" si="701"/>
        <v>0</v>
      </c>
      <c r="M1123" s="46"/>
      <c r="N1123" s="176"/>
      <c r="O1123" s="48"/>
      <c r="P1123" s="1827"/>
      <c r="Q1123" s="795"/>
      <c r="R1123" s="785">
        <f>IFERROR(VLOOKUP($Q1123,'391'!$S:$Z,8,0),"")</f>
        <v>0</v>
      </c>
      <c r="S1123" s="796"/>
      <c r="T1123" s="797" t="str">
        <f t="shared" si="702"/>
        <v>Amoxicillin 80%46199</v>
      </c>
      <c r="U1123" s="797"/>
      <c r="V1123" s="797"/>
      <c r="W1123" s="785">
        <f>IFERROR(VLOOKUP($Q1123,'391'!$S:$AG,15,0),0)</f>
        <v>0</v>
      </c>
      <c r="X1123" s="1090">
        <f t="shared" si="678"/>
        <v>0</v>
      </c>
      <c r="Y1123" s="785"/>
      <c r="Z1123" s="785"/>
      <c r="AA1123" s="797"/>
      <c r="AB1123" s="797"/>
      <c r="AC1123" s="681"/>
      <c r="AD1123" s="681"/>
      <c r="AE1123" s="681"/>
      <c r="AF1123" s="681"/>
      <c r="AG1123" s="681"/>
      <c r="AH1123" s="681"/>
      <c r="AI1123" s="703"/>
      <c r="AJ1123" s="703"/>
      <c r="AK1123" s="703"/>
      <c r="AL1123" s="703"/>
      <c r="AM1123" s="703"/>
      <c r="AN1123" s="703"/>
      <c r="AO1123" s="703"/>
      <c r="AP1123" s="703"/>
      <c r="AQ1123" s="703"/>
      <c r="AR1123" s="703"/>
      <c r="AS1123" s="703"/>
    </row>
    <row r="1124" spans="1:45" s="409" customFormat="1" ht="30" customHeight="1" x14ac:dyDescent="0.25">
      <c r="A1124" s="2022"/>
      <c r="B1124" s="2025"/>
      <c r="C1124" s="129" t="s">
        <v>1249</v>
      </c>
      <c r="D1124" s="881" t="s">
        <v>10</v>
      </c>
      <c r="E1124" s="1776">
        <v>46247</v>
      </c>
      <c r="F1124" s="71">
        <f t="shared" si="700"/>
        <v>39</v>
      </c>
      <c r="G1124" s="1381">
        <v>0</v>
      </c>
      <c r="H1124" s="1381"/>
      <c r="I1124" s="1381"/>
      <c r="J1124" s="1899"/>
      <c r="K1124" s="1348">
        <f>IFERROR(SUMIF(INTAKE!$A:$A,$T1124,INTAKE!$P:$P),0)</f>
        <v>0</v>
      </c>
      <c r="L1124" s="1702">
        <f t="shared" si="701"/>
        <v>0</v>
      </c>
      <c r="M1124" s="48"/>
      <c r="N1124" s="163"/>
      <c r="O1124" s="48"/>
      <c r="P1124" s="1827"/>
      <c r="Q1124" s="795"/>
      <c r="R1124" s="785">
        <f>IFERROR(VLOOKUP($Q1124,'391'!$S:$Z,8,0),"")</f>
        <v>0</v>
      </c>
      <c r="S1124" s="796"/>
      <c r="T1124" s="797" t="str">
        <f t="shared" si="702"/>
        <v>Amoxicillin 80%E146247</v>
      </c>
      <c r="U1124" s="797"/>
      <c r="V1124" s="797"/>
      <c r="W1124" s="785">
        <f>IFERROR(VLOOKUP($Q1124,'391'!$S:$AG,15,0),0)</f>
        <v>0</v>
      </c>
      <c r="X1124" s="1090">
        <f t="shared" si="678"/>
        <v>0</v>
      </c>
      <c r="Y1124" s="785"/>
      <c r="Z1124" s="785"/>
      <c r="AA1124" s="797"/>
      <c r="AB1124" s="797"/>
      <c r="AC1124" s="681"/>
      <c r="AD1124" s="681"/>
      <c r="AE1124" s="681"/>
      <c r="AF1124" s="681"/>
      <c r="AG1124" s="681"/>
      <c r="AH1124" s="681"/>
      <c r="AI1124" s="703"/>
      <c r="AJ1124" s="703"/>
      <c r="AK1124" s="703"/>
      <c r="AL1124" s="703"/>
      <c r="AM1124" s="703"/>
      <c r="AN1124" s="703"/>
      <c r="AO1124" s="703"/>
      <c r="AP1124" s="703"/>
      <c r="AQ1124" s="703"/>
      <c r="AR1124" s="703"/>
      <c r="AS1124" s="703"/>
    </row>
    <row r="1125" spans="1:45" s="409" customFormat="1" ht="30" customHeight="1" x14ac:dyDescent="0.25">
      <c r="A1125" s="2022"/>
      <c r="B1125" s="2025"/>
      <c r="C1125" s="129" t="s">
        <v>1249</v>
      </c>
      <c r="D1125" s="881" t="s">
        <v>10</v>
      </c>
      <c r="E1125" s="1776">
        <v>46254</v>
      </c>
      <c r="F1125" s="71">
        <f t="shared" ref="F1125" si="704">$L$7-E1125</f>
        <v>32</v>
      </c>
      <c r="G1125" s="1381">
        <v>820</v>
      </c>
      <c r="H1125" s="1381"/>
      <c r="I1125" s="1381"/>
      <c r="J1125" s="1899"/>
      <c r="K1125" s="1348">
        <f>IFERROR(SUMIF(INTAKE!$A:$A,$T1125,INTAKE!$P:$P),0)</f>
        <v>20</v>
      </c>
      <c r="L1125" s="1702">
        <f t="shared" si="701"/>
        <v>800</v>
      </c>
      <c r="M1125" s="48"/>
      <c r="N1125" s="163"/>
      <c r="O1125" s="46"/>
      <c r="P1125" s="1826"/>
      <c r="Q1125" s="795"/>
      <c r="R1125" s="785">
        <f>IFERROR(VLOOKUP($Q1125,'391'!$S:$Z,8,0),"")</f>
        <v>0</v>
      </c>
      <c r="S1125" s="796"/>
      <c r="T1125" s="797" t="str">
        <f t="shared" si="702"/>
        <v>Amoxicillin 80%E146254</v>
      </c>
      <c r="U1125" s="797"/>
      <c r="V1125" s="797"/>
      <c r="W1125" s="785">
        <f>IFERROR(VLOOKUP($Q1125,'391'!$S:$AG,15,0),0)</f>
        <v>0</v>
      </c>
      <c r="X1125" s="1090">
        <f t="shared" si="678"/>
        <v>820</v>
      </c>
      <c r="Y1125" s="785"/>
      <c r="Z1125" s="785"/>
      <c r="AA1125" s="797"/>
      <c r="AB1125" s="797"/>
      <c r="AC1125" s="681"/>
      <c r="AD1125" s="681"/>
      <c r="AE1125" s="681"/>
      <c r="AF1125" s="681"/>
      <c r="AG1125" s="681"/>
      <c r="AH1125" s="681"/>
      <c r="AI1125" s="703"/>
      <c r="AJ1125" s="703"/>
      <c r="AK1125" s="703"/>
      <c r="AL1125" s="703"/>
      <c r="AM1125" s="703"/>
      <c r="AN1125" s="703"/>
      <c r="AO1125" s="703"/>
      <c r="AP1125" s="703"/>
      <c r="AQ1125" s="703"/>
      <c r="AR1125" s="703"/>
      <c r="AS1125" s="703"/>
    </row>
    <row r="1126" spans="1:45" s="409" customFormat="1" ht="30" customHeight="1" x14ac:dyDescent="0.25">
      <c r="A1126" s="2022"/>
      <c r="B1126" s="2108"/>
      <c r="C1126" s="129" t="s">
        <v>1249</v>
      </c>
      <c r="D1126" s="881" t="s">
        <v>10</v>
      </c>
      <c r="E1126" s="1776">
        <v>46275</v>
      </c>
      <c r="F1126" s="71">
        <f t="shared" si="700"/>
        <v>11</v>
      </c>
      <c r="G1126" s="1381">
        <v>1000</v>
      </c>
      <c r="H1126" s="1381"/>
      <c r="I1126" s="1381"/>
      <c r="J1126" s="1899"/>
      <c r="K1126" s="1348">
        <f>IFERROR(SUMIF(INTAKE!$A:$A,$T1126,INTAKE!$P:$P),0)</f>
        <v>0</v>
      </c>
      <c r="L1126" s="1702">
        <f t="shared" si="701"/>
        <v>1000</v>
      </c>
      <c r="M1126" s="1487"/>
      <c r="N1126" s="1488"/>
      <c r="O1126" s="1770"/>
      <c r="P1126" s="1930"/>
      <c r="Q1126" s="1818"/>
      <c r="R1126" s="785"/>
      <c r="S1126" s="796"/>
      <c r="T1126" s="797" t="str">
        <f t="shared" si="702"/>
        <v>Amoxicillin 80%E146275</v>
      </c>
      <c r="U1126" s="797"/>
      <c r="V1126" s="797"/>
      <c r="W1126" s="785"/>
      <c r="X1126" s="1090"/>
      <c r="Y1126" s="785"/>
      <c r="Z1126" s="785"/>
      <c r="AA1126" s="797"/>
      <c r="AB1126" s="797"/>
      <c r="AC1126" s="681"/>
      <c r="AD1126" s="681"/>
      <c r="AE1126" s="681"/>
      <c r="AF1126" s="681"/>
      <c r="AG1126" s="681"/>
      <c r="AH1126" s="681"/>
      <c r="AI1126" s="703"/>
      <c r="AJ1126" s="703"/>
      <c r="AK1126" s="703"/>
      <c r="AL1126" s="703"/>
      <c r="AM1126" s="703"/>
      <c r="AN1126" s="703"/>
      <c r="AO1126" s="703"/>
      <c r="AP1126" s="703"/>
      <c r="AQ1126" s="703"/>
      <c r="AR1126" s="703"/>
      <c r="AS1126" s="703"/>
    </row>
    <row r="1127" spans="1:45" s="401" customFormat="1" ht="30" customHeight="1" x14ac:dyDescent="0.25">
      <c r="A1127" s="2023"/>
      <c r="B1127" s="2026"/>
      <c r="C1127" s="108" t="s">
        <v>46</v>
      </c>
      <c r="D1127" s="863" t="s">
        <v>10</v>
      </c>
      <c r="E1127" s="886">
        <v>46254</v>
      </c>
      <c r="F1127" s="39">
        <f t="shared" si="700"/>
        <v>32</v>
      </c>
      <c r="G1127" s="37">
        <v>102.34999999999997</v>
      </c>
      <c r="H1127" s="37"/>
      <c r="I1127" s="37">
        <f>K1121+K1122+K1123+K1124+K1125+K1126</f>
        <v>20</v>
      </c>
      <c r="J1127" s="1385">
        <f>usage!I133</f>
        <v>42.05</v>
      </c>
      <c r="K1127" s="37"/>
      <c r="L1127" s="1533">
        <f t="shared" si="701"/>
        <v>80.299999999999969</v>
      </c>
      <c r="M1127" s="35"/>
      <c r="N1127" s="87"/>
      <c r="O1127" s="35"/>
      <c r="P1127" s="1278"/>
      <c r="Q1127" s="795"/>
      <c r="R1127" s="785">
        <f>IFERROR(VLOOKUP($Q1127,'391'!$S:$Z,8,0),"")</f>
        <v>0</v>
      </c>
      <c r="S1127" s="796"/>
      <c r="T1127" s="797" t="str">
        <f t="shared" si="702"/>
        <v>Amoxicillin 80%Feedmill46254</v>
      </c>
      <c r="U1127" s="797"/>
      <c r="V1127" s="797"/>
      <c r="W1127" s="785">
        <f>IFERROR(VLOOKUP($Q1127,'391'!$S:$AG,15,0),0)</f>
        <v>0</v>
      </c>
      <c r="X1127" s="1090">
        <f t="shared" si="678"/>
        <v>102.34999999999997</v>
      </c>
      <c r="Y1127" s="785"/>
      <c r="Z1127" s="785"/>
      <c r="AA1127" s="797"/>
      <c r="AB1127" s="797"/>
      <c r="AC1127" s="681"/>
      <c r="AD1127" s="681"/>
      <c r="AE1127" s="681"/>
      <c r="AF1127" s="681"/>
      <c r="AG1127" s="681"/>
      <c r="AH1127" s="681"/>
      <c r="AI1127" s="703"/>
      <c r="AJ1127" s="703"/>
      <c r="AK1127" s="703"/>
      <c r="AL1127" s="703"/>
      <c r="AM1127" s="703"/>
      <c r="AN1127" s="703"/>
      <c r="AO1127" s="703"/>
      <c r="AP1127" s="703"/>
      <c r="AQ1127" s="703"/>
      <c r="AR1127" s="703"/>
      <c r="AS1127" s="703"/>
    </row>
    <row r="1128" spans="1:45" s="265" customFormat="1" ht="30" customHeight="1" x14ac:dyDescent="0.25">
      <c r="A1128" s="2019" t="s">
        <v>75</v>
      </c>
      <c r="B1128" s="2020"/>
      <c r="C1128" s="88"/>
      <c r="D1128" s="864"/>
      <c r="E1128" s="864"/>
      <c r="F1128" s="865"/>
      <c r="G1128" s="1297">
        <v>1922.35</v>
      </c>
      <c r="H1128" s="1344">
        <f>SUM(H1121:H1127)</f>
        <v>0</v>
      </c>
      <c r="I1128" s="1297">
        <f>SUM(I1121:I1127)</f>
        <v>20</v>
      </c>
      <c r="J1128" s="1297">
        <f>SUM(J1121:J1127)</f>
        <v>42.05</v>
      </c>
      <c r="K1128" s="1297">
        <f>SUM(K1121:K1127)</f>
        <v>20</v>
      </c>
      <c r="L1128" s="1297">
        <f>SUM(L1121:L1127)</f>
        <v>1880.3</v>
      </c>
      <c r="M1128" s="59">
        <f>IFERROR(R1128/$S$2,"")</f>
        <v>126.2</v>
      </c>
      <c r="N1128" s="99">
        <f>IFERROR(L1128/M1128,0)</f>
        <v>14.899366085578446</v>
      </c>
      <c r="O1128" s="59">
        <f>IFERROR(SUMIF(ETM!$A:$A,$Q1128,ETM!$E:$E),"")</f>
        <v>65</v>
      </c>
      <c r="P1128" s="880">
        <f>IFERROR(L1128/O1128,0)</f>
        <v>28.927692307692308</v>
      </c>
      <c r="Q1128" s="1067" t="s">
        <v>1346</v>
      </c>
      <c r="R1128" s="785">
        <f>IFERROR(VLOOKUP($Q1128,'391'!$S:$Z,8,0),"")</f>
        <v>757.2</v>
      </c>
      <c r="S1128" s="796"/>
      <c r="T1128" s="797"/>
      <c r="U1128" s="797"/>
      <c r="V1128" s="797"/>
      <c r="W1128" s="785">
        <f>IFERROR(VLOOKUP($Q1128,'391'!$S:$AG,15,0),0)</f>
        <v>1922.3500000000001</v>
      </c>
      <c r="X1128" s="1090">
        <f t="shared" si="678"/>
        <v>0</v>
      </c>
      <c r="Y1128" s="785"/>
      <c r="Z1128" s="785"/>
      <c r="AA1128" s="797"/>
      <c r="AB1128" s="797"/>
      <c r="AC1128" s="551"/>
      <c r="AD1128" s="551"/>
      <c r="AE1128" s="551"/>
      <c r="AF1128" s="551"/>
      <c r="AG1128" s="551"/>
      <c r="AH1128" s="551"/>
      <c r="AI1128" s="704"/>
      <c r="AJ1128" s="704"/>
      <c r="AK1128" s="704"/>
      <c r="AL1128" s="704"/>
      <c r="AM1128" s="704"/>
      <c r="AN1128" s="704"/>
      <c r="AO1128" s="704"/>
      <c r="AP1128" s="704"/>
      <c r="AQ1128" s="704"/>
      <c r="AR1128" s="704"/>
      <c r="AS1128" s="704"/>
    </row>
    <row r="1129" spans="1:45" s="409" customFormat="1" ht="30" hidden="1" customHeight="1" x14ac:dyDescent="0.25">
      <c r="A1129" s="2021" t="str">
        <f>IF(L1133=0,"",MAX($A$16:A1128)+1)</f>
        <v/>
      </c>
      <c r="B1129" s="2024" t="s">
        <v>1572</v>
      </c>
      <c r="C1129" s="129"/>
      <c r="D1129" s="881" t="s">
        <v>10</v>
      </c>
      <c r="E1129" s="882">
        <v>46132</v>
      </c>
      <c r="F1129" s="71">
        <f t="shared" ref="F1129:F1132" si="705">$L$7-E1129</f>
        <v>154</v>
      </c>
      <c r="G1129" s="64">
        <v>0</v>
      </c>
      <c r="H1129" s="64"/>
      <c r="I1129" s="64"/>
      <c r="J1129" s="1412"/>
      <c r="K1129" s="1348">
        <f>IFERROR(SUMIF(INTAKE!$A:$A,$T1129,INTAKE!$P:$P),0)</f>
        <v>0</v>
      </c>
      <c r="L1129" s="1702">
        <f t="shared" ref="L1129:L1132" si="706">+G1129+H1129+I1129-J1129-K1129</f>
        <v>0</v>
      </c>
      <c r="M1129" s="50"/>
      <c r="N1129" s="167"/>
      <c r="O1129" s="50"/>
      <c r="P1129" s="731"/>
      <c r="Q1129" s="795"/>
      <c r="R1129" s="785">
        <f>IFERROR(VLOOKUP($Q1129,'391'!$S:$Z,8,0),"")</f>
        <v>0</v>
      </c>
      <c r="S1129" s="796"/>
      <c r="T1129" s="797" t="str">
        <f>$Q$1133&amp;C1129&amp;E1129</f>
        <v>Advance Timicox 20 (VN)46132</v>
      </c>
      <c r="U1129" s="797"/>
      <c r="V1129" s="797"/>
      <c r="W1129" s="785">
        <f>IFERROR(VLOOKUP($Q1129,'391'!$S:$AG,15,0),0)</f>
        <v>0</v>
      </c>
      <c r="X1129" s="1090">
        <f t="shared" ref="X1129:X1133" si="707">G1129-W1129</f>
        <v>0</v>
      </c>
      <c r="Y1129" s="785"/>
      <c r="Z1129" s="785"/>
      <c r="AA1129" s="797"/>
      <c r="AB1129" s="797"/>
      <c r="AC1129" s="681"/>
      <c r="AD1129" s="681"/>
      <c r="AE1129" s="681"/>
      <c r="AF1129" s="681"/>
      <c r="AG1129" s="681"/>
      <c r="AH1129" s="681"/>
      <c r="AI1129" s="703"/>
      <c r="AJ1129" s="703"/>
      <c r="AK1129" s="703"/>
      <c r="AL1129" s="703"/>
      <c r="AM1129" s="703"/>
      <c r="AN1129" s="703"/>
      <c r="AO1129" s="703"/>
      <c r="AP1129" s="703"/>
      <c r="AQ1129" s="703"/>
      <c r="AR1129" s="703"/>
      <c r="AS1129" s="703"/>
    </row>
    <row r="1130" spans="1:45" s="409" customFormat="1" ht="30" hidden="1" customHeight="1" x14ac:dyDescent="0.25">
      <c r="A1130" s="2022"/>
      <c r="B1130" s="2025"/>
      <c r="C1130" s="129"/>
      <c r="D1130" s="881" t="s">
        <v>10</v>
      </c>
      <c r="E1130" s="882">
        <v>45268</v>
      </c>
      <c r="F1130" s="71">
        <f t="shared" si="705"/>
        <v>1018</v>
      </c>
      <c r="G1130" s="64">
        <v>0</v>
      </c>
      <c r="H1130" s="64"/>
      <c r="I1130" s="64"/>
      <c r="J1130" s="1412"/>
      <c r="K1130" s="1348">
        <f>IFERROR(SUMIF(INTAKE!$A:$A,$T1130,INTAKE!$P:$P),0)</f>
        <v>0</v>
      </c>
      <c r="L1130" s="1533">
        <f t="shared" si="706"/>
        <v>0</v>
      </c>
      <c r="M1130" s="46"/>
      <c r="N1130" s="176"/>
      <c r="O1130" s="46"/>
      <c r="P1130" s="1828"/>
      <c r="Q1130" s="795"/>
      <c r="R1130" s="785">
        <f>IFERROR(VLOOKUP($Q1130,'391'!$S:$Z,8,0),"")</f>
        <v>0</v>
      </c>
      <c r="S1130" s="796"/>
      <c r="T1130" s="797" t="str">
        <f>$Q$1133&amp;C1130&amp;E1130</f>
        <v>Advance Timicox 20 (VN)45268</v>
      </c>
      <c r="U1130" s="797"/>
      <c r="V1130" s="797"/>
      <c r="W1130" s="785">
        <f>IFERROR(VLOOKUP($Q1130,'391'!$S:$AG,15,0),0)</f>
        <v>0</v>
      </c>
      <c r="X1130" s="1090">
        <f t="shared" si="707"/>
        <v>0</v>
      </c>
      <c r="Y1130" s="785"/>
      <c r="Z1130" s="785"/>
      <c r="AA1130" s="797"/>
      <c r="AB1130" s="797"/>
      <c r="AC1130" s="681"/>
      <c r="AD1130" s="681"/>
      <c r="AE1130" s="681"/>
      <c r="AF1130" s="681"/>
      <c r="AG1130" s="681"/>
      <c r="AH1130" s="681"/>
      <c r="AI1130" s="703"/>
      <c r="AJ1130" s="703"/>
      <c r="AK1130" s="703"/>
      <c r="AL1130" s="703"/>
      <c r="AM1130" s="703"/>
      <c r="AN1130" s="703"/>
      <c r="AO1130" s="703"/>
      <c r="AP1130" s="703"/>
      <c r="AQ1130" s="703"/>
      <c r="AR1130" s="703"/>
      <c r="AS1130" s="703"/>
    </row>
    <row r="1131" spans="1:45" s="409" customFormat="1" ht="30" hidden="1" customHeight="1" x14ac:dyDescent="0.25">
      <c r="A1131" s="2022"/>
      <c r="B1131" s="2025"/>
      <c r="C1131" s="129"/>
      <c r="D1131" s="881" t="s">
        <v>10</v>
      </c>
      <c r="E1131" s="882">
        <v>43021</v>
      </c>
      <c r="F1131" s="71">
        <f t="shared" si="705"/>
        <v>3265</v>
      </c>
      <c r="G1131" s="64">
        <v>0</v>
      </c>
      <c r="H1131" s="64"/>
      <c r="I1131" s="64"/>
      <c r="J1131" s="1412"/>
      <c r="K1131" s="1410"/>
      <c r="L1131" s="1533">
        <f t="shared" si="706"/>
        <v>0</v>
      </c>
      <c r="M1131" s="46"/>
      <c r="N1131" s="176"/>
      <c r="O1131" s="46"/>
      <c r="P1131" s="1828"/>
      <c r="Q1131" s="795"/>
      <c r="R1131" s="785">
        <f>IFERROR(VLOOKUP($Q1131,'391'!$S:$Z,8,0),"")</f>
        <v>0</v>
      </c>
      <c r="S1131" s="796"/>
      <c r="T1131" s="797" t="str">
        <f>$Q$1133&amp;C1131&amp;E1131</f>
        <v>Advance Timicox 20 (VN)43021</v>
      </c>
      <c r="U1131" s="797"/>
      <c r="V1131" s="797"/>
      <c r="W1131" s="785">
        <f>IFERROR(VLOOKUP($Q1131,'391'!$S:$AG,15,0),0)</f>
        <v>0</v>
      </c>
      <c r="X1131" s="1090">
        <f t="shared" si="707"/>
        <v>0</v>
      </c>
      <c r="Y1131" s="785"/>
      <c r="Z1131" s="785"/>
      <c r="AA1131" s="797"/>
      <c r="AB1131" s="797"/>
      <c r="AC1131" s="681"/>
      <c r="AD1131" s="681"/>
      <c r="AE1131" s="681"/>
      <c r="AF1131" s="681"/>
      <c r="AG1131" s="681"/>
      <c r="AH1131" s="681"/>
      <c r="AI1131" s="703"/>
      <c r="AJ1131" s="703"/>
      <c r="AK1131" s="703"/>
      <c r="AL1131" s="703"/>
      <c r="AM1131" s="703"/>
      <c r="AN1131" s="703"/>
      <c r="AO1131" s="703"/>
      <c r="AP1131" s="703"/>
      <c r="AQ1131" s="703"/>
      <c r="AR1131" s="703"/>
      <c r="AS1131" s="703"/>
    </row>
    <row r="1132" spans="1:45" s="401" customFormat="1" ht="30" hidden="1" customHeight="1" x14ac:dyDescent="0.25">
      <c r="A1132" s="2023"/>
      <c r="B1132" s="2026"/>
      <c r="C1132" s="108" t="s">
        <v>46</v>
      </c>
      <c r="D1132" s="863" t="s">
        <v>10</v>
      </c>
      <c r="E1132" s="886">
        <v>46132</v>
      </c>
      <c r="F1132" s="39">
        <f t="shared" si="705"/>
        <v>154</v>
      </c>
      <c r="G1132" s="37">
        <v>0</v>
      </c>
      <c r="H1132" s="37"/>
      <c r="I1132" s="37">
        <f>K1129+K1130</f>
        <v>0</v>
      </c>
      <c r="J1132" s="1385"/>
      <c r="K1132" s="37"/>
      <c r="L1132" s="1533">
        <f t="shared" si="706"/>
        <v>0</v>
      </c>
      <c r="M1132" s="35"/>
      <c r="N1132" s="87"/>
      <c r="O1132" s="35"/>
      <c r="P1132" s="1278"/>
      <c r="Q1132" s="795"/>
      <c r="R1132" s="785">
        <f>IFERROR(VLOOKUP($Q1132,'391'!$S:$Z,8,0),"")</f>
        <v>0</v>
      </c>
      <c r="S1132" s="796"/>
      <c r="T1132" s="797" t="str">
        <f>$Q$1133&amp;C1132&amp;E1132</f>
        <v>Advance Timicox 20 (VN)Feedmill46132</v>
      </c>
      <c r="U1132" s="797"/>
      <c r="V1132" s="797"/>
      <c r="W1132" s="785">
        <f>IFERROR(VLOOKUP($Q1132,'391'!$S:$AG,15,0),0)</f>
        <v>0</v>
      </c>
      <c r="X1132" s="1090">
        <f t="shared" si="707"/>
        <v>0</v>
      </c>
      <c r="Y1132" s="785"/>
      <c r="Z1132" s="785"/>
      <c r="AA1132" s="797"/>
      <c r="AB1132" s="797"/>
      <c r="AC1132" s="681"/>
      <c r="AD1132" s="681"/>
      <c r="AE1132" s="681"/>
      <c r="AF1132" s="681"/>
      <c r="AG1132" s="681"/>
      <c r="AH1132" s="681"/>
      <c r="AI1132" s="703"/>
      <c r="AJ1132" s="703"/>
      <c r="AK1132" s="703"/>
      <c r="AL1132" s="703"/>
      <c r="AM1132" s="703"/>
      <c r="AN1132" s="703"/>
      <c r="AO1132" s="703"/>
      <c r="AP1132" s="703"/>
      <c r="AQ1132" s="703"/>
      <c r="AR1132" s="703"/>
      <c r="AS1132" s="703"/>
    </row>
    <row r="1133" spans="1:45" s="265" customFormat="1" ht="30" hidden="1" customHeight="1" x14ac:dyDescent="0.25">
      <c r="A1133" s="2019" t="s">
        <v>1576</v>
      </c>
      <c r="B1133" s="2020"/>
      <c r="C1133" s="88"/>
      <c r="D1133" s="864"/>
      <c r="E1133" s="864"/>
      <c r="F1133" s="865"/>
      <c r="G1133" s="1297">
        <v>0</v>
      </c>
      <c r="H1133" s="1344">
        <f>SUM(H1129:H1132)</f>
        <v>0</v>
      </c>
      <c r="I1133" s="1297">
        <f>SUM(I1129:I1132)</f>
        <v>0</v>
      </c>
      <c r="J1133" s="1297">
        <f>SUM(J1129:J1132)</f>
        <v>0</v>
      </c>
      <c r="K1133" s="1297">
        <f>SUM(K1129:K1132)</f>
        <v>0</v>
      </c>
      <c r="L1133" s="1297">
        <f>SUM(L1129:L1132)</f>
        <v>0</v>
      </c>
      <c r="M1133" s="59" t="str">
        <f>IFERROR(R1133/$S$2,"")</f>
        <v/>
      </c>
      <c r="N1133" s="99">
        <f>IFERROR(L1133/M1133,0)</f>
        <v>0</v>
      </c>
      <c r="O1133" s="59">
        <f>IFERROR(SUMIF(ETM!$A:$A,$Q1133,ETM!$E:$E),"")+O808</f>
        <v>34.666666666666664</v>
      </c>
      <c r="P1133" s="880">
        <f>IFERROR(L1133/O1133,0)</f>
        <v>0</v>
      </c>
      <c r="Q1133" s="666" t="s">
        <v>1574</v>
      </c>
      <c r="R1133" s="785" t="str">
        <f>IFERROR(VLOOKUP($Q1133,'391'!$S:$Z,8,0),"")</f>
        <v/>
      </c>
      <c r="S1133" s="796"/>
      <c r="T1133" s="797"/>
      <c r="U1133" s="797"/>
      <c r="V1133" s="797"/>
      <c r="W1133" s="785">
        <f>IFERROR(VLOOKUP($Q1133,'391'!$S:$AG,15,0),0)</f>
        <v>0</v>
      </c>
      <c r="X1133" s="1090">
        <f t="shared" si="707"/>
        <v>0</v>
      </c>
      <c r="Y1133" s="785"/>
      <c r="Z1133" s="785"/>
      <c r="AA1133" s="797"/>
      <c r="AB1133" s="797"/>
      <c r="AC1133" s="551"/>
      <c r="AD1133" s="551"/>
      <c r="AE1133" s="551"/>
      <c r="AF1133" s="551"/>
      <c r="AG1133" s="551"/>
      <c r="AH1133" s="551"/>
      <c r="AI1133" s="704"/>
      <c r="AJ1133" s="704"/>
      <c r="AK1133" s="704"/>
      <c r="AL1133" s="704"/>
      <c r="AM1133" s="704"/>
      <c r="AN1133" s="704"/>
      <c r="AO1133" s="704"/>
      <c r="AP1133" s="704"/>
      <c r="AQ1133" s="704"/>
      <c r="AR1133" s="704"/>
      <c r="AS1133" s="704"/>
    </row>
    <row r="1134" spans="1:45" s="409" customFormat="1" ht="30" hidden="1" customHeight="1" x14ac:dyDescent="0.25">
      <c r="A1134" s="2021" t="str">
        <f>IF(L1139=0,"",MAX($A$16:A1106)+1)</f>
        <v/>
      </c>
      <c r="B1134" s="2024" t="s">
        <v>580</v>
      </c>
      <c r="C1134" s="114" t="s">
        <v>596</v>
      </c>
      <c r="D1134" s="26" t="s">
        <v>10</v>
      </c>
      <c r="E1134" s="19">
        <v>44181</v>
      </c>
      <c r="F1134" s="17">
        <f>$L$7-E1134</f>
        <v>2105</v>
      </c>
      <c r="G1134" s="64">
        <v>0</v>
      </c>
      <c r="H1134" s="64"/>
      <c r="I1134" s="64"/>
      <c r="J1134" s="1413"/>
      <c r="K1134" s="64"/>
      <c r="L1134" s="1533">
        <f t="shared" ref="L1134:L1149" si="708">+G1134+H1134+I1134-J1134-K1134</f>
        <v>0</v>
      </c>
      <c r="M1134" s="44"/>
      <c r="N1134" s="95"/>
      <c r="O1134" s="44"/>
      <c r="P1134" s="731"/>
      <c r="Q1134" s="795"/>
      <c r="R1134" s="785">
        <f>IFERROR(VLOOKUP($Q1134,'391'!$S:$Z,8,0),"")</f>
        <v>0</v>
      </c>
      <c r="S1134" s="796"/>
      <c r="T1134" s="797"/>
      <c r="U1134" s="797"/>
      <c r="V1134" s="797"/>
      <c r="W1134" s="785">
        <f>IFERROR(VLOOKUP($Q1134,'391'!$S:$AG,15,0),0)</f>
        <v>0</v>
      </c>
      <c r="X1134" s="1090">
        <f t="shared" si="678"/>
        <v>0</v>
      </c>
      <c r="Y1134" s="785"/>
      <c r="Z1134" s="785"/>
      <c r="AA1134" s="797"/>
      <c r="AB1134" s="797"/>
      <c r="AC1134" s="681"/>
      <c r="AD1134" s="681"/>
      <c r="AE1134" s="681"/>
      <c r="AF1134" s="681"/>
      <c r="AG1134" s="681"/>
      <c r="AH1134" s="681"/>
      <c r="AI1134" s="703"/>
      <c r="AJ1134" s="703"/>
      <c r="AK1134" s="703"/>
      <c r="AL1134" s="703"/>
      <c r="AM1134" s="703"/>
      <c r="AN1134" s="703"/>
      <c r="AO1134" s="703"/>
      <c r="AP1134" s="703"/>
      <c r="AQ1134" s="703"/>
      <c r="AR1134" s="703"/>
      <c r="AS1134" s="703"/>
    </row>
    <row r="1135" spans="1:45" s="409" customFormat="1" ht="30" hidden="1" customHeight="1" x14ac:dyDescent="0.25">
      <c r="A1135" s="2022"/>
      <c r="B1135" s="2025"/>
      <c r="C1135" s="114" t="s">
        <v>874</v>
      </c>
      <c r="D1135" s="881" t="s">
        <v>10</v>
      </c>
      <c r="E1135" s="882">
        <v>44475</v>
      </c>
      <c r="F1135" s="71">
        <f>$L$7-E1135</f>
        <v>1811</v>
      </c>
      <c r="G1135" s="64">
        <v>0</v>
      </c>
      <c r="H1135" s="64"/>
      <c r="I1135" s="64"/>
      <c r="J1135" s="1413"/>
      <c r="K1135" s="64">
        <f>IFERROR(SUMIF(INTAKE!$A:$A,$T1135,INTAKE!$P:$P),0)</f>
        <v>0</v>
      </c>
      <c r="L1135" s="1533">
        <f t="shared" si="708"/>
        <v>0</v>
      </c>
      <c r="M1135" s="48"/>
      <c r="N1135" s="163"/>
      <c r="O1135" s="48"/>
      <c r="P1135" s="749"/>
      <c r="Q1135" s="795"/>
      <c r="R1135" s="785">
        <f>IFERROR(VLOOKUP($Q1135,'391'!$S:$Z,8,0),"")</f>
        <v>0</v>
      </c>
      <c r="S1135" s="796"/>
      <c r="T1135" s="797" t="str">
        <f>$Q$1139&amp;C1135&amp;E1135</f>
        <v>LarvadexV6.144475</v>
      </c>
      <c r="U1135" s="797"/>
      <c r="V1135" s="797"/>
      <c r="W1135" s="785">
        <f>IFERROR(VLOOKUP($Q1135,'391'!$S:$AG,15,0),0)</f>
        <v>0</v>
      </c>
      <c r="X1135" s="1090">
        <f t="shared" si="678"/>
        <v>0</v>
      </c>
      <c r="Y1135" s="785"/>
      <c r="Z1135" s="785"/>
      <c r="AA1135" s="797"/>
      <c r="AB1135" s="797"/>
      <c r="AC1135" s="681"/>
      <c r="AD1135" s="681"/>
      <c r="AE1135" s="681"/>
      <c r="AF1135" s="681"/>
      <c r="AG1135" s="681"/>
      <c r="AH1135" s="681"/>
      <c r="AI1135" s="703"/>
      <c r="AJ1135" s="703"/>
      <c r="AK1135" s="703"/>
      <c r="AL1135" s="703"/>
      <c r="AM1135" s="703"/>
      <c r="AN1135" s="703"/>
      <c r="AO1135" s="703"/>
      <c r="AP1135" s="703"/>
      <c r="AQ1135" s="703"/>
      <c r="AR1135" s="703"/>
      <c r="AS1135" s="703"/>
    </row>
    <row r="1136" spans="1:45" s="409" customFormat="1" ht="30" hidden="1" customHeight="1" x14ac:dyDescent="0.25">
      <c r="A1136" s="2022"/>
      <c r="B1136" s="2025"/>
      <c r="C1136" s="114"/>
      <c r="D1136" s="881" t="s">
        <v>10</v>
      </c>
      <c r="E1136" s="882">
        <v>44475</v>
      </c>
      <c r="F1136" s="71">
        <f>$L$7-E1136</f>
        <v>1811</v>
      </c>
      <c r="G1136" s="64">
        <v>0</v>
      </c>
      <c r="H1136" s="64"/>
      <c r="I1136" s="64"/>
      <c r="J1136" s="1413"/>
      <c r="K1136" s="64">
        <f>IFERROR(SUMIF(INTAKE!$A:$A,$T1136,INTAKE!$P:$P),0)</f>
        <v>0</v>
      </c>
      <c r="L1136" s="1533">
        <f t="shared" si="708"/>
        <v>0</v>
      </c>
      <c r="M1136" s="48"/>
      <c r="N1136" s="163"/>
      <c r="O1136" s="48"/>
      <c r="P1136" s="749"/>
      <c r="Q1136" s="795"/>
      <c r="R1136" s="785">
        <f>IFERROR(VLOOKUP($Q1136,'391'!$S:$Z,8,0),"")</f>
        <v>0</v>
      </c>
      <c r="S1136" s="796"/>
      <c r="T1136" s="797" t="str">
        <f>$Q$1139&amp;C1136&amp;E1136</f>
        <v>Larvadex44475</v>
      </c>
      <c r="U1136" s="797"/>
      <c r="V1136" s="797"/>
      <c r="W1136" s="785">
        <f>IFERROR(VLOOKUP($Q1136,'391'!$S:$AG,15,0),0)</f>
        <v>0</v>
      </c>
      <c r="X1136" s="1090">
        <f t="shared" si="678"/>
        <v>0</v>
      </c>
      <c r="Y1136" s="785"/>
      <c r="Z1136" s="785"/>
      <c r="AA1136" s="797"/>
      <c r="AB1136" s="797"/>
      <c r="AC1136" s="681"/>
      <c r="AD1136" s="681"/>
      <c r="AE1136" s="681"/>
      <c r="AF1136" s="681"/>
      <c r="AG1136" s="681"/>
      <c r="AH1136" s="681"/>
      <c r="AI1136" s="703"/>
      <c r="AJ1136" s="703"/>
      <c r="AK1136" s="703"/>
      <c r="AL1136" s="703"/>
      <c r="AM1136" s="703"/>
      <c r="AN1136" s="703"/>
      <c r="AO1136" s="703"/>
      <c r="AP1136" s="703"/>
      <c r="AQ1136" s="703"/>
      <c r="AR1136" s="703"/>
      <c r="AS1136" s="703"/>
    </row>
    <row r="1137" spans="1:45" s="409" customFormat="1" ht="30" hidden="1" customHeight="1" x14ac:dyDescent="0.25">
      <c r="A1137" s="2022"/>
      <c r="B1137" s="2025"/>
      <c r="C1137" s="114"/>
      <c r="D1137" s="881" t="s">
        <v>10</v>
      </c>
      <c r="E1137" s="882">
        <v>44475</v>
      </c>
      <c r="F1137" s="71">
        <f>$L$7-E1137</f>
        <v>1811</v>
      </c>
      <c r="G1137" s="64">
        <v>0</v>
      </c>
      <c r="H1137" s="64"/>
      <c r="I1137" s="64"/>
      <c r="J1137" s="1413"/>
      <c r="K1137" s="64">
        <f>IFERROR(SUMIF(INTAKE!$A:$A,$T1137,INTAKE!$P:$P),0)</f>
        <v>0</v>
      </c>
      <c r="L1137" s="1533">
        <f t="shared" si="708"/>
        <v>0</v>
      </c>
      <c r="M1137" s="48"/>
      <c r="N1137" s="163"/>
      <c r="O1137" s="48"/>
      <c r="P1137" s="749"/>
      <c r="Q1137" s="795"/>
      <c r="R1137" s="785">
        <f>IFERROR(VLOOKUP($Q1137,'391'!$S:$Z,8,0),"")</f>
        <v>0</v>
      </c>
      <c r="S1137" s="796"/>
      <c r="T1137" s="797" t="str">
        <f>$Q$1139&amp;C1137&amp;E1137</f>
        <v>Larvadex44475</v>
      </c>
      <c r="U1137" s="797"/>
      <c r="V1137" s="797"/>
      <c r="W1137" s="785">
        <f>IFERROR(VLOOKUP($Q1137,'391'!$S:$AG,15,0),0)</f>
        <v>0</v>
      </c>
      <c r="X1137" s="1090">
        <f t="shared" si="678"/>
        <v>0</v>
      </c>
      <c r="Y1137" s="785"/>
      <c r="Z1137" s="785"/>
      <c r="AA1137" s="797"/>
      <c r="AB1137" s="797"/>
      <c r="AC1137" s="681"/>
      <c r="AD1137" s="681"/>
      <c r="AE1137" s="681"/>
      <c r="AF1137" s="681"/>
      <c r="AG1137" s="681"/>
      <c r="AH1137" s="681"/>
      <c r="AI1137" s="703"/>
      <c r="AJ1137" s="703"/>
      <c r="AK1137" s="703"/>
      <c r="AL1137" s="703"/>
      <c r="AM1137" s="703"/>
      <c r="AN1137" s="703"/>
      <c r="AO1137" s="703"/>
      <c r="AP1137" s="703"/>
      <c r="AQ1137" s="703"/>
      <c r="AR1137" s="703"/>
      <c r="AS1137" s="703"/>
    </row>
    <row r="1138" spans="1:45" s="401" customFormat="1" ht="30" hidden="1" customHeight="1" x14ac:dyDescent="0.25">
      <c r="A1138" s="2023"/>
      <c r="B1138" s="2026"/>
      <c r="C1138" s="108" t="s">
        <v>46</v>
      </c>
      <c r="D1138" s="863" t="s">
        <v>10</v>
      </c>
      <c r="E1138" s="886">
        <v>44475</v>
      </c>
      <c r="F1138" s="39">
        <f>$L$7-E1138</f>
        <v>1811</v>
      </c>
      <c r="G1138" s="1372">
        <v>0</v>
      </c>
      <c r="H1138" s="37"/>
      <c r="I1138" s="37">
        <f>K1134+K1137+K1135+K1136</f>
        <v>0</v>
      </c>
      <c r="J1138" s="1385"/>
      <c r="K1138" s="64">
        <f>IFERROR(SUMIF(INTAKE!$A:$A,$T1138,INTAKE!$P:$P),0)</f>
        <v>0</v>
      </c>
      <c r="L1138" s="1533">
        <f t="shared" si="708"/>
        <v>0</v>
      </c>
      <c r="M1138" s="35"/>
      <c r="N1138" s="87"/>
      <c r="O1138" s="35"/>
      <c r="P1138" s="731"/>
      <c r="Q1138" s="795"/>
      <c r="R1138" s="785">
        <f>IFERROR(VLOOKUP($Q1138,'391'!$S:$Z,8,0),"")</f>
        <v>0</v>
      </c>
      <c r="S1138" s="796"/>
      <c r="T1138" s="797" t="str">
        <f>$Q$1139&amp;C1138&amp;E1138</f>
        <v>LarvadexFeedmill44475</v>
      </c>
      <c r="U1138" s="797"/>
      <c r="V1138" s="797"/>
      <c r="W1138" s="785">
        <f>IFERROR(VLOOKUP($Q1138,'391'!$S:$AG,15,0),0)</f>
        <v>0</v>
      </c>
      <c r="X1138" s="1090">
        <f t="shared" si="678"/>
        <v>0</v>
      </c>
      <c r="Y1138" s="785"/>
      <c r="Z1138" s="785"/>
      <c r="AA1138" s="797"/>
      <c r="AB1138" s="797"/>
      <c r="AC1138" s="681"/>
      <c r="AD1138" s="681"/>
      <c r="AE1138" s="681"/>
      <c r="AF1138" s="681"/>
      <c r="AG1138" s="681"/>
      <c r="AH1138" s="681"/>
      <c r="AI1138" s="703"/>
      <c r="AJ1138" s="703"/>
      <c r="AK1138" s="703"/>
      <c r="AL1138" s="703"/>
      <c r="AM1138" s="703"/>
      <c r="AN1138" s="703"/>
      <c r="AO1138" s="703"/>
      <c r="AP1138" s="703"/>
      <c r="AQ1138" s="703"/>
      <c r="AR1138" s="703"/>
      <c r="AS1138" s="703"/>
    </row>
    <row r="1139" spans="1:45" s="265" customFormat="1" ht="30" hidden="1" customHeight="1" x14ac:dyDescent="0.25">
      <c r="A1139" s="2019" t="s">
        <v>174</v>
      </c>
      <c r="B1139" s="2020"/>
      <c r="C1139" s="575"/>
      <c r="D1139" s="864"/>
      <c r="E1139" s="864"/>
      <c r="F1139" s="865"/>
      <c r="G1139" s="1297">
        <v>0</v>
      </c>
      <c r="H1139" s="1297">
        <f>SUM(H1134:H1138)</f>
        <v>0</v>
      </c>
      <c r="I1139" s="1297">
        <f>SUM(I1134:I1138)</f>
        <v>0</v>
      </c>
      <c r="J1139" s="1297">
        <f t="shared" ref="J1139:K1139" si="709">SUM(J1134:J1138)</f>
        <v>0</v>
      </c>
      <c r="K1139" s="1297">
        <f t="shared" si="709"/>
        <v>0</v>
      </c>
      <c r="L1139" s="1533">
        <f t="shared" si="708"/>
        <v>0</v>
      </c>
      <c r="M1139" s="982" t="str">
        <f>IFERROR(R1139/$S$2,"")</f>
        <v/>
      </c>
      <c r="N1139" s="366">
        <f>IFERROR(L1139/M1139,0)</f>
        <v>0</v>
      </c>
      <c r="O1139" s="982">
        <f>IFERROR(SUMIF(ETM!$A:$A,$Q1139,ETM!$E:$E),"")</f>
        <v>0</v>
      </c>
      <c r="P1139" s="880">
        <f>IFERROR(L1139/O1139,0)</f>
        <v>0</v>
      </c>
      <c r="Q1139" s="814" t="s">
        <v>173</v>
      </c>
      <c r="R1139" s="785" t="str">
        <f>IFERROR(VLOOKUP($Q1139,'391'!$S:$Z,8,0),"")</f>
        <v/>
      </c>
      <c r="S1139" s="796"/>
      <c r="T1139" s="797"/>
      <c r="U1139" s="797"/>
      <c r="V1139" s="797"/>
      <c r="W1139" s="785">
        <f>IFERROR(VLOOKUP($Q1139,'391'!$S:$AG,15,0),0)</f>
        <v>0</v>
      </c>
      <c r="X1139" s="1090">
        <f t="shared" si="678"/>
        <v>0</v>
      </c>
      <c r="Y1139" s="785"/>
      <c r="Z1139" s="785"/>
      <c r="AA1139" s="797"/>
      <c r="AB1139" s="797"/>
      <c r="AC1139" s="551"/>
      <c r="AD1139" s="551"/>
      <c r="AE1139" s="551"/>
      <c r="AF1139" s="551"/>
      <c r="AG1139" s="551"/>
      <c r="AH1139" s="551"/>
      <c r="AI1139" s="704"/>
      <c r="AJ1139" s="704"/>
      <c r="AK1139" s="704"/>
      <c r="AL1139" s="704"/>
      <c r="AM1139" s="704"/>
      <c r="AN1139" s="704"/>
      <c r="AO1139" s="704"/>
      <c r="AP1139" s="704"/>
      <c r="AQ1139" s="704"/>
      <c r="AR1139" s="704"/>
      <c r="AS1139" s="704"/>
    </row>
    <row r="1140" spans="1:45" s="265" customFormat="1" ht="30" customHeight="1" x14ac:dyDescent="0.25">
      <c r="A1140" s="2027">
        <f>IF(L1145=0,"",MAX($A$16:A1134)+1)</f>
        <v>75</v>
      </c>
      <c r="B1140" s="2024" t="s">
        <v>1802</v>
      </c>
      <c r="C1140" s="999" t="s">
        <v>1788</v>
      </c>
      <c r="D1140" s="1000" t="s">
        <v>10</v>
      </c>
      <c r="E1140" s="988">
        <v>46247</v>
      </c>
      <c r="F1140" s="994">
        <f t="shared" ref="F1140" si="710">$L$7-E1140</f>
        <v>39</v>
      </c>
      <c r="G1140" s="1395">
        <v>150</v>
      </c>
      <c r="H1140" s="1395"/>
      <c r="I1140" s="1395"/>
      <c r="J1140" s="1396"/>
      <c r="K1140" s="1395">
        <f>IFERROR(SUMIF(INTAKE!$A:$A,$T1140,INTAKE!$P:$P),0)</f>
        <v>0</v>
      </c>
      <c r="L1140" s="1702">
        <f t="shared" ref="L1140:L1144" si="711">+G1140+H1140+I1140-J1140-K1140</f>
        <v>150</v>
      </c>
      <c r="M1140" s="50"/>
      <c r="N1140" s="167"/>
      <c r="O1140" s="50"/>
      <c r="P1140" s="747"/>
      <c r="Q1140" s="795"/>
      <c r="R1140" s="785">
        <f>IFERROR(VLOOKUP($Q1140,'391'!$S:$Z,8,0),"")</f>
        <v>0</v>
      </c>
      <c r="S1140" s="796"/>
      <c r="T1140" s="797" t="str">
        <f>$Q$1145&amp;C1140&amp;E1140</f>
        <v>Axtra# PRIME 501 T (Singapore)Y3.246247</v>
      </c>
      <c r="U1140" s="797"/>
      <c r="V1140" s="797"/>
      <c r="W1140" s="785">
        <f>IFERROR(VLOOKUP($Q1140,'391'!$S:$AG,15,0),0)</f>
        <v>0</v>
      </c>
      <c r="X1140" s="1090">
        <f t="shared" ref="X1140:X1145" si="712">G1140-W1140</f>
        <v>150</v>
      </c>
      <c r="Y1140" s="785"/>
      <c r="Z1140" s="785"/>
      <c r="AA1140" s="797"/>
      <c r="AB1140" s="797"/>
      <c r="AC1140" s="551"/>
      <c r="AD1140" s="551"/>
      <c r="AE1140" s="551"/>
      <c r="AF1140" s="551"/>
      <c r="AG1140" s="551"/>
      <c r="AH1140" s="551"/>
      <c r="AI1140" s="704"/>
      <c r="AJ1140" s="704"/>
      <c r="AK1140" s="704"/>
      <c r="AL1140" s="704"/>
      <c r="AM1140" s="704"/>
      <c r="AN1140" s="704"/>
      <c r="AO1140" s="704"/>
      <c r="AP1140" s="704"/>
      <c r="AQ1140" s="704"/>
      <c r="AR1140" s="704"/>
      <c r="AS1140" s="704"/>
    </row>
    <row r="1141" spans="1:45" s="265" customFormat="1" ht="29.1" customHeight="1" x14ac:dyDescent="0.25">
      <c r="A1141" s="2028"/>
      <c r="B1141" s="2025"/>
      <c r="C1141" s="999" t="s">
        <v>194</v>
      </c>
      <c r="D1141" s="1000" t="s">
        <v>10</v>
      </c>
      <c r="E1141" s="988">
        <v>46247</v>
      </c>
      <c r="F1141" s="994">
        <f t="shared" ref="F1141" si="713">$L$7-E1141</f>
        <v>39</v>
      </c>
      <c r="G1141" s="1395">
        <v>500</v>
      </c>
      <c r="H1141" s="1395"/>
      <c r="I1141" s="1395"/>
      <c r="J1141" s="1396"/>
      <c r="K1141" s="1395">
        <f>IFERROR(SUMIF(INTAKE!$A:$A,$T1141,INTAKE!$P:$P),0)</f>
        <v>0</v>
      </c>
      <c r="L1141" s="1702">
        <f t="shared" si="711"/>
        <v>500</v>
      </c>
      <c r="M1141" s="48"/>
      <c r="N1141" s="163"/>
      <c r="O1141" s="48"/>
      <c r="P1141" s="750"/>
      <c r="Q1141" s="795"/>
      <c r="R1141" s="785">
        <f>IFERROR(VLOOKUP($Q1141,'391'!$S:$Z,8,0),"")</f>
        <v>0</v>
      </c>
      <c r="S1141" s="796"/>
      <c r="T1141" s="797" t="str">
        <f>$Q$1145&amp;C1141&amp;E1141</f>
        <v>Axtra# PRIME 501 T (Singapore)V7.246247</v>
      </c>
      <c r="U1141" s="797"/>
      <c r="V1141" s="797"/>
      <c r="W1141" s="785">
        <f>IFERROR(VLOOKUP($Q1141,'391'!$S:$AG,15,0),0)</f>
        <v>0</v>
      </c>
      <c r="X1141" s="1090">
        <f t="shared" si="712"/>
        <v>500</v>
      </c>
      <c r="Y1141" s="785"/>
      <c r="Z1141" s="785"/>
      <c r="AA1141" s="797"/>
      <c r="AB1141" s="797"/>
      <c r="AC1141" s="551"/>
      <c r="AD1141" s="551"/>
      <c r="AE1141" s="551"/>
      <c r="AF1141" s="551"/>
      <c r="AG1141" s="551"/>
      <c r="AH1141" s="551"/>
      <c r="AI1141" s="704"/>
      <c r="AJ1141" s="704"/>
      <c r="AK1141" s="704"/>
      <c r="AL1141" s="704"/>
      <c r="AM1141" s="704"/>
      <c r="AN1141" s="704"/>
      <c r="AO1141" s="704"/>
      <c r="AP1141" s="704"/>
      <c r="AQ1141" s="704"/>
      <c r="AR1141" s="704"/>
      <c r="AS1141" s="704"/>
    </row>
    <row r="1142" spans="1:45" s="265" customFormat="1" ht="30" hidden="1" customHeight="1" x14ac:dyDescent="0.25">
      <c r="A1142" s="2191"/>
      <c r="B1142" s="2108"/>
      <c r="C1142" s="999"/>
      <c r="D1142" s="1000" t="s">
        <v>10</v>
      </c>
      <c r="E1142" s="988">
        <v>46247</v>
      </c>
      <c r="F1142" s="994">
        <f t="shared" ref="F1142" si="714">$L$7-E1142</f>
        <v>39</v>
      </c>
      <c r="G1142" s="1395">
        <v>0</v>
      </c>
      <c r="H1142" s="1395"/>
      <c r="I1142" s="1395"/>
      <c r="J1142" s="1396"/>
      <c r="K1142" s="1395">
        <f>IFERROR(SUMIF(INTAKE!$A:$A,$T1142,INTAKE!$P:$P),0)</f>
        <v>0</v>
      </c>
      <c r="L1142" s="1702">
        <f t="shared" ref="L1142" si="715">+G1142+H1142+I1142-J1142-K1142</f>
        <v>0</v>
      </c>
      <c r="M1142" s="174"/>
      <c r="N1142" s="1001"/>
      <c r="O1142" s="174"/>
      <c r="P1142" s="873"/>
      <c r="Q1142" s="795"/>
      <c r="R1142" s="785">
        <f>IFERROR(VLOOKUP($Q1142,'391'!$S:$Z,8,0),"")</f>
        <v>0</v>
      </c>
      <c r="S1142" s="796"/>
      <c r="T1142" s="797" t="str">
        <f>$Q$1145&amp;C1142&amp;E1142</f>
        <v>Axtra# PRIME 501 T (Singapore)46247</v>
      </c>
      <c r="U1142" s="797"/>
      <c r="V1142" s="797"/>
      <c r="W1142" s="785">
        <f>IFERROR(VLOOKUP($Q1142,'391'!$S:$AG,15,0),0)</f>
        <v>0</v>
      </c>
      <c r="X1142" s="1090">
        <f t="shared" ref="X1142" si="716">G1142-W1142</f>
        <v>0</v>
      </c>
      <c r="Y1142" s="785"/>
      <c r="Z1142" s="785"/>
      <c r="AA1142" s="797"/>
      <c r="AB1142" s="797"/>
      <c r="AC1142" s="551"/>
      <c r="AD1142" s="551"/>
      <c r="AE1142" s="551"/>
      <c r="AF1142" s="551"/>
      <c r="AG1142" s="551"/>
      <c r="AH1142" s="551"/>
      <c r="AI1142" s="704"/>
      <c r="AJ1142" s="704"/>
      <c r="AK1142" s="704"/>
      <c r="AL1142" s="704"/>
      <c r="AM1142" s="704"/>
      <c r="AN1142" s="704"/>
      <c r="AO1142" s="704"/>
      <c r="AP1142" s="704"/>
      <c r="AQ1142" s="704"/>
      <c r="AR1142" s="704"/>
      <c r="AS1142" s="704"/>
    </row>
    <row r="1143" spans="1:45" s="265" customFormat="1" ht="30" hidden="1" customHeight="1" x14ac:dyDescent="0.25">
      <c r="A1143" s="2028"/>
      <c r="B1143" s="2025"/>
      <c r="C1143" s="999"/>
      <c r="D1143" s="1000" t="s">
        <v>10</v>
      </c>
      <c r="E1143" s="988">
        <v>46149</v>
      </c>
      <c r="F1143" s="994">
        <f t="shared" ref="F1143:F1144" si="717">$L$7-E1143</f>
        <v>137</v>
      </c>
      <c r="G1143" s="1395">
        <v>0</v>
      </c>
      <c r="H1143" s="1395"/>
      <c r="I1143" s="1395"/>
      <c r="J1143" s="1396"/>
      <c r="K1143" s="1395">
        <f>IFERROR(SUMIF(INTAKE!$A:$A,$T1143,INTAKE!$P:$P),0)</f>
        <v>0</v>
      </c>
      <c r="L1143" s="1702">
        <f t="shared" si="711"/>
        <v>0</v>
      </c>
      <c r="M1143" s="174"/>
      <c r="N1143" s="1001"/>
      <c r="O1143" s="174"/>
      <c r="P1143" s="873"/>
      <c r="Q1143" s="795"/>
      <c r="R1143" s="785">
        <f>IFERROR(VLOOKUP($Q1143,'391'!$S:$Z,8,0),"")</f>
        <v>0</v>
      </c>
      <c r="S1143" s="796"/>
      <c r="T1143" s="797" t="str">
        <f>$Q$1145&amp;C1143&amp;E1143</f>
        <v>Axtra# PRIME 501 T (Singapore)46149</v>
      </c>
      <c r="U1143" s="797"/>
      <c r="V1143" s="797"/>
      <c r="W1143" s="785">
        <f>IFERROR(VLOOKUP($Q1143,'391'!$S:$AG,15,0),0)</f>
        <v>0</v>
      </c>
      <c r="X1143" s="1090">
        <f t="shared" si="712"/>
        <v>0</v>
      </c>
      <c r="Y1143" s="785"/>
      <c r="Z1143" s="785"/>
      <c r="AA1143" s="797"/>
      <c r="AB1143" s="797"/>
      <c r="AC1143" s="551"/>
      <c r="AD1143" s="551"/>
      <c r="AE1143" s="551"/>
      <c r="AF1143" s="551"/>
      <c r="AG1143" s="551"/>
      <c r="AH1143" s="551"/>
      <c r="AI1143" s="704"/>
      <c r="AJ1143" s="704"/>
      <c r="AK1143" s="704"/>
      <c r="AL1143" s="704"/>
      <c r="AM1143" s="704"/>
      <c r="AN1143" s="704"/>
      <c r="AO1143" s="704"/>
      <c r="AP1143" s="704"/>
      <c r="AQ1143" s="704"/>
      <c r="AR1143" s="704"/>
      <c r="AS1143" s="704"/>
    </row>
    <row r="1144" spans="1:45" s="418" customFormat="1" ht="30" customHeight="1" x14ac:dyDescent="0.25">
      <c r="A1144" s="2029"/>
      <c r="B1144" s="2026"/>
      <c r="C1144" s="108" t="s">
        <v>46</v>
      </c>
      <c r="D1144" s="990" t="s">
        <v>10</v>
      </c>
      <c r="E1144" s="991">
        <v>46247</v>
      </c>
      <c r="F1144" s="363">
        <f t="shared" si="717"/>
        <v>39</v>
      </c>
      <c r="G1144" s="1372">
        <v>164.26999999999998</v>
      </c>
      <c r="H1144" s="1372"/>
      <c r="I1144" s="1372">
        <f>+SUM(K1140:K1141)</f>
        <v>0</v>
      </c>
      <c r="J1144" s="1373">
        <f>usage!I221</f>
        <v>0</v>
      </c>
      <c r="K1144" s="1395">
        <f>IFERROR(SUMIF(INTAKE!$A:$A,$T1144,INTAKE!$P:$P),0)</f>
        <v>0</v>
      </c>
      <c r="L1144" s="1533">
        <f t="shared" si="711"/>
        <v>164.26999999999998</v>
      </c>
      <c r="M1144" s="175"/>
      <c r="N1144" s="1002"/>
      <c r="O1144" s="175"/>
      <c r="P1144" s="905"/>
      <c r="Q1144" s="795"/>
      <c r="R1144" s="785">
        <f>IFERROR(VLOOKUP($Q1144,'391'!$S:$Z,8,0),"")</f>
        <v>0</v>
      </c>
      <c r="S1144" s="796"/>
      <c r="T1144" s="797" t="str">
        <f>$Q$1145&amp;C1144&amp;E1144</f>
        <v>Axtra# PRIME 501 T (Singapore)Feedmill46247</v>
      </c>
      <c r="U1144" s="797"/>
      <c r="V1144" s="797"/>
      <c r="W1144" s="785">
        <f>IFERROR(VLOOKUP($Q1144,'391'!$S:$AG,15,0),0)</f>
        <v>0</v>
      </c>
      <c r="X1144" s="1090">
        <f t="shared" si="712"/>
        <v>164.26999999999998</v>
      </c>
      <c r="Y1144" s="785"/>
      <c r="Z1144" s="785"/>
      <c r="AA1144" s="797"/>
      <c r="AB1144" s="797"/>
      <c r="AC1144" s="551"/>
      <c r="AD1144" s="551"/>
      <c r="AE1144" s="551"/>
      <c r="AF1144" s="551"/>
      <c r="AG1144" s="551"/>
      <c r="AH1144" s="551"/>
      <c r="AI1144" s="704"/>
      <c r="AJ1144" s="704"/>
      <c r="AK1144" s="704"/>
      <c r="AL1144" s="704"/>
      <c r="AM1144" s="704"/>
      <c r="AN1144" s="704"/>
      <c r="AO1144" s="704"/>
      <c r="AP1144" s="704"/>
      <c r="AQ1144" s="704"/>
      <c r="AR1144" s="704"/>
      <c r="AS1144" s="704"/>
    </row>
    <row r="1145" spans="1:45" s="265" customFormat="1" ht="30" customHeight="1" x14ac:dyDescent="0.25">
      <c r="A1145" s="845"/>
      <c r="B1145" s="846" t="s">
        <v>1803</v>
      </c>
      <c r="C1145" s="88"/>
      <c r="D1145" s="930"/>
      <c r="E1145" s="930"/>
      <c r="F1145" s="931"/>
      <c r="G1145" s="1297">
        <v>814.27</v>
      </c>
      <c r="H1145" s="1297">
        <f t="shared" ref="H1145:L1145" si="718">SUM(H1140:H1144)</f>
        <v>0</v>
      </c>
      <c r="I1145" s="1297">
        <f t="shared" si="718"/>
        <v>0</v>
      </c>
      <c r="J1145" s="1297">
        <f t="shared" si="718"/>
        <v>0</v>
      </c>
      <c r="K1145" s="1297">
        <f t="shared" si="718"/>
        <v>0</v>
      </c>
      <c r="L1145" s="1297">
        <f t="shared" si="718"/>
        <v>814.27</v>
      </c>
      <c r="M1145" s="59">
        <f>IFERROR(R1145/$S$2,"")</f>
        <v>42.373333333333335</v>
      </c>
      <c r="N1145" s="854">
        <f>IFERROR(L1145/M1145,0)</f>
        <v>19.216567023285084</v>
      </c>
      <c r="O1145" s="982">
        <f>IFERROR(SUMIF(ETM!$A:$A,$Q1145,ETM!$E:$E),"")</f>
        <v>34.166666666666664</v>
      </c>
      <c r="P1145" s="880">
        <f>IFERROR(L1145/O1145,0)</f>
        <v>23.83229268292683</v>
      </c>
      <c r="Q1145" s="814" t="s">
        <v>1802</v>
      </c>
      <c r="R1145" s="785">
        <f>IFERROR(VLOOKUP($Q1145,'391'!$S:$Z,8,0),"")</f>
        <v>254.24</v>
      </c>
      <c r="S1145" s="796"/>
      <c r="T1145" s="797"/>
      <c r="U1145" s="797"/>
      <c r="V1145" s="797"/>
      <c r="W1145" s="785">
        <f>IFERROR(VLOOKUP($Q1145,'391'!$S:$AG,15,0),0)</f>
        <v>814.27</v>
      </c>
      <c r="X1145" s="1090">
        <f t="shared" si="712"/>
        <v>0</v>
      </c>
      <c r="Y1145" s="785"/>
      <c r="Z1145" s="785"/>
      <c r="AA1145" s="797"/>
      <c r="AB1145" s="797"/>
      <c r="AC1145" s="551"/>
      <c r="AD1145" s="551"/>
      <c r="AE1145" s="551"/>
      <c r="AF1145" s="551"/>
      <c r="AG1145" s="551"/>
      <c r="AH1145" s="551"/>
      <c r="AI1145" s="704"/>
      <c r="AJ1145" s="704"/>
      <c r="AK1145" s="704"/>
      <c r="AL1145" s="704"/>
      <c r="AM1145" s="704"/>
      <c r="AN1145" s="704"/>
      <c r="AO1145" s="704"/>
      <c r="AP1145" s="704"/>
      <c r="AQ1145" s="704"/>
      <c r="AR1145" s="704"/>
      <c r="AS1145" s="704"/>
    </row>
    <row r="1146" spans="1:45" s="265" customFormat="1" ht="30" hidden="1" customHeight="1" x14ac:dyDescent="0.25">
      <c r="A1146" s="2027" t="str">
        <f>IF(L1150=0,"",MAX($A$16:A1145)+1)</f>
        <v/>
      </c>
      <c r="B1146" s="2024" t="s">
        <v>97</v>
      </c>
      <c r="C1146" s="999"/>
      <c r="D1146" s="1000" t="s">
        <v>10</v>
      </c>
      <c r="E1146" s="988">
        <v>46010</v>
      </c>
      <c r="F1146" s="994">
        <f t="shared" ref="F1146" si="719">$L$7-E1146</f>
        <v>276</v>
      </c>
      <c r="G1146" s="1395">
        <v>0</v>
      </c>
      <c r="H1146" s="1395"/>
      <c r="I1146" s="1395"/>
      <c r="J1146" s="1396"/>
      <c r="K1146" s="1395">
        <f>IFERROR(SUMIF(INTAKE!$A:$A,$T1146,INTAKE!$P:$P),0)</f>
        <v>0</v>
      </c>
      <c r="L1146" s="1702">
        <f t="shared" si="708"/>
        <v>0</v>
      </c>
      <c r="M1146" s="50"/>
      <c r="N1146" s="167"/>
      <c r="O1146" s="50"/>
      <c r="P1146" s="747"/>
      <c r="Q1146" s="795"/>
      <c r="R1146" s="785">
        <f>IFERROR(VLOOKUP($Q1146,'391'!$S:$Z,8,0),"")</f>
        <v>0</v>
      </c>
      <c r="S1146" s="796"/>
      <c r="T1146" s="797" t="str">
        <f>$Q$1150&amp;C1146&amp;E1146</f>
        <v>Porzyme TP-100HP Dry (Finland)46010</v>
      </c>
      <c r="U1146" s="797"/>
      <c r="V1146" s="797"/>
      <c r="W1146" s="785">
        <f>IFERROR(VLOOKUP($Q1146,'391'!$S:$AG,15,0),0)</f>
        <v>0</v>
      </c>
      <c r="X1146" s="1090">
        <f t="shared" si="678"/>
        <v>0</v>
      </c>
      <c r="Y1146" s="785"/>
      <c r="Z1146" s="785"/>
      <c r="AA1146" s="797"/>
      <c r="AB1146" s="797"/>
      <c r="AC1146" s="551"/>
      <c r="AD1146" s="551"/>
      <c r="AE1146" s="551"/>
      <c r="AF1146" s="551"/>
      <c r="AG1146" s="551"/>
      <c r="AH1146" s="551"/>
      <c r="AI1146" s="704"/>
      <c r="AJ1146" s="704"/>
      <c r="AK1146" s="704"/>
      <c r="AL1146" s="704"/>
      <c r="AM1146" s="704"/>
      <c r="AN1146" s="704"/>
      <c r="AO1146" s="704"/>
      <c r="AP1146" s="704"/>
      <c r="AQ1146" s="704"/>
      <c r="AR1146" s="704"/>
      <c r="AS1146" s="704"/>
    </row>
    <row r="1147" spans="1:45" s="265" customFormat="1" ht="29.1" hidden="1" customHeight="1" x14ac:dyDescent="0.25">
      <c r="A1147" s="2028"/>
      <c r="B1147" s="2025"/>
      <c r="C1147" s="999"/>
      <c r="D1147" s="1000" t="s">
        <v>10</v>
      </c>
      <c r="E1147" s="988">
        <v>46045</v>
      </c>
      <c r="F1147" s="994">
        <f t="shared" ref="F1147" si="720">$L$7-E1147</f>
        <v>241</v>
      </c>
      <c r="G1147" s="1395">
        <v>0</v>
      </c>
      <c r="H1147" s="1395"/>
      <c r="I1147" s="1395"/>
      <c r="J1147" s="1396"/>
      <c r="K1147" s="1395">
        <f>IFERROR(SUMIF(INTAKE!$A:$A,$T1147,INTAKE!$P:$P),0)</f>
        <v>0</v>
      </c>
      <c r="L1147" s="1702">
        <f t="shared" si="708"/>
        <v>0</v>
      </c>
      <c r="M1147" s="48"/>
      <c r="N1147" s="163"/>
      <c r="O1147" s="48"/>
      <c r="P1147" s="750"/>
      <c r="Q1147" s="795"/>
      <c r="R1147" s="785">
        <f>IFERROR(VLOOKUP($Q1147,'391'!$S:$Z,8,0),"")</f>
        <v>0</v>
      </c>
      <c r="S1147" s="796"/>
      <c r="T1147" s="797" t="str">
        <f>$Q$1150&amp;C1147&amp;E1147</f>
        <v>Porzyme TP-100HP Dry (Finland)46045</v>
      </c>
      <c r="U1147" s="797"/>
      <c r="V1147" s="797"/>
      <c r="W1147" s="785">
        <f>IFERROR(VLOOKUP($Q1147,'391'!$S:$AG,15,0),0)</f>
        <v>0</v>
      </c>
      <c r="X1147" s="1090">
        <f t="shared" si="678"/>
        <v>0</v>
      </c>
      <c r="Y1147" s="785"/>
      <c r="Z1147" s="785"/>
      <c r="AA1147" s="797"/>
      <c r="AB1147" s="797"/>
      <c r="AC1147" s="551"/>
      <c r="AD1147" s="551"/>
      <c r="AE1147" s="551"/>
      <c r="AF1147" s="551"/>
      <c r="AG1147" s="551"/>
      <c r="AH1147" s="551"/>
      <c r="AI1147" s="704"/>
      <c r="AJ1147" s="704"/>
      <c r="AK1147" s="704"/>
      <c r="AL1147" s="704"/>
      <c r="AM1147" s="704"/>
      <c r="AN1147" s="704"/>
      <c r="AO1147" s="704"/>
      <c r="AP1147" s="704"/>
      <c r="AQ1147" s="704"/>
      <c r="AR1147" s="704"/>
      <c r="AS1147" s="704"/>
    </row>
    <row r="1148" spans="1:45" s="265" customFormat="1" ht="30" hidden="1" customHeight="1" x14ac:dyDescent="0.25">
      <c r="A1148" s="2028"/>
      <c r="B1148" s="2025"/>
      <c r="C1148" s="999"/>
      <c r="D1148" s="1000" t="s">
        <v>10</v>
      </c>
      <c r="E1148" s="988">
        <v>43295</v>
      </c>
      <c r="F1148" s="994">
        <f t="shared" ref="F1148:F1149" si="721">$L$7-E1148</f>
        <v>2991</v>
      </c>
      <c r="G1148" s="1395">
        <v>0</v>
      </c>
      <c r="H1148" s="1395"/>
      <c r="I1148" s="1395"/>
      <c r="J1148" s="1396"/>
      <c r="K1148" s="1395">
        <f>IFERROR(SUMIF(INTAKE!$A:$A,$T1148,INTAKE!$P:$P),0)</f>
        <v>0</v>
      </c>
      <c r="L1148" s="1533">
        <f t="shared" si="708"/>
        <v>0</v>
      </c>
      <c r="M1148" s="174"/>
      <c r="N1148" s="1001"/>
      <c r="O1148" s="174"/>
      <c r="P1148" s="873"/>
      <c r="Q1148" s="795"/>
      <c r="R1148" s="785">
        <f>IFERROR(VLOOKUP($Q1148,'391'!$S:$Z,8,0),"")</f>
        <v>0</v>
      </c>
      <c r="S1148" s="796"/>
      <c r="T1148" s="797" t="str">
        <f>$Q$1150&amp;C1148&amp;E1148</f>
        <v>Porzyme TP-100HP Dry (Finland)43295</v>
      </c>
      <c r="U1148" s="797"/>
      <c r="V1148" s="797"/>
      <c r="W1148" s="785">
        <f>IFERROR(VLOOKUP($Q1148,'391'!$S:$AG,15,0),0)</f>
        <v>0</v>
      </c>
      <c r="X1148" s="1090">
        <f t="shared" si="678"/>
        <v>0</v>
      </c>
      <c r="Y1148" s="785"/>
      <c r="Z1148" s="785"/>
      <c r="AA1148" s="797"/>
      <c r="AB1148" s="797"/>
      <c r="AC1148" s="551"/>
      <c r="AD1148" s="551"/>
      <c r="AE1148" s="551"/>
      <c r="AF1148" s="551"/>
      <c r="AG1148" s="551"/>
      <c r="AH1148" s="551"/>
      <c r="AI1148" s="704"/>
      <c r="AJ1148" s="704"/>
      <c r="AK1148" s="704"/>
      <c r="AL1148" s="704"/>
      <c r="AM1148" s="704"/>
      <c r="AN1148" s="704"/>
      <c r="AO1148" s="704"/>
      <c r="AP1148" s="704"/>
      <c r="AQ1148" s="704"/>
      <c r="AR1148" s="704"/>
      <c r="AS1148" s="704"/>
    </row>
    <row r="1149" spans="1:45" s="418" customFormat="1" ht="30" hidden="1" customHeight="1" x14ac:dyDescent="0.25">
      <c r="A1149" s="2029"/>
      <c r="B1149" s="2026"/>
      <c r="C1149" s="108" t="s">
        <v>46</v>
      </c>
      <c r="D1149" s="990" t="s">
        <v>10</v>
      </c>
      <c r="E1149" s="991">
        <v>46045</v>
      </c>
      <c r="F1149" s="363">
        <f t="shared" si="721"/>
        <v>241</v>
      </c>
      <c r="G1149" s="1372">
        <v>0</v>
      </c>
      <c r="H1149" s="1372"/>
      <c r="I1149" s="1372">
        <f>+SUM(K1146:K1147)</f>
        <v>0</v>
      </c>
      <c r="J1149" s="1373">
        <f>+usage!I87</f>
        <v>0</v>
      </c>
      <c r="K1149" s="1395">
        <f>IFERROR(SUMIF(INTAKE!$A:$A,$T1149,INTAKE!$P:$P),0)</f>
        <v>0</v>
      </c>
      <c r="L1149" s="1533">
        <f t="shared" si="708"/>
        <v>0</v>
      </c>
      <c r="M1149" s="175"/>
      <c r="N1149" s="1002"/>
      <c r="O1149" s="175"/>
      <c r="P1149" s="905"/>
      <c r="Q1149" s="795"/>
      <c r="R1149" s="785">
        <f>IFERROR(VLOOKUP($Q1149,'391'!$S:$Z,8,0),"")</f>
        <v>0</v>
      </c>
      <c r="S1149" s="796"/>
      <c r="T1149" s="797" t="str">
        <f>$Q$1150&amp;C1149&amp;E1149</f>
        <v>Porzyme TP-100HP Dry (Finland)Feedmill46045</v>
      </c>
      <c r="U1149" s="797"/>
      <c r="V1149" s="797"/>
      <c r="W1149" s="785">
        <f>IFERROR(VLOOKUP($Q1149,'391'!$S:$AG,15,0),0)</f>
        <v>0</v>
      </c>
      <c r="X1149" s="1090">
        <f t="shared" si="678"/>
        <v>0</v>
      </c>
      <c r="Y1149" s="785"/>
      <c r="Z1149" s="785"/>
      <c r="AA1149" s="797"/>
      <c r="AB1149" s="797"/>
      <c r="AC1149" s="551"/>
      <c r="AD1149" s="551"/>
      <c r="AE1149" s="551"/>
      <c r="AF1149" s="551"/>
      <c r="AG1149" s="551"/>
      <c r="AH1149" s="551"/>
      <c r="AI1149" s="704"/>
      <c r="AJ1149" s="704"/>
      <c r="AK1149" s="704"/>
      <c r="AL1149" s="704"/>
      <c r="AM1149" s="704"/>
      <c r="AN1149" s="704"/>
      <c r="AO1149" s="704"/>
      <c r="AP1149" s="704"/>
      <c r="AQ1149" s="704"/>
      <c r="AR1149" s="704"/>
      <c r="AS1149" s="704"/>
    </row>
    <row r="1150" spans="1:45" s="265" customFormat="1" ht="30" hidden="1" customHeight="1" x14ac:dyDescent="0.25">
      <c r="A1150" s="845"/>
      <c r="B1150" s="846" t="s">
        <v>296</v>
      </c>
      <c r="C1150" s="88"/>
      <c r="D1150" s="930"/>
      <c r="E1150" s="930"/>
      <c r="F1150" s="931"/>
      <c r="G1150" s="1297">
        <v>0</v>
      </c>
      <c r="H1150" s="1297">
        <f>SUM(H1146:H1149)</f>
        <v>0</v>
      </c>
      <c r="I1150" s="1297">
        <f>SUM(I1146:I1149)</f>
        <v>0</v>
      </c>
      <c r="J1150" s="1297">
        <f>SUM(J1146:J1149)</f>
        <v>0</v>
      </c>
      <c r="K1150" s="1297">
        <f>SUM(K1146:K1149)</f>
        <v>0</v>
      </c>
      <c r="L1150" s="1297">
        <f>SUM(L1146:L1149)</f>
        <v>0</v>
      </c>
      <c r="M1150" s="982" t="str">
        <f>IFERROR(R1150/$S$2,"")</f>
        <v/>
      </c>
      <c r="N1150" s="854">
        <f>IFERROR(L1150/M1150,0)</f>
        <v>0</v>
      </c>
      <c r="O1150" s="982">
        <f>IFERROR(SUMIF(ETM!$A:$A,$Q1150,ETM!$E:$E),"")</f>
        <v>0</v>
      </c>
      <c r="P1150" s="880">
        <f>IFERROR(L1150/O1150,0)</f>
        <v>0</v>
      </c>
      <c r="Q1150" s="814" t="s">
        <v>97</v>
      </c>
      <c r="R1150" s="785" t="str">
        <f>IFERROR(VLOOKUP($Q1150,'391'!$S:$Z,8,0),"")</f>
        <v/>
      </c>
      <c r="S1150" s="796"/>
      <c r="T1150" s="797"/>
      <c r="U1150" s="797"/>
      <c r="V1150" s="797"/>
      <c r="W1150" s="785">
        <f>IFERROR(VLOOKUP($Q1150,'391'!$S:$AG,15,0),0)</f>
        <v>0</v>
      </c>
      <c r="X1150" s="1090">
        <f t="shared" si="678"/>
        <v>0</v>
      </c>
      <c r="Y1150" s="785"/>
      <c r="Z1150" s="785"/>
      <c r="AA1150" s="797"/>
      <c r="AB1150" s="797"/>
      <c r="AC1150" s="551"/>
      <c r="AD1150" s="551"/>
      <c r="AE1150" s="551"/>
      <c r="AF1150" s="551"/>
      <c r="AG1150" s="551"/>
      <c r="AH1150" s="551"/>
      <c r="AI1150" s="704"/>
      <c r="AJ1150" s="704"/>
      <c r="AK1150" s="704"/>
      <c r="AL1150" s="704"/>
      <c r="AM1150" s="704"/>
      <c r="AN1150" s="704"/>
      <c r="AO1150" s="704"/>
      <c r="AP1150" s="704"/>
      <c r="AQ1150" s="704"/>
      <c r="AR1150" s="704"/>
      <c r="AS1150" s="704"/>
    </row>
    <row r="1151" spans="1:45" s="265" customFormat="1" ht="30" hidden="1" customHeight="1" x14ac:dyDescent="0.25">
      <c r="A1151" s="2027" t="str">
        <f>IF(L1156=0,"",MAX($A$16:A1150)+1)</f>
        <v/>
      </c>
      <c r="B1151" s="2024" t="s">
        <v>241</v>
      </c>
      <c r="C1151" s="127"/>
      <c r="D1151" s="881" t="s">
        <v>10</v>
      </c>
      <c r="E1151" s="882">
        <v>44861</v>
      </c>
      <c r="F1151" s="71">
        <f>$L$7-E1151</f>
        <v>1425</v>
      </c>
      <c r="G1151" s="64">
        <v>0</v>
      </c>
      <c r="H1151" s="64"/>
      <c r="I1151" s="64"/>
      <c r="J1151" s="1367"/>
      <c r="K1151" s="64">
        <f>IFERROR(SUMIF(INTAKE!$A:$A,$T1151,INTAKE!$P:$P),0)</f>
        <v>0</v>
      </c>
      <c r="L1151" s="1533">
        <f t="shared" ref="L1151:L1162" si="722">+G1151+H1151+I1151-J1151-K1151</f>
        <v>0</v>
      </c>
      <c r="M1151" s="51"/>
      <c r="N1151" s="953"/>
      <c r="O1151" s="51"/>
      <c r="P1151" s="762"/>
      <c r="Q1151" s="795"/>
      <c r="R1151" s="785">
        <f>IFERROR(VLOOKUP($Q1151,'391'!$S:$Z,8,0),"")</f>
        <v>0</v>
      </c>
      <c r="S1151" s="796"/>
      <c r="T1151" s="797" t="str">
        <f>$Q$1156&amp;C1151&amp;E1151</f>
        <v>AVATEC 15%44861</v>
      </c>
      <c r="U1151" s="797"/>
      <c r="V1151" s="797"/>
      <c r="W1151" s="785">
        <f>IFERROR(VLOOKUP($Q1151,'391'!$S:$AG,15,0),0)</f>
        <v>0</v>
      </c>
      <c r="X1151" s="1090">
        <f t="shared" si="678"/>
        <v>0</v>
      </c>
      <c r="Y1151" s="785"/>
      <c r="Z1151" s="785"/>
      <c r="AA1151" s="797"/>
      <c r="AB1151" s="797"/>
      <c r="AC1151" s="551"/>
      <c r="AD1151" s="551"/>
      <c r="AE1151" s="551"/>
      <c r="AF1151" s="551"/>
      <c r="AG1151" s="551"/>
      <c r="AH1151" s="551"/>
      <c r="AI1151" s="704"/>
      <c r="AJ1151" s="704"/>
      <c r="AK1151" s="704"/>
      <c r="AL1151" s="704"/>
      <c r="AM1151" s="704"/>
      <c r="AN1151" s="704"/>
      <c r="AO1151" s="704"/>
      <c r="AP1151" s="704"/>
      <c r="AQ1151" s="704"/>
      <c r="AR1151" s="704"/>
      <c r="AS1151" s="704"/>
    </row>
    <row r="1152" spans="1:45" s="265" customFormat="1" ht="30" hidden="1" customHeight="1" x14ac:dyDescent="0.25">
      <c r="A1152" s="2028"/>
      <c r="B1152" s="2025"/>
      <c r="C1152" s="127" t="s">
        <v>581</v>
      </c>
      <c r="D1152" s="881" t="s">
        <v>10</v>
      </c>
      <c r="E1152" s="882">
        <v>45205</v>
      </c>
      <c r="F1152" s="71">
        <f>$L$7-E1152</f>
        <v>1081</v>
      </c>
      <c r="G1152" s="64">
        <v>0</v>
      </c>
      <c r="H1152" s="64"/>
      <c r="I1152" s="64"/>
      <c r="J1152" s="1367"/>
      <c r="K1152" s="64">
        <f>IFERROR(SUMIF(INTAKE!$A:$A,$T1152,INTAKE!$P:$P),0)</f>
        <v>0</v>
      </c>
      <c r="L1152" s="1533">
        <f t="shared" si="722"/>
        <v>0</v>
      </c>
      <c r="M1152" s="48"/>
      <c r="N1152" s="163"/>
      <c r="O1152" s="48"/>
      <c r="P1152" s="750"/>
      <c r="Q1152" s="795"/>
      <c r="R1152" s="785">
        <f>IFERROR(VLOOKUP($Q1152,'391'!$S:$Z,8,0),"")</f>
        <v>0</v>
      </c>
      <c r="S1152" s="796"/>
      <c r="T1152" s="797" t="str">
        <f>$Q$1156&amp;C1152&amp;E1152</f>
        <v>AVATEC 15%V5.145205</v>
      </c>
      <c r="U1152" s="797"/>
      <c r="V1152" s="797"/>
      <c r="W1152" s="785">
        <f>IFERROR(VLOOKUP($Q1152,'391'!$S:$AG,15,0),0)</f>
        <v>0</v>
      </c>
      <c r="X1152" s="1090">
        <f t="shared" si="678"/>
        <v>0</v>
      </c>
      <c r="Y1152" s="785"/>
      <c r="Z1152" s="785"/>
      <c r="AA1152" s="797"/>
      <c r="AB1152" s="797"/>
      <c r="AC1152" s="551"/>
      <c r="AD1152" s="551"/>
      <c r="AE1152" s="551"/>
      <c r="AF1152" s="551"/>
      <c r="AG1152" s="551"/>
      <c r="AH1152" s="551"/>
      <c r="AI1152" s="704"/>
      <c r="AJ1152" s="704"/>
      <c r="AK1152" s="704"/>
      <c r="AL1152" s="704"/>
      <c r="AM1152" s="704"/>
      <c r="AN1152" s="704"/>
      <c r="AO1152" s="704"/>
      <c r="AP1152" s="704"/>
      <c r="AQ1152" s="704"/>
      <c r="AR1152" s="704"/>
      <c r="AS1152" s="704"/>
    </row>
    <row r="1153" spans="1:45" s="265" customFormat="1" ht="30" hidden="1" customHeight="1" x14ac:dyDescent="0.25">
      <c r="A1153" s="2028"/>
      <c r="B1153" s="2025"/>
      <c r="C1153" s="127"/>
      <c r="D1153" s="881" t="s">
        <v>10</v>
      </c>
      <c r="E1153" s="882">
        <v>45205</v>
      </c>
      <c r="F1153" s="71">
        <f>$L$7-E1153</f>
        <v>1081</v>
      </c>
      <c r="G1153" s="64">
        <v>0</v>
      </c>
      <c r="H1153" s="64"/>
      <c r="I1153" s="64"/>
      <c r="J1153" s="1367"/>
      <c r="K1153" s="64">
        <f>IFERROR(SUMIF(INTAKE!$A:$A,$T1153,INTAKE!$P:$P),0)</f>
        <v>0</v>
      </c>
      <c r="L1153" s="1533">
        <f t="shared" si="722"/>
        <v>0</v>
      </c>
      <c r="M1153" s="45"/>
      <c r="N1153" s="162"/>
      <c r="O1153" s="45"/>
      <c r="P1153" s="756"/>
      <c r="Q1153" s="795"/>
      <c r="R1153" s="785">
        <f>IFERROR(VLOOKUP($Q1153,'391'!$S:$Z,8,0),"")</f>
        <v>0</v>
      </c>
      <c r="S1153" s="796"/>
      <c r="T1153" s="797" t="str">
        <f>$Q$1156&amp;C1153&amp;E1153</f>
        <v>AVATEC 15%45205</v>
      </c>
      <c r="U1153" s="797"/>
      <c r="V1153" s="797"/>
      <c r="W1153" s="785">
        <f>IFERROR(VLOOKUP($Q1153,'391'!$S:$AG,15,0),0)</f>
        <v>0</v>
      </c>
      <c r="X1153" s="1090">
        <f t="shared" si="678"/>
        <v>0</v>
      </c>
      <c r="Y1153" s="785"/>
      <c r="Z1153" s="785"/>
      <c r="AA1153" s="797"/>
      <c r="AB1153" s="797"/>
      <c r="AC1153" s="551"/>
      <c r="AD1153" s="551"/>
      <c r="AE1153" s="551"/>
      <c r="AF1153" s="551"/>
      <c r="AG1153" s="551"/>
      <c r="AH1153" s="551"/>
      <c r="AI1153" s="704"/>
      <c r="AJ1153" s="704"/>
      <c r="AK1153" s="704"/>
      <c r="AL1153" s="704"/>
      <c r="AM1153" s="704"/>
      <c r="AN1153" s="704"/>
      <c r="AO1153" s="704"/>
      <c r="AP1153" s="704"/>
      <c r="AQ1153" s="704"/>
      <c r="AR1153" s="704"/>
      <c r="AS1153" s="704"/>
    </row>
    <row r="1154" spans="1:45" s="265" customFormat="1" ht="30" hidden="1" customHeight="1" x14ac:dyDescent="0.25">
      <c r="A1154" s="2028"/>
      <c r="B1154" s="2025"/>
      <c r="C1154" s="127"/>
      <c r="D1154" s="881" t="s">
        <v>10</v>
      </c>
      <c r="E1154" s="882">
        <v>45205</v>
      </c>
      <c r="F1154" s="71">
        <f>$L$7-E1154</f>
        <v>1081</v>
      </c>
      <c r="G1154" s="64">
        <v>0</v>
      </c>
      <c r="H1154" s="64"/>
      <c r="I1154" s="64"/>
      <c r="J1154" s="1367"/>
      <c r="K1154" s="64">
        <f>IFERROR(SUMIF(INTAKE!$A:$A,$T1154,INTAKE!$P:$P),0)</f>
        <v>0</v>
      </c>
      <c r="L1154" s="1533">
        <f t="shared" si="722"/>
        <v>0</v>
      </c>
      <c r="M1154" s="45"/>
      <c r="N1154" s="162"/>
      <c r="O1154" s="45"/>
      <c r="P1154" s="756"/>
      <c r="Q1154" s="795"/>
      <c r="R1154" s="785">
        <f>IFERROR(VLOOKUP($Q1154,'391'!$S:$Z,8,0),"")</f>
        <v>0</v>
      </c>
      <c r="S1154" s="796"/>
      <c r="T1154" s="797" t="str">
        <f>$Q$1156&amp;C1154&amp;E1154</f>
        <v>AVATEC 15%45205</v>
      </c>
      <c r="U1154" s="797"/>
      <c r="V1154" s="797"/>
      <c r="W1154" s="785">
        <f>IFERROR(VLOOKUP($Q1154,'391'!$S:$AG,15,0),0)</f>
        <v>0</v>
      </c>
      <c r="X1154" s="1090">
        <f t="shared" si="678"/>
        <v>0</v>
      </c>
      <c r="Y1154" s="785"/>
      <c r="Z1154" s="785"/>
      <c r="AA1154" s="797"/>
      <c r="AB1154" s="797"/>
      <c r="AC1154" s="551"/>
      <c r="AD1154" s="551"/>
      <c r="AE1154" s="551"/>
      <c r="AF1154" s="551"/>
      <c r="AG1154" s="551"/>
      <c r="AH1154" s="551"/>
      <c r="AI1154" s="704"/>
      <c r="AJ1154" s="704"/>
      <c r="AK1154" s="704"/>
      <c r="AL1154" s="704"/>
      <c r="AM1154" s="704"/>
      <c r="AN1154" s="704"/>
      <c r="AO1154" s="704"/>
      <c r="AP1154" s="704"/>
      <c r="AQ1154" s="704"/>
      <c r="AR1154" s="704"/>
      <c r="AS1154" s="704"/>
    </row>
    <row r="1155" spans="1:45" s="418" customFormat="1" ht="30" hidden="1" customHeight="1" x14ac:dyDescent="0.25">
      <c r="A1155" s="2029"/>
      <c r="B1155" s="2026"/>
      <c r="C1155" s="138" t="s">
        <v>76</v>
      </c>
      <c r="D1155" s="863" t="s">
        <v>10</v>
      </c>
      <c r="E1155" s="886">
        <v>45205</v>
      </c>
      <c r="F1155" s="39">
        <f>$L$7-E1155</f>
        <v>1081</v>
      </c>
      <c r="G1155" s="37">
        <v>0</v>
      </c>
      <c r="H1155" s="37"/>
      <c r="I1155" s="37">
        <f>SUM(K1151:K1154)</f>
        <v>0</v>
      </c>
      <c r="J1155" s="1385">
        <f>+usage!I115</f>
        <v>0</v>
      </c>
      <c r="K1155" s="64">
        <f>IFERROR(SUMIF(INTAKE!$A:$A,$T1155,INTAKE!$P:$P),0)</f>
        <v>0</v>
      </c>
      <c r="L1155" s="1533">
        <f t="shared" si="722"/>
        <v>0</v>
      </c>
      <c r="M1155" s="35"/>
      <c r="N1155" s="87"/>
      <c r="O1155" s="35"/>
      <c r="P1155" s="751"/>
      <c r="Q1155" s="795"/>
      <c r="R1155" s="785">
        <f>IFERROR(VLOOKUP($Q1155,'391'!$S:$Z,8,0),"")</f>
        <v>0</v>
      </c>
      <c r="S1155" s="796"/>
      <c r="T1155" s="797" t="str">
        <f>$Q$1156&amp;C1155&amp;E1155</f>
        <v>AVATEC 15%Feedmil45205</v>
      </c>
      <c r="U1155" s="797"/>
      <c r="V1155" s="797"/>
      <c r="W1155" s="785">
        <f>IFERROR(VLOOKUP($Q1155,'391'!$S:$AG,15,0),0)</f>
        <v>0</v>
      </c>
      <c r="X1155" s="1090">
        <f t="shared" si="678"/>
        <v>0</v>
      </c>
      <c r="Y1155" s="785"/>
      <c r="Z1155" s="785"/>
      <c r="AA1155" s="797"/>
      <c r="AB1155" s="797"/>
      <c r="AC1155" s="551"/>
      <c r="AD1155" s="551"/>
      <c r="AE1155" s="551"/>
      <c r="AF1155" s="551"/>
      <c r="AG1155" s="551"/>
      <c r="AH1155" s="551"/>
      <c r="AI1155" s="704"/>
      <c r="AJ1155" s="704"/>
      <c r="AK1155" s="704"/>
      <c r="AL1155" s="704"/>
      <c r="AM1155" s="704"/>
      <c r="AN1155" s="704"/>
      <c r="AO1155" s="704"/>
      <c r="AP1155" s="704"/>
      <c r="AQ1155" s="704"/>
      <c r="AR1155" s="704"/>
      <c r="AS1155" s="704"/>
    </row>
    <row r="1156" spans="1:45" s="265" customFormat="1" ht="30" hidden="1" customHeight="1" x14ac:dyDescent="0.25">
      <c r="A1156" s="845"/>
      <c r="B1156" s="846" t="s">
        <v>81</v>
      </c>
      <c r="C1156" s="88"/>
      <c r="D1156" s="930"/>
      <c r="E1156" s="1003"/>
      <c r="F1156" s="931"/>
      <c r="G1156" s="1297">
        <v>0</v>
      </c>
      <c r="H1156" s="1344">
        <f t="shared" ref="H1156:I1156" si="723">SUM(H1151:H1155)</f>
        <v>0</v>
      </c>
      <c r="I1156" s="1297">
        <f t="shared" si="723"/>
        <v>0</v>
      </c>
      <c r="J1156" s="1297">
        <f t="shared" ref="J1156:K1156" si="724">+SUM(J1151:J1155)</f>
        <v>0</v>
      </c>
      <c r="K1156" s="1297">
        <f t="shared" si="724"/>
        <v>0</v>
      </c>
      <c r="L1156" s="1533">
        <f t="shared" si="722"/>
        <v>0</v>
      </c>
      <c r="M1156" s="59" t="str">
        <f>IFERROR(R1156/$S$2,"")</f>
        <v/>
      </c>
      <c r="N1156" s="854">
        <f>IFERROR(L1156/M1156,0)</f>
        <v>0</v>
      </c>
      <c r="O1156" s="59">
        <f>IFERROR(SUMIF(ETM!$A:$A,$Q1156,ETM!$E:$E),"")</f>
        <v>0</v>
      </c>
      <c r="P1156" s="880">
        <f>IFERROR(L1156/O1156,0)</f>
        <v>0</v>
      </c>
      <c r="Q1156" s="814" t="s">
        <v>679</v>
      </c>
      <c r="R1156" s="785" t="str">
        <f>IFERROR(VLOOKUP($Q1156,'391'!$S:$Z,8,0),"")</f>
        <v/>
      </c>
      <c r="S1156" s="796"/>
      <c r="T1156" s="797"/>
      <c r="U1156" s="797"/>
      <c r="V1156" s="797"/>
      <c r="W1156" s="785">
        <f>IFERROR(VLOOKUP($Q1156,'391'!$S:$AG,15,0),0)</f>
        <v>0</v>
      </c>
      <c r="X1156" s="1090">
        <f t="shared" ref="X1156:X1220" si="725">G1156-W1156</f>
        <v>0</v>
      </c>
      <c r="Y1156" s="785"/>
      <c r="Z1156" s="785"/>
      <c r="AA1156" s="797"/>
      <c r="AB1156" s="797"/>
      <c r="AC1156" s="551"/>
      <c r="AD1156" s="551"/>
      <c r="AE1156" s="551"/>
      <c r="AF1156" s="551"/>
      <c r="AG1156" s="551"/>
      <c r="AH1156" s="551"/>
      <c r="AI1156" s="704"/>
      <c r="AJ1156" s="704"/>
      <c r="AK1156" s="704"/>
      <c r="AL1156" s="704"/>
      <c r="AM1156" s="704"/>
      <c r="AN1156" s="704"/>
      <c r="AO1156" s="704"/>
      <c r="AP1156" s="704"/>
      <c r="AQ1156" s="704"/>
      <c r="AR1156" s="704"/>
      <c r="AS1156" s="704"/>
    </row>
    <row r="1157" spans="1:45" s="414" customFormat="1" ht="30" customHeight="1" x14ac:dyDescent="0.25">
      <c r="A1157" s="2027">
        <f>IF(L1163=0,"",MAX($A$16:A1156)+1)</f>
        <v>76</v>
      </c>
      <c r="B1157" s="2024" t="s">
        <v>1905</v>
      </c>
      <c r="C1157" s="127" t="s">
        <v>1213</v>
      </c>
      <c r="D1157" s="866" t="s">
        <v>10</v>
      </c>
      <c r="E1157" s="867">
        <v>46283</v>
      </c>
      <c r="F1157" s="75">
        <f t="shared" ref="F1157:F1158" si="726">$L$7-E1157</f>
        <v>3</v>
      </c>
      <c r="G1157" s="64">
        <v>0</v>
      </c>
      <c r="H1157" s="64"/>
      <c r="I1157" s="64"/>
      <c r="J1157" s="1367"/>
      <c r="K1157" s="1348">
        <f>IFERROR(SUMIF(INTAKE!$A:$A,$T1157,INTAKE!$P:$P),0)</f>
        <v>0</v>
      </c>
      <c r="L1157" s="1702">
        <f t="shared" si="722"/>
        <v>0</v>
      </c>
      <c r="M1157" s="51"/>
      <c r="N1157" s="953"/>
      <c r="O1157" s="51"/>
      <c r="P1157" s="762"/>
      <c r="Q1157" s="795"/>
      <c r="R1157" s="785">
        <f>IFERROR(VLOOKUP($Q1157,'391'!$S:$Z,8,0),"")</f>
        <v>0</v>
      </c>
      <c r="S1157" s="796"/>
      <c r="T1157" s="797" t="str">
        <f t="shared" ref="T1157:T1162" si="727">$Q$1163&amp;C1157&amp;E1157</f>
        <v>Surmax 100 (U.K)E346283</v>
      </c>
      <c r="U1157" s="797"/>
      <c r="V1157" s="797"/>
      <c r="W1157" s="785">
        <f>IFERROR(VLOOKUP($Q1157,'391'!$S:$AG,15,0),0)</f>
        <v>0</v>
      </c>
      <c r="X1157" s="1090">
        <f t="shared" si="725"/>
        <v>0</v>
      </c>
      <c r="Y1157" s="785"/>
      <c r="Z1157" s="785"/>
      <c r="AA1157" s="797"/>
      <c r="AB1157" s="797"/>
      <c r="AC1157" s="551"/>
      <c r="AD1157" s="551"/>
      <c r="AE1157" s="551"/>
      <c r="AF1157" s="551"/>
      <c r="AG1157" s="551"/>
      <c r="AH1157" s="551"/>
      <c r="AI1157" s="704"/>
      <c r="AJ1157" s="704"/>
      <c r="AK1157" s="704"/>
      <c r="AL1157" s="704"/>
      <c r="AM1157" s="704"/>
      <c r="AN1157" s="704"/>
      <c r="AO1157" s="704"/>
      <c r="AP1157" s="704"/>
      <c r="AQ1157" s="704"/>
      <c r="AR1157" s="704"/>
      <c r="AS1157" s="704"/>
    </row>
    <row r="1158" spans="1:45" s="414" customFormat="1" ht="30" hidden="1" customHeight="1" x14ac:dyDescent="0.25">
      <c r="A1158" s="2028"/>
      <c r="B1158" s="2025"/>
      <c r="C1158" s="127"/>
      <c r="D1158" s="866" t="s">
        <v>10</v>
      </c>
      <c r="E1158" s="867">
        <v>45758</v>
      </c>
      <c r="F1158" s="75">
        <f t="shared" si="726"/>
        <v>528</v>
      </c>
      <c r="G1158" s="64">
        <v>0</v>
      </c>
      <c r="H1158" s="64"/>
      <c r="I1158" s="64"/>
      <c r="J1158" s="1367"/>
      <c r="K1158" s="1710">
        <f>IFERROR(SUMIF(INTAKE!$A:$A,$T1158,INTAKE!$P:$P),0)</f>
        <v>0</v>
      </c>
      <c r="L1158" s="1702">
        <f t="shared" si="722"/>
        <v>0</v>
      </c>
      <c r="M1158" s="48"/>
      <c r="N1158" s="163"/>
      <c r="O1158" s="48"/>
      <c r="P1158" s="750"/>
      <c r="Q1158" s="795"/>
      <c r="R1158" s="785">
        <f>IFERROR(VLOOKUP($Q1158,'391'!$S:$Z,8,0),"")</f>
        <v>0</v>
      </c>
      <c r="S1158" s="796"/>
      <c r="T1158" s="797" t="str">
        <f t="shared" si="727"/>
        <v>Surmax 100 (U.K)45758</v>
      </c>
      <c r="U1158" s="797"/>
      <c r="V1158" s="797"/>
      <c r="W1158" s="785">
        <f>IFERROR(VLOOKUP($Q1158,'391'!$S:$AG,15,0),0)</f>
        <v>0</v>
      </c>
      <c r="X1158" s="1090">
        <f t="shared" si="725"/>
        <v>0</v>
      </c>
      <c r="Y1158" s="785"/>
      <c r="Z1158" s="785"/>
      <c r="AA1158" s="797"/>
      <c r="AB1158" s="797"/>
      <c r="AC1158" s="551"/>
      <c r="AD1158" s="551"/>
      <c r="AE1158" s="551"/>
      <c r="AF1158" s="551"/>
      <c r="AG1158" s="551"/>
      <c r="AH1158" s="551"/>
      <c r="AI1158" s="704"/>
      <c r="AJ1158" s="704"/>
      <c r="AK1158" s="704"/>
      <c r="AL1158" s="704"/>
      <c r="AM1158" s="704"/>
      <c r="AN1158" s="704"/>
      <c r="AO1158" s="704"/>
      <c r="AP1158" s="704"/>
      <c r="AQ1158" s="704"/>
      <c r="AR1158" s="704"/>
      <c r="AS1158" s="704"/>
    </row>
    <row r="1159" spans="1:45" s="414" customFormat="1" ht="30" hidden="1" customHeight="1" x14ac:dyDescent="0.25">
      <c r="A1159" s="2028"/>
      <c r="B1159" s="2025"/>
      <c r="C1159" s="127"/>
      <c r="D1159" s="866" t="s">
        <v>10</v>
      </c>
      <c r="E1159" s="867">
        <v>45660</v>
      </c>
      <c r="F1159" s="75">
        <f t="shared" ref="F1159" si="728">$L$7-E1159</f>
        <v>626</v>
      </c>
      <c r="G1159" s="64">
        <v>0</v>
      </c>
      <c r="H1159" s="64"/>
      <c r="I1159" s="64"/>
      <c r="J1159" s="1367"/>
      <c r="K1159" s="1710">
        <f>IFERROR(SUMIF(INTAKE!$A:$A,$T1159,INTAKE!$P:$P),0)</f>
        <v>0</v>
      </c>
      <c r="L1159" s="1711">
        <f t="shared" si="722"/>
        <v>0</v>
      </c>
      <c r="M1159" s="45"/>
      <c r="N1159" s="162"/>
      <c r="O1159" s="45"/>
      <c r="P1159" s="758"/>
      <c r="Q1159" s="795"/>
      <c r="R1159" s="785">
        <f>IFERROR(VLOOKUP($Q1159,'391'!$S:$Z,8,0),"")</f>
        <v>0</v>
      </c>
      <c r="S1159" s="796"/>
      <c r="T1159" s="797" t="str">
        <f t="shared" si="727"/>
        <v>Surmax 100 (U.K)45660</v>
      </c>
      <c r="U1159" s="797"/>
      <c r="V1159" s="797"/>
      <c r="W1159" s="785">
        <f>IFERROR(VLOOKUP($Q1159,'391'!$S:$AG,15,0),0)</f>
        <v>0</v>
      </c>
      <c r="X1159" s="1090">
        <f t="shared" si="725"/>
        <v>0</v>
      </c>
      <c r="Y1159" s="785"/>
      <c r="Z1159" s="785"/>
      <c r="AA1159" s="797"/>
      <c r="AB1159" s="797"/>
      <c r="AC1159" s="551"/>
      <c r="AD1159" s="551"/>
      <c r="AE1159" s="551"/>
      <c r="AF1159" s="551"/>
      <c r="AG1159" s="551"/>
      <c r="AH1159" s="551"/>
      <c r="AI1159" s="704"/>
      <c r="AJ1159" s="704"/>
      <c r="AK1159" s="704"/>
      <c r="AL1159" s="704"/>
      <c r="AM1159" s="704"/>
      <c r="AN1159" s="704"/>
      <c r="AO1159" s="704"/>
      <c r="AP1159" s="704"/>
      <c r="AQ1159" s="704"/>
      <c r="AR1159" s="704"/>
      <c r="AS1159" s="704"/>
    </row>
    <row r="1160" spans="1:45" s="414" customFormat="1" ht="30" hidden="1" customHeight="1" x14ac:dyDescent="0.25">
      <c r="A1160" s="2028"/>
      <c r="B1160" s="2025"/>
      <c r="C1160" s="127"/>
      <c r="D1160" s="866" t="s">
        <v>10</v>
      </c>
      <c r="E1160" s="867">
        <v>45638</v>
      </c>
      <c r="F1160" s="75">
        <f t="shared" ref="F1160:F1162" si="729">$L$7-E1160</f>
        <v>648</v>
      </c>
      <c r="G1160" s="64">
        <v>0</v>
      </c>
      <c r="H1160" s="64"/>
      <c r="I1160" s="64"/>
      <c r="J1160" s="1367"/>
      <c r="K1160" s="64">
        <f>IFERROR(SUMIF(INTAKE!$A:$A,$T1160,INTAKE!$P:$P),0)</f>
        <v>0</v>
      </c>
      <c r="L1160" s="1533">
        <f t="shared" si="722"/>
        <v>0</v>
      </c>
      <c r="M1160" s="45"/>
      <c r="N1160" s="162"/>
      <c r="O1160" s="45"/>
      <c r="P1160" s="750"/>
      <c r="Q1160" s="795"/>
      <c r="R1160" s="785">
        <f>IFERROR(VLOOKUP($Q1160,'391'!$S:$Z,8,0),"")</f>
        <v>0</v>
      </c>
      <c r="S1160" s="796"/>
      <c r="T1160" s="797" t="str">
        <f t="shared" si="727"/>
        <v>Surmax 100 (U.K)45638</v>
      </c>
      <c r="U1160" s="797"/>
      <c r="V1160" s="797"/>
      <c r="W1160" s="785">
        <f>IFERROR(VLOOKUP($Q1160,'391'!$S:$AG,15,0),0)</f>
        <v>0</v>
      </c>
      <c r="X1160" s="1090">
        <f t="shared" si="725"/>
        <v>0</v>
      </c>
      <c r="Y1160" s="785"/>
      <c r="Z1160" s="785"/>
      <c r="AA1160" s="797"/>
      <c r="AB1160" s="797"/>
      <c r="AC1160" s="551"/>
      <c r="AD1160" s="551"/>
      <c r="AE1160" s="551"/>
      <c r="AF1160" s="551"/>
      <c r="AG1160" s="551"/>
      <c r="AH1160" s="551"/>
      <c r="AI1160" s="704"/>
      <c r="AJ1160" s="704"/>
      <c r="AK1160" s="704"/>
      <c r="AL1160" s="704"/>
      <c r="AM1160" s="704"/>
      <c r="AN1160" s="704"/>
      <c r="AO1160" s="704"/>
      <c r="AP1160" s="704"/>
      <c r="AQ1160" s="704"/>
      <c r="AR1160" s="704"/>
      <c r="AS1160" s="704"/>
    </row>
    <row r="1161" spans="1:45" s="414" customFormat="1" ht="30" hidden="1" customHeight="1" x14ac:dyDescent="0.25">
      <c r="A1161" s="2028"/>
      <c r="B1161" s="2025"/>
      <c r="C1161" s="127"/>
      <c r="D1161" s="866" t="s">
        <v>10</v>
      </c>
      <c r="E1161" s="867">
        <v>43412</v>
      </c>
      <c r="F1161" s="75">
        <f t="shared" si="729"/>
        <v>2874</v>
      </c>
      <c r="G1161" s="64">
        <v>0</v>
      </c>
      <c r="H1161" s="64"/>
      <c r="I1161" s="64"/>
      <c r="J1161" s="1367"/>
      <c r="K1161" s="64">
        <f>IFERROR(SUMIF(INTAKE!$A:$A,$T1161,INTAKE!$P:$P),0)</f>
        <v>0</v>
      </c>
      <c r="L1161" s="1533">
        <f t="shared" si="722"/>
        <v>0</v>
      </c>
      <c r="M1161" s="45"/>
      <c r="N1161" s="162"/>
      <c r="O1161" s="45"/>
      <c r="P1161" s="762"/>
      <c r="Q1161" s="795"/>
      <c r="R1161" s="785">
        <f>IFERROR(VLOOKUP($Q1161,'391'!$S:$Z,8,0),"")</f>
        <v>0</v>
      </c>
      <c r="S1161" s="796"/>
      <c r="T1161" s="797" t="str">
        <f t="shared" si="727"/>
        <v>Surmax 100 (U.K)43412</v>
      </c>
      <c r="U1161" s="797"/>
      <c r="V1161" s="797"/>
      <c r="W1161" s="785">
        <f>IFERROR(VLOOKUP($Q1161,'391'!$S:$AG,15,0),0)</f>
        <v>0</v>
      </c>
      <c r="X1161" s="1090">
        <f t="shared" si="725"/>
        <v>0</v>
      </c>
      <c r="Y1161" s="785"/>
      <c r="Z1161" s="785"/>
      <c r="AA1161" s="797"/>
      <c r="AB1161" s="797"/>
      <c r="AC1161" s="551"/>
      <c r="AD1161" s="551"/>
      <c r="AE1161" s="551"/>
      <c r="AF1161" s="551"/>
      <c r="AG1161" s="551"/>
      <c r="AH1161" s="551"/>
      <c r="AI1161" s="704"/>
      <c r="AJ1161" s="704"/>
      <c r="AK1161" s="704"/>
      <c r="AL1161" s="704"/>
      <c r="AM1161" s="704"/>
      <c r="AN1161" s="704"/>
      <c r="AO1161" s="704"/>
      <c r="AP1161" s="704"/>
      <c r="AQ1161" s="704"/>
      <c r="AR1161" s="704"/>
      <c r="AS1161" s="704"/>
    </row>
    <row r="1162" spans="1:45" s="419" customFormat="1" ht="30" customHeight="1" x14ac:dyDescent="0.25">
      <c r="A1162" s="2029"/>
      <c r="B1162" s="2026"/>
      <c r="C1162" s="108" t="s">
        <v>46</v>
      </c>
      <c r="D1162" s="863" t="s">
        <v>10</v>
      </c>
      <c r="E1162" s="886">
        <v>46283</v>
      </c>
      <c r="F1162" s="39">
        <f t="shared" si="729"/>
        <v>3</v>
      </c>
      <c r="G1162" s="37">
        <v>25.03</v>
      </c>
      <c r="H1162" s="1308"/>
      <c r="I1162" s="1308">
        <f>SUM(K1157:K1160)</f>
        <v>0</v>
      </c>
      <c r="J1162" s="1417">
        <f>+usage!I120</f>
        <v>6.35</v>
      </c>
      <c r="K1162" s="64">
        <f>IFERROR(SUMIF(INTAKE!$A:$A,$T1162,INTAKE!$P:$P),0)</f>
        <v>0</v>
      </c>
      <c r="L1162" s="1533">
        <f t="shared" si="722"/>
        <v>18.68</v>
      </c>
      <c r="M1162" s="177"/>
      <c r="N1162" s="1006"/>
      <c r="O1162" s="177"/>
      <c r="P1162" s="750"/>
      <c r="Q1162" s="795"/>
      <c r="R1162" s="785">
        <f>IFERROR(VLOOKUP($Q1162,'391'!$S:$Z,8,0),"")</f>
        <v>0</v>
      </c>
      <c r="S1162" s="796"/>
      <c r="T1162" s="797" t="str">
        <f t="shared" si="727"/>
        <v>Surmax 100 (U.K)Feedmill46283</v>
      </c>
      <c r="U1162" s="797"/>
      <c r="V1162" s="797"/>
      <c r="W1162" s="785">
        <f>IFERROR(VLOOKUP($Q1162,'391'!$S:$AG,15,0),0)</f>
        <v>0</v>
      </c>
      <c r="X1162" s="1090">
        <f t="shared" si="725"/>
        <v>25.03</v>
      </c>
      <c r="Y1162" s="785"/>
      <c r="Z1162" s="785"/>
      <c r="AA1162" s="797"/>
      <c r="AB1162" s="797"/>
      <c r="AC1162" s="551"/>
      <c r="AD1162" s="551"/>
      <c r="AE1162" s="551"/>
      <c r="AF1162" s="551"/>
      <c r="AG1162" s="551"/>
      <c r="AH1162" s="551"/>
      <c r="AI1162" s="704"/>
      <c r="AJ1162" s="704"/>
      <c r="AK1162" s="704"/>
      <c r="AL1162" s="704"/>
      <c r="AM1162" s="704"/>
      <c r="AN1162" s="704"/>
      <c r="AO1162" s="704"/>
      <c r="AP1162" s="704"/>
      <c r="AQ1162" s="704"/>
      <c r="AR1162" s="704"/>
      <c r="AS1162" s="704"/>
    </row>
    <row r="1163" spans="1:45" s="265" customFormat="1" ht="30" customHeight="1" x14ac:dyDescent="0.25">
      <c r="A1163" s="845"/>
      <c r="B1163" s="846" t="s">
        <v>1168</v>
      </c>
      <c r="C1163" s="88"/>
      <c r="D1163" s="930"/>
      <c r="E1163" s="930"/>
      <c r="F1163" s="931"/>
      <c r="G1163" s="1297">
        <v>25.03</v>
      </c>
      <c r="H1163" s="1297">
        <f t="shared" ref="H1163:L1163" si="730">SUM(H1157:H1162)</f>
        <v>0</v>
      </c>
      <c r="I1163" s="1297">
        <f t="shared" si="730"/>
        <v>0</v>
      </c>
      <c r="J1163" s="1297">
        <f t="shared" si="730"/>
        <v>6.35</v>
      </c>
      <c r="K1163" s="1297">
        <f t="shared" si="730"/>
        <v>0</v>
      </c>
      <c r="L1163" s="1297">
        <f t="shared" si="730"/>
        <v>18.68</v>
      </c>
      <c r="M1163" s="59">
        <f>IFERROR(R1163/$S$2,"")</f>
        <v>1.05</v>
      </c>
      <c r="N1163" s="854">
        <f>IFERROR(L1163/M1163,0)</f>
        <v>17.790476190476191</v>
      </c>
      <c r="O1163" s="59">
        <f>IFERROR(SUMIF(ETM!$A:$A,$Q1163,ETM!$E:$E),"")</f>
        <v>1.1666666666666667</v>
      </c>
      <c r="P1163" s="880">
        <f>IFERROR(L1163/O1163,0)</f>
        <v>16.011428571428571</v>
      </c>
      <c r="Q1163" s="814" t="s">
        <v>680</v>
      </c>
      <c r="R1163" s="785">
        <f>IFERROR(VLOOKUP($Q1163,'391'!$S:$Z,8,0),"")</f>
        <v>6.3</v>
      </c>
      <c r="S1163" s="796"/>
      <c r="T1163" s="797"/>
      <c r="U1163" s="797"/>
      <c r="V1163" s="797"/>
      <c r="W1163" s="785">
        <f>IFERROR(VLOOKUP($Q1163,'391'!$S:$AG,15,0),0)</f>
        <v>25.03</v>
      </c>
      <c r="X1163" s="1090">
        <f t="shared" si="725"/>
        <v>0</v>
      </c>
      <c r="Y1163" s="785"/>
      <c r="Z1163" s="785"/>
      <c r="AA1163" s="797"/>
      <c r="AB1163" s="797"/>
      <c r="AC1163" s="551"/>
      <c r="AD1163" s="551"/>
      <c r="AE1163" s="551"/>
      <c r="AF1163" s="551"/>
      <c r="AG1163" s="551"/>
      <c r="AH1163" s="551"/>
      <c r="AI1163" s="704"/>
      <c r="AJ1163" s="704"/>
      <c r="AK1163" s="704"/>
      <c r="AL1163" s="704"/>
      <c r="AM1163" s="704"/>
      <c r="AN1163" s="704"/>
      <c r="AO1163" s="704"/>
      <c r="AP1163" s="704"/>
      <c r="AQ1163" s="704"/>
      <c r="AR1163" s="704"/>
      <c r="AS1163" s="704"/>
    </row>
    <row r="1164" spans="1:45" s="265" customFormat="1" ht="30" hidden="1" customHeight="1" x14ac:dyDescent="0.25">
      <c r="A1164" s="2027" t="str">
        <f>IF(L1171=0,"",MAX($A$16:A1163)+1)</f>
        <v/>
      </c>
      <c r="B1164" s="2024" t="s">
        <v>213</v>
      </c>
      <c r="C1164" s="139" t="s">
        <v>251</v>
      </c>
      <c r="D1164" s="881" t="s">
        <v>10</v>
      </c>
      <c r="E1164" s="882">
        <v>42689</v>
      </c>
      <c r="F1164" s="71">
        <f t="shared" ref="F1164:F1170" si="731">$L$7-E1164</f>
        <v>3597</v>
      </c>
      <c r="G1164" s="64">
        <v>0</v>
      </c>
      <c r="H1164" s="64"/>
      <c r="I1164" s="64"/>
      <c r="J1164" s="1367"/>
      <c r="K1164" s="64"/>
      <c r="L1164" s="1533">
        <f t="shared" ref="L1164:L1200" si="732">+G1164+H1164+I1164-J1164-K1164</f>
        <v>0</v>
      </c>
      <c r="M1164" s="51"/>
      <c r="N1164" s="953"/>
      <c r="O1164" s="51"/>
      <c r="P1164" s="857"/>
      <c r="Q1164" s="795"/>
      <c r="R1164" s="785">
        <f>IFERROR(VLOOKUP($Q1164,'391'!$S:$Z,8,0),"")</f>
        <v>0</v>
      </c>
      <c r="S1164" s="796"/>
      <c r="T1164" s="797"/>
      <c r="U1164" s="797"/>
      <c r="V1164" s="797"/>
      <c r="W1164" s="785">
        <f>IFERROR(VLOOKUP($Q1164,'391'!$S:$AG,15,0),0)</f>
        <v>0</v>
      </c>
      <c r="X1164" s="1090">
        <f t="shared" si="725"/>
        <v>0</v>
      </c>
      <c r="Y1164" s="785"/>
      <c r="Z1164" s="785"/>
      <c r="AA1164" s="797"/>
      <c r="AB1164" s="797"/>
      <c r="AC1164" s="551"/>
      <c r="AD1164" s="551"/>
      <c r="AE1164" s="551"/>
      <c r="AF1164" s="551"/>
      <c r="AG1164" s="551"/>
      <c r="AH1164" s="551"/>
      <c r="AI1164" s="704"/>
      <c r="AJ1164" s="704"/>
      <c r="AK1164" s="704"/>
      <c r="AL1164" s="704"/>
      <c r="AM1164" s="704"/>
      <c r="AN1164" s="704"/>
      <c r="AO1164" s="704"/>
      <c r="AP1164" s="704"/>
      <c r="AQ1164" s="704"/>
      <c r="AR1164" s="704"/>
      <c r="AS1164" s="704"/>
    </row>
    <row r="1165" spans="1:45" s="265" customFormat="1" ht="30" hidden="1" customHeight="1" x14ac:dyDescent="0.25">
      <c r="A1165" s="2028"/>
      <c r="B1165" s="2025"/>
      <c r="C1165" s="127" t="s">
        <v>251</v>
      </c>
      <c r="D1165" s="881" t="s">
        <v>10</v>
      </c>
      <c r="E1165" s="882">
        <v>42755</v>
      </c>
      <c r="F1165" s="71">
        <f t="shared" si="731"/>
        <v>3531</v>
      </c>
      <c r="G1165" s="64">
        <v>0</v>
      </c>
      <c r="H1165" s="64"/>
      <c r="I1165" s="64"/>
      <c r="J1165" s="1367"/>
      <c r="K1165" s="64"/>
      <c r="L1165" s="1533">
        <f t="shared" si="732"/>
        <v>0</v>
      </c>
      <c r="M1165" s="48"/>
      <c r="N1165" s="163"/>
      <c r="O1165" s="48"/>
      <c r="P1165" s="857"/>
      <c r="Q1165" s="795"/>
      <c r="R1165" s="785">
        <f>IFERROR(VLOOKUP($Q1165,'391'!$S:$Z,8,0),"")</f>
        <v>0</v>
      </c>
      <c r="S1165" s="796"/>
      <c r="T1165" s="797"/>
      <c r="U1165" s="797"/>
      <c r="V1165" s="797"/>
      <c r="W1165" s="785">
        <f>IFERROR(VLOOKUP($Q1165,'391'!$S:$AG,15,0),0)</f>
        <v>0</v>
      </c>
      <c r="X1165" s="1090">
        <f t="shared" si="725"/>
        <v>0</v>
      </c>
      <c r="Y1165" s="785"/>
      <c r="Z1165" s="785"/>
      <c r="AA1165" s="797"/>
      <c r="AB1165" s="797"/>
      <c r="AC1165" s="551"/>
      <c r="AD1165" s="551"/>
      <c r="AE1165" s="551"/>
      <c r="AF1165" s="551"/>
      <c r="AG1165" s="551"/>
      <c r="AH1165" s="551"/>
      <c r="AI1165" s="704"/>
      <c r="AJ1165" s="704"/>
      <c r="AK1165" s="704"/>
      <c r="AL1165" s="704"/>
      <c r="AM1165" s="704"/>
      <c r="AN1165" s="704"/>
      <c r="AO1165" s="704"/>
      <c r="AP1165" s="704"/>
      <c r="AQ1165" s="704"/>
      <c r="AR1165" s="704"/>
      <c r="AS1165" s="704"/>
    </row>
    <row r="1166" spans="1:45" s="265" customFormat="1" ht="30" hidden="1" customHeight="1" x14ac:dyDescent="0.25">
      <c r="A1166" s="2028"/>
      <c r="B1166" s="2025"/>
      <c r="C1166" s="127" t="s">
        <v>255</v>
      </c>
      <c r="D1166" s="881" t="s">
        <v>10</v>
      </c>
      <c r="E1166" s="882">
        <v>42601</v>
      </c>
      <c r="F1166" s="71">
        <f t="shared" si="731"/>
        <v>3685</v>
      </c>
      <c r="G1166" s="64">
        <v>0</v>
      </c>
      <c r="H1166" s="64"/>
      <c r="I1166" s="64"/>
      <c r="J1166" s="1367"/>
      <c r="K1166" s="64"/>
      <c r="L1166" s="1533">
        <f t="shared" si="732"/>
        <v>0</v>
      </c>
      <c r="M1166" s="45"/>
      <c r="N1166" s="162"/>
      <c r="O1166" s="45"/>
      <c r="P1166" s="857"/>
      <c r="Q1166" s="795"/>
      <c r="R1166" s="785">
        <f>IFERROR(VLOOKUP($Q1166,'391'!$S:$Z,8,0),"")</f>
        <v>0</v>
      </c>
      <c r="S1166" s="796"/>
      <c r="T1166" s="797"/>
      <c r="U1166" s="797"/>
      <c r="V1166" s="797"/>
      <c r="W1166" s="785">
        <f>IFERROR(VLOOKUP($Q1166,'391'!$S:$AG,15,0),0)</f>
        <v>0</v>
      </c>
      <c r="X1166" s="1090">
        <f t="shared" si="725"/>
        <v>0</v>
      </c>
      <c r="Y1166" s="785"/>
      <c r="Z1166" s="785"/>
      <c r="AA1166" s="797"/>
      <c r="AB1166" s="797"/>
      <c r="AC1166" s="551"/>
      <c r="AD1166" s="551"/>
      <c r="AE1166" s="551"/>
      <c r="AF1166" s="551"/>
      <c r="AG1166" s="551"/>
      <c r="AH1166" s="551"/>
      <c r="AI1166" s="704"/>
      <c r="AJ1166" s="704"/>
      <c r="AK1166" s="704"/>
      <c r="AL1166" s="704"/>
      <c r="AM1166" s="704"/>
      <c r="AN1166" s="704"/>
      <c r="AO1166" s="704"/>
      <c r="AP1166" s="704"/>
      <c r="AQ1166" s="704"/>
      <c r="AR1166" s="704"/>
      <c r="AS1166" s="704"/>
    </row>
    <row r="1167" spans="1:45" s="265" customFormat="1" ht="30" hidden="1" customHeight="1" x14ac:dyDescent="0.25">
      <c r="A1167" s="2028"/>
      <c r="B1167" s="2025"/>
      <c r="C1167" s="127" t="s">
        <v>255</v>
      </c>
      <c r="D1167" s="881" t="s">
        <v>10</v>
      </c>
      <c r="E1167" s="882">
        <v>42601</v>
      </c>
      <c r="F1167" s="71">
        <f t="shared" si="731"/>
        <v>3685</v>
      </c>
      <c r="G1167" s="64">
        <v>0</v>
      </c>
      <c r="H1167" s="64"/>
      <c r="I1167" s="64"/>
      <c r="J1167" s="1367"/>
      <c r="K1167" s="64"/>
      <c r="L1167" s="1533">
        <f t="shared" si="732"/>
        <v>0</v>
      </c>
      <c r="M1167" s="45"/>
      <c r="N1167" s="162"/>
      <c r="O1167" s="45"/>
      <c r="P1167" s="857"/>
      <c r="Q1167" s="795"/>
      <c r="R1167" s="785">
        <f>IFERROR(VLOOKUP($Q1167,'391'!$S:$Z,8,0),"")</f>
        <v>0</v>
      </c>
      <c r="S1167" s="796"/>
      <c r="T1167" s="797"/>
      <c r="U1167" s="797"/>
      <c r="V1167" s="797"/>
      <c r="W1167" s="785">
        <f>IFERROR(VLOOKUP($Q1167,'391'!$S:$AG,15,0),0)</f>
        <v>0</v>
      </c>
      <c r="X1167" s="1090">
        <f t="shared" si="725"/>
        <v>0</v>
      </c>
      <c r="Y1167" s="785"/>
      <c r="Z1167" s="785"/>
      <c r="AA1167" s="797"/>
      <c r="AB1167" s="797"/>
      <c r="AC1167" s="551"/>
      <c r="AD1167" s="551"/>
      <c r="AE1167" s="551"/>
      <c r="AF1167" s="551"/>
      <c r="AG1167" s="551"/>
      <c r="AH1167" s="551"/>
      <c r="AI1167" s="704"/>
      <c r="AJ1167" s="704"/>
      <c r="AK1167" s="704"/>
      <c r="AL1167" s="704"/>
      <c r="AM1167" s="704"/>
      <c r="AN1167" s="704"/>
      <c r="AO1167" s="704"/>
      <c r="AP1167" s="704"/>
      <c r="AQ1167" s="704"/>
      <c r="AR1167" s="704"/>
      <c r="AS1167" s="704"/>
    </row>
    <row r="1168" spans="1:45" s="265" customFormat="1" ht="30" hidden="1" customHeight="1" x14ac:dyDescent="0.25">
      <c r="A1168" s="2028"/>
      <c r="B1168" s="2025"/>
      <c r="C1168" s="127" t="s">
        <v>194</v>
      </c>
      <c r="D1168" s="881" t="s">
        <v>10</v>
      </c>
      <c r="E1168" s="882">
        <v>42440</v>
      </c>
      <c r="F1168" s="71">
        <f t="shared" si="731"/>
        <v>3846</v>
      </c>
      <c r="G1168" s="64">
        <v>0</v>
      </c>
      <c r="H1168" s="64"/>
      <c r="I1168" s="64"/>
      <c r="J1168" s="1367"/>
      <c r="K1168" s="64"/>
      <c r="L1168" s="1533">
        <f t="shared" si="732"/>
        <v>0</v>
      </c>
      <c r="M1168" s="45"/>
      <c r="N1168" s="162"/>
      <c r="O1168" s="45"/>
      <c r="P1168" s="857"/>
      <c r="Q1168" s="795"/>
      <c r="R1168" s="785">
        <f>IFERROR(VLOOKUP($Q1168,'391'!$S:$Z,8,0),"")</f>
        <v>0</v>
      </c>
      <c r="S1168" s="796"/>
      <c r="T1168" s="797"/>
      <c r="U1168" s="797"/>
      <c r="V1168" s="797"/>
      <c r="W1168" s="785">
        <f>IFERROR(VLOOKUP($Q1168,'391'!$S:$AG,15,0),0)</f>
        <v>0</v>
      </c>
      <c r="X1168" s="1090">
        <f t="shared" si="725"/>
        <v>0</v>
      </c>
      <c r="Y1168" s="785"/>
      <c r="Z1168" s="785"/>
      <c r="AA1168" s="797"/>
      <c r="AB1168" s="797"/>
      <c r="AC1168" s="551"/>
      <c r="AD1168" s="551"/>
      <c r="AE1168" s="551"/>
      <c r="AF1168" s="551"/>
      <c r="AG1168" s="551"/>
      <c r="AH1168" s="551"/>
      <c r="AI1168" s="704"/>
      <c r="AJ1168" s="704"/>
      <c r="AK1168" s="704"/>
      <c r="AL1168" s="704"/>
      <c r="AM1168" s="704"/>
      <c r="AN1168" s="704"/>
      <c r="AO1168" s="704"/>
      <c r="AP1168" s="704"/>
      <c r="AQ1168" s="704"/>
      <c r="AR1168" s="704"/>
      <c r="AS1168" s="704"/>
    </row>
    <row r="1169" spans="1:45" s="265" customFormat="1" ht="30" hidden="1" customHeight="1" x14ac:dyDescent="0.25">
      <c r="A1169" s="2028"/>
      <c r="B1169" s="2025"/>
      <c r="C1169" s="138" t="s">
        <v>76</v>
      </c>
      <c r="D1169" s="863" t="s">
        <v>10</v>
      </c>
      <c r="E1169" s="886">
        <v>42755</v>
      </c>
      <c r="F1169" s="39">
        <f t="shared" si="731"/>
        <v>3531</v>
      </c>
      <c r="G1169" s="58">
        <v>0</v>
      </c>
      <c r="H1169" s="64"/>
      <c r="I1169" s="58"/>
      <c r="J1169" s="1365"/>
      <c r="K1169" s="64"/>
      <c r="L1169" s="1533">
        <f t="shared" si="732"/>
        <v>0</v>
      </c>
      <c r="M1169" s="45"/>
      <c r="N1169" s="162"/>
      <c r="O1169" s="45"/>
      <c r="P1169" s="857"/>
      <c r="Q1169" s="795"/>
      <c r="R1169" s="785">
        <f>IFERROR(VLOOKUP($Q1169,'391'!$S:$Z,8,0),"")</f>
        <v>0</v>
      </c>
      <c r="S1169" s="796"/>
      <c r="T1169" s="797"/>
      <c r="U1169" s="797"/>
      <c r="V1169" s="797"/>
      <c r="W1169" s="785">
        <f>IFERROR(VLOOKUP($Q1169,'391'!$S:$AG,15,0),0)</f>
        <v>0</v>
      </c>
      <c r="X1169" s="1090">
        <f t="shared" si="725"/>
        <v>0</v>
      </c>
      <c r="Y1169" s="785"/>
      <c r="Z1169" s="785"/>
      <c r="AA1169" s="797"/>
      <c r="AB1169" s="797"/>
      <c r="AC1169" s="551"/>
      <c r="AD1169" s="551"/>
      <c r="AE1169" s="551"/>
      <c r="AF1169" s="551"/>
      <c r="AG1169" s="551"/>
      <c r="AH1169" s="551"/>
      <c r="AI1169" s="704"/>
      <c r="AJ1169" s="704"/>
      <c r="AK1169" s="704"/>
      <c r="AL1169" s="704"/>
      <c r="AM1169" s="704"/>
      <c r="AN1169" s="704"/>
      <c r="AO1169" s="704"/>
      <c r="AP1169" s="704"/>
      <c r="AQ1169" s="704"/>
      <c r="AR1169" s="704"/>
      <c r="AS1169" s="704"/>
    </row>
    <row r="1170" spans="1:45" s="418" customFormat="1" ht="30" hidden="1" customHeight="1" x14ac:dyDescent="0.25">
      <c r="A1170" s="2029"/>
      <c r="B1170" s="2026"/>
      <c r="C1170" s="1007" t="s">
        <v>76</v>
      </c>
      <c r="D1170" s="884" t="s">
        <v>10</v>
      </c>
      <c r="E1170" s="885">
        <v>42382</v>
      </c>
      <c r="F1170" s="293">
        <f t="shared" si="731"/>
        <v>3904</v>
      </c>
      <c r="G1170" s="37">
        <v>0</v>
      </c>
      <c r="H1170" s="37"/>
      <c r="I1170" s="37"/>
      <c r="J1170" s="1385"/>
      <c r="K1170" s="37"/>
      <c r="L1170" s="1533">
        <f t="shared" si="732"/>
        <v>0</v>
      </c>
      <c r="M1170" s="35"/>
      <c r="N1170" s="87"/>
      <c r="O1170" s="35"/>
      <c r="P1170" s="857"/>
      <c r="Q1170" s="795"/>
      <c r="R1170" s="785">
        <f>IFERROR(VLOOKUP($Q1170,'391'!$S:$Z,8,0),"")</f>
        <v>0</v>
      </c>
      <c r="S1170" s="796"/>
      <c r="T1170" s="797"/>
      <c r="U1170" s="797"/>
      <c r="V1170" s="797"/>
      <c r="W1170" s="785">
        <f>IFERROR(VLOOKUP($Q1170,'391'!$S:$AG,15,0),0)</f>
        <v>0</v>
      </c>
      <c r="X1170" s="1090">
        <f t="shared" si="725"/>
        <v>0</v>
      </c>
      <c r="Y1170" s="785"/>
      <c r="Z1170" s="785"/>
      <c r="AA1170" s="797"/>
      <c r="AB1170" s="797"/>
      <c r="AC1170" s="551"/>
      <c r="AD1170" s="551"/>
      <c r="AE1170" s="551"/>
      <c r="AF1170" s="551"/>
      <c r="AG1170" s="551"/>
      <c r="AH1170" s="551"/>
      <c r="AI1170" s="704"/>
      <c r="AJ1170" s="704"/>
      <c r="AK1170" s="704"/>
      <c r="AL1170" s="704"/>
      <c r="AM1170" s="704"/>
      <c r="AN1170" s="704"/>
      <c r="AO1170" s="704"/>
      <c r="AP1170" s="704"/>
      <c r="AQ1170" s="704"/>
      <c r="AR1170" s="704"/>
      <c r="AS1170" s="704"/>
    </row>
    <row r="1171" spans="1:45" s="265" customFormat="1" ht="30" hidden="1" customHeight="1" x14ac:dyDescent="0.25">
      <c r="A1171" s="845"/>
      <c r="B1171" s="846" t="s">
        <v>181</v>
      </c>
      <c r="C1171" s="1008"/>
      <c r="D1171" s="930"/>
      <c r="E1171" s="930"/>
      <c r="F1171" s="931"/>
      <c r="G1171" s="1297">
        <v>0</v>
      </c>
      <c r="H1171" s="1297">
        <f t="shared" ref="H1171:K1171" si="733">SUM(H1164:H1170)</f>
        <v>0</v>
      </c>
      <c r="I1171" s="1297">
        <f t="shared" si="733"/>
        <v>0</v>
      </c>
      <c r="J1171" s="1297">
        <f t="shared" si="733"/>
        <v>0</v>
      </c>
      <c r="K1171" s="1297">
        <f t="shared" si="733"/>
        <v>0</v>
      </c>
      <c r="L1171" s="1533">
        <f t="shared" si="732"/>
        <v>0</v>
      </c>
      <c r="M1171" s="982"/>
      <c r="N1171" s="366" t="e">
        <f>(L1171/M1171)</f>
        <v>#DIV/0!</v>
      </c>
      <c r="O1171" s="59"/>
      <c r="P1171" s="857" t="e">
        <f>(L1171/O1171)</f>
        <v>#DIV/0!</v>
      </c>
      <c r="Q1171" s="795"/>
      <c r="R1171" s="785">
        <f>IFERROR(VLOOKUP($Q1171,'391'!$S:$Z,8,0),"")</f>
        <v>0</v>
      </c>
      <c r="S1171" s="796"/>
      <c r="T1171" s="797"/>
      <c r="U1171" s="797"/>
      <c r="V1171" s="797"/>
      <c r="W1171" s="785">
        <f>IFERROR(VLOOKUP($Q1171,'391'!$S:$AG,15,0),0)</f>
        <v>0</v>
      </c>
      <c r="X1171" s="1090">
        <f t="shared" si="725"/>
        <v>0</v>
      </c>
      <c r="Y1171" s="785"/>
      <c r="Z1171" s="785"/>
      <c r="AA1171" s="797"/>
      <c r="AB1171" s="797"/>
      <c r="AC1171" s="551"/>
      <c r="AD1171" s="551"/>
      <c r="AE1171" s="551"/>
      <c r="AF1171" s="551"/>
      <c r="AG1171" s="551"/>
      <c r="AH1171" s="551"/>
      <c r="AI1171" s="704"/>
      <c r="AJ1171" s="704"/>
      <c r="AK1171" s="704"/>
      <c r="AL1171" s="704"/>
      <c r="AM1171" s="704"/>
      <c r="AN1171" s="704"/>
      <c r="AO1171" s="704"/>
      <c r="AP1171" s="704"/>
      <c r="AQ1171" s="704"/>
      <c r="AR1171" s="704"/>
      <c r="AS1171" s="704"/>
    </row>
    <row r="1172" spans="1:45" s="265" customFormat="1" ht="30" hidden="1" customHeight="1" x14ac:dyDescent="0.25">
      <c r="A1172" s="2027" t="str">
        <f>IF(L1180=0,"",MAX($A$16:A1171)+1)</f>
        <v/>
      </c>
      <c r="B1172" s="2024" t="s">
        <v>183</v>
      </c>
      <c r="C1172" s="127" t="s">
        <v>194</v>
      </c>
      <c r="D1172" s="881" t="s">
        <v>10</v>
      </c>
      <c r="E1172" s="888">
        <v>43630</v>
      </c>
      <c r="F1172" s="71">
        <f t="shared" ref="F1172:F1179" si="734">$L$7-E1172</f>
        <v>2656</v>
      </c>
      <c r="G1172" s="63">
        <v>0</v>
      </c>
      <c r="H1172" s="64"/>
      <c r="I1172" s="64"/>
      <c r="J1172" s="1367"/>
      <c r="K1172" s="64"/>
      <c r="L1172" s="1533">
        <f t="shared" si="732"/>
        <v>0</v>
      </c>
      <c r="M1172" s="51"/>
      <c r="N1172" s="953"/>
      <c r="O1172" s="51"/>
      <c r="P1172" s="762"/>
      <c r="Q1172" s="795"/>
      <c r="R1172" s="785">
        <f>IFERROR(VLOOKUP($Q1172,'391'!$S:$Z,8,0),"")</f>
        <v>0</v>
      </c>
      <c r="S1172" s="796"/>
      <c r="T1172" s="797"/>
      <c r="U1172" s="797"/>
      <c r="V1172" s="797"/>
      <c r="W1172" s="785">
        <f>IFERROR(VLOOKUP($Q1172,'391'!$S:$AG,15,0),0)</f>
        <v>0</v>
      </c>
      <c r="X1172" s="1090">
        <f t="shared" si="725"/>
        <v>0</v>
      </c>
      <c r="Y1172" s="785"/>
      <c r="Z1172" s="785"/>
      <c r="AA1172" s="797"/>
      <c r="AB1172" s="797"/>
      <c r="AC1172" s="551"/>
      <c r="AD1172" s="551"/>
      <c r="AE1172" s="551"/>
      <c r="AF1172" s="551"/>
      <c r="AG1172" s="551"/>
      <c r="AH1172" s="551"/>
      <c r="AI1172" s="704"/>
      <c r="AJ1172" s="704"/>
      <c r="AK1172" s="704"/>
      <c r="AL1172" s="704"/>
      <c r="AM1172" s="704"/>
      <c r="AN1172" s="704"/>
      <c r="AO1172" s="704"/>
      <c r="AP1172" s="704"/>
      <c r="AQ1172" s="704"/>
      <c r="AR1172" s="704"/>
      <c r="AS1172" s="704"/>
    </row>
    <row r="1173" spans="1:45" s="265" customFormat="1" ht="30" hidden="1" customHeight="1" x14ac:dyDescent="0.25">
      <c r="A1173" s="2028"/>
      <c r="B1173" s="2025"/>
      <c r="C1173" s="127" t="s">
        <v>194</v>
      </c>
      <c r="D1173" s="881" t="s">
        <v>10</v>
      </c>
      <c r="E1173" s="888">
        <v>43630</v>
      </c>
      <c r="F1173" s="71">
        <f t="shared" si="734"/>
        <v>2656</v>
      </c>
      <c r="G1173" s="63">
        <v>0</v>
      </c>
      <c r="H1173" s="64"/>
      <c r="I1173" s="64"/>
      <c r="J1173" s="1367"/>
      <c r="K1173" s="64"/>
      <c r="L1173" s="1533">
        <f t="shared" si="732"/>
        <v>0</v>
      </c>
      <c r="M1173" s="48"/>
      <c r="N1173" s="163"/>
      <c r="O1173" s="48"/>
      <c r="P1173" s="750"/>
      <c r="Q1173" s="795"/>
      <c r="R1173" s="785">
        <f>IFERROR(VLOOKUP($Q1173,'391'!$S:$Z,8,0),"")</f>
        <v>0</v>
      </c>
      <c r="S1173" s="796"/>
      <c r="T1173" s="797"/>
      <c r="U1173" s="797"/>
      <c r="V1173" s="797"/>
      <c r="W1173" s="785">
        <f>IFERROR(VLOOKUP($Q1173,'391'!$S:$AG,15,0),0)</f>
        <v>0</v>
      </c>
      <c r="X1173" s="1090">
        <f t="shared" si="725"/>
        <v>0</v>
      </c>
      <c r="Y1173" s="785"/>
      <c r="Z1173" s="785"/>
      <c r="AA1173" s="797"/>
      <c r="AB1173" s="797"/>
      <c r="AC1173" s="551"/>
      <c r="AD1173" s="551"/>
      <c r="AE1173" s="551"/>
      <c r="AF1173" s="551"/>
      <c r="AG1173" s="551"/>
      <c r="AH1173" s="551"/>
      <c r="AI1173" s="704"/>
      <c r="AJ1173" s="704"/>
      <c r="AK1173" s="704"/>
      <c r="AL1173" s="704"/>
      <c r="AM1173" s="704"/>
      <c r="AN1173" s="704"/>
      <c r="AO1173" s="704"/>
      <c r="AP1173" s="704"/>
      <c r="AQ1173" s="704"/>
      <c r="AR1173" s="704"/>
      <c r="AS1173" s="704"/>
    </row>
    <row r="1174" spans="1:45" s="265" customFormat="1" ht="30" hidden="1" customHeight="1" x14ac:dyDescent="0.25">
      <c r="A1174" s="2028"/>
      <c r="B1174" s="2025"/>
      <c r="C1174" s="127" t="s">
        <v>194</v>
      </c>
      <c r="D1174" s="881" t="s">
        <v>10</v>
      </c>
      <c r="E1174" s="888">
        <v>43630</v>
      </c>
      <c r="F1174" s="71">
        <f t="shared" si="734"/>
        <v>2656</v>
      </c>
      <c r="G1174" s="63">
        <v>0</v>
      </c>
      <c r="H1174" s="64"/>
      <c r="I1174" s="64"/>
      <c r="J1174" s="1367"/>
      <c r="K1174" s="64"/>
      <c r="L1174" s="1533">
        <f t="shared" si="732"/>
        <v>0</v>
      </c>
      <c r="M1174" s="45"/>
      <c r="N1174" s="163"/>
      <c r="O1174" s="48"/>
      <c r="P1174" s="750"/>
      <c r="Q1174" s="795"/>
      <c r="R1174" s="785">
        <f>IFERROR(VLOOKUP($Q1174,'391'!$S:$Z,8,0),"")</f>
        <v>0</v>
      </c>
      <c r="S1174" s="796"/>
      <c r="T1174" s="797"/>
      <c r="U1174" s="797"/>
      <c r="V1174" s="797"/>
      <c r="W1174" s="785">
        <f>IFERROR(VLOOKUP($Q1174,'391'!$S:$AG,15,0),0)</f>
        <v>0</v>
      </c>
      <c r="X1174" s="1090">
        <f t="shared" si="725"/>
        <v>0</v>
      </c>
      <c r="Y1174" s="785"/>
      <c r="Z1174" s="785"/>
      <c r="AA1174" s="797"/>
      <c r="AB1174" s="797"/>
      <c r="AC1174" s="551"/>
      <c r="AD1174" s="551"/>
      <c r="AE1174" s="551"/>
      <c r="AF1174" s="551"/>
      <c r="AG1174" s="551"/>
      <c r="AH1174" s="551"/>
      <c r="AI1174" s="704"/>
      <c r="AJ1174" s="704"/>
      <c r="AK1174" s="704"/>
      <c r="AL1174" s="704"/>
      <c r="AM1174" s="704"/>
      <c r="AN1174" s="704"/>
      <c r="AO1174" s="704"/>
      <c r="AP1174" s="704"/>
      <c r="AQ1174" s="704"/>
      <c r="AR1174" s="704"/>
      <c r="AS1174" s="704"/>
    </row>
    <row r="1175" spans="1:45" s="265" customFormat="1" ht="30" hidden="1" customHeight="1" x14ac:dyDescent="0.25">
      <c r="A1175" s="2028"/>
      <c r="B1175" s="2025"/>
      <c r="C1175" s="127" t="s">
        <v>138</v>
      </c>
      <c r="D1175" s="881" t="s">
        <v>10</v>
      </c>
      <c r="E1175" s="888">
        <v>43175</v>
      </c>
      <c r="F1175" s="71">
        <f t="shared" si="734"/>
        <v>3111</v>
      </c>
      <c r="G1175" s="63">
        <v>0</v>
      </c>
      <c r="H1175" s="64"/>
      <c r="I1175" s="64"/>
      <c r="J1175" s="1367"/>
      <c r="K1175" s="64"/>
      <c r="L1175" s="1533">
        <f t="shared" si="732"/>
        <v>0</v>
      </c>
      <c r="M1175" s="45"/>
      <c r="N1175" s="1460"/>
      <c r="O1175" s="1453"/>
      <c r="P1175" s="1480"/>
      <c r="Q1175" s="795"/>
      <c r="R1175" s="785">
        <f>IFERROR(VLOOKUP($Q1175,'391'!$S:$Z,8,0),"")</f>
        <v>0</v>
      </c>
      <c r="S1175" s="796"/>
      <c r="T1175" s="797"/>
      <c r="U1175" s="797"/>
      <c r="V1175" s="797"/>
      <c r="W1175" s="785">
        <f>IFERROR(VLOOKUP($Q1175,'391'!$S:$AG,15,0),0)</f>
        <v>0</v>
      </c>
      <c r="X1175" s="1090">
        <f t="shared" si="725"/>
        <v>0</v>
      </c>
      <c r="Y1175" s="785"/>
      <c r="Z1175" s="785"/>
      <c r="AA1175" s="797"/>
      <c r="AB1175" s="797"/>
      <c r="AC1175" s="551"/>
      <c r="AD1175" s="551"/>
      <c r="AE1175" s="551"/>
      <c r="AF1175" s="551"/>
      <c r="AG1175" s="551"/>
      <c r="AH1175" s="551"/>
      <c r="AI1175" s="704"/>
      <c r="AJ1175" s="704"/>
      <c r="AK1175" s="704"/>
      <c r="AL1175" s="704"/>
      <c r="AM1175" s="704"/>
      <c r="AN1175" s="704"/>
      <c r="AO1175" s="704"/>
      <c r="AP1175" s="704"/>
      <c r="AQ1175" s="704"/>
      <c r="AR1175" s="704"/>
      <c r="AS1175" s="704"/>
    </row>
    <row r="1176" spans="1:45" s="265" customFormat="1" ht="30" hidden="1" customHeight="1" x14ac:dyDescent="0.25">
      <c r="A1176" s="2028"/>
      <c r="B1176" s="2025"/>
      <c r="C1176" s="127" t="s">
        <v>138</v>
      </c>
      <c r="D1176" s="881" t="s">
        <v>10</v>
      </c>
      <c r="E1176" s="888">
        <v>42614</v>
      </c>
      <c r="F1176" s="71">
        <f t="shared" si="734"/>
        <v>3672</v>
      </c>
      <c r="G1176" s="63">
        <v>0</v>
      </c>
      <c r="H1176" s="64"/>
      <c r="I1176" s="64"/>
      <c r="J1176" s="1367"/>
      <c r="K1176" s="64"/>
      <c r="L1176" s="1533">
        <f t="shared" si="732"/>
        <v>0</v>
      </c>
      <c r="M1176" s="45"/>
      <c r="N1176" s="1460"/>
      <c r="O1176" s="1453"/>
      <c r="P1176" s="1480"/>
      <c r="Q1176" s="795"/>
      <c r="R1176" s="785">
        <f>IFERROR(VLOOKUP($Q1176,'391'!$S:$Z,8,0),"")</f>
        <v>0</v>
      </c>
      <c r="S1176" s="796"/>
      <c r="T1176" s="797"/>
      <c r="U1176" s="797"/>
      <c r="V1176" s="797"/>
      <c r="W1176" s="785">
        <f>IFERROR(VLOOKUP($Q1176,'391'!$S:$AG,15,0),0)</f>
        <v>0</v>
      </c>
      <c r="X1176" s="1090">
        <f t="shared" si="725"/>
        <v>0</v>
      </c>
      <c r="Y1176" s="785"/>
      <c r="Z1176" s="785"/>
      <c r="AA1176" s="797"/>
      <c r="AB1176" s="797"/>
      <c r="AC1176" s="551"/>
      <c r="AD1176" s="551"/>
      <c r="AE1176" s="551"/>
      <c r="AF1176" s="551"/>
      <c r="AG1176" s="551"/>
      <c r="AH1176" s="551"/>
      <c r="AI1176" s="704"/>
      <c r="AJ1176" s="704"/>
      <c r="AK1176" s="704"/>
      <c r="AL1176" s="704"/>
      <c r="AM1176" s="704"/>
      <c r="AN1176" s="704"/>
      <c r="AO1176" s="704"/>
      <c r="AP1176" s="704"/>
      <c r="AQ1176" s="704"/>
      <c r="AR1176" s="704"/>
      <c r="AS1176" s="704"/>
    </row>
    <row r="1177" spans="1:45" s="265" customFormat="1" ht="30" hidden="1" customHeight="1" x14ac:dyDescent="0.25">
      <c r="A1177" s="2028"/>
      <c r="B1177" s="2025"/>
      <c r="C1177" s="127" t="s">
        <v>138</v>
      </c>
      <c r="D1177" s="881" t="s">
        <v>10</v>
      </c>
      <c r="E1177" s="888">
        <v>42448</v>
      </c>
      <c r="F1177" s="71">
        <f t="shared" si="734"/>
        <v>3838</v>
      </c>
      <c r="G1177" s="63">
        <v>0</v>
      </c>
      <c r="H1177" s="64"/>
      <c r="I1177" s="64"/>
      <c r="J1177" s="1367"/>
      <c r="K1177" s="64"/>
      <c r="L1177" s="1533">
        <f t="shared" si="732"/>
        <v>0</v>
      </c>
      <c r="M1177" s="45"/>
      <c r="N1177" s="1460"/>
      <c r="O1177" s="1453"/>
      <c r="P1177" s="1480"/>
      <c r="Q1177" s="795"/>
      <c r="R1177" s="785">
        <f>IFERROR(VLOOKUP($Q1177,'391'!$S:$Z,8,0),"")</f>
        <v>0</v>
      </c>
      <c r="S1177" s="796"/>
      <c r="T1177" s="797"/>
      <c r="U1177" s="797"/>
      <c r="V1177" s="797"/>
      <c r="W1177" s="785">
        <f>IFERROR(VLOOKUP($Q1177,'391'!$S:$AG,15,0),0)</f>
        <v>0</v>
      </c>
      <c r="X1177" s="1090">
        <f t="shared" si="725"/>
        <v>0</v>
      </c>
      <c r="Y1177" s="785"/>
      <c r="Z1177" s="785"/>
      <c r="AA1177" s="797"/>
      <c r="AB1177" s="797"/>
      <c r="AC1177" s="551"/>
      <c r="AD1177" s="551"/>
      <c r="AE1177" s="551"/>
      <c r="AF1177" s="551"/>
      <c r="AG1177" s="551"/>
      <c r="AH1177" s="551"/>
      <c r="AI1177" s="704"/>
      <c r="AJ1177" s="704"/>
      <c r="AK1177" s="704"/>
      <c r="AL1177" s="704"/>
      <c r="AM1177" s="704"/>
      <c r="AN1177" s="704"/>
      <c r="AO1177" s="704"/>
      <c r="AP1177" s="704"/>
      <c r="AQ1177" s="704"/>
      <c r="AR1177" s="704"/>
      <c r="AS1177" s="704"/>
    </row>
    <row r="1178" spans="1:45" s="265" customFormat="1" ht="30" hidden="1" customHeight="1" x14ac:dyDescent="0.25">
      <c r="A1178" s="2028"/>
      <c r="B1178" s="2025"/>
      <c r="C1178" s="138" t="s">
        <v>76</v>
      </c>
      <c r="D1178" s="850" t="s">
        <v>10</v>
      </c>
      <c r="E1178" s="851">
        <v>43630</v>
      </c>
      <c r="F1178" s="42">
        <f t="shared" si="734"/>
        <v>2656</v>
      </c>
      <c r="G1178" s="1369">
        <v>0</v>
      </c>
      <c r="H1178" s="64"/>
      <c r="I1178" s="58">
        <f>+SUM(K1172:K1173)</f>
        <v>0</v>
      </c>
      <c r="J1178" s="1365">
        <f>+usage!I119</f>
        <v>0</v>
      </c>
      <c r="K1178" s="64"/>
      <c r="L1178" s="1533">
        <f t="shared" si="732"/>
        <v>0</v>
      </c>
      <c r="M1178" s="45"/>
      <c r="N1178" s="162"/>
      <c r="O1178" s="45"/>
      <c r="P1178" s="756"/>
      <c r="Q1178" s="795"/>
      <c r="R1178" s="785">
        <f>IFERROR(VLOOKUP($Q1178,'391'!$S:$Z,8,0),"")</f>
        <v>0</v>
      </c>
      <c r="S1178" s="796"/>
      <c r="T1178" s="797"/>
      <c r="U1178" s="797"/>
      <c r="V1178" s="797"/>
      <c r="W1178" s="785">
        <f>IFERROR(VLOOKUP($Q1178,'391'!$S:$AG,15,0),0)</f>
        <v>0</v>
      </c>
      <c r="X1178" s="1090">
        <f t="shared" si="725"/>
        <v>0</v>
      </c>
      <c r="Y1178" s="785"/>
      <c r="Z1178" s="785"/>
      <c r="AA1178" s="797"/>
      <c r="AB1178" s="797"/>
      <c r="AC1178" s="551"/>
      <c r="AD1178" s="551"/>
      <c r="AE1178" s="551"/>
      <c r="AF1178" s="551"/>
      <c r="AG1178" s="551"/>
      <c r="AH1178" s="551"/>
      <c r="AI1178" s="704"/>
      <c r="AJ1178" s="704"/>
      <c r="AK1178" s="704"/>
      <c r="AL1178" s="704"/>
      <c r="AM1178" s="704"/>
      <c r="AN1178" s="704"/>
      <c r="AO1178" s="704"/>
      <c r="AP1178" s="704"/>
      <c r="AQ1178" s="704"/>
      <c r="AR1178" s="704"/>
      <c r="AS1178" s="704"/>
    </row>
    <row r="1179" spans="1:45" s="418" customFormat="1" ht="30" hidden="1" customHeight="1" x14ac:dyDescent="0.25">
      <c r="A1179" s="2029"/>
      <c r="B1179" s="2026"/>
      <c r="C1179" s="1007" t="s">
        <v>76</v>
      </c>
      <c r="D1179" s="863" t="s">
        <v>10</v>
      </c>
      <c r="E1179" s="886">
        <v>43392</v>
      </c>
      <c r="F1179" s="39">
        <f t="shared" si="734"/>
        <v>2894</v>
      </c>
      <c r="G1179" s="37">
        <v>0</v>
      </c>
      <c r="H1179" s="37"/>
      <c r="I1179" s="37"/>
      <c r="J1179" s="1385"/>
      <c r="K1179" s="37"/>
      <c r="L1179" s="1533">
        <f t="shared" si="732"/>
        <v>0</v>
      </c>
      <c r="M1179" s="35"/>
      <c r="N1179" s="87"/>
      <c r="O1179" s="35"/>
      <c r="P1179" s="751"/>
      <c r="Q1179" s="795"/>
      <c r="R1179" s="785">
        <f>IFERROR(VLOOKUP($Q1179,'391'!$S:$Z,8,0),"")</f>
        <v>0</v>
      </c>
      <c r="S1179" s="796"/>
      <c r="T1179" s="797"/>
      <c r="U1179" s="797"/>
      <c r="V1179" s="797"/>
      <c r="W1179" s="785">
        <f>IFERROR(VLOOKUP($Q1179,'391'!$S:$AG,15,0),0)</f>
        <v>0</v>
      </c>
      <c r="X1179" s="1090">
        <f t="shared" si="725"/>
        <v>0</v>
      </c>
      <c r="Y1179" s="785"/>
      <c r="Z1179" s="785"/>
      <c r="AA1179" s="797"/>
      <c r="AB1179" s="797"/>
      <c r="AC1179" s="551"/>
      <c r="AD1179" s="551"/>
      <c r="AE1179" s="551"/>
      <c r="AF1179" s="551"/>
      <c r="AG1179" s="551"/>
      <c r="AH1179" s="551"/>
      <c r="AI1179" s="704"/>
      <c r="AJ1179" s="704"/>
      <c r="AK1179" s="704"/>
      <c r="AL1179" s="704"/>
      <c r="AM1179" s="704"/>
      <c r="AN1179" s="704"/>
      <c r="AO1179" s="704"/>
      <c r="AP1179" s="704"/>
      <c r="AQ1179" s="704"/>
      <c r="AR1179" s="704"/>
      <c r="AS1179" s="704"/>
    </row>
    <row r="1180" spans="1:45" s="265" customFormat="1" ht="30" hidden="1" customHeight="1" x14ac:dyDescent="0.25">
      <c r="A1180" s="845"/>
      <c r="B1180" s="846" t="s">
        <v>180</v>
      </c>
      <c r="C1180" s="88"/>
      <c r="D1180" s="864"/>
      <c r="E1180" s="864"/>
      <c r="F1180" s="865"/>
      <c r="G1180" s="1297">
        <v>0</v>
      </c>
      <c r="H1180" s="1297">
        <f t="shared" ref="H1180:K1180" si="735">SUM(H1172:H1179)</f>
        <v>0</v>
      </c>
      <c r="I1180" s="1297">
        <f t="shared" si="735"/>
        <v>0</v>
      </c>
      <c r="J1180" s="1297">
        <f t="shared" si="735"/>
        <v>0</v>
      </c>
      <c r="K1180" s="1297">
        <f t="shared" si="735"/>
        <v>0</v>
      </c>
      <c r="L1180" s="1533">
        <f t="shared" si="732"/>
        <v>0</v>
      </c>
      <c r="M1180" s="59"/>
      <c r="N1180" s="854" t="e">
        <f>(L1180/M1180)</f>
        <v>#DIV/0!</v>
      </c>
      <c r="O1180" s="59">
        <v>14</v>
      </c>
      <c r="P1180" s="880">
        <f>IFERROR(L1180/O1180,0)</f>
        <v>0</v>
      </c>
      <c r="Q1180" s="795"/>
      <c r="R1180" s="785">
        <f>IFERROR(VLOOKUP($Q1180,'391'!$S:$Z,8,0),"")</f>
        <v>0</v>
      </c>
      <c r="S1180" s="796"/>
      <c r="T1180" s="797"/>
      <c r="U1180" s="797"/>
      <c r="V1180" s="797"/>
      <c r="W1180" s="785">
        <f>IFERROR(VLOOKUP($Q1180,'391'!$S:$AG,15,0),0)</f>
        <v>0</v>
      </c>
      <c r="X1180" s="1090">
        <f t="shared" si="725"/>
        <v>0</v>
      </c>
      <c r="Y1180" s="785"/>
      <c r="Z1180" s="785"/>
      <c r="AA1180" s="797"/>
      <c r="AB1180" s="797"/>
      <c r="AC1180" s="551"/>
      <c r="AD1180" s="551"/>
      <c r="AE1180" s="551"/>
      <c r="AF1180" s="551"/>
      <c r="AG1180" s="551"/>
      <c r="AH1180" s="551"/>
      <c r="AI1180" s="704"/>
      <c r="AJ1180" s="704"/>
      <c r="AK1180" s="704"/>
      <c r="AL1180" s="704"/>
      <c r="AM1180" s="704"/>
      <c r="AN1180" s="704"/>
      <c r="AO1180" s="704"/>
      <c r="AP1180" s="704"/>
      <c r="AQ1180" s="704"/>
      <c r="AR1180" s="704"/>
      <c r="AS1180" s="704"/>
    </row>
    <row r="1181" spans="1:45" s="265" customFormat="1" ht="30" hidden="1" customHeight="1" x14ac:dyDescent="0.25">
      <c r="A1181" s="2027" t="str">
        <f>IF(L1188=0,"",MAX($A$16:A1180)+1)</f>
        <v/>
      </c>
      <c r="B1181" s="2024" t="s">
        <v>237</v>
      </c>
      <c r="C1181" s="1009" t="s">
        <v>513</v>
      </c>
      <c r="D1181" s="887" t="s">
        <v>10</v>
      </c>
      <c r="E1181" s="888">
        <v>43717</v>
      </c>
      <c r="F1181" s="70">
        <f t="shared" ref="F1181:F1187" si="736">$L$7-E1181</f>
        <v>2569</v>
      </c>
      <c r="G1181" s="12">
        <v>0</v>
      </c>
      <c r="H1181" s="64"/>
      <c r="I1181" s="64"/>
      <c r="J1181" s="1367"/>
      <c r="K1181" s="64"/>
      <c r="L1181" s="1533">
        <f t="shared" si="732"/>
        <v>0</v>
      </c>
      <c r="M1181" s="50"/>
      <c r="N1181" s="167"/>
      <c r="O1181" s="50"/>
      <c r="P1181" s="857"/>
      <c r="Q1181" s="795"/>
      <c r="R1181" s="785">
        <f>IFERROR(VLOOKUP($Q1181,'391'!$S:$Z,8,0),"")</f>
        <v>0</v>
      </c>
      <c r="S1181" s="796"/>
      <c r="T1181" s="797"/>
      <c r="U1181" s="797"/>
      <c r="V1181" s="797"/>
      <c r="W1181" s="785">
        <f>IFERROR(VLOOKUP($Q1181,'391'!$S:$AG,15,0),0)</f>
        <v>0</v>
      </c>
      <c r="X1181" s="1090">
        <f t="shared" si="725"/>
        <v>0</v>
      </c>
      <c r="Y1181" s="785"/>
      <c r="Z1181" s="785"/>
      <c r="AA1181" s="797"/>
      <c r="AB1181" s="797"/>
      <c r="AC1181" s="551"/>
      <c r="AD1181" s="551"/>
      <c r="AE1181" s="551"/>
      <c r="AF1181" s="551"/>
      <c r="AG1181" s="551"/>
      <c r="AH1181" s="551"/>
      <c r="AI1181" s="704"/>
      <c r="AJ1181" s="704"/>
      <c r="AK1181" s="704"/>
      <c r="AL1181" s="704"/>
      <c r="AM1181" s="704"/>
      <c r="AN1181" s="704"/>
      <c r="AO1181" s="704"/>
      <c r="AP1181" s="704"/>
      <c r="AQ1181" s="704"/>
      <c r="AR1181" s="704"/>
      <c r="AS1181" s="704"/>
    </row>
    <row r="1182" spans="1:45" s="265" customFormat="1" ht="30" hidden="1" customHeight="1" x14ac:dyDescent="0.25">
      <c r="A1182" s="2028"/>
      <c r="B1182" s="2025"/>
      <c r="C1182" s="1009" t="s">
        <v>513</v>
      </c>
      <c r="D1182" s="887" t="s">
        <v>10</v>
      </c>
      <c r="E1182" s="888">
        <v>43729</v>
      </c>
      <c r="F1182" s="70">
        <f t="shared" si="736"/>
        <v>2557</v>
      </c>
      <c r="G1182" s="12">
        <v>0</v>
      </c>
      <c r="H1182" s="64"/>
      <c r="I1182" s="64"/>
      <c r="J1182" s="1367"/>
      <c r="K1182" s="64"/>
      <c r="L1182" s="1533">
        <f t="shared" si="732"/>
        <v>0</v>
      </c>
      <c r="M1182" s="48"/>
      <c r="N1182" s="163"/>
      <c r="O1182" s="48"/>
      <c r="P1182" s="857"/>
      <c r="Q1182" s="795"/>
      <c r="R1182" s="785">
        <f>IFERROR(VLOOKUP($Q1182,'391'!$S:$Z,8,0),"")</f>
        <v>0</v>
      </c>
      <c r="S1182" s="796"/>
      <c r="T1182" s="797"/>
      <c r="U1182" s="797"/>
      <c r="V1182" s="797"/>
      <c r="W1182" s="785">
        <f>IFERROR(VLOOKUP($Q1182,'391'!$S:$AG,15,0),0)</f>
        <v>0</v>
      </c>
      <c r="X1182" s="1090">
        <f t="shared" si="725"/>
        <v>0</v>
      </c>
      <c r="Y1182" s="785"/>
      <c r="Z1182" s="785"/>
      <c r="AA1182" s="797"/>
      <c r="AB1182" s="797"/>
      <c r="AC1182" s="551"/>
      <c r="AD1182" s="551"/>
      <c r="AE1182" s="551"/>
      <c r="AF1182" s="551"/>
      <c r="AG1182" s="551"/>
      <c r="AH1182" s="551"/>
      <c r="AI1182" s="704"/>
      <c r="AJ1182" s="704"/>
      <c r="AK1182" s="704"/>
      <c r="AL1182" s="704"/>
      <c r="AM1182" s="704"/>
      <c r="AN1182" s="704"/>
      <c r="AO1182" s="704"/>
      <c r="AP1182" s="704"/>
      <c r="AQ1182" s="704"/>
      <c r="AR1182" s="704"/>
      <c r="AS1182" s="704"/>
    </row>
    <row r="1183" spans="1:45" s="265" customFormat="1" ht="30" hidden="1" customHeight="1" x14ac:dyDescent="0.25">
      <c r="A1183" s="2028"/>
      <c r="B1183" s="2025"/>
      <c r="C1183" s="1009" t="s">
        <v>265</v>
      </c>
      <c r="D1183" s="887" t="s">
        <v>10</v>
      </c>
      <c r="E1183" s="888">
        <v>43056</v>
      </c>
      <c r="F1183" s="70">
        <f t="shared" si="736"/>
        <v>3230</v>
      </c>
      <c r="G1183" s="12">
        <v>0</v>
      </c>
      <c r="H1183" s="64"/>
      <c r="I1183" s="64"/>
      <c r="J1183" s="1367"/>
      <c r="K1183" s="64"/>
      <c r="L1183" s="1533">
        <f t="shared" si="732"/>
        <v>0</v>
      </c>
      <c r="M1183" s="48"/>
      <c r="N1183" s="163"/>
      <c r="O1183" s="48"/>
      <c r="P1183" s="857"/>
      <c r="Q1183" s="795"/>
      <c r="R1183" s="785">
        <f>IFERROR(VLOOKUP($Q1183,'391'!$S:$Z,8,0),"")</f>
        <v>0</v>
      </c>
      <c r="S1183" s="796"/>
      <c r="T1183" s="797"/>
      <c r="U1183" s="797"/>
      <c r="V1183" s="797"/>
      <c r="W1183" s="785">
        <f>IFERROR(VLOOKUP($Q1183,'391'!$S:$AG,15,0),0)</f>
        <v>0</v>
      </c>
      <c r="X1183" s="1090">
        <f t="shared" si="725"/>
        <v>0</v>
      </c>
      <c r="Y1183" s="785"/>
      <c r="Z1183" s="785"/>
      <c r="AA1183" s="797"/>
      <c r="AB1183" s="797"/>
      <c r="AC1183" s="551"/>
      <c r="AD1183" s="551"/>
      <c r="AE1183" s="551"/>
      <c r="AF1183" s="551"/>
      <c r="AG1183" s="551"/>
      <c r="AH1183" s="551"/>
      <c r="AI1183" s="704"/>
      <c r="AJ1183" s="704"/>
      <c r="AK1183" s="704"/>
      <c r="AL1183" s="704"/>
      <c r="AM1183" s="704"/>
      <c r="AN1183" s="704"/>
      <c r="AO1183" s="704"/>
      <c r="AP1183" s="704"/>
      <c r="AQ1183" s="704"/>
      <c r="AR1183" s="704"/>
      <c r="AS1183" s="704"/>
    </row>
    <row r="1184" spans="1:45" s="265" customFormat="1" ht="30" hidden="1" customHeight="1" x14ac:dyDescent="0.25">
      <c r="A1184" s="2028"/>
      <c r="B1184" s="2025"/>
      <c r="C1184" s="1009" t="s">
        <v>265</v>
      </c>
      <c r="D1184" s="887" t="s">
        <v>10</v>
      </c>
      <c r="E1184" s="888">
        <v>43056</v>
      </c>
      <c r="F1184" s="70">
        <f t="shared" si="736"/>
        <v>3230</v>
      </c>
      <c r="G1184" s="12">
        <v>0</v>
      </c>
      <c r="H1184" s="64"/>
      <c r="I1184" s="64"/>
      <c r="J1184" s="1367"/>
      <c r="K1184" s="64"/>
      <c r="L1184" s="1533">
        <f t="shared" si="732"/>
        <v>0</v>
      </c>
      <c r="M1184" s="45"/>
      <c r="N1184" s="920"/>
      <c r="O1184" s="45"/>
      <c r="P1184" s="857"/>
      <c r="Q1184" s="795"/>
      <c r="R1184" s="785">
        <f>IFERROR(VLOOKUP($Q1184,'391'!$S:$Z,8,0),"")</f>
        <v>0</v>
      </c>
      <c r="S1184" s="796"/>
      <c r="T1184" s="797"/>
      <c r="U1184" s="797"/>
      <c r="V1184" s="797"/>
      <c r="W1184" s="785">
        <f>IFERROR(VLOOKUP($Q1184,'391'!$S:$AG,15,0),0)</f>
        <v>0</v>
      </c>
      <c r="X1184" s="1090">
        <f t="shared" si="725"/>
        <v>0</v>
      </c>
      <c r="Y1184" s="785"/>
      <c r="Z1184" s="785"/>
      <c r="AA1184" s="797"/>
      <c r="AB1184" s="797"/>
      <c r="AC1184" s="551"/>
      <c r="AD1184" s="551"/>
      <c r="AE1184" s="551"/>
      <c r="AF1184" s="551"/>
      <c r="AG1184" s="551"/>
      <c r="AH1184" s="551"/>
      <c r="AI1184" s="704"/>
      <c r="AJ1184" s="704"/>
      <c r="AK1184" s="704"/>
      <c r="AL1184" s="704"/>
      <c r="AM1184" s="704"/>
      <c r="AN1184" s="704"/>
      <c r="AO1184" s="704"/>
      <c r="AP1184" s="704"/>
      <c r="AQ1184" s="704"/>
      <c r="AR1184" s="704"/>
      <c r="AS1184" s="704"/>
    </row>
    <row r="1185" spans="1:45" s="265" customFormat="1" ht="30" hidden="1" customHeight="1" x14ac:dyDescent="0.25">
      <c r="A1185" s="2028"/>
      <c r="B1185" s="2025"/>
      <c r="C1185" s="1009" t="s">
        <v>265</v>
      </c>
      <c r="D1185" s="887" t="s">
        <v>10</v>
      </c>
      <c r="E1185" s="888">
        <v>43056</v>
      </c>
      <c r="F1185" s="70">
        <f t="shared" si="736"/>
        <v>3230</v>
      </c>
      <c r="G1185" s="12">
        <v>0</v>
      </c>
      <c r="H1185" s="63"/>
      <c r="I1185" s="63"/>
      <c r="J1185" s="1378"/>
      <c r="K1185" s="64"/>
      <c r="L1185" s="1533">
        <f t="shared" si="732"/>
        <v>0</v>
      </c>
      <c r="M1185" s="45"/>
      <c r="N1185" s="920"/>
      <c r="O1185" s="45"/>
      <c r="P1185" s="857"/>
      <c r="Q1185" s="795"/>
      <c r="R1185" s="785">
        <f>IFERROR(VLOOKUP($Q1185,'391'!$S:$Z,8,0),"")</f>
        <v>0</v>
      </c>
      <c r="S1185" s="796"/>
      <c r="T1185" s="797"/>
      <c r="U1185" s="797"/>
      <c r="V1185" s="797"/>
      <c r="W1185" s="785">
        <f>IFERROR(VLOOKUP($Q1185,'391'!$S:$AG,15,0),0)</f>
        <v>0</v>
      </c>
      <c r="X1185" s="1090">
        <f t="shared" si="725"/>
        <v>0</v>
      </c>
      <c r="Y1185" s="785"/>
      <c r="Z1185" s="785"/>
      <c r="AA1185" s="797"/>
      <c r="AB1185" s="797"/>
      <c r="AC1185" s="551"/>
      <c r="AD1185" s="551"/>
      <c r="AE1185" s="551"/>
      <c r="AF1185" s="551"/>
      <c r="AG1185" s="551"/>
      <c r="AH1185" s="551"/>
      <c r="AI1185" s="704"/>
      <c r="AJ1185" s="704"/>
      <c r="AK1185" s="704"/>
      <c r="AL1185" s="704"/>
      <c r="AM1185" s="704"/>
      <c r="AN1185" s="704"/>
      <c r="AO1185" s="704"/>
      <c r="AP1185" s="704"/>
      <c r="AQ1185" s="704"/>
      <c r="AR1185" s="704"/>
      <c r="AS1185" s="704"/>
    </row>
    <row r="1186" spans="1:45" s="265" customFormat="1" ht="30" hidden="1" customHeight="1" x14ac:dyDescent="0.25">
      <c r="A1186" s="2028"/>
      <c r="B1186" s="2025"/>
      <c r="C1186" s="1009" t="s">
        <v>197</v>
      </c>
      <c r="D1186" s="887" t="s">
        <v>10</v>
      </c>
      <c r="E1186" s="888">
        <v>42971</v>
      </c>
      <c r="F1186" s="70">
        <f t="shared" si="736"/>
        <v>3315</v>
      </c>
      <c r="G1186" s="12">
        <v>0</v>
      </c>
      <c r="H1186" s="63"/>
      <c r="I1186" s="63"/>
      <c r="J1186" s="1378"/>
      <c r="K1186" s="64"/>
      <c r="L1186" s="1533">
        <f t="shared" si="732"/>
        <v>0</v>
      </c>
      <c r="M1186" s="45"/>
      <c r="N1186" s="920"/>
      <c r="O1186" s="45"/>
      <c r="P1186" s="857"/>
      <c r="Q1186" s="795"/>
      <c r="R1186" s="785">
        <f>IFERROR(VLOOKUP($Q1186,'391'!$S:$Z,8,0),"")</f>
        <v>0</v>
      </c>
      <c r="S1186" s="796"/>
      <c r="T1186" s="797"/>
      <c r="U1186" s="797"/>
      <c r="V1186" s="797"/>
      <c r="W1186" s="785">
        <f>IFERROR(VLOOKUP($Q1186,'391'!$S:$AG,15,0),0)</f>
        <v>0</v>
      </c>
      <c r="X1186" s="1090">
        <f t="shared" si="725"/>
        <v>0</v>
      </c>
      <c r="Y1186" s="785"/>
      <c r="Z1186" s="785"/>
      <c r="AA1186" s="797"/>
      <c r="AB1186" s="797"/>
      <c r="AC1186" s="551"/>
      <c r="AD1186" s="551"/>
      <c r="AE1186" s="551"/>
      <c r="AF1186" s="551"/>
      <c r="AG1186" s="551"/>
      <c r="AH1186" s="551"/>
      <c r="AI1186" s="704"/>
      <c r="AJ1186" s="704"/>
      <c r="AK1186" s="704"/>
      <c r="AL1186" s="704"/>
      <c r="AM1186" s="704"/>
      <c r="AN1186" s="704"/>
      <c r="AO1186" s="704"/>
      <c r="AP1186" s="704"/>
      <c r="AQ1186" s="704"/>
      <c r="AR1186" s="704"/>
      <c r="AS1186" s="704"/>
    </row>
    <row r="1187" spans="1:45" s="418" customFormat="1" ht="30" hidden="1" customHeight="1" x14ac:dyDescent="0.25">
      <c r="A1187" s="2029"/>
      <c r="B1187" s="2026"/>
      <c r="C1187" s="138" t="s">
        <v>76</v>
      </c>
      <c r="D1187" s="863" t="s">
        <v>10</v>
      </c>
      <c r="E1187" s="886">
        <v>43729</v>
      </c>
      <c r="F1187" s="39">
        <f t="shared" si="736"/>
        <v>2557</v>
      </c>
      <c r="G1187" s="37">
        <v>0</v>
      </c>
      <c r="H1187" s="37"/>
      <c r="I1187" s="37">
        <f>+SUM(K1181:K1182)</f>
        <v>0</v>
      </c>
      <c r="J1187" s="1385">
        <f>usage!I148</f>
        <v>0</v>
      </c>
      <c r="K1187" s="64"/>
      <c r="L1187" s="1533">
        <f t="shared" si="732"/>
        <v>0</v>
      </c>
      <c r="M1187" s="35"/>
      <c r="N1187" s="87"/>
      <c r="O1187" s="35"/>
      <c r="P1187" s="857"/>
      <c r="Q1187" s="795"/>
      <c r="R1187" s="785">
        <f>IFERROR(VLOOKUP($Q1187,'391'!$S:$Z,8,0),"")</f>
        <v>0</v>
      </c>
      <c r="S1187" s="796"/>
      <c r="T1187" s="797"/>
      <c r="U1187" s="797"/>
      <c r="V1187" s="797"/>
      <c r="W1187" s="785">
        <f>IFERROR(VLOOKUP($Q1187,'391'!$S:$AG,15,0),0)</f>
        <v>0</v>
      </c>
      <c r="X1187" s="1090">
        <f t="shared" si="725"/>
        <v>0</v>
      </c>
      <c r="Y1187" s="785"/>
      <c r="Z1187" s="785"/>
      <c r="AA1187" s="797"/>
      <c r="AB1187" s="797"/>
      <c r="AC1187" s="551"/>
      <c r="AD1187" s="551"/>
      <c r="AE1187" s="551"/>
      <c r="AF1187" s="551"/>
      <c r="AG1187" s="551"/>
      <c r="AH1187" s="551"/>
      <c r="AI1187" s="704"/>
      <c r="AJ1187" s="704"/>
      <c r="AK1187" s="704"/>
      <c r="AL1187" s="704"/>
      <c r="AM1187" s="704"/>
      <c r="AN1187" s="704"/>
      <c r="AO1187" s="704"/>
      <c r="AP1187" s="704"/>
      <c r="AQ1187" s="704"/>
      <c r="AR1187" s="704"/>
      <c r="AS1187" s="704"/>
    </row>
    <row r="1188" spans="1:45" s="265" customFormat="1" ht="30" hidden="1" customHeight="1" x14ac:dyDescent="0.25">
      <c r="A1188" s="184"/>
      <c r="B1188" s="184" t="s">
        <v>189</v>
      </c>
      <c r="C1188" s="575"/>
      <c r="D1188" s="900"/>
      <c r="E1188" s="901"/>
      <c r="F1188" s="902"/>
      <c r="G1188" s="1337">
        <v>0</v>
      </c>
      <c r="H1188" s="1337">
        <f t="shared" ref="H1188:K1188" si="737">SUM(H1181:H1187)</f>
        <v>0</v>
      </c>
      <c r="I1188" s="1337">
        <f t="shared" si="737"/>
        <v>0</v>
      </c>
      <c r="J1188" s="1337">
        <f t="shared" si="737"/>
        <v>0</v>
      </c>
      <c r="K1188" s="1337">
        <f t="shared" si="737"/>
        <v>0</v>
      </c>
      <c r="L1188" s="1533">
        <f t="shared" si="732"/>
        <v>0</v>
      </c>
      <c r="M1188" s="59"/>
      <c r="N1188" s="366">
        <f>IFERROR(L1188/M1188,0)</f>
        <v>0</v>
      </c>
      <c r="O1188" s="59"/>
      <c r="P1188" s="880">
        <f>IFERROR(L1188/O1188,0)</f>
        <v>0</v>
      </c>
      <c r="Q1188" s="795"/>
      <c r="R1188" s="785">
        <f>IFERROR(VLOOKUP($Q1188,'391'!$S:$Z,8,0),"")</f>
        <v>0</v>
      </c>
      <c r="S1188" s="796"/>
      <c r="T1188" s="797"/>
      <c r="U1188" s="797"/>
      <c r="V1188" s="797"/>
      <c r="W1188" s="785">
        <f>IFERROR(VLOOKUP($Q1188,'391'!$S:$AG,15,0),0)</f>
        <v>0</v>
      </c>
      <c r="X1188" s="1090">
        <f t="shared" si="725"/>
        <v>0</v>
      </c>
      <c r="Y1188" s="785"/>
      <c r="Z1188" s="785"/>
      <c r="AA1188" s="797"/>
      <c r="AB1188" s="797"/>
      <c r="AC1188" s="551"/>
      <c r="AD1188" s="551"/>
      <c r="AE1188" s="551"/>
      <c r="AF1188" s="551"/>
      <c r="AG1188" s="551"/>
      <c r="AH1188" s="551"/>
      <c r="AI1188" s="704"/>
      <c r="AJ1188" s="704"/>
      <c r="AK1188" s="704"/>
      <c r="AL1188" s="704"/>
      <c r="AM1188" s="704"/>
      <c r="AN1188" s="704"/>
      <c r="AO1188" s="704"/>
      <c r="AP1188" s="704"/>
      <c r="AQ1188" s="704"/>
      <c r="AR1188" s="704"/>
      <c r="AS1188" s="704"/>
    </row>
    <row r="1189" spans="1:45" s="265" customFormat="1" ht="30" hidden="1" customHeight="1" x14ac:dyDescent="0.25">
      <c r="A1189" s="2027">
        <f>IF(L1195=0,"",MAX($A$16:A1188)+1)</f>
        <v>77</v>
      </c>
      <c r="B1189" s="2024" t="s">
        <v>210</v>
      </c>
      <c r="C1189" s="114"/>
      <c r="D1189" s="881" t="s">
        <v>10</v>
      </c>
      <c r="E1189" s="888">
        <v>46038</v>
      </c>
      <c r="F1189" s="70">
        <f t="shared" ref="F1189" si="738">$L$7-E1189</f>
        <v>248</v>
      </c>
      <c r="G1189" s="63">
        <v>0</v>
      </c>
      <c r="H1189" s="63"/>
      <c r="I1189" s="63"/>
      <c r="J1189" s="1378"/>
      <c r="K1189" s="63">
        <f>IFERROR(SUMIF(INTAKE!$A:$A,$T1189,INTAKE!$P:$P),0)</f>
        <v>0</v>
      </c>
      <c r="L1189" s="1702">
        <f t="shared" si="732"/>
        <v>0</v>
      </c>
      <c r="M1189" s="50"/>
      <c r="N1189" s="167"/>
      <c r="O1189" s="50"/>
      <c r="P1189" s="857"/>
      <c r="Q1189" s="795"/>
      <c r="R1189" s="785">
        <f>IFERROR(VLOOKUP($Q1189,'391'!$S:$Z,8,0),"")</f>
        <v>0</v>
      </c>
      <c r="S1189" s="796"/>
      <c r="T1189" s="797" t="str">
        <f t="shared" ref="T1189:T1194" si="739">$Q$1195&amp;C1189&amp;E1189</f>
        <v>Flavomycin 8046038</v>
      </c>
      <c r="U1189" s="797"/>
      <c r="V1189" s="797"/>
      <c r="W1189" s="785">
        <f>IFERROR(VLOOKUP($Q1189,'391'!$S:$AG,15,0),0)</f>
        <v>0</v>
      </c>
      <c r="X1189" s="1090">
        <f t="shared" si="725"/>
        <v>0</v>
      </c>
      <c r="Y1189" s="785"/>
      <c r="Z1189" s="785"/>
      <c r="AA1189" s="797"/>
      <c r="AB1189" s="797"/>
      <c r="AC1189" s="551"/>
      <c r="AD1189" s="551"/>
      <c r="AE1189" s="551"/>
      <c r="AF1189" s="551"/>
      <c r="AG1189" s="551"/>
      <c r="AH1189" s="551"/>
      <c r="AI1189" s="704"/>
      <c r="AJ1189" s="704"/>
      <c r="AK1189" s="704"/>
      <c r="AL1189" s="704"/>
      <c r="AM1189" s="704"/>
      <c r="AN1189" s="704"/>
      <c r="AO1189" s="704"/>
      <c r="AP1189" s="704"/>
      <c r="AQ1189" s="704"/>
      <c r="AR1189" s="704"/>
      <c r="AS1189" s="704"/>
    </row>
    <row r="1190" spans="1:45" s="265" customFormat="1" ht="30" hidden="1" customHeight="1" x14ac:dyDescent="0.25">
      <c r="A1190" s="2028"/>
      <c r="B1190" s="2025"/>
      <c r="C1190" s="114"/>
      <c r="D1190" s="881" t="s">
        <v>10</v>
      </c>
      <c r="E1190" s="888">
        <v>46233</v>
      </c>
      <c r="F1190" s="70">
        <f t="shared" ref="F1190:F1191" si="740">$L$7-E1190</f>
        <v>53</v>
      </c>
      <c r="G1190" s="63">
        <v>0</v>
      </c>
      <c r="H1190" s="63"/>
      <c r="I1190" s="63"/>
      <c r="J1190" s="1378"/>
      <c r="K1190" s="1348">
        <f>IFERROR(SUMIF(INTAKE!$A:$A,$T1190,INTAKE!$P:$P),0)</f>
        <v>0</v>
      </c>
      <c r="L1190" s="1702">
        <f t="shared" si="732"/>
        <v>0</v>
      </c>
      <c r="M1190" s="48"/>
      <c r="N1190" s="163"/>
      <c r="O1190" s="48"/>
      <c r="P1190" s="924"/>
      <c r="Q1190" s="795"/>
      <c r="R1190" s="785">
        <f>IFERROR(VLOOKUP($Q1190,'391'!$S:$Z,8,0),"")</f>
        <v>0</v>
      </c>
      <c r="S1190" s="796"/>
      <c r="T1190" s="797" t="str">
        <f t="shared" si="739"/>
        <v>Flavomycin 8046233</v>
      </c>
      <c r="U1190" s="797"/>
      <c r="V1190" s="797"/>
      <c r="W1190" s="785">
        <f>IFERROR(VLOOKUP($Q1190,'391'!$S:$AG,15,0),0)</f>
        <v>0</v>
      </c>
      <c r="X1190" s="1090">
        <f t="shared" si="725"/>
        <v>0</v>
      </c>
      <c r="Y1190" s="785"/>
      <c r="Z1190" s="785"/>
      <c r="AA1190" s="797"/>
      <c r="AB1190" s="797"/>
      <c r="AC1190" s="551"/>
      <c r="AD1190" s="551"/>
      <c r="AE1190" s="551"/>
      <c r="AF1190" s="551"/>
      <c r="AG1190" s="551"/>
      <c r="AH1190" s="551"/>
      <c r="AI1190" s="704"/>
      <c r="AJ1190" s="704"/>
      <c r="AK1190" s="704"/>
      <c r="AL1190" s="704"/>
      <c r="AM1190" s="704"/>
      <c r="AN1190" s="704"/>
      <c r="AO1190" s="704"/>
      <c r="AP1190" s="704"/>
      <c r="AQ1190" s="704"/>
      <c r="AR1190" s="704"/>
      <c r="AS1190" s="704"/>
    </row>
    <row r="1191" spans="1:45" s="265" customFormat="1" ht="30" customHeight="1" x14ac:dyDescent="0.25">
      <c r="A1191" s="2028"/>
      <c r="B1191" s="2025"/>
      <c r="C1191" s="114" t="s">
        <v>1213</v>
      </c>
      <c r="D1191" s="881" t="s">
        <v>10</v>
      </c>
      <c r="E1191" s="888">
        <v>46247</v>
      </c>
      <c r="F1191" s="70">
        <f t="shared" si="740"/>
        <v>39</v>
      </c>
      <c r="G1191" s="63">
        <v>0</v>
      </c>
      <c r="H1191" s="63"/>
      <c r="I1191" s="63"/>
      <c r="J1191" s="1378"/>
      <c r="K1191" s="1348">
        <f>IFERROR(SUMIF(INTAKE!$A:$A,$T1191,INTAKE!$P:$P),0)</f>
        <v>0</v>
      </c>
      <c r="L1191" s="1702">
        <f t="shared" si="732"/>
        <v>0</v>
      </c>
      <c r="M1191" s="45"/>
      <c r="N1191" s="162"/>
      <c r="O1191" s="45"/>
      <c r="P1191" s="924"/>
      <c r="Q1191" s="795"/>
      <c r="R1191" s="785">
        <f>IFERROR(VLOOKUP($Q1191,'391'!$S:$Z,8,0),"")</f>
        <v>0</v>
      </c>
      <c r="S1191" s="796"/>
      <c r="T1191" s="797" t="str">
        <f t="shared" si="739"/>
        <v>Flavomycin 80E346247</v>
      </c>
      <c r="U1191" s="797"/>
      <c r="V1191" s="797"/>
      <c r="W1191" s="785">
        <f>IFERROR(VLOOKUP($Q1191,'391'!$S:$AG,15,0),0)</f>
        <v>0</v>
      </c>
      <c r="X1191" s="1090">
        <f t="shared" si="725"/>
        <v>0</v>
      </c>
      <c r="Y1191" s="785"/>
      <c r="Z1191" s="785"/>
      <c r="AA1191" s="797"/>
      <c r="AB1191" s="797"/>
      <c r="AC1191" s="551"/>
      <c r="AD1191" s="551"/>
      <c r="AE1191" s="551"/>
      <c r="AF1191" s="551"/>
      <c r="AG1191" s="551"/>
      <c r="AH1191" s="551"/>
      <c r="AI1191" s="704"/>
      <c r="AJ1191" s="704"/>
      <c r="AK1191" s="704"/>
      <c r="AL1191" s="704"/>
      <c r="AM1191" s="704"/>
      <c r="AN1191" s="704"/>
      <c r="AO1191" s="704"/>
      <c r="AP1191" s="704"/>
      <c r="AQ1191" s="704"/>
      <c r="AR1191" s="704"/>
      <c r="AS1191" s="704"/>
    </row>
    <row r="1192" spans="1:45" s="265" customFormat="1" ht="30" customHeight="1" x14ac:dyDescent="0.25">
      <c r="A1192" s="2191"/>
      <c r="B1192" s="2108"/>
      <c r="C1192" s="114" t="s">
        <v>1213</v>
      </c>
      <c r="D1192" s="881" t="s">
        <v>10</v>
      </c>
      <c r="E1192" s="888">
        <v>46262</v>
      </c>
      <c r="F1192" s="70">
        <f t="shared" ref="F1192" si="741">$L$7-E1192</f>
        <v>24</v>
      </c>
      <c r="G1192" s="63">
        <v>50</v>
      </c>
      <c r="H1192" s="63"/>
      <c r="I1192" s="63"/>
      <c r="J1192" s="1378"/>
      <c r="K1192" s="1348">
        <f>IFERROR(SUMIF(INTAKE!$A:$A,$T1192,INTAKE!$P:$P),0)</f>
        <v>0</v>
      </c>
      <c r="L1192" s="1702">
        <f t="shared" ref="L1192" si="742">+G1192+H1192+I1192-J1192-K1192</f>
        <v>50</v>
      </c>
      <c r="M1192" s="45"/>
      <c r="N1192" s="162"/>
      <c r="O1192" s="45"/>
      <c r="P1192" s="857"/>
      <c r="Q1192" s="795"/>
      <c r="R1192" s="785">
        <f>IFERROR(VLOOKUP($Q1192,'391'!$S:$Z,8,0),"")</f>
        <v>0</v>
      </c>
      <c r="S1192" s="796"/>
      <c r="T1192" s="797" t="str">
        <f t="shared" si="739"/>
        <v>Flavomycin 80E346262</v>
      </c>
      <c r="U1192" s="797"/>
      <c r="V1192" s="797"/>
      <c r="W1192" s="785">
        <f>IFERROR(VLOOKUP($Q1192,'391'!$S:$AG,15,0),0)</f>
        <v>0</v>
      </c>
      <c r="X1192" s="1090">
        <f t="shared" ref="X1192" si="743">G1192-W1192</f>
        <v>50</v>
      </c>
      <c r="Y1192" s="785"/>
      <c r="Z1192" s="785"/>
      <c r="AA1192" s="797"/>
      <c r="AB1192" s="797"/>
      <c r="AC1192" s="551"/>
      <c r="AD1192" s="551"/>
      <c r="AE1192" s="551"/>
      <c r="AF1192" s="551"/>
      <c r="AG1192" s="551"/>
      <c r="AH1192" s="551"/>
      <c r="AI1192" s="704"/>
      <c r="AJ1192" s="704"/>
      <c r="AK1192" s="704"/>
      <c r="AL1192" s="704"/>
      <c r="AM1192" s="704"/>
      <c r="AN1192" s="704"/>
      <c r="AO1192" s="704"/>
      <c r="AP1192" s="704"/>
      <c r="AQ1192" s="704"/>
      <c r="AR1192" s="704"/>
      <c r="AS1192" s="704"/>
    </row>
    <row r="1193" spans="1:45" s="265" customFormat="1" ht="30" hidden="1" customHeight="1" x14ac:dyDescent="0.25">
      <c r="A1193" s="2028"/>
      <c r="B1193" s="2025"/>
      <c r="C1193" s="114"/>
      <c r="D1193" s="881" t="s">
        <v>10</v>
      </c>
      <c r="E1193" s="888">
        <v>46233</v>
      </c>
      <c r="F1193" s="70">
        <f t="shared" ref="F1193:F1194" si="744">$L$7-E1193</f>
        <v>53</v>
      </c>
      <c r="G1193" s="63">
        <v>0</v>
      </c>
      <c r="H1193" s="63"/>
      <c r="I1193" s="63"/>
      <c r="J1193" s="1378"/>
      <c r="K1193" s="1348">
        <f>IFERROR(SUMIF(INTAKE!$A:$A,$T1193,INTAKE!$P:$P),0)</f>
        <v>0</v>
      </c>
      <c r="L1193" s="1702">
        <f t="shared" si="732"/>
        <v>0</v>
      </c>
      <c r="M1193" s="45"/>
      <c r="N1193" s="162"/>
      <c r="O1193" s="45"/>
      <c r="P1193" s="1773"/>
      <c r="Q1193" s="795"/>
      <c r="R1193" s="785">
        <f>IFERROR(VLOOKUP($Q1193,'391'!$S:$Z,8,0),"")</f>
        <v>0</v>
      </c>
      <c r="S1193" s="796"/>
      <c r="T1193" s="797" t="str">
        <f t="shared" si="739"/>
        <v>Flavomycin 8046233</v>
      </c>
      <c r="U1193" s="797"/>
      <c r="V1193" s="797"/>
      <c r="W1193" s="785">
        <f>IFERROR(VLOOKUP($Q1193,'391'!$S:$AG,15,0),0)</f>
        <v>0</v>
      </c>
      <c r="X1193" s="1090">
        <f t="shared" si="725"/>
        <v>0</v>
      </c>
      <c r="Y1193" s="785"/>
      <c r="Z1193" s="785"/>
      <c r="AA1193" s="797"/>
      <c r="AB1193" s="797"/>
      <c r="AC1193" s="551"/>
      <c r="AD1193" s="551"/>
      <c r="AE1193" s="551"/>
      <c r="AF1193" s="551"/>
      <c r="AG1193" s="551"/>
      <c r="AH1193" s="551"/>
      <c r="AI1193" s="704"/>
      <c r="AJ1193" s="704"/>
      <c r="AK1193" s="704"/>
      <c r="AL1193" s="704"/>
      <c r="AM1193" s="704"/>
      <c r="AN1193" s="704"/>
      <c r="AO1193" s="704"/>
      <c r="AP1193" s="704"/>
      <c r="AQ1193" s="704"/>
      <c r="AR1193" s="704"/>
      <c r="AS1193" s="704"/>
    </row>
    <row r="1194" spans="1:45" s="418" customFormat="1" ht="30" customHeight="1" x14ac:dyDescent="0.25">
      <c r="A1194" s="2029"/>
      <c r="B1194" s="2026"/>
      <c r="C1194" s="108" t="s">
        <v>76</v>
      </c>
      <c r="D1194" s="863" t="s">
        <v>10</v>
      </c>
      <c r="E1194" s="886">
        <v>46247</v>
      </c>
      <c r="F1194" s="39">
        <f t="shared" si="744"/>
        <v>39</v>
      </c>
      <c r="G1194" s="37">
        <v>31.95</v>
      </c>
      <c r="H1194" s="37"/>
      <c r="I1194" s="37">
        <f>SUM(K1189:K1193)</f>
        <v>0</v>
      </c>
      <c r="J1194" s="1385">
        <f>+usage!I114</f>
        <v>0</v>
      </c>
      <c r="K1194" s="63">
        <f>IFERROR(SUMIF(INTAKE!$A:$A,$T1194,INTAKE!$P:$P),0)</f>
        <v>0</v>
      </c>
      <c r="L1194" s="1533">
        <f t="shared" si="732"/>
        <v>31.95</v>
      </c>
      <c r="M1194" s="35"/>
      <c r="N1194" s="87"/>
      <c r="O1194" s="35"/>
      <c r="P1194" s="857"/>
      <c r="Q1194" s="795"/>
      <c r="R1194" s="785">
        <f>IFERROR(VLOOKUP($Q1194,'391'!$S:$Z,8,0),"")</f>
        <v>0</v>
      </c>
      <c r="S1194" s="796"/>
      <c r="T1194" s="797" t="str">
        <f t="shared" si="739"/>
        <v>Flavomycin 80Feedmil46247</v>
      </c>
      <c r="U1194" s="797"/>
      <c r="V1194" s="797"/>
      <c r="W1194" s="785">
        <f>IFERROR(VLOOKUP($Q1194,'391'!$S:$AG,15,0),0)</f>
        <v>0</v>
      </c>
      <c r="X1194" s="1090">
        <f t="shared" si="725"/>
        <v>31.95</v>
      </c>
      <c r="Y1194" s="785"/>
      <c r="Z1194" s="785"/>
      <c r="AA1194" s="797"/>
      <c r="AB1194" s="797"/>
      <c r="AC1194" s="551"/>
      <c r="AD1194" s="551"/>
      <c r="AE1194" s="551"/>
      <c r="AF1194" s="551"/>
      <c r="AG1194" s="551"/>
      <c r="AH1194" s="551"/>
      <c r="AI1194" s="704"/>
      <c r="AJ1194" s="704"/>
      <c r="AK1194" s="704"/>
      <c r="AL1194" s="704"/>
      <c r="AM1194" s="704"/>
      <c r="AN1194" s="704"/>
      <c r="AO1194" s="704"/>
      <c r="AP1194" s="704"/>
      <c r="AQ1194" s="704"/>
      <c r="AR1194" s="704"/>
      <c r="AS1194" s="704"/>
    </row>
    <row r="1195" spans="1:45" s="265" customFormat="1" ht="30" customHeight="1" x14ac:dyDescent="0.25">
      <c r="A1195" s="184"/>
      <c r="B1195" s="184" t="s">
        <v>211</v>
      </c>
      <c r="C1195" s="575"/>
      <c r="D1195" s="900"/>
      <c r="E1195" s="901"/>
      <c r="F1195" s="902"/>
      <c r="G1195" s="1297">
        <v>81.95</v>
      </c>
      <c r="H1195" s="1344">
        <f t="shared" ref="H1195:L1195" si="745">SUM(H1189:H1194)</f>
        <v>0</v>
      </c>
      <c r="I1195" s="1297">
        <f t="shared" si="745"/>
        <v>0</v>
      </c>
      <c r="J1195" s="1386">
        <f t="shared" si="745"/>
        <v>0</v>
      </c>
      <c r="K1195" s="1386">
        <f t="shared" si="745"/>
        <v>0</v>
      </c>
      <c r="L1195" s="1386">
        <f t="shared" si="745"/>
        <v>81.95</v>
      </c>
      <c r="M1195" s="59">
        <f>IFERROR(R1195/$S$2,"")</f>
        <v>1.3133333333333332</v>
      </c>
      <c r="N1195" s="366">
        <f>IFERROR(L1195/M1195,0)</f>
        <v>62.398477157360411</v>
      </c>
      <c r="O1195" s="59">
        <f>IFERROR(SUMIF(ETM!$A:$A,$Q1195,ETM!$E:$E),"")</f>
        <v>2.8333333333333335</v>
      </c>
      <c r="P1195" s="880">
        <f>IFERROR(L1195/O1195,0)</f>
        <v>28.923529411764704</v>
      </c>
      <c r="Q1195" s="814" t="s">
        <v>210</v>
      </c>
      <c r="R1195" s="785">
        <f>IFERROR(VLOOKUP($Q1195,'391'!$S:$Z,8,0),"")</f>
        <v>7.88</v>
      </c>
      <c r="S1195" s="796"/>
      <c r="T1195" s="797"/>
      <c r="U1195" s="797"/>
      <c r="V1195" s="797"/>
      <c r="W1195" s="785">
        <f>IFERROR(VLOOKUP($Q1195,'391'!$S:$AG,15,0),0)</f>
        <v>81.95</v>
      </c>
      <c r="X1195" s="1090">
        <f t="shared" si="725"/>
        <v>0</v>
      </c>
      <c r="Y1195" s="785"/>
      <c r="Z1195" s="785"/>
      <c r="AA1195" s="797"/>
      <c r="AB1195" s="797"/>
      <c r="AC1195" s="551"/>
      <c r="AD1195" s="551"/>
      <c r="AE1195" s="551"/>
      <c r="AF1195" s="551"/>
      <c r="AG1195" s="551"/>
      <c r="AH1195" s="551"/>
      <c r="AI1195" s="704"/>
      <c r="AJ1195" s="704"/>
      <c r="AK1195" s="704"/>
      <c r="AL1195" s="704"/>
      <c r="AM1195" s="704"/>
      <c r="AN1195" s="704"/>
      <c r="AO1195" s="704"/>
      <c r="AP1195" s="704"/>
      <c r="AQ1195" s="704"/>
      <c r="AR1195" s="704"/>
      <c r="AS1195" s="704"/>
    </row>
    <row r="1196" spans="1:45" s="265" customFormat="1" ht="30" customHeight="1" x14ac:dyDescent="0.25">
      <c r="A1196" s="2027">
        <f>IF(L1201=0,"",MAX($A$16:A1195)+1)</f>
        <v>78</v>
      </c>
      <c r="B1196" s="2024" t="s">
        <v>1902</v>
      </c>
      <c r="C1196" s="1200" t="s">
        <v>1213</v>
      </c>
      <c r="D1196" s="881" t="s">
        <v>10</v>
      </c>
      <c r="E1196" s="882">
        <v>46262</v>
      </c>
      <c r="F1196" s="71">
        <f>$L$7-E1196</f>
        <v>24</v>
      </c>
      <c r="G1196" s="63">
        <v>150</v>
      </c>
      <c r="H1196" s="63"/>
      <c r="I1196" s="63"/>
      <c r="J1196" s="1378"/>
      <c r="K1196" s="63">
        <f>IFERROR(SUMIF(INTAKE!$A:$A,$T1196,INTAKE!$P:$P),0)</f>
        <v>25</v>
      </c>
      <c r="L1196" s="1702">
        <f t="shared" si="732"/>
        <v>125</v>
      </c>
      <c r="M1196" s="51"/>
      <c r="N1196" s="51"/>
      <c r="O1196" s="51"/>
      <c r="P1196" s="737"/>
      <c r="Q1196" s="795"/>
      <c r="R1196" s="785">
        <f>IFERROR(VLOOKUP($Q1196,'391'!$S:$Z,8,0),"")</f>
        <v>0</v>
      </c>
      <c r="S1196" s="796"/>
      <c r="T1196" s="797" t="str">
        <f>$Q$1201&amp;C1196&amp;E1196</f>
        <v>MAXIBANE346262</v>
      </c>
      <c r="U1196" s="797"/>
      <c r="V1196" s="797"/>
      <c r="W1196" s="785">
        <f>IFERROR(VLOOKUP($Q1196,'391'!$S:$AG,15,0),0)</f>
        <v>0</v>
      </c>
      <c r="X1196" s="1090">
        <f t="shared" si="725"/>
        <v>150</v>
      </c>
      <c r="Y1196" s="785"/>
      <c r="Z1196" s="785"/>
      <c r="AA1196" s="797"/>
      <c r="AB1196" s="797"/>
      <c r="AC1196" s="551"/>
      <c r="AD1196" s="551"/>
      <c r="AE1196" s="551"/>
      <c r="AF1196" s="551"/>
      <c r="AG1196" s="551"/>
      <c r="AH1196" s="551"/>
      <c r="AI1196" s="704"/>
      <c r="AJ1196" s="704"/>
      <c r="AK1196" s="704"/>
      <c r="AL1196" s="704"/>
      <c r="AM1196" s="704"/>
      <c r="AN1196" s="704"/>
      <c r="AO1196" s="704"/>
      <c r="AP1196" s="704"/>
      <c r="AQ1196" s="704"/>
      <c r="AR1196" s="704"/>
      <c r="AS1196" s="704"/>
    </row>
    <row r="1197" spans="1:45" s="265" customFormat="1" ht="30" customHeight="1" x14ac:dyDescent="0.25">
      <c r="A1197" s="2028"/>
      <c r="B1197" s="2025"/>
      <c r="C1197" s="1200" t="s">
        <v>1213</v>
      </c>
      <c r="D1197" s="881" t="s">
        <v>10</v>
      </c>
      <c r="E1197" s="882">
        <v>46283</v>
      </c>
      <c r="F1197" s="71">
        <f>$L$7-E1197</f>
        <v>3</v>
      </c>
      <c r="G1197" s="63">
        <v>50</v>
      </c>
      <c r="H1197" s="63"/>
      <c r="I1197" s="63"/>
      <c r="J1197" s="1378"/>
      <c r="K1197" s="63">
        <f>IFERROR(SUMIF(INTAKE!$A:$A,$T1197,INTAKE!$P:$P),0)</f>
        <v>0</v>
      </c>
      <c r="L1197" s="1702">
        <f t="shared" si="732"/>
        <v>50</v>
      </c>
      <c r="M1197" s="48"/>
      <c r="N1197" s="48"/>
      <c r="O1197" s="48"/>
      <c r="P1197" s="738"/>
      <c r="Q1197" s="795"/>
      <c r="R1197" s="785">
        <f>IFERROR(VLOOKUP($Q1197,'391'!$S:$Z,8,0),"")</f>
        <v>0</v>
      </c>
      <c r="S1197" s="796"/>
      <c r="T1197" s="797" t="str">
        <f>$Q$1201&amp;C1197&amp;E1197</f>
        <v>MAXIBANE346283</v>
      </c>
      <c r="U1197" s="797"/>
      <c r="V1197" s="797"/>
      <c r="W1197" s="785">
        <f>IFERROR(VLOOKUP($Q1197,'391'!$S:$AG,15,0),0)</f>
        <v>0</v>
      </c>
      <c r="X1197" s="1090">
        <f t="shared" si="725"/>
        <v>50</v>
      </c>
      <c r="Y1197" s="785"/>
      <c r="Z1197" s="785"/>
      <c r="AA1197" s="797"/>
      <c r="AB1197" s="797"/>
      <c r="AC1197" s="551"/>
      <c r="AD1197" s="551"/>
      <c r="AE1197" s="551"/>
      <c r="AF1197" s="551"/>
      <c r="AG1197" s="551"/>
      <c r="AH1197" s="551"/>
      <c r="AI1197" s="704"/>
      <c r="AJ1197" s="704"/>
      <c r="AK1197" s="704"/>
      <c r="AL1197" s="704"/>
      <c r="AM1197" s="704"/>
      <c r="AN1197" s="704"/>
      <c r="AO1197" s="704"/>
      <c r="AP1197" s="704"/>
      <c r="AQ1197" s="704"/>
      <c r="AR1197" s="704"/>
      <c r="AS1197" s="704"/>
    </row>
    <row r="1198" spans="1:45" s="265" customFormat="1" ht="30" hidden="1" customHeight="1" x14ac:dyDescent="0.25">
      <c r="A1198" s="2028"/>
      <c r="B1198" s="2025"/>
      <c r="C1198" s="1200"/>
      <c r="D1198" s="881" t="s">
        <v>10</v>
      </c>
      <c r="E1198" s="882">
        <v>46254</v>
      </c>
      <c r="F1198" s="71">
        <f>$L$7-E1198</f>
        <v>32</v>
      </c>
      <c r="G1198" s="63">
        <v>0</v>
      </c>
      <c r="H1198" s="63"/>
      <c r="I1198" s="63"/>
      <c r="J1198" s="1378"/>
      <c r="K1198" s="63">
        <f>IFERROR(SUMIF(INTAKE!$A:$A,$T1198,INTAKE!$P:$P),0)</f>
        <v>0</v>
      </c>
      <c r="L1198" s="1702">
        <f t="shared" si="732"/>
        <v>0</v>
      </c>
      <c r="M1198" s="45"/>
      <c r="N1198" s="45"/>
      <c r="O1198" s="45"/>
      <c r="P1198" s="736"/>
      <c r="Q1198" s="795"/>
      <c r="R1198" s="785">
        <f>IFERROR(VLOOKUP($Q1198,'391'!$S:$Z,8,0),"")</f>
        <v>0</v>
      </c>
      <c r="S1198" s="796"/>
      <c r="T1198" s="797" t="str">
        <f>$Q$1201&amp;C1198&amp;E1198</f>
        <v>MAXIBAN46254</v>
      </c>
      <c r="U1198" s="797"/>
      <c r="V1198" s="797"/>
      <c r="W1198" s="785">
        <f>IFERROR(VLOOKUP($Q1198,'391'!$S:$AG,15,0),0)</f>
        <v>0</v>
      </c>
      <c r="X1198" s="1090">
        <f t="shared" si="725"/>
        <v>0</v>
      </c>
      <c r="Y1198" s="785"/>
      <c r="Z1198" s="785"/>
      <c r="AA1198" s="797"/>
      <c r="AB1198" s="797"/>
      <c r="AC1198" s="551"/>
      <c r="AD1198" s="551"/>
      <c r="AE1198" s="551"/>
      <c r="AF1198" s="551"/>
      <c r="AG1198" s="551"/>
      <c r="AH1198" s="551"/>
      <c r="AI1198" s="704"/>
      <c r="AJ1198" s="704"/>
      <c r="AK1198" s="704"/>
      <c r="AL1198" s="704"/>
      <c r="AM1198" s="704"/>
      <c r="AN1198" s="704"/>
      <c r="AO1198" s="704"/>
      <c r="AP1198" s="704"/>
      <c r="AQ1198" s="704"/>
      <c r="AR1198" s="704"/>
      <c r="AS1198" s="704"/>
    </row>
    <row r="1199" spans="1:45" s="265" customFormat="1" ht="30" hidden="1" customHeight="1" x14ac:dyDescent="0.25">
      <c r="A1199" s="2028"/>
      <c r="B1199" s="2025"/>
      <c r="C1199" s="1200"/>
      <c r="D1199" s="881" t="s">
        <v>10</v>
      </c>
      <c r="E1199" s="882">
        <v>46247</v>
      </c>
      <c r="F1199" s="71">
        <f>$L$7-E1199</f>
        <v>39</v>
      </c>
      <c r="G1199" s="63">
        <v>0</v>
      </c>
      <c r="H1199" s="63"/>
      <c r="I1199" s="63"/>
      <c r="J1199" s="1378"/>
      <c r="K1199" s="63">
        <f>IFERROR(SUMIF(INTAKE!$A:$A,$T1199,INTAKE!$P:$P),0)</f>
        <v>0</v>
      </c>
      <c r="L1199" s="1702">
        <f t="shared" si="732"/>
        <v>0</v>
      </c>
      <c r="M1199" s="45"/>
      <c r="N1199" s="45"/>
      <c r="O1199" s="45"/>
      <c r="P1199" s="736"/>
      <c r="Q1199" s="795"/>
      <c r="R1199" s="785">
        <f>IFERROR(VLOOKUP($Q1199,'391'!$S:$Z,8,0),"")</f>
        <v>0</v>
      </c>
      <c r="S1199" s="796"/>
      <c r="T1199" s="797" t="str">
        <f>$Q$1201&amp;C1199&amp;E1199</f>
        <v>MAXIBAN46247</v>
      </c>
      <c r="U1199" s="797"/>
      <c r="V1199" s="797"/>
      <c r="W1199" s="785">
        <f>IFERROR(VLOOKUP($Q1199,'391'!$S:$AG,15,0),0)</f>
        <v>0</v>
      </c>
      <c r="X1199" s="1090">
        <f t="shared" si="725"/>
        <v>0</v>
      </c>
      <c r="Y1199" s="785"/>
      <c r="Z1199" s="785"/>
      <c r="AA1199" s="797"/>
      <c r="AB1199" s="797"/>
      <c r="AC1199" s="551"/>
      <c r="AD1199" s="551"/>
      <c r="AE1199" s="551"/>
      <c r="AF1199" s="551"/>
      <c r="AG1199" s="551"/>
      <c r="AH1199" s="551"/>
      <c r="AI1199" s="704"/>
      <c r="AJ1199" s="704"/>
      <c r="AK1199" s="704"/>
      <c r="AL1199" s="704"/>
      <c r="AM1199" s="704"/>
      <c r="AN1199" s="704"/>
      <c r="AO1199" s="704"/>
      <c r="AP1199" s="704"/>
      <c r="AQ1199" s="704"/>
      <c r="AR1199" s="704"/>
      <c r="AS1199" s="704"/>
    </row>
    <row r="1200" spans="1:45" s="418" customFormat="1" ht="30" customHeight="1" x14ac:dyDescent="0.25">
      <c r="A1200" s="2029"/>
      <c r="B1200" s="2026"/>
      <c r="C1200" s="108" t="s">
        <v>46</v>
      </c>
      <c r="D1200" s="863" t="s">
        <v>10</v>
      </c>
      <c r="E1200" s="851">
        <v>46262</v>
      </c>
      <c r="F1200" s="39">
        <f>$L$7-E1200</f>
        <v>24</v>
      </c>
      <c r="G1200" s="37">
        <v>29.160000000000018</v>
      </c>
      <c r="H1200" s="37"/>
      <c r="I1200" s="37">
        <f>+SUM(K1196:K1200)</f>
        <v>25</v>
      </c>
      <c r="J1200" s="1385">
        <f>+usage!I117</f>
        <v>22.68</v>
      </c>
      <c r="K1200" s="63">
        <f>IFERROR(SUMIF(INTAKE!$A:$A,$T1200,INTAKE!$P:$P),0)</f>
        <v>0</v>
      </c>
      <c r="L1200" s="1533">
        <f t="shared" si="732"/>
        <v>31.480000000000018</v>
      </c>
      <c r="M1200" s="35"/>
      <c r="N1200" s="35"/>
      <c r="O1200" s="35"/>
      <c r="P1200" s="740"/>
      <c r="Q1200" s="795"/>
      <c r="R1200" s="785">
        <f>IFERROR(VLOOKUP($Q1200,'391'!$S:$Z,8,0),"")</f>
        <v>0</v>
      </c>
      <c r="S1200" s="796"/>
      <c r="T1200" s="797" t="str">
        <f>$Q$1201&amp;C1200&amp;E1200</f>
        <v>MAXIBANFeedmill46262</v>
      </c>
      <c r="U1200" s="797"/>
      <c r="V1200" s="797"/>
      <c r="W1200" s="785">
        <f>IFERROR(VLOOKUP($Q1200,'391'!$S:$AG,15,0),0)</f>
        <v>0</v>
      </c>
      <c r="X1200" s="1090">
        <f t="shared" si="725"/>
        <v>29.160000000000018</v>
      </c>
      <c r="Y1200" s="785"/>
      <c r="Z1200" s="785"/>
      <c r="AA1200" s="797"/>
      <c r="AB1200" s="797"/>
      <c r="AC1200" s="551"/>
      <c r="AD1200" s="551"/>
      <c r="AE1200" s="551"/>
      <c r="AF1200" s="551"/>
      <c r="AG1200" s="551"/>
      <c r="AH1200" s="551"/>
      <c r="AI1200" s="704"/>
      <c r="AJ1200" s="704"/>
      <c r="AK1200" s="704"/>
      <c r="AL1200" s="704"/>
      <c r="AM1200" s="704"/>
      <c r="AN1200" s="704"/>
      <c r="AO1200" s="704"/>
      <c r="AP1200" s="704"/>
      <c r="AQ1200" s="704"/>
      <c r="AR1200" s="704"/>
      <c r="AS1200" s="704"/>
    </row>
    <row r="1201" spans="1:45" s="265" customFormat="1" ht="30" customHeight="1" x14ac:dyDescent="0.25">
      <c r="A1201" s="184"/>
      <c r="B1201" s="184" t="s">
        <v>184</v>
      </c>
      <c r="C1201" s="575"/>
      <c r="D1201" s="900"/>
      <c r="E1201" s="901"/>
      <c r="F1201" s="902"/>
      <c r="G1201" s="1337">
        <v>229.16000000000003</v>
      </c>
      <c r="H1201" s="1344">
        <f>SUM(H1196:H1200)</f>
        <v>0</v>
      </c>
      <c r="I1201" s="1344">
        <f>SUM(I1196:I1200)</f>
        <v>25</v>
      </c>
      <c r="J1201" s="1297">
        <f t="shared" ref="J1201:L1201" si="746">SUM(J1196:J1200)</f>
        <v>22.68</v>
      </c>
      <c r="K1201" s="1297">
        <f t="shared" si="746"/>
        <v>25</v>
      </c>
      <c r="L1201" s="1297">
        <f t="shared" si="746"/>
        <v>206.48000000000002</v>
      </c>
      <c r="M1201" s="889">
        <v>20</v>
      </c>
      <c r="N1201" s="366">
        <f>IFERROR(L1201/M1201,0)</f>
        <v>10.324000000000002</v>
      </c>
      <c r="O1201" s="59">
        <f>IFERROR(SUMIF(ETM!$A:$A,$Q1201,ETM!$E:$E),"")</f>
        <v>8.3333333333333339</v>
      </c>
      <c r="P1201" s="880">
        <f>IFERROR(L1201/O1201,0)</f>
        <v>24.7776</v>
      </c>
      <c r="Q1201" s="814" t="s">
        <v>462</v>
      </c>
      <c r="R1201" s="785">
        <f>IFERROR(VLOOKUP($Q1201,'391'!$S:$Z,8,0),"")</f>
        <v>105.84</v>
      </c>
      <c r="S1201" s="796"/>
      <c r="T1201" s="797"/>
      <c r="U1201" s="797"/>
      <c r="V1201" s="797"/>
      <c r="W1201" s="785">
        <f>IFERROR(VLOOKUP($Q1201,'391'!$S:$AG,15,0),0)</f>
        <v>229.16</v>
      </c>
      <c r="X1201" s="1090">
        <f t="shared" si="725"/>
        <v>0</v>
      </c>
      <c r="Y1201" s="785"/>
      <c r="Z1201" s="785"/>
      <c r="AA1201" s="797"/>
      <c r="AB1201" s="797"/>
      <c r="AC1201" s="551"/>
      <c r="AD1201" s="551"/>
      <c r="AE1201" s="551"/>
      <c r="AF1201" s="551"/>
      <c r="AG1201" s="551"/>
      <c r="AH1201" s="551"/>
      <c r="AI1201" s="704"/>
      <c r="AJ1201" s="704"/>
      <c r="AK1201" s="704"/>
      <c r="AL1201" s="704"/>
      <c r="AM1201" s="704"/>
      <c r="AN1201" s="704"/>
      <c r="AO1201" s="704"/>
      <c r="AP1201" s="704"/>
      <c r="AQ1201" s="704"/>
      <c r="AR1201" s="704"/>
      <c r="AS1201" s="704"/>
    </row>
    <row r="1202" spans="1:45" s="265" customFormat="1" ht="30" hidden="1" customHeight="1" x14ac:dyDescent="0.25">
      <c r="A1202" s="2027">
        <f>IF(L1209=0,"",MAX($A$16:A1201)+1)</f>
        <v>79</v>
      </c>
      <c r="B1202" s="2043" t="s">
        <v>207</v>
      </c>
      <c r="C1202" s="127"/>
      <c r="D1202" s="881" t="s">
        <v>10</v>
      </c>
      <c r="E1202" s="888">
        <v>46122</v>
      </c>
      <c r="F1202" s="71">
        <f t="shared" ref="F1202:F1206" si="747">$L$7-E1202</f>
        <v>164</v>
      </c>
      <c r="G1202" s="63">
        <v>0</v>
      </c>
      <c r="H1202" s="63"/>
      <c r="I1202" s="63"/>
      <c r="J1202" s="1378"/>
      <c r="K1202" s="63">
        <f>IFERROR(SUMIF(INTAKE!$A:$A,$T1202,INTAKE!$P:$P),0)</f>
        <v>0</v>
      </c>
      <c r="L1202" s="1702">
        <f t="shared" ref="L1202:L1208" si="748">+G1202+H1202+I1202-J1202-K1202</f>
        <v>0</v>
      </c>
      <c r="M1202" s="51"/>
      <c r="N1202" s="51"/>
      <c r="O1202" s="51"/>
      <c r="P1202" s="737"/>
      <c r="Q1202" s="795"/>
      <c r="R1202" s="785">
        <f>IFERROR(VLOOKUP($Q1202,'391'!$S:$Z,8,0),"")</f>
        <v>0</v>
      </c>
      <c r="S1202" s="796"/>
      <c r="T1202" s="797" t="str">
        <f t="shared" ref="T1202:T1208" si="749">$Q$1209&amp;C1202&amp;E1202</f>
        <v>Availa-ZN 12046122</v>
      </c>
      <c r="U1202" s="797"/>
      <c r="V1202" s="797"/>
      <c r="W1202" s="785">
        <f>IFERROR(VLOOKUP($Q1202,'391'!$S:$AG,15,0),0)</f>
        <v>0</v>
      </c>
      <c r="X1202" s="1090">
        <f t="shared" si="725"/>
        <v>0</v>
      </c>
      <c r="Y1202" s="785"/>
      <c r="Z1202" s="785"/>
      <c r="AA1202" s="797"/>
      <c r="AB1202" s="797"/>
      <c r="AC1202" s="551"/>
      <c r="AD1202" s="551"/>
      <c r="AE1202" s="551"/>
      <c r="AF1202" s="551"/>
      <c r="AG1202" s="551"/>
      <c r="AH1202" s="551"/>
      <c r="AI1202" s="704"/>
      <c r="AJ1202" s="704"/>
      <c r="AK1202" s="704"/>
      <c r="AL1202" s="704"/>
      <c r="AM1202" s="704"/>
      <c r="AN1202" s="704"/>
      <c r="AO1202" s="704"/>
      <c r="AP1202" s="704"/>
      <c r="AQ1202" s="704"/>
      <c r="AR1202" s="704"/>
      <c r="AS1202" s="704"/>
    </row>
    <row r="1203" spans="1:45" s="265" customFormat="1" ht="30" customHeight="1" x14ac:dyDescent="0.25">
      <c r="A1203" s="2028"/>
      <c r="B1203" s="2065"/>
      <c r="C1203" s="127" t="s">
        <v>273</v>
      </c>
      <c r="D1203" s="881" t="s">
        <v>10</v>
      </c>
      <c r="E1203" s="888">
        <v>46283</v>
      </c>
      <c r="F1203" s="71">
        <f t="shared" ref="F1203" si="750">$L$7-E1203</f>
        <v>3</v>
      </c>
      <c r="G1203" s="63">
        <v>2000</v>
      </c>
      <c r="H1203" s="63"/>
      <c r="I1203" s="63"/>
      <c r="J1203" s="1378"/>
      <c r="K1203" s="63">
        <f>IFERROR(SUMIF(INTAKE!$A:$A,$T1203,INTAKE!$P:$P),0)</f>
        <v>0</v>
      </c>
      <c r="L1203" s="1702">
        <f t="shared" si="748"/>
        <v>2000</v>
      </c>
      <c r="M1203" s="48"/>
      <c r="N1203" s="48"/>
      <c r="O1203" s="48"/>
      <c r="P1203" s="738"/>
      <c r="Q1203" s="795"/>
      <c r="R1203" s="785">
        <f>IFERROR(VLOOKUP($Q1203,'391'!$S:$Z,8,0),"")</f>
        <v>0</v>
      </c>
      <c r="S1203" s="796"/>
      <c r="T1203" s="797" t="str">
        <f t="shared" si="749"/>
        <v>Availa-ZN 120A19.546283</v>
      </c>
      <c r="U1203" s="797"/>
      <c r="V1203" s="797"/>
      <c r="W1203" s="785">
        <f>IFERROR(VLOOKUP($Q1203,'391'!$S:$AG,15,0),0)</f>
        <v>0</v>
      </c>
      <c r="X1203" s="1090">
        <f t="shared" si="725"/>
        <v>2000</v>
      </c>
      <c r="Y1203" s="785"/>
      <c r="Z1203" s="785"/>
      <c r="AA1203" s="797"/>
      <c r="AB1203" s="797"/>
      <c r="AC1203" s="551"/>
      <c r="AD1203" s="551"/>
      <c r="AE1203" s="551"/>
      <c r="AF1203" s="551"/>
      <c r="AG1203" s="551"/>
      <c r="AH1203" s="551"/>
      <c r="AI1203" s="704"/>
      <c r="AJ1203" s="704"/>
      <c r="AK1203" s="704"/>
      <c r="AL1203" s="704"/>
      <c r="AM1203" s="704"/>
      <c r="AN1203" s="704"/>
      <c r="AO1203" s="704"/>
      <c r="AP1203" s="704"/>
      <c r="AQ1203" s="704"/>
      <c r="AR1203" s="704"/>
      <c r="AS1203" s="704"/>
    </row>
    <row r="1204" spans="1:45" s="265" customFormat="1" ht="30" hidden="1" customHeight="1" x14ac:dyDescent="0.25">
      <c r="A1204" s="2028"/>
      <c r="B1204" s="2065"/>
      <c r="C1204" s="127"/>
      <c r="D1204" s="881" t="s">
        <v>10</v>
      </c>
      <c r="E1204" s="888">
        <v>46254</v>
      </c>
      <c r="F1204" s="71">
        <f t="shared" si="747"/>
        <v>32</v>
      </c>
      <c r="G1204" s="63">
        <v>0</v>
      </c>
      <c r="H1204" s="63"/>
      <c r="I1204" s="63"/>
      <c r="J1204" s="1378"/>
      <c r="K1204" s="63">
        <f>IFERROR(SUMIF(INTAKE!$A:$A,$T1204,INTAKE!$P:$P),0)</f>
        <v>0</v>
      </c>
      <c r="L1204" s="1702">
        <f t="shared" si="748"/>
        <v>0</v>
      </c>
      <c r="M1204" s="45"/>
      <c r="N1204" s="45"/>
      <c r="O1204" s="45"/>
      <c r="P1204" s="736"/>
      <c r="Q1204" s="795"/>
      <c r="R1204" s="785">
        <f>IFERROR(VLOOKUP($Q1204,'391'!$S:$Z,8,0),"")</f>
        <v>0</v>
      </c>
      <c r="S1204" s="796"/>
      <c r="T1204" s="797" t="str">
        <f t="shared" si="749"/>
        <v>Availa-ZN 12046254</v>
      </c>
      <c r="U1204" s="797"/>
      <c r="V1204" s="797"/>
      <c r="W1204" s="785">
        <f>IFERROR(VLOOKUP($Q1204,'391'!$S:$AG,15,0),0)</f>
        <v>0</v>
      </c>
      <c r="X1204" s="1090">
        <f t="shared" si="725"/>
        <v>0</v>
      </c>
      <c r="Y1204" s="785"/>
      <c r="Z1204" s="785"/>
      <c r="AA1204" s="797"/>
      <c r="AB1204" s="797"/>
      <c r="AC1204" s="551"/>
      <c r="AD1204" s="551"/>
      <c r="AE1204" s="551"/>
      <c r="AF1204" s="551"/>
      <c r="AG1204" s="551"/>
      <c r="AH1204" s="551"/>
      <c r="AI1204" s="704"/>
      <c r="AJ1204" s="704"/>
      <c r="AK1204" s="704"/>
      <c r="AL1204" s="704"/>
      <c r="AM1204" s="704"/>
      <c r="AN1204" s="704"/>
      <c r="AO1204" s="704"/>
      <c r="AP1204" s="704"/>
      <c r="AQ1204" s="704"/>
      <c r="AR1204" s="704"/>
      <c r="AS1204" s="704"/>
    </row>
    <row r="1205" spans="1:45" s="265" customFormat="1" ht="30" hidden="1" customHeight="1" x14ac:dyDescent="0.25">
      <c r="A1205" s="2028"/>
      <c r="B1205" s="2065"/>
      <c r="C1205" s="127"/>
      <c r="D1205" s="881" t="s">
        <v>10</v>
      </c>
      <c r="E1205" s="888">
        <v>46254</v>
      </c>
      <c r="F1205" s="71">
        <f t="shared" ref="F1205" si="751">$L$7-E1205</f>
        <v>32</v>
      </c>
      <c r="G1205" s="63">
        <v>0</v>
      </c>
      <c r="H1205" s="63"/>
      <c r="I1205" s="63"/>
      <c r="J1205" s="1378"/>
      <c r="K1205" s="63">
        <f>IFERROR(SUMIF(INTAKE!$A:$A,$T1205,INTAKE!$P:$P),0)</f>
        <v>0</v>
      </c>
      <c r="L1205" s="1711">
        <f t="shared" si="748"/>
        <v>0</v>
      </c>
      <c r="M1205" s="45"/>
      <c r="N1205" s="45"/>
      <c r="O1205" s="45"/>
      <c r="P1205" s="736"/>
      <c r="Q1205" s="795"/>
      <c r="R1205" s="785">
        <f>IFERROR(VLOOKUP($Q1205,'391'!$S:$Z,8,0),"")</f>
        <v>0</v>
      </c>
      <c r="S1205" s="796"/>
      <c r="T1205" s="797" t="str">
        <f t="shared" si="749"/>
        <v>Availa-ZN 12046254</v>
      </c>
      <c r="U1205" s="797"/>
      <c r="V1205" s="797"/>
      <c r="W1205" s="785">
        <f>IFERROR(VLOOKUP($Q1205,'391'!$S:$AG,15,0),0)</f>
        <v>0</v>
      </c>
      <c r="X1205" s="1090">
        <f t="shared" si="725"/>
        <v>0</v>
      </c>
      <c r="Y1205" s="785"/>
      <c r="Z1205" s="785"/>
      <c r="AA1205" s="797"/>
      <c r="AB1205" s="797"/>
      <c r="AC1205" s="551"/>
      <c r="AD1205" s="551"/>
      <c r="AE1205" s="551"/>
      <c r="AF1205" s="551"/>
      <c r="AG1205" s="551"/>
      <c r="AH1205" s="551"/>
      <c r="AI1205" s="704"/>
      <c r="AJ1205" s="704"/>
      <c r="AK1205" s="704"/>
      <c r="AL1205" s="704"/>
      <c r="AM1205" s="704"/>
      <c r="AN1205" s="704"/>
      <c r="AO1205" s="704"/>
      <c r="AP1205" s="704"/>
      <c r="AQ1205" s="704"/>
      <c r="AR1205" s="704"/>
      <c r="AS1205" s="704"/>
    </row>
    <row r="1206" spans="1:45" s="265" customFormat="1" ht="30" hidden="1" customHeight="1" x14ac:dyDescent="0.25">
      <c r="A1206" s="2191"/>
      <c r="B1206" s="2069"/>
      <c r="C1206" s="127"/>
      <c r="D1206" s="881" t="s">
        <v>10</v>
      </c>
      <c r="E1206" s="888">
        <v>46255</v>
      </c>
      <c r="F1206" s="71">
        <f t="shared" si="747"/>
        <v>31</v>
      </c>
      <c r="G1206" s="63">
        <v>0</v>
      </c>
      <c r="H1206" s="63"/>
      <c r="I1206" s="63"/>
      <c r="J1206" s="1378"/>
      <c r="K1206" s="63">
        <f>IFERROR(SUMIF(INTAKE!$A:$A,$T1206,INTAKE!$P:$P),0)</f>
        <v>0</v>
      </c>
      <c r="L1206" s="1702">
        <f t="shared" si="748"/>
        <v>0</v>
      </c>
      <c r="M1206" s="45"/>
      <c r="N1206" s="45"/>
      <c r="O1206" s="45"/>
      <c r="P1206" s="736"/>
      <c r="Q1206" s="795"/>
      <c r="R1206" s="785">
        <f>IFERROR(VLOOKUP($Q1206,'391'!$S:$Z,8,0),"")</f>
        <v>0</v>
      </c>
      <c r="S1206" s="796"/>
      <c r="T1206" s="797" t="str">
        <f t="shared" si="749"/>
        <v>Availa-ZN 12046255</v>
      </c>
      <c r="U1206" s="797"/>
      <c r="V1206" s="797"/>
      <c r="W1206" s="785">
        <f>IFERROR(VLOOKUP($Q1206,'391'!$S:$AG,15,0),0)</f>
        <v>0</v>
      </c>
      <c r="X1206" s="1090">
        <f t="shared" si="725"/>
        <v>0</v>
      </c>
      <c r="Y1206" s="785"/>
      <c r="Z1206" s="785"/>
      <c r="AA1206" s="797"/>
      <c r="AB1206" s="797"/>
      <c r="AC1206" s="551"/>
      <c r="AD1206" s="551"/>
      <c r="AE1206" s="551"/>
      <c r="AF1206" s="551"/>
      <c r="AG1206" s="551"/>
      <c r="AH1206" s="551"/>
      <c r="AI1206" s="704"/>
      <c r="AJ1206" s="704"/>
      <c r="AK1206" s="704"/>
      <c r="AL1206" s="704"/>
      <c r="AM1206" s="704"/>
      <c r="AN1206" s="704"/>
      <c r="AO1206" s="704"/>
      <c r="AP1206" s="704"/>
      <c r="AQ1206" s="704"/>
      <c r="AR1206" s="704"/>
      <c r="AS1206" s="704"/>
    </row>
    <row r="1207" spans="1:45" s="265" customFormat="1" ht="30" hidden="1" customHeight="1" x14ac:dyDescent="0.25">
      <c r="A1207" s="2028"/>
      <c r="B1207" s="2065"/>
      <c r="C1207" s="127"/>
      <c r="D1207" s="881" t="s">
        <v>10</v>
      </c>
      <c r="E1207" s="888">
        <v>46225</v>
      </c>
      <c r="F1207" s="71">
        <f t="shared" ref="F1207:F1208" si="752">$L$7-E1207</f>
        <v>61</v>
      </c>
      <c r="G1207" s="63">
        <v>0</v>
      </c>
      <c r="H1207" s="63"/>
      <c r="I1207" s="63"/>
      <c r="J1207" s="1378"/>
      <c r="K1207" s="63">
        <f>IFERROR(SUMIF(INTAKE!$A:$A,$T1207,INTAKE!$P:$P),0)</f>
        <v>0</v>
      </c>
      <c r="L1207" s="1702">
        <f t="shared" si="748"/>
        <v>0</v>
      </c>
      <c r="M1207" s="45"/>
      <c r="N1207" s="45"/>
      <c r="O1207" s="45"/>
      <c r="P1207" s="736"/>
      <c r="Q1207" s="795"/>
      <c r="R1207" s="785">
        <f>IFERROR(VLOOKUP($Q1207,'391'!$S:$Z,8,0),"")</f>
        <v>0</v>
      </c>
      <c r="S1207" s="796"/>
      <c r="T1207" s="797" t="str">
        <f t="shared" si="749"/>
        <v>Availa-ZN 12046225</v>
      </c>
      <c r="U1207" s="797"/>
      <c r="V1207" s="797"/>
      <c r="W1207" s="785">
        <f>IFERROR(VLOOKUP($Q1207,'391'!$S:$AG,15,0),0)</f>
        <v>0</v>
      </c>
      <c r="X1207" s="1090">
        <f t="shared" si="725"/>
        <v>0</v>
      </c>
      <c r="Y1207" s="785"/>
      <c r="Z1207" s="785"/>
      <c r="AA1207" s="797"/>
      <c r="AB1207" s="797"/>
      <c r="AC1207" s="551"/>
      <c r="AD1207" s="551"/>
      <c r="AE1207" s="551"/>
      <c r="AF1207" s="551"/>
      <c r="AG1207" s="551"/>
      <c r="AH1207" s="551"/>
      <c r="AI1207" s="704"/>
      <c r="AJ1207" s="704"/>
      <c r="AK1207" s="704"/>
      <c r="AL1207" s="704"/>
      <c r="AM1207" s="704"/>
      <c r="AN1207" s="704"/>
      <c r="AO1207" s="704"/>
      <c r="AP1207" s="704"/>
      <c r="AQ1207" s="704"/>
      <c r="AR1207" s="704"/>
      <c r="AS1207" s="704"/>
    </row>
    <row r="1208" spans="1:45" s="418" customFormat="1" ht="30" customHeight="1" x14ac:dyDescent="0.25">
      <c r="A1208" s="2029"/>
      <c r="B1208" s="2044"/>
      <c r="C1208" s="108" t="s">
        <v>46</v>
      </c>
      <c r="D1208" s="863" t="s">
        <v>10</v>
      </c>
      <c r="E1208" s="886">
        <v>46254</v>
      </c>
      <c r="F1208" s="39">
        <f t="shared" si="752"/>
        <v>32</v>
      </c>
      <c r="G1208" s="37">
        <f>486.38-37.76</f>
        <v>448.62</v>
      </c>
      <c r="H1208" s="37"/>
      <c r="I1208" s="37">
        <f>+SUM(K1202:K1207)</f>
        <v>0</v>
      </c>
      <c r="J1208" s="1385">
        <f>+usage!I123</f>
        <v>203.31</v>
      </c>
      <c r="K1208" s="63">
        <f>IFERROR(SUMIF(INTAKE!$A:$A,$T1208,INTAKE!$P:$P),0)</f>
        <v>0</v>
      </c>
      <c r="L1208" s="1533">
        <f t="shared" si="748"/>
        <v>245.31</v>
      </c>
      <c r="M1208" s="35"/>
      <c r="N1208" s="35"/>
      <c r="O1208" s="35"/>
      <c r="P1208" s="740"/>
      <c r="Q1208" s="795"/>
      <c r="R1208" s="785">
        <f>IFERROR(VLOOKUP($Q1208,'391'!$S:$Z,8,0),"")</f>
        <v>0</v>
      </c>
      <c r="S1208" s="796"/>
      <c r="T1208" s="797" t="str">
        <f t="shared" si="749"/>
        <v>Availa-ZN 120Feedmill46254</v>
      </c>
      <c r="U1208" s="797"/>
      <c r="V1208" s="797"/>
      <c r="W1208" s="785">
        <f>IFERROR(VLOOKUP($Q1208,'391'!$S:$AG,15,0),0)</f>
        <v>0</v>
      </c>
      <c r="X1208" s="1090">
        <f t="shared" si="725"/>
        <v>448.62</v>
      </c>
      <c r="Y1208" s="785"/>
      <c r="Z1208" s="785"/>
      <c r="AA1208" s="797"/>
      <c r="AB1208" s="797"/>
      <c r="AC1208" s="551"/>
      <c r="AD1208" s="551"/>
      <c r="AE1208" s="551"/>
      <c r="AF1208" s="551"/>
      <c r="AG1208" s="551"/>
      <c r="AH1208" s="551"/>
      <c r="AI1208" s="704"/>
      <c r="AJ1208" s="704"/>
      <c r="AK1208" s="704"/>
      <c r="AL1208" s="704"/>
      <c r="AM1208" s="704"/>
      <c r="AN1208" s="704"/>
      <c r="AO1208" s="704"/>
      <c r="AP1208" s="704"/>
      <c r="AQ1208" s="704"/>
      <c r="AR1208" s="704"/>
      <c r="AS1208" s="704"/>
    </row>
    <row r="1209" spans="1:45" s="265" customFormat="1" ht="30" customHeight="1" x14ac:dyDescent="0.25">
      <c r="A1209" s="184"/>
      <c r="B1209" s="184" t="s">
        <v>208</v>
      </c>
      <c r="C1209" s="575"/>
      <c r="D1209" s="900"/>
      <c r="E1209" s="901"/>
      <c r="F1209" s="902"/>
      <c r="G1209" s="1337">
        <f>+G1208+G1203</f>
        <v>2448.62</v>
      </c>
      <c r="H1209" s="1337">
        <f t="shared" ref="H1209:L1209" si="753">+SUM(H1202:H1208)</f>
        <v>0</v>
      </c>
      <c r="I1209" s="1337">
        <f t="shared" si="753"/>
        <v>0</v>
      </c>
      <c r="J1209" s="1337">
        <f t="shared" si="753"/>
        <v>203.31</v>
      </c>
      <c r="K1209" s="1337">
        <f t="shared" si="753"/>
        <v>0</v>
      </c>
      <c r="L1209" s="1337">
        <f t="shared" si="753"/>
        <v>2245.31</v>
      </c>
      <c r="M1209" s="59">
        <f>IFERROR(R1209/$S$2,"")</f>
        <v>280.57166666666666</v>
      </c>
      <c r="N1209" s="854">
        <f>(L1209/M1209)</f>
        <v>8.0026255917976989</v>
      </c>
      <c r="O1209" s="59">
        <f>IFERROR(SUMIF(ETM!$A:$A,$Q1209,ETM!$E:$E),"")</f>
        <v>282.66666666666669</v>
      </c>
      <c r="P1209" s="880">
        <f>IFERROR(L1209/O1209,0)</f>
        <v>7.9433136792452821</v>
      </c>
      <c r="Q1209" s="795" t="s">
        <v>839</v>
      </c>
      <c r="R1209" s="785">
        <f>IFERROR(VLOOKUP($Q1209,'391'!$S:$Z,8,0),"")</f>
        <v>1683.43</v>
      </c>
      <c r="S1209" s="796"/>
      <c r="T1209" s="797"/>
      <c r="U1209" s="797"/>
      <c r="V1209" s="797"/>
      <c r="W1209" s="785">
        <f>IFERROR(VLOOKUP($Q1209,'391'!$S:$AG,15,0),0)</f>
        <v>2448.62</v>
      </c>
      <c r="X1209" s="1090">
        <f t="shared" si="725"/>
        <v>0</v>
      </c>
      <c r="Y1209" s="785"/>
      <c r="Z1209" s="785"/>
      <c r="AA1209" s="797"/>
      <c r="AB1209" s="797"/>
      <c r="AC1209" s="551"/>
      <c r="AD1209" s="551"/>
      <c r="AE1209" s="551"/>
      <c r="AF1209" s="551"/>
      <c r="AG1209" s="551"/>
      <c r="AH1209" s="551"/>
      <c r="AI1209" s="704"/>
      <c r="AJ1209" s="704"/>
      <c r="AK1209" s="704"/>
      <c r="AL1209" s="704"/>
      <c r="AM1209" s="704"/>
      <c r="AN1209" s="704"/>
      <c r="AO1209" s="704"/>
      <c r="AP1209" s="704"/>
      <c r="AQ1209" s="704"/>
      <c r="AR1209" s="704"/>
      <c r="AS1209" s="704"/>
    </row>
    <row r="1210" spans="1:45" s="265" customFormat="1" ht="30" hidden="1" customHeight="1" x14ac:dyDescent="0.25">
      <c r="A1210" s="2027" t="str">
        <f>IF(L1215=0,"",MAX($A$16:A1209)+1)</f>
        <v/>
      </c>
      <c r="B1210" s="2043" t="s">
        <v>591</v>
      </c>
      <c r="C1210" s="1199" t="s">
        <v>601</v>
      </c>
      <c r="D1210" s="881" t="s">
        <v>10</v>
      </c>
      <c r="E1210" s="882">
        <v>45149</v>
      </c>
      <c r="F1210" s="71">
        <f>$L$7-E1210</f>
        <v>1137</v>
      </c>
      <c r="G1210" s="64">
        <v>0</v>
      </c>
      <c r="H1210" s="64"/>
      <c r="I1210" s="64"/>
      <c r="J1210" s="1367"/>
      <c r="K1210" s="63">
        <f>IFERROR(SUMIF(INTAKE!$A:$A,$T1210,INTAKE!$P:$P),0)</f>
        <v>0</v>
      </c>
      <c r="L1210" s="1533">
        <f t="shared" ref="L1210:L1221" si="754">+G1210+H1210+I1210-J1210-K1210</f>
        <v>0</v>
      </c>
      <c r="M1210" s="51"/>
      <c r="N1210" s="953"/>
      <c r="O1210" s="51"/>
      <c r="P1210" s="857"/>
      <c r="Q1210" s="795"/>
      <c r="R1210" s="785">
        <f>IFERROR(VLOOKUP($Q1210,'391'!$S:$Z,8,0),"")</f>
        <v>0</v>
      </c>
      <c r="S1210" s="796"/>
      <c r="T1210" s="797" t="str">
        <f>$Q$1215&amp;C1210&amp;E1210</f>
        <v>Rodotium 10% (Bulgaria)Z4.145149</v>
      </c>
      <c r="U1210" s="797"/>
      <c r="V1210" s="797"/>
      <c r="W1210" s="785">
        <f>IFERROR(VLOOKUP($Q1210,'391'!$S:$AG,15,0),0)</f>
        <v>0</v>
      </c>
      <c r="X1210" s="1090">
        <f t="shared" si="725"/>
        <v>0</v>
      </c>
      <c r="Y1210" s="785"/>
      <c r="Z1210" s="785"/>
      <c r="AA1210" s="797"/>
      <c r="AB1210" s="797"/>
      <c r="AC1210" s="551"/>
      <c r="AD1210" s="551"/>
      <c r="AE1210" s="551"/>
      <c r="AF1210" s="551"/>
      <c r="AG1210" s="551"/>
      <c r="AH1210" s="551"/>
      <c r="AI1210" s="704"/>
      <c r="AJ1210" s="704"/>
      <c r="AK1210" s="704"/>
      <c r="AL1210" s="704"/>
      <c r="AM1210" s="704"/>
      <c r="AN1210" s="704"/>
      <c r="AO1210" s="704"/>
      <c r="AP1210" s="704"/>
      <c r="AQ1210" s="704"/>
      <c r="AR1210" s="704"/>
      <c r="AS1210" s="704"/>
    </row>
    <row r="1211" spans="1:45" s="265" customFormat="1" ht="30" hidden="1" customHeight="1" x14ac:dyDescent="0.25">
      <c r="A1211" s="2028"/>
      <c r="B1211" s="2065"/>
      <c r="C1211" s="1199" t="s">
        <v>509</v>
      </c>
      <c r="D1211" s="881" t="s">
        <v>10</v>
      </c>
      <c r="E1211" s="882">
        <v>44693</v>
      </c>
      <c r="F1211" s="71">
        <f>$L$7-E1211</f>
        <v>1593</v>
      </c>
      <c r="G1211" s="64">
        <v>0</v>
      </c>
      <c r="H1211" s="64"/>
      <c r="I1211" s="64"/>
      <c r="J1211" s="1367"/>
      <c r="K1211" s="63">
        <f>IFERROR(SUMIF(INTAKE!$A:$A,$T1211,INTAKE!$P:$P),0)</f>
        <v>0</v>
      </c>
      <c r="L1211" s="1533">
        <f t="shared" si="754"/>
        <v>0</v>
      </c>
      <c r="M1211" s="48"/>
      <c r="N1211" s="189"/>
      <c r="O1211" s="48"/>
      <c r="P1211" s="924"/>
      <c r="Q1211" s="795"/>
      <c r="R1211" s="785">
        <f>IFERROR(VLOOKUP($Q1211,'391'!$S:$Z,8,0),"")</f>
        <v>0</v>
      </c>
      <c r="S1211" s="796"/>
      <c r="T1211" s="797" t="str">
        <f>$Q$1215&amp;C1211&amp;E1211</f>
        <v>Rodotium 10% (Bulgaria)A18.544693</v>
      </c>
      <c r="U1211" s="797"/>
      <c r="V1211" s="797"/>
      <c r="W1211" s="785">
        <f>IFERROR(VLOOKUP($Q1211,'391'!$S:$AG,15,0),0)</f>
        <v>0</v>
      </c>
      <c r="X1211" s="1090">
        <f t="shared" si="725"/>
        <v>0</v>
      </c>
      <c r="Y1211" s="785"/>
      <c r="Z1211" s="785"/>
      <c r="AA1211" s="797"/>
      <c r="AB1211" s="797"/>
      <c r="AC1211" s="551"/>
      <c r="AD1211" s="551"/>
      <c r="AE1211" s="551"/>
      <c r="AF1211" s="551"/>
      <c r="AG1211" s="551"/>
      <c r="AH1211" s="551"/>
      <c r="AI1211" s="704"/>
      <c r="AJ1211" s="704"/>
      <c r="AK1211" s="704"/>
      <c r="AL1211" s="704"/>
      <c r="AM1211" s="704"/>
      <c r="AN1211" s="704"/>
      <c r="AO1211" s="704"/>
      <c r="AP1211" s="704"/>
      <c r="AQ1211" s="704"/>
      <c r="AR1211" s="704"/>
      <c r="AS1211" s="704"/>
    </row>
    <row r="1212" spans="1:45" s="265" customFormat="1" ht="30" hidden="1" customHeight="1" x14ac:dyDescent="0.25">
      <c r="A1212" s="2028"/>
      <c r="B1212" s="2065"/>
      <c r="C1212" s="1199"/>
      <c r="D1212" s="881" t="s">
        <v>10</v>
      </c>
      <c r="E1212" s="882">
        <v>44693</v>
      </c>
      <c r="F1212" s="71">
        <f>$L$7-E1212</f>
        <v>1593</v>
      </c>
      <c r="G1212" s="64">
        <v>0</v>
      </c>
      <c r="H1212" s="64"/>
      <c r="I1212" s="64"/>
      <c r="J1212" s="1367"/>
      <c r="K1212" s="63">
        <f>IFERROR(SUMIF(INTAKE!$A:$A,$T1212,INTAKE!$P:$P),0)</f>
        <v>0</v>
      </c>
      <c r="L1212" s="1533">
        <f t="shared" si="754"/>
        <v>0</v>
      </c>
      <c r="M1212" s="48"/>
      <c r="N1212" s="189"/>
      <c r="O1212" s="48"/>
      <c r="P1212" s="924"/>
      <c r="Q1212" s="795"/>
      <c r="R1212" s="785">
        <f>IFERROR(VLOOKUP($Q1212,'391'!$S:$Z,8,0),"")</f>
        <v>0</v>
      </c>
      <c r="S1212" s="796"/>
      <c r="T1212" s="797" t="str">
        <f>$Q$1215&amp;C1212&amp;E1212</f>
        <v>Rodotium 10% (Bulgaria)44693</v>
      </c>
      <c r="U1212" s="797"/>
      <c r="V1212" s="797"/>
      <c r="W1212" s="785">
        <f>IFERROR(VLOOKUP($Q1212,'391'!$S:$AG,15,0),0)</f>
        <v>0</v>
      </c>
      <c r="X1212" s="1090">
        <f t="shared" si="725"/>
        <v>0</v>
      </c>
      <c r="Y1212" s="785"/>
      <c r="Z1212" s="785"/>
      <c r="AA1212" s="797"/>
      <c r="AB1212" s="797"/>
      <c r="AC1212" s="551"/>
      <c r="AD1212" s="551"/>
      <c r="AE1212" s="551"/>
      <c r="AF1212" s="551"/>
      <c r="AG1212" s="551"/>
      <c r="AH1212" s="551"/>
      <c r="AI1212" s="704"/>
      <c r="AJ1212" s="704"/>
      <c r="AK1212" s="704"/>
      <c r="AL1212" s="704"/>
      <c r="AM1212" s="704"/>
      <c r="AN1212" s="704"/>
      <c r="AO1212" s="704"/>
      <c r="AP1212" s="704"/>
      <c r="AQ1212" s="704"/>
      <c r="AR1212" s="704"/>
      <c r="AS1212" s="704"/>
    </row>
    <row r="1213" spans="1:45" s="265" customFormat="1" ht="30" hidden="1" customHeight="1" x14ac:dyDescent="0.25">
      <c r="A1213" s="2191"/>
      <c r="B1213" s="2069"/>
      <c r="C1213" s="1199"/>
      <c r="D1213" s="881" t="s">
        <v>10</v>
      </c>
      <c r="E1213" s="882">
        <v>44693</v>
      </c>
      <c r="F1213" s="71">
        <f>$L$7-E1213</f>
        <v>1593</v>
      </c>
      <c r="G1213" s="64">
        <v>0</v>
      </c>
      <c r="H1213" s="64"/>
      <c r="I1213" s="64"/>
      <c r="J1213" s="1367"/>
      <c r="K1213" s="63">
        <f>IFERROR(SUMIF(INTAKE!$A:$A,$T1213,INTAKE!$P:$P),0)</f>
        <v>0</v>
      </c>
      <c r="L1213" s="1533">
        <f t="shared" si="754"/>
        <v>0</v>
      </c>
      <c r="M1213" s="48"/>
      <c r="N1213" s="189"/>
      <c r="O1213" s="48"/>
      <c r="P1213" s="924"/>
      <c r="Q1213" s="795"/>
      <c r="R1213" s="785">
        <f>IFERROR(VLOOKUP($Q1213,'391'!$S:$Z,8,0),"")</f>
        <v>0</v>
      </c>
      <c r="S1213" s="796"/>
      <c r="T1213" s="797" t="str">
        <f>$Q$1215&amp;C1213&amp;E1213</f>
        <v>Rodotium 10% (Bulgaria)44693</v>
      </c>
      <c r="U1213" s="797"/>
      <c r="V1213" s="797"/>
      <c r="W1213" s="785">
        <f>IFERROR(VLOOKUP($Q1213,'391'!$S:$AG,15,0),0)</f>
        <v>0</v>
      </c>
      <c r="X1213" s="1090">
        <f t="shared" si="725"/>
        <v>0</v>
      </c>
      <c r="Y1213" s="785"/>
      <c r="Z1213" s="785"/>
      <c r="AA1213" s="797"/>
      <c r="AB1213" s="797"/>
      <c r="AC1213" s="551"/>
      <c r="AD1213" s="551"/>
      <c r="AE1213" s="551"/>
      <c r="AF1213" s="551"/>
      <c r="AG1213" s="551"/>
      <c r="AH1213" s="551"/>
      <c r="AI1213" s="704"/>
      <c r="AJ1213" s="704"/>
      <c r="AK1213" s="704"/>
      <c r="AL1213" s="704"/>
      <c r="AM1213" s="704"/>
      <c r="AN1213" s="704"/>
      <c r="AO1213" s="704"/>
      <c r="AP1213" s="704"/>
      <c r="AQ1213" s="704"/>
      <c r="AR1213" s="704"/>
      <c r="AS1213" s="704"/>
    </row>
    <row r="1214" spans="1:45" s="265" customFormat="1" ht="30" hidden="1" customHeight="1" x14ac:dyDescent="0.25">
      <c r="A1214" s="2029"/>
      <c r="B1214" s="2044"/>
      <c r="C1214" s="1010" t="s">
        <v>76</v>
      </c>
      <c r="D1214" s="884" t="s">
        <v>10</v>
      </c>
      <c r="E1214" s="885">
        <v>45149</v>
      </c>
      <c r="F1214" s="293">
        <f>$L$7-E1214</f>
        <v>1137</v>
      </c>
      <c r="G1214" s="1214">
        <v>0</v>
      </c>
      <c r="H1214" s="37"/>
      <c r="I1214" s="37">
        <f>+SUM(K1210:K1212)</f>
        <v>0</v>
      </c>
      <c r="J1214" s="1385">
        <f>usage!I143</f>
        <v>0</v>
      </c>
      <c r="K1214" s="37"/>
      <c r="L1214" s="1533">
        <f t="shared" si="754"/>
        <v>0</v>
      </c>
      <c r="M1214" s="47"/>
      <c r="N1214" s="1472"/>
      <c r="O1214" s="47"/>
      <c r="P1214" s="1011"/>
      <c r="Q1214" s="795"/>
      <c r="R1214" s="785">
        <f>IFERROR(VLOOKUP($Q1214,'391'!$S:$Z,8,0),"")</f>
        <v>0</v>
      </c>
      <c r="S1214" s="796"/>
      <c r="T1214" s="797" t="str">
        <f>$Q$1215&amp;C1214&amp;E1214</f>
        <v>Rodotium 10% (Bulgaria)Feedmil45149</v>
      </c>
      <c r="U1214" s="797"/>
      <c r="V1214" s="797"/>
      <c r="W1214" s="785">
        <f>IFERROR(VLOOKUP($Q1214,'391'!$S:$AG,15,0),0)</f>
        <v>0</v>
      </c>
      <c r="X1214" s="1090">
        <f t="shared" si="725"/>
        <v>0</v>
      </c>
      <c r="Y1214" s="785"/>
      <c r="Z1214" s="785"/>
      <c r="AA1214" s="797"/>
      <c r="AB1214" s="797"/>
      <c r="AC1214" s="551"/>
      <c r="AD1214" s="551"/>
      <c r="AE1214" s="551"/>
      <c r="AF1214" s="551"/>
      <c r="AG1214" s="551"/>
      <c r="AH1214" s="551"/>
      <c r="AI1214" s="704"/>
      <c r="AJ1214" s="704"/>
      <c r="AK1214" s="704"/>
      <c r="AL1214" s="704"/>
      <c r="AM1214" s="704"/>
      <c r="AN1214" s="704"/>
      <c r="AO1214" s="704"/>
      <c r="AP1214" s="704"/>
      <c r="AQ1214" s="704"/>
      <c r="AR1214" s="704"/>
      <c r="AS1214" s="704"/>
    </row>
    <row r="1215" spans="1:45" s="265" customFormat="1" ht="30" hidden="1" customHeight="1" x14ac:dyDescent="0.25">
      <c r="A1215" s="184"/>
      <c r="B1215" s="184" t="s">
        <v>586</v>
      </c>
      <c r="C1215" s="575"/>
      <c r="D1215" s="900"/>
      <c r="E1215" s="901"/>
      <c r="F1215" s="902"/>
      <c r="G1215" s="1337">
        <v>0</v>
      </c>
      <c r="H1215" s="1337">
        <f>+SUM(H1210:H1214)</f>
        <v>0</v>
      </c>
      <c r="I1215" s="1337">
        <f>+SUM(I1210:I1214)</f>
        <v>0</v>
      </c>
      <c r="J1215" s="1337">
        <f t="shared" ref="J1215:K1215" si="755">+SUM(J1210:J1214)</f>
        <v>0</v>
      </c>
      <c r="K1215" s="1337">
        <f t="shared" si="755"/>
        <v>0</v>
      </c>
      <c r="L1215" s="1533">
        <f t="shared" si="754"/>
        <v>0</v>
      </c>
      <c r="M1215" s="59" t="str">
        <f>IFERROR(R1215/$S$2,"")</f>
        <v/>
      </c>
      <c r="N1215" s="854" t="e">
        <f>(L1215/M1215)</f>
        <v>#VALUE!</v>
      </c>
      <c r="O1215" s="59">
        <f>O1279</f>
        <v>0</v>
      </c>
      <c r="P1215" s="880">
        <f>IFERROR(L1215/O1215,0)</f>
        <v>0</v>
      </c>
      <c r="Q1215" s="795" t="s">
        <v>1162</v>
      </c>
      <c r="R1215" s="785" t="str">
        <f>IFERROR(VLOOKUP($Q1215,'391'!$S:$Z,8,0),"")</f>
        <v/>
      </c>
      <c r="S1215" s="796"/>
      <c r="T1215" s="797"/>
      <c r="U1215" s="797"/>
      <c r="V1215" s="797"/>
      <c r="W1215" s="785">
        <f>IFERROR(VLOOKUP($Q1215,'391'!$S:$AG,15,0),0)</f>
        <v>0</v>
      </c>
      <c r="X1215" s="1090">
        <f t="shared" si="725"/>
        <v>0</v>
      </c>
      <c r="Y1215" s="785"/>
      <c r="Z1215" s="785"/>
      <c r="AA1215" s="797"/>
      <c r="AB1215" s="797"/>
      <c r="AC1215" s="551"/>
      <c r="AD1215" s="551"/>
      <c r="AE1215" s="551"/>
      <c r="AF1215" s="551"/>
      <c r="AG1215" s="551"/>
      <c r="AH1215" s="551"/>
      <c r="AI1215" s="704"/>
      <c r="AJ1215" s="704"/>
      <c r="AK1215" s="704"/>
      <c r="AL1215" s="704"/>
      <c r="AM1215" s="704"/>
      <c r="AN1215" s="704"/>
      <c r="AO1215" s="704"/>
      <c r="AP1215" s="704"/>
      <c r="AQ1215" s="704"/>
      <c r="AR1215" s="704"/>
      <c r="AS1215" s="704"/>
    </row>
    <row r="1216" spans="1:45" s="265" customFormat="1" ht="30" customHeight="1" x14ac:dyDescent="0.25">
      <c r="A1216" s="2027">
        <f>IF(L1222=0,"",MAX($A$16:A1215)+1)</f>
        <v>80</v>
      </c>
      <c r="B1216" s="2024" t="s">
        <v>836</v>
      </c>
      <c r="C1216" s="127"/>
      <c r="D1216" s="881" t="s">
        <v>10</v>
      </c>
      <c r="E1216" s="882">
        <v>46254</v>
      </c>
      <c r="F1216" s="71">
        <f t="shared" ref="F1216:F1217" si="756">$L$7-E1216</f>
        <v>32</v>
      </c>
      <c r="G1216" s="64">
        <v>0</v>
      </c>
      <c r="H1216" s="64"/>
      <c r="I1216" s="64"/>
      <c r="J1216" s="1367"/>
      <c r="K1216" s="64">
        <f>IFERROR(SUMIF(INTAKE!$A:$A,$T1216,INTAKE!$P:$P),0)</f>
        <v>0</v>
      </c>
      <c r="L1216" s="1702">
        <f t="shared" si="754"/>
        <v>0</v>
      </c>
      <c r="M1216" s="51"/>
      <c r="N1216" s="51"/>
      <c r="O1216" s="51"/>
      <c r="P1216" s="737"/>
      <c r="Q1216" s="795"/>
      <c r="R1216" s="785">
        <f>IFERROR(VLOOKUP($Q1216,'391'!$S:$Z,8,0),"")</f>
        <v>0</v>
      </c>
      <c r="S1216" s="796"/>
      <c r="T1216" s="797" t="str">
        <f t="shared" ref="T1216:T1221" si="757">$Q$1222&amp;C1216&amp;E1216</f>
        <v>Intelli Bond C46254</v>
      </c>
      <c r="U1216" s="797"/>
      <c r="V1216" s="797"/>
      <c r="W1216" s="785">
        <f>IFERROR(VLOOKUP($Q1216,'391'!$S:$AG,15,0),0)</f>
        <v>0</v>
      </c>
      <c r="X1216" s="1090">
        <f t="shared" si="725"/>
        <v>0</v>
      </c>
      <c r="Y1216" s="785"/>
      <c r="Z1216" s="785"/>
      <c r="AA1216" s="797"/>
      <c r="AB1216" s="797"/>
      <c r="AC1216" s="551"/>
      <c r="AD1216" s="551"/>
      <c r="AE1216" s="551"/>
      <c r="AF1216" s="551"/>
      <c r="AG1216" s="551"/>
      <c r="AH1216" s="551"/>
      <c r="AI1216" s="704"/>
      <c r="AJ1216" s="704"/>
      <c r="AK1216" s="704"/>
      <c r="AL1216" s="704"/>
      <c r="AM1216" s="704"/>
      <c r="AN1216" s="704"/>
      <c r="AO1216" s="704"/>
      <c r="AP1216" s="704"/>
      <c r="AQ1216" s="704"/>
      <c r="AR1216" s="704"/>
      <c r="AS1216" s="704"/>
    </row>
    <row r="1217" spans="1:45" s="265" customFormat="1" ht="30" customHeight="1" x14ac:dyDescent="0.25">
      <c r="A1217" s="2028"/>
      <c r="B1217" s="2025"/>
      <c r="C1217" s="127" t="s">
        <v>874</v>
      </c>
      <c r="D1217" s="881" t="s">
        <v>10</v>
      </c>
      <c r="E1217" s="882">
        <v>46270</v>
      </c>
      <c r="F1217" s="71">
        <f t="shared" si="756"/>
        <v>16</v>
      </c>
      <c r="G1217" s="64">
        <v>1575</v>
      </c>
      <c r="H1217" s="64"/>
      <c r="I1217" s="64"/>
      <c r="J1217" s="1367"/>
      <c r="K1217" s="64">
        <f>IFERROR(SUMIF(INTAKE!$A:$A,$T1217,INTAKE!$P:$P),0)</f>
        <v>175</v>
      </c>
      <c r="L1217" s="1702">
        <f t="shared" si="754"/>
        <v>1400</v>
      </c>
      <c r="M1217" s="48"/>
      <c r="N1217" s="48"/>
      <c r="O1217" s="48"/>
      <c r="P1217" s="738"/>
      <c r="Q1217" s="795"/>
      <c r="R1217" s="785">
        <f>IFERROR(VLOOKUP($Q1217,'391'!$S:$Z,8,0),"")</f>
        <v>0</v>
      </c>
      <c r="S1217" s="796"/>
      <c r="T1217" s="797" t="str">
        <f t="shared" si="757"/>
        <v>Intelli Bond CV6.146270</v>
      </c>
      <c r="U1217" s="797"/>
      <c r="V1217" s="797"/>
      <c r="W1217" s="785">
        <f>IFERROR(VLOOKUP($Q1217,'391'!$S:$AG,15,0),0)</f>
        <v>0</v>
      </c>
      <c r="X1217" s="1090">
        <f t="shared" si="725"/>
        <v>1575</v>
      </c>
      <c r="Y1217" s="785"/>
      <c r="Z1217" s="785"/>
      <c r="AA1217" s="797"/>
      <c r="AB1217" s="797"/>
      <c r="AC1217" s="551"/>
      <c r="AD1217" s="551"/>
      <c r="AE1217" s="551"/>
      <c r="AF1217" s="551"/>
      <c r="AG1217" s="551"/>
      <c r="AH1217" s="551"/>
      <c r="AI1217" s="704"/>
      <c r="AJ1217" s="704"/>
      <c r="AK1217" s="704"/>
      <c r="AL1217" s="704"/>
      <c r="AM1217" s="704"/>
      <c r="AN1217" s="704"/>
      <c r="AO1217" s="704"/>
      <c r="AP1217" s="704"/>
      <c r="AQ1217" s="704"/>
      <c r="AR1217" s="704"/>
      <c r="AS1217" s="704"/>
    </row>
    <row r="1218" spans="1:45" s="265" customFormat="1" ht="30" customHeight="1" x14ac:dyDescent="0.25">
      <c r="A1218" s="2028"/>
      <c r="B1218" s="2025"/>
      <c r="C1218" s="127" t="s">
        <v>874</v>
      </c>
      <c r="D1218" s="881" t="s">
        <v>10</v>
      </c>
      <c r="E1218" s="882">
        <v>46275</v>
      </c>
      <c r="F1218" s="71">
        <f t="shared" ref="F1218" si="758">$L$7-E1218</f>
        <v>11</v>
      </c>
      <c r="G1218" s="64">
        <v>2000</v>
      </c>
      <c r="H1218" s="64"/>
      <c r="I1218" s="64"/>
      <c r="J1218" s="1367"/>
      <c r="K1218" s="64">
        <f>IFERROR(SUMIF(INTAKE!$A:$A,$T1218,INTAKE!$P:$P),0)</f>
        <v>0</v>
      </c>
      <c r="L1218" s="1702">
        <f t="shared" si="754"/>
        <v>2000</v>
      </c>
      <c r="M1218" s="45"/>
      <c r="N1218" s="45"/>
      <c r="O1218" s="45"/>
      <c r="P1218" s="736"/>
      <c r="Q1218" s="795"/>
      <c r="R1218" s="785">
        <f>IFERROR(VLOOKUP($Q1218,'391'!$S:$Z,8,0),"")</f>
        <v>0</v>
      </c>
      <c r="S1218" s="796"/>
      <c r="T1218" s="797" t="str">
        <f t="shared" si="757"/>
        <v>Intelli Bond CV6.146275</v>
      </c>
      <c r="U1218" s="797"/>
      <c r="V1218" s="797"/>
      <c r="W1218" s="785">
        <f>IFERROR(VLOOKUP($Q1218,'391'!$S:$AG,15,0),0)</f>
        <v>0</v>
      </c>
      <c r="X1218" s="1090">
        <f t="shared" si="725"/>
        <v>2000</v>
      </c>
      <c r="Y1218" s="785"/>
      <c r="Z1218" s="785"/>
      <c r="AA1218" s="797"/>
      <c r="AB1218" s="797"/>
      <c r="AC1218" s="551"/>
      <c r="AD1218" s="551"/>
      <c r="AE1218" s="551"/>
      <c r="AF1218" s="551"/>
      <c r="AG1218" s="551"/>
      <c r="AH1218" s="551"/>
      <c r="AI1218" s="704"/>
      <c r="AJ1218" s="704"/>
      <c r="AK1218" s="704"/>
      <c r="AL1218" s="704"/>
      <c r="AM1218" s="704"/>
      <c r="AN1218" s="704"/>
      <c r="AO1218" s="704"/>
      <c r="AP1218" s="704"/>
      <c r="AQ1218" s="704"/>
      <c r="AR1218" s="704"/>
      <c r="AS1218" s="704"/>
    </row>
    <row r="1219" spans="1:45" s="265" customFormat="1" ht="30" hidden="1" customHeight="1" x14ac:dyDescent="0.25">
      <c r="A1219" s="2028"/>
      <c r="B1219" s="2025"/>
      <c r="C1219" s="127"/>
      <c r="D1219" s="881" t="s">
        <v>10</v>
      </c>
      <c r="E1219" s="882">
        <v>46254</v>
      </c>
      <c r="F1219" s="71">
        <f t="shared" ref="F1219:F1221" si="759">$L$7-E1219</f>
        <v>32</v>
      </c>
      <c r="G1219" s="64">
        <v>0</v>
      </c>
      <c r="H1219" s="64"/>
      <c r="I1219" s="64"/>
      <c r="J1219" s="1367"/>
      <c r="K1219" s="64">
        <f>IFERROR(SUMIF(INTAKE!$A:$A,$T1219,INTAKE!$P:$P),0)</f>
        <v>0</v>
      </c>
      <c r="L1219" s="1702">
        <f t="shared" si="754"/>
        <v>0</v>
      </c>
      <c r="M1219" s="45"/>
      <c r="N1219" s="45"/>
      <c r="O1219" s="45"/>
      <c r="P1219" s="736"/>
      <c r="Q1219" s="795"/>
      <c r="R1219" s="785">
        <f>IFERROR(VLOOKUP($Q1219,'391'!$S:$Z,8,0),"")</f>
        <v>0</v>
      </c>
      <c r="S1219" s="796"/>
      <c r="T1219" s="797" t="str">
        <f t="shared" si="757"/>
        <v>Intelli Bond C46254</v>
      </c>
      <c r="U1219" s="797"/>
      <c r="V1219" s="797"/>
      <c r="W1219" s="785">
        <f>IFERROR(VLOOKUP($Q1219,'391'!$S:$AG,15,0),0)</f>
        <v>0</v>
      </c>
      <c r="X1219" s="1090">
        <f t="shared" si="725"/>
        <v>0</v>
      </c>
      <c r="Y1219" s="785"/>
      <c r="Z1219" s="785"/>
      <c r="AA1219" s="797"/>
      <c r="AB1219" s="797"/>
      <c r="AC1219" s="551"/>
      <c r="AD1219" s="551"/>
      <c r="AE1219" s="551"/>
      <c r="AF1219" s="551"/>
      <c r="AG1219" s="551"/>
      <c r="AH1219" s="551"/>
      <c r="AI1219" s="704"/>
      <c r="AJ1219" s="704"/>
      <c r="AK1219" s="704"/>
      <c r="AL1219" s="704"/>
      <c r="AM1219" s="704"/>
      <c r="AN1219" s="704"/>
      <c r="AO1219" s="704"/>
      <c r="AP1219" s="704"/>
      <c r="AQ1219" s="704"/>
      <c r="AR1219" s="704"/>
      <c r="AS1219" s="704"/>
    </row>
    <row r="1220" spans="1:45" s="265" customFormat="1" ht="30" hidden="1" customHeight="1" x14ac:dyDescent="0.25">
      <c r="A1220" s="2028"/>
      <c r="B1220" s="2025"/>
      <c r="C1220" s="127"/>
      <c r="D1220" s="881" t="s">
        <v>10</v>
      </c>
      <c r="E1220" s="882">
        <v>44707</v>
      </c>
      <c r="F1220" s="71">
        <f t="shared" si="759"/>
        <v>1579</v>
      </c>
      <c r="G1220" s="64">
        <v>0</v>
      </c>
      <c r="H1220" s="64"/>
      <c r="I1220" s="64"/>
      <c r="J1220" s="1367"/>
      <c r="K1220" s="64">
        <f>IFERROR(SUMIF(INTAKE!$A:$A,$T1220,INTAKE!$P:$P),0)</f>
        <v>0</v>
      </c>
      <c r="L1220" s="1533">
        <f t="shared" si="754"/>
        <v>0</v>
      </c>
      <c r="M1220" s="45"/>
      <c r="N1220" s="45"/>
      <c r="O1220" s="45"/>
      <c r="P1220" s="736"/>
      <c r="Q1220" s="795"/>
      <c r="R1220" s="785">
        <f>IFERROR(VLOOKUP($Q1220,'391'!$S:$Z,8,0),"")</f>
        <v>0</v>
      </c>
      <c r="S1220" s="796"/>
      <c r="T1220" s="797" t="str">
        <f t="shared" si="757"/>
        <v>Intelli Bond C44707</v>
      </c>
      <c r="U1220" s="797"/>
      <c r="V1220" s="797"/>
      <c r="W1220" s="785">
        <f>IFERROR(VLOOKUP($Q1220,'391'!$S:$AG,15,0),0)</f>
        <v>0</v>
      </c>
      <c r="X1220" s="1090">
        <f t="shared" si="725"/>
        <v>0</v>
      </c>
      <c r="Y1220" s="785"/>
      <c r="Z1220" s="785"/>
      <c r="AA1220" s="797"/>
      <c r="AB1220" s="797"/>
      <c r="AC1220" s="551"/>
      <c r="AD1220" s="551"/>
      <c r="AE1220" s="551"/>
      <c r="AF1220" s="551"/>
      <c r="AG1220" s="551"/>
      <c r="AH1220" s="551"/>
      <c r="AI1220" s="704"/>
      <c r="AJ1220" s="704"/>
      <c r="AK1220" s="704"/>
      <c r="AL1220" s="704"/>
      <c r="AM1220" s="704"/>
      <c r="AN1220" s="704"/>
      <c r="AO1220" s="704"/>
      <c r="AP1220" s="704"/>
      <c r="AQ1220" s="704"/>
      <c r="AR1220" s="704"/>
      <c r="AS1220" s="704"/>
    </row>
    <row r="1221" spans="1:45" s="418" customFormat="1" ht="30" customHeight="1" x14ac:dyDescent="0.25">
      <c r="A1221" s="2029"/>
      <c r="B1221" s="2026"/>
      <c r="C1221" s="108" t="s">
        <v>46</v>
      </c>
      <c r="D1221" s="863" t="s">
        <v>10</v>
      </c>
      <c r="E1221" s="886">
        <v>46270</v>
      </c>
      <c r="F1221" s="39">
        <f t="shared" si="759"/>
        <v>16</v>
      </c>
      <c r="G1221" s="37">
        <v>132.19000000000008</v>
      </c>
      <c r="H1221" s="37"/>
      <c r="I1221" s="37">
        <f>SUM(K1216:K1221)</f>
        <v>175</v>
      </c>
      <c r="J1221" s="1385">
        <f>usage!I121</f>
        <v>165.55</v>
      </c>
      <c r="K1221" s="64">
        <f>IFERROR(SUMIF(INTAKE!$A:$A,$T1221,INTAKE!$P:$P),0)</f>
        <v>0</v>
      </c>
      <c r="L1221" s="1533">
        <f t="shared" si="754"/>
        <v>141.64000000000004</v>
      </c>
      <c r="M1221" s="35"/>
      <c r="N1221" s="35"/>
      <c r="O1221" s="35"/>
      <c r="P1221" s="740"/>
      <c r="Q1221" s="795"/>
      <c r="R1221" s="785">
        <f>IFERROR(VLOOKUP($Q1221,'391'!$S:$Z,8,0),"")</f>
        <v>0</v>
      </c>
      <c r="S1221" s="796"/>
      <c r="T1221" s="797" t="str">
        <f t="shared" si="757"/>
        <v>Intelli Bond CFeedmill46270</v>
      </c>
      <c r="U1221" s="797"/>
      <c r="V1221" s="797"/>
      <c r="W1221" s="785">
        <f>IFERROR(VLOOKUP($Q1221,'391'!$S:$AG,15,0),0)</f>
        <v>0</v>
      </c>
      <c r="X1221" s="1090">
        <f t="shared" ref="X1221:X1283" si="760">G1221-W1221</f>
        <v>132.19000000000008</v>
      </c>
      <c r="Y1221" s="785"/>
      <c r="Z1221" s="785"/>
      <c r="AA1221" s="797"/>
      <c r="AB1221" s="797"/>
      <c r="AC1221" s="551"/>
      <c r="AD1221" s="551"/>
      <c r="AE1221" s="551"/>
      <c r="AF1221" s="551"/>
      <c r="AG1221" s="551"/>
      <c r="AH1221" s="551"/>
      <c r="AI1221" s="704"/>
      <c r="AJ1221" s="704"/>
      <c r="AK1221" s="704"/>
      <c r="AL1221" s="704"/>
      <c r="AM1221" s="704"/>
      <c r="AN1221" s="704"/>
      <c r="AO1221" s="704"/>
      <c r="AP1221" s="704"/>
      <c r="AQ1221" s="704"/>
      <c r="AR1221" s="704"/>
      <c r="AS1221" s="704"/>
    </row>
    <row r="1222" spans="1:45" s="265" customFormat="1" ht="30" customHeight="1" x14ac:dyDescent="0.25">
      <c r="A1222" s="184"/>
      <c r="B1222" s="184" t="s">
        <v>285</v>
      </c>
      <c r="C1222" s="575"/>
      <c r="D1222" s="900"/>
      <c r="E1222" s="901" t="s">
        <v>35</v>
      </c>
      <c r="F1222" s="902"/>
      <c r="G1222" s="1337">
        <v>3707.19</v>
      </c>
      <c r="H1222" s="1337">
        <f t="shared" ref="H1222:J1222" si="761">SUM(H1216:H1221)</f>
        <v>0</v>
      </c>
      <c r="I1222" s="1337">
        <f t="shared" si="761"/>
        <v>175</v>
      </c>
      <c r="J1222" s="1337">
        <f t="shared" si="761"/>
        <v>165.55</v>
      </c>
      <c r="K1222" s="1337">
        <f>SUM(K1216:K1221)</f>
        <v>175</v>
      </c>
      <c r="L1222" s="1337">
        <f>SUM(L1216:L1221)</f>
        <v>3541.64</v>
      </c>
      <c r="M1222" s="59">
        <f>IFERROR(R1222/$S$2,"")</f>
        <v>193.85833333333335</v>
      </c>
      <c r="N1222" s="366">
        <f>IFERROR(L1222/M1222,0)</f>
        <v>18.269217211881525</v>
      </c>
      <c r="O1222" s="59">
        <f>IFERROR(SUMIF(ETM!$A:$A,$Q1222,ETM!$E:$E),"")</f>
        <v>187.16666666666669</v>
      </c>
      <c r="P1222" s="880">
        <f>IFERROR(L1222/O1222,0)</f>
        <v>18.922386464826356</v>
      </c>
      <c r="Q1222" s="795" t="s">
        <v>836</v>
      </c>
      <c r="R1222" s="785">
        <f>IFERROR(VLOOKUP($Q1222,'391'!$S:$Z,8,0),"")</f>
        <v>1163.1500000000001</v>
      </c>
      <c r="S1222" s="796"/>
      <c r="T1222" s="797"/>
      <c r="U1222" s="797"/>
      <c r="V1222" s="797"/>
      <c r="W1222" s="785">
        <f>IFERROR(VLOOKUP($Q1222,'391'!$S:$AG,15,0),0)</f>
        <v>3707.19</v>
      </c>
      <c r="X1222" s="1090">
        <f t="shared" si="760"/>
        <v>0</v>
      </c>
      <c r="Y1222" s="785"/>
      <c r="Z1222" s="785"/>
      <c r="AA1222" s="797"/>
      <c r="AB1222" s="797"/>
      <c r="AC1222" s="551"/>
      <c r="AD1222" s="551"/>
      <c r="AE1222" s="551"/>
      <c r="AF1222" s="551"/>
      <c r="AG1222" s="551"/>
      <c r="AH1222" s="551"/>
      <c r="AI1222" s="704"/>
      <c r="AJ1222" s="704"/>
      <c r="AK1222" s="704"/>
      <c r="AL1222" s="704"/>
      <c r="AM1222" s="704"/>
      <c r="AN1222" s="704"/>
      <c r="AO1222" s="704"/>
      <c r="AP1222" s="704"/>
      <c r="AQ1222" s="704"/>
      <c r="AR1222" s="704"/>
      <c r="AS1222" s="704"/>
    </row>
    <row r="1223" spans="1:45" s="265" customFormat="1" ht="30" hidden="1" customHeight="1" x14ac:dyDescent="0.25">
      <c r="A1223" s="2027" t="str">
        <f>IF(L1229=0,"",MAX($A$16:A1222)+1)</f>
        <v/>
      </c>
      <c r="B1223" s="2058" t="s">
        <v>1143</v>
      </c>
      <c r="C1223" s="127"/>
      <c r="D1223" s="881" t="s">
        <v>10</v>
      </c>
      <c r="E1223" s="882">
        <v>44853</v>
      </c>
      <c r="F1223" s="71">
        <f t="shared" ref="F1223:F1228" si="762">$L$7-E1223</f>
        <v>1433</v>
      </c>
      <c r="G1223" s="63">
        <v>0</v>
      </c>
      <c r="H1223" s="64"/>
      <c r="I1223" s="64"/>
      <c r="J1223" s="1367"/>
      <c r="K1223" s="64">
        <f>IFERROR(SUMIF(INTAKE!$A:$A,$T1223,INTAKE!$P:$P),0)</f>
        <v>0</v>
      </c>
      <c r="L1223" s="1533">
        <f t="shared" ref="L1223:L1228" si="763">+G1223+H1223+I1223-J1223-K1223</f>
        <v>0</v>
      </c>
      <c r="M1223" s="50"/>
      <c r="N1223" s="50"/>
      <c r="O1223" s="50"/>
      <c r="P1223" s="744"/>
      <c r="Q1223" s="795"/>
      <c r="R1223" s="785">
        <f>IFERROR(VLOOKUP($Q1223,'391'!$S:$Z,8,0),"")</f>
        <v>0</v>
      </c>
      <c r="S1223" s="796"/>
      <c r="T1223" s="797" t="str">
        <f t="shared" ref="T1223:T1228" si="764">$Q$1228&amp;C1223&amp;E1223</f>
        <v>LignoBond DD (NORWAY)44853</v>
      </c>
      <c r="U1223" s="797"/>
      <c r="V1223" s="797"/>
      <c r="W1223" s="785">
        <f>IFERROR(VLOOKUP($Q1223,'391'!$S:$AG,15,0),0)</f>
        <v>0</v>
      </c>
      <c r="X1223" s="1090">
        <f t="shared" si="760"/>
        <v>0</v>
      </c>
      <c r="Y1223" s="785"/>
      <c r="Z1223" s="785"/>
      <c r="AA1223" s="797"/>
      <c r="AB1223" s="797"/>
      <c r="AC1223" s="551"/>
      <c r="AD1223" s="551"/>
      <c r="AE1223" s="551"/>
      <c r="AF1223" s="551"/>
      <c r="AG1223" s="551"/>
      <c r="AH1223" s="551"/>
      <c r="AI1223" s="704"/>
      <c r="AJ1223" s="704"/>
      <c r="AK1223" s="704"/>
      <c r="AL1223" s="704"/>
      <c r="AM1223" s="704"/>
      <c r="AN1223" s="704"/>
      <c r="AO1223" s="704"/>
      <c r="AP1223" s="704"/>
      <c r="AQ1223" s="704"/>
      <c r="AR1223" s="704"/>
      <c r="AS1223" s="704"/>
    </row>
    <row r="1224" spans="1:45" s="265" customFormat="1" ht="30" hidden="1" customHeight="1" x14ac:dyDescent="0.25">
      <c r="A1224" s="2028"/>
      <c r="B1224" s="2060"/>
      <c r="C1224" s="127"/>
      <c r="D1224" s="881" t="s">
        <v>10</v>
      </c>
      <c r="E1224" s="882">
        <v>45801</v>
      </c>
      <c r="F1224" s="71">
        <f t="shared" si="762"/>
        <v>485</v>
      </c>
      <c r="G1224" s="63">
        <v>0</v>
      </c>
      <c r="H1224" s="64"/>
      <c r="I1224" s="64"/>
      <c r="J1224" s="1367"/>
      <c r="K1224" s="1348">
        <f>IFERROR(SUMIF(INTAKE!$A:$A,$T1224,INTAKE!$P:$P),0)</f>
        <v>0</v>
      </c>
      <c r="L1224" s="1702">
        <f t="shared" si="763"/>
        <v>0</v>
      </c>
      <c r="M1224" s="48"/>
      <c r="N1224" s="48"/>
      <c r="O1224" s="48"/>
      <c r="P1224" s="738"/>
      <c r="Q1224" s="795" t="s">
        <v>1145</v>
      </c>
      <c r="R1224" s="785" t="str">
        <f>IFERROR(VLOOKUP($Q1224,'391'!$S:$Z,8,0),"0")</f>
        <v>0</v>
      </c>
      <c r="S1224" s="796"/>
      <c r="T1224" s="797" t="str">
        <f t="shared" si="764"/>
        <v>LignoBond DD (NORWAY)45801</v>
      </c>
      <c r="U1224" s="797"/>
      <c r="V1224" s="797"/>
      <c r="W1224" s="785">
        <f>IFERROR(VLOOKUP($Q1224,'391'!$S:$AG,15,0),0)</f>
        <v>0</v>
      </c>
      <c r="X1224" s="1090">
        <f t="shared" si="760"/>
        <v>0</v>
      </c>
      <c r="Y1224" s="785"/>
      <c r="Z1224" s="785"/>
      <c r="AA1224" s="797"/>
      <c r="AB1224" s="797"/>
      <c r="AC1224" s="551"/>
      <c r="AD1224" s="551"/>
      <c r="AE1224" s="551"/>
      <c r="AF1224" s="551"/>
      <c r="AG1224" s="551"/>
      <c r="AH1224" s="551"/>
      <c r="AI1224" s="704"/>
      <c r="AJ1224" s="704"/>
      <c r="AK1224" s="704"/>
      <c r="AL1224" s="704"/>
      <c r="AM1224" s="704"/>
      <c r="AN1224" s="704"/>
      <c r="AO1224" s="704"/>
      <c r="AP1224" s="704"/>
      <c r="AQ1224" s="704"/>
      <c r="AR1224" s="704"/>
      <c r="AS1224" s="704"/>
    </row>
    <row r="1225" spans="1:45" s="265" customFormat="1" ht="30" hidden="1" customHeight="1" x14ac:dyDescent="0.25">
      <c r="A1225" s="2028"/>
      <c r="B1225" s="2060"/>
      <c r="C1225" s="127" t="s">
        <v>581</v>
      </c>
      <c r="D1225" s="881" t="s">
        <v>10</v>
      </c>
      <c r="E1225" s="882">
        <v>45862</v>
      </c>
      <c r="F1225" s="71">
        <f t="shared" ref="F1225" si="765">$L$7-E1225</f>
        <v>424</v>
      </c>
      <c r="G1225" s="63">
        <v>0</v>
      </c>
      <c r="H1225" s="64"/>
      <c r="I1225" s="64"/>
      <c r="J1225" s="1367"/>
      <c r="K1225" s="1348">
        <f>IFERROR(SUMIF(INTAKE!$A:$A,$T1225,INTAKE!$P:$P),0)</f>
        <v>0</v>
      </c>
      <c r="L1225" s="1702">
        <f t="shared" si="763"/>
        <v>0</v>
      </c>
      <c r="M1225" s="45"/>
      <c r="N1225" s="45"/>
      <c r="O1225" s="45"/>
      <c r="P1225" s="736"/>
      <c r="Q1225" s="795"/>
      <c r="R1225" s="785">
        <f>IFERROR(VLOOKUP($Q1225,'391'!$S:$Z,8,0),"")</f>
        <v>0</v>
      </c>
      <c r="S1225" s="796"/>
      <c r="T1225" s="797" t="str">
        <f t="shared" si="764"/>
        <v>LignoBond DD (NORWAY)V5.145862</v>
      </c>
      <c r="U1225" s="797"/>
      <c r="V1225" s="797"/>
      <c r="W1225" s="785">
        <f>IFERROR(VLOOKUP($Q1225,'391'!$S:$AG,15,0),0)</f>
        <v>0</v>
      </c>
      <c r="X1225" s="1090">
        <f t="shared" si="760"/>
        <v>0</v>
      </c>
      <c r="Y1225" s="785"/>
      <c r="Z1225" s="785"/>
      <c r="AA1225" s="797"/>
      <c r="AB1225" s="797"/>
      <c r="AC1225" s="551"/>
      <c r="AD1225" s="551"/>
      <c r="AE1225" s="551"/>
      <c r="AF1225" s="551"/>
      <c r="AG1225" s="551"/>
      <c r="AH1225" s="551"/>
      <c r="AI1225" s="704"/>
      <c r="AJ1225" s="704"/>
      <c r="AK1225" s="704"/>
      <c r="AL1225" s="704"/>
      <c r="AM1225" s="704"/>
      <c r="AN1225" s="704"/>
      <c r="AO1225" s="704"/>
      <c r="AP1225" s="704"/>
      <c r="AQ1225" s="704"/>
      <c r="AR1225" s="704"/>
      <c r="AS1225" s="704"/>
    </row>
    <row r="1226" spans="1:45" s="265" customFormat="1" ht="30" hidden="1" customHeight="1" x14ac:dyDescent="0.25">
      <c r="A1226" s="2191"/>
      <c r="B1226" s="2059"/>
      <c r="C1226" s="127"/>
      <c r="D1226" s="881" t="s">
        <v>10</v>
      </c>
      <c r="E1226" s="882">
        <v>45862</v>
      </c>
      <c r="F1226" s="71">
        <f t="shared" si="762"/>
        <v>424</v>
      </c>
      <c r="G1226" s="63">
        <v>0</v>
      </c>
      <c r="H1226" s="64"/>
      <c r="I1226" s="64"/>
      <c r="J1226" s="1367"/>
      <c r="K1226" s="64">
        <f>IFERROR(SUMIF(INTAKE!$A:$A,$T1226,INTAKE!$P:$P),0)</f>
        <v>0</v>
      </c>
      <c r="L1226" s="1702">
        <f t="shared" si="763"/>
        <v>0</v>
      </c>
      <c r="M1226" s="45"/>
      <c r="N1226" s="45"/>
      <c r="O1226" s="45"/>
      <c r="P1226" s="736"/>
      <c r="Q1226" s="795"/>
      <c r="R1226" s="785">
        <f>IFERROR(VLOOKUP($Q1226,'391'!$S:$Z,8,0),"")</f>
        <v>0</v>
      </c>
      <c r="S1226" s="796"/>
      <c r="T1226" s="797" t="str">
        <f t="shared" si="764"/>
        <v>LignoBond DD (NORWAY)45862</v>
      </c>
      <c r="U1226" s="797"/>
      <c r="V1226" s="797"/>
      <c r="W1226" s="785">
        <f>IFERROR(VLOOKUP($Q1226,'391'!$S:$AG,15,0),0)</f>
        <v>0</v>
      </c>
      <c r="X1226" s="1090">
        <f t="shared" si="760"/>
        <v>0</v>
      </c>
      <c r="Y1226" s="785"/>
      <c r="Z1226" s="785"/>
      <c r="AA1226" s="797"/>
      <c r="AB1226" s="797"/>
      <c r="AC1226" s="551"/>
      <c r="AD1226" s="551"/>
      <c r="AE1226" s="551"/>
      <c r="AF1226" s="551"/>
      <c r="AG1226" s="551"/>
      <c r="AH1226" s="551"/>
      <c r="AI1226" s="704"/>
      <c r="AJ1226" s="704"/>
      <c r="AK1226" s="704"/>
      <c r="AL1226" s="704"/>
      <c r="AM1226" s="704"/>
      <c r="AN1226" s="704"/>
      <c r="AO1226" s="704"/>
      <c r="AP1226" s="704"/>
      <c r="AQ1226" s="704"/>
      <c r="AR1226" s="704"/>
      <c r="AS1226" s="704"/>
    </row>
    <row r="1227" spans="1:45" s="265" customFormat="1" ht="30" hidden="1" customHeight="1" x14ac:dyDescent="0.25">
      <c r="A1227" s="2028"/>
      <c r="B1227" s="2060"/>
      <c r="C1227" s="127"/>
      <c r="D1227" s="881" t="s">
        <v>10</v>
      </c>
      <c r="E1227" s="882">
        <v>44755</v>
      </c>
      <c r="F1227" s="71">
        <f t="shared" si="762"/>
        <v>1531</v>
      </c>
      <c r="G1227" s="63">
        <v>0</v>
      </c>
      <c r="H1227" s="64"/>
      <c r="I1227" s="64"/>
      <c r="J1227" s="1367"/>
      <c r="K1227" s="64">
        <f>IFERROR(SUMIF(INTAKE!$A:$A,$T1227,INTAKE!$P:$P),0)</f>
        <v>0</v>
      </c>
      <c r="L1227" s="1533">
        <f t="shared" si="763"/>
        <v>0</v>
      </c>
      <c r="M1227" s="45"/>
      <c r="N1227" s="45"/>
      <c r="O1227" s="45"/>
      <c r="P1227" s="736"/>
      <c r="Q1227" s="795"/>
      <c r="R1227" s="785">
        <f>IFERROR(VLOOKUP($Q1227,'391'!$S:$Z,8,0),"")</f>
        <v>0</v>
      </c>
      <c r="S1227" s="796"/>
      <c r="T1227" s="797" t="str">
        <f t="shared" si="764"/>
        <v>LignoBond DD (NORWAY)44755</v>
      </c>
      <c r="U1227" s="797"/>
      <c r="V1227" s="797"/>
      <c r="W1227" s="785">
        <f>IFERROR(VLOOKUP($Q1227,'391'!$S:$AG,15,0),0)</f>
        <v>0</v>
      </c>
      <c r="X1227" s="1090">
        <f t="shared" si="760"/>
        <v>0</v>
      </c>
      <c r="Y1227" s="785"/>
      <c r="Z1227" s="785"/>
      <c r="AA1227" s="797"/>
      <c r="AB1227" s="797"/>
      <c r="AC1227" s="551"/>
      <c r="AD1227" s="551"/>
      <c r="AE1227" s="551"/>
      <c r="AF1227" s="551"/>
      <c r="AG1227" s="551"/>
      <c r="AH1227" s="551"/>
      <c r="AI1227" s="704"/>
      <c r="AJ1227" s="704"/>
      <c r="AK1227" s="704"/>
      <c r="AL1227" s="704"/>
      <c r="AM1227" s="704"/>
      <c r="AN1227" s="704"/>
      <c r="AO1227" s="704"/>
      <c r="AP1227" s="704"/>
      <c r="AQ1227" s="704"/>
      <c r="AR1227" s="704"/>
      <c r="AS1227" s="704"/>
    </row>
    <row r="1228" spans="1:45" s="418" customFormat="1" ht="30" hidden="1" customHeight="1" x14ac:dyDescent="0.25">
      <c r="A1228" s="2029"/>
      <c r="B1228" s="2061"/>
      <c r="C1228" s="108" t="s">
        <v>46</v>
      </c>
      <c r="D1228" s="863" t="s">
        <v>10</v>
      </c>
      <c r="E1228" s="886">
        <v>45862</v>
      </c>
      <c r="F1228" s="39">
        <f t="shared" si="762"/>
        <v>424</v>
      </c>
      <c r="G1228" s="37">
        <v>0</v>
      </c>
      <c r="H1228" s="37"/>
      <c r="I1228" s="37">
        <f>+SUM(K1223:K1227)</f>
        <v>0</v>
      </c>
      <c r="J1228" s="1385">
        <f>+usage!I118</f>
        <v>0</v>
      </c>
      <c r="K1228" s="64">
        <f>IFERROR(SUMIF(INTAKE!$A:$A,$T1228,INTAKE!$P:$P),0)</f>
        <v>0</v>
      </c>
      <c r="L1228" s="1533">
        <f t="shared" si="763"/>
        <v>0</v>
      </c>
      <c r="M1228" s="35"/>
      <c r="N1228" s="35"/>
      <c r="O1228" s="35"/>
      <c r="P1228" s="740"/>
      <c r="Q1228" s="795" t="s">
        <v>881</v>
      </c>
      <c r="R1228" s="785" t="str">
        <f>IFERROR(VLOOKUP($Q1228,'391'!$S:$Z,8,0),"0")</f>
        <v>0</v>
      </c>
      <c r="S1228" s="796"/>
      <c r="T1228" s="797" t="str">
        <f t="shared" si="764"/>
        <v>LignoBond DD (NORWAY)Feedmill45862</v>
      </c>
      <c r="U1228" s="797"/>
      <c r="V1228" s="797"/>
      <c r="W1228" s="785">
        <f>IFERROR(VLOOKUP($Q1228,'391'!$S:$AG,15,0),0)</f>
        <v>0</v>
      </c>
      <c r="X1228" s="1090">
        <f t="shared" si="760"/>
        <v>0</v>
      </c>
      <c r="Y1228" s="785"/>
      <c r="Z1228" s="785"/>
      <c r="AA1228" s="797"/>
      <c r="AB1228" s="797"/>
      <c r="AC1228" s="551"/>
      <c r="AD1228" s="551"/>
      <c r="AE1228" s="551"/>
      <c r="AF1228" s="551"/>
      <c r="AG1228" s="551"/>
      <c r="AH1228" s="551"/>
      <c r="AI1228" s="704"/>
      <c r="AJ1228" s="704"/>
      <c r="AK1228" s="704"/>
      <c r="AL1228" s="704"/>
      <c r="AM1228" s="704"/>
      <c r="AN1228" s="704"/>
      <c r="AO1228" s="704"/>
      <c r="AP1228" s="704"/>
      <c r="AQ1228" s="704"/>
      <c r="AR1228" s="704"/>
      <c r="AS1228" s="704"/>
    </row>
    <row r="1229" spans="1:45" s="265" customFormat="1" ht="30" hidden="1" customHeight="1" x14ac:dyDescent="0.25">
      <c r="A1229" s="184"/>
      <c r="B1229" s="184" t="s">
        <v>229</v>
      </c>
      <c r="C1229" s="575"/>
      <c r="D1229" s="900"/>
      <c r="E1229" s="901"/>
      <c r="F1229" s="902"/>
      <c r="G1229" s="1337">
        <v>0</v>
      </c>
      <c r="H1229" s="1337">
        <f t="shared" ref="H1229:I1229" si="766">SUM(H1223:H1228)</f>
        <v>0</v>
      </c>
      <c r="I1229" s="1337">
        <f t="shared" si="766"/>
        <v>0</v>
      </c>
      <c r="J1229" s="1337">
        <f t="shared" ref="J1229:L1229" si="767">SUM(J1223:J1228)</f>
        <v>0</v>
      </c>
      <c r="K1229" s="1337">
        <f t="shared" si="767"/>
        <v>0</v>
      </c>
      <c r="L1229" s="1337">
        <f t="shared" si="767"/>
        <v>0</v>
      </c>
      <c r="M1229" s="59">
        <f>IFERROR(S1229/$S$2,"")</f>
        <v>0</v>
      </c>
      <c r="N1229" s="854">
        <f>IFERROR(L1229/M1229,0)</f>
        <v>0</v>
      </c>
      <c r="O1229" s="59">
        <f>IFERROR(SUMIF(ETM!$A:$A,$Q1229,ETM!$E:$E),"")</f>
        <v>0</v>
      </c>
      <c r="P1229" s="880">
        <f>IFERROR(L1229/O1229,0)</f>
        <v>0</v>
      </c>
      <c r="Q1229" s="795" t="s">
        <v>228</v>
      </c>
      <c r="R1229" s="785" t="str">
        <f>IFERROR(VLOOKUP($Q1229,'391'!$S:$Z,8,0),"0")</f>
        <v>0</v>
      </c>
      <c r="S1229" s="819">
        <f>+R1229+R1228+R1224</f>
        <v>0</v>
      </c>
      <c r="T1229" s="797"/>
      <c r="U1229" s="797"/>
      <c r="V1229" s="797"/>
      <c r="W1229" s="785">
        <f>IFERROR(VLOOKUP($Q1229,'391'!$S:$AG,15,0),0)</f>
        <v>0</v>
      </c>
      <c r="X1229" s="1090">
        <f t="shared" si="760"/>
        <v>0</v>
      </c>
      <c r="Y1229" s="1088">
        <f>+W1228+W1229+W1224</f>
        <v>0</v>
      </c>
      <c r="Z1229" s="1091">
        <f>G1229-Y1229</f>
        <v>0</v>
      </c>
      <c r="AA1229" s="797"/>
      <c r="AB1229" s="797"/>
      <c r="AC1229" s="551"/>
      <c r="AD1229" s="551"/>
      <c r="AE1229" s="551"/>
      <c r="AF1229" s="551"/>
      <c r="AG1229" s="551"/>
      <c r="AH1229" s="551"/>
      <c r="AI1229" s="704"/>
      <c r="AJ1229" s="704"/>
      <c r="AK1229" s="704"/>
      <c r="AL1229" s="704"/>
      <c r="AM1229" s="704"/>
      <c r="AN1229" s="704"/>
      <c r="AO1229" s="704"/>
      <c r="AP1229" s="704"/>
      <c r="AQ1229" s="704"/>
      <c r="AR1229" s="704"/>
      <c r="AS1229" s="704"/>
    </row>
    <row r="1230" spans="1:45" s="265" customFormat="1" ht="30" hidden="1" customHeight="1" x14ac:dyDescent="0.25">
      <c r="A1230" s="2027">
        <f>IF(L1237=0,"",MAX($A$16:A1229)+1)</f>
        <v>81</v>
      </c>
      <c r="B1230" s="2024" t="s">
        <v>1514</v>
      </c>
      <c r="C1230" s="127"/>
      <c r="D1230" s="881" t="s">
        <v>10</v>
      </c>
      <c r="E1230" s="888">
        <v>46031</v>
      </c>
      <c r="F1230" s="70">
        <f t="shared" ref="F1230:F1233" si="768">$L$7-E1230</f>
        <v>255</v>
      </c>
      <c r="G1230" s="63">
        <v>0</v>
      </c>
      <c r="H1230" s="63"/>
      <c r="I1230" s="63"/>
      <c r="J1230" s="1378"/>
      <c r="K1230" s="63">
        <f>IFERROR(SUMIF(INTAKE!$A:$A,$T1230,INTAKE!$P:$P),0)</f>
        <v>0</v>
      </c>
      <c r="L1230" s="1702">
        <f t="shared" ref="L1230:L1236" si="769">+G1230+H1230+I1230-J1230-K1230</f>
        <v>0</v>
      </c>
      <c r="M1230" s="50"/>
      <c r="N1230" s="167"/>
      <c r="O1230" s="50"/>
      <c r="P1230" s="857"/>
      <c r="Q1230" s="795"/>
      <c r="R1230" s="785">
        <f>IFERROR(VLOOKUP($Q1230,'391'!$S:$Z,8,0),"")</f>
        <v>0</v>
      </c>
      <c r="S1230" s="796"/>
      <c r="T1230" s="797" t="str">
        <f t="shared" ref="T1230:T1236" si="770">$Q$1237&amp;C1230&amp;E1230</f>
        <v>Microplex 1000ppm(USA)46031</v>
      </c>
      <c r="U1230" s="797"/>
      <c r="V1230" s="797"/>
      <c r="W1230" s="785">
        <f>IFERROR(VLOOKUP($Q1230,'391'!$S:$AG,15,0),0)</f>
        <v>0</v>
      </c>
      <c r="X1230" s="1090">
        <f t="shared" si="760"/>
        <v>0</v>
      </c>
      <c r="Y1230" s="785"/>
      <c r="Z1230" s="785"/>
      <c r="AA1230" s="797"/>
      <c r="AB1230" s="797"/>
      <c r="AC1230" s="551"/>
      <c r="AD1230" s="551"/>
      <c r="AE1230" s="551"/>
      <c r="AF1230" s="551"/>
      <c r="AG1230" s="551"/>
      <c r="AH1230" s="551"/>
      <c r="AI1230" s="704"/>
      <c r="AJ1230" s="704"/>
      <c r="AK1230" s="704"/>
      <c r="AL1230" s="704"/>
      <c r="AM1230" s="704"/>
      <c r="AN1230" s="704"/>
      <c r="AO1230" s="704"/>
      <c r="AP1230" s="704"/>
      <c r="AQ1230" s="704"/>
      <c r="AR1230" s="704"/>
      <c r="AS1230" s="704"/>
    </row>
    <row r="1231" spans="1:45" s="265" customFormat="1" ht="30" hidden="1" customHeight="1" x14ac:dyDescent="0.25">
      <c r="A1231" s="2028"/>
      <c r="B1231" s="2025"/>
      <c r="C1231" s="127"/>
      <c r="D1231" s="881" t="s">
        <v>10</v>
      </c>
      <c r="E1231" s="888">
        <v>46141</v>
      </c>
      <c r="F1231" s="70">
        <f t="shared" si="768"/>
        <v>145</v>
      </c>
      <c r="G1231" s="63">
        <v>0</v>
      </c>
      <c r="H1231" s="63"/>
      <c r="I1231" s="63"/>
      <c r="J1231" s="1378"/>
      <c r="K1231" s="63">
        <f>IFERROR(SUMIF(INTAKE!$A:$A,$T1231,INTAKE!$P:$P),0)</f>
        <v>0</v>
      </c>
      <c r="L1231" s="1702">
        <f t="shared" si="769"/>
        <v>0</v>
      </c>
      <c r="M1231" s="48"/>
      <c r="N1231" s="48"/>
      <c r="O1231" s="48"/>
      <c r="P1231" s="738"/>
      <c r="Q1231" s="795"/>
      <c r="R1231" s="785">
        <f>IFERROR(VLOOKUP($Q1231,'391'!$S:$Z,8,0),"")</f>
        <v>0</v>
      </c>
      <c r="S1231" s="796"/>
      <c r="T1231" s="797" t="str">
        <f t="shared" si="770"/>
        <v>Microplex 1000ppm(USA)46141</v>
      </c>
      <c r="U1231" s="797"/>
      <c r="V1231" s="797"/>
      <c r="W1231" s="785">
        <f>IFERROR(VLOOKUP($Q1231,'391'!$S:$AG,15,0),0)</f>
        <v>0</v>
      </c>
      <c r="X1231" s="1090">
        <f t="shared" si="760"/>
        <v>0</v>
      </c>
      <c r="Y1231" s="785"/>
      <c r="Z1231" s="785"/>
      <c r="AA1231" s="797"/>
      <c r="AB1231" s="797"/>
      <c r="AC1231" s="551"/>
      <c r="AD1231" s="551"/>
      <c r="AE1231" s="551"/>
      <c r="AF1231" s="551"/>
      <c r="AG1231" s="551"/>
      <c r="AH1231" s="551"/>
      <c r="AI1231" s="704"/>
      <c r="AJ1231" s="704"/>
      <c r="AK1231" s="704"/>
      <c r="AL1231" s="704"/>
      <c r="AM1231" s="704"/>
      <c r="AN1231" s="704"/>
      <c r="AO1231" s="704"/>
      <c r="AP1231" s="704"/>
      <c r="AQ1231" s="704"/>
      <c r="AR1231" s="704"/>
      <c r="AS1231" s="704"/>
    </row>
    <row r="1232" spans="1:45" s="265" customFormat="1" ht="30" customHeight="1" x14ac:dyDescent="0.25">
      <c r="A1232" s="2028"/>
      <c r="B1232" s="2025"/>
      <c r="C1232" s="127" t="s">
        <v>138</v>
      </c>
      <c r="D1232" s="881" t="s">
        <v>10</v>
      </c>
      <c r="E1232" s="888">
        <v>46262</v>
      </c>
      <c r="F1232" s="70">
        <f t="shared" si="768"/>
        <v>24</v>
      </c>
      <c r="G1232" s="63">
        <v>450</v>
      </c>
      <c r="H1232" s="63"/>
      <c r="I1232" s="63"/>
      <c r="J1232" s="1378"/>
      <c r="K1232" s="63">
        <f>IFERROR(SUMIF(INTAKE!$A:$A,$T1232,INTAKE!$P:$P),0)</f>
        <v>0</v>
      </c>
      <c r="L1232" s="1702">
        <f t="shared" si="769"/>
        <v>450</v>
      </c>
      <c r="M1232" s="48"/>
      <c r="N1232" s="48"/>
      <c r="O1232" s="48"/>
      <c r="P1232" s="738"/>
      <c r="Q1232" s="795"/>
      <c r="R1232" s="785">
        <f>IFERROR(VLOOKUP($Q1232,'391'!$S:$Z,8,0),"")</f>
        <v>0</v>
      </c>
      <c r="S1232" s="796"/>
      <c r="T1232" s="797" t="str">
        <f t="shared" si="770"/>
        <v>Microplex 1000ppm(USA)Z5.146262</v>
      </c>
      <c r="U1232" s="797"/>
      <c r="V1232" s="797"/>
      <c r="W1232" s="785">
        <f>IFERROR(VLOOKUP($Q1232,'391'!$S:$AG,15,0),0)</f>
        <v>0</v>
      </c>
      <c r="X1232" s="1090">
        <f t="shared" si="760"/>
        <v>450</v>
      </c>
      <c r="Y1232" s="785"/>
      <c r="Z1232" s="785"/>
      <c r="AA1232" s="797"/>
      <c r="AB1232" s="797"/>
      <c r="AC1232" s="551"/>
      <c r="AD1232" s="551"/>
      <c r="AE1232" s="551"/>
      <c r="AF1232" s="551"/>
      <c r="AG1232" s="551"/>
      <c r="AH1232" s="551"/>
      <c r="AI1232" s="704"/>
      <c r="AJ1232" s="704"/>
      <c r="AK1232" s="704"/>
      <c r="AL1232" s="704"/>
      <c r="AM1232" s="704"/>
      <c r="AN1232" s="704"/>
      <c r="AO1232" s="704"/>
      <c r="AP1232" s="704"/>
      <c r="AQ1232" s="704"/>
      <c r="AR1232" s="704"/>
      <c r="AS1232" s="704"/>
    </row>
    <row r="1233" spans="1:45" s="265" customFormat="1" ht="30" customHeight="1" x14ac:dyDescent="0.25">
      <c r="A1233" s="2028"/>
      <c r="B1233" s="2025"/>
      <c r="C1233" s="127" t="s">
        <v>138</v>
      </c>
      <c r="D1233" s="881" t="s">
        <v>10</v>
      </c>
      <c r="E1233" s="888">
        <v>46275</v>
      </c>
      <c r="F1233" s="70">
        <f t="shared" si="768"/>
        <v>11</v>
      </c>
      <c r="G1233" s="63">
        <v>500</v>
      </c>
      <c r="H1233" s="63"/>
      <c r="I1233" s="63"/>
      <c r="J1233" s="1378"/>
      <c r="K1233" s="63">
        <f>IFERROR(SUMIF(INTAKE!$A:$A,$T1233,INTAKE!$P:$P),0)</f>
        <v>0</v>
      </c>
      <c r="L1233" s="1533">
        <f t="shared" si="769"/>
        <v>500</v>
      </c>
      <c r="M1233" s="48"/>
      <c r="N1233" s="48"/>
      <c r="O1233" s="48"/>
      <c r="P1233" s="738"/>
      <c r="Q1233" s="795"/>
      <c r="R1233" s="785">
        <f>IFERROR(VLOOKUP($Q1233,'391'!$S:$Z,8,0),"")</f>
        <v>0</v>
      </c>
      <c r="S1233" s="796"/>
      <c r="T1233" s="797" t="str">
        <f t="shared" si="770"/>
        <v>Microplex 1000ppm(USA)Z5.146275</v>
      </c>
      <c r="U1233" s="797"/>
      <c r="V1233" s="797"/>
      <c r="W1233" s="785">
        <f>IFERROR(VLOOKUP($Q1233,'391'!$S:$AG,15,0),0)</f>
        <v>0</v>
      </c>
      <c r="X1233" s="1090">
        <f t="shared" si="760"/>
        <v>500</v>
      </c>
      <c r="Y1233" s="785"/>
      <c r="Z1233" s="785"/>
      <c r="AA1233" s="797"/>
      <c r="AB1233" s="797"/>
      <c r="AC1233" s="551"/>
      <c r="AD1233" s="551"/>
      <c r="AE1233" s="551"/>
      <c r="AF1233" s="551"/>
      <c r="AG1233" s="551"/>
      <c r="AH1233" s="551"/>
      <c r="AI1233" s="704"/>
      <c r="AJ1233" s="704"/>
      <c r="AK1233" s="704"/>
      <c r="AL1233" s="704"/>
      <c r="AM1233" s="704"/>
      <c r="AN1233" s="704"/>
      <c r="AO1233" s="704"/>
      <c r="AP1233" s="704"/>
      <c r="AQ1233" s="704"/>
      <c r="AR1233" s="704"/>
      <c r="AS1233" s="704"/>
    </row>
    <row r="1234" spans="1:45" s="265" customFormat="1" ht="30" hidden="1" customHeight="1" x14ac:dyDescent="0.25">
      <c r="A1234" s="2028"/>
      <c r="B1234" s="2025"/>
      <c r="C1234" s="127"/>
      <c r="D1234" s="881" t="s">
        <v>10</v>
      </c>
      <c r="E1234" s="888">
        <v>46275</v>
      </c>
      <c r="F1234" s="70">
        <f t="shared" ref="F1234:F1236" si="771">$L$7-E1234</f>
        <v>11</v>
      </c>
      <c r="G1234" s="63">
        <v>0</v>
      </c>
      <c r="H1234" s="63"/>
      <c r="I1234" s="63"/>
      <c r="J1234" s="1378"/>
      <c r="K1234" s="63">
        <f>IFERROR(SUMIF(INTAKE!$A:$A,$T1234,INTAKE!$P:$P),0)</f>
        <v>0</v>
      </c>
      <c r="L1234" s="1533">
        <f t="shared" si="769"/>
        <v>0</v>
      </c>
      <c r="M1234" s="45"/>
      <c r="N1234" s="45"/>
      <c r="O1234" s="45"/>
      <c r="P1234" s="736"/>
      <c r="Q1234" s="795"/>
      <c r="R1234" s="785">
        <f>IFERROR(VLOOKUP($Q1234,'391'!$S:$Z,8,0),"")</f>
        <v>0</v>
      </c>
      <c r="S1234" s="796"/>
      <c r="T1234" s="797" t="str">
        <f t="shared" si="770"/>
        <v>Microplex 1000ppm(USA)46275</v>
      </c>
      <c r="U1234" s="797"/>
      <c r="V1234" s="797"/>
      <c r="W1234" s="785">
        <f>IFERROR(VLOOKUP($Q1234,'391'!$S:$AG,15,0),0)</f>
        <v>0</v>
      </c>
      <c r="X1234" s="1090">
        <f t="shared" si="760"/>
        <v>0</v>
      </c>
      <c r="Y1234" s="785"/>
      <c r="Z1234" s="785"/>
      <c r="AA1234" s="797"/>
      <c r="AB1234" s="797"/>
      <c r="AC1234" s="551"/>
      <c r="AD1234" s="551"/>
      <c r="AE1234" s="551"/>
      <c r="AF1234" s="551"/>
      <c r="AG1234" s="551"/>
      <c r="AH1234" s="551"/>
      <c r="AI1234" s="704"/>
      <c r="AJ1234" s="704"/>
      <c r="AK1234" s="704"/>
      <c r="AL1234" s="704"/>
      <c r="AM1234" s="704"/>
      <c r="AN1234" s="704"/>
      <c r="AO1234" s="704"/>
      <c r="AP1234" s="704"/>
      <c r="AQ1234" s="704"/>
      <c r="AR1234" s="704"/>
      <c r="AS1234" s="704"/>
    </row>
    <row r="1235" spans="1:45" s="265" customFormat="1" ht="30" hidden="1" customHeight="1" x14ac:dyDescent="0.25">
      <c r="A1235" s="2028"/>
      <c r="B1235" s="2025"/>
      <c r="C1235" s="127"/>
      <c r="D1235" s="881" t="s">
        <v>10</v>
      </c>
      <c r="E1235" s="888">
        <v>44309</v>
      </c>
      <c r="F1235" s="70">
        <f t="shared" si="771"/>
        <v>1977</v>
      </c>
      <c r="G1235" s="63">
        <v>0</v>
      </c>
      <c r="H1235" s="63"/>
      <c r="I1235" s="63"/>
      <c r="J1235" s="1378"/>
      <c r="K1235" s="63">
        <f>IFERROR(SUMIF(INTAKE!$A:$A,$T1235,INTAKE!$P:$P),0)</f>
        <v>0</v>
      </c>
      <c r="L1235" s="1533">
        <f t="shared" si="769"/>
        <v>0</v>
      </c>
      <c r="M1235" s="45"/>
      <c r="N1235" s="45"/>
      <c r="O1235" s="45"/>
      <c r="P1235" s="736"/>
      <c r="Q1235" s="795"/>
      <c r="R1235" s="785">
        <f>IFERROR(VLOOKUP($Q1235,'391'!$S:$Z,8,0),"")</f>
        <v>0</v>
      </c>
      <c r="S1235" s="796"/>
      <c r="T1235" s="797" t="str">
        <f t="shared" si="770"/>
        <v>Microplex 1000ppm(USA)44309</v>
      </c>
      <c r="U1235" s="797"/>
      <c r="V1235" s="797"/>
      <c r="W1235" s="785">
        <f>IFERROR(VLOOKUP($Q1235,'391'!$S:$AG,15,0),0)</f>
        <v>0</v>
      </c>
      <c r="X1235" s="1090">
        <f t="shared" si="760"/>
        <v>0</v>
      </c>
      <c r="Y1235" s="785"/>
      <c r="Z1235" s="785"/>
      <c r="AA1235" s="797"/>
      <c r="AB1235" s="797"/>
      <c r="AC1235" s="551"/>
      <c r="AD1235" s="551"/>
      <c r="AE1235" s="551"/>
      <c r="AF1235" s="551"/>
      <c r="AG1235" s="551"/>
      <c r="AH1235" s="551"/>
      <c r="AI1235" s="704"/>
      <c r="AJ1235" s="704"/>
      <c r="AK1235" s="704"/>
      <c r="AL1235" s="704"/>
      <c r="AM1235" s="704"/>
      <c r="AN1235" s="704"/>
      <c r="AO1235" s="704"/>
      <c r="AP1235" s="704"/>
      <c r="AQ1235" s="704"/>
      <c r="AR1235" s="704"/>
      <c r="AS1235" s="704"/>
    </row>
    <row r="1236" spans="1:45" s="418" customFormat="1" ht="30" customHeight="1" x14ac:dyDescent="0.25">
      <c r="A1236" s="2029"/>
      <c r="B1236" s="2026"/>
      <c r="C1236" s="108" t="s">
        <v>46</v>
      </c>
      <c r="D1236" s="863" t="s">
        <v>10</v>
      </c>
      <c r="E1236" s="886">
        <v>46262</v>
      </c>
      <c r="F1236" s="39">
        <f t="shared" si="771"/>
        <v>24</v>
      </c>
      <c r="G1236" s="37">
        <v>109.08000000000001</v>
      </c>
      <c r="H1236" s="37"/>
      <c r="I1236" s="37">
        <f>+SUM(K1230:K1235)</f>
        <v>0</v>
      </c>
      <c r="J1236" s="1385">
        <f>+usage!I128</f>
        <v>24.96</v>
      </c>
      <c r="K1236" s="63">
        <f>IFERROR(SUMIF(INTAKE!$A:$A,$T1236,INTAKE!$P:$P),0)</f>
        <v>0</v>
      </c>
      <c r="L1236" s="1533">
        <f t="shared" si="769"/>
        <v>84.12</v>
      </c>
      <c r="M1236" s="35"/>
      <c r="N1236" s="35"/>
      <c r="O1236" s="35"/>
      <c r="P1236" s="740"/>
      <c r="Q1236" s="795"/>
      <c r="R1236" s="785">
        <f>IFERROR(VLOOKUP($Q1236,'391'!$S:$Z,8,0),"")</f>
        <v>0</v>
      </c>
      <c r="S1236" s="796"/>
      <c r="T1236" s="797" t="str">
        <f t="shared" si="770"/>
        <v>Microplex 1000ppm(USA)Feedmill46262</v>
      </c>
      <c r="U1236" s="797"/>
      <c r="V1236" s="797"/>
      <c r="W1236" s="785">
        <f>IFERROR(VLOOKUP($Q1236,'391'!$S:$AG,15,0),0)</f>
        <v>0</v>
      </c>
      <c r="X1236" s="1090">
        <f t="shared" si="760"/>
        <v>109.08000000000001</v>
      </c>
      <c r="Y1236" s="785"/>
      <c r="Z1236" s="785"/>
      <c r="AA1236" s="797"/>
      <c r="AB1236" s="797"/>
      <c r="AC1236" s="551"/>
      <c r="AD1236" s="551"/>
      <c r="AE1236" s="551"/>
      <c r="AF1236" s="551"/>
      <c r="AG1236" s="551"/>
      <c r="AH1236" s="551"/>
      <c r="AI1236" s="704"/>
      <c r="AJ1236" s="704"/>
      <c r="AK1236" s="704"/>
      <c r="AL1236" s="704"/>
      <c r="AM1236" s="704"/>
      <c r="AN1236" s="704"/>
      <c r="AO1236" s="704"/>
      <c r="AP1236" s="704"/>
      <c r="AQ1236" s="704"/>
      <c r="AR1236" s="704"/>
      <c r="AS1236" s="704"/>
    </row>
    <row r="1237" spans="1:45" s="265" customFormat="1" ht="30" customHeight="1" x14ac:dyDescent="0.25">
      <c r="A1237" s="184"/>
      <c r="B1237" s="184" t="s">
        <v>231</v>
      </c>
      <c r="C1237" s="575"/>
      <c r="D1237" s="900"/>
      <c r="E1237" s="901"/>
      <c r="F1237" s="902"/>
      <c r="G1237" s="1337">
        <v>1059.08</v>
      </c>
      <c r="H1237" s="1337">
        <f t="shared" ref="H1237:I1237" si="772">+SUM(H1230:H1236)</f>
        <v>0</v>
      </c>
      <c r="I1237" s="1337">
        <f t="shared" si="772"/>
        <v>0</v>
      </c>
      <c r="J1237" s="1337">
        <f t="shared" ref="J1237:L1237" si="773">+SUM(J1230:J1236)</f>
        <v>24.96</v>
      </c>
      <c r="K1237" s="1337">
        <f t="shared" si="773"/>
        <v>0</v>
      </c>
      <c r="L1237" s="1337">
        <f t="shared" si="773"/>
        <v>1034.1199999999999</v>
      </c>
      <c r="M1237" s="59">
        <f>IFERROR(R1237/$S$2,"")</f>
        <v>22.313333333333333</v>
      </c>
      <c r="N1237" s="366">
        <f>IFERROR((L1237/M1237),"")</f>
        <v>46.345383925903789</v>
      </c>
      <c r="O1237" s="59">
        <f>IFERROR(SUMIF(ETM!$A:$A,$Q1237,ETM!$E:$E),"")</f>
        <v>30.666666666666664</v>
      </c>
      <c r="P1237" s="880">
        <f>IFERROR(L1237/O1237,0)</f>
        <v>33.721304347826084</v>
      </c>
      <c r="Q1237" s="795" t="s">
        <v>838</v>
      </c>
      <c r="R1237" s="785">
        <f>IFERROR(VLOOKUP($Q1237,'391'!$S:$Z,8,0),"")</f>
        <v>133.88</v>
      </c>
      <c r="S1237" s="796"/>
      <c r="T1237" s="797"/>
      <c r="U1237" s="797"/>
      <c r="V1237" s="797"/>
      <c r="W1237" s="785">
        <f>IFERROR(VLOOKUP($Q1237,'391'!$S:$AG,15,0),0)</f>
        <v>1059.08</v>
      </c>
      <c r="X1237" s="1090">
        <f t="shared" si="760"/>
        <v>0</v>
      </c>
      <c r="Y1237" s="785"/>
      <c r="Z1237" s="785"/>
      <c r="AA1237" s="797"/>
      <c r="AB1237" s="797"/>
      <c r="AC1237" s="551"/>
      <c r="AD1237" s="551"/>
      <c r="AE1237" s="551"/>
      <c r="AF1237" s="551"/>
      <c r="AG1237" s="551"/>
      <c r="AH1237" s="551"/>
      <c r="AI1237" s="704"/>
      <c r="AJ1237" s="704"/>
      <c r="AK1237" s="704"/>
      <c r="AL1237" s="704"/>
      <c r="AM1237" s="704"/>
      <c r="AN1237" s="704"/>
      <c r="AO1237" s="704"/>
      <c r="AP1237" s="704"/>
      <c r="AQ1237" s="704"/>
      <c r="AR1237" s="704"/>
      <c r="AS1237" s="704"/>
    </row>
    <row r="1238" spans="1:45" s="265" customFormat="1" ht="30" hidden="1" customHeight="1" x14ac:dyDescent="0.25">
      <c r="A1238" s="2027" t="str">
        <f>IF(L1241=0,"",MAX($A$16:A1237)+1)</f>
        <v/>
      </c>
      <c r="B1238" s="2043" t="s">
        <v>1626</v>
      </c>
      <c r="C1238" s="160"/>
      <c r="D1238" s="936" t="s">
        <v>10</v>
      </c>
      <c r="E1238" s="882">
        <v>44148</v>
      </c>
      <c r="F1238" s="71">
        <f>$L$7-E1238</f>
        <v>2138</v>
      </c>
      <c r="G1238" s="64">
        <v>0</v>
      </c>
      <c r="H1238" s="1332"/>
      <c r="I1238" s="1332"/>
      <c r="J1238" s="1418"/>
      <c r="K1238" s="1410"/>
      <c r="L1238" s="1533">
        <f t="shared" ref="L1238:L1248" si="774">+G1238+H1238+I1238-J1238-K1238</f>
        <v>0</v>
      </c>
      <c r="M1238" s="50"/>
      <c r="N1238" s="167"/>
      <c r="O1238" s="1452"/>
      <c r="P1238" s="1479"/>
      <c r="Q1238" s="795"/>
      <c r="R1238" s="785">
        <f>IFERROR(VLOOKUP($Q1238,'391'!$S:$Z,8,0),"")</f>
        <v>0</v>
      </c>
      <c r="S1238" s="796"/>
      <c r="T1238" s="797"/>
      <c r="U1238" s="797"/>
      <c r="V1238" s="797"/>
      <c r="W1238" s="785">
        <f>IFERROR(VLOOKUP($Q1238,'391'!$S:$AG,15,0),0)</f>
        <v>0</v>
      </c>
      <c r="X1238" s="1090">
        <f t="shared" si="760"/>
        <v>0</v>
      </c>
      <c r="Y1238" s="785"/>
      <c r="Z1238" s="785"/>
      <c r="AA1238" s="797"/>
      <c r="AB1238" s="797"/>
      <c r="AC1238" s="551"/>
      <c r="AD1238" s="551"/>
      <c r="AE1238" s="551"/>
      <c r="AF1238" s="551"/>
      <c r="AG1238" s="551"/>
      <c r="AH1238" s="551"/>
      <c r="AI1238" s="704"/>
      <c r="AJ1238" s="704"/>
      <c r="AK1238" s="704"/>
      <c r="AL1238" s="704"/>
      <c r="AM1238" s="704"/>
      <c r="AN1238" s="704"/>
      <c r="AO1238" s="704"/>
      <c r="AP1238" s="704"/>
      <c r="AQ1238" s="704"/>
      <c r="AR1238" s="704"/>
      <c r="AS1238" s="704"/>
    </row>
    <row r="1239" spans="1:45" s="265" customFormat="1" ht="30" hidden="1" customHeight="1" x14ac:dyDescent="0.25">
      <c r="A1239" s="2028"/>
      <c r="B1239" s="2065"/>
      <c r="C1239" s="160"/>
      <c r="D1239" s="936" t="s">
        <v>10</v>
      </c>
      <c r="E1239" s="882">
        <v>45870</v>
      </c>
      <c r="F1239" s="71">
        <f>$L$7-E1239</f>
        <v>416</v>
      </c>
      <c r="G1239" s="64">
        <v>0</v>
      </c>
      <c r="H1239" s="64"/>
      <c r="I1239" s="64"/>
      <c r="J1239" s="1367"/>
      <c r="K1239" s="1410"/>
      <c r="L1239" s="1533">
        <f t="shared" si="774"/>
        <v>0</v>
      </c>
      <c r="M1239" s="1453"/>
      <c r="N1239" s="1460"/>
      <c r="O1239" s="1453"/>
      <c r="P1239" s="1480"/>
      <c r="Q1239" s="795"/>
      <c r="R1239" s="785">
        <f>IFERROR(VLOOKUP($Q1239,'391'!$S:$Z,8,0),"")</f>
        <v>0</v>
      </c>
      <c r="S1239" s="796"/>
      <c r="T1239" s="797" t="str">
        <f>$Q$1241&amp;C1239&amp;E1239</f>
        <v>Rovimix E-50 Adsorbate(Switzerland)45870</v>
      </c>
      <c r="U1239" s="797"/>
      <c r="V1239" s="797"/>
      <c r="W1239" s="785">
        <f>IFERROR(VLOOKUP($Q1239,'391'!$S:$AG,15,0),0)</f>
        <v>0</v>
      </c>
      <c r="X1239" s="1090">
        <f t="shared" si="760"/>
        <v>0</v>
      </c>
      <c r="Y1239" s="785"/>
      <c r="Z1239" s="785"/>
      <c r="AA1239" s="797"/>
      <c r="AB1239" s="797"/>
      <c r="AC1239" s="551"/>
      <c r="AD1239" s="551"/>
      <c r="AE1239" s="551"/>
      <c r="AF1239" s="551"/>
      <c r="AG1239" s="551"/>
      <c r="AH1239" s="551"/>
      <c r="AI1239" s="704"/>
      <c r="AJ1239" s="704"/>
      <c r="AK1239" s="704"/>
      <c r="AL1239" s="704"/>
      <c r="AM1239" s="704"/>
      <c r="AN1239" s="704"/>
      <c r="AO1239" s="704"/>
      <c r="AP1239" s="704"/>
      <c r="AQ1239" s="704"/>
      <c r="AR1239" s="704"/>
      <c r="AS1239" s="704"/>
    </row>
    <row r="1240" spans="1:45" s="418" customFormat="1" ht="30" hidden="1" customHeight="1" x14ac:dyDescent="0.25">
      <c r="A1240" s="2029"/>
      <c r="B1240" s="2044"/>
      <c r="C1240" s="108" t="s">
        <v>76</v>
      </c>
      <c r="D1240" s="863" t="s">
        <v>10</v>
      </c>
      <c r="E1240" s="886">
        <v>45870</v>
      </c>
      <c r="F1240" s="39">
        <f>$L$7-E1240</f>
        <v>416</v>
      </c>
      <c r="G1240" s="37">
        <v>0</v>
      </c>
      <c r="H1240" s="37"/>
      <c r="I1240" s="56">
        <f>SUM(K1238:K1239)</f>
        <v>0</v>
      </c>
      <c r="J1240" s="1369"/>
      <c r="K1240" s="56"/>
      <c r="L1240" s="1533">
        <f t="shared" si="774"/>
        <v>0</v>
      </c>
      <c r="M1240" s="1453"/>
      <c r="N1240" s="1460"/>
      <c r="O1240" s="1453"/>
      <c r="P1240" s="1480"/>
      <c r="Q1240" s="795"/>
      <c r="R1240" s="785">
        <f>IFERROR(VLOOKUP($Q1240,'391'!$S:$Z,8,0),"")</f>
        <v>0</v>
      </c>
      <c r="S1240" s="796"/>
      <c r="T1240" s="797"/>
      <c r="U1240" s="797"/>
      <c r="V1240" s="797"/>
      <c r="W1240" s="785">
        <f>IFERROR(VLOOKUP($Q1240,'391'!$S:$AG,15,0),0)</f>
        <v>0</v>
      </c>
      <c r="X1240" s="1090">
        <f t="shared" si="760"/>
        <v>0</v>
      </c>
      <c r="Y1240" s="785"/>
      <c r="Z1240" s="785"/>
      <c r="AA1240" s="797"/>
      <c r="AB1240" s="797"/>
      <c r="AC1240" s="551"/>
      <c r="AD1240" s="551"/>
      <c r="AE1240" s="551"/>
      <c r="AF1240" s="551"/>
      <c r="AG1240" s="551"/>
      <c r="AH1240" s="551"/>
      <c r="AI1240" s="704"/>
      <c r="AJ1240" s="704"/>
      <c r="AK1240" s="704"/>
      <c r="AL1240" s="704"/>
      <c r="AM1240" s="704"/>
      <c r="AN1240" s="704"/>
      <c r="AO1240" s="704"/>
      <c r="AP1240" s="704"/>
      <c r="AQ1240" s="704"/>
      <c r="AR1240" s="704"/>
      <c r="AS1240" s="704"/>
    </row>
    <row r="1241" spans="1:45" s="265" customFormat="1" ht="30" hidden="1" customHeight="1" x14ac:dyDescent="0.25">
      <c r="A1241" s="184"/>
      <c r="B1241" s="184" t="s">
        <v>1627</v>
      </c>
      <c r="C1241" s="575"/>
      <c r="D1241" s="900"/>
      <c r="E1241" s="901"/>
      <c r="F1241" s="902"/>
      <c r="G1241" s="1337">
        <v>0</v>
      </c>
      <c r="H1241" s="1337">
        <f t="shared" ref="H1241:L1241" si="775">+SUM(H1238:H1240)</f>
        <v>0</v>
      </c>
      <c r="I1241" s="1337">
        <f t="shared" si="775"/>
        <v>0</v>
      </c>
      <c r="J1241" s="1337">
        <f>+SUM(J1238:J1240)</f>
        <v>0</v>
      </c>
      <c r="K1241" s="1337">
        <f t="shared" si="775"/>
        <v>0</v>
      </c>
      <c r="L1241" s="1337">
        <f t="shared" si="775"/>
        <v>0</v>
      </c>
      <c r="M1241" s="59" t="str">
        <f>IFERROR(R1241/$S$2,"")</f>
        <v/>
      </c>
      <c r="N1241" s="366">
        <f>IFERROR(L1241/M1241,0)</f>
        <v>0</v>
      </c>
      <c r="O1241" s="59">
        <f>IFERROR(SUMIF(ETM!$A:$A,$Q1241,ETM!$E:$E),"")</f>
        <v>0</v>
      </c>
      <c r="P1241" s="880">
        <f>IFERROR(L1241/O1241,0)</f>
        <v>0</v>
      </c>
      <c r="Q1241" s="795" t="s">
        <v>1628</v>
      </c>
      <c r="R1241" s="785" t="str">
        <f>IFERROR(VLOOKUP($Q1241,'391'!$S:$Z,8,0),"")</f>
        <v/>
      </c>
      <c r="S1241" s="796"/>
      <c r="T1241" s="797"/>
      <c r="U1241" s="797"/>
      <c r="V1241" s="797"/>
      <c r="W1241" s="785">
        <f>IFERROR(VLOOKUP($Q1241,'391'!$S:$AG,15,0),0)</f>
        <v>0</v>
      </c>
      <c r="X1241" s="1090">
        <f t="shared" si="760"/>
        <v>0</v>
      </c>
      <c r="Y1241" s="785"/>
      <c r="Z1241" s="785"/>
      <c r="AA1241" s="797"/>
      <c r="AB1241" s="797"/>
      <c r="AC1241" s="551"/>
      <c r="AD1241" s="551"/>
      <c r="AE1241" s="551"/>
      <c r="AF1241" s="551"/>
      <c r="AG1241" s="551"/>
      <c r="AH1241" s="551"/>
      <c r="AI1241" s="704"/>
      <c r="AJ1241" s="704"/>
      <c r="AK1241" s="704"/>
      <c r="AL1241" s="704"/>
      <c r="AM1241" s="704"/>
      <c r="AN1241" s="704"/>
      <c r="AO1241" s="704"/>
      <c r="AP1241" s="704"/>
      <c r="AQ1241" s="704"/>
      <c r="AR1241" s="704"/>
      <c r="AS1241" s="704"/>
    </row>
    <row r="1242" spans="1:45" s="265" customFormat="1" ht="30" hidden="1" customHeight="1" x14ac:dyDescent="0.25">
      <c r="A1242" s="2027">
        <f>IF(L1249=0,"",MAX($A$16:A1241)+1)</f>
        <v>82</v>
      </c>
      <c r="B1242" s="2043" t="s">
        <v>1594</v>
      </c>
      <c r="C1242" s="127"/>
      <c r="D1242" s="881" t="s">
        <v>10</v>
      </c>
      <c r="E1242" s="882">
        <v>44764</v>
      </c>
      <c r="F1242" s="71">
        <f t="shared" ref="F1242:F1248" si="776">$L$7-E1242</f>
        <v>1522</v>
      </c>
      <c r="G1242" s="64">
        <v>0</v>
      </c>
      <c r="H1242" s="64"/>
      <c r="I1242" s="64"/>
      <c r="J1242" s="1367"/>
      <c r="K1242" s="64">
        <f>IFERROR(SUMIF(INTAKE!$A:$A,$T1242,INTAKE!$P:$P),0)</f>
        <v>0</v>
      </c>
      <c r="L1242" s="1533">
        <f t="shared" si="774"/>
        <v>0</v>
      </c>
      <c r="M1242" s="50"/>
      <c r="N1242" s="50"/>
      <c r="O1242" s="50"/>
      <c r="P1242" s="744"/>
      <c r="Q1242" s="795"/>
      <c r="R1242" s="785">
        <f>IFERROR(VLOOKUP($Q1242,'391'!$S:$Z,8,0),"")</f>
        <v>0</v>
      </c>
      <c r="S1242" s="796"/>
      <c r="T1242" s="797" t="str">
        <f t="shared" ref="T1242:T1248" si="777">$Q$1249&amp;C1242&amp;E1242</f>
        <v>Zambac (Viet Nam)44764</v>
      </c>
      <c r="U1242" s="797"/>
      <c r="V1242" s="797"/>
      <c r="W1242" s="785">
        <f>IFERROR(VLOOKUP($Q1242,'391'!$S:$AG,15,0),0)</f>
        <v>0</v>
      </c>
      <c r="X1242" s="1090">
        <f t="shared" si="760"/>
        <v>0</v>
      </c>
      <c r="Y1242" s="785"/>
      <c r="Z1242" s="785"/>
      <c r="AA1242" s="797"/>
      <c r="AB1242" s="797"/>
      <c r="AC1242" s="551"/>
      <c r="AD1242" s="551"/>
      <c r="AE1242" s="551"/>
      <c r="AF1242" s="551"/>
      <c r="AG1242" s="551"/>
      <c r="AH1242" s="551"/>
      <c r="AI1242" s="704"/>
      <c r="AJ1242" s="704"/>
      <c r="AK1242" s="704"/>
      <c r="AL1242" s="704"/>
      <c r="AM1242" s="704"/>
      <c r="AN1242" s="704"/>
      <c r="AO1242" s="704"/>
      <c r="AP1242" s="704"/>
      <c r="AQ1242" s="704"/>
      <c r="AR1242" s="704"/>
      <c r="AS1242" s="704"/>
    </row>
    <row r="1243" spans="1:45" s="265" customFormat="1" ht="30" hidden="1" customHeight="1" x14ac:dyDescent="0.25">
      <c r="A1243" s="2028"/>
      <c r="B1243" s="2065"/>
      <c r="C1243" s="127"/>
      <c r="D1243" s="881" t="s">
        <v>10</v>
      </c>
      <c r="E1243" s="882">
        <v>44837</v>
      </c>
      <c r="F1243" s="71">
        <f t="shared" si="776"/>
        <v>1449</v>
      </c>
      <c r="G1243" s="64">
        <v>0</v>
      </c>
      <c r="H1243" s="64"/>
      <c r="I1243" s="64"/>
      <c r="J1243" s="1367"/>
      <c r="K1243" s="64">
        <f>IFERROR(SUMIF(INTAKE!$A:$A,$T1243,INTAKE!$P:$P),0)</f>
        <v>0</v>
      </c>
      <c r="L1243" s="1533">
        <f t="shared" si="774"/>
        <v>0</v>
      </c>
      <c r="M1243" s="48"/>
      <c r="N1243" s="48"/>
      <c r="O1243" s="48"/>
      <c r="P1243" s="738"/>
      <c r="Q1243" s="795"/>
      <c r="R1243" s="785">
        <f>IFERROR(VLOOKUP($Q1243,'391'!$S:$Z,8,0),"")</f>
        <v>0</v>
      </c>
      <c r="S1243" s="796"/>
      <c r="T1243" s="797" t="str">
        <f t="shared" si="777"/>
        <v>Zambac (Viet Nam)44837</v>
      </c>
      <c r="U1243" s="797"/>
      <c r="V1243" s="797"/>
      <c r="W1243" s="785">
        <f>IFERROR(VLOOKUP($Q1243,'391'!$S:$AG,15,0),0)</f>
        <v>0</v>
      </c>
      <c r="X1243" s="1090">
        <f t="shared" si="760"/>
        <v>0</v>
      </c>
      <c r="Y1243" s="785"/>
      <c r="Z1243" s="785"/>
      <c r="AA1243" s="797"/>
      <c r="AB1243" s="797"/>
      <c r="AC1243" s="551"/>
      <c r="AD1243" s="551"/>
      <c r="AE1243" s="551"/>
      <c r="AF1243" s="551"/>
      <c r="AG1243" s="551"/>
      <c r="AH1243" s="551"/>
      <c r="AI1243" s="704"/>
      <c r="AJ1243" s="704"/>
      <c r="AK1243" s="704"/>
      <c r="AL1243" s="704"/>
      <c r="AM1243" s="704"/>
      <c r="AN1243" s="704"/>
      <c r="AO1243" s="704"/>
      <c r="AP1243" s="704"/>
      <c r="AQ1243" s="704"/>
      <c r="AR1243" s="704"/>
      <c r="AS1243" s="704"/>
    </row>
    <row r="1244" spans="1:45" s="265" customFormat="1" ht="30" hidden="1" customHeight="1" x14ac:dyDescent="0.25">
      <c r="A1244" s="2028"/>
      <c r="B1244" s="2065"/>
      <c r="C1244" s="127"/>
      <c r="D1244" s="881" t="s">
        <v>10</v>
      </c>
      <c r="E1244" s="882">
        <v>45444</v>
      </c>
      <c r="F1244" s="71">
        <f t="shared" si="776"/>
        <v>842</v>
      </c>
      <c r="G1244" s="64">
        <v>0</v>
      </c>
      <c r="H1244" s="64"/>
      <c r="I1244" s="64"/>
      <c r="J1244" s="1367"/>
      <c r="K1244" s="64">
        <f>IFERROR(SUMIF(INTAKE!$A:$A,$T1244,INTAKE!$P:$P),0)</f>
        <v>0</v>
      </c>
      <c r="L1244" s="1533">
        <f t="shared" si="774"/>
        <v>0</v>
      </c>
      <c r="M1244" s="48"/>
      <c r="N1244" s="48"/>
      <c r="O1244" s="48"/>
      <c r="P1244" s="738"/>
      <c r="Q1244" s="795"/>
      <c r="R1244" s="785">
        <f>IFERROR(VLOOKUP($Q1244,'391'!$S:$Z,8,0),"")</f>
        <v>0</v>
      </c>
      <c r="S1244" s="796"/>
      <c r="T1244" s="797" t="str">
        <f t="shared" si="777"/>
        <v>Zambac (Viet Nam)45444</v>
      </c>
      <c r="U1244" s="797"/>
      <c r="V1244" s="797"/>
      <c r="W1244" s="785">
        <f>IFERROR(VLOOKUP($Q1244,'391'!$S:$AG,15,0),0)</f>
        <v>0</v>
      </c>
      <c r="X1244" s="1090">
        <f t="shared" si="760"/>
        <v>0</v>
      </c>
      <c r="Y1244" s="785"/>
      <c r="Z1244" s="785"/>
      <c r="AA1244" s="797"/>
      <c r="AB1244" s="797"/>
      <c r="AC1244" s="551"/>
      <c r="AD1244" s="551"/>
      <c r="AE1244" s="551"/>
      <c r="AF1244" s="551"/>
      <c r="AG1244" s="551"/>
      <c r="AH1244" s="551"/>
      <c r="AI1244" s="704"/>
      <c r="AJ1244" s="704"/>
      <c r="AK1244" s="704"/>
      <c r="AL1244" s="704"/>
      <c r="AM1244" s="704"/>
      <c r="AN1244" s="704"/>
      <c r="AO1244" s="704"/>
      <c r="AP1244" s="704"/>
      <c r="AQ1244" s="704"/>
      <c r="AR1244" s="704"/>
      <c r="AS1244" s="704"/>
    </row>
    <row r="1245" spans="1:45" s="265" customFormat="1" ht="30" hidden="1" customHeight="1" x14ac:dyDescent="0.25">
      <c r="A1245" s="2028"/>
      <c r="B1245" s="2065"/>
      <c r="C1245" s="127"/>
      <c r="D1245" s="881" t="s">
        <v>10</v>
      </c>
      <c r="E1245" s="882">
        <v>45801</v>
      </c>
      <c r="F1245" s="71">
        <f t="shared" ref="F1245:F1246" si="778">$L$7-E1245</f>
        <v>485</v>
      </c>
      <c r="G1245" s="64">
        <v>0</v>
      </c>
      <c r="H1245" s="64"/>
      <c r="I1245" s="64"/>
      <c r="J1245" s="1367"/>
      <c r="K1245" s="1348">
        <f>IFERROR(SUMIF(INTAKE!$A:$A,$T1245,INTAKE!$P:$P),0)</f>
        <v>0</v>
      </c>
      <c r="L1245" s="1702">
        <f t="shared" si="774"/>
        <v>0</v>
      </c>
      <c r="M1245" s="48"/>
      <c r="N1245" s="48"/>
      <c r="O1245" s="48"/>
      <c r="P1245" s="738"/>
      <c r="Q1245" s="795"/>
      <c r="R1245" s="785">
        <f>IFERROR(VLOOKUP($Q1245,'391'!$S:$Z,8,0),"")</f>
        <v>0</v>
      </c>
      <c r="S1245" s="796"/>
      <c r="T1245" s="797" t="str">
        <f t="shared" si="777"/>
        <v>Zambac (Viet Nam)45801</v>
      </c>
      <c r="U1245" s="797"/>
      <c r="V1245" s="797"/>
      <c r="W1245" s="785">
        <f>IFERROR(VLOOKUP($Q1245,'391'!$S:$AG,15,0),0)</f>
        <v>0</v>
      </c>
      <c r="X1245" s="1090">
        <f t="shared" si="760"/>
        <v>0</v>
      </c>
      <c r="Y1245" s="785"/>
      <c r="Z1245" s="785"/>
      <c r="AA1245" s="797"/>
      <c r="AB1245" s="797"/>
      <c r="AC1245" s="551"/>
      <c r="AD1245" s="551"/>
      <c r="AE1245" s="551"/>
      <c r="AF1245" s="551"/>
      <c r="AG1245" s="551"/>
      <c r="AH1245" s="551"/>
      <c r="AI1245" s="704"/>
      <c r="AJ1245" s="704"/>
      <c r="AK1245" s="704"/>
      <c r="AL1245" s="704"/>
      <c r="AM1245" s="704"/>
      <c r="AN1245" s="704"/>
      <c r="AO1245" s="704"/>
      <c r="AP1245" s="704"/>
      <c r="AQ1245" s="704"/>
      <c r="AR1245" s="704"/>
      <c r="AS1245" s="704"/>
    </row>
    <row r="1246" spans="1:45" s="265" customFormat="1" ht="30" customHeight="1" x14ac:dyDescent="0.25">
      <c r="A1246" s="2028"/>
      <c r="B1246" s="2065"/>
      <c r="C1246" s="127" t="s">
        <v>1313</v>
      </c>
      <c r="D1246" s="881" t="s">
        <v>10</v>
      </c>
      <c r="E1246" s="882">
        <v>46127</v>
      </c>
      <c r="F1246" s="71">
        <f t="shared" si="778"/>
        <v>159</v>
      </c>
      <c r="G1246" s="64">
        <v>125</v>
      </c>
      <c r="H1246" s="64"/>
      <c r="I1246" s="64"/>
      <c r="J1246" s="1367"/>
      <c r="K1246" s="1348">
        <f>IFERROR(SUMIF(INTAKE!$A:$A,$T1246,INTAKE!$P:$P),0)</f>
        <v>0</v>
      </c>
      <c r="L1246" s="1702">
        <f t="shared" si="774"/>
        <v>125</v>
      </c>
      <c r="M1246" s="48"/>
      <c r="N1246" s="48"/>
      <c r="O1246" s="48"/>
      <c r="P1246" s="738"/>
      <c r="Q1246" s="666" t="s">
        <v>862</v>
      </c>
      <c r="R1246" s="785" t="str">
        <f>IFERROR(VLOOKUP($Q1246,'391'!$S:$Z,8,0),"")</f>
        <v/>
      </c>
      <c r="S1246" s="796"/>
      <c r="T1246" s="797" t="str">
        <f>$Q$1249&amp;C1246&amp;E1246</f>
        <v>Zambac (Viet Nam)E246127</v>
      </c>
      <c r="U1246" s="797"/>
      <c r="V1246" s="797"/>
      <c r="W1246" s="785">
        <f>IFERROR(VLOOKUP($Q1246,'391'!$S:$AG,15,0),0)</f>
        <v>0</v>
      </c>
      <c r="X1246" s="1090">
        <f t="shared" si="760"/>
        <v>125</v>
      </c>
      <c r="Y1246" s="785"/>
      <c r="Z1246" s="785"/>
      <c r="AA1246" s="797"/>
      <c r="AB1246" s="797"/>
      <c r="AC1246" s="551"/>
      <c r="AD1246" s="551"/>
      <c r="AE1246" s="551"/>
      <c r="AF1246" s="551"/>
      <c r="AG1246" s="551"/>
      <c r="AH1246" s="551"/>
      <c r="AI1246" s="704"/>
      <c r="AJ1246" s="704"/>
      <c r="AK1246" s="704"/>
      <c r="AL1246" s="704"/>
      <c r="AM1246" s="704"/>
      <c r="AN1246" s="704"/>
      <c r="AO1246" s="704"/>
      <c r="AP1246" s="704"/>
      <c r="AQ1246" s="704"/>
      <c r="AR1246" s="704"/>
      <c r="AS1246" s="704"/>
    </row>
    <row r="1247" spans="1:45" s="265" customFormat="1" ht="29.25" hidden="1" customHeight="1" x14ac:dyDescent="0.25">
      <c r="A1247" s="2028"/>
      <c r="B1247" s="2065"/>
      <c r="C1247" s="127"/>
      <c r="D1247" s="881" t="s">
        <v>10</v>
      </c>
      <c r="E1247" s="882">
        <v>46127</v>
      </c>
      <c r="F1247" s="71">
        <f t="shared" si="776"/>
        <v>159</v>
      </c>
      <c r="G1247" s="64">
        <v>0</v>
      </c>
      <c r="H1247" s="64"/>
      <c r="I1247" s="64"/>
      <c r="J1247" s="1367"/>
      <c r="K1247" s="64">
        <f>IFERROR(SUMIF(INTAKE!$A:$A,$T1247,INTAKE!$P:$P),0)</f>
        <v>0</v>
      </c>
      <c r="L1247" s="1702">
        <f t="shared" si="774"/>
        <v>0</v>
      </c>
      <c r="M1247" s="48"/>
      <c r="N1247" s="48"/>
      <c r="O1247" s="48"/>
      <c r="P1247" s="738"/>
      <c r="Q1247" s="795"/>
      <c r="R1247" s="785">
        <f>IFERROR(VLOOKUP($Q1247,'391'!$S:$Z,8,0),"")</f>
        <v>0</v>
      </c>
      <c r="S1247" s="796"/>
      <c r="T1247" s="797" t="str">
        <f t="shared" si="777"/>
        <v>Zambac (Viet Nam)46127</v>
      </c>
      <c r="U1247" s="797"/>
      <c r="V1247" s="797"/>
      <c r="W1247" s="785">
        <f>IFERROR(VLOOKUP($Q1247,'391'!$S:$AG,15,0),0)</f>
        <v>0</v>
      </c>
      <c r="X1247" s="1090">
        <f t="shared" si="760"/>
        <v>0</v>
      </c>
      <c r="Y1247" s="785"/>
      <c r="Z1247" s="785"/>
      <c r="AA1247" s="797"/>
      <c r="AB1247" s="797"/>
      <c r="AC1247" s="551"/>
      <c r="AD1247" s="551"/>
      <c r="AE1247" s="551"/>
      <c r="AF1247" s="551"/>
      <c r="AG1247" s="551"/>
      <c r="AH1247" s="551"/>
      <c r="AI1247" s="704"/>
      <c r="AJ1247" s="704"/>
      <c r="AK1247" s="704"/>
      <c r="AL1247" s="704"/>
      <c r="AM1247" s="704"/>
      <c r="AN1247" s="704"/>
      <c r="AO1247" s="704"/>
      <c r="AP1247" s="704"/>
      <c r="AQ1247" s="704"/>
      <c r="AR1247" s="704"/>
      <c r="AS1247" s="704"/>
    </row>
    <row r="1248" spans="1:45" s="265" customFormat="1" ht="30" customHeight="1" x14ac:dyDescent="0.25">
      <c r="A1248" s="2029"/>
      <c r="B1248" s="2044"/>
      <c r="C1248" s="108" t="s">
        <v>46</v>
      </c>
      <c r="D1248" s="863" t="s">
        <v>10</v>
      </c>
      <c r="E1248" s="886">
        <v>46127</v>
      </c>
      <c r="F1248" s="39">
        <f t="shared" si="776"/>
        <v>159</v>
      </c>
      <c r="G1248" s="37">
        <v>9.9</v>
      </c>
      <c r="H1248" s="37"/>
      <c r="I1248" s="37">
        <f>+SUM(K1242:K1247)</f>
        <v>0</v>
      </c>
      <c r="J1248" s="1385">
        <f>+usage!I134</f>
        <v>0</v>
      </c>
      <c r="K1248" s="64">
        <f>IFERROR(SUMIF(INTAKE!$A:$A,$T1248,INTAKE!$P:$P),0)</f>
        <v>0</v>
      </c>
      <c r="L1248" s="1533">
        <f t="shared" si="774"/>
        <v>9.9</v>
      </c>
      <c r="M1248" s="35"/>
      <c r="N1248" s="35"/>
      <c r="O1248" s="35"/>
      <c r="P1248" s="740"/>
      <c r="Q1248" s="666" t="s">
        <v>922</v>
      </c>
      <c r="R1248" s="785" t="str">
        <f>IFERROR(VLOOKUP($Q1248,'391'!$S:$Z,8,0),"0")</f>
        <v>0</v>
      </c>
      <c r="S1248" s="796"/>
      <c r="T1248" s="797" t="str">
        <f t="shared" si="777"/>
        <v>Zambac (Viet Nam)Feedmill46127</v>
      </c>
      <c r="U1248" s="797"/>
      <c r="V1248" s="797"/>
      <c r="W1248" s="785">
        <f>IFERROR(VLOOKUP($Q1248,'391'!$S:$AG,15,0),0)</f>
        <v>0</v>
      </c>
      <c r="X1248" s="1090">
        <f t="shared" si="760"/>
        <v>9.9</v>
      </c>
      <c r="Y1248" s="785"/>
      <c r="Z1248" s="785"/>
      <c r="AA1248" s="797"/>
      <c r="AB1248" s="797"/>
      <c r="AC1248" s="551"/>
      <c r="AD1248" s="551"/>
      <c r="AE1248" s="551"/>
      <c r="AF1248" s="551"/>
      <c r="AG1248" s="551"/>
      <c r="AH1248" s="551"/>
      <c r="AI1248" s="704"/>
      <c r="AJ1248" s="704"/>
      <c r="AK1248" s="704"/>
      <c r="AL1248" s="704"/>
      <c r="AM1248" s="704"/>
      <c r="AN1248" s="704"/>
      <c r="AO1248" s="704"/>
      <c r="AP1248" s="704"/>
      <c r="AQ1248" s="704"/>
      <c r="AR1248" s="704"/>
      <c r="AS1248" s="704"/>
    </row>
    <row r="1249" spans="1:45" s="265" customFormat="1" ht="30" customHeight="1" x14ac:dyDescent="0.25">
      <c r="A1249" s="184"/>
      <c r="B1249" s="184" t="s">
        <v>260</v>
      </c>
      <c r="C1249" s="575"/>
      <c r="D1249" s="900"/>
      <c r="E1249" s="901"/>
      <c r="F1249" s="902"/>
      <c r="G1249" s="1337">
        <v>134.9</v>
      </c>
      <c r="H1249" s="1337">
        <f t="shared" ref="H1249:J1249" si="779">+SUM(H1242:H1248)</f>
        <v>0</v>
      </c>
      <c r="I1249" s="1337">
        <f t="shared" si="779"/>
        <v>0</v>
      </c>
      <c r="J1249" s="1337">
        <f t="shared" si="779"/>
        <v>0</v>
      </c>
      <c r="K1249" s="1337">
        <f>+SUM(K1242:K1248)</f>
        <v>0</v>
      </c>
      <c r="L1249" s="1337">
        <f>+SUM(L1242:L1248)</f>
        <v>134.9</v>
      </c>
      <c r="M1249" s="59">
        <f>IFERROR(S1249/$S$2,"")</f>
        <v>0</v>
      </c>
      <c r="N1249" s="366">
        <f>IFERROR(L1249/M1249,0)</f>
        <v>0</v>
      </c>
      <c r="O1249" s="59">
        <f>IFERROR(SUMIF(ETM!$A:$A,$Q1249,ETM!$E:$E),"")</f>
        <v>0</v>
      </c>
      <c r="P1249" s="880">
        <f>IFERROR(L1249/O1249,0)</f>
        <v>0</v>
      </c>
      <c r="Q1249" s="795" t="s">
        <v>1593</v>
      </c>
      <c r="R1249" s="785">
        <f>IFERROR(VLOOKUP($Q1249,'391'!$S:$Z,8,0),"0")</f>
        <v>0</v>
      </c>
      <c r="S1249" s="796">
        <f>+R1248+R1249</f>
        <v>0</v>
      </c>
      <c r="T1249" s="797"/>
      <c r="U1249" s="797"/>
      <c r="V1249" s="797"/>
      <c r="W1249" s="785">
        <f>IFERROR(VLOOKUP($Q1249,'391'!$S:$AG,15,0),0)</f>
        <v>134.9</v>
      </c>
      <c r="X1249" s="1090">
        <f t="shared" si="760"/>
        <v>0</v>
      </c>
      <c r="Y1249" s="1088">
        <f>+W1248+W1249+W1246</f>
        <v>134.9</v>
      </c>
      <c r="Z1249" s="1101">
        <f>+G1249-Y1249</f>
        <v>0</v>
      </c>
      <c r="AA1249" s="797"/>
      <c r="AB1249" s="797"/>
      <c r="AC1249" s="551"/>
      <c r="AD1249" s="551"/>
      <c r="AE1249" s="551"/>
      <c r="AF1249" s="551"/>
      <c r="AG1249" s="551"/>
      <c r="AH1249" s="551"/>
      <c r="AI1249" s="704"/>
      <c r="AJ1249" s="704"/>
      <c r="AK1249" s="704"/>
      <c r="AL1249" s="704"/>
      <c r="AM1249" s="704"/>
      <c r="AN1249" s="704"/>
      <c r="AO1249" s="704"/>
      <c r="AP1249" s="704"/>
      <c r="AQ1249" s="704"/>
      <c r="AR1249" s="704"/>
      <c r="AS1249" s="704"/>
    </row>
    <row r="1250" spans="1:45" s="265" customFormat="1" ht="30" hidden="1" customHeight="1" x14ac:dyDescent="0.25">
      <c r="A1250" s="2027">
        <f>IF(L1254=0,"",MAX($A$16:A1249)+1)</f>
        <v>83</v>
      </c>
      <c r="B1250" s="2043" t="s">
        <v>1592</v>
      </c>
      <c r="C1250" s="114"/>
      <c r="D1250" s="866" t="s">
        <v>10</v>
      </c>
      <c r="E1250" s="867">
        <v>45859</v>
      </c>
      <c r="F1250" s="75">
        <f>$L$7-E1250</f>
        <v>427</v>
      </c>
      <c r="G1250" s="64">
        <v>0</v>
      </c>
      <c r="H1250" s="1358"/>
      <c r="I1250" s="1358"/>
      <c r="J1250" s="1411"/>
      <c r="K1250" s="1348">
        <f>IFERROR(SUMIF(INTAKE!$A:$A,$T1250,INTAKE!$P:$P),0)</f>
        <v>0</v>
      </c>
      <c r="L1250" s="1702">
        <f t="shared" ref="L1250:L1283" si="780">+G1250+H1250+I1250-J1250-K1250</f>
        <v>0</v>
      </c>
      <c r="M1250" s="253"/>
      <c r="N1250" s="336"/>
      <c r="O1250" s="48"/>
      <c r="P1250" s="738"/>
      <c r="Q1250" s="795"/>
      <c r="R1250" s="785">
        <f>IFERROR(VLOOKUP($Q1250,'391'!$S:$Z,8,0),"")</f>
        <v>0</v>
      </c>
      <c r="S1250" s="796"/>
      <c r="T1250" s="797" t="str">
        <f>Q1254&amp;C1250&amp;E1250</f>
        <v>GalliPro Tect (Czech Republic)45859</v>
      </c>
      <c r="U1250" s="797"/>
      <c r="V1250" s="797"/>
      <c r="W1250" s="785">
        <f>IFERROR(VLOOKUP($Q1250,'391'!$S:$AG,15,0),0)</f>
        <v>0</v>
      </c>
      <c r="X1250" s="1090">
        <f t="shared" si="760"/>
        <v>0</v>
      </c>
      <c r="Y1250" s="785"/>
      <c r="Z1250" s="785"/>
      <c r="AA1250" s="797"/>
      <c r="AB1250" s="797"/>
      <c r="AC1250" s="551"/>
      <c r="AD1250" s="551"/>
      <c r="AE1250" s="551"/>
      <c r="AF1250" s="551"/>
      <c r="AG1250" s="551"/>
      <c r="AH1250" s="551"/>
      <c r="AI1250" s="704"/>
      <c r="AJ1250" s="704"/>
      <c r="AK1250" s="704"/>
      <c r="AL1250" s="704"/>
      <c r="AM1250" s="704"/>
      <c r="AN1250" s="704"/>
      <c r="AO1250" s="704"/>
      <c r="AP1250" s="704"/>
      <c r="AQ1250" s="704"/>
      <c r="AR1250" s="704"/>
      <c r="AS1250" s="704"/>
    </row>
    <row r="1251" spans="1:45" s="265" customFormat="1" ht="30" customHeight="1" x14ac:dyDescent="0.25">
      <c r="A1251" s="2028"/>
      <c r="B1251" s="2065"/>
      <c r="C1251" s="114" t="s">
        <v>1868</v>
      </c>
      <c r="D1251" s="866" t="s">
        <v>10</v>
      </c>
      <c r="E1251" s="867">
        <v>46261</v>
      </c>
      <c r="F1251" s="75">
        <f>$L$7-E1251</f>
        <v>25</v>
      </c>
      <c r="G1251" s="64">
        <v>2000</v>
      </c>
      <c r="H1251" s="64"/>
      <c r="I1251" s="64"/>
      <c r="J1251" s="1367"/>
      <c r="K1251" s="64">
        <f>IFERROR(SUMIF(INTAKE!$A:$A,$T1251,INTAKE!$P:$P),0)</f>
        <v>0</v>
      </c>
      <c r="L1251" s="1702">
        <f t="shared" si="780"/>
        <v>2000</v>
      </c>
      <c r="M1251" s="1453"/>
      <c r="N1251" s="1460"/>
      <c r="O1251" s="48"/>
      <c r="P1251" s="738"/>
      <c r="Q1251" s="795"/>
      <c r="R1251" s="785">
        <f>IFERROR(VLOOKUP($Q1251,'391'!$S:$Z,8,0),"")</f>
        <v>0</v>
      </c>
      <c r="S1251" s="796"/>
      <c r="T1251" s="797" t="str">
        <f>$Q$1254&amp;C1251&amp;E1251</f>
        <v>GalliPro Tect (Czech Republic)D246261</v>
      </c>
      <c r="U1251" s="797"/>
      <c r="V1251" s="797"/>
      <c r="W1251" s="785">
        <f>IFERROR(VLOOKUP($Q1251,'391'!$S:$AG,15,0),0)</f>
        <v>0</v>
      </c>
      <c r="X1251" s="1090">
        <f t="shared" si="760"/>
        <v>2000</v>
      </c>
      <c r="Y1251" s="785"/>
      <c r="Z1251" s="785"/>
      <c r="AA1251" s="797"/>
      <c r="AB1251" s="797"/>
      <c r="AC1251" s="551"/>
      <c r="AD1251" s="551"/>
      <c r="AE1251" s="551"/>
      <c r="AF1251" s="551"/>
      <c r="AG1251" s="551"/>
      <c r="AH1251" s="551"/>
      <c r="AI1251" s="704"/>
      <c r="AJ1251" s="704"/>
      <c r="AK1251" s="704"/>
      <c r="AL1251" s="704"/>
      <c r="AM1251" s="704"/>
      <c r="AN1251" s="704"/>
      <c r="AO1251" s="704"/>
      <c r="AP1251" s="704"/>
      <c r="AQ1251" s="704"/>
      <c r="AR1251" s="704"/>
      <c r="AS1251" s="704"/>
    </row>
    <row r="1252" spans="1:45" s="265" customFormat="1" ht="30" hidden="1" customHeight="1" x14ac:dyDescent="0.25">
      <c r="A1252" s="2028"/>
      <c r="B1252" s="2065"/>
      <c r="C1252" s="114"/>
      <c r="D1252" s="866" t="s">
        <v>10</v>
      </c>
      <c r="E1252" s="867">
        <v>46225</v>
      </c>
      <c r="F1252" s="75">
        <f>$L$7-E1252</f>
        <v>61</v>
      </c>
      <c r="G1252" s="64">
        <v>0</v>
      </c>
      <c r="H1252" s="64"/>
      <c r="I1252" s="64"/>
      <c r="J1252" s="1367"/>
      <c r="K1252" s="64">
        <f>IFERROR(SUMIF(INTAKE!$A:$A,$T1252,INTAKE!$P:$P),0)</f>
        <v>0</v>
      </c>
      <c r="L1252" s="1702">
        <f t="shared" si="780"/>
        <v>0</v>
      </c>
      <c r="M1252" s="1453"/>
      <c r="N1252" s="1460"/>
      <c r="O1252" s="1859"/>
      <c r="P1252" s="1860"/>
      <c r="Q1252" s="795"/>
      <c r="R1252" s="785">
        <f>IFERROR(VLOOKUP($Q1252,'391'!$S:$Z,8,0),"")</f>
        <v>0</v>
      </c>
      <c r="S1252" s="796"/>
      <c r="T1252" s="797" t="str">
        <f>$Q$1254&amp;C1252&amp;E1252</f>
        <v>GalliPro Tect (Czech Republic)46225</v>
      </c>
      <c r="U1252" s="797"/>
      <c r="V1252" s="797"/>
      <c r="W1252" s="785">
        <f>IFERROR(VLOOKUP($Q1252,'391'!$S:$AG,15,0),0)</f>
        <v>0</v>
      </c>
      <c r="X1252" s="1090">
        <f t="shared" si="760"/>
        <v>0</v>
      </c>
      <c r="Y1252" s="785"/>
      <c r="Z1252" s="785"/>
      <c r="AA1252" s="797"/>
      <c r="AB1252" s="797"/>
      <c r="AC1252" s="551"/>
      <c r="AD1252" s="551"/>
      <c r="AE1252" s="551"/>
      <c r="AF1252" s="551"/>
      <c r="AG1252" s="551"/>
      <c r="AH1252" s="551"/>
      <c r="AI1252" s="704"/>
      <c r="AJ1252" s="704"/>
      <c r="AK1252" s="704"/>
      <c r="AL1252" s="704"/>
      <c r="AM1252" s="704"/>
      <c r="AN1252" s="704"/>
      <c r="AO1252" s="704"/>
      <c r="AP1252" s="704"/>
      <c r="AQ1252" s="704"/>
      <c r="AR1252" s="704"/>
      <c r="AS1252" s="704"/>
    </row>
    <row r="1253" spans="1:45" s="265" customFormat="1" ht="30" customHeight="1" x14ac:dyDescent="0.25">
      <c r="A1253" s="2029"/>
      <c r="B1253" s="2044"/>
      <c r="C1253" s="108" t="s">
        <v>76</v>
      </c>
      <c r="D1253" s="863" t="s">
        <v>10</v>
      </c>
      <c r="E1253" s="886">
        <v>46261</v>
      </c>
      <c r="F1253" s="39">
        <f>$L$7-E1253</f>
        <v>25</v>
      </c>
      <c r="G1253" s="37">
        <f>153.8+42.38</f>
        <v>196.18</v>
      </c>
      <c r="H1253" s="37"/>
      <c r="I1253" s="37">
        <f>+SUM(K1250:K1252)</f>
        <v>0</v>
      </c>
      <c r="J1253" s="1385">
        <f>usage!I71</f>
        <v>196.18</v>
      </c>
      <c r="K1253" s="37"/>
      <c r="L1253" s="1533">
        <f t="shared" si="780"/>
        <v>0</v>
      </c>
      <c r="M1253" s="1451"/>
      <c r="N1253" s="48"/>
      <c r="O1253" s="46"/>
      <c r="P1253" s="734"/>
      <c r="Q1253" s="795"/>
      <c r="R1253" s="785">
        <f>IFERROR(VLOOKUP($Q1253,'391'!$S:$Z,8,0),"")</f>
        <v>0</v>
      </c>
      <c r="S1253" s="796"/>
      <c r="T1253" s="797" t="str">
        <f t="shared" ref="T1253" si="781">Q1257&amp;C1253&amp;E1253</f>
        <v>Feedmil46261</v>
      </c>
      <c r="U1253" s="797"/>
      <c r="V1253" s="797"/>
      <c r="W1253" s="785">
        <f>IFERROR(VLOOKUP($Q1253,'391'!$S:$AG,15,0),0)</f>
        <v>0</v>
      </c>
      <c r="X1253" s="1090">
        <f t="shared" si="760"/>
        <v>196.18</v>
      </c>
      <c r="Y1253" s="785"/>
      <c r="Z1253" s="785"/>
      <c r="AA1253" s="797"/>
      <c r="AB1253" s="797"/>
      <c r="AC1253" s="551"/>
      <c r="AD1253" s="551"/>
      <c r="AE1253" s="551"/>
      <c r="AF1253" s="551"/>
      <c r="AG1253" s="551"/>
      <c r="AH1253" s="551"/>
      <c r="AI1253" s="704"/>
      <c r="AJ1253" s="704"/>
      <c r="AK1253" s="704"/>
      <c r="AL1253" s="704"/>
      <c r="AM1253" s="704"/>
      <c r="AN1253" s="704"/>
      <c r="AO1253" s="704"/>
      <c r="AP1253" s="704"/>
      <c r="AQ1253" s="704"/>
      <c r="AR1253" s="704"/>
      <c r="AS1253" s="704"/>
    </row>
    <row r="1254" spans="1:45" s="265" customFormat="1" ht="30" customHeight="1" x14ac:dyDescent="0.25">
      <c r="A1254" s="184"/>
      <c r="B1254" s="184" t="s">
        <v>288</v>
      </c>
      <c r="C1254" s="1012"/>
      <c r="D1254" s="900"/>
      <c r="E1254" s="901"/>
      <c r="F1254" s="902"/>
      <c r="G1254" s="1337">
        <f>+G1253+G1251</f>
        <v>2196.1799999999998</v>
      </c>
      <c r="H1254" s="1337">
        <f t="shared" ref="H1254:L1254" si="782">+SUM(H1250:H1253)</f>
        <v>0</v>
      </c>
      <c r="I1254" s="1337">
        <f t="shared" si="782"/>
        <v>0</v>
      </c>
      <c r="J1254" s="1337">
        <f t="shared" si="782"/>
        <v>196.18</v>
      </c>
      <c r="K1254" s="1337">
        <f t="shared" si="782"/>
        <v>0</v>
      </c>
      <c r="L1254" s="1337">
        <f t="shared" si="782"/>
        <v>2000</v>
      </c>
      <c r="M1254" s="59">
        <f>IFERROR(R1254/$S$2,"")</f>
        <v>112.69333333333333</v>
      </c>
      <c r="N1254" s="366">
        <f>IFERROR(L1254/M1254,0)</f>
        <v>17.747278750591576</v>
      </c>
      <c r="O1254" s="59">
        <f>IFERROR(SUMIF(ETM!$A:$A,$Q1254,ETM!$E:$E),"")</f>
        <v>127.83333333333333</v>
      </c>
      <c r="P1254" s="880">
        <f>IFERROR(L1254/O1254,0)</f>
        <v>15.645371577574968</v>
      </c>
      <c r="Q1254" s="666" t="s">
        <v>1595</v>
      </c>
      <c r="R1254" s="785">
        <f>IFERROR(VLOOKUP($Q1254,'391'!$S:$Z,8,0),"")</f>
        <v>676.16</v>
      </c>
      <c r="S1254" s="796"/>
      <c r="T1254" s="797"/>
      <c r="U1254" s="797"/>
      <c r="V1254" s="797"/>
      <c r="W1254" s="785">
        <f>IFERROR(VLOOKUP($Q1254,'391'!$S:$AG,15,0),0)</f>
        <v>2153.8000000000002</v>
      </c>
      <c r="X1254" s="1090">
        <f>G1254-W1254</f>
        <v>42.379999999999654</v>
      </c>
      <c r="Y1254" s="785"/>
      <c r="Z1254" s="785"/>
      <c r="AA1254" s="797"/>
      <c r="AB1254" s="797"/>
      <c r="AC1254" s="551"/>
      <c r="AD1254" s="551"/>
      <c r="AE1254" s="551"/>
      <c r="AF1254" s="551"/>
      <c r="AG1254" s="551"/>
      <c r="AH1254" s="551"/>
      <c r="AI1254" s="704"/>
      <c r="AJ1254" s="704"/>
      <c r="AK1254" s="704"/>
      <c r="AL1254" s="704"/>
      <c r="AM1254" s="704"/>
      <c r="AN1254" s="704"/>
      <c r="AO1254" s="704"/>
      <c r="AP1254" s="704"/>
      <c r="AQ1254" s="704"/>
      <c r="AR1254" s="704"/>
      <c r="AS1254" s="704"/>
    </row>
    <row r="1255" spans="1:45" s="265" customFormat="1" ht="30" hidden="1" customHeight="1" x14ac:dyDescent="0.25">
      <c r="A1255" s="2083" t="str">
        <f>IF(L1260=0,"",MAX($A$16:A1254)+1)</f>
        <v/>
      </c>
      <c r="B1255" s="2008" t="s">
        <v>529</v>
      </c>
      <c r="C1255" s="143" t="s">
        <v>1313</v>
      </c>
      <c r="D1255" s="881" t="s">
        <v>10</v>
      </c>
      <c r="E1255" s="882">
        <v>45295</v>
      </c>
      <c r="F1255" s="71">
        <f>$L$7-E1255</f>
        <v>991</v>
      </c>
      <c r="G1255" s="64">
        <v>0</v>
      </c>
      <c r="H1255" s="64"/>
      <c r="I1255" s="64"/>
      <c r="J1255" s="1367"/>
      <c r="K1255" s="64">
        <f>IFERROR(SUMIF(INTAKE!$A:$A,$T1255,INTAKE!$P:$P),0)</f>
        <v>0</v>
      </c>
      <c r="L1255" s="1533">
        <f t="shared" si="780"/>
        <v>0</v>
      </c>
      <c r="M1255" s="51"/>
      <c r="N1255" s="953"/>
      <c r="O1255" s="51"/>
      <c r="P1255" s="737"/>
      <c r="Q1255" s="795"/>
      <c r="R1255" s="785">
        <f>IFERROR(VLOOKUP($Q1255,'391'!$S:$Z,8,0),"")</f>
        <v>0</v>
      </c>
      <c r="S1255" s="796"/>
      <c r="T1255" s="797" t="str">
        <f>$Q$1260&amp;C1255&amp;E1255</f>
        <v>BioPlus YC (Czech Republic)E245295</v>
      </c>
      <c r="U1255" s="797"/>
      <c r="V1255" s="797"/>
      <c r="W1255" s="785">
        <f>IFERROR(VLOOKUP($Q1255,'391'!$S:$AG,15,0),0)</f>
        <v>0</v>
      </c>
      <c r="X1255" s="1090">
        <f t="shared" si="760"/>
        <v>0</v>
      </c>
      <c r="Y1255" s="785"/>
      <c r="Z1255" s="785"/>
      <c r="AA1255" s="797"/>
      <c r="AB1255" s="797"/>
      <c r="AC1255" s="551"/>
      <c r="AD1255" s="551"/>
      <c r="AE1255" s="551"/>
      <c r="AF1255" s="551"/>
      <c r="AG1255" s="551"/>
      <c r="AH1255" s="551"/>
      <c r="AI1255" s="704"/>
      <c r="AJ1255" s="704"/>
      <c r="AK1255" s="704"/>
      <c r="AL1255" s="704"/>
      <c r="AM1255" s="704"/>
      <c r="AN1255" s="704"/>
      <c r="AO1255" s="704"/>
      <c r="AP1255" s="704"/>
      <c r="AQ1255" s="704"/>
      <c r="AR1255" s="704"/>
      <c r="AS1255" s="704"/>
    </row>
    <row r="1256" spans="1:45" s="265" customFormat="1" ht="30" hidden="1" customHeight="1" x14ac:dyDescent="0.25">
      <c r="A1256" s="2084"/>
      <c r="B1256" s="2009"/>
      <c r="C1256" s="143"/>
      <c r="D1256" s="881" t="s">
        <v>10</v>
      </c>
      <c r="E1256" s="882">
        <v>45295</v>
      </c>
      <c r="F1256" s="71">
        <f>$L$7-E1256</f>
        <v>991</v>
      </c>
      <c r="G1256" s="64">
        <v>0</v>
      </c>
      <c r="H1256" s="64"/>
      <c r="I1256" s="64"/>
      <c r="J1256" s="1367"/>
      <c r="K1256" s="64">
        <f>IFERROR(SUMIF(INTAKE!$A:$A,$T1256,INTAKE!$P:$P),0)</f>
        <v>0</v>
      </c>
      <c r="L1256" s="1533">
        <f t="shared" si="780"/>
        <v>0</v>
      </c>
      <c r="M1256" s="48"/>
      <c r="N1256" s="163"/>
      <c r="O1256" s="48"/>
      <c r="P1256" s="738"/>
      <c r="Q1256" s="795"/>
      <c r="R1256" s="785">
        <f>IFERROR(VLOOKUP($Q1256,'391'!$S:$Z,8,0),"")</f>
        <v>0</v>
      </c>
      <c r="S1256" s="796"/>
      <c r="T1256" s="797" t="str">
        <f>$Q$1260&amp;C1256&amp;E1256</f>
        <v>BioPlus YC (Czech Republic)45295</v>
      </c>
      <c r="U1256" s="797"/>
      <c r="V1256" s="797"/>
      <c r="W1256" s="785">
        <f>IFERROR(VLOOKUP($Q1256,'391'!$S:$AG,15,0),0)</f>
        <v>0</v>
      </c>
      <c r="X1256" s="1090">
        <f t="shared" si="760"/>
        <v>0</v>
      </c>
      <c r="Y1256" s="785"/>
      <c r="Z1256" s="785"/>
      <c r="AA1256" s="797"/>
      <c r="AB1256" s="797"/>
      <c r="AC1256" s="551"/>
      <c r="AD1256" s="551"/>
      <c r="AE1256" s="551"/>
      <c r="AF1256" s="551"/>
      <c r="AG1256" s="551"/>
      <c r="AH1256" s="551"/>
      <c r="AI1256" s="704"/>
      <c r="AJ1256" s="704"/>
      <c r="AK1256" s="704"/>
      <c r="AL1256" s="704"/>
      <c r="AM1256" s="704"/>
      <c r="AN1256" s="704"/>
      <c r="AO1256" s="704"/>
      <c r="AP1256" s="704"/>
      <c r="AQ1256" s="704"/>
      <c r="AR1256" s="704"/>
      <c r="AS1256" s="704"/>
    </row>
    <row r="1257" spans="1:45" s="265" customFormat="1" ht="30" hidden="1" customHeight="1" x14ac:dyDescent="0.25">
      <c r="A1257" s="2084"/>
      <c r="B1257" s="2009"/>
      <c r="C1257" s="143"/>
      <c r="D1257" s="881" t="s">
        <v>10</v>
      </c>
      <c r="E1257" s="882">
        <v>45140</v>
      </c>
      <c r="F1257" s="71">
        <f>$L$7-E1257</f>
        <v>1146</v>
      </c>
      <c r="G1257" s="64">
        <v>0</v>
      </c>
      <c r="H1257" s="64"/>
      <c r="I1257" s="64"/>
      <c r="J1257" s="1367"/>
      <c r="K1257" s="64">
        <f>IFERROR(SUMIF(INTAKE!$A:$A,$T1257,INTAKE!$P:$P),0)</f>
        <v>0</v>
      </c>
      <c r="L1257" s="1533">
        <f t="shared" si="780"/>
        <v>0</v>
      </c>
      <c r="M1257" s="48"/>
      <c r="N1257" s="163"/>
      <c r="O1257" s="48"/>
      <c r="P1257" s="738"/>
      <c r="Q1257" s="795"/>
      <c r="R1257" s="785">
        <f>IFERROR(VLOOKUP($Q1257,'391'!$S:$Z,8,0),"")</f>
        <v>0</v>
      </c>
      <c r="S1257" s="796"/>
      <c r="T1257" s="797" t="str">
        <f>$Q$1260&amp;C1257&amp;E1257</f>
        <v>BioPlus YC (Czech Republic)45140</v>
      </c>
      <c r="U1257" s="797"/>
      <c r="V1257" s="797"/>
      <c r="W1257" s="785">
        <f>IFERROR(VLOOKUP($Q1257,'391'!$S:$AG,15,0),0)</f>
        <v>0</v>
      </c>
      <c r="X1257" s="1090">
        <f t="shared" si="760"/>
        <v>0</v>
      </c>
      <c r="Y1257" s="785"/>
      <c r="Z1257" s="785"/>
      <c r="AA1257" s="797"/>
      <c r="AB1257" s="797"/>
      <c r="AC1257" s="551"/>
      <c r="AD1257" s="551"/>
      <c r="AE1257" s="551"/>
      <c r="AF1257" s="551"/>
      <c r="AG1257" s="551"/>
      <c r="AH1257" s="551"/>
      <c r="AI1257" s="704"/>
      <c r="AJ1257" s="704"/>
      <c r="AK1257" s="704"/>
      <c r="AL1257" s="704"/>
      <c r="AM1257" s="704"/>
      <c r="AN1257" s="704"/>
      <c r="AO1257" s="704"/>
      <c r="AP1257" s="704"/>
      <c r="AQ1257" s="704"/>
      <c r="AR1257" s="704"/>
      <c r="AS1257" s="704"/>
    </row>
    <row r="1258" spans="1:45" s="265" customFormat="1" ht="30" hidden="1" customHeight="1" x14ac:dyDescent="0.25">
      <c r="A1258" s="2084"/>
      <c r="B1258" s="2009"/>
      <c r="C1258" s="143"/>
      <c r="D1258" s="881" t="s">
        <v>10</v>
      </c>
      <c r="E1258" s="882">
        <v>43167</v>
      </c>
      <c r="F1258" s="71">
        <f>$L$7-E1258</f>
        <v>3119</v>
      </c>
      <c r="G1258" s="64">
        <v>0</v>
      </c>
      <c r="H1258" s="64"/>
      <c r="I1258" s="64"/>
      <c r="J1258" s="1367"/>
      <c r="K1258" s="64">
        <f>IFERROR(SUMIF(INTAKE!$A:$A,$T1258,INTAKE!$P:$P),0)</f>
        <v>0</v>
      </c>
      <c r="L1258" s="1533">
        <f t="shared" si="780"/>
        <v>0</v>
      </c>
      <c r="M1258" s="44"/>
      <c r="N1258" s="163"/>
      <c r="O1258" s="44"/>
      <c r="P1258" s="735"/>
      <c r="Q1258" s="795"/>
      <c r="R1258" s="785">
        <f>IFERROR(VLOOKUP($Q1258,'391'!$S:$Z,8,0),"")</f>
        <v>0</v>
      </c>
      <c r="S1258" s="796"/>
      <c r="T1258" s="797" t="str">
        <f>$Q$1260&amp;C1258&amp;E1258</f>
        <v>BioPlus YC (Czech Republic)43167</v>
      </c>
      <c r="U1258" s="797"/>
      <c r="V1258" s="797"/>
      <c r="W1258" s="785">
        <f>IFERROR(VLOOKUP($Q1258,'391'!$S:$AG,15,0),0)</f>
        <v>0</v>
      </c>
      <c r="X1258" s="1090">
        <f t="shared" si="760"/>
        <v>0</v>
      </c>
      <c r="Y1258" s="785"/>
      <c r="Z1258" s="785"/>
      <c r="AA1258" s="797"/>
      <c r="AB1258" s="797"/>
      <c r="AC1258" s="551"/>
      <c r="AD1258" s="551"/>
      <c r="AE1258" s="551"/>
      <c r="AF1258" s="551"/>
      <c r="AG1258" s="551"/>
      <c r="AH1258" s="551"/>
      <c r="AI1258" s="704"/>
      <c r="AJ1258" s="704"/>
      <c r="AK1258" s="704"/>
      <c r="AL1258" s="704"/>
      <c r="AM1258" s="704"/>
      <c r="AN1258" s="704"/>
      <c r="AO1258" s="704"/>
      <c r="AP1258" s="704"/>
      <c r="AQ1258" s="704"/>
      <c r="AR1258" s="704"/>
      <c r="AS1258" s="704"/>
    </row>
    <row r="1259" spans="1:45" s="265" customFormat="1" ht="30" hidden="1" customHeight="1" x14ac:dyDescent="0.25">
      <c r="A1259" s="2085"/>
      <c r="B1259" s="2190"/>
      <c r="C1259" s="138" t="s">
        <v>76</v>
      </c>
      <c r="D1259" s="863" t="s">
        <v>10</v>
      </c>
      <c r="E1259" s="886">
        <v>45295</v>
      </c>
      <c r="F1259" s="39">
        <f>$L$7-E1259</f>
        <v>991</v>
      </c>
      <c r="G1259" s="37">
        <v>0</v>
      </c>
      <c r="H1259" s="37"/>
      <c r="I1259" s="37">
        <f>K1256+K1255+K1257</f>
        <v>0</v>
      </c>
      <c r="J1259" s="1385">
        <f>+usage!I110</f>
        <v>0</v>
      </c>
      <c r="K1259" s="64">
        <f>IFERROR(SUMIF(INTAKE!$A:$A,$T1259,INTAKE!$P:$P),0)</f>
        <v>0</v>
      </c>
      <c r="L1259" s="1533">
        <f t="shared" si="780"/>
        <v>0</v>
      </c>
      <c r="M1259" s="35"/>
      <c r="N1259" s="163"/>
      <c r="O1259" s="35"/>
      <c r="P1259" s="740"/>
      <c r="Q1259" s="795"/>
      <c r="R1259" s="785">
        <f>IFERROR(VLOOKUP($Q1259,'391'!$S:$Z,8,0),"")</f>
        <v>0</v>
      </c>
      <c r="S1259" s="796"/>
      <c r="T1259" s="797" t="str">
        <f>$Q$1260&amp;C1259&amp;E1259</f>
        <v>BioPlus YC (Czech Republic)Feedmil45295</v>
      </c>
      <c r="U1259" s="797"/>
      <c r="V1259" s="797"/>
      <c r="W1259" s="785">
        <f>IFERROR(VLOOKUP($Q1259,'391'!$S:$AG,15,0),0)</f>
        <v>0</v>
      </c>
      <c r="X1259" s="1090">
        <f t="shared" si="760"/>
        <v>0</v>
      </c>
      <c r="Y1259" s="785"/>
      <c r="Z1259" s="785"/>
      <c r="AA1259" s="797"/>
      <c r="AB1259" s="797"/>
      <c r="AC1259" s="551"/>
      <c r="AD1259" s="551"/>
      <c r="AE1259" s="551"/>
      <c r="AF1259" s="551"/>
      <c r="AG1259" s="551"/>
      <c r="AH1259" s="551"/>
      <c r="AI1259" s="704"/>
      <c r="AJ1259" s="704"/>
      <c r="AK1259" s="704"/>
      <c r="AL1259" s="704"/>
      <c r="AM1259" s="704"/>
      <c r="AN1259" s="704"/>
      <c r="AO1259" s="704"/>
      <c r="AP1259" s="704"/>
      <c r="AQ1259" s="704"/>
      <c r="AR1259" s="704"/>
      <c r="AS1259" s="704"/>
    </row>
    <row r="1260" spans="1:45" s="265" customFormat="1" ht="30" hidden="1" customHeight="1" x14ac:dyDescent="0.25">
      <c r="A1260" s="184"/>
      <c r="B1260" s="184" t="s">
        <v>528</v>
      </c>
      <c r="C1260" s="575"/>
      <c r="D1260" s="900"/>
      <c r="E1260" s="901"/>
      <c r="F1260" s="902"/>
      <c r="G1260" s="1337">
        <v>0</v>
      </c>
      <c r="H1260" s="1337">
        <f t="shared" ref="H1260:K1260" si="783">+SUM(H1255:H1259)</f>
        <v>0</v>
      </c>
      <c r="I1260" s="1337">
        <f t="shared" si="783"/>
        <v>0</v>
      </c>
      <c r="J1260" s="1337">
        <f t="shared" si="783"/>
        <v>0</v>
      </c>
      <c r="K1260" s="1337">
        <f t="shared" si="783"/>
        <v>0</v>
      </c>
      <c r="L1260" s="1533">
        <f t="shared" si="780"/>
        <v>0</v>
      </c>
      <c r="M1260" s="59" t="str">
        <f>IFERROR(R1260/$S$2,"")</f>
        <v/>
      </c>
      <c r="N1260" s="366">
        <f>IFERROR(L1260/M1260,0)</f>
        <v>0</v>
      </c>
      <c r="O1260" s="59">
        <f>IFERROR(SUMIF(ETM!$A:$A,$Q1260,ETM!$E:$E),"")</f>
        <v>0</v>
      </c>
      <c r="P1260" s="880">
        <f>IFERROR(L1260/O1260,0)</f>
        <v>0</v>
      </c>
      <c r="Q1260" s="809" t="s">
        <v>837</v>
      </c>
      <c r="R1260" s="785" t="str">
        <f>IFERROR(VLOOKUP($Q1260,'391'!$S:$Z,8,0),"")</f>
        <v/>
      </c>
      <c r="S1260" s="796"/>
      <c r="T1260" s="797"/>
      <c r="U1260" s="797"/>
      <c r="V1260" s="797"/>
      <c r="W1260" s="785">
        <f>IFERROR(VLOOKUP($Q1260,'391'!$S:$AG,15,0),0)</f>
        <v>0</v>
      </c>
      <c r="X1260" s="1090">
        <f t="shared" si="760"/>
        <v>0</v>
      </c>
      <c r="Y1260" s="785"/>
      <c r="Z1260" s="785"/>
      <c r="AA1260" s="797"/>
      <c r="AB1260" s="797"/>
      <c r="AC1260" s="551"/>
      <c r="AD1260" s="551"/>
      <c r="AE1260" s="551"/>
      <c r="AF1260" s="551"/>
      <c r="AG1260" s="551"/>
      <c r="AH1260" s="551"/>
      <c r="AI1260" s="704"/>
      <c r="AJ1260" s="704"/>
      <c r="AK1260" s="704"/>
      <c r="AL1260" s="704"/>
      <c r="AM1260" s="704"/>
      <c r="AN1260" s="704"/>
      <c r="AO1260" s="704"/>
      <c r="AP1260" s="704"/>
      <c r="AQ1260" s="704"/>
      <c r="AR1260" s="704"/>
      <c r="AS1260" s="704"/>
    </row>
    <row r="1261" spans="1:45" s="265" customFormat="1" ht="30" hidden="1" customHeight="1" x14ac:dyDescent="0.25">
      <c r="A1261" s="2083" t="str">
        <f>IF(L1266=0,"",MAX($A$16:A1260)+1)</f>
        <v/>
      </c>
      <c r="B1261" s="2015" t="s">
        <v>297</v>
      </c>
      <c r="C1261" s="574" t="s">
        <v>246</v>
      </c>
      <c r="D1261" s="881" t="s">
        <v>10</v>
      </c>
      <c r="E1261" s="882">
        <v>44168</v>
      </c>
      <c r="F1261" s="71">
        <f>$L$7-E1261</f>
        <v>2118</v>
      </c>
      <c r="G1261" s="64">
        <v>0</v>
      </c>
      <c r="H1261" s="1358"/>
      <c r="I1261" s="1358"/>
      <c r="J1261" s="1411"/>
      <c r="K1261" s="1358"/>
      <c r="L1261" s="1533">
        <f t="shared" si="780"/>
        <v>0</v>
      </c>
      <c r="M1261" s="50"/>
      <c r="N1261" s="167"/>
      <c r="O1261" s="50"/>
      <c r="P1261" s="857"/>
      <c r="Q1261" s="795"/>
      <c r="R1261" s="785">
        <f>IFERROR(VLOOKUP($Q1261,'391'!$S:$Z,8,0),"")</f>
        <v>0</v>
      </c>
      <c r="S1261" s="796"/>
      <c r="T1261" s="797"/>
      <c r="U1261" s="797"/>
      <c r="V1261" s="797"/>
      <c r="W1261" s="785">
        <f>IFERROR(VLOOKUP($Q1261,'391'!$S:$AG,15,0),0)</f>
        <v>0</v>
      </c>
      <c r="X1261" s="1090">
        <f t="shared" si="760"/>
        <v>0</v>
      </c>
      <c r="Y1261" s="785"/>
      <c r="Z1261" s="785"/>
      <c r="AA1261" s="797"/>
      <c r="AB1261" s="797"/>
      <c r="AC1261" s="551"/>
      <c r="AD1261" s="551"/>
      <c r="AE1261" s="551"/>
      <c r="AF1261" s="551"/>
      <c r="AG1261" s="551"/>
      <c r="AH1261" s="551"/>
      <c r="AI1261" s="704"/>
      <c r="AJ1261" s="704"/>
      <c r="AK1261" s="704"/>
      <c r="AL1261" s="704"/>
      <c r="AM1261" s="704"/>
      <c r="AN1261" s="704"/>
      <c r="AO1261" s="704"/>
      <c r="AP1261" s="704"/>
      <c r="AQ1261" s="704"/>
      <c r="AR1261" s="704"/>
      <c r="AS1261" s="704"/>
    </row>
    <row r="1262" spans="1:45" s="265" customFormat="1" ht="30" hidden="1" customHeight="1" x14ac:dyDescent="0.25">
      <c r="A1262" s="2084"/>
      <c r="B1262" s="2016"/>
      <c r="C1262" s="143" t="s">
        <v>197</v>
      </c>
      <c r="D1262" s="881" t="s">
        <v>10</v>
      </c>
      <c r="E1262" s="882">
        <v>42733</v>
      </c>
      <c r="F1262" s="71">
        <f>$L$7-E1262</f>
        <v>3553</v>
      </c>
      <c r="G1262" s="64">
        <v>0</v>
      </c>
      <c r="H1262" s="64"/>
      <c r="I1262" s="64"/>
      <c r="J1262" s="1367"/>
      <c r="K1262" s="64"/>
      <c r="L1262" s="1533">
        <f t="shared" si="780"/>
        <v>0</v>
      </c>
      <c r="M1262" s="48"/>
      <c r="N1262" s="163"/>
      <c r="O1262" s="48"/>
      <c r="P1262" s="857"/>
      <c r="Q1262" s="795"/>
      <c r="R1262" s="785">
        <f>IFERROR(VLOOKUP($Q1262,'391'!$S:$Z,8,0),"")</f>
        <v>0</v>
      </c>
      <c r="S1262" s="796"/>
      <c r="T1262" s="797"/>
      <c r="U1262" s="797"/>
      <c r="V1262" s="797"/>
      <c r="W1262" s="785">
        <f>IFERROR(VLOOKUP($Q1262,'391'!$S:$AG,15,0),0)</f>
        <v>0</v>
      </c>
      <c r="X1262" s="1090">
        <f t="shared" si="760"/>
        <v>0</v>
      </c>
      <c r="Y1262" s="785"/>
      <c r="Z1262" s="785"/>
      <c r="AA1262" s="797"/>
      <c r="AB1262" s="797"/>
      <c r="AC1262" s="551"/>
      <c r="AD1262" s="551"/>
      <c r="AE1262" s="551"/>
      <c r="AF1262" s="551"/>
      <c r="AG1262" s="551"/>
      <c r="AH1262" s="551"/>
      <c r="AI1262" s="704"/>
      <c r="AJ1262" s="704"/>
      <c r="AK1262" s="704"/>
      <c r="AL1262" s="704"/>
      <c r="AM1262" s="704"/>
      <c r="AN1262" s="704"/>
      <c r="AO1262" s="704"/>
      <c r="AP1262" s="704"/>
      <c r="AQ1262" s="704"/>
      <c r="AR1262" s="704"/>
      <c r="AS1262" s="704"/>
    </row>
    <row r="1263" spans="1:45" s="265" customFormat="1" ht="30" hidden="1" customHeight="1" x14ac:dyDescent="0.25">
      <c r="A1263" s="2084"/>
      <c r="B1263" s="2016"/>
      <c r="C1263" s="143" t="s">
        <v>197</v>
      </c>
      <c r="D1263" s="881" t="s">
        <v>10</v>
      </c>
      <c r="E1263" s="882">
        <v>42746</v>
      </c>
      <c r="F1263" s="71">
        <f>$L$7-E1263</f>
        <v>3540</v>
      </c>
      <c r="G1263" s="64">
        <v>0</v>
      </c>
      <c r="H1263" s="63"/>
      <c r="I1263" s="63"/>
      <c r="J1263" s="1378"/>
      <c r="K1263" s="63"/>
      <c r="L1263" s="1533">
        <f t="shared" si="780"/>
        <v>0</v>
      </c>
      <c r="M1263" s="44"/>
      <c r="N1263" s="95"/>
      <c r="O1263" s="44"/>
      <c r="P1263" s="857"/>
      <c r="Q1263" s="795"/>
      <c r="R1263" s="785">
        <f>IFERROR(VLOOKUP($Q1263,'391'!$S:$Z,8,0),"")</f>
        <v>0</v>
      </c>
      <c r="S1263" s="796"/>
      <c r="T1263" s="797"/>
      <c r="U1263" s="797"/>
      <c r="V1263" s="797"/>
      <c r="W1263" s="785">
        <f>IFERROR(VLOOKUP($Q1263,'391'!$S:$AG,15,0),0)</f>
        <v>0</v>
      </c>
      <c r="X1263" s="1090">
        <f t="shared" si="760"/>
        <v>0</v>
      </c>
      <c r="Y1263" s="785"/>
      <c r="Z1263" s="785"/>
      <c r="AA1263" s="797"/>
      <c r="AB1263" s="797"/>
      <c r="AC1263" s="551"/>
      <c r="AD1263" s="551"/>
      <c r="AE1263" s="551"/>
      <c r="AF1263" s="551"/>
      <c r="AG1263" s="551"/>
      <c r="AH1263" s="551"/>
      <c r="AI1263" s="704"/>
      <c r="AJ1263" s="704"/>
      <c r="AK1263" s="704"/>
      <c r="AL1263" s="704"/>
      <c r="AM1263" s="704"/>
      <c r="AN1263" s="704"/>
      <c r="AO1263" s="704"/>
      <c r="AP1263" s="704"/>
      <c r="AQ1263" s="704"/>
      <c r="AR1263" s="704"/>
      <c r="AS1263" s="704"/>
    </row>
    <row r="1264" spans="1:45" s="265" customFormat="1" ht="30" hidden="1" customHeight="1" x14ac:dyDescent="0.25">
      <c r="A1264" s="2084"/>
      <c r="B1264" s="2016"/>
      <c r="C1264" s="143" t="s">
        <v>197</v>
      </c>
      <c r="D1264" s="881" t="s">
        <v>10</v>
      </c>
      <c r="E1264" s="882">
        <v>42755</v>
      </c>
      <c r="F1264" s="71">
        <f>$L$7-E1264</f>
        <v>3531</v>
      </c>
      <c r="G1264" s="64">
        <v>0</v>
      </c>
      <c r="H1264" s="63"/>
      <c r="I1264" s="63"/>
      <c r="J1264" s="1378"/>
      <c r="K1264" s="63"/>
      <c r="L1264" s="1533">
        <f t="shared" si="780"/>
        <v>0</v>
      </c>
      <c r="M1264" s="44"/>
      <c r="N1264" s="95"/>
      <c r="O1264" s="44"/>
      <c r="P1264" s="857"/>
      <c r="Q1264" s="795"/>
      <c r="R1264" s="785">
        <f>IFERROR(VLOOKUP($Q1264,'391'!$S:$Z,8,0),"")</f>
        <v>0</v>
      </c>
      <c r="S1264" s="796"/>
      <c r="T1264" s="797"/>
      <c r="U1264" s="797"/>
      <c r="V1264" s="797"/>
      <c r="W1264" s="785">
        <f>IFERROR(VLOOKUP($Q1264,'391'!$S:$AG,15,0),0)</f>
        <v>0</v>
      </c>
      <c r="X1264" s="1090">
        <f t="shared" si="760"/>
        <v>0</v>
      </c>
      <c r="Y1264" s="785"/>
      <c r="Z1264" s="785"/>
      <c r="AA1264" s="797"/>
      <c r="AB1264" s="797"/>
      <c r="AC1264" s="551"/>
      <c r="AD1264" s="551"/>
      <c r="AE1264" s="551"/>
      <c r="AF1264" s="551"/>
      <c r="AG1264" s="551"/>
      <c r="AH1264" s="551"/>
      <c r="AI1264" s="704"/>
      <c r="AJ1264" s="704"/>
      <c r="AK1264" s="704"/>
      <c r="AL1264" s="704"/>
      <c r="AM1264" s="704"/>
      <c r="AN1264" s="704"/>
      <c r="AO1264" s="704"/>
      <c r="AP1264" s="704"/>
      <c r="AQ1264" s="704"/>
      <c r="AR1264" s="704"/>
      <c r="AS1264" s="704"/>
    </row>
    <row r="1265" spans="1:45" s="265" customFormat="1" ht="30" hidden="1" customHeight="1" x14ac:dyDescent="0.25">
      <c r="A1265" s="2085"/>
      <c r="B1265" s="2196"/>
      <c r="C1265" s="138" t="s">
        <v>76</v>
      </c>
      <c r="D1265" s="863" t="s">
        <v>10</v>
      </c>
      <c r="E1265" s="886">
        <v>43252</v>
      </c>
      <c r="F1265" s="39">
        <f>$L$7-E1265</f>
        <v>3034</v>
      </c>
      <c r="G1265" s="1308">
        <v>0</v>
      </c>
      <c r="H1265" s="1308"/>
      <c r="I1265" s="1308"/>
      <c r="J1265" s="1417">
        <f>usage!I140</f>
        <v>0</v>
      </c>
      <c r="K1265" s="1308"/>
      <c r="L1265" s="1533">
        <f t="shared" si="780"/>
        <v>0</v>
      </c>
      <c r="M1265" s="35"/>
      <c r="N1265" s="920"/>
      <c r="O1265" s="35"/>
      <c r="P1265" s="857"/>
      <c r="Q1265" s="795"/>
      <c r="R1265" s="785">
        <f>IFERROR(VLOOKUP($Q1265,'391'!$S:$Z,8,0),"")</f>
        <v>0</v>
      </c>
      <c r="S1265" s="796"/>
      <c r="T1265" s="797"/>
      <c r="U1265" s="797"/>
      <c r="V1265" s="797"/>
      <c r="W1265" s="785">
        <f>IFERROR(VLOOKUP($Q1265,'391'!$S:$AG,15,0),0)</f>
        <v>0</v>
      </c>
      <c r="X1265" s="1090">
        <f t="shared" si="760"/>
        <v>0</v>
      </c>
      <c r="Y1265" s="785"/>
      <c r="Z1265" s="785"/>
      <c r="AA1265" s="797"/>
      <c r="AB1265" s="797"/>
      <c r="AC1265" s="551"/>
      <c r="AD1265" s="551"/>
      <c r="AE1265" s="551"/>
      <c r="AF1265" s="551"/>
      <c r="AG1265" s="551"/>
      <c r="AH1265" s="551"/>
      <c r="AI1265" s="704"/>
      <c r="AJ1265" s="704"/>
      <c r="AK1265" s="704"/>
      <c r="AL1265" s="704"/>
      <c r="AM1265" s="704"/>
      <c r="AN1265" s="704"/>
      <c r="AO1265" s="704"/>
      <c r="AP1265" s="704"/>
      <c r="AQ1265" s="704"/>
      <c r="AR1265" s="704"/>
      <c r="AS1265" s="704"/>
    </row>
    <row r="1266" spans="1:45" s="265" customFormat="1" ht="30" hidden="1" customHeight="1" x14ac:dyDescent="0.25">
      <c r="A1266" s="184"/>
      <c r="B1266" s="184" t="s">
        <v>300</v>
      </c>
      <c r="C1266" s="575"/>
      <c r="D1266" s="900"/>
      <c r="E1266" s="901"/>
      <c r="F1266" s="902"/>
      <c r="G1266" s="1353">
        <v>0</v>
      </c>
      <c r="H1266" s="1337">
        <f t="shared" ref="H1266:J1266" si="784">+SUM(H1261:H1265)</f>
        <v>0</v>
      </c>
      <c r="I1266" s="1337">
        <f t="shared" si="784"/>
        <v>0</v>
      </c>
      <c r="J1266" s="1337">
        <f t="shared" si="784"/>
        <v>0</v>
      </c>
      <c r="K1266" s="1337">
        <f>+SUM(K1261:K1265)</f>
        <v>0</v>
      </c>
      <c r="L1266" s="1533">
        <f t="shared" si="780"/>
        <v>0</v>
      </c>
      <c r="M1266" s="59"/>
      <c r="N1266" s="920">
        <f>IFERROR(L1266/M1266,0)</f>
        <v>0</v>
      </c>
      <c r="O1266" s="59"/>
      <c r="P1266" s="857">
        <f>IFERROR(L1266/O1266,0)</f>
        <v>0</v>
      </c>
      <c r="Q1266" s="795"/>
      <c r="R1266" s="785">
        <f>IFERROR(VLOOKUP($Q1266,'391'!$S:$Z,8,0),"")</f>
        <v>0</v>
      </c>
      <c r="S1266" s="796"/>
      <c r="T1266" s="797"/>
      <c r="U1266" s="797"/>
      <c r="V1266" s="797"/>
      <c r="W1266" s="785">
        <f>IFERROR(VLOOKUP($Q1266,'391'!$S:$AG,15,0),0)</f>
        <v>0</v>
      </c>
      <c r="X1266" s="1090">
        <f t="shared" si="760"/>
        <v>0</v>
      </c>
      <c r="Y1266" s="785"/>
      <c r="Z1266" s="785"/>
      <c r="AA1266" s="797"/>
      <c r="AB1266" s="797"/>
      <c r="AC1266" s="551"/>
      <c r="AD1266" s="551"/>
      <c r="AE1266" s="551"/>
      <c r="AF1266" s="551"/>
      <c r="AG1266" s="551"/>
      <c r="AH1266" s="551"/>
      <c r="AI1266" s="704"/>
      <c r="AJ1266" s="704"/>
      <c r="AK1266" s="704"/>
      <c r="AL1266" s="704"/>
      <c r="AM1266" s="704"/>
      <c r="AN1266" s="704"/>
      <c r="AO1266" s="704"/>
      <c r="AP1266" s="704"/>
      <c r="AQ1266" s="704"/>
      <c r="AR1266" s="704"/>
      <c r="AS1266" s="704"/>
    </row>
    <row r="1267" spans="1:45" s="265" customFormat="1" ht="30" hidden="1" customHeight="1" x14ac:dyDescent="0.25">
      <c r="A1267" s="2083">
        <f>IF(L1272=0,"",MAX($A$16:A1266)+1)</f>
        <v>84</v>
      </c>
      <c r="B1267" s="2066" t="s">
        <v>1513</v>
      </c>
      <c r="C1267" s="120"/>
      <c r="D1267" s="881" t="s">
        <v>10</v>
      </c>
      <c r="E1267" s="882">
        <v>46052</v>
      </c>
      <c r="F1267" s="71">
        <f t="shared" ref="F1267:F1268" si="785">$L$7-E1267</f>
        <v>234</v>
      </c>
      <c r="G1267" s="1381">
        <v>0</v>
      </c>
      <c r="H1267" s="64"/>
      <c r="I1267" s="64"/>
      <c r="J1267" s="1367"/>
      <c r="K1267" s="1348">
        <f>IFERROR(SUMIF(INTAKE!$A:$A,$T1267,INTAKE!$P:$P),0)</f>
        <v>0</v>
      </c>
      <c r="L1267" s="1702">
        <f t="shared" si="780"/>
        <v>0</v>
      </c>
      <c r="M1267" s="50"/>
      <c r="N1267" s="167"/>
      <c r="O1267" s="50"/>
      <c r="P1267" s="1740"/>
      <c r="Q1267" s="795"/>
      <c r="R1267" s="785">
        <f>IFERROR(VLOOKUP($Q1267,'391'!$S:$Z,8,0),"")</f>
        <v>0</v>
      </c>
      <c r="S1267" s="796"/>
      <c r="T1267" s="797" t="str">
        <f>$Q$1272&amp;C1267&amp;E1267</f>
        <v>Elancoban 200 Premix (Monensin)46052</v>
      </c>
      <c r="U1267" s="797"/>
      <c r="V1267" s="797"/>
      <c r="W1267" s="785">
        <f>IFERROR(VLOOKUP($Q1267,'391'!$S:$AG,15,0),0)</f>
        <v>0</v>
      </c>
      <c r="X1267" s="1090">
        <f t="shared" si="760"/>
        <v>0</v>
      </c>
      <c r="Y1267" s="785"/>
      <c r="Z1267" s="785"/>
      <c r="AA1267" s="797"/>
      <c r="AB1267" s="797"/>
      <c r="AC1267" s="551"/>
      <c r="AD1267" s="551"/>
      <c r="AE1267" s="551"/>
      <c r="AF1267" s="551"/>
      <c r="AG1267" s="551"/>
      <c r="AH1267" s="551"/>
      <c r="AI1267" s="704"/>
      <c r="AJ1267" s="704"/>
      <c r="AK1267" s="704"/>
      <c r="AL1267" s="704"/>
      <c r="AM1267" s="704"/>
      <c r="AN1267" s="704"/>
      <c r="AO1267" s="704"/>
      <c r="AP1267" s="704"/>
      <c r="AQ1267" s="704"/>
      <c r="AR1267" s="704"/>
      <c r="AS1267" s="704"/>
    </row>
    <row r="1268" spans="1:45" s="265" customFormat="1" ht="30" customHeight="1" x14ac:dyDescent="0.25">
      <c r="A1268" s="2084"/>
      <c r="B1268" s="2067"/>
      <c r="C1268" s="120" t="s">
        <v>1213</v>
      </c>
      <c r="D1268" s="881" t="s">
        <v>10</v>
      </c>
      <c r="E1268" s="882">
        <v>46262</v>
      </c>
      <c r="F1268" s="71">
        <f t="shared" si="785"/>
        <v>24</v>
      </c>
      <c r="G1268" s="1381">
        <v>100</v>
      </c>
      <c r="H1268" s="1381"/>
      <c r="I1268" s="1381"/>
      <c r="J1268" s="1899"/>
      <c r="K1268" s="1348">
        <f>IFERROR(SUMIF(INTAKE!$A:$A,$T1268,INTAKE!$P:$P),0)</f>
        <v>0</v>
      </c>
      <c r="L1268" s="1702">
        <f t="shared" si="780"/>
        <v>100</v>
      </c>
      <c r="M1268" s="48"/>
      <c r="N1268" s="163"/>
      <c r="O1268" s="48"/>
      <c r="P1268" s="1740"/>
      <c r="Q1268" s="795"/>
      <c r="R1268" s="785">
        <f>IFERROR(VLOOKUP($Q1268,'391'!$S:$Z,8,0),"")</f>
        <v>0</v>
      </c>
      <c r="S1268" s="796"/>
      <c r="T1268" s="797" t="str">
        <f>$Q$1272&amp;C1268&amp;E1268</f>
        <v>Elancoban 200 Premix (Monensin)E346262</v>
      </c>
      <c r="U1268" s="797"/>
      <c r="V1268" s="797"/>
      <c r="W1268" s="785">
        <f>IFERROR(VLOOKUP($Q1268,'391'!$S:$AG,15,0),0)</f>
        <v>0</v>
      </c>
      <c r="X1268" s="1090">
        <f t="shared" si="760"/>
        <v>100</v>
      </c>
      <c r="Y1268" s="785"/>
      <c r="Z1268" s="785"/>
      <c r="AA1268" s="797"/>
      <c r="AB1268" s="797"/>
      <c r="AC1268" s="551"/>
      <c r="AD1268" s="551"/>
      <c r="AE1268" s="551"/>
      <c r="AF1268" s="551"/>
      <c r="AG1268" s="551"/>
      <c r="AH1268" s="551"/>
      <c r="AI1268" s="704"/>
      <c r="AJ1268" s="704"/>
      <c r="AK1268" s="704"/>
      <c r="AL1268" s="704"/>
      <c r="AM1268" s="704"/>
      <c r="AN1268" s="704"/>
      <c r="AO1268" s="704"/>
      <c r="AP1268" s="704"/>
      <c r="AQ1268" s="704"/>
      <c r="AR1268" s="704"/>
      <c r="AS1268" s="704"/>
    </row>
    <row r="1269" spans="1:45" s="265" customFormat="1" ht="30" hidden="1" customHeight="1" x14ac:dyDescent="0.25">
      <c r="A1269" s="2084"/>
      <c r="B1269" s="2067"/>
      <c r="C1269" s="120"/>
      <c r="D1269" s="881" t="s">
        <v>10</v>
      </c>
      <c r="E1269" s="882">
        <v>46262</v>
      </c>
      <c r="F1269" s="71">
        <f t="shared" ref="F1269" si="786">$L$7-E1269</f>
        <v>24</v>
      </c>
      <c r="G1269" s="1381"/>
      <c r="H1269" s="1381"/>
      <c r="I1269" s="1381"/>
      <c r="J1269" s="1899"/>
      <c r="K1269" s="1348">
        <f>IFERROR(SUMIF(INTAKE!$A:$A,$T1269,INTAKE!$P:$P),0)</f>
        <v>0</v>
      </c>
      <c r="L1269" s="1702">
        <f t="shared" si="780"/>
        <v>0</v>
      </c>
      <c r="M1269" s="48"/>
      <c r="N1269" s="163"/>
      <c r="O1269" s="48"/>
      <c r="P1269" s="1740"/>
      <c r="Q1269" s="795"/>
      <c r="R1269" s="785">
        <f>IFERROR(VLOOKUP($Q1269,'391'!$S:$Z,8,0),"")</f>
        <v>0</v>
      </c>
      <c r="S1269" s="796"/>
      <c r="T1269" s="797" t="str">
        <f>$Q$1272&amp;C1269&amp;E1269</f>
        <v>Elancoban 200 Premix (Monensin)46262</v>
      </c>
      <c r="U1269" s="797"/>
      <c r="V1269" s="797"/>
      <c r="W1269" s="785">
        <f>IFERROR(VLOOKUP($Q1269,'391'!$S:$AG,15,0),0)</f>
        <v>0</v>
      </c>
      <c r="X1269" s="1090">
        <f t="shared" si="760"/>
        <v>0</v>
      </c>
      <c r="Y1269" s="785"/>
      <c r="Z1269" s="785"/>
      <c r="AA1269" s="797"/>
      <c r="AB1269" s="797"/>
      <c r="AC1269" s="551"/>
      <c r="AD1269" s="551"/>
      <c r="AE1269" s="551"/>
      <c r="AF1269" s="551"/>
      <c r="AG1269" s="551"/>
      <c r="AH1269" s="551"/>
      <c r="AI1269" s="704"/>
      <c r="AJ1269" s="704"/>
      <c r="AK1269" s="704"/>
      <c r="AL1269" s="704"/>
      <c r="AM1269" s="704"/>
      <c r="AN1269" s="704"/>
      <c r="AO1269" s="704"/>
      <c r="AP1269" s="704"/>
      <c r="AQ1269" s="704"/>
      <c r="AR1269" s="704"/>
      <c r="AS1269" s="704"/>
    </row>
    <row r="1270" spans="1:45" s="265" customFormat="1" ht="30" hidden="1" customHeight="1" x14ac:dyDescent="0.25">
      <c r="A1270" s="2121"/>
      <c r="B1270" s="2072"/>
      <c r="C1270" s="120"/>
      <c r="D1270" s="881" t="s">
        <v>10</v>
      </c>
      <c r="E1270" s="882">
        <v>46247</v>
      </c>
      <c r="F1270" s="71">
        <f t="shared" ref="F1270:F1271" si="787">$L$7-E1270</f>
        <v>39</v>
      </c>
      <c r="G1270" s="1381">
        <v>0</v>
      </c>
      <c r="H1270" s="1381"/>
      <c r="I1270" s="1381"/>
      <c r="J1270" s="1899"/>
      <c r="K1270" s="1348">
        <f>IFERROR(SUMIF(INTAKE!$A:$A,$T1270,INTAKE!$P:$P),0)</f>
        <v>0</v>
      </c>
      <c r="L1270" s="1702">
        <f t="shared" si="780"/>
        <v>0</v>
      </c>
      <c r="M1270" s="1487"/>
      <c r="N1270" s="1903"/>
      <c r="O1270" s="1487"/>
      <c r="P1270" s="1900"/>
      <c r="Q1270" s="1818"/>
      <c r="R1270" s="785"/>
      <c r="S1270" s="796"/>
      <c r="T1270" s="797" t="str">
        <f>$Q$1272&amp;C1270&amp;E1270</f>
        <v>Elancoban 200 Premix (Monensin)46247</v>
      </c>
      <c r="U1270" s="797"/>
      <c r="V1270" s="797"/>
      <c r="W1270" s="785"/>
      <c r="X1270" s="1090"/>
      <c r="Y1270" s="785"/>
      <c r="Z1270" s="785"/>
      <c r="AA1270" s="797"/>
      <c r="AB1270" s="797"/>
      <c r="AC1270" s="551"/>
      <c r="AD1270" s="551"/>
      <c r="AE1270" s="551"/>
      <c r="AF1270" s="551"/>
      <c r="AG1270" s="551"/>
      <c r="AH1270" s="551"/>
      <c r="AI1270" s="704"/>
      <c r="AJ1270" s="704"/>
      <c r="AK1270" s="704"/>
      <c r="AL1270" s="704"/>
      <c r="AM1270" s="704"/>
      <c r="AN1270" s="704"/>
      <c r="AO1270" s="704"/>
      <c r="AP1270" s="704"/>
      <c r="AQ1270" s="704"/>
      <c r="AR1270" s="704"/>
      <c r="AS1270" s="704"/>
    </row>
    <row r="1271" spans="1:45" s="265" customFormat="1" ht="30" customHeight="1" x14ac:dyDescent="0.25">
      <c r="A1271" s="2085"/>
      <c r="B1271" s="2068"/>
      <c r="C1271" s="108" t="s">
        <v>76</v>
      </c>
      <c r="D1271" s="863" t="s">
        <v>10</v>
      </c>
      <c r="E1271" s="886">
        <v>46247</v>
      </c>
      <c r="F1271" s="39">
        <f t="shared" si="787"/>
        <v>39</v>
      </c>
      <c r="G1271" s="37">
        <v>22.14</v>
      </c>
      <c r="H1271" s="37"/>
      <c r="I1271" s="37">
        <f>+SUM(K1267:K1270)</f>
        <v>0</v>
      </c>
      <c r="J1271" s="1385">
        <f>usage!I191</f>
        <v>8.85</v>
      </c>
      <c r="K1271" s="37"/>
      <c r="L1271" s="1533">
        <f t="shared" si="780"/>
        <v>13.290000000000001</v>
      </c>
      <c r="M1271" s="35"/>
      <c r="N1271" s="920"/>
      <c r="O1271" s="35"/>
      <c r="P1271" s="1964"/>
      <c r="Q1271" s="795"/>
      <c r="R1271" s="785">
        <f>IFERROR(VLOOKUP($Q1271,'391'!$S:$Z,8,0),"")</f>
        <v>0</v>
      </c>
      <c r="S1271" s="796"/>
      <c r="T1271" s="797" t="str">
        <f>$Q$1272&amp;C1271&amp;E1271</f>
        <v>Elancoban 200 Premix (Monensin)Feedmil46247</v>
      </c>
      <c r="U1271" s="797"/>
      <c r="V1271" s="797"/>
      <c r="W1271" s="785">
        <f>IFERROR(VLOOKUP($Q1271,'391'!$S:$AG,15,0),0)</f>
        <v>0</v>
      </c>
      <c r="X1271" s="1090">
        <f t="shared" si="760"/>
        <v>22.14</v>
      </c>
      <c r="Y1271" s="785"/>
      <c r="Z1271" s="785"/>
      <c r="AA1271" s="797"/>
      <c r="AB1271" s="797"/>
      <c r="AC1271" s="551"/>
      <c r="AD1271" s="551"/>
      <c r="AE1271" s="551"/>
      <c r="AF1271" s="551"/>
      <c r="AG1271" s="551"/>
      <c r="AH1271" s="551"/>
      <c r="AI1271" s="704"/>
      <c r="AJ1271" s="704"/>
      <c r="AK1271" s="704"/>
      <c r="AL1271" s="704"/>
      <c r="AM1271" s="704"/>
      <c r="AN1271" s="704"/>
      <c r="AO1271" s="704"/>
      <c r="AP1271" s="704"/>
      <c r="AQ1271" s="704"/>
      <c r="AR1271" s="704"/>
      <c r="AS1271" s="704"/>
    </row>
    <row r="1272" spans="1:45" s="265" customFormat="1" ht="30" customHeight="1" x14ac:dyDescent="0.25">
      <c r="A1272" s="184"/>
      <c r="B1272" s="184" t="s">
        <v>299</v>
      </c>
      <c r="C1272" s="575"/>
      <c r="D1272" s="900"/>
      <c r="E1272" s="901"/>
      <c r="F1272" s="902"/>
      <c r="G1272" s="1337">
        <v>122.14</v>
      </c>
      <c r="H1272" s="1337">
        <f t="shared" ref="H1272:L1272" si="788">+SUM(H1267:H1271)</f>
        <v>0</v>
      </c>
      <c r="I1272" s="1337">
        <f t="shared" si="788"/>
        <v>0</v>
      </c>
      <c r="J1272" s="1337">
        <f t="shared" si="788"/>
        <v>8.85</v>
      </c>
      <c r="K1272" s="1337">
        <f t="shared" si="788"/>
        <v>0</v>
      </c>
      <c r="L1272" s="1337">
        <f t="shared" si="788"/>
        <v>113.29</v>
      </c>
      <c r="M1272" s="59">
        <f>IFERROR(R1272/$S$2,"")</f>
        <v>3.36</v>
      </c>
      <c r="N1272" s="366">
        <f>IFERROR(L1272/M1272,0)</f>
        <v>33.717261904761905</v>
      </c>
      <c r="O1272" s="59">
        <f>IFERROR(SUMIF(ETM!$A:$A,$Q1272,ETM!$E:$E),"")</f>
        <v>5</v>
      </c>
      <c r="P1272" s="880">
        <f>IFERROR(L1272/O1272,0)</f>
        <v>22.658000000000001</v>
      </c>
      <c r="Q1272" s="795" t="s">
        <v>1512</v>
      </c>
      <c r="R1272" s="785">
        <f>IFERROR(VLOOKUP($Q1272,'391'!$S:$Z,8,0),"")</f>
        <v>20.16</v>
      </c>
      <c r="S1272" s="796"/>
      <c r="T1272" s="797"/>
      <c r="U1272" s="797"/>
      <c r="V1272" s="797"/>
      <c r="W1272" s="785">
        <f>IFERROR(VLOOKUP($Q1272,'391'!$S:$AG,15,0),0)</f>
        <v>122.14</v>
      </c>
      <c r="X1272" s="1090">
        <f t="shared" si="760"/>
        <v>0</v>
      </c>
      <c r="Y1272" s="785"/>
      <c r="Z1272" s="785"/>
      <c r="AA1272" s="797"/>
      <c r="AB1272" s="797"/>
      <c r="AC1272" s="551"/>
      <c r="AD1272" s="551"/>
      <c r="AE1272" s="551"/>
      <c r="AF1272" s="551"/>
      <c r="AG1272" s="551"/>
      <c r="AH1272" s="551"/>
      <c r="AI1272" s="704"/>
      <c r="AJ1272" s="704"/>
      <c r="AK1272" s="704"/>
      <c r="AL1272" s="704"/>
      <c r="AM1272" s="704"/>
      <c r="AN1272" s="704"/>
      <c r="AO1272" s="704"/>
      <c r="AP1272" s="704"/>
      <c r="AQ1272" s="704"/>
      <c r="AR1272" s="704"/>
      <c r="AS1272" s="704"/>
    </row>
    <row r="1273" spans="1:45" s="265" customFormat="1" ht="30" hidden="1" customHeight="1" x14ac:dyDescent="0.25">
      <c r="A1273" s="2083" t="str">
        <f>IF(L1279=0,"",MAX($A$16:A1272)+1)</f>
        <v/>
      </c>
      <c r="B1273" s="2015" t="s">
        <v>346</v>
      </c>
      <c r="C1273" s="574"/>
      <c r="D1273" s="881" t="s">
        <v>10</v>
      </c>
      <c r="E1273" s="882">
        <v>44736</v>
      </c>
      <c r="F1273" s="71">
        <f t="shared" ref="F1273:F1278" si="789">$L$7-E1273</f>
        <v>1550</v>
      </c>
      <c r="G1273" s="64">
        <v>0</v>
      </c>
      <c r="H1273" s="64"/>
      <c r="I1273" s="64"/>
      <c r="J1273" s="1367"/>
      <c r="K1273" s="64">
        <f>IFERROR(SUMIF(INTAKE!$A:$A,$T1273,INTAKE!$P:$P),0)</f>
        <v>0</v>
      </c>
      <c r="L1273" s="1533">
        <f t="shared" si="780"/>
        <v>0</v>
      </c>
      <c r="M1273" s="50"/>
      <c r="N1273" s="167"/>
      <c r="O1273" s="50"/>
      <c r="P1273" s="747"/>
      <c r="Q1273" s="795"/>
      <c r="R1273" s="785">
        <f>IFERROR(VLOOKUP($Q1273,'391'!$S:$Z,8,0),"")</f>
        <v>0</v>
      </c>
      <c r="S1273" s="796"/>
      <c r="T1273" s="799" t="str">
        <f t="shared" ref="T1273:T1278" si="790">$Q$1279&amp;C1273&amp;E1273</f>
        <v>Tiamvet 100 (Italy)44736</v>
      </c>
      <c r="U1273" s="797"/>
      <c r="V1273" s="797"/>
      <c r="W1273" s="785">
        <f>IFERROR(VLOOKUP($Q1273,'391'!$S:$AG,15,0),0)</f>
        <v>0</v>
      </c>
      <c r="X1273" s="1090">
        <f t="shared" si="760"/>
        <v>0</v>
      </c>
      <c r="Y1273" s="785"/>
      <c r="Z1273" s="785"/>
      <c r="AA1273" s="797"/>
      <c r="AB1273" s="797"/>
      <c r="AC1273" s="551"/>
      <c r="AD1273" s="551"/>
      <c r="AE1273" s="551"/>
      <c r="AF1273" s="551"/>
      <c r="AG1273" s="551"/>
      <c r="AH1273" s="551"/>
      <c r="AI1273" s="704"/>
      <c r="AJ1273" s="704"/>
      <c r="AK1273" s="704"/>
      <c r="AL1273" s="704"/>
      <c r="AM1273" s="704"/>
      <c r="AN1273" s="704"/>
      <c r="AO1273" s="704"/>
      <c r="AP1273" s="704"/>
      <c r="AQ1273" s="704"/>
      <c r="AR1273" s="704"/>
      <c r="AS1273" s="704"/>
    </row>
    <row r="1274" spans="1:45" s="265" customFormat="1" ht="30" hidden="1" customHeight="1" x14ac:dyDescent="0.25">
      <c r="A1274" s="2084"/>
      <c r="B1274" s="2016"/>
      <c r="C1274" s="574" t="s">
        <v>283</v>
      </c>
      <c r="D1274" s="881" t="s">
        <v>10</v>
      </c>
      <c r="E1274" s="882">
        <v>44935</v>
      </c>
      <c r="F1274" s="71">
        <f t="shared" si="789"/>
        <v>1351</v>
      </c>
      <c r="G1274" s="64">
        <v>0</v>
      </c>
      <c r="H1274" s="64"/>
      <c r="I1274" s="64"/>
      <c r="J1274" s="1367"/>
      <c r="K1274" s="64">
        <f>IFERROR(SUMIF(INTAKE!$A:$A,$T1274,INTAKE!$P:$P),0)</f>
        <v>0</v>
      </c>
      <c r="L1274" s="1533">
        <f t="shared" si="780"/>
        <v>0</v>
      </c>
      <c r="M1274" s="48"/>
      <c r="N1274" s="163"/>
      <c r="O1274" s="48"/>
      <c r="P1274" s="750"/>
      <c r="Q1274" s="795"/>
      <c r="R1274" s="785">
        <f>IFERROR(VLOOKUP($Q1274,'391'!$S:$Z,8,0),"")</f>
        <v>0</v>
      </c>
      <c r="S1274" s="796"/>
      <c r="T1274" s="799" t="str">
        <f t="shared" si="790"/>
        <v>Tiamvet 100 (Italy)A19.344935</v>
      </c>
      <c r="U1274" s="797"/>
      <c r="V1274" s="797"/>
      <c r="W1274" s="785">
        <f>IFERROR(VLOOKUP($Q1274,'391'!$S:$AG,15,0),0)</f>
        <v>0</v>
      </c>
      <c r="X1274" s="1090">
        <f t="shared" si="760"/>
        <v>0</v>
      </c>
      <c r="Y1274" s="785"/>
      <c r="Z1274" s="785"/>
      <c r="AA1274" s="797"/>
      <c r="AB1274" s="797"/>
      <c r="AC1274" s="551"/>
      <c r="AD1274" s="551"/>
      <c r="AE1274" s="551"/>
      <c r="AF1274" s="551"/>
      <c r="AG1274" s="551"/>
      <c r="AH1274" s="551"/>
      <c r="AI1274" s="704"/>
      <c r="AJ1274" s="704"/>
      <c r="AK1274" s="704"/>
      <c r="AL1274" s="704"/>
      <c r="AM1274" s="704"/>
      <c r="AN1274" s="704"/>
      <c r="AO1274" s="704"/>
      <c r="AP1274" s="704"/>
      <c r="AQ1274" s="704"/>
      <c r="AR1274" s="704"/>
      <c r="AS1274" s="704"/>
    </row>
    <row r="1275" spans="1:45" s="265" customFormat="1" ht="30" hidden="1" customHeight="1" x14ac:dyDescent="0.25">
      <c r="A1275" s="2084"/>
      <c r="B1275" s="2016"/>
      <c r="C1275" s="574"/>
      <c r="D1275" s="881" t="s">
        <v>10</v>
      </c>
      <c r="E1275" s="882">
        <v>44935</v>
      </c>
      <c r="F1275" s="71">
        <f t="shared" si="789"/>
        <v>1351</v>
      </c>
      <c r="G1275" s="64">
        <v>0</v>
      </c>
      <c r="H1275" s="64"/>
      <c r="I1275" s="64"/>
      <c r="J1275" s="1367"/>
      <c r="K1275" s="64">
        <f>IFERROR(SUMIF(INTAKE!$A:$A,$T1275,INTAKE!$P:$P),0)</f>
        <v>0</v>
      </c>
      <c r="L1275" s="1533">
        <f t="shared" si="780"/>
        <v>0</v>
      </c>
      <c r="M1275" s="48"/>
      <c r="N1275" s="163"/>
      <c r="O1275" s="48"/>
      <c r="P1275" s="750"/>
      <c r="Q1275" s="795"/>
      <c r="R1275" s="785">
        <f>IFERROR(VLOOKUP($Q1275,'391'!$S:$Z,8,0),"")</f>
        <v>0</v>
      </c>
      <c r="S1275" s="796"/>
      <c r="T1275" s="799" t="str">
        <f t="shared" si="790"/>
        <v>Tiamvet 100 (Italy)44935</v>
      </c>
      <c r="U1275" s="797"/>
      <c r="V1275" s="797"/>
      <c r="W1275" s="785">
        <f>IFERROR(VLOOKUP($Q1275,'391'!$S:$AG,15,0),0)</f>
        <v>0</v>
      </c>
      <c r="X1275" s="1090">
        <f t="shared" si="760"/>
        <v>0</v>
      </c>
      <c r="Y1275" s="785"/>
      <c r="Z1275" s="785"/>
      <c r="AA1275" s="797"/>
      <c r="AB1275" s="797"/>
      <c r="AC1275" s="551"/>
      <c r="AD1275" s="551"/>
      <c r="AE1275" s="551"/>
      <c r="AF1275" s="551"/>
      <c r="AG1275" s="551"/>
      <c r="AH1275" s="551"/>
      <c r="AI1275" s="704"/>
      <c r="AJ1275" s="704"/>
      <c r="AK1275" s="704"/>
      <c r="AL1275" s="704"/>
      <c r="AM1275" s="704"/>
      <c r="AN1275" s="704"/>
      <c r="AO1275" s="704"/>
      <c r="AP1275" s="704"/>
      <c r="AQ1275" s="704"/>
      <c r="AR1275" s="704"/>
      <c r="AS1275" s="704"/>
    </row>
    <row r="1276" spans="1:45" s="265" customFormat="1" ht="30" hidden="1" customHeight="1" x14ac:dyDescent="0.25">
      <c r="A1276" s="2084"/>
      <c r="B1276" s="2016"/>
      <c r="C1276" s="574"/>
      <c r="D1276" s="881" t="s">
        <v>10</v>
      </c>
      <c r="E1276" s="882">
        <v>44736</v>
      </c>
      <c r="F1276" s="71">
        <f t="shared" si="789"/>
        <v>1550</v>
      </c>
      <c r="G1276" s="64">
        <v>0</v>
      </c>
      <c r="H1276" s="64"/>
      <c r="I1276" s="64"/>
      <c r="J1276" s="1367"/>
      <c r="K1276" s="64">
        <f>IFERROR(SUMIF(INTAKE!$A:$A,$T1276,INTAKE!$P:$P),0)</f>
        <v>0</v>
      </c>
      <c r="L1276" s="1533">
        <f t="shared" si="780"/>
        <v>0</v>
      </c>
      <c r="M1276" s="48"/>
      <c r="N1276" s="163"/>
      <c r="O1276" s="48"/>
      <c r="P1276" s="750"/>
      <c r="Q1276" s="795"/>
      <c r="R1276" s="785">
        <f>IFERROR(VLOOKUP($Q1276,'391'!$S:$Z,8,0),"")</f>
        <v>0</v>
      </c>
      <c r="S1276" s="796"/>
      <c r="T1276" s="799" t="str">
        <f t="shared" si="790"/>
        <v>Tiamvet 100 (Italy)44736</v>
      </c>
      <c r="U1276" s="797"/>
      <c r="V1276" s="797"/>
      <c r="W1276" s="785">
        <f>IFERROR(VLOOKUP($Q1276,'391'!$S:$AG,15,0),0)</f>
        <v>0</v>
      </c>
      <c r="X1276" s="1090">
        <f t="shared" si="760"/>
        <v>0</v>
      </c>
      <c r="Y1276" s="785"/>
      <c r="Z1276" s="785"/>
      <c r="AA1276" s="797"/>
      <c r="AB1276" s="797"/>
      <c r="AC1276" s="551"/>
      <c r="AD1276" s="551"/>
      <c r="AE1276" s="551"/>
      <c r="AF1276" s="551"/>
      <c r="AG1276" s="551"/>
      <c r="AH1276" s="551"/>
      <c r="AI1276" s="704"/>
      <c r="AJ1276" s="704"/>
      <c r="AK1276" s="704"/>
      <c r="AL1276" s="704"/>
      <c r="AM1276" s="704"/>
      <c r="AN1276" s="704"/>
      <c r="AO1276" s="704"/>
      <c r="AP1276" s="704"/>
      <c r="AQ1276" s="704"/>
      <c r="AR1276" s="704"/>
      <c r="AS1276" s="704"/>
    </row>
    <row r="1277" spans="1:45" s="265" customFormat="1" ht="30" hidden="1" customHeight="1" x14ac:dyDescent="0.25">
      <c r="A1277" s="2084"/>
      <c r="B1277" s="2016"/>
      <c r="C1277" s="574"/>
      <c r="D1277" s="881" t="s">
        <v>10</v>
      </c>
      <c r="E1277" s="882">
        <v>44610</v>
      </c>
      <c r="F1277" s="71">
        <f t="shared" si="789"/>
        <v>1676</v>
      </c>
      <c r="G1277" s="64">
        <v>0</v>
      </c>
      <c r="H1277" s="64"/>
      <c r="I1277" s="64"/>
      <c r="J1277" s="1367"/>
      <c r="K1277" s="64">
        <f>IFERROR(SUMIF(INTAKE!$A:$A,$T1277,INTAKE!$P:$P),0)</f>
        <v>0</v>
      </c>
      <c r="L1277" s="1533">
        <f t="shared" si="780"/>
        <v>0</v>
      </c>
      <c r="M1277" s="48"/>
      <c r="N1277" s="163"/>
      <c r="O1277" s="48"/>
      <c r="P1277" s="750"/>
      <c r="Q1277" s="795"/>
      <c r="R1277" s="785">
        <f>IFERROR(VLOOKUP($Q1277,'391'!$S:$Z,8,0),"")</f>
        <v>0</v>
      </c>
      <c r="S1277" s="796"/>
      <c r="T1277" s="799" t="str">
        <f t="shared" si="790"/>
        <v>Tiamvet 100 (Italy)44610</v>
      </c>
      <c r="U1277" s="797"/>
      <c r="V1277" s="797"/>
      <c r="W1277" s="785">
        <f>IFERROR(VLOOKUP($Q1277,'391'!$S:$AG,15,0),0)</f>
        <v>0</v>
      </c>
      <c r="X1277" s="1090">
        <f t="shared" si="760"/>
        <v>0</v>
      </c>
      <c r="Y1277" s="785"/>
      <c r="Z1277" s="785"/>
      <c r="AA1277" s="797"/>
      <c r="AB1277" s="797"/>
      <c r="AC1277" s="551"/>
      <c r="AD1277" s="551"/>
      <c r="AE1277" s="551"/>
      <c r="AF1277" s="551"/>
      <c r="AG1277" s="551"/>
      <c r="AH1277" s="551"/>
      <c r="AI1277" s="704"/>
      <c r="AJ1277" s="704"/>
      <c r="AK1277" s="704"/>
      <c r="AL1277" s="704"/>
      <c r="AM1277" s="704"/>
      <c r="AN1277" s="704"/>
      <c r="AO1277" s="704"/>
      <c r="AP1277" s="704"/>
      <c r="AQ1277" s="704"/>
      <c r="AR1277" s="704"/>
      <c r="AS1277" s="704"/>
    </row>
    <row r="1278" spans="1:45" s="265" customFormat="1" ht="30" hidden="1" customHeight="1" x14ac:dyDescent="0.25">
      <c r="A1278" s="2084"/>
      <c r="B1278" s="2016"/>
      <c r="C1278" s="108" t="s">
        <v>76</v>
      </c>
      <c r="D1278" s="852" t="s">
        <v>10</v>
      </c>
      <c r="E1278" s="853">
        <v>44935</v>
      </c>
      <c r="F1278" s="73">
        <f t="shared" si="789"/>
        <v>1351</v>
      </c>
      <c r="G1278" s="58">
        <v>0</v>
      </c>
      <c r="H1278" s="58"/>
      <c r="I1278" s="58">
        <f>SUM(K1273:K1278)</f>
        <v>0</v>
      </c>
      <c r="J1278" s="1365">
        <f>+usage!I142</f>
        <v>0</v>
      </c>
      <c r="K1278" s="58"/>
      <c r="L1278" s="1533">
        <f t="shared" si="780"/>
        <v>0</v>
      </c>
      <c r="M1278" s="48"/>
      <c r="N1278" s="163"/>
      <c r="O1278" s="48"/>
      <c r="P1278" s="750"/>
      <c r="Q1278" s="795"/>
      <c r="R1278" s="785">
        <f>IFERROR(VLOOKUP($Q1278,'391'!$S:$Z,8,0),"")</f>
        <v>0</v>
      </c>
      <c r="S1278" s="796"/>
      <c r="T1278" s="799" t="str">
        <f t="shared" si="790"/>
        <v>Tiamvet 100 (Italy)Feedmil44935</v>
      </c>
      <c r="U1278" s="797"/>
      <c r="V1278" s="797"/>
      <c r="W1278" s="785">
        <f>IFERROR(VLOOKUP($Q1278,'391'!$S:$AG,15,0),0)</f>
        <v>0</v>
      </c>
      <c r="X1278" s="1090">
        <f t="shared" si="760"/>
        <v>0</v>
      </c>
      <c r="Y1278" s="785"/>
      <c r="Z1278" s="785"/>
      <c r="AA1278" s="797"/>
      <c r="AB1278" s="797"/>
      <c r="AC1278" s="551"/>
      <c r="AD1278" s="551"/>
      <c r="AE1278" s="551"/>
      <c r="AF1278" s="551"/>
      <c r="AG1278" s="551"/>
      <c r="AH1278" s="551"/>
      <c r="AI1278" s="704"/>
      <c r="AJ1278" s="704"/>
      <c r="AK1278" s="704"/>
      <c r="AL1278" s="704"/>
      <c r="AM1278" s="704"/>
      <c r="AN1278" s="704"/>
      <c r="AO1278" s="704"/>
      <c r="AP1278" s="704"/>
      <c r="AQ1278" s="704"/>
      <c r="AR1278" s="704"/>
      <c r="AS1278" s="704"/>
    </row>
    <row r="1279" spans="1:45" s="265" customFormat="1" ht="30" hidden="1" customHeight="1" x14ac:dyDescent="0.25">
      <c r="A1279" s="184"/>
      <c r="B1279" s="184" t="s">
        <v>301</v>
      </c>
      <c r="C1279" s="575"/>
      <c r="D1279" s="900"/>
      <c r="E1279" s="901"/>
      <c r="F1279" s="902"/>
      <c r="G1279" s="1337">
        <v>0</v>
      </c>
      <c r="H1279" s="1337">
        <f t="shared" ref="H1279:I1279" si="791">+SUM(H1273:H1278)</f>
        <v>0</v>
      </c>
      <c r="I1279" s="1337">
        <f t="shared" si="791"/>
        <v>0</v>
      </c>
      <c r="J1279" s="1337">
        <f t="shared" ref="J1279:K1279" si="792">+SUM(J1273:J1278)</f>
        <v>0</v>
      </c>
      <c r="K1279" s="1337">
        <f t="shared" si="792"/>
        <v>0</v>
      </c>
      <c r="L1279" s="1533">
        <f t="shared" si="780"/>
        <v>0</v>
      </c>
      <c r="M1279" s="59">
        <f>IFERROR(R1279/$S$2,"")</f>
        <v>0</v>
      </c>
      <c r="N1279" s="854">
        <f>IFERROR((L1279/M1279),0)</f>
        <v>0</v>
      </c>
      <c r="O1279" s="59">
        <f>IFERROR(SUMIF(ETM!$A:$A,$Q1279,ETM!$E:$E),"")</f>
        <v>0</v>
      </c>
      <c r="P1279" s="880">
        <f>IFERROR(L1279/O1279,0)</f>
        <v>0</v>
      </c>
      <c r="Q1279" s="795" t="s">
        <v>832</v>
      </c>
      <c r="R1279" s="785" t="str">
        <f>IFERROR(VLOOKUP($Q1279,'391'!$S:$Z,8,0),"0")</f>
        <v>0</v>
      </c>
      <c r="S1279" s="796"/>
      <c r="T1279" s="797"/>
      <c r="U1279" s="797"/>
      <c r="V1279" s="797"/>
      <c r="W1279" s="785">
        <f>IFERROR(VLOOKUP($Q1279,'391'!$S:$AG,15,0),0)</f>
        <v>0</v>
      </c>
      <c r="X1279" s="1090">
        <f t="shared" si="760"/>
        <v>0</v>
      </c>
      <c r="Y1279" s="785"/>
      <c r="Z1279" s="785"/>
      <c r="AA1279" s="797"/>
      <c r="AB1279" s="797"/>
      <c r="AC1279" s="551"/>
      <c r="AD1279" s="551"/>
      <c r="AE1279" s="551"/>
      <c r="AF1279" s="551"/>
      <c r="AG1279" s="551"/>
      <c r="AH1279" s="551"/>
      <c r="AI1279" s="704"/>
      <c r="AJ1279" s="704"/>
      <c r="AK1279" s="704"/>
      <c r="AL1279" s="704"/>
      <c r="AM1279" s="704"/>
      <c r="AN1279" s="704"/>
      <c r="AO1279" s="704"/>
      <c r="AP1279" s="704"/>
      <c r="AQ1279" s="704"/>
      <c r="AR1279" s="704"/>
      <c r="AS1279" s="704"/>
    </row>
    <row r="1280" spans="1:45" s="265" customFormat="1" ht="30" hidden="1" customHeight="1" x14ac:dyDescent="0.25">
      <c r="A1280" s="2083" t="str">
        <f>IF(L1284=0,"",MAX($A$16:A1279)+1)</f>
        <v/>
      </c>
      <c r="B1280" s="2015" t="s">
        <v>342</v>
      </c>
      <c r="C1280" s="127"/>
      <c r="D1280" s="866" t="s">
        <v>10</v>
      </c>
      <c r="E1280" s="867">
        <v>45926</v>
      </c>
      <c r="F1280" s="75">
        <f>$L$7-E1280</f>
        <v>360</v>
      </c>
      <c r="G1280" s="64">
        <v>0</v>
      </c>
      <c r="H1280" s="64"/>
      <c r="I1280" s="64"/>
      <c r="J1280" s="1367"/>
      <c r="K1280" s="64">
        <f>IFERROR(SUMIF(INTAKE!$A:$A,$T1280,INTAKE!$P:$P),0)</f>
        <v>0</v>
      </c>
      <c r="L1280" s="1702">
        <f t="shared" si="780"/>
        <v>0</v>
      </c>
      <c r="M1280" s="50"/>
      <c r="N1280" s="167"/>
      <c r="O1280" s="1452"/>
      <c r="P1280" s="1479"/>
      <c r="Q1280" s="795"/>
      <c r="R1280" s="785">
        <f>IFERROR(VLOOKUP($Q1280,'391'!$S:$Z,8,0),"")</f>
        <v>0</v>
      </c>
      <c r="S1280" s="796"/>
      <c r="T1280" s="797" t="str">
        <f>$Q$1284&amp;C1280&amp;E1280</f>
        <v>Covotek (France)45926</v>
      </c>
      <c r="U1280" s="797"/>
      <c r="V1280" s="797"/>
      <c r="W1280" s="785">
        <f>IFERROR(VLOOKUP($Q1280,'391'!$S:$AG,15,0),0)</f>
        <v>0</v>
      </c>
      <c r="X1280" s="1090">
        <f t="shared" si="760"/>
        <v>0</v>
      </c>
      <c r="Y1280" s="785"/>
      <c r="Z1280" s="785"/>
      <c r="AA1280" s="797"/>
      <c r="AB1280" s="797"/>
      <c r="AC1280" s="551"/>
      <c r="AD1280" s="551"/>
      <c r="AE1280" s="551"/>
      <c r="AF1280" s="551"/>
      <c r="AG1280" s="551"/>
      <c r="AH1280" s="551"/>
      <c r="AI1280" s="704"/>
      <c r="AJ1280" s="704"/>
      <c r="AK1280" s="704"/>
      <c r="AL1280" s="704"/>
      <c r="AM1280" s="704"/>
      <c r="AN1280" s="704"/>
      <c r="AO1280" s="704"/>
      <c r="AP1280" s="704"/>
      <c r="AQ1280" s="704"/>
      <c r="AR1280" s="704"/>
      <c r="AS1280" s="704"/>
    </row>
    <row r="1281" spans="1:45" s="265" customFormat="1" ht="30" hidden="1" customHeight="1" x14ac:dyDescent="0.25">
      <c r="A1281" s="2084"/>
      <c r="B1281" s="2016"/>
      <c r="C1281" s="127" t="s">
        <v>596</v>
      </c>
      <c r="D1281" s="866" t="s">
        <v>10</v>
      </c>
      <c r="E1281" s="867">
        <v>46129</v>
      </c>
      <c r="F1281" s="75">
        <f>$L$7-E1281</f>
        <v>157</v>
      </c>
      <c r="G1281" s="64">
        <v>0</v>
      </c>
      <c r="H1281" s="64"/>
      <c r="I1281" s="64"/>
      <c r="J1281" s="1367"/>
      <c r="K1281" s="64">
        <f>IFERROR(SUMIF(INTAKE!$A:$A,$T1281,INTAKE!$P:$P),0)</f>
        <v>0</v>
      </c>
      <c r="L1281" s="1702">
        <f t="shared" si="780"/>
        <v>0</v>
      </c>
      <c r="M1281" s="1453"/>
      <c r="N1281" s="1460"/>
      <c r="O1281" s="1453"/>
      <c r="P1281" s="1480"/>
      <c r="Q1281" s="795"/>
      <c r="R1281" s="785">
        <f>IFERROR(VLOOKUP($Q1281,'391'!$S:$Z,8,0),"")</f>
        <v>0</v>
      </c>
      <c r="S1281" s="796"/>
      <c r="T1281" s="797" t="str">
        <f>$Q$1284&amp;C1281&amp;E1281</f>
        <v>Covotek (France)V2.146129</v>
      </c>
      <c r="U1281" s="797"/>
      <c r="V1281" s="797"/>
      <c r="W1281" s="785">
        <f>IFERROR(VLOOKUP($Q1281,'391'!$S:$AG,15,0),0)</f>
        <v>0</v>
      </c>
      <c r="X1281" s="1090">
        <f t="shared" si="760"/>
        <v>0</v>
      </c>
      <c r="Y1281" s="785"/>
      <c r="Z1281" s="785"/>
      <c r="AA1281" s="797"/>
      <c r="AB1281" s="797"/>
      <c r="AC1281" s="551"/>
      <c r="AD1281" s="551"/>
      <c r="AE1281" s="551"/>
      <c r="AF1281" s="551"/>
      <c r="AG1281" s="551"/>
      <c r="AH1281" s="551"/>
      <c r="AI1281" s="704"/>
      <c r="AJ1281" s="704"/>
      <c r="AK1281" s="704"/>
      <c r="AL1281" s="704"/>
      <c r="AM1281" s="704"/>
      <c r="AN1281" s="704"/>
      <c r="AO1281" s="704"/>
      <c r="AP1281" s="704"/>
      <c r="AQ1281" s="704"/>
      <c r="AR1281" s="704"/>
      <c r="AS1281" s="704"/>
    </row>
    <row r="1282" spans="1:45" s="265" customFormat="1" ht="30" hidden="1" customHeight="1" x14ac:dyDescent="0.25">
      <c r="A1282" s="2084"/>
      <c r="B1282" s="2016"/>
      <c r="C1282" s="127"/>
      <c r="D1282" s="866" t="s">
        <v>10</v>
      </c>
      <c r="E1282" s="867">
        <v>46084</v>
      </c>
      <c r="F1282" s="75">
        <f>$L$7-E1282</f>
        <v>202</v>
      </c>
      <c r="G1282" s="64">
        <v>0</v>
      </c>
      <c r="H1282" s="64"/>
      <c r="I1282" s="64"/>
      <c r="J1282" s="1367"/>
      <c r="K1282" s="64">
        <f>IFERROR(SUMIF(INTAKE!$A:$A,$T1282,INTAKE!$P:$P),0)</f>
        <v>0</v>
      </c>
      <c r="L1282" s="1533">
        <f t="shared" si="780"/>
        <v>0</v>
      </c>
      <c r="M1282" s="1453"/>
      <c r="N1282" s="1460"/>
      <c r="O1282" s="1453"/>
      <c r="P1282" s="1480"/>
      <c r="Q1282" s="795"/>
      <c r="R1282" s="785">
        <f>IFERROR(VLOOKUP($Q1282,'391'!$S:$Z,8,0),"")</f>
        <v>0</v>
      </c>
      <c r="S1282" s="796"/>
      <c r="T1282" s="797" t="str">
        <f>$Q$1284&amp;C1282&amp;E1282</f>
        <v>Covotek (France)46084</v>
      </c>
      <c r="U1282" s="797"/>
      <c r="V1282" s="797"/>
      <c r="W1282" s="785">
        <f>IFERROR(VLOOKUP($Q1282,'391'!$S:$AG,15,0),0)</f>
        <v>0</v>
      </c>
      <c r="X1282" s="1090">
        <f t="shared" si="760"/>
        <v>0</v>
      </c>
      <c r="Y1282" s="785"/>
      <c r="Z1282" s="785"/>
      <c r="AA1282" s="797"/>
      <c r="AB1282" s="797"/>
      <c r="AC1282" s="551"/>
      <c r="AD1282" s="551"/>
      <c r="AE1282" s="551"/>
      <c r="AF1282" s="551"/>
      <c r="AG1282" s="551"/>
      <c r="AH1282" s="551"/>
      <c r="AI1282" s="704"/>
      <c r="AJ1282" s="704"/>
      <c r="AK1282" s="704"/>
      <c r="AL1282" s="704"/>
      <c r="AM1282" s="704"/>
      <c r="AN1282" s="704"/>
      <c r="AO1282" s="704"/>
      <c r="AP1282" s="704"/>
      <c r="AQ1282" s="704"/>
      <c r="AR1282" s="704"/>
      <c r="AS1282" s="704"/>
    </row>
    <row r="1283" spans="1:45" s="265" customFormat="1" ht="30" hidden="1" customHeight="1" x14ac:dyDescent="0.25">
      <c r="A1283" s="2085"/>
      <c r="B1283" s="2196"/>
      <c r="C1283" s="108" t="s">
        <v>46</v>
      </c>
      <c r="D1283" s="884" t="s">
        <v>10</v>
      </c>
      <c r="E1283" s="885">
        <v>46129</v>
      </c>
      <c r="F1283" s="293">
        <f>$L$7-E1283</f>
        <v>157</v>
      </c>
      <c r="G1283" s="1214">
        <v>0</v>
      </c>
      <c r="H1283" s="1214"/>
      <c r="I1283" s="1214">
        <f>+SUM(K1280:K1282)</f>
        <v>0</v>
      </c>
      <c r="J1283" s="1390">
        <f>+usage!I94</f>
        <v>0</v>
      </c>
      <c r="K1283" s="64">
        <f>IFERROR(SUMIF(INTAKE!$A:$A,$T1283,INTAKE!$P:$P),0)</f>
        <v>0</v>
      </c>
      <c r="L1283" s="1533">
        <f t="shared" si="780"/>
        <v>0</v>
      </c>
      <c r="M1283" s="1453"/>
      <c r="N1283" s="1460"/>
      <c r="O1283" s="1453"/>
      <c r="P1283" s="1480"/>
      <c r="Q1283" s="795"/>
      <c r="R1283" s="785">
        <f>IFERROR(VLOOKUP($Q1283,'391'!$S:$Z,8,0),"")</f>
        <v>0</v>
      </c>
      <c r="S1283" s="796"/>
      <c r="T1283" s="797" t="str">
        <f>$Q$1284&amp;C1283&amp;E1283</f>
        <v>Covotek (France)Feedmill46129</v>
      </c>
      <c r="U1283" s="797"/>
      <c r="V1283" s="797"/>
      <c r="W1283" s="785">
        <f>IFERROR(VLOOKUP($Q1283,'391'!$S:$AG,15,0),0)</f>
        <v>0</v>
      </c>
      <c r="X1283" s="1090">
        <f t="shared" si="760"/>
        <v>0</v>
      </c>
      <c r="Y1283" s="785"/>
      <c r="Z1283" s="785"/>
      <c r="AA1283" s="797"/>
      <c r="AB1283" s="797"/>
      <c r="AC1283" s="551"/>
      <c r="AD1283" s="551"/>
      <c r="AE1283" s="551"/>
      <c r="AF1283" s="551"/>
      <c r="AG1283" s="551"/>
      <c r="AH1283" s="551"/>
      <c r="AI1283" s="704"/>
      <c r="AJ1283" s="704"/>
      <c r="AK1283" s="704"/>
      <c r="AL1283" s="704"/>
      <c r="AM1283" s="704"/>
      <c r="AN1283" s="704"/>
      <c r="AO1283" s="704"/>
      <c r="AP1283" s="704"/>
      <c r="AQ1283" s="704"/>
      <c r="AR1283" s="704"/>
      <c r="AS1283" s="704"/>
    </row>
    <row r="1284" spans="1:45" s="265" customFormat="1" ht="30" hidden="1" customHeight="1" x14ac:dyDescent="0.25">
      <c r="A1284" s="184"/>
      <c r="B1284" s="184" t="s">
        <v>568</v>
      </c>
      <c r="C1284" s="575"/>
      <c r="D1284" s="900"/>
      <c r="E1284" s="901"/>
      <c r="F1284" s="902"/>
      <c r="G1284" s="1337">
        <v>0</v>
      </c>
      <c r="H1284" s="1337">
        <f t="shared" ref="H1284:L1284" si="793">+SUM(H1280:H1283)</f>
        <v>0</v>
      </c>
      <c r="I1284" s="1337">
        <f t="shared" si="793"/>
        <v>0</v>
      </c>
      <c r="J1284" s="1337">
        <f t="shared" si="793"/>
        <v>0</v>
      </c>
      <c r="K1284" s="1337">
        <f t="shared" si="793"/>
        <v>0</v>
      </c>
      <c r="L1284" s="1337">
        <f t="shared" si="793"/>
        <v>0</v>
      </c>
      <c r="M1284" s="59" t="str">
        <f>IFERROR(R1284/$S$2,"")</f>
        <v/>
      </c>
      <c r="N1284" s="854">
        <f>IFERROR((L1284/M1284),0)</f>
        <v>0</v>
      </c>
      <c r="O1284" s="59">
        <f>IFERROR(SUMIF(ETM!$A:$A,$Q1284,ETM!$E:$E),"")</f>
        <v>0</v>
      </c>
      <c r="P1284" s="880">
        <f>IFERROR(L1284/O1284,0)</f>
        <v>0</v>
      </c>
      <c r="Q1284" s="795" t="s">
        <v>342</v>
      </c>
      <c r="R1284" s="785" t="str">
        <f>IFERROR(VLOOKUP($Q1284,'391'!$S:$Z,8,0),"")</f>
        <v/>
      </c>
      <c r="S1284" s="796"/>
      <c r="T1284" s="797"/>
      <c r="U1284" s="797"/>
      <c r="V1284" s="797"/>
      <c r="W1284" s="785">
        <f>IFERROR(VLOOKUP($Q1284,'391'!$S:$AG,15,0),0)</f>
        <v>0</v>
      </c>
      <c r="X1284" s="1090">
        <f t="shared" ref="X1284:X1352" si="794">G1284-W1284</f>
        <v>0</v>
      </c>
      <c r="Y1284" s="785"/>
      <c r="Z1284" s="785"/>
      <c r="AA1284" s="797"/>
      <c r="AB1284" s="797"/>
      <c r="AC1284" s="551"/>
      <c r="AD1284" s="551"/>
      <c r="AE1284" s="551"/>
      <c r="AF1284" s="551"/>
      <c r="AG1284" s="551"/>
      <c r="AH1284" s="551"/>
      <c r="AI1284" s="704"/>
      <c r="AJ1284" s="704"/>
      <c r="AK1284" s="704"/>
      <c r="AL1284" s="704"/>
      <c r="AM1284" s="704"/>
      <c r="AN1284" s="704"/>
      <c r="AO1284" s="704"/>
      <c r="AP1284" s="704"/>
      <c r="AQ1284" s="704"/>
      <c r="AR1284" s="704"/>
      <c r="AS1284" s="704"/>
    </row>
    <row r="1285" spans="1:45" s="265" customFormat="1" ht="30" hidden="1" customHeight="1" x14ac:dyDescent="0.25">
      <c r="A1285" s="2083">
        <f>IF(L1290=0,"",MAX($A$16:A1284)+1)</f>
        <v>85</v>
      </c>
      <c r="B1285" s="2075" t="s">
        <v>1746</v>
      </c>
      <c r="C1285" s="574"/>
      <c r="D1285" s="881" t="s">
        <v>10</v>
      </c>
      <c r="E1285" s="882">
        <v>45758</v>
      </c>
      <c r="F1285" s="71">
        <f t="shared" ref="F1285:F1287" si="795">$L$7-E1285</f>
        <v>528</v>
      </c>
      <c r="G1285" s="64">
        <v>0</v>
      </c>
      <c r="H1285" s="64"/>
      <c r="I1285" s="64"/>
      <c r="J1285" s="1367"/>
      <c r="K1285" s="64">
        <f>IFERROR(SUMIF(INTAKE!$A:$A,$T1285,INTAKE!$P:$P),0)</f>
        <v>0</v>
      </c>
      <c r="L1285" s="1702">
        <f t="shared" ref="L1285:L1289" si="796">+G1285+H1285+I1285-J1285-K1285</f>
        <v>0</v>
      </c>
      <c r="M1285" s="50"/>
      <c r="N1285" s="50"/>
      <c r="O1285" s="50"/>
      <c r="P1285" s="744"/>
      <c r="Q1285" s="795"/>
      <c r="R1285" s="785">
        <f>IFERROR(VLOOKUP($Q1285,'391'!$S:$Z,8,0),"")</f>
        <v>0</v>
      </c>
      <c r="S1285" s="796"/>
      <c r="T1285" s="797" t="str">
        <f>$Q$1290&amp;C1285&amp;E1285</f>
        <v>Sucram (Switzerland)45758</v>
      </c>
      <c r="U1285" s="797"/>
      <c r="V1285" s="797"/>
      <c r="W1285" s="785">
        <f>IFERROR(VLOOKUP($Q1285,'391'!$S:$AG,15,0),0)</f>
        <v>0</v>
      </c>
      <c r="X1285" s="1090">
        <f t="shared" si="794"/>
        <v>0</v>
      </c>
      <c r="Y1285" s="785"/>
      <c r="Z1285" s="785"/>
      <c r="AA1285" s="797"/>
      <c r="AB1285" s="797"/>
      <c r="AC1285" s="551"/>
      <c r="AD1285" s="551"/>
      <c r="AE1285" s="551"/>
      <c r="AF1285" s="551"/>
      <c r="AG1285" s="551"/>
      <c r="AH1285" s="551"/>
      <c r="AI1285" s="704"/>
      <c r="AJ1285" s="704"/>
      <c r="AK1285" s="704"/>
      <c r="AL1285" s="704"/>
      <c r="AM1285" s="704"/>
      <c r="AN1285" s="704"/>
      <c r="AO1285" s="704"/>
      <c r="AP1285" s="704"/>
      <c r="AQ1285" s="704"/>
      <c r="AR1285" s="704"/>
      <c r="AS1285" s="704"/>
    </row>
    <row r="1286" spans="1:45" s="265" customFormat="1" ht="31.5" customHeight="1" x14ac:dyDescent="0.25">
      <c r="A1286" s="2084"/>
      <c r="B1286" s="2076"/>
      <c r="C1286" s="574" t="s">
        <v>1310</v>
      </c>
      <c r="D1286" s="881" t="s">
        <v>10</v>
      </c>
      <c r="E1286" s="882">
        <v>46247</v>
      </c>
      <c r="F1286" s="71">
        <f t="shared" ref="F1286" si="797">$L$7-E1286</f>
        <v>39</v>
      </c>
      <c r="G1286" s="64">
        <v>200</v>
      </c>
      <c r="H1286" s="64"/>
      <c r="I1286" s="64"/>
      <c r="J1286" s="1367"/>
      <c r="K1286" s="64">
        <f>IFERROR(SUMIF(INTAKE!$A:$A,$T1286,INTAKE!$P:$P),0)</f>
        <v>0</v>
      </c>
      <c r="L1286" s="1702">
        <f t="shared" si="796"/>
        <v>200</v>
      </c>
      <c r="M1286" s="48"/>
      <c r="N1286" s="48"/>
      <c r="O1286" s="48"/>
      <c r="P1286" s="738"/>
      <c r="Q1286" s="795"/>
      <c r="R1286" s="785">
        <f>IFERROR(VLOOKUP($Q1286,'391'!$S:$Z,8,0),"")</f>
        <v>0</v>
      </c>
      <c r="S1286" s="796"/>
      <c r="T1286" s="797" t="str">
        <f>$Q$1287&amp;C1286&amp;E1286</f>
        <v>SUCRAM 5S HYDRO (SWITZERLAND)V7.146247</v>
      </c>
      <c r="U1286" s="797"/>
      <c r="V1286" s="797"/>
      <c r="W1286" s="785">
        <f>IFERROR(VLOOKUP($Q1286,'391'!$S:$AG,15,0),0)</f>
        <v>0</v>
      </c>
      <c r="X1286" s="1090">
        <f t="shared" si="794"/>
        <v>200</v>
      </c>
      <c r="Y1286" s="785"/>
      <c r="Z1286" s="785"/>
      <c r="AA1286" s="797"/>
      <c r="AB1286" s="797"/>
      <c r="AC1286" s="551"/>
      <c r="AD1286" s="551"/>
      <c r="AE1286" s="551"/>
      <c r="AF1286" s="551"/>
      <c r="AG1286" s="551"/>
      <c r="AH1286" s="551"/>
      <c r="AI1286" s="704"/>
      <c r="AJ1286" s="704"/>
      <c r="AK1286" s="704"/>
      <c r="AL1286" s="704"/>
      <c r="AM1286" s="704"/>
      <c r="AN1286" s="704"/>
      <c r="AO1286" s="704"/>
      <c r="AP1286" s="704"/>
      <c r="AQ1286" s="704"/>
      <c r="AR1286" s="704"/>
      <c r="AS1286" s="704"/>
    </row>
    <row r="1287" spans="1:45" s="265" customFormat="1" ht="30" customHeight="1" x14ac:dyDescent="0.25">
      <c r="A1287" s="2084"/>
      <c r="B1287" s="2076"/>
      <c r="C1287" s="574" t="s">
        <v>1310</v>
      </c>
      <c r="D1287" s="881" t="s">
        <v>10</v>
      </c>
      <c r="E1287" s="882">
        <v>46275</v>
      </c>
      <c r="F1287" s="71">
        <f t="shared" si="795"/>
        <v>11</v>
      </c>
      <c r="G1287" s="64">
        <v>500</v>
      </c>
      <c r="H1287" s="64"/>
      <c r="I1287" s="64"/>
      <c r="J1287" s="1367"/>
      <c r="K1287" s="64">
        <f>IFERROR(SUMIF(INTAKE!$A:$A,$T1287,INTAKE!$P:$P),0)</f>
        <v>0</v>
      </c>
      <c r="L1287" s="1702">
        <f t="shared" si="796"/>
        <v>500</v>
      </c>
      <c r="M1287" s="48"/>
      <c r="N1287" s="48"/>
      <c r="O1287" s="48"/>
      <c r="P1287" s="738"/>
      <c r="Q1287" s="666" t="s">
        <v>1719</v>
      </c>
      <c r="R1287" s="785">
        <f>IFERROR(VLOOKUP($Q1287,'391'!$S:$Z,8,0),"")</f>
        <v>170.8</v>
      </c>
      <c r="S1287" s="796"/>
      <c r="T1287" s="797" t="str">
        <f>$Q$1287&amp;C1287&amp;E1287</f>
        <v>SUCRAM 5S HYDRO (SWITZERLAND)V7.146275</v>
      </c>
      <c r="U1287" s="797"/>
      <c r="V1287" s="797"/>
      <c r="W1287" s="785">
        <f>IFERROR(VLOOKUP($Q1287,'391'!$S:$AG,15,0),0)</f>
        <v>750.1</v>
      </c>
      <c r="X1287" s="1090">
        <f t="shared" si="794"/>
        <v>-250.10000000000002</v>
      </c>
      <c r="Y1287" s="785"/>
      <c r="Z1287" s="785"/>
      <c r="AA1287" s="797"/>
      <c r="AB1287" s="797"/>
      <c r="AC1287" s="551"/>
      <c r="AD1287" s="551"/>
      <c r="AE1287" s="551"/>
      <c r="AF1287" s="551"/>
      <c r="AG1287" s="551"/>
      <c r="AH1287" s="551"/>
      <c r="AI1287" s="704"/>
      <c r="AJ1287" s="704"/>
      <c r="AK1287" s="704"/>
      <c r="AL1287" s="704"/>
      <c r="AM1287" s="704"/>
      <c r="AN1287" s="704"/>
      <c r="AO1287" s="704"/>
      <c r="AP1287" s="704"/>
      <c r="AQ1287" s="704"/>
      <c r="AR1287" s="704"/>
      <c r="AS1287" s="704"/>
    </row>
    <row r="1288" spans="1:45" s="265" customFormat="1" ht="30" hidden="1" customHeight="1" x14ac:dyDescent="0.25">
      <c r="A1288" s="2084"/>
      <c r="B1288" s="2076"/>
      <c r="C1288" s="574"/>
      <c r="D1288" s="881" t="s">
        <v>10</v>
      </c>
      <c r="E1288" s="882">
        <v>46247</v>
      </c>
      <c r="F1288" s="71">
        <f t="shared" ref="F1288:F1289" si="798">$L$7-E1288</f>
        <v>39</v>
      </c>
      <c r="G1288" s="64">
        <v>0</v>
      </c>
      <c r="H1288" s="64"/>
      <c r="I1288" s="64"/>
      <c r="J1288" s="1367"/>
      <c r="K1288" s="64">
        <f>IFERROR(SUMIF(INTAKE!$A:$A,$T1288,INTAKE!$P:$P),0)</f>
        <v>0</v>
      </c>
      <c r="L1288" s="1702">
        <f t="shared" si="796"/>
        <v>0</v>
      </c>
      <c r="M1288" s="48"/>
      <c r="N1288" s="48"/>
      <c r="O1288" s="48"/>
      <c r="P1288" s="738"/>
      <c r="Q1288" s="795"/>
      <c r="R1288" s="785">
        <f>IFERROR(VLOOKUP($Q1288,'391'!$S:$Z,8,0),"")</f>
        <v>0</v>
      </c>
      <c r="S1288" s="796"/>
      <c r="T1288" s="797" t="str">
        <f>$Q$1290&amp;C1288&amp;E1288</f>
        <v>Sucram (Switzerland)46247</v>
      </c>
      <c r="U1288" s="797"/>
      <c r="V1288" s="797"/>
      <c r="W1288" s="785">
        <f>IFERROR(VLOOKUP($Q1288,'391'!$S:$AG,15,0),0)</f>
        <v>0</v>
      </c>
      <c r="X1288" s="1090">
        <f t="shared" si="794"/>
        <v>0</v>
      </c>
      <c r="Y1288" s="785"/>
      <c r="Z1288" s="785"/>
      <c r="AA1288" s="797"/>
      <c r="AB1288" s="797"/>
      <c r="AC1288" s="551"/>
      <c r="AD1288" s="551"/>
      <c r="AE1288" s="551"/>
      <c r="AF1288" s="551"/>
      <c r="AG1288" s="551"/>
      <c r="AH1288" s="551"/>
      <c r="AI1288" s="704"/>
      <c r="AJ1288" s="704"/>
      <c r="AK1288" s="704"/>
      <c r="AL1288" s="704"/>
      <c r="AM1288" s="704"/>
      <c r="AN1288" s="704"/>
      <c r="AO1288" s="704"/>
      <c r="AP1288" s="704"/>
      <c r="AQ1288" s="704"/>
      <c r="AR1288" s="704"/>
      <c r="AS1288" s="704"/>
    </row>
    <row r="1289" spans="1:45" s="265" customFormat="1" ht="30" customHeight="1" x14ac:dyDescent="0.25">
      <c r="A1289" s="2085"/>
      <c r="B1289" s="2192"/>
      <c r="C1289" s="138" t="s">
        <v>76</v>
      </c>
      <c r="D1289" s="884" t="s">
        <v>10</v>
      </c>
      <c r="E1289" s="885">
        <v>46247</v>
      </c>
      <c r="F1289" s="293">
        <f t="shared" si="798"/>
        <v>39</v>
      </c>
      <c r="G1289" s="1214">
        <v>50.099999999999987</v>
      </c>
      <c r="H1289" s="37"/>
      <c r="I1289" s="37">
        <f>SUM(K1285:K1288)</f>
        <v>0</v>
      </c>
      <c r="J1289" s="1385">
        <f>+usage!I93</f>
        <v>9.0500000000000007</v>
      </c>
      <c r="K1289" s="64">
        <f>IFERROR(SUMIF(INTAKE!$A:$A,$T1289,INTAKE!$P:$P),0)</f>
        <v>0</v>
      </c>
      <c r="L1289" s="1533">
        <f t="shared" si="796"/>
        <v>41.049999999999983</v>
      </c>
      <c r="M1289" s="35"/>
      <c r="N1289" s="35"/>
      <c r="O1289" s="35"/>
      <c r="P1289" s="740"/>
      <c r="Q1289" s="795"/>
      <c r="R1289" s="785">
        <f>IFERROR(VLOOKUP($Q1289,'391'!$S:$Z,8,0),"")</f>
        <v>0</v>
      </c>
      <c r="S1289" s="796"/>
      <c r="T1289" s="797" t="str">
        <f>$Q$1290&amp;C1289&amp;E1289</f>
        <v>Sucram (Switzerland)Feedmil46247</v>
      </c>
      <c r="U1289" s="797"/>
      <c r="V1289" s="797"/>
      <c r="W1289" s="785">
        <f>IFERROR(VLOOKUP($Q1289,'391'!$S:$AG,15,0),0)</f>
        <v>0</v>
      </c>
      <c r="X1289" s="1090">
        <f t="shared" si="794"/>
        <v>50.099999999999987</v>
      </c>
      <c r="Y1289" s="785"/>
      <c r="Z1289" s="785"/>
      <c r="AA1289" s="797"/>
      <c r="AB1289" s="797"/>
      <c r="AC1289" s="551"/>
      <c r="AD1289" s="551"/>
      <c r="AE1289" s="551"/>
      <c r="AF1289" s="551"/>
      <c r="AG1289" s="551"/>
      <c r="AH1289" s="551"/>
      <c r="AI1289" s="704"/>
      <c r="AJ1289" s="704"/>
      <c r="AK1289" s="704"/>
      <c r="AL1289" s="704"/>
      <c r="AM1289" s="704"/>
      <c r="AN1289" s="704"/>
      <c r="AO1289" s="704"/>
      <c r="AP1289" s="704"/>
      <c r="AQ1289" s="704"/>
      <c r="AR1289" s="704"/>
      <c r="AS1289" s="704"/>
    </row>
    <row r="1290" spans="1:45" s="265" customFormat="1" ht="30" customHeight="1" x14ac:dyDescent="0.25">
      <c r="A1290" s="184"/>
      <c r="B1290" s="184" t="s">
        <v>323</v>
      </c>
      <c r="C1290" s="575"/>
      <c r="D1290" s="900"/>
      <c r="E1290" s="901"/>
      <c r="F1290" s="902"/>
      <c r="G1290" s="1337">
        <v>750.1</v>
      </c>
      <c r="H1290" s="1337">
        <f t="shared" ref="H1290:L1290" si="799">+SUM(H1285:H1289)</f>
        <v>0</v>
      </c>
      <c r="I1290" s="1337">
        <f t="shared" si="799"/>
        <v>0</v>
      </c>
      <c r="J1290" s="1337">
        <f t="shared" si="799"/>
        <v>9.0500000000000007</v>
      </c>
      <c r="K1290" s="1337">
        <f t="shared" si="799"/>
        <v>0</v>
      </c>
      <c r="L1290" s="1337">
        <f t="shared" si="799"/>
        <v>741.05</v>
      </c>
      <c r="M1290" s="59">
        <f>IFERROR(S1290/$S$2,"")</f>
        <v>28.466666666666669</v>
      </c>
      <c r="N1290" s="854">
        <f>IFERROR((L1290/M1290),0)</f>
        <v>26.032201405152222</v>
      </c>
      <c r="O1290" s="59">
        <f>IFERROR(SUMIF(ETM!$A:$A,$Q1290,ETM!$E:$E),"")</f>
        <v>25.666666666666668</v>
      </c>
      <c r="P1290" s="880">
        <f>IFERROR(L1290/O1290,0)</f>
        <v>28.872077922077921</v>
      </c>
      <c r="Q1290" s="795" t="s">
        <v>323</v>
      </c>
      <c r="R1290" s="785" t="str">
        <f>IFERROR(VLOOKUP($Q1290,'391'!$S:$Z,8,0),"0")</f>
        <v>0</v>
      </c>
      <c r="S1290" s="819">
        <f>+R1287+R1290</f>
        <v>170.8</v>
      </c>
      <c r="T1290" s="797"/>
      <c r="U1290" s="797"/>
      <c r="V1290" s="797"/>
      <c r="W1290" s="785">
        <f>IFERROR(VLOOKUP($Q1290,'391'!$S:$AG,15,0),0)</f>
        <v>0</v>
      </c>
      <c r="X1290" s="1090">
        <f>G1290-W1290-W1287</f>
        <v>0</v>
      </c>
      <c r="Y1290" s="785"/>
      <c r="Z1290" s="785"/>
      <c r="AA1290" s="797"/>
      <c r="AB1290" s="797"/>
      <c r="AC1290" s="551"/>
      <c r="AD1290" s="551"/>
      <c r="AE1290" s="551"/>
      <c r="AF1290" s="551"/>
      <c r="AG1290" s="551"/>
      <c r="AH1290" s="551"/>
      <c r="AI1290" s="704"/>
      <c r="AJ1290" s="704"/>
      <c r="AK1290" s="704"/>
      <c r="AL1290" s="704"/>
      <c r="AM1290" s="704"/>
      <c r="AN1290" s="704"/>
      <c r="AO1290" s="704"/>
      <c r="AP1290" s="704"/>
      <c r="AQ1290" s="704"/>
      <c r="AR1290" s="704"/>
      <c r="AS1290" s="704"/>
    </row>
    <row r="1291" spans="1:45" s="265" customFormat="1" ht="30" hidden="1" customHeight="1" x14ac:dyDescent="0.25">
      <c r="A1291" s="2083">
        <f>IF(L1295=0,"",MAX($A$16:A1290)+1)</f>
        <v>86</v>
      </c>
      <c r="B1291" s="2024" t="s">
        <v>471</v>
      </c>
      <c r="C1291" s="114"/>
      <c r="D1291" s="881" t="s">
        <v>10</v>
      </c>
      <c r="E1291" s="935">
        <v>46016</v>
      </c>
      <c r="F1291" s="71">
        <f>$L$7-E1291</f>
        <v>270</v>
      </c>
      <c r="G1291" s="64">
        <v>0</v>
      </c>
      <c r="H1291" s="64"/>
      <c r="I1291" s="64"/>
      <c r="J1291" s="1367"/>
      <c r="K1291" s="64">
        <f>IFERROR(SUMIF(INTAKE!$A:$A,$T1291,INTAKE!$P:$P),0)</f>
        <v>0</v>
      </c>
      <c r="L1291" s="1702">
        <f>+G1291+H1291+I1291-J1291-K1291</f>
        <v>0</v>
      </c>
      <c r="M1291" s="48"/>
      <c r="N1291" s="163"/>
      <c r="O1291" s="48"/>
      <c r="P1291" s="738"/>
      <c r="Q1291" s="795"/>
      <c r="R1291" s="785">
        <f>IFERROR(VLOOKUP($Q1291,'391'!$S:$Z,8,0),"")</f>
        <v>0</v>
      </c>
      <c r="S1291" s="796"/>
      <c r="T1291" s="797" t="str">
        <f>$Q$1295&amp;C1291&amp;E1291</f>
        <v>Hizox (France)46016</v>
      </c>
      <c r="U1291" s="797"/>
      <c r="V1291" s="797"/>
      <c r="W1291" s="785">
        <f>IFERROR(VLOOKUP($Q1291,'391'!$S:$AG,15,0),0)</f>
        <v>0</v>
      </c>
      <c r="X1291" s="1090">
        <f t="shared" si="794"/>
        <v>0</v>
      </c>
      <c r="Y1291" s="785"/>
      <c r="Z1291" s="785"/>
      <c r="AA1291" s="797"/>
      <c r="AB1291" s="797"/>
      <c r="AC1291" s="551"/>
      <c r="AD1291" s="551"/>
      <c r="AE1291" s="551"/>
      <c r="AF1291" s="551"/>
      <c r="AG1291" s="551"/>
      <c r="AH1291" s="551"/>
      <c r="AI1291" s="704"/>
      <c r="AJ1291" s="704"/>
      <c r="AK1291" s="704"/>
      <c r="AL1291" s="704"/>
      <c r="AM1291" s="704"/>
      <c r="AN1291" s="704"/>
      <c r="AO1291" s="704"/>
      <c r="AP1291" s="704"/>
      <c r="AQ1291" s="704"/>
      <c r="AR1291" s="704"/>
      <c r="AS1291" s="704"/>
    </row>
    <row r="1292" spans="1:45" s="265" customFormat="1" ht="30" customHeight="1" x14ac:dyDescent="0.25">
      <c r="A1292" s="2084"/>
      <c r="B1292" s="2025"/>
      <c r="C1292" s="114" t="s">
        <v>1868</v>
      </c>
      <c r="D1292" s="881" t="s">
        <v>10</v>
      </c>
      <c r="E1292" s="935">
        <v>46247</v>
      </c>
      <c r="F1292" s="71">
        <f>$L$7-E1292</f>
        <v>39</v>
      </c>
      <c r="G1292" s="64">
        <v>575</v>
      </c>
      <c r="H1292" s="64"/>
      <c r="I1292" s="64"/>
      <c r="J1292" s="1367"/>
      <c r="K1292" s="64">
        <f>IFERROR(SUMIF(INTAKE!$A:$A,$T1292,INTAKE!$P:$P),0)</f>
        <v>0</v>
      </c>
      <c r="L1292" s="1702">
        <f>+G1292+H1292+I1292-J1292-K1292</f>
        <v>575</v>
      </c>
      <c r="M1292" s="45"/>
      <c r="N1292" s="163"/>
      <c r="O1292" s="45"/>
      <c r="P1292" s="738"/>
      <c r="Q1292" s="795"/>
      <c r="R1292" s="785">
        <f>IFERROR(VLOOKUP($Q1292,'391'!$S:$Z,8,0),"")</f>
        <v>0</v>
      </c>
      <c r="S1292" s="796"/>
      <c r="T1292" s="797" t="str">
        <f>$Q$1295&amp;C1292&amp;E1292</f>
        <v>Hizox (France)D246247</v>
      </c>
      <c r="U1292" s="797"/>
      <c r="V1292" s="797"/>
      <c r="W1292" s="785">
        <f>IFERROR(VLOOKUP($Q1292,'391'!$S:$AG,15,0),0)</f>
        <v>0</v>
      </c>
      <c r="X1292" s="1090">
        <f t="shared" si="794"/>
        <v>575</v>
      </c>
      <c r="Y1292" s="785"/>
      <c r="Z1292" s="785"/>
      <c r="AA1292" s="797"/>
      <c r="AB1292" s="797"/>
      <c r="AC1292" s="551"/>
      <c r="AD1292" s="551"/>
      <c r="AE1292" s="551"/>
      <c r="AF1292" s="551"/>
      <c r="AG1292" s="551"/>
      <c r="AH1292" s="551"/>
      <c r="AI1292" s="704"/>
      <c r="AJ1292" s="704"/>
      <c r="AK1292" s="704"/>
      <c r="AL1292" s="704"/>
      <c r="AM1292" s="704"/>
      <c r="AN1292" s="704"/>
      <c r="AO1292" s="704"/>
      <c r="AP1292" s="704"/>
      <c r="AQ1292" s="704"/>
      <c r="AR1292" s="704"/>
      <c r="AS1292" s="704"/>
    </row>
    <row r="1293" spans="1:45" s="265" customFormat="1" ht="30" hidden="1" customHeight="1" x14ac:dyDescent="0.25">
      <c r="A1293" s="2084"/>
      <c r="B1293" s="2025"/>
      <c r="C1293" s="114"/>
      <c r="D1293" s="881" t="s">
        <v>10</v>
      </c>
      <c r="E1293" s="935">
        <v>46247</v>
      </c>
      <c r="F1293" s="71">
        <f>$L$7-E1293</f>
        <v>39</v>
      </c>
      <c r="G1293" s="64">
        <v>0</v>
      </c>
      <c r="H1293" s="64"/>
      <c r="I1293" s="64"/>
      <c r="J1293" s="1367"/>
      <c r="K1293" s="64">
        <f>IFERROR(SUMIF(INTAKE!$A:$A,$T1293,INTAKE!$P:$P),0)</f>
        <v>0</v>
      </c>
      <c r="L1293" s="1702">
        <f>+G1293+H1293+I1293-J1293-K1293</f>
        <v>0</v>
      </c>
      <c r="M1293" s="45"/>
      <c r="N1293" s="163"/>
      <c r="O1293" s="45"/>
      <c r="P1293" s="738"/>
      <c r="Q1293" s="795"/>
      <c r="R1293" s="785">
        <f>IFERROR(VLOOKUP($Q1293,'391'!$S:$Z,8,0),"")</f>
        <v>0</v>
      </c>
      <c r="S1293" s="796"/>
      <c r="T1293" s="797" t="str">
        <f>$Q$1295&amp;C1293&amp;E1293</f>
        <v>Hizox (France)46247</v>
      </c>
      <c r="U1293" s="797"/>
      <c r="V1293" s="797"/>
      <c r="W1293" s="785">
        <f>IFERROR(VLOOKUP($Q1293,'391'!$S:$AG,15,0),0)</f>
        <v>0</v>
      </c>
      <c r="X1293" s="1090">
        <f t="shared" si="794"/>
        <v>0</v>
      </c>
      <c r="Y1293" s="785"/>
      <c r="Z1293" s="785"/>
      <c r="AA1293" s="797"/>
      <c r="AB1293" s="797"/>
      <c r="AC1293" s="551"/>
      <c r="AD1293" s="551"/>
      <c r="AE1293" s="551"/>
      <c r="AF1293" s="551"/>
      <c r="AG1293" s="551"/>
      <c r="AH1293" s="551"/>
      <c r="AI1293" s="704"/>
      <c r="AJ1293" s="704"/>
      <c r="AK1293" s="704"/>
      <c r="AL1293" s="704"/>
      <c r="AM1293" s="704"/>
      <c r="AN1293" s="704"/>
      <c r="AO1293" s="704"/>
      <c r="AP1293" s="704"/>
      <c r="AQ1293" s="704"/>
      <c r="AR1293" s="704"/>
      <c r="AS1293" s="704"/>
    </row>
    <row r="1294" spans="1:45" s="265" customFormat="1" ht="30" customHeight="1" x14ac:dyDescent="0.25">
      <c r="A1294" s="2085"/>
      <c r="B1294" s="2026"/>
      <c r="C1294" s="108" t="s">
        <v>46</v>
      </c>
      <c r="D1294" s="884" t="s">
        <v>10</v>
      </c>
      <c r="E1294" s="885">
        <v>46219</v>
      </c>
      <c r="F1294" s="293">
        <f>$L$7-E1294</f>
        <v>67</v>
      </c>
      <c r="G1294" s="1214">
        <v>100.16</v>
      </c>
      <c r="H1294" s="37"/>
      <c r="I1294" s="37">
        <f>SUM(K1291:K1293)</f>
        <v>0</v>
      </c>
      <c r="J1294" s="1385">
        <f>+usage!I130</f>
        <v>0</v>
      </c>
      <c r="K1294" s="64">
        <f>IFERROR(SUMIF(INTAKE!$A:$A,$T1294,INTAKE!$P:$P),0)</f>
        <v>0</v>
      </c>
      <c r="L1294" s="1533">
        <f>+G1294+H1294+I1294-J1294-K1294</f>
        <v>100.16</v>
      </c>
      <c r="M1294" s="35"/>
      <c r="N1294" s="920"/>
      <c r="O1294" s="35"/>
      <c r="P1294" s="738"/>
      <c r="Q1294" s="795"/>
      <c r="R1294" s="785">
        <f>IFERROR(VLOOKUP($Q1294,'391'!$S:$Z,8,0),"")</f>
        <v>0</v>
      </c>
      <c r="S1294" s="796"/>
      <c r="T1294" s="797" t="str">
        <f>$Q$1295&amp;C1294&amp;E1294</f>
        <v>Hizox (France)Feedmill46219</v>
      </c>
      <c r="U1294" s="797"/>
      <c r="V1294" s="797"/>
      <c r="W1294" s="785">
        <f>IFERROR(VLOOKUP($Q1294,'391'!$S:$AG,15,0),0)</f>
        <v>0</v>
      </c>
      <c r="X1294" s="1090">
        <f t="shared" si="794"/>
        <v>100.16</v>
      </c>
      <c r="Y1294" s="785"/>
      <c r="Z1294" s="785"/>
      <c r="AA1294" s="797"/>
      <c r="AB1294" s="797"/>
      <c r="AC1294" s="551"/>
      <c r="AD1294" s="551"/>
      <c r="AE1294" s="551"/>
      <c r="AF1294" s="551"/>
      <c r="AG1294" s="551"/>
      <c r="AH1294" s="551"/>
      <c r="AI1294" s="704"/>
      <c r="AJ1294" s="704"/>
      <c r="AK1294" s="704"/>
      <c r="AL1294" s="704"/>
      <c r="AM1294" s="704"/>
      <c r="AN1294" s="704"/>
      <c r="AO1294" s="704"/>
      <c r="AP1294" s="704"/>
      <c r="AQ1294" s="704"/>
      <c r="AR1294" s="704"/>
      <c r="AS1294" s="704"/>
    </row>
    <row r="1295" spans="1:45" s="265" customFormat="1" ht="30" customHeight="1" x14ac:dyDescent="0.25">
      <c r="A1295" s="184"/>
      <c r="B1295" s="184" t="s">
        <v>567</v>
      </c>
      <c r="C1295" s="575"/>
      <c r="D1295" s="900"/>
      <c r="E1295" s="901"/>
      <c r="F1295" s="902"/>
      <c r="G1295" s="1337">
        <v>675.16</v>
      </c>
      <c r="H1295" s="1337">
        <f>+SUM(H1291:H1294)</f>
        <v>0</v>
      </c>
      <c r="I1295" s="1337">
        <f>+SUM(I1291:I1294)</f>
        <v>0</v>
      </c>
      <c r="J1295" s="1337">
        <f t="shared" ref="J1295" si="800">+SUM(J1291:J1294)</f>
        <v>0</v>
      </c>
      <c r="K1295" s="1337">
        <f t="shared" ref="K1295:L1295" si="801">+SUM(K1291:K1294)</f>
        <v>0</v>
      </c>
      <c r="L1295" s="1337">
        <f t="shared" si="801"/>
        <v>675.16</v>
      </c>
      <c r="M1295" s="59">
        <f>IFERROR(R1295/$S$2,"")</f>
        <v>12.586666666666666</v>
      </c>
      <c r="N1295" s="366">
        <f>IFERROR(L1295/M1295,0)</f>
        <v>53.640889830508478</v>
      </c>
      <c r="O1295" s="59">
        <f>IFERROR(SUMIF(ETM!$A:$A,$Q1295,ETM!$E:$E),"")</f>
        <v>16.999999999999996</v>
      </c>
      <c r="P1295" s="880">
        <f>IFERROR(L1295/O1295,0)</f>
        <v>39.715294117647062</v>
      </c>
      <c r="Q1295" s="795" t="s">
        <v>471</v>
      </c>
      <c r="R1295" s="785">
        <f>IFERROR(VLOOKUP($Q1295,'391'!$S:$Z,8,0),"")</f>
        <v>75.52</v>
      </c>
      <c r="S1295" s="796"/>
      <c r="T1295" s="797"/>
      <c r="U1295" s="797"/>
      <c r="V1295" s="797"/>
      <c r="W1295" s="785">
        <f>IFERROR(VLOOKUP($Q1295,'391'!$S:$AG,15,0),0)</f>
        <v>675.16</v>
      </c>
      <c r="X1295" s="1090">
        <f t="shared" si="794"/>
        <v>0</v>
      </c>
      <c r="Y1295" s="785"/>
      <c r="Z1295" s="785"/>
      <c r="AA1295" s="797"/>
      <c r="AB1295" s="797"/>
      <c r="AC1295" s="551"/>
      <c r="AD1295" s="551"/>
      <c r="AE1295" s="551"/>
      <c r="AF1295" s="551"/>
      <c r="AG1295" s="551"/>
      <c r="AH1295" s="551"/>
      <c r="AI1295" s="704"/>
      <c r="AJ1295" s="704"/>
      <c r="AK1295" s="704"/>
      <c r="AL1295" s="704"/>
      <c r="AM1295" s="704"/>
      <c r="AN1295" s="704"/>
      <c r="AO1295" s="704"/>
      <c r="AP1295" s="704"/>
      <c r="AQ1295" s="704"/>
      <c r="AR1295" s="704"/>
      <c r="AS1295" s="704"/>
    </row>
    <row r="1296" spans="1:45" s="265" customFormat="1" ht="30" customHeight="1" x14ac:dyDescent="0.25">
      <c r="A1296" s="2083">
        <f>IF(L1300=0,"",MAX($A$16:A1295)+1)</f>
        <v>87</v>
      </c>
      <c r="B1296" s="2012" t="s">
        <v>516</v>
      </c>
      <c r="C1296" s="574" t="s">
        <v>1715</v>
      </c>
      <c r="D1296" s="881" t="s">
        <v>10</v>
      </c>
      <c r="E1296" s="882">
        <v>46178</v>
      </c>
      <c r="F1296" s="71">
        <f>$L$7-E1296</f>
        <v>108</v>
      </c>
      <c r="G1296" s="64">
        <v>6000</v>
      </c>
      <c r="H1296" s="64"/>
      <c r="I1296" s="64"/>
      <c r="J1296" s="1404"/>
      <c r="K1296" s="1348">
        <f>IFERROR(SUMIF(INTAKE!$A:$A,$T1296,INTAKE!$P:$P),0)</f>
        <v>0</v>
      </c>
      <c r="L1296" s="1702">
        <f>+G1296+H1296+I1296-J1296-K1296</f>
        <v>6000</v>
      </c>
      <c r="M1296" s="48"/>
      <c r="N1296" s="163"/>
      <c r="O1296" s="48"/>
      <c r="P1296" s="737"/>
      <c r="Q1296" s="795"/>
      <c r="R1296" s="785">
        <f>IFERROR(VLOOKUP($Q1296,'391'!$S:$Z,8,0),"")</f>
        <v>0</v>
      </c>
      <c r="S1296" s="796"/>
      <c r="T1296" s="797" t="str">
        <f>$Q$1300&amp;C1296&amp;E1296</f>
        <v xml:space="preserve"> Salcurb RME Liquid (Singapore)A15.246178</v>
      </c>
      <c r="U1296" s="797"/>
      <c r="V1296" s="797"/>
      <c r="W1296" s="785">
        <f>IFERROR(VLOOKUP($Q1296,'391'!$S:$AG,15,0),0)</f>
        <v>0</v>
      </c>
      <c r="X1296" s="1090">
        <f t="shared" si="794"/>
        <v>6000</v>
      </c>
      <c r="Y1296" s="785"/>
      <c r="Z1296" s="785"/>
      <c r="AA1296" s="797"/>
      <c r="AB1296" s="797"/>
      <c r="AC1296" s="551"/>
      <c r="AD1296" s="551"/>
      <c r="AE1296" s="551"/>
      <c r="AF1296" s="551"/>
      <c r="AG1296" s="551"/>
      <c r="AH1296" s="551"/>
      <c r="AI1296" s="704"/>
      <c r="AJ1296" s="704"/>
      <c r="AK1296" s="704"/>
      <c r="AL1296" s="704"/>
      <c r="AM1296" s="704"/>
      <c r="AN1296" s="704"/>
      <c r="AO1296" s="704"/>
      <c r="AP1296" s="704"/>
      <c r="AQ1296" s="704"/>
      <c r="AR1296" s="704"/>
      <c r="AS1296" s="704"/>
    </row>
    <row r="1297" spans="1:45" s="265" customFormat="1" ht="30" customHeight="1" x14ac:dyDescent="0.25">
      <c r="A1297" s="2084"/>
      <c r="B1297" s="2013"/>
      <c r="C1297" s="574" t="s">
        <v>1715</v>
      </c>
      <c r="D1297" s="881" t="s">
        <v>10</v>
      </c>
      <c r="E1297" s="882">
        <v>46241</v>
      </c>
      <c r="F1297" s="71">
        <f>$L$7-E1297</f>
        <v>45</v>
      </c>
      <c r="G1297" s="64">
        <v>10000</v>
      </c>
      <c r="H1297" s="63"/>
      <c r="I1297" s="63"/>
      <c r="J1297" s="1419"/>
      <c r="K1297" s="1348">
        <f>IFERROR(SUMIF(INTAKE!$A:$A,$T1297,INTAKE!$P:$P),0)</f>
        <v>0</v>
      </c>
      <c r="L1297" s="1702">
        <f>+G1297+H1297+I1297-J1297-K1297</f>
        <v>10000</v>
      </c>
      <c r="M1297" s="48"/>
      <c r="N1297" s="163"/>
      <c r="O1297" s="48"/>
      <c r="P1297" s="738"/>
      <c r="Q1297" s="795"/>
      <c r="R1297" s="785">
        <f>IFERROR(VLOOKUP($Q1297,'391'!$S:$Z,8,0),"")</f>
        <v>0</v>
      </c>
      <c r="S1297" s="796"/>
      <c r="T1297" s="797" t="str">
        <f>$Q$1300&amp;C1297&amp;E1297</f>
        <v xml:space="preserve"> Salcurb RME Liquid (Singapore)A15.246241</v>
      </c>
      <c r="U1297" s="797"/>
      <c r="V1297" s="797"/>
      <c r="W1297" s="785">
        <f>IFERROR(VLOOKUP($Q1297,'391'!$S:$AG,15,0),0)</f>
        <v>0</v>
      </c>
      <c r="X1297" s="1090">
        <f t="shared" si="794"/>
        <v>10000</v>
      </c>
      <c r="Y1297" s="785"/>
      <c r="Z1297" s="785"/>
      <c r="AA1297" s="797"/>
      <c r="AB1297" s="797"/>
      <c r="AC1297" s="551"/>
      <c r="AD1297" s="551"/>
      <c r="AE1297" s="551"/>
      <c r="AF1297" s="551"/>
      <c r="AG1297" s="551"/>
      <c r="AH1297" s="551"/>
      <c r="AI1297" s="704"/>
      <c r="AJ1297" s="704"/>
      <c r="AK1297" s="704"/>
      <c r="AL1297" s="704"/>
      <c r="AM1297" s="704"/>
      <c r="AN1297" s="704"/>
      <c r="AO1297" s="704"/>
      <c r="AP1297" s="704"/>
      <c r="AQ1297" s="704"/>
      <c r="AR1297" s="704"/>
      <c r="AS1297" s="704"/>
    </row>
    <row r="1298" spans="1:45" s="265" customFormat="1" ht="30" hidden="1" customHeight="1" x14ac:dyDescent="0.25">
      <c r="A1298" s="2084"/>
      <c r="B1298" s="2013"/>
      <c r="C1298" s="574"/>
      <c r="D1298" s="881" t="s">
        <v>10</v>
      </c>
      <c r="E1298" s="882">
        <v>45839</v>
      </c>
      <c r="F1298" s="71">
        <f>$L$7-E1298</f>
        <v>447</v>
      </c>
      <c r="G1298" s="64">
        <v>0</v>
      </c>
      <c r="H1298" s="63"/>
      <c r="I1298" s="63"/>
      <c r="J1298" s="1419"/>
      <c r="K1298" s="1348">
        <f>IFERROR(SUMIF(INTAKE!$A:$A,$T1298,INTAKE!$P:$P),0)</f>
        <v>0</v>
      </c>
      <c r="L1298" s="1702">
        <f>+G1298+H1298+I1298-J1298-K1298</f>
        <v>0</v>
      </c>
      <c r="M1298" s="45"/>
      <c r="N1298" s="1060"/>
      <c r="O1298" s="45"/>
      <c r="P1298" s="736"/>
      <c r="Q1298" s="795"/>
      <c r="R1298" s="785">
        <f>IFERROR(VLOOKUP($Q1298,'391'!$S:$Z,8,0),"")</f>
        <v>0</v>
      </c>
      <c r="S1298" s="796"/>
      <c r="T1298" s="797" t="str">
        <f>$Q$1300&amp;C1298&amp;E1298</f>
        <v xml:space="preserve"> Salcurb RME Liquid (Singapore)45839</v>
      </c>
      <c r="U1298" s="797"/>
      <c r="V1298" s="797"/>
      <c r="W1298" s="785">
        <f>IFERROR(VLOOKUP($Q1298,'391'!$S:$AG,15,0),0)</f>
        <v>0</v>
      </c>
      <c r="X1298" s="1090">
        <f t="shared" si="794"/>
        <v>0</v>
      </c>
      <c r="Y1298" s="785"/>
      <c r="Z1298" s="785"/>
      <c r="AA1298" s="797"/>
      <c r="AB1298" s="797"/>
      <c r="AC1298" s="551"/>
      <c r="AD1298" s="551"/>
      <c r="AE1298" s="551"/>
      <c r="AF1298" s="551"/>
      <c r="AG1298" s="551"/>
      <c r="AH1298" s="551"/>
      <c r="AI1298" s="704"/>
      <c r="AJ1298" s="704"/>
      <c r="AK1298" s="704"/>
      <c r="AL1298" s="704"/>
      <c r="AM1298" s="704"/>
      <c r="AN1298" s="704"/>
      <c r="AO1298" s="704"/>
      <c r="AP1298" s="704"/>
      <c r="AQ1298" s="704"/>
      <c r="AR1298" s="704"/>
      <c r="AS1298" s="704"/>
    </row>
    <row r="1299" spans="1:45" s="265" customFormat="1" ht="30" customHeight="1" x14ac:dyDescent="0.25">
      <c r="A1299" s="2085"/>
      <c r="B1299" s="2194"/>
      <c r="C1299" s="138" t="s">
        <v>868</v>
      </c>
      <c r="D1299" s="884" t="s">
        <v>10</v>
      </c>
      <c r="E1299" s="885">
        <v>46178</v>
      </c>
      <c r="F1299" s="293">
        <f>$L$7-E1299</f>
        <v>108</v>
      </c>
      <c r="G1299" s="1214">
        <v>2433.4800000000005</v>
      </c>
      <c r="H1299" s="37"/>
      <c r="I1299" s="37">
        <f>K1296+K1297</f>
        <v>0</v>
      </c>
      <c r="J1299" s="1420">
        <f>usage!I153</f>
        <v>56</v>
      </c>
      <c r="K1299" s="1348"/>
      <c r="L1299" s="1533">
        <f>+G1299+H1299+I1299-J1299-K1299</f>
        <v>2377.4800000000005</v>
      </c>
      <c r="M1299" s="35"/>
      <c r="N1299" s="920"/>
      <c r="O1299" s="35"/>
      <c r="P1299" s="1013"/>
      <c r="Q1299" s="795"/>
      <c r="R1299" s="785">
        <f>IFERROR(VLOOKUP($Q1299,'391'!$S:$Z,8,0),"")</f>
        <v>0</v>
      </c>
      <c r="S1299" s="796"/>
      <c r="T1299" s="797" t="str">
        <f>$Q$1300&amp;C1299&amp;E1299</f>
        <v xml:space="preserve"> Salcurb RME Liquid (Singapore)LA946178</v>
      </c>
      <c r="U1299" s="797"/>
      <c r="V1299" s="797"/>
      <c r="W1299" s="785">
        <f>IFERROR(VLOOKUP($Q1299,'391'!$S:$AG,15,0),0)</f>
        <v>0</v>
      </c>
      <c r="X1299" s="1090">
        <f t="shared" si="794"/>
        <v>2433.4800000000005</v>
      </c>
      <c r="Y1299" s="785"/>
      <c r="Z1299" s="785"/>
      <c r="AA1299" s="797"/>
      <c r="AB1299" s="797"/>
      <c r="AC1299" s="551"/>
      <c r="AD1299" s="551"/>
      <c r="AE1299" s="551"/>
      <c r="AF1299" s="551"/>
      <c r="AG1299" s="551"/>
      <c r="AH1299" s="551"/>
      <c r="AI1299" s="704"/>
      <c r="AJ1299" s="704"/>
      <c r="AK1299" s="704"/>
      <c r="AL1299" s="704"/>
      <c r="AM1299" s="704"/>
      <c r="AN1299" s="704"/>
      <c r="AO1299" s="704"/>
      <c r="AP1299" s="704"/>
      <c r="AQ1299" s="704"/>
      <c r="AR1299" s="704"/>
      <c r="AS1299" s="704"/>
    </row>
    <row r="1300" spans="1:45" s="265" customFormat="1" ht="30" customHeight="1" x14ac:dyDescent="0.25">
      <c r="A1300" s="184"/>
      <c r="B1300" s="184" t="s">
        <v>552</v>
      </c>
      <c r="C1300" s="575"/>
      <c r="D1300" s="900"/>
      <c r="E1300" s="901"/>
      <c r="F1300" s="902"/>
      <c r="G1300" s="1337">
        <v>18433.48</v>
      </c>
      <c r="H1300" s="1337">
        <f>+SUM(H1296:H1299)</f>
        <v>0</v>
      </c>
      <c r="I1300" s="1337">
        <f>+SUM(I1296:I1299)</f>
        <v>0</v>
      </c>
      <c r="J1300" s="1337">
        <f t="shared" ref="J1300" si="802">+SUM(J1296:J1299)</f>
        <v>56</v>
      </c>
      <c r="K1300" s="1337">
        <f t="shared" ref="K1300:L1300" si="803">+SUM(K1296:K1299)</f>
        <v>0</v>
      </c>
      <c r="L1300" s="1337">
        <f t="shared" si="803"/>
        <v>18377.48</v>
      </c>
      <c r="M1300" s="59">
        <f>IFERROR(R1300/$S$2,"")</f>
        <v>70.5</v>
      </c>
      <c r="N1300" s="366">
        <f>IFERROR(L1300/M1300,0)</f>
        <v>260.67347517730497</v>
      </c>
      <c r="O1300" s="59">
        <f>IFERROR(SUMIF(ETM!$A:$A,$Q1300,ETM!$E:$E),"")</f>
        <v>4</v>
      </c>
      <c r="P1300" s="880">
        <f>IFERROR(L1300/O1300,0)</f>
        <v>4594.37</v>
      </c>
      <c r="Q1300" s="809" t="s">
        <v>833</v>
      </c>
      <c r="R1300" s="785">
        <f>IFERROR(VLOOKUP($Q1300,'391'!$S:$Z,8,0),"")</f>
        <v>423</v>
      </c>
      <c r="S1300" s="796"/>
      <c r="T1300" s="797"/>
      <c r="U1300" s="797"/>
      <c r="V1300" s="797"/>
      <c r="W1300" s="785">
        <f>IFERROR(VLOOKUP($Q1300,'391'!$S:$AG,15,0),0)</f>
        <v>18433.48</v>
      </c>
      <c r="X1300" s="1090">
        <f t="shared" si="794"/>
        <v>0</v>
      </c>
      <c r="Y1300" s="785"/>
      <c r="Z1300" s="785"/>
      <c r="AA1300" s="797"/>
      <c r="AB1300" s="797"/>
      <c r="AC1300" s="551"/>
      <c r="AD1300" s="551"/>
      <c r="AE1300" s="551"/>
      <c r="AF1300" s="551"/>
      <c r="AG1300" s="551"/>
      <c r="AH1300" s="551"/>
      <c r="AI1300" s="704"/>
      <c r="AJ1300" s="704"/>
      <c r="AK1300" s="704"/>
      <c r="AL1300" s="704"/>
      <c r="AM1300" s="704"/>
      <c r="AN1300" s="704"/>
      <c r="AO1300" s="704"/>
      <c r="AP1300" s="704"/>
      <c r="AQ1300" s="704"/>
      <c r="AR1300" s="704"/>
      <c r="AS1300" s="704"/>
    </row>
    <row r="1301" spans="1:45" s="265" customFormat="1" ht="30" hidden="1" customHeight="1" x14ac:dyDescent="0.25">
      <c r="A1301" s="2083">
        <f>IF(L1309=0,"",MAX($A$16:A1300)+1)</f>
        <v>88</v>
      </c>
      <c r="B1301" s="2075" t="s">
        <v>547</v>
      </c>
      <c r="C1301" s="574"/>
      <c r="D1301" s="881" t="s">
        <v>10</v>
      </c>
      <c r="E1301" s="882">
        <v>46134</v>
      </c>
      <c r="F1301" s="71">
        <f t="shared" ref="F1301:F1306" si="804">$L$7-E1301</f>
        <v>152</v>
      </c>
      <c r="G1301" s="64">
        <v>0</v>
      </c>
      <c r="H1301" s="64"/>
      <c r="I1301" s="64"/>
      <c r="J1301" s="1367"/>
      <c r="K1301" s="64">
        <f>IFERROR(SUMIF(INTAKE!$A:$A,$T1301,INTAKE!$P:$P),0)</f>
        <v>0</v>
      </c>
      <c r="L1301" s="1702">
        <f t="shared" ref="L1301:L1308" si="805">+G1301+H1301+I1301-J1301-K1301</f>
        <v>0</v>
      </c>
      <c r="M1301" s="48"/>
      <c r="N1301" s="163"/>
      <c r="O1301" s="48"/>
      <c r="P1301" s="750"/>
      <c r="Q1301" s="795"/>
      <c r="R1301" s="785">
        <f>IFERROR(VLOOKUP($Q1301,'391'!$S:$Z,8,0),"")</f>
        <v>0</v>
      </c>
      <c r="S1301" s="796"/>
      <c r="T1301" s="797" t="str">
        <f t="shared" ref="T1301:T1308" si="806">$Q$1309&amp;C1301&amp;E1301</f>
        <v>L-Valine (China)46134</v>
      </c>
      <c r="U1301" s="797"/>
      <c r="V1301" s="797"/>
      <c r="W1301" s="785">
        <f>IFERROR(VLOOKUP($Q1301,'391'!$S:$AG,15,0),0)</f>
        <v>0</v>
      </c>
      <c r="X1301" s="1090">
        <f t="shared" si="794"/>
        <v>0</v>
      </c>
      <c r="Y1301" s="785"/>
      <c r="Z1301" s="785"/>
      <c r="AA1301" s="797"/>
      <c r="AB1301" s="797"/>
      <c r="AC1301" s="551"/>
      <c r="AD1301" s="551"/>
      <c r="AE1301" s="551"/>
      <c r="AF1301" s="551"/>
      <c r="AG1301" s="551"/>
      <c r="AH1301" s="551"/>
      <c r="AI1301" s="704"/>
      <c r="AJ1301" s="704"/>
      <c r="AK1301" s="704"/>
      <c r="AL1301" s="704"/>
      <c r="AM1301" s="704"/>
      <c r="AN1301" s="704"/>
      <c r="AO1301" s="704"/>
      <c r="AP1301" s="704"/>
      <c r="AQ1301" s="704"/>
      <c r="AR1301" s="704"/>
      <c r="AS1301" s="704"/>
    </row>
    <row r="1302" spans="1:45" s="265" customFormat="1" ht="30" customHeight="1" x14ac:dyDescent="0.25">
      <c r="A1302" s="2084"/>
      <c r="B1302" s="2076"/>
      <c r="C1302" s="574" t="s">
        <v>1925</v>
      </c>
      <c r="D1302" s="881" t="s">
        <v>10</v>
      </c>
      <c r="E1302" s="882">
        <v>46254</v>
      </c>
      <c r="F1302" s="71">
        <f t="shared" ref="F1302:F1304" si="807">$L$7-E1302</f>
        <v>32</v>
      </c>
      <c r="G1302" s="64">
        <v>0</v>
      </c>
      <c r="H1302" s="64"/>
      <c r="I1302" s="64"/>
      <c r="J1302" s="1367"/>
      <c r="K1302" s="64">
        <f>IFERROR(SUMIF(INTAKE!$A:$A,$T1302,INTAKE!$P:$P),0)</f>
        <v>0</v>
      </c>
      <c r="L1302" s="1702">
        <f t="shared" si="805"/>
        <v>0</v>
      </c>
      <c r="M1302" s="48"/>
      <c r="N1302" s="163"/>
      <c r="O1302" s="48"/>
      <c r="P1302" s="750"/>
      <c r="Q1302" s="795"/>
      <c r="R1302" s="785">
        <f>IFERROR(VLOOKUP($Q1302,'391'!$S:$Z,8,0),"")</f>
        <v>0</v>
      </c>
      <c r="S1302" s="796"/>
      <c r="T1302" s="797" t="str">
        <f t="shared" si="806"/>
        <v>L-Valine (China)V5.346254</v>
      </c>
      <c r="U1302" s="797"/>
      <c r="V1302" s="797"/>
      <c r="W1302" s="785">
        <f>IFERROR(VLOOKUP($Q1302,'391'!$S:$AG,15,0),0)</f>
        <v>0</v>
      </c>
      <c r="X1302" s="1090">
        <f t="shared" si="794"/>
        <v>0</v>
      </c>
      <c r="Y1302" s="785"/>
      <c r="Z1302" s="785"/>
      <c r="AA1302" s="797"/>
      <c r="AB1302" s="797"/>
      <c r="AC1302" s="551"/>
      <c r="AD1302" s="551"/>
      <c r="AE1302" s="551"/>
      <c r="AF1302" s="551"/>
      <c r="AG1302" s="551"/>
      <c r="AH1302" s="551"/>
      <c r="AI1302" s="704"/>
      <c r="AJ1302" s="704"/>
      <c r="AK1302" s="704"/>
      <c r="AL1302" s="704"/>
      <c r="AM1302" s="704"/>
      <c r="AN1302" s="704"/>
      <c r="AO1302" s="704"/>
      <c r="AP1302" s="704"/>
      <c r="AQ1302" s="704"/>
      <c r="AR1302" s="704"/>
      <c r="AS1302" s="704"/>
    </row>
    <row r="1303" spans="1:45" s="265" customFormat="1" ht="30" customHeight="1" x14ac:dyDescent="0.25">
      <c r="A1303" s="2121"/>
      <c r="B1303" s="2082"/>
      <c r="C1303" s="574" t="s">
        <v>1953</v>
      </c>
      <c r="D1303" s="881" t="s">
        <v>10</v>
      </c>
      <c r="E1303" s="882">
        <v>46270</v>
      </c>
      <c r="F1303" s="71">
        <f t="shared" si="807"/>
        <v>16</v>
      </c>
      <c r="G1303" s="64">
        <v>0</v>
      </c>
      <c r="H1303" s="64"/>
      <c r="I1303" s="64"/>
      <c r="J1303" s="1367"/>
      <c r="K1303" s="64">
        <f>IFERROR(SUMIF(INTAKE!$A:$A,$T1303,INTAKE!$P:$P),0)</f>
        <v>0</v>
      </c>
      <c r="L1303" s="1702">
        <f t="shared" si="805"/>
        <v>0</v>
      </c>
      <c r="M1303" s="48"/>
      <c r="N1303" s="163"/>
      <c r="O1303" s="48"/>
      <c r="P1303" s="750"/>
      <c r="Q1303" s="795"/>
      <c r="R1303" s="785">
        <f>IFERROR(VLOOKUP($Q1303,'391'!$S:$Z,8,0),"")</f>
        <v>0</v>
      </c>
      <c r="S1303" s="796"/>
      <c r="T1303" s="797" t="str">
        <f t="shared" si="806"/>
        <v>L-Valine (China)V1.346270</v>
      </c>
      <c r="U1303" s="797"/>
      <c r="V1303" s="797"/>
      <c r="W1303" s="785">
        <f>IFERROR(VLOOKUP($Q1303,'391'!$S:$AG,15,0),0)</f>
        <v>0</v>
      </c>
      <c r="X1303" s="1090">
        <f t="shared" si="794"/>
        <v>0</v>
      </c>
      <c r="Y1303" s="785"/>
      <c r="Z1303" s="785"/>
      <c r="AA1303" s="797"/>
      <c r="AB1303" s="797"/>
      <c r="AC1303" s="551"/>
      <c r="AD1303" s="551"/>
      <c r="AE1303" s="551"/>
      <c r="AF1303" s="551"/>
      <c r="AG1303" s="551"/>
      <c r="AH1303" s="551"/>
      <c r="AI1303" s="704"/>
      <c r="AJ1303" s="704"/>
      <c r="AK1303" s="704"/>
      <c r="AL1303" s="704"/>
      <c r="AM1303" s="704"/>
      <c r="AN1303" s="704"/>
      <c r="AO1303" s="704"/>
      <c r="AP1303" s="704"/>
      <c r="AQ1303" s="704"/>
      <c r="AR1303" s="704"/>
      <c r="AS1303" s="704"/>
    </row>
    <row r="1304" spans="1:45" s="265" customFormat="1" ht="30" customHeight="1" x14ac:dyDescent="0.25">
      <c r="A1304" s="2121"/>
      <c r="B1304" s="2082"/>
      <c r="C1304" s="574" t="s">
        <v>1870</v>
      </c>
      <c r="D1304" s="881" t="s">
        <v>10</v>
      </c>
      <c r="E1304" s="882">
        <v>46270</v>
      </c>
      <c r="F1304" s="71">
        <f t="shared" si="807"/>
        <v>16</v>
      </c>
      <c r="G1304" s="64">
        <v>2000</v>
      </c>
      <c r="H1304" s="64"/>
      <c r="I1304" s="64"/>
      <c r="J1304" s="1367"/>
      <c r="K1304" s="64">
        <f>IFERROR(SUMIF(INTAKE!$A:$A,$T1304,INTAKE!$P:$P),0)</f>
        <v>0</v>
      </c>
      <c r="L1304" s="1702">
        <f t="shared" si="805"/>
        <v>2000</v>
      </c>
      <c r="M1304" s="48"/>
      <c r="N1304" s="163"/>
      <c r="O1304" s="48"/>
      <c r="P1304" s="750"/>
      <c r="Q1304" s="795"/>
      <c r="R1304" s="785">
        <f>IFERROR(VLOOKUP($Q1304,'391'!$S:$Z,8,0),"")</f>
        <v>0</v>
      </c>
      <c r="S1304" s="796"/>
      <c r="T1304" s="797" t="str">
        <f t="shared" si="806"/>
        <v>L-Valine (China)V2.346270</v>
      </c>
      <c r="U1304" s="797"/>
      <c r="V1304" s="797"/>
      <c r="W1304" s="785">
        <f>IFERROR(VLOOKUP($Q1304,'391'!$S:$AG,15,0),0)</f>
        <v>0</v>
      </c>
      <c r="X1304" s="1090">
        <f t="shared" ref="X1304" si="808">G1304-W1304</f>
        <v>2000</v>
      </c>
      <c r="Y1304" s="785"/>
      <c r="Z1304" s="785"/>
      <c r="AA1304" s="797"/>
      <c r="AB1304" s="797"/>
      <c r="AC1304" s="551"/>
      <c r="AD1304" s="551"/>
      <c r="AE1304" s="551"/>
      <c r="AF1304" s="551"/>
      <c r="AG1304" s="551"/>
      <c r="AH1304" s="551"/>
      <c r="AI1304" s="704"/>
      <c r="AJ1304" s="704"/>
      <c r="AK1304" s="704"/>
      <c r="AL1304" s="704"/>
      <c r="AM1304" s="704"/>
      <c r="AN1304" s="704"/>
      <c r="AO1304" s="704"/>
      <c r="AP1304" s="704"/>
      <c r="AQ1304" s="704"/>
      <c r="AR1304" s="704"/>
      <c r="AS1304" s="704"/>
    </row>
    <row r="1305" spans="1:45" s="265" customFormat="1" ht="30" customHeight="1" x14ac:dyDescent="0.25">
      <c r="A1305" s="2121"/>
      <c r="B1305" s="2082"/>
      <c r="C1305" s="574" t="s">
        <v>1848</v>
      </c>
      <c r="D1305" s="881" t="s">
        <v>10</v>
      </c>
      <c r="E1305" s="882">
        <v>46275</v>
      </c>
      <c r="F1305" s="71">
        <f t="shared" ref="F1305" si="809">$L$7-E1305</f>
        <v>11</v>
      </c>
      <c r="G1305" s="64">
        <v>2000</v>
      </c>
      <c r="H1305" s="64"/>
      <c r="I1305" s="64"/>
      <c r="J1305" s="1367"/>
      <c r="K1305" s="64">
        <f>IFERROR(SUMIF(INTAKE!$A:$A,$T1305,INTAKE!$P:$P),0)</f>
        <v>0</v>
      </c>
      <c r="L1305" s="1702">
        <f t="shared" si="805"/>
        <v>2000</v>
      </c>
      <c r="M1305" s="48"/>
      <c r="N1305" s="163"/>
      <c r="O1305" s="48"/>
      <c r="P1305" s="750"/>
      <c r="Q1305" s="795"/>
      <c r="R1305" s="785">
        <f>IFERROR(VLOOKUP($Q1305,'391'!$S:$Z,8,0),"")</f>
        <v>0</v>
      </c>
      <c r="S1305" s="796"/>
      <c r="T1305" s="797" t="str">
        <f t="shared" si="806"/>
        <v>L-Valine (China)V3.346275</v>
      </c>
      <c r="U1305" s="797"/>
      <c r="V1305" s="797"/>
      <c r="W1305" s="785">
        <f>IFERROR(VLOOKUP($Q1305,'391'!$S:$AG,15,0),0)</f>
        <v>0</v>
      </c>
      <c r="X1305" s="1090">
        <f t="shared" si="794"/>
        <v>2000</v>
      </c>
      <c r="Y1305" s="785"/>
      <c r="Z1305" s="785"/>
      <c r="AA1305" s="797"/>
      <c r="AB1305" s="797"/>
      <c r="AC1305" s="551"/>
      <c r="AD1305" s="551"/>
      <c r="AE1305" s="551"/>
      <c r="AF1305" s="551"/>
      <c r="AG1305" s="551"/>
      <c r="AH1305" s="551"/>
      <c r="AI1305" s="704"/>
      <c r="AJ1305" s="704"/>
      <c r="AK1305" s="704"/>
      <c r="AL1305" s="704"/>
      <c r="AM1305" s="704"/>
      <c r="AN1305" s="704"/>
      <c r="AO1305" s="704"/>
      <c r="AP1305" s="704"/>
      <c r="AQ1305" s="704"/>
      <c r="AR1305" s="704"/>
      <c r="AS1305" s="704"/>
    </row>
    <row r="1306" spans="1:45" s="265" customFormat="1" ht="30" hidden="1" customHeight="1" x14ac:dyDescent="0.25">
      <c r="A1306" s="2121"/>
      <c r="B1306" s="2082"/>
      <c r="C1306" s="574"/>
      <c r="D1306" s="881" t="s">
        <v>10</v>
      </c>
      <c r="E1306" s="882">
        <v>46225</v>
      </c>
      <c r="F1306" s="71">
        <f t="shared" si="804"/>
        <v>61</v>
      </c>
      <c r="G1306" s="64">
        <v>0</v>
      </c>
      <c r="H1306" s="64"/>
      <c r="I1306" s="64"/>
      <c r="J1306" s="1367"/>
      <c r="K1306" s="64">
        <f>IFERROR(SUMIF(INTAKE!$A:$A,$T1306,INTAKE!$P:$P),0)</f>
        <v>0</v>
      </c>
      <c r="L1306" s="1702">
        <f t="shared" si="805"/>
        <v>0</v>
      </c>
      <c r="M1306" s="48"/>
      <c r="N1306" s="163"/>
      <c r="O1306" s="48"/>
      <c r="P1306" s="750"/>
      <c r="Q1306" s="795"/>
      <c r="R1306" s="785">
        <f>IFERROR(VLOOKUP($Q1306,'391'!$S:$Z,8,0),"")</f>
        <v>0</v>
      </c>
      <c r="S1306" s="796"/>
      <c r="T1306" s="797" t="str">
        <f t="shared" si="806"/>
        <v>L-Valine (China)46225</v>
      </c>
      <c r="U1306" s="797"/>
      <c r="V1306" s="797"/>
      <c r="W1306" s="785">
        <f>IFERROR(VLOOKUP($Q1306,'391'!$S:$AG,15,0),0)</f>
        <v>0</v>
      </c>
      <c r="X1306" s="1090">
        <f t="shared" si="794"/>
        <v>0</v>
      </c>
      <c r="Y1306" s="785"/>
      <c r="Z1306" s="785"/>
      <c r="AA1306" s="797"/>
      <c r="AB1306" s="797"/>
      <c r="AC1306" s="551"/>
      <c r="AD1306" s="551"/>
      <c r="AE1306" s="551"/>
      <c r="AF1306" s="551"/>
      <c r="AG1306" s="551"/>
      <c r="AH1306" s="551"/>
      <c r="AI1306" s="704"/>
      <c r="AJ1306" s="704"/>
      <c r="AK1306" s="704"/>
      <c r="AL1306" s="704"/>
      <c r="AM1306" s="704"/>
      <c r="AN1306" s="704"/>
      <c r="AO1306" s="704"/>
      <c r="AP1306" s="704"/>
      <c r="AQ1306" s="704"/>
      <c r="AR1306" s="704"/>
      <c r="AS1306" s="704"/>
    </row>
    <row r="1307" spans="1:45" s="265" customFormat="1" ht="30" hidden="1" customHeight="1" x14ac:dyDescent="0.25">
      <c r="A1307" s="2121"/>
      <c r="B1307" s="2082"/>
      <c r="C1307" s="574"/>
      <c r="D1307" s="881" t="s">
        <v>10</v>
      </c>
      <c r="E1307" s="882">
        <v>46205</v>
      </c>
      <c r="F1307" s="71">
        <f t="shared" ref="F1307" si="810">$L$7-E1307</f>
        <v>81</v>
      </c>
      <c r="G1307" s="64">
        <v>0</v>
      </c>
      <c r="H1307" s="64"/>
      <c r="I1307" s="64"/>
      <c r="J1307" s="1367"/>
      <c r="K1307" s="64">
        <f>IFERROR(SUMIF(INTAKE!$A:$A,$T1307,INTAKE!$P:$P),0)</f>
        <v>0</v>
      </c>
      <c r="L1307" s="1702">
        <f t="shared" ref="L1307" si="811">+G1307+H1307+I1307-J1307-K1307</f>
        <v>0</v>
      </c>
      <c r="M1307" s="48"/>
      <c r="N1307" s="163"/>
      <c r="O1307" s="48"/>
      <c r="P1307" s="750"/>
      <c r="Q1307" s="795"/>
      <c r="R1307" s="785">
        <f>IFERROR(VLOOKUP($Q1307,'391'!$S:$Z,8,0),"")</f>
        <v>0</v>
      </c>
      <c r="S1307" s="796"/>
      <c r="T1307" s="797" t="str">
        <f t="shared" si="806"/>
        <v>L-Valine (China)46205</v>
      </c>
      <c r="U1307" s="797"/>
      <c r="V1307" s="797"/>
      <c r="W1307" s="785">
        <f>IFERROR(VLOOKUP($Q1307,'391'!$S:$AG,15,0),0)</f>
        <v>0</v>
      </c>
      <c r="X1307" s="1090">
        <f t="shared" ref="X1307" si="812">G1307-W1307</f>
        <v>0</v>
      </c>
      <c r="Y1307" s="785"/>
      <c r="Z1307" s="785"/>
      <c r="AA1307" s="797"/>
      <c r="AB1307" s="797"/>
      <c r="AC1307" s="551"/>
      <c r="AD1307" s="551"/>
      <c r="AE1307" s="551"/>
      <c r="AF1307" s="551"/>
      <c r="AG1307" s="551"/>
      <c r="AH1307" s="551"/>
      <c r="AI1307" s="704"/>
      <c r="AJ1307" s="704"/>
      <c r="AK1307" s="704"/>
      <c r="AL1307" s="704"/>
      <c r="AM1307" s="704"/>
      <c r="AN1307" s="704"/>
      <c r="AO1307" s="704"/>
      <c r="AP1307" s="704"/>
      <c r="AQ1307" s="704"/>
      <c r="AR1307" s="704"/>
      <c r="AS1307" s="704"/>
    </row>
    <row r="1308" spans="1:45" s="265" customFormat="1" ht="30" customHeight="1" x14ac:dyDescent="0.25">
      <c r="A1308" s="2085"/>
      <c r="B1308" s="2068"/>
      <c r="C1308" s="108" t="s">
        <v>46</v>
      </c>
      <c r="D1308" s="884" t="s">
        <v>10</v>
      </c>
      <c r="E1308" s="885">
        <v>46270</v>
      </c>
      <c r="F1308" s="293">
        <f t="shared" ref="F1308" si="813">$L$7-E1308</f>
        <v>16</v>
      </c>
      <c r="G1308" s="1214">
        <v>1882.2599999999982</v>
      </c>
      <c r="H1308" s="37"/>
      <c r="I1308" s="37">
        <f>+SUM(K1301:K1305)</f>
        <v>0</v>
      </c>
      <c r="J1308" s="1385">
        <f>usage!I154</f>
        <v>351.32</v>
      </c>
      <c r="K1308" s="64">
        <f>IFERROR(SUMIF(INTAKE!$A:$A,$T1308,INTAKE!$P:$P),0)</f>
        <v>0</v>
      </c>
      <c r="L1308" s="1533">
        <f t="shared" si="805"/>
        <v>1530.9399999999982</v>
      </c>
      <c r="M1308" s="35"/>
      <c r="N1308" s="920"/>
      <c r="O1308" s="35"/>
      <c r="P1308" s="1013"/>
      <c r="Q1308" s="795"/>
      <c r="R1308" s="785">
        <f>IFERROR(VLOOKUP($Q1308,'391'!$S:$Z,8,0),"")</f>
        <v>0</v>
      </c>
      <c r="S1308" s="796"/>
      <c r="T1308" s="797" t="str">
        <f t="shared" si="806"/>
        <v>L-Valine (China)Feedmill46270</v>
      </c>
      <c r="U1308" s="797"/>
      <c r="V1308" s="797"/>
      <c r="W1308" s="785">
        <f>IFERROR(VLOOKUP($Q1308,'391'!$S:$AG,15,0),0)</f>
        <v>0</v>
      </c>
      <c r="X1308" s="1090">
        <f t="shared" si="794"/>
        <v>1882.2599999999982</v>
      </c>
      <c r="Y1308" s="785"/>
      <c r="Z1308" s="785"/>
      <c r="AA1308" s="797"/>
      <c r="AB1308" s="797"/>
      <c r="AC1308" s="551"/>
      <c r="AD1308" s="551"/>
      <c r="AE1308" s="551"/>
      <c r="AF1308" s="551"/>
      <c r="AG1308" s="551"/>
      <c r="AH1308" s="551"/>
      <c r="AI1308" s="704"/>
      <c r="AJ1308" s="704"/>
      <c r="AK1308" s="704"/>
      <c r="AL1308" s="704"/>
      <c r="AM1308" s="704"/>
      <c r="AN1308" s="704"/>
      <c r="AO1308" s="704"/>
      <c r="AP1308" s="704"/>
      <c r="AQ1308" s="704"/>
      <c r="AR1308" s="704"/>
      <c r="AS1308" s="704"/>
    </row>
    <row r="1309" spans="1:45" s="265" customFormat="1" ht="30" customHeight="1" x14ac:dyDescent="0.25">
      <c r="A1309" s="184"/>
      <c r="B1309" s="184" t="s">
        <v>566</v>
      </c>
      <c r="C1309" s="575"/>
      <c r="D1309" s="900"/>
      <c r="E1309" s="901"/>
      <c r="F1309" s="902"/>
      <c r="G1309" s="1337">
        <v>5882.2599999999984</v>
      </c>
      <c r="H1309" s="1337">
        <f>+SUM(H1301:H1308)</f>
        <v>0</v>
      </c>
      <c r="I1309" s="1337">
        <f t="shared" ref="I1309:L1309" si="814">+SUM(I1301:I1308)</f>
        <v>0</v>
      </c>
      <c r="J1309" s="1337">
        <f t="shared" si="814"/>
        <v>351.32</v>
      </c>
      <c r="K1309" s="1337">
        <f t="shared" si="814"/>
        <v>0</v>
      </c>
      <c r="L1309" s="1337">
        <f t="shared" si="814"/>
        <v>5530.9399999999987</v>
      </c>
      <c r="M1309" s="59">
        <f>IFERROR(R1309/$S$2,"")</f>
        <v>428.15333333333336</v>
      </c>
      <c r="N1309" s="366">
        <f>IFERROR(L1309/M1309,"")</f>
        <v>12.918129019198725</v>
      </c>
      <c r="O1309" s="59">
        <f>IFERROR(SUMIF(ETM!$A:$A,$Q1309,ETM!$E:$E),"")</f>
        <v>498.5</v>
      </c>
      <c r="P1309" s="880">
        <f>IFERROR(L1309/O1309,0)</f>
        <v>11.095165496489466</v>
      </c>
      <c r="Q1309" s="795" t="s">
        <v>845</v>
      </c>
      <c r="R1309" s="785">
        <f>IFERROR(VLOOKUP($Q1309,'391'!$S:$Z,8,0),"")</f>
        <v>2568.92</v>
      </c>
      <c r="S1309" s="796"/>
      <c r="T1309" s="797"/>
      <c r="U1309" s="797"/>
      <c r="V1309" s="797"/>
      <c r="W1309" s="785">
        <f>IFERROR(VLOOKUP($Q1309,'391'!$S:$AG,15,0),0)</f>
        <v>5882.26</v>
      </c>
      <c r="X1309" s="1090">
        <f t="shared" si="794"/>
        <v>0</v>
      </c>
      <c r="Y1309" s="785"/>
      <c r="Z1309" s="785"/>
      <c r="AA1309" s="797"/>
      <c r="AB1309" s="797"/>
      <c r="AC1309" s="683"/>
      <c r="AD1309" s="551"/>
      <c r="AE1309" s="551"/>
      <c r="AF1309" s="551"/>
      <c r="AG1309" s="551"/>
      <c r="AH1309" s="551"/>
      <c r="AI1309" s="704"/>
      <c r="AJ1309" s="704"/>
      <c r="AK1309" s="704"/>
      <c r="AL1309" s="704"/>
      <c r="AM1309" s="704"/>
      <c r="AN1309" s="704"/>
      <c r="AO1309" s="704"/>
      <c r="AP1309" s="704"/>
      <c r="AQ1309" s="704"/>
      <c r="AR1309" s="704"/>
      <c r="AS1309" s="704"/>
    </row>
    <row r="1310" spans="1:45" s="265" customFormat="1" ht="30" customHeight="1" x14ac:dyDescent="0.25">
      <c r="A1310" s="2083">
        <f>IF(L1316=0,"",MAX($A$16:A1309)+1)</f>
        <v>89</v>
      </c>
      <c r="B1310" s="2075" t="s">
        <v>571</v>
      </c>
      <c r="C1310" s="574" t="s">
        <v>1868</v>
      </c>
      <c r="D1310" s="881" t="s">
        <v>10</v>
      </c>
      <c r="E1310" s="882">
        <v>46241</v>
      </c>
      <c r="F1310" s="71">
        <f t="shared" ref="F1310:F1311" si="815">$L$7-E1310</f>
        <v>45</v>
      </c>
      <c r="G1310" s="64">
        <v>0</v>
      </c>
      <c r="H1310" s="64"/>
      <c r="I1310" s="64"/>
      <c r="J1310" s="1367"/>
      <c r="K1310" s="64">
        <f>IFERROR(SUMIF(INTAKE!$A:$A,$T1310,INTAKE!$P:$P),0)</f>
        <v>0</v>
      </c>
      <c r="L1310" s="1702">
        <f t="shared" ref="L1310:L1329" si="816">+G1310+H1310+I1310-J1310-K1310</f>
        <v>0</v>
      </c>
      <c r="M1310" s="48"/>
      <c r="N1310" s="163"/>
      <c r="O1310" s="48"/>
      <c r="P1310" s="750"/>
      <c r="Q1310" s="795"/>
      <c r="R1310" s="785">
        <f>IFERROR(VLOOKUP($Q1310,'391'!$S:$Z,8,0),"")</f>
        <v>0</v>
      </c>
      <c r="S1310" s="796"/>
      <c r="T1310" s="797" t="str">
        <f>$Q$1316&amp;C1310&amp;E1310</f>
        <v>Vitamin E 50D246241</v>
      </c>
      <c r="U1310" s="797"/>
      <c r="V1310" s="797"/>
      <c r="W1310" s="785">
        <f>IFERROR(VLOOKUP($Q1310,'391'!$S:$AG,15,0),0)</f>
        <v>0</v>
      </c>
      <c r="X1310" s="1090">
        <f t="shared" si="794"/>
        <v>0</v>
      </c>
      <c r="Y1310" s="785"/>
      <c r="Z1310" s="785"/>
      <c r="AA1310" s="797"/>
      <c r="AB1310" s="797"/>
      <c r="AC1310" s="551"/>
      <c r="AD1310" s="551"/>
      <c r="AE1310" s="551"/>
      <c r="AF1310" s="551"/>
      <c r="AG1310" s="551"/>
      <c r="AH1310" s="551"/>
      <c r="AI1310" s="704"/>
      <c r="AJ1310" s="704"/>
      <c r="AK1310" s="704"/>
      <c r="AL1310" s="704"/>
      <c r="AM1310" s="704"/>
      <c r="AN1310" s="704"/>
      <c r="AO1310" s="704"/>
      <c r="AP1310" s="704"/>
      <c r="AQ1310" s="704"/>
      <c r="AR1310" s="704"/>
      <c r="AS1310" s="704"/>
    </row>
    <row r="1311" spans="1:45" s="265" customFormat="1" ht="30" customHeight="1" x14ac:dyDescent="0.25">
      <c r="A1311" s="2121"/>
      <c r="B1311" s="2082"/>
      <c r="C1311" s="574" t="s">
        <v>1868</v>
      </c>
      <c r="D1311" s="881" t="s">
        <v>10</v>
      </c>
      <c r="E1311" s="882">
        <v>46254</v>
      </c>
      <c r="F1311" s="71">
        <f t="shared" si="815"/>
        <v>32</v>
      </c>
      <c r="G1311" s="64">
        <v>25</v>
      </c>
      <c r="H1311" s="64"/>
      <c r="I1311" s="64"/>
      <c r="J1311" s="1367"/>
      <c r="K1311" s="64">
        <f>IFERROR(SUMIF(INTAKE!$A:$A,$T1311,INTAKE!$P:$P),0)</f>
        <v>0</v>
      </c>
      <c r="L1311" s="1702">
        <f t="shared" ref="L1311:L1313" si="817">+G1311+H1311+I1311-J1311-K1311</f>
        <v>25</v>
      </c>
      <c r="M1311" s="48"/>
      <c r="N1311" s="163"/>
      <c r="O1311" s="48"/>
      <c r="P1311" s="750"/>
      <c r="Q1311" s="795"/>
      <c r="R1311" s="785">
        <f>IFERROR(VLOOKUP($Q1311,'391'!$S:$Z,8,0),"")</f>
        <v>0</v>
      </c>
      <c r="S1311" s="796"/>
      <c r="T1311" s="797" t="str">
        <f>$Q$1316&amp;C1311&amp;E1311</f>
        <v>Vitamin E 50D246254</v>
      </c>
      <c r="U1311" s="797"/>
      <c r="V1311" s="797"/>
      <c r="W1311" s="785">
        <f>IFERROR(VLOOKUP($Q1311,'391'!$S:$AG,15,0),0)</f>
        <v>0</v>
      </c>
      <c r="X1311" s="1090">
        <f t="shared" ref="X1311:X1313" si="818">G1311-W1311</f>
        <v>25</v>
      </c>
      <c r="Y1311" s="785"/>
      <c r="Z1311" s="785"/>
      <c r="AA1311" s="797"/>
      <c r="AB1311" s="797"/>
      <c r="AC1311" s="551"/>
      <c r="AD1311" s="551"/>
      <c r="AE1311" s="551"/>
      <c r="AF1311" s="551"/>
      <c r="AG1311" s="551"/>
      <c r="AH1311" s="551"/>
      <c r="AI1311" s="704"/>
      <c r="AJ1311" s="704"/>
      <c r="AK1311" s="704"/>
      <c r="AL1311" s="704"/>
      <c r="AM1311" s="704"/>
      <c r="AN1311" s="704"/>
      <c r="AO1311" s="704"/>
      <c r="AP1311" s="704"/>
      <c r="AQ1311" s="704"/>
      <c r="AR1311" s="704"/>
      <c r="AS1311" s="704"/>
    </row>
    <row r="1312" spans="1:45" s="265" customFormat="1" ht="30" customHeight="1" x14ac:dyDescent="0.25">
      <c r="A1312" s="2121"/>
      <c r="B1312" s="2082"/>
      <c r="C1312" s="574" t="s">
        <v>1868</v>
      </c>
      <c r="D1312" s="881" t="s">
        <v>10</v>
      </c>
      <c r="E1312" s="882">
        <v>46275</v>
      </c>
      <c r="F1312" s="71">
        <f t="shared" ref="F1312:F1313" si="819">$L$7-E1312</f>
        <v>11</v>
      </c>
      <c r="G1312" s="64">
        <v>50</v>
      </c>
      <c r="H1312" s="64"/>
      <c r="I1312" s="64"/>
      <c r="J1312" s="1367"/>
      <c r="K1312" s="64">
        <f>IFERROR(SUMIF(INTAKE!$A:$A,$T1312,INTAKE!$P:$P),0)</f>
        <v>0</v>
      </c>
      <c r="L1312" s="1702">
        <f t="shared" si="817"/>
        <v>50</v>
      </c>
      <c r="M1312" s="48"/>
      <c r="N1312" s="163"/>
      <c r="O1312" s="48"/>
      <c r="P1312" s="750"/>
      <c r="Q1312" s="795"/>
      <c r="R1312" s="785">
        <f>IFERROR(VLOOKUP($Q1312,'391'!$S:$Z,8,0),"")</f>
        <v>0</v>
      </c>
      <c r="S1312" s="796"/>
      <c r="T1312" s="797" t="str">
        <f>$Q$1316&amp;C1312&amp;E1312</f>
        <v>Vitamin E 50D246275</v>
      </c>
      <c r="U1312" s="797"/>
      <c r="V1312" s="797"/>
      <c r="W1312" s="785">
        <f>IFERROR(VLOOKUP($Q1312,'391'!$S:$AG,15,0),0)</f>
        <v>0</v>
      </c>
      <c r="X1312" s="1090">
        <f t="shared" si="818"/>
        <v>50</v>
      </c>
      <c r="Y1312" s="785"/>
      <c r="Z1312" s="785"/>
      <c r="AA1312" s="797"/>
      <c r="AB1312" s="797"/>
      <c r="AC1312" s="551"/>
      <c r="AD1312" s="551"/>
      <c r="AE1312" s="551"/>
      <c r="AF1312" s="551"/>
      <c r="AG1312" s="551"/>
      <c r="AH1312" s="551"/>
      <c r="AI1312" s="704"/>
      <c r="AJ1312" s="704"/>
      <c r="AK1312" s="704"/>
      <c r="AL1312" s="704"/>
      <c r="AM1312" s="704"/>
      <c r="AN1312" s="704"/>
      <c r="AO1312" s="704"/>
      <c r="AP1312" s="704"/>
      <c r="AQ1312" s="704"/>
      <c r="AR1312" s="704"/>
      <c r="AS1312" s="704"/>
    </row>
    <row r="1313" spans="1:45" s="265" customFormat="1" ht="30" hidden="1" customHeight="1" x14ac:dyDescent="0.25">
      <c r="A1313" s="2121"/>
      <c r="B1313" s="2082"/>
      <c r="C1313" s="574"/>
      <c r="D1313" s="881" t="s">
        <v>10</v>
      </c>
      <c r="E1313" s="882">
        <v>46255</v>
      </c>
      <c r="F1313" s="71">
        <f t="shared" si="819"/>
        <v>31</v>
      </c>
      <c r="G1313" s="64">
        <v>0</v>
      </c>
      <c r="H1313" s="64"/>
      <c r="I1313" s="64"/>
      <c r="J1313" s="1367"/>
      <c r="K1313" s="64">
        <f>IFERROR(SUMIF(INTAKE!$A:$A,$T1313,INTAKE!$P:$P),0)</f>
        <v>0</v>
      </c>
      <c r="L1313" s="1702">
        <f t="shared" si="817"/>
        <v>0</v>
      </c>
      <c r="M1313" s="48"/>
      <c r="N1313" s="163"/>
      <c r="O1313" s="48"/>
      <c r="P1313" s="750"/>
      <c r="Q1313" s="795"/>
      <c r="R1313" s="785">
        <f>IFERROR(VLOOKUP($Q1313,'391'!$S:$Z,8,0),"")</f>
        <v>0</v>
      </c>
      <c r="S1313" s="796"/>
      <c r="T1313" s="797" t="str">
        <f t="shared" ref="T1313" si="820">$Q$1316&amp;C1313&amp;E1313</f>
        <v>Vitamin E 5046255</v>
      </c>
      <c r="U1313" s="797"/>
      <c r="V1313" s="797"/>
      <c r="W1313" s="785">
        <f>IFERROR(VLOOKUP($Q1313,'391'!$S:$AG,15,0),0)</f>
        <v>0</v>
      </c>
      <c r="X1313" s="1090">
        <f t="shared" si="818"/>
        <v>0</v>
      </c>
      <c r="Y1313" s="785"/>
      <c r="Z1313" s="785"/>
      <c r="AA1313" s="797"/>
      <c r="AB1313" s="797"/>
      <c r="AC1313" s="551"/>
      <c r="AD1313" s="551"/>
      <c r="AE1313" s="551"/>
      <c r="AF1313" s="551"/>
      <c r="AG1313" s="551"/>
      <c r="AH1313" s="551"/>
      <c r="AI1313" s="704"/>
      <c r="AJ1313" s="704"/>
      <c r="AK1313" s="704"/>
      <c r="AL1313" s="704"/>
      <c r="AM1313" s="704"/>
      <c r="AN1313" s="704"/>
      <c r="AO1313" s="704"/>
      <c r="AP1313" s="704"/>
      <c r="AQ1313" s="704"/>
      <c r="AR1313" s="704"/>
      <c r="AS1313" s="704"/>
    </row>
    <row r="1314" spans="1:45" s="265" customFormat="1" ht="30" hidden="1" customHeight="1" x14ac:dyDescent="0.25">
      <c r="A1314" s="2084"/>
      <c r="B1314" s="2076"/>
      <c r="C1314" s="574"/>
      <c r="D1314" s="881" t="s">
        <v>10</v>
      </c>
      <c r="E1314" s="882">
        <v>46255</v>
      </c>
      <c r="F1314" s="71">
        <f t="shared" ref="F1314:F1315" si="821">$L$7-E1314</f>
        <v>31</v>
      </c>
      <c r="G1314" s="64">
        <v>0</v>
      </c>
      <c r="H1314" s="64"/>
      <c r="I1314" s="64"/>
      <c r="J1314" s="1367"/>
      <c r="K1314" s="64">
        <f>IFERROR(SUMIF(INTAKE!$A:$A,$T1314,INTAKE!$P:$P),0)</f>
        <v>0</v>
      </c>
      <c r="L1314" s="1702">
        <f t="shared" si="816"/>
        <v>0</v>
      </c>
      <c r="M1314" s="48"/>
      <c r="N1314" s="163"/>
      <c r="O1314" s="48"/>
      <c r="P1314" s="750"/>
      <c r="Q1314" s="795"/>
      <c r="R1314" s="785">
        <f>IFERROR(VLOOKUP($Q1314,'391'!$S:$Z,8,0),"")</f>
        <v>0</v>
      </c>
      <c r="S1314" s="796"/>
      <c r="T1314" s="797" t="str">
        <f t="shared" ref="T1314:T1315" si="822">$Q$1316&amp;C1314&amp;E1314</f>
        <v>Vitamin E 5046255</v>
      </c>
      <c r="U1314" s="797"/>
      <c r="V1314" s="797"/>
      <c r="W1314" s="785">
        <f>IFERROR(VLOOKUP($Q1314,'391'!$S:$AG,15,0),0)</f>
        <v>0</v>
      </c>
      <c r="X1314" s="1090">
        <f t="shared" si="794"/>
        <v>0</v>
      </c>
      <c r="Y1314" s="785"/>
      <c r="Z1314" s="785"/>
      <c r="AA1314" s="797"/>
      <c r="AB1314" s="797"/>
      <c r="AC1314" s="551"/>
      <c r="AD1314" s="551"/>
      <c r="AE1314" s="551"/>
      <c r="AF1314" s="551"/>
      <c r="AG1314" s="551"/>
      <c r="AH1314" s="551"/>
      <c r="AI1314" s="704"/>
      <c r="AJ1314" s="704"/>
      <c r="AK1314" s="704"/>
      <c r="AL1314" s="704"/>
      <c r="AM1314" s="704"/>
      <c r="AN1314" s="704"/>
      <c r="AO1314" s="704"/>
      <c r="AP1314" s="704"/>
      <c r="AQ1314" s="704"/>
      <c r="AR1314" s="704"/>
      <c r="AS1314" s="704"/>
    </row>
    <row r="1315" spans="1:45" s="265" customFormat="1" ht="30" customHeight="1" x14ac:dyDescent="0.25">
      <c r="A1315" s="2085"/>
      <c r="B1315" s="2068"/>
      <c r="C1315" s="138" t="s">
        <v>76</v>
      </c>
      <c r="D1315" s="884" t="s">
        <v>10</v>
      </c>
      <c r="E1315" s="885">
        <v>46254</v>
      </c>
      <c r="F1315" s="293">
        <f t="shared" si="821"/>
        <v>32</v>
      </c>
      <c r="G1315" s="1214">
        <v>21.790000000000003</v>
      </c>
      <c r="H1315" s="37"/>
      <c r="I1315" s="37">
        <f>SUM(K1310:K1312)</f>
        <v>0</v>
      </c>
      <c r="J1315" s="1385">
        <f>usage!I160</f>
        <v>8.1199999999999992</v>
      </c>
      <c r="K1315" s="37"/>
      <c r="L1315" s="1533">
        <f t="shared" si="816"/>
        <v>13.670000000000003</v>
      </c>
      <c r="M1315" s="35"/>
      <c r="N1315" s="920"/>
      <c r="O1315" s="35"/>
      <c r="P1315" s="1013"/>
      <c r="Q1315" s="795"/>
      <c r="R1315" s="785">
        <f>IFERROR(VLOOKUP($Q1315,'391'!$S:$Z,8,0),"")</f>
        <v>0</v>
      </c>
      <c r="S1315" s="796"/>
      <c r="T1315" s="797" t="str">
        <f t="shared" si="822"/>
        <v>Vitamin E 50Feedmil46254</v>
      </c>
      <c r="U1315" s="797"/>
      <c r="V1315" s="797"/>
      <c r="W1315" s="785">
        <f>IFERROR(VLOOKUP($Q1315,'391'!$S:$AG,15,0),0)</f>
        <v>0</v>
      </c>
      <c r="X1315" s="1090">
        <f t="shared" si="794"/>
        <v>21.790000000000003</v>
      </c>
      <c r="Y1315" s="785"/>
      <c r="Z1315" s="785"/>
      <c r="AA1315" s="797"/>
      <c r="AB1315" s="797"/>
      <c r="AC1315" s="551"/>
      <c r="AD1315" s="551"/>
      <c r="AE1315" s="551"/>
      <c r="AF1315" s="551"/>
      <c r="AG1315" s="551"/>
      <c r="AH1315" s="551"/>
      <c r="AI1315" s="704"/>
      <c r="AJ1315" s="704"/>
      <c r="AK1315" s="704"/>
      <c r="AL1315" s="704"/>
      <c r="AM1315" s="704"/>
      <c r="AN1315" s="704"/>
      <c r="AO1315" s="704"/>
      <c r="AP1315" s="704"/>
      <c r="AQ1315" s="704"/>
      <c r="AR1315" s="704"/>
      <c r="AS1315" s="704"/>
    </row>
    <row r="1316" spans="1:45" s="265" customFormat="1" ht="30" customHeight="1" x14ac:dyDescent="0.25">
      <c r="A1316" s="184"/>
      <c r="B1316" s="184" t="s">
        <v>1649</v>
      </c>
      <c r="C1316" s="575"/>
      <c r="D1316" s="900"/>
      <c r="E1316" s="901"/>
      <c r="F1316" s="902"/>
      <c r="G1316" s="1337">
        <v>96.79</v>
      </c>
      <c r="H1316" s="1337">
        <f>+SUM(H1310:H1315)</f>
        <v>0</v>
      </c>
      <c r="I1316" s="1337">
        <f t="shared" ref="I1316:L1316" si="823">+SUM(I1310:I1315)</f>
        <v>0</v>
      </c>
      <c r="J1316" s="1337">
        <f t="shared" si="823"/>
        <v>8.1199999999999992</v>
      </c>
      <c r="K1316" s="1337">
        <f t="shared" si="823"/>
        <v>0</v>
      </c>
      <c r="L1316" s="1337">
        <f t="shared" si="823"/>
        <v>88.67</v>
      </c>
      <c r="M1316" s="59">
        <f>IFERROR(R1316/$S$2,"")</f>
        <v>10.388333333333334</v>
      </c>
      <c r="N1316" s="366">
        <f>IFERROR(L1316/M1316,0)</f>
        <v>8.535536659714424</v>
      </c>
      <c r="O1316" s="59">
        <f>IFERROR(SUMIF(ETM!$A:$A,$Q1316,ETM!$E:$E),"")</f>
        <v>8.1666666666666679</v>
      </c>
      <c r="P1316" s="880">
        <f>IFERROR(L1316/O1316,0)</f>
        <v>10.857551020408161</v>
      </c>
      <c r="Q1316" s="795" t="s">
        <v>846</v>
      </c>
      <c r="R1316" s="785">
        <f>IFERROR(VLOOKUP($Q1316,'391'!$S:$Z,8,0),"")</f>
        <v>62.33</v>
      </c>
      <c r="S1316" s="796"/>
      <c r="T1316" s="797"/>
      <c r="U1316" s="797"/>
      <c r="V1316" s="797"/>
      <c r="W1316" s="785">
        <f>IFERROR(VLOOKUP($Q1316,'391'!$S:$AG,15,0),0)</f>
        <v>96.79</v>
      </c>
      <c r="X1316" s="1090">
        <f t="shared" si="794"/>
        <v>0</v>
      </c>
      <c r="Y1316" s="785"/>
      <c r="Z1316" s="785"/>
      <c r="AA1316" s="797"/>
      <c r="AB1316" s="797"/>
      <c r="AC1316" s="683"/>
      <c r="AD1316" s="551"/>
      <c r="AE1316" s="551"/>
      <c r="AF1316" s="551"/>
      <c r="AG1316" s="551"/>
      <c r="AH1316" s="551"/>
      <c r="AI1316" s="704"/>
      <c r="AJ1316" s="704"/>
      <c r="AK1316" s="704"/>
      <c r="AL1316" s="704"/>
      <c r="AM1316" s="704"/>
      <c r="AN1316" s="704"/>
      <c r="AO1316" s="704"/>
      <c r="AP1316" s="704"/>
      <c r="AQ1316" s="704"/>
      <c r="AR1316" s="704"/>
      <c r="AS1316" s="704"/>
    </row>
    <row r="1317" spans="1:45" s="265" customFormat="1" ht="30" hidden="1" customHeight="1" x14ac:dyDescent="0.25">
      <c r="A1317" s="2083" t="str">
        <f>IF(L1320=0,"",MAX($A$16:A1316)+1)</f>
        <v/>
      </c>
      <c r="B1317" s="2113" t="s">
        <v>584</v>
      </c>
      <c r="C1317" s="574" t="s">
        <v>227</v>
      </c>
      <c r="D1317" s="881" t="s">
        <v>10</v>
      </c>
      <c r="E1317" s="882">
        <v>44078</v>
      </c>
      <c r="F1317" s="71">
        <f>$L$7-E1317</f>
        <v>2208</v>
      </c>
      <c r="G1317" s="64">
        <v>0</v>
      </c>
      <c r="H1317" s="64"/>
      <c r="I1317" s="64"/>
      <c r="J1317" s="1367"/>
      <c r="K1317" s="64"/>
      <c r="L1317" s="1533">
        <f t="shared" si="816"/>
        <v>0</v>
      </c>
      <c r="M1317" s="48"/>
      <c r="N1317" s="163"/>
      <c r="O1317" s="48"/>
      <c r="P1317" s="750"/>
      <c r="Q1317" s="795"/>
      <c r="R1317" s="785">
        <f>IFERROR(VLOOKUP($Q1317,'391'!$S:$Z,8,0),"")</f>
        <v>0</v>
      </c>
      <c r="S1317" s="796"/>
      <c r="T1317" s="797"/>
      <c r="U1317" s="797"/>
      <c r="V1317" s="797"/>
      <c r="W1317" s="785">
        <f>IFERROR(VLOOKUP($Q1317,'391'!$S:$AG,15,0),0)</f>
        <v>0</v>
      </c>
      <c r="X1317" s="1090">
        <f t="shared" si="794"/>
        <v>0</v>
      </c>
      <c r="Y1317" s="785"/>
      <c r="Z1317" s="785"/>
      <c r="AA1317" s="797"/>
      <c r="AB1317" s="797"/>
      <c r="AC1317" s="551"/>
      <c r="AD1317" s="551"/>
      <c r="AE1317" s="551"/>
      <c r="AF1317" s="551"/>
      <c r="AG1317" s="551"/>
      <c r="AH1317" s="551"/>
      <c r="AI1317" s="704"/>
      <c r="AJ1317" s="704"/>
      <c r="AK1317" s="704"/>
      <c r="AL1317" s="704"/>
      <c r="AM1317" s="704"/>
      <c r="AN1317" s="704"/>
      <c r="AO1317" s="704"/>
      <c r="AP1317" s="704"/>
      <c r="AQ1317" s="704"/>
      <c r="AR1317" s="704"/>
      <c r="AS1317" s="704"/>
    </row>
    <row r="1318" spans="1:45" s="265" customFormat="1" ht="30" hidden="1" customHeight="1" x14ac:dyDescent="0.25">
      <c r="A1318" s="2084"/>
      <c r="B1318" s="2195"/>
      <c r="C1318" s="574" t="s">
        <v>510</v>
      </c>
      <c r="D1318" s="881" t="s">
        <v>10</v>
      </c>
      <c r="E1318" s="882">
        <v>43890</v>
      </c>
      <c r="F1318" s="71">
        <f>$L$7-E1318</f>
        <v>2396</v>
      </c>
      <c r="G1318" s="64">
        <v>0</v>
      </c>
      <c r="H1318" s="64"/>
      <c r="I1318" s="64"/>
      <c r="J1318" s="1367"/>
      <c r="K1318" s="64"/>
      <c r="L1318" s="1533">
        <f t="shared" si="816"/>
        <v>0</v>
      </c>
      <c r="M1318" s="48"/>
      <c r="N1318" s="163"/>
      <c r="O1318" s="48"/>
      <c r="P1318" s="750"/>
      <c r="Q1318" s="795"/>
      <c r="R1318" s="785">
        <f>IFERROR(VLOOKUP($Q1318,'391'!$S:$Z,8,0),"")</f>
        <v>0</v>
      </c>
      <c r="S1318" s="796"/>
      <c r="T1318" s="797"/>
      <c r="U1318" s="797"/>
      <c r="V1318" s="797"/>
      <c r="W1318" s="785">
        <f>IFERROR(VLOOKUP($Q1318,'391'!$S:$AG,15,0),0)</f>
        <v>0</v>
      </c>
      <c r="X1318" s="1090">
        <f t="shared" si="794"/>
        <v>0</v>
      </c>
      <c r="Y1318" s="785"/>
      <c r="Z1318" s="785"/>
      <c r="AA1318" s="797"/>
      <c r="AB1318" s="797"/>
      <c r="AC1318" s="551"/>
      <c r="AD1318" s="551"/>
      <c r="AE1318" s="551"/>
      <c r="AF1318" s="551"/>
      <c r="AG1318" s="551"/>
      <c r="AH1318" s="551"/>
      <c r="AI1318" s="704"/>
      <c r="AJ1318" s="704"/>
      <c r="AK1318" s="704"/>
      <c r="AL1318" s="704"/>
      <c r="AM1318" s="704"/>
      <c r="AN1318" s="704"/>
      <c r="AO1318" s="704"/>
      <c r="AP1318" s="704"/>
      <c r="AQ1318" s="704"/>
      <c r="AR1318" s="704"/>
      <c r="AS1318" s="704"/>
    </row>
    <row r="1319" spans="1:45" s="265" customFormat="1" ht="30" hidden="1" customHeight="1" x14ac:dyDescent="0.25">
      <c r="A1319" s="2085"/>
      <c r="B1319" s="2085"/>
      <c r="C1319" s="138" t="s">
        <v>76</v>
      </c>
      <c r="D1319" s="884" t="s">
        <v>10</v>
      </c>
      <c r="E1319" s="885">
        <v>44078</v>
      </c>
      <c r="F1319" s="293">
        <f>$L$7-E1319</f>
        <v>2208</v>
      </c>
      <c r="G1319" s="1214">
        <v>0</v>
      </c>
      <c r="H1319" s="37"/>
      <c r="I1319" s="37">
        <f>+K1317</f>
        <v>0</v>
      </c>
      <c r="J1319" s="1385">
        <f>usage!I157</f>
        <v>0</v>
      </c>
      <c r="K1319" s="37"/>
      <c r="L1319" s="1533">
        <f t="shared" si="816"/>
        <v>0</v>
      </c>
      <c r="M1319" s="35"/>
      <c r="N1319" s="920"/>
      <c r="O1319" s="35"/>
      <c r="P1319" s="1013"/>
      <c r="Q1319" s="795"/>
      <c r="R1319" s="785">
        <f>IFERROR(VLOOKUP($Q1319,'391'!$S:$Z,8,0),"")</f>
        <v>0</v>
      </c>
      <c r="S1319" s="796"/>
      <c r="T1319" s="797"/>
      <c r="U1319" s="797"/>
      <c r="V1319" s="797"/>
      <c r="W1319" s="785">
        <f>IFERROR(VLOOKUP($Q1319,'391'!$S:$AG,15,0),0)</f>
        <v>0</v>
      </c>
      <c r="X1319" s="1090">
        <f t="shared" si="794"/>
        <v>0</v>
      </c>
      <c r="Y1319" s="785"/>
      <c r="Z1319" s="785"/>
      <c r="AA1319" s="797"/>
      <c r="AB1319" s="797"/>
      <c r="AC1319" s="551"/>
      <c r="AD1319" s="551"/>
      <c r="AE1319" s="551"/>
      <c r="AF1319" s="551"/>
      <c r="AG1319" s="551"/>
      <c r="AH1319" s="551"/>
      <c r="AI1319" s="704"/>
      <c r="AJ1319" s="704"/>
      <c r="AK1319" s="704"/>
      <c r="AL1319" s="704"/>
      <c r="AM1319" s="704"/>
      <c r="AN1319" s="704"/>
      <c r="AO1319" s="704"/>
      <c r="AP1319" s="704"/>
      <c r="AQ1319" s="704"/>
      <c r="AR1319" s="704"/>
      <c r="AS1319" s="704"/>
    </row>
    <row r="1320" spans="1:45" s="265" customFormat="1" ht="30" hidden="1" customHeight="1" x14ac:dyDescent="0.25">
      <c r="A1320" s="184"/>
      <c r="B1320" s="184" t="s">
        <v>587</v>
      </c>
      <c r="C1320" s="575"/>
      <c r="D1320" s="900"/>
      <c r="E1320" s="901"/>
      <c r="F1320" s="902"/>
      <c r="G1320" s="1337">
        <v>0</v>
      </c>
      <c r="H1320" s="1337">
        <f>+SUM(H1317:H1319)</f>
        <v>0</v>
      </c>
      <c r="I1320" s="1337">
        <f t="shared" ref="I1320:K1320" si="824">+SUM(I1317:I1319)</f>
        <v>0</v>
      </c>
      <c r="J1320" s="1337">
        <f t="shared" si="824"/>
        <v>0</v>
      </c>
      <c r="K1320" s="1337">
        <f t="shared" si="824"/>
        <v>0</v>
      </c>
      <c r="L1320" s="1533">
        <f t="shared" si="816"/>
        <v>0</v>
      </c>
      <c r="M1320" s="59" t="e">
        <f>+R1320/$S$2</f>
        <v>#VALUE!</v>
      </c>
      <c r="N1320" s="366">
        <f>IFERROR(L1320/M1320,0)</f>
        <v>0</v>
      </c>
      <c r="O1320" s="59">
        <f>IFERROR(SUMIF(ETM!$A:$A,$Q1320,ETM!$E:$E),"")</f>
        <v>0</v>
      </c>
      <c r="P1320" s="880">
        <f>IFERROR(L1320/O1320,0)</f>
        <v>0</v>
      </c>
      <c r="Q1320" s="795" t="s">
        <v>847</v>
      </c>
      <c r="R1320" s="785" t="str">
        <f>IFERROR(VLOOKUP($Q1320,'391'!$S:$Z,8,0),"")</f>
        <v/>
      </c>
      <c r="S1320" s="796"/>
      <c r="T1320" s="797"/>
      <c r="U1320" s="797"/>
      <c r="V1320" s="797"/>
      <c r="W1320" s="785">
        <f>IFERROR(VLOOKUP($Q1320,'391'!$S:$AG,15,0),0)</f>
        <v>0</v>
      </c>
      <c r="X1320" s="1090">
        <f t="shared" si="794"/>
        <v>0</v>
      </c>
      <c r="Y1320" s="785"/>
      <c r="Z1320" s="785"/>
      <c r="AA1320" s="797"/>
      <c r="AB1320" s="797"/>
      <c r="AC1320" s="683"/>
      <c r="AD1320" s="551"/>
      <c r="AE1320" s="551"/>
      <c r="AF1320" s="551"/>
      <c r="AG1320" s="551"/>
      <c r="AH1320" s="551"/>
      <c r="AI1320" s="704"/>
      <c r="AJ1320" s="704"/>
      <c r="AK1320" s="704"/>
      <c r="AL1320" s="704"/>
      <c r="AM1320" s="704"/>
      <c r="AN1320" s="704"/>
      <c r="AO1320" s="704"/>
      <c r="AP1320" s="704"/>
      <c r="AQ1320" s="704"/>
      <c r="AR1320" s="704"/>
      <c r="AS1320" s="704"/>
    </row>
    <row r="1321" spans="1:45" s="265" customFormat="1" ht="30" hidden="1" customHeight="1" x14ac:dyDescent="0.25">
      <c r="A1321" s="2083" t="str">
        <f>IF(L1324=0,"",MAX($A$16:A1320)+1)</f>
        <v/>
      </c>
      <c r="B1321" s="2113" t="s">
        <v>572</v>
      </c>
      <c r="C1321" s="574" t="s">
        <v>283</v>
      </c>
      <c r="D1321" s="881" t="s">
        <v>10</v>
      </c>
      <c r="E1321" s="882">
        <v>43999</v>
      </c>
      <c r="F1321" s="71">
        <f>$L$7-E1321</f>
        <v>2287</v>
      </c>
      <c r="G1321" s="64">
        <v>0</v>
      </c>
      <c r="H1321" s="64"/>
      <c r="I1321" s="64"/>
      <c r="J1321" s="1367"/>
      <c r="K1321" s="64"/>
      <c r="L1321" s="1533">
        <f t="shared" si="816"/>
        <v>0</v>
      </c>
      <c r="M1321" s="48"/>
      <c r="N1321" s="163"/>
      <c r="O1321" s="48"/>
      <c r="P1321" s="750"/>
      <c r="Q1321" s="795"/>
      <c r="R1321" s="785">
        <f>IFERROR(VLOOKUP($Q1321,'391'!$S:$Z,8,0),"")</f>
        <v>0</v>
      </c>
      <c r="S1321" s="796"/>
      <c r="T1321" s="797"/>
      <c r="U1321" s="797"/>
      <c r="V1321" s="797"/>
      <c r="W1321" s="785">
        <f>IFERROR(VLOOKUP($Q1321,'391'!$S:$AG,15,0),0)</f>
        <v>0</v>
      </c>
      <c r="X1321" s="1090">
        <f t="shared" si="794"/>
        <v>0</v>
      </c>
      <c r="Y1321" s="785"/>
      <c r="Z1321" s="785"/>
      <c r="AA1321" s="797"/>
      <c r="AB1321" s="797"/>
      <c r="AC1321" s="551"/>
      <c r="AD1321" s="551"/>
      <c r="AE1321" s="551"/>
      <c r="AF1321" s="551"/>
      <c r="AG1321" s="551"/>
      <c r="AH1321" s="551"/>
      <c r="AI1321" s="704"/>
      <c r="AJ1321" s="704"/>
      <c r="AK1321" s="704"/>
      <c r="AL1321" s="704"/>
      <c r="AM1321" s="704"/>
      <c r="AN1321" s="704"/>
      <c r="AO1321" s="704"/>
      <c r="AP1321" s="704"/>
      <c r="AQ1321" s="704"/>
      <c r="AR1321" s="704"/>
      <c r="AS1321" s="704"/>
    </row>
    <row r="1322" spans="1:45" s="265" customFormat="1" ht="30" hidden="1" customHeight="1" x14ac:dyDescent="0.25">
      <c r="A1322" s="2084"/>
      <c r="B1322" s="2195"/>
      <c r="C1322" s="574" t="s">
        <v>510</v>
      </c>
      <c r="D1322" s="881" t="s">
        <v>10</v>
      </c>
      <c r="E1322" s="882">
        <v>43890</v>
      </c>
      <c r="F1322" s="71">
        <f>$L$7-E1322</f>
        <v>2396</v>
      </c>
      <c r="G1322" s="64">
        <v>0</v>
      </c>
      <c r="H1322" s="64"/>
      <c r="I1322" s="64"/>
      <c r="J1322" s="1367"/>
      <c r="K1322" s="64"/>
      <c r="L1322" s="1533">
        <f t="shared" si="816"/>
        <v>0</v>
      </c>
      <c r="M1322" s="48"/>
      <c r="N1322" s="163"/>
      <c r="O1322" s="48"/>
      <c r="P1322" s="750"/>
      <c r="Q1322" s="795"/>
      <c r="R1322" s="785">
        <f>IFERROR(VLOOKUP($Q1322,'391'!$S:$Z,8,0),"")</f>
        <v>0</v>
      </c>
      <c r="S1322" s="796"/>
      <c r="T1322" s="797"/>
      <c r="U1322" s="797"/>
      <c r="V1322" s="797"/>
      <c r="W1322" s="785">
        <f>IFERROR(VLOOKUP($Q1322,'391'!$S:$AG,15,0),0)</f>
        <v>0</v>
      </c>
      <c r="X1322" s="1090">
        <f t="shared" si="794"/>
        <v>0</v>
      </c>
      <c r="Y1322" s="785"/>
      <c r="Z1322" s="785"/>
      <c r="AA1322" s="797"/>
      <c r="AB1322" s="797"/>
      <c r="AC1322" s="551"/>
      <c r="AD1322" s="551"/>
      <c r="AE1322" s="551"/>
      <c r="AF1322" s="551"/>
      <c r="AG1322" s="551"/>
      <c r="AH1322" s="551"/>
      <c r="AI1322" s="704"/>
      <c r="AJ1322" s="704"/>
      <c r="AK1322" s="704"/>
      <c r="AL1322" s="704"/>
      <c r="AM1322" s="704"/>
      <c r="AN1322" s="704"/>
      <c r="AO1322" s="704"/>
      <c r="AP1322" s="704"/>
      <c r="AQ1322" s="704"/>
      <c r="AR1322" s="704"/>
      <c r="AS1322" s="704"/>
    </row>
    <row r="1323" spans="1:45" s="265" customFormat="1" ht="30" hidden="1" customHeight="1" x14ac:dyDescent="0.25">
      <c r="A1323" s="2085"/>
      <c r="B1323" s="2085"/>
      <c r="C1323" s="138" t="s">
        <v>76</v>
      </c>
      <c r="D1323" s="884" t="s">
        <v>10</v>
      </c>
      <c r="E1323" s="885">
        <v>43999</v>
      </c>
      <c r="F1323" s="293">
        <f>$L$7-E1323</f>
        <v>2287</v>
      </c>
      <c r="G1323" s="1214">
        <v>0</v>
      </c>
      <c r="H1323" s="37"/>
      <c r="I1323" s="37"/>
      <c r="J1323" s="1385">
        <f>usage!I159</f>
        <v>0</v>
      </c>
      <c r="K1323" s="37"/>
      <c r="L1323" s="1533">
        <f t="shared" si="816"/>
        <v>0</v>
      </c>
      <c r="M1323" s="35"/>
      <c r="N1323" s="920"/>
      <c r="O1323" s="35"/>
      <c r="P1323" s="1013"/>
      <c r="Q1323" s="795"/>
      <c r="R1323" s="785">
        <f>IFERROR(VLOOKUP($Q1323,'391'!$S:$Z,8,0),"")</f>
        <v>0</v>
      </c>
      <c r="S1323" s="796"/>
      <c r="T1323" s="797"/>
      <c r="U1323" s="797"/>
      <c r="V1323" s="797"/>
      <c r="W1323" s="785">
        <f>IFERROR(VLOOKUP($Q1323,'391'!$S:$AG,15,0),0)</f>
        <v>0</v>
      </c>
      <c r="X1323" s="1090">
        <f t="shared" si="794"/>
        <v>0</v>
      </c>
      <c r="Y1323" s="785"/>
      <c r="Z1323" s="785"/>
      <c r="AA1323" s="797"/>
      <c r="AB1323" s="797"/>
      <c r="AC1323" s="551"/>
      <c r="AD1323" s="551"/>
      <c r="AE1323" s="551"/>
      <c r="AF1323" s="551"/>
      <c r="AG1323" s="551"/>
      <c r="AH1323" s="551"/>
      <c r="AI1323" s="704"/>
      <c r="AJ1323" s="704"/>
      <c r="AK1323" s="704"/>
      <c r="AL1323" s="704"/>
      <c r="AM1323" s="704"/>
      <c r="AN1323" s="704"/>
      <c r="AO1323" s="704"/>
      <c r="AP1323" s="704"/>
      <c r="AQ1323" s="704"/>
      <c r="AR1323" s="704"/>
      <c r="AS1323" s="704"/>
    </row>
    <row r="1324" spans="1:45" s="265" customFormat="1" ht="30" hidden="1" customHeight="1" x14ac:dyDescent="0.25">
      <c r="A1324" s="184"/>
      <c r="B1324" s="184" t="s">
        <v>576</v>
      </c>
      <c r="C1324" s="575"/>
      <c r="D1324" s="900"/>
      <c r="E1324" s="901"/>
      <c r="F1324" s="902"/>
      <c r="G1324" s="1337">
        <v>0</v>
      </c>
      <c r="H1324" s="1337">
        <f>+SUM(H1321:H1323)</f>
        <v>0</v>
      </c>
      <c r="I1324" s="1337">
        <f>+SUM(I1321:I1323)</f>
        <v>0</v>
      </c>
      <c r="J1324" s="1337">
        <f t="shared" ref="J1324:K1324" si="825">+SUM(J1321:J1323)</f>
        <v>0</v>
      </c>
      <c r="K1324" s="1337">
        <f t="shared" si="825"/>
        <v>0</v>
      </c>
      <c r="L1324" s="1533">
        <f t="shared" si="816"/>
        <v>0</v>
      </c>
      <c r="M1324" s="59">
        <v>0</v>
      </c>
      <c r="N1324" s="366">
        <f>IFERROR(L1324/M1324,0)</f>
        <v>0</v>
      </c>
      <c r="O1324" s="59"/>
      <c r="P1324" s="880">
        <f>IFERROR(L1324/O1324,0)</f>
        <v>0</v>
      </c>
      <c r="Q1324" s="795"/>
      <c r="R1324" s="785">
        <f>IFERROR(VLOOKUP($Q1324,'391'!$S:$Z,8,0),"")</f>
        <v>0</v>
      </c>
      <c r="S1324" s="796"/>
      <c r="T1324" s="797"/>
      <c r="U1324" s="797"/>
      <c r="V1324" s="797"/>
      <c r="W1324" s="785">
        <f>IFERROR(VLOOKUP($Q1324,'391'!$S:$AG,15,0),0)</f>
        <v>0</v>
      </c>
      <c r="X1324" s="1090">
        <f t="shared" si="794"/>
        <v>0</v>
      </c>
      <c r="Y1324" s="785"/>
      <c r="Z1324" s="785"/>
      <c r="AA1324" s="797"/>
      <c r="AB1324" s="797"/>
      <c r="AC1324" s="683"/>
      <c r="AD1324" s="551"/>
      <c r="AE1324" s="551"/>
      <c r="AF1324" s="551"/>
      <c r="AG1324" s="551"/>
      <c r="AH1324" s="551"/>
      <c r="AI1324" s="704"/>
      <c r="AJ1324" s="704"/>
      <c r="AK1324" s="704"/>
      <c r="AL1324" s="704"/>
      <c r="AM1324" s="704"/>
      <c r="AN1324" s="704"/>
      <c r="AO1324" s="704"/>
      <c r="AP1324" s="704"/>
      <c r="AQ1324" s="704"/>
      <c r="AR1324" s="704"/>
      <c r="AS1324" s="704"/>
    </row>
    <row r="1325" spans="1:45" s="265" customFormat="1" ht="30" hidden="1" customHeight="1" x14ac:dyDescent="0.25">
      <c r="A1325" s="2083" t="str">
        <f>IF(L1330=0,"",MAX($A$16:A1324)+1)</f>
        <v/>
      </c>
      <c r="B1325" s="2075" t="s">
        <v>569</v>
      </c>
      <c r="C1325" s="574"/>
      <c r="D1325" s="881" t="s">
        <v>10</v>
      </c>
      <c r="E1325" s="882">
        <v>46129</v>
      </c>
      <c r="F1325" s="71">
        <f>$L$7-E1325</f>
        <v>157</v>
      </c>
      <c r="G1325" s="64">
        <v>0</v>
      </c>
      <c r="H1325" s="64"/>
      <c r="I1325" s="64"/>
      <c r="J1325" s="1367"/>
      <c r="K1325" s="64">
        <f>IFERROR(SUMIF(INTAKE!$A:$A,$T1325,INTAKE!$P:$P),0)</f>
        <v>0</v>
      </c>
      <c r="L1325" s="1702">
        <f t="shared" si="816"/>
        <v>0</v>
      </c>
      <c r="M1325" s="48"/>
      <c r="N1325" s="163"/>
      <c r="O1325" s="48"/>
      <c r="P1325" s="750"/>
      <c r="Q1325" s="795"/>
      <c r="R1325" s="785">
        <f>IFERROR(VLOOKUP($Q1325,'391'!$S:$Z,8,0),"")</f>
        <v>0</v>
      </c>
      <c r="S1325" s="796"/>
      <c r="T1325" s="797" t="str">
        <f>$Q$1330&amp;C1325&amp;E1325</f>
        <v>Monimax (Bulgaria)46129</v>
      </c>
      <c r="U1325" s="797"/>
      <c r="V1325" s="797"/>
      <c r="W1325" s="785">
        <f>IFERROR(VLOOKUP($Q1325,'391'!$S:$AG,15,0),0)</f>
        <v>0</v>
      </c>
      <c r="X1325" s="1090">
        <f t="shared" si="794"/>
        <v>0</v>
      </c>
      <c r="Y1325" s="785"/>
      <c r="Z1325" s="785"/>
      <c r="AA1325" s="797"/>
      <c r="AB1325" s="797"/>
      <c r="AC1325" s="551"/>
      <c r="AD1325" s="551"/>
      <c r="AE1325" s="551"/>
      <c r="AF1325" s="551"/>
      <c r="AG1325" s="551"/>
      <c r="AH1325" s="551"/>
      <c r="AI1325" s="704"/>
      <c r="AJ1325" s="704"/>
      <c r="AK1325" s="704"/>
      <c r="AL1325" s="704"/>
      <c r="AM1325" s="704"/>
      <c r="AN1325" s="704"/>
      <c r="AO1325" s="704"/>
      <c r="AP1325" s="704"/>
      <c r="AQ1325" s="704"/>
      <c r="AR1325" s="704"/>
      <c r="AS1325" s="704"/>
    </row>
    <row r="1326" spans="1:45" s="265" customFormat="1" ht="30" hidden="1" customHeight="1" x14ac:dyDescent="0.25">
      <c r="A1326" s="2084"/>
      <c r="B1326" s="2076"/>
      <c r="C1326" s="574"/>
      <c r="D1326" s="881" t="s">
        <v>10</v>
      </c>
      <c r="E1326" s="882">
        <v>46162</v>
      </c>
      <c r="F1326" s="71">
        <f>$L$7-E1326</f>
        <v>124</v>
      </c>
      <c r="G1326" s="64">
        <v>0</v>
      </c>
      <c r="H1326" s="64"/>
      <c r="I1326" s="64"/>
      <c r="J1326" s="1367"/>
      <c r="K1326" s="64">
        <f>IFERROR(SUMIF(INTAKE!$A:$A,$T1326,INTAKE!$P:$P),0)</f>
        <v>0</v>
      </c>
      <c r="L1326" s="1702">
        <f t="shared" si="816"/>
        <v>0</v>
      </c>
      <c r="M1326" s="48"/>
      <c r="N1326" s="163"/>
      <c r="O1326" s="48"/>
      <c r="P1326" s="750"/>
      <c r="Q1326" s="795"/>
      <c r="R1326" s="785">
        <f>IFERROR(VLOOKUP($Q1326,'391'!$S:$Z,8,0),"")</f>
        <v>0</v>
      </c>
      <c r="S1326" s="796"/>
      <c r="T1326" s="797" t="str">
        <f>$Q$1330&amp;C1326&amp;E1326</f>
        <v>Monimax (Bulgaria)46162</v>
      </c>
      <c r="U1326" s="797"/>
      <c r="V1326" s="797"/>
      <c r="W1326" s="785">
        <f>IFERROR(VLOOKUP($Q1326,'391'!$S:$AG,15,0),0)</f>
        <v>0</v>
      </c>
      <c r="X1326" s="1090">
        <f t="shared" si="794"/>
        <v>0</v>
      </c>
      <c r="Y1326" s="785"/>
      <c r="Z1326" s="785"/>
      <c r="AA1326" s="797"/>
      <c r="AB1326" s="797"/>
      <c r="AC1326" s="551"/>
      <c r="AD1326" s="551"/>
      <c r="AE1326" s="551"/>
      <c r="AF1326" s="551"/>
      <c r="AG1326" s="551"/>
      <c r="AH1326" s="551"/>
      <c r="AI1326" s="704"/>
      <c r="AJ1326" s="704"/>
      <c r="AK1326" s="704"/>
      <c r="AL1326" s="704"/>
      <c r="AM1326" s="704"/>
      <c r="AN1326" s="704"/>
      <c r="AO1326" s="704"/>
      <c r="AP1326" s="704"/>
      <c r="AQ1326" s="704"/>
      <c r="AR1326" s="704"/>
      <c r="AS1326" s="704"/>
    </row>
    <row r="1327" spans="1:45" s="265" customFormat="1" ht="30" hidden="1" customHeight="1" x14ac:dyDescent="0.25">
      <c r="A1327" s="2084"/>
      <c r="B1327" s="2076"/>
      <c r="C1327" s="574" t="s">
        <v>1249</v>
      </c>
      <c r="D1327" s="881" t="s">
        <v>10</v>
      </c>
      <c r="E1327" s="882">
        <v>46185</v>
      </c>
      <c r="F1327" s="71">
        <f>$L$7-E1327</f>
        <v>101</v>
      </c>
      <c r="G1327" s="64">
        <v>0</v>
      </c>
      <c r="H1327" s="64"/>
      <c r="I1327" s="64"/>
      <c r="J1327" s="1367"/>
      <c r="K1327" s="64">
        <f>IFERROR(SUMIF(INTAKE!$A:$A,$T1327,INTAKE!$P:$P),0)</f>
        <v>0</v>
      </c>
      <c r="L1327" s="1702">
        <f t="shared" si="816"/>
        <v>0</v>
      </c>
      <c r="M1327" s="48"/>
      <c r="N1327" s="163"/>
      <c r="O1327" s="48"/>
      <c r="P1327" s="750"/>
      <c r="Q1327" s="795"/>
      <c r="R1327" s="785">
        <f>IFERROR(VLOOKUP($Q1327,'391'!$S:$Z,8,0),"")</f>
        <v>0</v>
      </c>
      <c r="S1327" s="796"/>
      <c r="T1327" s="797" t="str">
        <f>$Q$1330&amp;C1327&amp;E1327</f>
        <v>Monimax (Bulgaria)E146185</v>
      </c>
      <c r="U1327" s="797"/>
      <c r="V1327" s="797"/>
      <c r="W1327" s="785">
        <f>IFERROR(VLOOKUP($Q1327,'391'!$S:$AG,15,0),0)</f>
        <v>0</v>
      </c>
      <c r="X1327" s="1090">
        <f t="shared" si="794"/>
        <v>0</v>
      </c>
      <c r="Y1327" s="785"/>
      <c r="Z1327" s="785"/>
      <c r="AA1327" s="797"/>
      <c r="AB1327" s="797"/>
      <c r="AC1327" s="551"/>
      <c r="AD1327" s="551"/>
      <c r="AE1327" s="551"/>
      <c r="AF1327" s="551"/>
      <c r="AG1327" s="551"/>
      <c r="AH1327" s="551"/>
      <c r="AI1327" s="704"/>
      <c r="AJ1327" s="704"/>
      <c r="AK1327" s="704"/>
      <c r="AL1327" s="704"/>
      <c r="AM1327" s="704"/>
      <c r="AN1327" s="704"/>
      <c r="AO1327" s="704"/>
      <c r="AP1327" s="704"/>
      <c r="AQ1327" s="704"/>
      <c r="AR1327" s="704"/>
      <c r="AS1327" s="704"/>
    </row>
    <row r="1328" spans="1:45" s="265" customFormat="1" ht="30" hidden="1" customHeight="1" x14ac:dyDescent="0.25">
      <c r="A1328" s="2121"/>
      <c r="B1328" s="2082"/>
      <c r="C1328" s="574"/>
      <c r="D1328" s="881" t="s">
        <v>10</v>
      </c>
      <c r="E1328" s="882">
        <v>46185</v>
      </c>
      <c r="F1328" s="71">
        <f>$L$7-E1328</f>
        <v>101</v>
      </c>
      <c r="G1328" s="64">
        <v>0</v>
      </c>
      <c r="H1328" s="64"/>
      <c r="I1328" s="64"/>
      <c r="J1328" s="1367"/>
      <c r="K1328" s="64">
        <f>IFERROR(SUMIF(INTAKE!$A:$A,$T1328,INTAKE!$P:$P),0)</f>
        <v>0</v>
      </c>
      <c r="L1328" s="1702">
        <f t="shared" si="816"/>
        <v>0</v>
      </c>
      <c r="M1328" s="48"/>
      <c r="N1328" s="163"/>
      <c r="O1328" s="48"/>
      <c r="P1328" s="750"/>
      <c r="Q1328" s="795"/>
      <c r="R1328" s="785">
        <f>IFERROR(VLOOKUP($Q1328,'391'!$S:$Z,8,0),"")</f>
        <v>0</v>
      </c>
      <c r="S1328" s="796"/>
      <c r="T1328" s="797" t="str">
        <f>$Q$1330&amp;C1328&amp;E1328</f>
        <v>Monimax (Bulgaria)46185</v>
      </c>
      <c r="U1328" s="797"/>
      <c r="V1328" s="797"/>
      <c r="W1328" s="785">
        <f>IFERROR(VLOOKUP($Q1328,'391'!$S:$AG,15,0),0)</f>
        <v>0</v>
      </c>
      <c r="X1328" s="1090">
        <f t="shared" si="794"/>
        <v>0</v>
      </c>
      <c r="Y1328" s="785"/>
      <c r="Z1328" s="785"/>
      <c r="AA1328" s="797"/>
      <c r="AB1328" s="797"/>
      <c r="AC1328" s="551"/>
      <c r="AD1328" s="551"/>
      <c r="AE1328" s="551"/>
      <c r="AF1328" s="551"/>
      <c r="AG1328" s="551"/>
      <c r="AH1328" s="551"/>
      <c r="AI1328" s="704"/>
      <c r="AJ1328" s="704"/>
      <c r="AK1328" s="704"/>
      <c r="AL1328" s="704"/>
      <c r="AM1328" s="704"/>
      <c r="AN1328" s="704"/>
      <c r="AO1328" s="704"/>
      <c r="AP1328" s="704"/>
      <c r="AQ1328" s="704"/>
      <c r="AR1328" s="704"/>
      <c r="AS1328" s="704"/>
    </row>
    <row r="1329" spans="1:45" s="265" customFormat="1" ht="30" hidden="1" customHeight="1" x14ac:dyDescent="0.25">
      <c r="A1329" s="2085"/>
      <c r="B1329" s="2068"/>
      <c r="C1329" s="108" t="s">
        <v>46</v>
      </c>
      <c r="D1329" s="884" t="s">
        <v>10</v>
      </c>
      <c r="E1329" s="885">
        <v>46185</v>
      </c>
      <c r="F1329" s="293">
        <f>$L$7-E1329</f>
        <v>101</v>
      </c>
      <c r="G1329" s="1214">
        <v>0</v>
      </c>
      <c r="H1329" s="37"/>
      <c r="I1329" s="37">
        <f>K1327+K1325+K1326+K1328</f>
        <v>0</v>
      </c>
      <c r="J1329" s="1385">
        <f>usage!I158</f>
        <v>0</v>
      </c>
      <c r="K1329" s="37"/>
      <c r="L1329" s="1533">
        <f t="shared" si="816"/>
        <v>0</v>
      </c>
      <c r="M1329" s="35"/>
      <c r="N1329" s="920"/>
      <c r="O1329" s="35"/>
      <c r="P1329" s="1013"/>
      <c r="Q1329" s="795"/>
      <c r="R1329" s="785">
        <f>IFERROR(VLOOKUP($Q1329,'391'!$S:$Z,8,0),"")</f>
        <v>0</v>
      </c>
      <c r="S1329" s="796"/>
      <c r="T1329" s="797" t="str">
        <f>$Q$1330&amp;C1329&amp;E1329</f>
        <v>Monimax (Bulgaria)Feedmill46185</v>
      </c>
      <c r="U1329" s="797"/>
      <c r="V1329" s="797"/>
      <c r="W1329" s="785">
        <f>IFERROR(VLOOKUP($Q1329,'391'!$S:$AG,15,0),0)</f>
        <v>0</v>
      </c>
      <c r="X1329" s="1090">
        <f t="shared" si="794"/>
        <v>0</v>
      </c>
      <c r="Y1329" s="785"/>
      <c r="Z1329" s="785"/>
      <c r="AA1329" s="797"/>
      <c r="AB1329" s="797"/>
      <c r="AC1329" s="551"/>
      <c r="AD1329" s="551"/>
      <c r="AE1329" s="551"/>
      <c r="AF1329" s="551"/>
      <c r="AG1329" s="551"/>
      <c r="AH1329" s="551"/>
      <c r="AI1329" s="704"/>
      <c r="AJ1329" s="704"/>
      <c r="AK1329" s="704"/>
      <c r="AL1329" s="704"/>
      <c r="AM1329" s="704"/>
      <c r="AN1329" s="704"/>
      <c r="AO1329" s="704"/>
      <c r="AP1329" s="704"/>
      <c r="AQ1329" s="704"/>
      <c r="AR1329" s="704"/>
      <c r="AS1329" s="704"/>
    </row>
    <row r="1330" spans="1:45" s="265" customFormat="1" ht="30" hidden="1" customHeight="1" x14ac:dyDescent="0.25">
      <c r="A1330" s="184"/>
      <c r="B1330" s="184" t="s">
        <v>564</v>
      </c>
      <c r="C1330" s="575"/>
      <c r="D1330" s="900"/>
      <c r="E1330" s="901"/>
      <c r="F1330" s="902"/>
      <c r="G1330" s="1337">
        <v>0</v>
      </c>
      <c r="H1330" s="1337">
        <f>+SUM(H1325:H1329)</f>
        <v>0</v>
      </c>
      <c r="I1330" s="1337">
        <f>+SUM(I1325:I1329)</f>
        <v>0</v>
      </c>
      <c r="J1330" s="1337">
        <f t="shared" ref="J1330:L1330" si="826">+SUM(J1325:J1329)</f>
        <v>0</v>
      </c>
      <c r="K1330" s="1337">
        <f t="shared" si="826"/>
        <v>0</v>
      </c>
      <c r="L1330" s="1337">
        <f t="shared" si="826"/>
        <v>0</v>
      </c>
      <c r="M1330" s="59" t="str">
        <f>IFERROR(R1330/$S$2,"")</f>
        <v/>
      </c>
      <c r="N1330" s="366">
        <f>IFERROR(L1330/M1330,0)</f>
        <v>0</v>
      </c>
      <c r="O1330" s="59">
        <f>IFERROR(SUMIF(ETM!$A:$A,$Q1330,ETM!$E:$E),"")</f>
        <v>0</v>
      </c>
      <c r="P1330" s="880">
        <f>IFERROR(L1330/O1330,0)</f>
        <v>0</v>
      </c>
      <c r="Q1330" s="1183" t="s">
        <v>1172</v>
      </c>
      <c r="R1330" s="785" t="str">
        <f>IFERROR(VLOOKUP($Q1330,'391'!$S:$Z,8,0),"")</f>
        <v/>
      </c>
      <c r="S1330" s="796"/>
      <c r="T1330" s="797"/>
      <c r="U1330" s="797"/>
      <c r="V1330" s="797"/>
      <c r="W1330" s="785">
        <f>IFERROR(VLOOKUP($Q1330,'391'!$S:$AG,15,0),0)</f>
        <v>0</v>
      </c>
      <c r="X1330" s="1090">
        <f t="shared" si="794"/>
        <v>0</v>
      </c>
      <c r="Y1330" s="785"/>
      <c r="Z1330" s="785"/>
      <c r="AA1330" s="797"/>
      <c r="AB1330" s="797"/>
      <c r="AC1330" s="683"/>
      <c r="AD1330" s="551"/>
      <c r="AE1330" s="551"/>
      <c r="AF1330" s="551"/>
      <c r="AG1330" s="551"/>
      <c r="AH1330" s="551"/>
      <c r="AI1330" s="704"/>
      <c r="AJ1330" s="704"/>
      <c r="AK1330" s="704"/>
      <c r="AL1330" s="704"/>
      <c r="AM1330" s="704"/>
      <c r="AN1330" s="704"/>
      <c r="AO1330" s="704"/>
      <c r="AP1330" s="704"/>
      <c r="AQ1330" s="704"/>
      <c r="AR1330" s="704"/>
      <c r="AS1330" s="704"/>
    </row>
    <row r="1331" spans="1:45" s="265" customFormat="1" ht="30" hidden="1" customHeight="1" x14ac:dyDescent="0.25">
      <c r="A1331" s="2083" t="str">
        <f>IF(L1334=0,"",MAX($A$16:A1330)+1)</f>
        <v/>
      </c>
      <c r="B1331" s="2113" t="s">
        <v>599</v>
      </c>
      <c r="C1331" s="574" t="s">
        <v>227</v>
      </c>
      <c r="D1331" s="881" t="s">
        <v>10</v>
      </c>
      <c r="E1331" s="882">
        <v>44147</v>
      </c>
      <c r="F1331" s="71">
        <f>$L$7-E1331</f>
        <v>2139</v>
      </c>
      <c r="G1331" s="64">
        <v>0</v>
      </c>
      <c r="H1331" s="64"/>
      <c r="I1331" s="64"/>
      <c r="J1331" s="1367"/>
      <c r="K1331" s="64"/>
      <c r="L1331" s="1533">
        <f t="shared" ref="L1331:L1340" si="827">+G1331+H1331+I1331-J1331-K1331</f>
        <v>0</v>
      </c>
      <c r="M1331" s="48"/>
      <c r="N1331" s="163"/>
      <c r="O1331" s="48"/>
      <c r="P1331" s="750"/>
      <c r="Q1331" s="795"/>
      <c r="R1331" s="785">
        <f>IFERROR(VLOOKUP($Q1331,'391'!$S:$Z,8,0),"")</f>
        <v>0</v>
      </c>
      <c r="S1331" s="796"/>
      <c r="T1331" s="797"/>
      <c r="U1331" s="797"/>
      <c r="V1331" s="797"/>
      <c r="W1331" s="785">
        <f>IFERROR(VLOOKUP($Q1331,'391'!$S:$AG,15,0),0)</f>
        <v>0</v>
      </c>
      <c r="X1331" s="1090">
        <f t="shared" si="794"/>
        <v>0</v>
      </c>
      <c r="Y1331" s="785"/>
      <c r="Z1331" s="785"/>
      <c r="AA1331" s="797"/>
      <c r="AB1331" s="797"/>
      <c r="AC1331" s="551"/>
      <c r="AD1331" s="551"/>
      <c r="AE1331" s="551"/>
      <c r="AF1331" s="551"/>
      <c r="AG1331" s="551"/>
      <c r="AH1331" s="551"/>
      <c r="AI1331" s="704"/>
      <c r="AJ1331" s="704"/>
      <c r="AK1331" s="704"/>
      <c r="AL1331" s="704"/>
      <c r="AM1331" s="704"/>
      <c r="AN1331" s="704"/>
      <c r="AO1331" s="704"/>
      <c r="AP1331" s="704"/>
      <c r="AQ1331" s="704"/>
      <c r="AR1331" s="704"/>
      <c r="AS1331" s="704"/>
    </row>
    <row r="1332" spans="1:45" s="265" customFormat="1" ht="30" hidden="1" customHeight="1" x14ac:dyDescent="0.25">
      <c r="A1332" s="2084"/>
      <c r="B1332" s="2195"/>
      <c r="C1332" s="574" t="s">
        <v>510</v>
      </c>
      <c r="D1332" s="881" t="s">
        <v>10</v>
      </c>
      <c r="E1332" s="882">
        <v>44125</v>
      </c>
      <c r="F1332" s="71">
        <f>$L$7-E1332</f>
        <v>2161</v>
      </c>
      <c r="G1332" s="64">
        <v>0</v>
      </c>
      <c r="H1332" s="64"/>
      <c r="I1332" s="64"/>
      <c r="J1332" s="1367"/>
      <c r="K1332" s="64"/>
      <c r="L1332" s="1533">
        <f t="shared" si="827"/>
        <v>0</v>
      </c>
      <c r="M1332" s="48"/>
      <c r="N1332" s="163"/>
      <c r="O1332" s="48"/>
      <c r="P1332" s="750"/>
      <c r="Q1332" s="795"/>
      <c r="R1332" s="785">
        <f>IFERROR(VLOOKUP($Q1332,'391'!$S:$Z,8,0),"")</f>
        <v>0</v>
      </c>
      <c r="S1332" s="796"/>
      <c r="T1332" s="797"/>
      <c r="U1332" s="797"/>
      <c r="V1332" s="797"/>
      <c r="W1332" s="785">
        <f>IFERROR(VLOOKUP($Q1332,'391'!$S:$AG,15,0),0)</f>
        <v>0</v>
      </c>
      <c r="X1332" s="1090">
        <f t="shared" si="794"/>
        <v>0</v>
      </c>
      <c r="Y1332" s="785"/>
      <c r="Z1332" s="785"/>
      <c r="AA1332" s="797"/>
      <c r="AB1332" s="797"/>
      <c r="AC1332" s="551"/>
      <c r="AD1332" s="551"/>
      <c r="AE1332" s="551"/>
      <c r="AF1332" s="551"/>
      <c r="AG1332" s="551"/>
      <c r="AH1332" s="551"/>
      <c r="AI1332" s="704"/>
      <c r="AJ1332" s="704"/>
      <c r="AK1332" s="704"/>
      <c r="AL1332" s="704"/>
      <c r="AM1332" s="704"/>
      <c r="AN1332" s="704"/>
      <c r="AO1332" s="704"/>
      <c r="AP1332" s="704"/>
      <c r="AQ1332" s="704"/>
      <c r="AR1332" s="704"/>
      <c r="AS1332" s="704"/>
    </row>
    <row r="1333" spans="1:45" s="265" customFormat="1" ht="30" hidden="1" customHeight="1" x14ac:dyDescent="0.25">
      <c r="A1333" s="2085"/>
      <c r="B1333" s="2085"/>
      <c r="C1333" s="138" t="s">
        <v>76</v>
      </c>
      <c r="D1333" s="884" t="s">
        <v>10</v>
      </c>
      <c r="E1333" s="885">
        <v>44147</v>
      </c>
      <c r="F1333" s="293">
        <f>$L$7-E1333</f>
        <v>2139</v>
      </c>
      <c r="G1333" s="1214">
        <v>0</v>
      </c>
      <c r="H1333" s="37"/>
      <c r="I1333" s="37">
        <f>+K1332+K1331</f>
        <v>0</v>
      </c>
      <c r="J1333" s="1385">
        <f>usage!I162</f>
        <v>0</v>
      </c>
      <c r="K1333" s="37"/>
      <c r="L1333" s="1533">
        <f t="shared" si="827"/>
        <v>0</v>
      </c>
      <c r="M1333" s="35"/>
      <c r="N1333" s="920"/>
      <c r="O1333" s="35"/>
      <c r="P1333" s="1013"/>
      <c r="Q1333" s="795"/>
      <c r="R1333" s="785">
        <f>IFERROR(VLOOKUP($Q1333,'391'!$S:$Z,8,0),"")</f>
        <v>0</v>
      </c>
      <c r="S1333" s="796"/>
      <c r="T1333" s="797"/>
      <c r="U1333" s="797"/>
      <c r="V1333" s="797"/>
      <c r="W1333" s="785">
        <f>IFERROR(VLOOKUP($Q1333,'391'!$S:$AG,15,0),0)</f>
        <v>0</v>
      </c>
      <c r="X1333" s="1090">
        <f t="shared" si="794"/>
        <v>0</v>
      </c>
      <c r="Y1333" s="785"/>
      <c r="Z1333" s="785"/>
      <c r="AA1333" s="797"/>
      <c r="AB1333" s="797"/>
      <c r="AC1333" s="551"/>
      <c r="AD1333" s="551"/>
      <c r="AE1333" s="551"/>
      <c r="AF1333" s="551"/>
      <c r="AG1333" s="551"/>
      <c r="AH1333" s="551"/>
      <c r="AI1333" s="704"/>
      <c r="AJ1333" s="704"/>
      <c r="AK1333" s="704"/>
      <c r="AL1333" s="704"/>
      <c r="AM1333" s="704"/>
      <c r="AN1333" s="704"/>
      <c r="AO1333" s="704"/>
      <c r="AP1333" s="704"/>
      <c r="AQ1333" s="704"/>
      <c r="AR1333" s="704"/>
      <c r="AS1333" s="704"/>
    </row>
    <row r="1334" spans="1:45" s="265" customFormat="1" ht="30" hidden="1" customHeight="1" x14ac:dyDescent="0.25">
      <c r="A1334" s="184"/>
      <c r="B1334" s="184" t="s">
        <v>605</v>
      </c>
      <c r="C1334" s="575"/>
      <c r="D1334" s="900"/>
      <c r="E1334" s="901"/>
      <c r="F1334" s="902"/>
      <c r="G1334" s="1337">
        <v>0</v>
      </c>
      <c r="H1334" s="1337">
        <f>+SUM(H1331:H1333)</f>
        <v>0</v>
      </c>
      <c r="I1334" s="1337">
        <f t="shared" ref="I1334:K1334" si="828">+SUM(I1331:I1333)</f>
        <v>0</v>
      </c>
      <c r="J1334" s="1337">
        <f t="shared" si="828"/>
        <v>0</v>
      </c>
      <c r="K1334" s="1337">
        <f t="shared" si="828"/>
        <v>0</v>
      </c>
      <c r="L1334" s="1533">
        <f t="shared" si="827"/>
        <v>0</v>
      </c>
      <c r="M1334" s="59" t="e">
        <f>+R1334/$S$2</f>
        <v>#VALUE!</v>
      </c>
      <c r="N1334" s="366">
        <f>IFERROR(L1334/M1334,0)</f>
        <v>0</v>
      </c>
      <c r="O1334" s="59">
        <f>IFERROR(SUMIF(ETM!$A:$A,$Q1334,ETM!$E:$E),"")</f>
        <v>0</v>
      </c>
      <c r="P1334" s="880">
        <f>IFERROR(L1334/O1334,0)</f>
        <v>0</v>
      </c>
      <c r="Q1334" s="795" t="s">
        <v>599</v>
      </c>
      <c r="R1334" s="785" t="str">
        <f>IFERROR(VLOOKUP($Q1334,'391'!$S:$Z,8,0),"")</f>
        <v/>
      </c>
      <c r="S1334" s="796"/>
      <c r="T1334" s="797"/>
      <c r="U1334" s="797"/>
      <c r="V1334" s="797"/>
      <c r="W1334" s="785">
        <f>IFERROR(VLOOKUP($Q1334,'391'!$S:$AG,15,0),0)</f>
        <v>0</v>
      </c>
      <c r="X1334" s="1090">
        <f t="shared" si="794"/>
        <v>0</v>
      </c>
      <c r="Y1334" s="785"/>
      <c r="Z1334" s="785"/>
      <c r="AA1334" s="797"/>
      <c r="AB1334" s="797"/>
      <c r="AC1334" s="683"/>
      <c r="AD1334" s="551"/>
      <c r="AE1334" s="551"/>
      <c r="AF1334" s="551"/>
      <c r="AG1334" s="551"/>
      <c r="AH1334" s="551"/>
      <c r="AI1334" s="704"/>
      <c r="AJ1334" s="704"/>
      <c r="AK1334" s="704"/>
      <c r="AL1334" s="704"/>
      <c r="AM1334" s="704"/>
      <c r="AN1334" s="704"/>
      <c r="AO1334" s="704"/>
      <c r="AP1334" s="704"/>
      <c r="AQ1334" s="704"/>
      <c r="AR1334" s="704"/>
      <c r="AS1334" s="704"/>
    </row>
    <row r="1335" spans="1:45" s="265" customFormat="1" ht="30" hidden="1" customHeight="1" x14ac:dyDescent="0.25">
      <c r="A1335" s="2083">
        <f>IF(L1341=0,"",MAX($A$16:A1334)+1)</f>
        <v>90</v>
      </c>
      <c r="B1335" s="2075" t="s">
        <v>602</v>
      </c>
      <c r="C1335" s="574"/>
      <c r="D1335" s="881" t="s">
        <v>10</v>
      </c>
      <c r="E1335" s="882">
        <v>45715</v>
      </c>
      <c r="F1335" s="71">
        <f t="shared" ref="F1335" si="829">$L$7-E1335</f>
        <v>571</v>
      </c>
      <c r="G1335" s="64">
        <v>0</v>
      </c>
      <c r="H1335" s="64"/>
      <c r="I1335" s="64"/>
      <c r="J1335" s="1367"/>
      <c r="K1335" s="64">
        <f>IFERROR(SUMIF(INTAKE!$A:$A,$T1335,INTAKE!$P:$P),0)</f>
        <v>0</v>
      </c>
      <c r="L1335" s="1702">
        <f t="shared" si="827"/>
        <v>0</v>
      </c>
      <c r="M1335" s="48"/>
      <c r="N1335" s="163"/>
      <c r="O1335" s="48"/>
      <c r="P1335" s="750"/>
      <c r="Q1335" s="795"/>
      <c r="R1335" s="785">
        <f>IFERROR(VLOOKUP($Q1335,'391'!$S:$Z,8,0),"")</f>
        <v>0</v>
      </c>
      <c r="S1335" s="796"/>
      <c r="T1335" s="797" t="str">
        <f t="shared" ref="T1335:T1340" si="830">$Q$1341&amp;C1335&amp;E1335</f>
        <v>APA FENBEN 10P45715</v>
      </c>
      <c r="U1335" s="797"/>
      <c r="V1335" s="797"/>
      <c r="W1335" s="785">
        <f>IFERROR(VLOOKUP($Q1335,'391'!$S:$AG,15,0),0)</f>
        <v>0</v>
      </c>
      <c r="X1335" s="1090">
        <f t="shared" si="794"/>
        <v>0</v>
      </c>
      <c r="Y1335" s="785"/>
      <c r="Z1335" s="785"/>
      <c r="AA1335" s="797"/>
      <c r="AB1335" s="797"/>
      <c r="AC1335" s="551"/>
      <c r="AD1335" s="551"/>
      <c r="AE1335" s="551"/>
      <c r="AF1335" s="551"/>
      <c r="AG1335" s="551"/>
      <c r="AH1335" s="551"/>
      <c r="AI1335" s="704"/>
      <c r="AJ1335" s="704"/>
      <c r="AK1335" s="704"/>
      <c r="AL1335" s="704"/>
      <c r="AM1335" s="704"/>
      <c r="AN1335" s="704"/>
      <c r="AO1335" s="704"/>
      <c r="AP1335" s="704"/>
      <c r="AQ1335" s="704"/>
      <c r="AR1335" s="704"/>
      <c r="AS1335" s="704"/>
    </row>
    <row r="1336" spans="1:45" s="265" customFormat="1" ht="30" hidden="1" customHeight="1" x14ac:dyDescent="0.25">
      <c r="A1336" s="2121"/>
      <c r="B1336" s="2082"/>
      <c r="C1336" s="574"/>
      <c r="D1336" s="881" t="s">
        <v>10</v>
      </c>
      <c r="E1336" s="882">
        <v>45764</v>
      </c>
      <c r="F1336" s="71">
        <f t="shared" ref="F1336" si="831">$L$7-E1336</f>
        <v>522</v>
      </c>
      <c r="G1336" s="64">
        <v>0</v>
      </c>
      <c r="H1336" s="64"/>
      <c r="I1336" s="64"/>
      <c r="J1336" s="1367"/>
      <c r="K1336" s="64">
        <f>IFERROR(SUMIF(INTAKE!$A:$A,$T1336,INTAKE!$P:$P),0)</f>
        <v>0</v>
      </c>
      <c r="L1336" s="1702">
        <f t="shared" si="827"/>
        <v>0</v>
      </c>
      <c r="M1336" s="48"/>
      <c r="N1336" s="163"/>
      <c r="O1336" s="48"/>
      <c r="P1336" s="750"/>
      <c r="Q1336" s="795"/>
      <c r="R1336" s="785">
        <f>IFERROR(VLOOKUP($Q1336,'391'!$S:$Z,8,0),"")</f>
        <v>0</v>
      </c>
      <c r="S1336" s="796"/>
      <c r="T1336" s="797" t="str">
        <f t="shared" si="830"/>
        <v>APA FENBEN 10P45764</v>
      </c>
      <c r="U1336" s="797"/>
      <c r="V1336" s="797"/>
      <c r="W1336" s="785">
        <f>IFERROR(VLOOKUP($Q1336,'391'!$S:$AG,15,0),0)</f>
        <v>0</v>
      </c>
      <c r="X1336" s="1090">
        <f t="shared" si="794"/>
        <v>0</v>
      </c>
      <c r="Y1336" s="785"/>
      <c r="Z1336" s="785"/>
      <c r="AA1336" s="797"/>
      <c r="AB1336" s="797"/>
      <c r="AC1336" s="551"/>
      <c r="AD1336" s="551"/>
      <c r="AE1336" s="551"/>
      <c r="AF1336" s="551"/>
      <c r="AG1336" s="551"/>
      <c r="AH1336" s="551"/>
      <c r="AI1336" s="704"/>
      <c r="AJ1336" s="704"/>
      <c r="AK1336" s="704"/>
      <c r="AL1336" s="704"/>
      <c r="AM1336" s="704"/>
      <c r="AN1336" s="704"/>
      <c r="AO1336" s="704"/>
      <c r="AP1336" s="704"/>
      <c r="AQ1336" s="704"/>
      <c r="AR1336" s="704"/>
      <c r="AS1336" s="704"/>
    </row>
    <row r="1337" spans="1:45" s="265" customFormat="1" ht="30" hidden="1" customHeight="1" x14ac:dyDescent="0.25">
      <c r="A1337" s="2121"/>
      <c r="B1337" s="2082"/>
      <c r="C1337" s="574"/>
      <c r="D1337" s="881" t="s">
        <v>10</v>
      </c>
      <c r="E1337" s="882">
        <v>46114</v>
      </c>
      <c r="F1337" s="71">
        <f t="shared" ref="F1337:F1338" si="832">$L$7-E1337</f>
        <v>172</v>
      </c>
      <c r="G1337" s="64">
        <v>0</v>
      </c>
      <c r="H1337" s="64"/>
      <c r="I1337" s="64"/>
      <c r="J1337" s="1367"/>
      <c r="K1337" s="64">
        <f>IFERROR(SUMIF(INTAKE!$A:$A,$T1337,INTAKE!$P:$P),0)</f>
        <v>0</v>
      </c>
      <c r="L1337" s="1702">
        <f t="shared" si="827"/>
        <v>0</v>
      </c>
      <c r="M1337" s="48"/>
      <c r="N1337" s="163"/>
      <c r="O1337" s="48"/>
      <c r="P1337" s="750"/>
      <c r="Q1337" s="795"/>
      <c r="R1337" s="785">
        <f>IFERROR(VLOOKUP($Q1337,'391'!$S:$Z,8,0),"")</f>
        <v>0</v>
      </c>
      <c r="S1337" s="796"/>
      <c r="T1337" s="797" t="str">
        <f t="shared" si="830"/>
        <v>APA FENBEN 10P46114</v>
      </c>
      <c r="U1337" s="797"/>
      <c r="V1337" s="797"/>
      <c r="W1337" s="785">
        <f>IFERROR(VLOOKUP($Q1337,'391'!$S:$AG,15,0),0)</f>
        <v>0</v>
      </c>
      <c r="X1337" s="1090">
        <f t="shared" si="794"/>
        <v>0</v>
      </c>
      <c r="Y1337" s="785"/>
      <c r="Z1337" s="785"/>
      <c r="AA1337" s="797"/>
      <c r="AB1337" s="797"/>
      <c r="AC1337" s="551"/>
      <c r="AD1337" s="551"/>
      <c r="AE1337" s="551"/>
      <c r="AF1337" s="551"/>
      <c r="AG1337" s="551"/>
      <c r="AH1337" s="551"/>
      <c r="AI1337" s="704"/>
      <c r="AJ1337" s="704"/>
      <c r="AK1337" s="704"/>
      <c r="AL1337" s="704"/>
      <c r="AM1337" s="704"/>
      <c r="AN1337" s="704"/>
      <c r="AO1337" s="704"/>
      <c r="AP1337" s="704"/>
      <c r="AQ1337" s="704"/>
      <c r="AR1337" s="704"/>
      <c r="AS1337" s="704"/>
    </row>
    <row r="1338" spans="1:45" s="265" customFormat="1" ht="30" customHeight="1" x14ac:dyDescent="0.25">
      <c r="A1338" s="2084"/>
      <c r="B1338" s="2076"/>
      <c r="C1338" s="574" t="s">
        <v>1313</v>
      </c>
      <c r="D1338" s="881" t="s">
        <v>10</v>
      </c>
      <c r="E1338" s="882">
        <v>46206</v>
      </c>
      <c r="F1338" s="71">
        <f t="shared" si="832"/>
        <v>80</v>
      </c>
      <c r="G1338" s="64">
        <v>360</v>
      </c>
      <c r="H1338" s="64"/>
      <c r="I1338" s="64"/>
      <c r="J1338" s="1367"/>
      <c r="K1338" s="64">
        <f>IFERROR(SUMIF(INTAKE!$A:$A,$T1338,INTAKE!$P:$P),0)</f>
        <v>0</v>
      </c>
      <c r="L1338" s="1702">
        <f t="shared" si="827"/>
        <v>360</v>
      </c>
      <c r="M1338" s="48"/>
      <c r="N1338" s="163"/>
      <c r="O1338" s="48"/>
      <c r="P1338" s="750"/>
      <c r="Q1338" s="795"/>
      <c r="R1338" s="785">
        <f>IFERROR(VLOOKUP($Q1338,'391'!$S:$Z,8,0),"")</f>
        <v>0</v>
      </c>
      <c r="S1338" s="796"/>
      <c r="T1338" s="797" t="str">
        <f t="shared" si="830"/>
        <v>APA FENBEN 10PE246206</v>
      </c>
      <c r="U1338" s="797"/>
      <c r="V1338" s="797"/>
      <c r="W1338" s="785">
        <f>IFERROR(VLOOKUP($Q1338,'391'!$S:$AG,15,0),0)</f>
        <v>0</v>
      </c>
      <c r="X1338" s="1090">
        <f t="shared" si="794"/>
        <v>360</v>
      </c>
      <c r="Y1338" s="785"/>
      <c r="Z1338" s="785"/>
      <c r="AA1338" s="797"/>
      <c r="AB1338" s="797"/>
      <c r="AC1338" s="551"/>
      <c r="AD1338" s="551"/>
      <c r="AE1338" s="551"/>
      <c r="AF1338" s="551"/>
      <c r="AG1338" s="551"/>
      <c r="AH1338" s="551"/>
      <c r="AI1338" s="704"/>
      <c r="AJ1338" s="704"/>
      <c r="AK1338" s="704"/>
      <c r="AL1338" s="704"/>
      <c r="AM1338" s="704"/>
      <c r="AN1338" s="704"/>
      <c r="AO1338" s="704"/>
      <c r="AP1338" s="704"/>
      <c r="AQ1338" s="704"/>
      <c r="AR1338" s="704"/>
      <c r="AS1338" s="704"/>
    </row>
    <row r="1339" spans="1:45" s="265" customFormat="1" ht="30" customHeight="1" x14ac:dyDescent="0.25">
      <c r="A1339" s="2121"/>
      <c r="B1339" s="2082"/>
      <c r="C1339" s="574" t="s">
        <v>1313</v>
      </c>
      <c r="D1339" s="881" t="s">
        <v>10</v>
      </c>
      <c r="E1339" s="882">
        <v>46248</v>
      </c>
      <c r="F1339" s="71">
        <f t="shared" ref="F1339:F1340" si="833">$L$7-E1339</f>
        <v>38</v>
      </c>
      <c r="G1339" s="64">
        <v>1000</v>
      </c>
      <c r="H1339" s="64"/>
      <c r="I1339" s="64"/>
      <c r="J1339" s="1367"/>
      <c r="K1339" s="64">
        <f>IFERROR(SUMIF(INTAKE!$A:$A,$T1339,INTAKE!$P:$P),0)</f>
        <v>0</v>
      </c>
      <c r="L1339" s="1702">
        <f t="shared" si="827"/>
        <v>1000</v>
      </c>
      <c r="M1339" s="48"/>
      <c r="N1339" s="163"/>
      <c r="O1339" s="48"/>
      <c r="P1339" s="750"/>
      <c r="Q1339" s="795"/>
      <c r="R1339" s="785">
        <f>IFERROR(VLOOKUP($Q1339,'391'!$S:$Z,8,0),"")</f>
        <v>0</v>
      </c>
      <c r="S1339" s="796"/>
      <c r="T1339" s="797" t="str">
        <f t="shared" si="830"/>
        <v>APA FENBEN 10PE246248</v>
      </c>
      <c r="U1339" s="797"/>
      <c r="V1339" s="797"/>
      <c r="W1339" s="785">
        <f>IFERROR(VLOOKUP($Q1339,'391'!$S:$AG,15,0),0)</f>
        <v>0</v>
      </c>
      <c r="X1339" s="1090">
        <f t="shared" si="794"/>
        <v>1000</v>
      </c>
      <c r="Y1339" s="785"/>
      <c r="Z1339" s="785"/>
      <c r="AA1339" s="797"/>
      <c r="AB1339" s="797"/>
      <c r="AC1339" s="551"/>
      <c r="AD1339" s="551"/>
      <c r="AE1339" s="551"/>
      <c r="AF1339" s="551"/>
      <c r="AG1339" s="551"/>
      <c r="AH1339" s="551"/>
      <c r="AI1339" s="704"/>
      <c r="AJ1339" s="704"/>
      <c r="AK1339" s="704"/>
      <c r="AL1339" s="704"/>
      <c r="AM1339" s="704"/>
      <c r="AN1339" s="704"/>
      <c r="AO1339" s="704"/>
      <c r="AP1339" s="704"/>
      <c r="AQ1339" s="704"/>
      <c r="AR1339" s="704"/>
      <c r="AS1339" s="704"/>
    </row>
    <row r="1340" spans="1:45" s="265" customFormat="1" ht="30" customHeight="1" x14ac:dyDescent="0.25">
      <c r="A1340" s="2085"/>
      <c r="B1340" s="2068"/>
      <c r="C1340" s="108" t="s">
        <v>46</v>
      </c>
      <c r="D1340" s="884" t="s">
        <v>10</v>
      </c>
      <c r="E1340" s="885">
        <v>46206</v>
      </c>
      <c r="F1340" s="293">
        <f t="shared" si="833"/>
        <v>80</v>
      </c>
      <c r="G1340" s="1214">
        <v>22.900000000000006</v>
      </c>
      <c r="H1340" s="37"/>
      <c r="I1340" s="37">
        <f>+SUM(K1337:K1339)</f>
        <v>0</v>
      </c>
      <c r="J1340" s="1385">
        <f>usage!I147</f>
        <v>0</v>
      </c>
      <c r="K1340" s="64">
        <f>IFERROR(SUMIF(INTAKE!$A:$A,$T1340,INTAKE!$P:$P),0)</f>
        <v>0</v>
      </c>
      <c r="L1340" s="1533">
        <f t="shared" si="827"/>
        <v>22.900000000000006</v>
      </c>
      <c r="M1340" s="35"/>
      <c r="N1340" s="920"/>
      <c r="O1340" s="35"/>
      <c r="P1340" s="1013"/>
      <c r="Q1340" s="795"/>
      <c r="R1340" s="785">
        <f>IFERROR(VLOOKUP($Q1340,'391'!$S:$Z,8,0),"")</f>
        <v>0</v>
      </c>
      <c r="S1340" s="796"/>
      <c r="T1340" s="797" t="str">
        <f t="shared" si="830"/>
        <v>APA FENBEN 10PFeedmill46206</v>
      </c>
      <c r="U1340" s="797"/>
      <c r="V1340" s="797"/>
      <c r="W1340" s="785">
        <f>IFERROR(VLOOKUP($Q1340,'391'!$S:$AG,15,0),0)</f>
        <v>0</v>
      </c>
      <c r="X1340" s="1090">
        <f t="shared" si="794"/>
        <v>22.900000000000006</v>
      </c>
      <c r="Y1340" s="785"/>
      <c r="Z1340" s="785"/>
      <c r="AA1340" s="797"/>
      <c r="AB1340" s="797"/>
      <c r="AC1340" s="551"/>
      <c r="AD1340" s="551"/>
      <c r="AE1340" s="551"/>
      <c r="AF1340" s="551"/>
      <c r="AG1340" s="551"/>
      <c r="AH1340" s="551"/>
      <c r="AI1340" s="704"/>
      <c r="AJ1340" s="704"/>
      <c r="AK1340" s="704"/>
      <c r="AL1340" s="704"/>
      <c r="AM1340" s="704"/>
      <c r="AN1340" s="704"/>
      <c r="AO1340" s="704"/>
      <c r="AP1340" s="704"/>
      <c r="AQ1340" s="704"/>
      <c r="AR1340" s="704"/>
      <c r="AS1340" s="704"/>
    </row>
    <row r="1341" spans="1:45" s="265" customFormat="1" ht="30" customHeight="1" x14ac:dyDescent="0.25">
      <c r="A1341" s="184"/>
      <c r="B1341" s="184" t="s">
        <v>603</v>
      </c>
      <c r="C1341" s="575"/>
      <c r="D1341" s="900"/>
      <c r="E1341" s="901"/>
      <c r="F1341" s="902"/>
      <c r="G1341" s="1337">
        <v>1382.9</v>
      </c>
      <c r="H1341" s="1337">
        <f>+SUM(H1335:H1340)</f>
        <v>0</v>
      </c>
      <c r="I1341" s="1337">
        <f t="shared" ref="I1341:L1341" si="834">+SUM(I1335:I1340)</f>
        <v>0</v>
      </c>
      <c r="J1341" s="1337">
        <f>+SUM(J1335:J1340)</f>
        <v>0</v>
      </c>
      <c r="K1341" s="1337">
        <f t="shared" si="834"/>
        <v>0</v>
      </c>
      <c r="L1341" s="1337">
        <f t="shared" si="834"/>
        <v>1382.9</v>
      </c>
      <c r="M1341" s="59">
        <f>+M1091</f>
        <v>32.200000000000003</v>
      </c>
      <c r="N1341" s="366">
        <f>IFERROR(L1341/M1341,0)</f>
        <v>42.947204968944099</v>
      </c>
      <c r="O1341" s="59">
        <f>+O1091</f>
        <v>26</v>
      </c>
      <c r="P1341" s="880">
        <f>IFERROR(L1341/O1341,0)</f>
        <v>53.188461538461539</v>
      </c>
      <c r="Q1341" s="795" t="s">
        <v>602</v>
      </c>
      <c r="R1341" s="785">
        <f>IFERROR(VLOOKUP($Q1341,'391'!$S:$Z,8,0),"")</f>
        <v>193.20000000000002</v>
      </c>
      <c r="S1341" s="796"/>
      <c r="T1341" s="797"/>
      <c r="U1341" s="797"/>
      <c r="V1341" s="797"/>
      <c r="W1341" s="785">
        <f>IFERROR(VLOOKUP($Q1341,'391'!$S:$AG,15,0),0)</f>
        <v>1382.9</v>
      </c>
      <c r="X1341" s="1090">
        <f>G1341-W1341</f>
        <v>0</v>
      </c>
      <c r="Y1341" s="785"/>
      <c r="Z1341" s="785"/>
      <c r="AA1341" s="797"/>
      <c r="AB1341" s="797"/>
      <c r="AC1341" s="683"/>
      <c r="AD1341" s="551"/>
      <c r="AE1341" s="551"/>
      <c r="AF1341" s="551"/>
      <c r="AG1341" s="551"/>
      <c r="AH1341" s="551"/>
      <c r="AI1341" s="704"/>
      <c r="AJ1341" s="704"/>
      <c r="AK1341" s="704"/>
      <c r="AL1341" s="704"/>
      <c r="AM1341" s="704"/>
      <c r="AN1341" s="704"/>
      <c r="AO1341" s="704"/>
      <c r="AP1341" s="704"/>
      <c r="AQ1341" s="704"/>
      <c r="AR1341" s="704"/>
      <c r="AS1341" s="704"/>
    </row>
    <row r="1342" spans="1:45" s="265" customFormat="1" ht="30" hidden="1" customHeight="1" x14ac:dyDescent="0.25">
      <c r="A1342" s="2083" t="str">
        <f>IF(L1347=0,"",MAX($A$16:A1341)+1)</f>
        <v/>
      </c>
      <c r="B1342" s="2075" t="s">
        <v>606</v>
      </c>
      <c r="C1342" s="574" t="s">
        <v>248</v>
      </c>
      <c r="D1342" s="881" t="s">
        <v>10</v>
      </c>
      <c r="E1342" s="882">
        <v>44217</v>
      </c>
      <c r="F1342" s="71">
        <f>$L$7-E1342</f>
        <v>2069</v>
      </c>
      <c r="G1342" s="64">
        <v>0</v>
      </c>
      <c r="H1342" s="64"/>
      <c r="I1342" s="64"/>
      <c r="J1342" s="1367"/>
      <c r="K1342" s="64"/>
      <c r="L1342" s="1533">
        <f t="shared" ref="L1342:L1360" si="835">+G1342+H1342+I1342-J1342-K1342</f>
        <v>0</v>
      </c>
      <c r="M1342" s="48"/>
      <c r="N1342" s="163"/>
      <c r="O1342" s="48"/>
      <c r="P1342" s="750"/>
      <c r="Q1342" s="795"/>
      <c r="R1342" s="785">
        <f>IFERROR(VLOOKUP($Q1342,'391'!$S:$Z,8,0),"")</f>
        <v>0</v>
      </c>
      <c r="S1342" s="796"/>
      <c r="T1342" s="797"/>
      <c r="U1342" s="797"/>
      <c r="V1342" s="797"/>
      <c r="W1342" s="785">
        <f>IFERROR(VLOOKUP($Q1342,'391'!$S:$AG,15,0),0)</f>
        <v>0</v>
      </c>
      <c r="X1342" s="1090">
        <f t="shared" si="794"/>
        <v>0</v>
      </c>
      <c r="Y1342" s="785"/>
      <c r="Z1342" s="785"/>
      <c r="AA1342" s="797"/>
      <c r="AB1342" s="797"/>
      <c r="AC1342" s="551"/>
      <c r="AD1342" s="551"/>
      <c r="AE1342" s="551"/>
      <c r="AF1342" s="551"/>
      <c r="AG1342" s="551"/>
      <c r="AH1342" s="551"/>
      <c r="AI1342" s="704"/>
      <c r="AJ1342" s="704"/>
      <c r="AK1342" s="704"/>
      <c r="AL1342" s="704"/>
      <c r="AM1342" s="704"/>
      <c r="AN1342" s="704"/>
      <c r="AO1342" s="704"/>
      <c r="AP1342" s="704"/>
      <c r="AQ1342" s="704"/>
      <c r="AR1342" s="704"/>
      <c r="AS1342" s="704"/>
    </row>
    <row r="1343" spans="1:45" s="265" customFormat="1" ht="30" hidden="1" customHeight="1" x14ac:dyDescent="0.25">
      <c r="A1343" s="2084"/>
      <c r="B1343" s="2076"/>
      <c r="C1343" s="574" t="s">
        <v>248</v>
      </c>
      <c r="D1343" s="881" t="s">
        <v>10</v>
      </c>
      <c r="E1343" s="882">
        <v>44217</v>
      </c>
      <c r="F1343" s="71">
        <f>$L$7-E1343</f>
        <v>2069</v>
      </c>
      <c r="G1343" s="64">
        <v>0</v>
      </c>
      <c r="H1343" s="64"/>
      <c r="I1343" s="64"/>
      <c r="J1343" s="1367"/>
      <c r="K1343" s="64"/>
      <c r="L1343" s="1533">
        <f t="shared" si="835"/>
        <v>0</v>
      </c>
      <c r="M1343" s="48"/>
      <c r="N1343" s="163"/>
      <c r="O1343" s="48"/>
      <c r="P1343" s="750"/>
      <c r="Q1343" s="795"/>
      <c r="R1343" s="785">
        <f>IFERROR(VLOOKUP($Q1343,'391'!$S:$Z,8,0),"")</f>
        <v>0</v>
      </c>
      <c r="S1343" s="796"/>
      <c r="T1343" s="797"/>
      <c r="U1343" s="797"/>
      <c r="V1343" s="797"/>
      <c r="W1343" s="785">
        <f>IFERROR(VLOOKUP($Q1343,'391'!$S:$AG,15,0),0)</f>
        <v>0</v>
      </c>
      <c r="X1343" s="1090">
        <f t="shared" si="794"/>
        <v>0</v>
      </c>
      <c r="Y1343" s="785"/>
      <c r="Z1343" s="785"/>
      <c r="AA1343" s="797"/>
      <c r="AB1343" s="797"/>
      <c r="AC1343" s="551"/>
      <c r="AD1343" s="551"/>
      <c r="AE1343" s="551"/>
      <c r="AF1343" s="551"/>
      <c r="AG1343" s="551"/>
      <c r="AH1343" s="551"/>
      <c r="AI1343" s="704"/>
      <c r="AJ1343" s="704"/>
      <c r="AK1343" s="704"/>
      <c r="AL1343" s="704"/>
      <c r="AM1343" s="704"/>
      <c r="AN1343" s="704"/>
      <c r="AO1343" s="704"/>
      <c r="AP1343" s="704"/>
      <c r="AQ1343" s="704"/>
      <c r="AR1343" s="704"/>
      <c r="AS1343" s="704"/>
    </row>
    <row r="1344" spans="1:45" s="265" customFormat="1" ht="30" hidden="1" customHeight="1" x14ac:dyDescent="0.25">
      <c r="A1344" s="2084"/>
      <c r="B1344" s="2076"/>
      <c r="C1344" s="574" t="s">
        <v>248</v>
      </c>
      <c r="D1344" s="881" t="s">
        <v>10</v>
      </c>
      <c r="E1344" s="882">
        <v>44217</v>
      </c>
      <c r="F1344" s="71">
        <f>$L$7-E1344</f>
        <v>2069</v>
      </c>
      <c r="G1344" s="64">
        <v>0</v>
      </c>
      <c r="H1344" s="64"/>
      <c r="I1344" s="64"/>
      <c r="J1344" s="1367"/>
      <c r="K1344" s="64"/>
      <c r="L1344" s="1533">
        <f t="shared" si="835"/>
        <v>0</v>
      </c>
      <c r="M1344" s="48"/>
      <c r="N1344" s="163"/>
      <c r="O1344" s="48"/>
      <c r="P1344" s="750"/>
      <c r="Q1344" s="795"/>
      <c r="R1344" s="785">
        <f>IFERROR(VLOOKUP($Q1344,'391'!$S:$Z,8,0),"")</f>
        <v>0</v>
      </c>
      <c r="S1344" s="796"/>
      <c r="T1344" s="797"/>
      <c r="U1344" s="797"/>
      <c r="V1344" s="797"/>
      <c r="W1344" s="785">
        <f>IFERROR(VLOOKUP($Q1344,'391'!$S:$AG,15,0),0)</f>
        <v>0</v>
      </c>
      <c r="X1344" s="1090">
        <f t="shared" si="794"/>
        <v>0</v>
      </c>
      <c r="Y1344" s="785"/>
      <c r="Z1344" s="785"/>
      <c r="AA1344" s="797"/>
      <c r="AB1344" s="797"/>
      <c r="AC1344" s="551"/>
      <c r="AD1344" s="551"/>
      <c r="AE1344" s="551"/>
      <c r="AF1344" s="551"/>
      <c r="AG1344" s="551"/>
      <c r="AH1344" s="551"/>
      <c r="AI1344" s="704"/>
      <c r="AJ1344" s="704"/>
      <c r="AK1344" s="704"/>
      <c r="AL1344" s="704"/>
      <c r="AM1344" s="704"/>
      <c r="AN1344" s="704"/>
      <c r="AO1344" s="704"/>
      <c r="AP1344" s="704"/>
      <c r="AQ1344" s="704"/>
      <c r="AR1344" s="704"/>
      <c r="AS1344" s="704"/>
    </row>
    <row r="1345" spans="1:45" s="265" customFormat="1" ht="30" hidden="1" customHeight="1" x14ac:dyDescent="0.25">
      <c r="A1345" s="2084"/>
      <c r="B1345" s="2076"/>
      <c r="C1345" s="574" t="s">
        <v>248</v>
      </c>
      <c r="D1345" s="881" t="s">
        <v>10</v>
      </c>
      <c r="E1345" s="882">
        <v>44217</v>
      </c>
      <c r="F1345" s="71">
        <f>$L$7-E1345</f>
        <v>2069</v>
      </c>
      <c r="G1345" s="64">
        <v>0</v>
      </c>
      <c r="H1345" s="64"/>
      <c r="I1345" s="64"/>
      <c r="J1345" s="1367"/>
      <c r="K1345" s="64"/>
      <c r="L1345" s="1533">
        <f t="shared" si="835"/>
        <v>0</v>
      </c>
      <c r="M1345" s="48"/>
      <c r="N1345" s="163"/>
      <c r="O1345" s="48"/>
      <c r="P1345" s="750"/>
      <c r="Q1345" s="795"/>
      <c r="R1345" s="785">
        <f>IFERROR(VLOOKUP($Q1345,'391'!$S:$Z,8,0),"")</f>
        <v>0</v>
      </c>
      <c r="S1345" s="796"/>
      <c r="T1345" s="797"/>
      <c r="U1345" s="797"/>
      <c r="V1345" s="797"/>
      <c r="W1345" s="785">
        <f>IFERROR(VLOOKUP($Q1345,'391'!$S:$AG,15,0),0)</f>
        <v>0</v>
      </c>
      <c r="X1345" s="1090">
        <f t="shared" si="794"/>
        <v>0</v>
      </c>
      <c r="Y1345" s="785"/>
      <c r="Z1345" s="785"/>
      <c r="AA1345" s="797"/>
      <c r="AB1345" s="797"/>
      <c r="AC1345" s="551"/>
      <c r="AD1345" s="551"/>
      <c r="AE1345" s="551"/>
      <c r="AF1345" s="551"/>
      <c r="AG1345" s="551"/>
      <c r="AH1345" s="551"/>
      <c r="AI1345" s="704"/>
      <c r="AJ1345" s="704"/>
      <c r="AK1345" s="704"/>
      <c r="AL1345" s="704"/>
      <c r="AM1345" s="704"/>
      <c r="AN1345" s="704"/>
      <c r="AO1345" s="704"/>
      <c r="AP1345" s="704"/>
      <c r="AQ1345" s="704"/>
      <c r="AR1345" s="704"/>
      <c r="AS1345" s="704"/>
    </row>
    <row r="1346" spans="1:45" s="265" customFormat="1" ht="30" hidden="1" customHeight="1" x14ac:dyDescent="0.25">
      <c r="A1346" s="2085"/>
      <c r="B1346" s="2068"/>
      <c r="C1346" s="138" t="s">
        <v>76</v>
      </c>
      <c r="D1346" s="884" t="s">
        <v>10</v>
      </c>
      <c r="E1346" s="885">
        <v>44217</v>
      </c>
      <c r="F1346" s="293">
        <f>$L$7-E1346</f>
        <v>2069</v>
      </c>
      <c r="G1346" s="1214">
        <v>0</v>
      </c>
      <c r="H1346" s="37"/>
      <c r="I1346" s="37">
        <f>+K1343+K1342</f>
        <v>0</v>
      </c>
      <c r="J1346" s="1385">
        <f>usage!I161</f>
        <v>0</v>
      </c>
      <c r="K1346" s="37"/>
      <c r="L1346" s="1533">
        <f t="shared" si="835"/>
        <v>0</v>
      </c>
      <c r="M1346" s="35"/>
      <c r="N1346" s="920"/>
      <c r="O1346" s="35"/>
      <c r="P1346" s="1013"/>
      <c r="Q1346" s="795"/>
      <c r="R1346" s="785">
        <f>IFERROR(VLOOKUP($Q1346,'391'!$S:$Z,8,0),"")</f>
        <v>0</v>
      </c>
      <c r="S1346" s="796"/>
      <c r="T1346" s="797"/>
      <c r="U1346" s="797"/>
      <c r="V1346" s="797"/>
      <c r="W1346" s="785">
        <f>IFERROR(VLOOKUP($Q1346,'391'!$S:$AG,15,0),0)</f>
        <v>0</v>
      </c>
      <c r="X1346" s="1090">
        <f t="shared" si="794"/>
        <v>0</v>
      </c>
      <c r="Y1346" s="785"/>
      <c r="Z1346" s="785"/>
      <c r="AA1346" s="797"/>
      <c r="AB1346" s="797"/>
      <c r="AC1346" s="551"/>
      <c r="AD1346" s="551"/>
      <c r="AE1346" s="551"/>
      <c r="AF1346" s="551"/>
      <c r="AG1346" s="551"/>
      <c r="AH1346" s="551"/>
      <c r="AI1346" s="704"/>
      <c r="AJ1346" s="704"/>
      <c r="AK1346" s="704"/>
      <c r="AL1346" s="704"/>
      <c r="AM1346" s="704"/>
      <c r="AN1346" s="704"/>
      <c r="AO1346" s="704"/>
      <c r="AP1346" s="704"/>
      <c r="AQ1346" s="704"/>
      <c r="AR1346" s="704"/>
      <c r="AS1346" s="704"/>
    </row>
    <row r="1347" spans="1:45" s="265" customFormat="1" ht="30" hidden="1" customHeight="1" x14ac:dyDescent="0.25">
      <c r="A1347" s="184"/>
      <c r="B1347" s="184" t="s">
        <v>607</v>
      </c>
      <c r="C1347" s="575"/>
      <c r="D1347" s="900"/>
      <c r="E1347" s="901"/>
      <c r="F1347" s="902"/>
      <c r="G1347" s="1337">
        <v>0</v>
      </c>
      <c r="H1347" s="1337">
        <f>+SUM(H1342:H1346)</f>
        <v>0</v>
      </c>
      <c r="I1347" s="1337">
        <f t="shared" ref="I1347:K1347" si="836">+SUM(I1342:I1346)</f>
        <v>0</v>
      </c>
      <c r="J1347" s="1337">
        <f t="shared" si="836"/>
        <v>0</v>
      </c>
      <c r="K1347" s="1337">
        <f t="shared" si="836"/>
        <v>0</v>
      </c>
      <c r="L1347" s="1533">
        <f t="shared" si="835"/>
        <v>0</v>
      </c>
      <c r="M1347" s="59" t="e">
        <f>+R1347/$S$2</f>
        <v>#VALUE!</v>
      </c>
      <c r="N1347" s="366">
        <f>IFERROR(L1347/M1347,0)</f>
        <v>0</v>
      </c>
      <c r="O1347" s="59">
        <f>IFERROR(SUMIF(ETM!$A:$A,$Q1347,ETM!$E:$E),"")</f>
        <v>0</v>
      </c>
      <c r="P1347" s="880">
        <f>IFERROR(L1347/O1347,0)</f>
        <v>0</v>
      </c>
      <c r="Q1347" s="795" t="s">
        <v>835</v>
      </c>
      <c r="R1347" s="785" t="str">
        <f>IFERROR(VLOOKUP($Q1347,'391'!$S:$Z,8,0),"")</f>
        <v/>
      </c>
      <c r="S1347" s="796"/>
      <c r="T1347" s="797"/>
      <c r="U1347" s="797"/>
      <c r="V1347" s="797"/>
      <c r="W1347" s="785">
        <f>IFERROR(VLOOKUP($Q1347,'391'!$S:$AG,15,0),0)</f>
        <v>0</v>
      </c>
      <c r="X1347" s="1090">
        <f t="shared" si="794"/>
        <v>0</v>
      </c>
      <c r="Y1347" s="785"/>
      <c r="Z1347" s="785"/>
      <c r="AA1347" s="797"/>
      <c r="AB1347" s="797"/>
      <c r="AC1347" s="683"/>
      <c r="AD1347" s="551"/>
      <c r="AE1347" s="551"/>
      <c r="AF1347" s="551"/>
      <c r="AG1347" s="551"/>
      <c r="AH1347" s="551"/>
      <c r="AI1347" s="704"/>
      <c r="AJ1347" s="704"/>
      <c r="AK1347" s="704"/>
      <c r="AL1347" s="704"/>
      <c r="AM1347" s="704"/>
      <c r="AN1347" s="704"/>
      <c r="AO1347" s="704"/>
      <c r="AP1347" s="704"/>
      <c r="AQ1347" s="704"/>
      <c r="AR1347" s="704"/>
      <c r="AS1347" s="704"/>
    </row>
    <row r="1348" spans="1:45" s="265" customFormat="1" ht="30" hidden="1" customHeight="1" x14ac:dyDescent="0.25">
      <c r="A1348" s="2083" t="str">
        <f>IF(L1353=0,"",MAX($A$16:A1347)+1)</f>
        <v/>
      </c>
      <c r="B1348" s="2075" t="s">
        <v>1224</v>
      </c>
      <c r="C1348" s="574"/>
      <c r="D1348" s="881" t="s">
        <v>10</v>
      </c>
      <c r="E1348" s="882">
        <v>44398</v>
      </c>
      <c r="F1348" s="71">
        <f>$L$7-E1348</f>
        <v>1888</v>
      </c>
      <c r="G1348" s="64">
        <v>0</v>
      </c>
      <c r="H1348" s="64"/>
      <c r="I1348" s="64"/>
      <c r="J1348" s="1367"/>
      <c r="K1348" s="64">
        <f>IFERROR(SUMIF(INTAKE!$A:$A,$T1348,INTAKE!$P:$P),0)</f>
        <v>0</v>
      </c>
      <c r="L1348" s="1533">
        <f t="shared" si="835"/>
        <v>0</v>
      </c>
      <c r="M1348" s="48"/>
      <c r="N1348" s="163"/>
      <c r="O1348" s="48"/>
      <c r="P1348" s="750"/>
      <c r="Q1348" s="795" t="s">
        <v>880</v>
      </c>
      <c r="R1348" s="785" t="str">
        <f>IFERROR(VLOOKUP($Q1348,'391'!$S:$Z,8,0),"")</f>
        <v/>
      </c>
      <c r="S1348" s="796"/>
      <c r="T1348" s="797" t="str">
        <f>$Q$1352&amp;C1348&amp;E1348</f>
        <v>44398</v>
      </c>
      <c r="U1348" s="797"/>
      <c r="V1348" s="797"/>
      <c r="W1348" s="785">
        <f>IFERROR(VLOOKUP($Q1348,'391'!$S:$AG,15,0),0)</f>
        <v>0</v>
      </c>
      <c r="X1348" s="1090">
        <f t="shared" si="794"/>
        <v>0</v>
      </c>
      <c r="Y1348" s="785"/>
      <c r="Z1348" s="785"/>
      <c r="AA1348" s="797"/>
      <c r="AB1348" s="797"/>
      <c r="AC1348" s="551"/>
      <c r="AD1348" s="551"/>
      <c r="AE1348" s="551"/>
      <c r="AF1348" s="551"/>
      <c r="AG1348" s="551"/>
      <c r="AH1348" s="551"/>
      <c r="AI1348" s="704"/>
      <c r="AJ1348" s="704"/>
      <c r="AK1348" s="704"/>
      <c r="AL1348" s="704"/>
      <c r="AM1348" s="704"/>
      <c r="AN1348" s="704"/>
      <c r="AO1348" s="704"/>
      <c r="AP1348" s="704"/>
      <c r="AQ1348" s="704"/>
      <c r="AR1348" s="704"/>
      <c r="AS1348" s="704"/>
    </row>
    <row r="1349" spans="1:45" s="265" customFormat="1" ht="30" hidden="1" customHeight="1" x14ac:dyDescent="0.25">
      <c r="A1349" s="2084"/>
      <c r="B1349" s="2076"/>
      <c r="C1349" s="574"/>
      <c r="D1349" s="881" t="s">
        <v>10</v>
      </c>
      <c r="E1349" s="882">
        <v>44398</v>
      </c>
      <c r="F1349" s="71">
        <f>$L$7-E1349</f>
        <v>1888</v>
      </c>
      <c r="G1349" s="64">
        <v>0</v>
      </c>
      <c r="H1349" s="64"/>
      <c r="I1349" s="64"/>
      <c r="J1349" s="1367"/>
      <c r="K1349" s="64">
        <f>IFERROR(SUMIF(INTAKE!$A:$A,$T1349,INTAKE!$P:$P),0)</f>
        <v>0</v>
      </c>
      <c r="L1349" s="1533">
        <f t="shared" si="835"/>
        <v>0</v>
      </c>
      <c r="M1349" s="48"/>
      <c r="N1349" s="163"/>
      <c r="O1349" s="48"/>
      <c r="P1349" s="750"/>
      <c r="Q1349" s="795"/>
      <c r="R1349" s="785">
        <f>IFERROR(VLOOKUP($Q1349,'391'!$S:$Z,8,0),"")</f>
        <v>0</v>
      </c>
      <c r="S1349" s="796"/>
      <c r="T1349" s="797" t="str">
        <f>$Q$1352&amp;C1349&amp;E1349</f>
        <v>44398</v>
      </c>
      <c r="U1349" s="797"/>
      <c r="V1349" s="797"/>
      <c r="W1349" s="785">
        <f>IFERROR(VLOOKUP($Q1349,'391'!$S:$AG,15,0),0)</f>
        <v>0</v>
      </c>
      <c r="X1349" s="1090">
        <f t="shared" si="794"/>
        <v>0</v>
      </c>
      <c r="Y1349" s="785"/>
      <c r="Z1349" s="785"/>
      <c r="AA1349" s="797"/>
      <c r="AB1349" s="797"/>
      <c r="AC1349" s="551"/>
      <c r="AD1349" s="551"/>
      <c r="AE1349" s="551"/>
      <c r="AF1349" s="551"/>
      <c r="AG1349" s="551"/>
      <c r="AH1349" s="551"/>
      <c r="AI1349" s="704"/>
      <c r="AJ1349" s="704"/>
      <c r="AK1349" s="704"/>
      <c r="AL1349" s="704"/>
      <c r="AM1349" s="704"/>
      <c r="AN1349" s="704"/>
      <c r="AO1349" s="704"/>
      <c r="AP1349" s="704"/>
      <c r="AQ1349" s="704"/>
      <c r="AR1349" s="704"/>
      <c r="AS1349" s="704"/>
    </row>
    <row r="1350" spans="1:45" s="265" customFormat="1" ht="30" hidden="1" customHeight="1" x14ac:dyDescent="0.25">
      <c r="A1350" s="2084"/>
      <c r="B1350" s="2076"/>
      <c r="C1350" s="574" t="s">
        <v>248</v>
      </c>
      <c r="D1350" s="881" t="s">
        <v>10</v>
      </c>
      <c r="E1350" s="882">
        <v>44217</v>
      </c>
      <c r="F1350" s="71">
        <f>$L$7-E1350</f>
        <v>2069</v>
      </c>
      <c r="G1350" s="64">
        <v>0</v>
      </c>
      <c r="H1350" s="64"/>
      <c r="I1350" s="64"/>
      <c r="J1350" s="1367"/>
      <c r="K1350" s="64">
        <f>IFERROR(SUMIF(INTAKE!$A:$A,$T1350,INTAKE!$P:$P),0)</f>
        <v>0</v>
      </c>
      <c r="L1350" s="1533">
        <f t="shared" si="835"/>
        <v>0</v>
      </c>
      <c r="M1350" s="48"/>
      <c r="N1350" s="163"/>
      <c r="O1350" s="48"/>
      <c r="P1350" s="750"/>
      <c r="Q1350" s="795"/>
      <c r="R1350" s="785">
        <f>IFERROR(VLOOKUP($Q1350,'391'!$S:$Z,8,0),"")</f>
        <v>0</v>
      </c>
      <c r="S1350" s="796"/>
      <c r="T1350" s="797" t="str">
        <f>$Q$1352&amp;C1350&amp;E1350</f>
        <v>Y4.144217</v>
      </c>
      <c r="U1350" s="797"/>
      <c r="V1350" s="797"/>
      <c r="W1350" s="785">
        <f>IFERROR(VLOOKUP($Q1350,'391'!$S:$AG,15,0),0)</f>
        <v>0</v>
      </c>
      <c r="X1350" s="1090">
        <f t="shared" si="794"/>
        <v>0</v>
      </c>
      <c r="Y1350" s="785"/>
      <c r="Z1350" s="785"/>
      <c r="AA1350" s="797"/>
      <c r="AB1350" s="797"/>
      <c r="AC1350" s="551"/>
      <c r="AD1350" s="551"/>
      <c r="AE1350" s="551"/>
      <c r="AF1350" s="551"/>
      <c r="AG1350" s="551"/>
      <c r="AH1350" s="551"/>
      <c r="AI1350" s="704"/>
      <c r="AJ1350" s="704"/>
      <c r="AK1350" s="704"/>
      <c r="AL1350" s="704"/>
      <c r="AM1350" s="704"/>
      <c r="AN1350" s="704"/>
      <c r="AO1350" s="704"/>
      <c r="AP1350" s="704"/>
      <c r="AQ1350" s="704"/>
      <c r="AR1350" s="704"/>
      <c r="AS1350" s="704"/>
    </row>
    <row r="1351" spans="1:45" s="265" customFormat="1" ht="30" hidden="1" customHeight="1" x14ac:dyDescent="0.25">
      <c r="A1351" s="2084"/>
      <c r="B1351" s="2076"/>
      <c r="C1351" s="574" t="s">
        <v>248</v>
      </c>
      <c r="D1351" s="881" t="s">
        <v>10</v>
      </c>
      <c r="E1351" s="882">
        <v>44217</v>
      </c>
      <c r="F1351" s="71">
        <f>$L$7-E1351</f>
        <v>2069</v>
      </c>
      <c r="G1351" s="64">
        <v>0</v>
      </c>
      <c r="H1351" s="64"/>
      <c r="I1351" s="64"/>
      <c r="J1351" s="1367"/>
      <c r="K1351" s="64">
        <f>IFERROR(SUMIF(INTAKE!$A:$A,$T1351,INTAKE!$P:$P),0)</f>
        <v>0</v>
      </c>
      <c r="L1351" s="1533">
        <f t="shared" si="835"/>
        <v>0</v>
      </c>
      <c r="M1351" s="48"/>
      <c r="N1351" s="163"/>
      <c r="O1351" s="48"/>
      <c r="P1351" s="750"/>
      <c r="Q1351" s="795"/>
      <c r="R1351" s="785">
        <f>IFERROR(VLOOKUP($Q1351,'391'!$S:$Z,8,0),"")</f>
        <v>0</v>
      </c>
      <c r="S1351" s="796"/>
      <c r="T1351" s="797" t="str">
        <f>$Q$1352&amp;C1351&amp;E1351</f>
        <v>Y4.144217</v>
      </c>
      <c r="U1351" s="797"/>
      <c r="V1351" s="797"/>
      <c r="W1351" s="785">
        <f>IFERROR(VLOOKUP($Q1351,'391'!$S:$AG,15,0),0)</f>
        <v>0</v>
      </c>
      <c r="X1351" s="1090">
        <f t="shared" si="794"/>
        <v>0</v>
      </c>
      <c r="Y1351" s="785"/>
      <c r="Z1351" s="785"/>
      <c r="AA1351" s="797"/>
      <c r="AB1351" s="797"/>
      <c r="AC1351" s="551"/>
      <c r="AD1351" s="551"/>
      <c r="AE1351" s="551"/>
      <c r="AF1351" s="551"/>
      <c r="AG1351" s="551"/>
      <c r="AH1351" s="551"/>
      <c r="AI1351" s="704"/>
      <c r="AJ1351" s="704"/>
      <c r="AK1351" s="704"/>
      <c r="AL1351" s="704"/>
      <c r="AM1351" s="704"/>
      <c r="AN1351" s="704"/>
      <c r="AO1351" s="704"/>
      <c r="AP1351" s="704"/>
      <c r="AQ1351" s="704"/>
      <c r="AR1351" s="704"/>
      <c r="AS1351" s="704"/>
    </row>
    <row r="1352" spans="1:45" s="265" customFormat="1" ht="30" hidden="1" customHeight="1" x14ac:dyDescent="0.25">
      <c r="A1352" s="2085"/>
      <c r="B1352" s="2068"/>
      <c r="C1352" s="138" t="s">
        <v>76</v>
      </c>
      <c r="D1352" s="884" t="s">
        <v>10</v>
      </c>
      <c r="E1352" s="885">
        <v>44398</v>
      </c>
      <c r="F1352" s="293">
        <f>$L$7-E1352</f>
        <v>1888</v>
      </c>
      <c r="G1352" s="1214">
        <v>0</v>
      </c>
      <c r="H1352" s="37"/>
      <c r="I1352" s="37">
        <f>+K1349+K1348</f>
        <v>0</v>
      </c>
      <c r="J1352" s="1385">
        <f>usage!I164</f>
        <v>0</v>
      </c>
      <c r="K1352" s="64">
        <f>IFERROR(SUMIF(INTAKE!$A:$A,$T1352,INTAKE!$P:$P),0)</f>
        <v>0</v>
      </c>
      <c r="L1352" s="1533">
        <f t="shared" si="835"/>
        <v>0</v>
      </c>
      <c r="M1352" s="35"/>
      <c r="N1352" s="920"/>
      <c r="O1352" s="35"/>
      <c r="P1352" s="1013"/>
      <c r="Q1352" s="795"/>
      <c r="R1352" s="785">
        <f>IFERROR(VLOOKUP($Q1352,'391'!$S:$Z,8,0),"")</f>
        <v>0</v>
      </c>
      <c r="S1352" s="796"/>
      <c r="T1352" s="797" t="str">
        <f>$Q$1352&amp;C1352&amp;E1352</f>
        <v>Feedmil44398</v>
      </c>
      <c r="U1352" s="797"/>
      <c r="V1352" s="797"/>
      <c r="W1352" s="785">
        <f>IFERROR(VLOOKUP($Q1352,'391'!$S:$AG,15,0),0)</f>
        <v>0</v>
      </c>
      <c r="X1352" s="1090">
        <f t="shared" si="794"/>
        <v>0</v>
      </c>
      <c r="Y1352" s="785"/>
      <c r="Z1352" s="785"/>
      <c r="AA1352" s="797"/>
      <c r="AB1352" s="797"/>
      <c r="AC1352" s="551"/>
      <c r="AD1352" s="551"/>
      <c r="AE1352" s="551"/>
      <c r="AF1352" s="551"/>
      <c r="AG1352" s="551"/>
      <c r="AH1352" s="551"/>
      <c r="AI1352" s="704"/>
      <c r="AJ1352" s="704"/>
      <c r="AK1352" s="704"/>
      <c r="AL1352" s="704"/>
      <c r="AM1352" s="704"/>
      <c r="AN1352" s="704"/>
      <c r="AO1352" s="704"/>
      <c r="AP1352" s="704"/>
      <c r="AQ1352" s="704"/>
      <c r="AR1352" s="704"/>
      <c r="AS1352" s="704"/>
    </row>
    <row r="1353" spans="1:45" s="265" customFormat="1" ht="30" hidden="1" customHeight="1" x14ac:dyDescent="0.25">
      <c r="A1353" s="184"/>
      <c r="B1353" s="184" t="s">
        <v>869</v>
      </c>
      <c r="C1353" s="575"/>
      <c r="D1353" s="900"/>
      <c r="E1353" s="901"/>
      <c r="F1353" s="902"/>
      <c r="G1353" s="1337">
        <v>0</v>
      </c>
      <c r="H1353" s="1337">
        <f>+SUM(H1348:H1352)</f>
        <v>0</v>
      </c>
      <c r="I1353" s="1337">
        <f t="shared" ref="I1353:K1353" si="837">+SUM(I1348:I1352)</f>
        <v>0</v>
      </c>
      <c r="J1353" s="1337">
        <f t="shared" si="837"/>
        <v>0</v>
      </c>
      <c r="K1353" s="1337">
        <f t="shared" si="837"/>
        <v>0</v>
      </c>
      <c r="L1353" s="1533">
        <f t="shared" si="835"/>
        <v>0</v>
      </c>
      <c r="M1353" s="59" t="str">
        <f>IFERROR(R1353/$S$2,"")</f>
        <v/>
      </c>
      <c r="N1353" s="366">
        <f>IFERROR(L1353/M1353,0)</f>
        <v>0</v>
      </c>
      <c r="O1353" s="59">
        <f>IFERROR(SUMIF(ETM!$A:$A,$Q1353,ETM!$E:$E),"")</f>
        <v>0</v>
      </c>
      <c r="P1353" s="880">
        <f>IFERROR(L1353/O1353,0)</f>
        <v>0</v>
      </c>
      <c r="Q1353" s="795" t="s">
        <v>964</v>
      </c>
      <c r="R1353" s="785" t="str">
        <f>IFERROR(VLOOKUP($Q1353,'391'!$S:$Z,8,0),"")</f>
        <v/>
      </c>
      <c r="S1353" s="796"/>
      <c r="T1353" s="797"/>
      <c r="U1353" s="797"/>
      <c r="V1353" s="797"/>
      <c r="W1353" s="785">
        <f>IFERROR(VLOOKUP($Q1353,'391'!$S:$AG,15,0),0)</f>
        <v>0</v>
      </c>
      <c r="X1353" s="1090">
        <f t="shared" ref="X1353:X1420" si="838">G1353-W1353</f>
        <v>0</v>
      </c>
      <c r="Y1353" s="1088">
        <f>+W1352+W1353</f>
        <v>0</v>
      </c>
      <c r="Z1353" s="1091">
        <f>+L1353-Y1353</f>
        <v>0</v>
      </c>
      <c r="AA1353" s="797"/>
      <c r="AB1353" s="797"/>
      <c r="AC1353" s="683"/>
      <c r="AD1353" s="551"/>
      <c r="AE1353" s="551"/>
      <c r="AF1353" s="551"/>
      <c r="AG1353" s="551"/>
      <c r="AH1353" s="551"/>
      <c r="AI1353" s="704"/>
      <c r="AJ1353" s="704"/>
      <c r="AK1353" s="704"/>
      <c r="AL1353" s="704"/>
      <c r="AM1353" s="704"/>
      <c r="AN1353" s="704"/>
      <c r="AO1353" s="704"/>
      <c r="AP1353" s="704"/>
      <c r="AQ1353" s="704"/>
      <c r="AR1353" s="704"/>
      <c r="AS1353" s="704"/>
    </row>
    <row r="1354" spans="1:45" s="265" customFormat="1" ht="30" hidden="1" customHeight="1" x14ac:dyDescent="0.25">
      <c r="A1354" s="2083">
        <f>IF(L1361=0,"",MAX($A$16:A1353)+1)</f>
        <v>91</v>
      </c>
      <c r="B1354" s="2075" t="s">
        <v>872</v>
      </c>
      <c r="C1354" s="574"/>
      <c r="D1354" s="881" t="s">
        <v>10</v>
      </c>
      <c r="E1354" s="882">
        <v>44288</v>
      </c>
      <c r="F1354" s="71">
        <f t="shared" ref="F1354:F1360" si="839">$L$7-E1354</f>
        <v>1998</v>
      </c>
      <c r="G1354" s="64">
        <v>0</v>
      </c>
      <c r="H1354" s="64"/>
      <c r="I1354" s="64"/>
      <c r="J1354" s="1367"/>
      <c r="K1354" s="64">
        <f>IFERROR(SUMIF(INTAKE!$A:$A,$T1354,INTAKE!$P:$P),0)</f>
        <v>0</v>
      </c>
      <c r="L1354" s="1533">
        <f t="shared" si="835"/>
        <v>0</v>
      </c>
      <c r="M1354" s="48"/>
      <c r="N1354" s="163"/>
      <c r="O1354" s="48"/>
      <c r="P1354" s="750"/>
      <c r="Q1354" s="795"/>
      <c r="R1354" s="785">
        <f>IFERROR(VLOOKUP($Q1354,'391'!$S:$Z,8,0),"")</f>
        <v>0</v>
      </c>
      <c r="S1354" s="796"/>
      <c r="T1354" s="797" t="str">
        <f t="shared" ref="T1354:T1360" si="840">$Q$1361&amp;C1354&amp;E1354</f>
        <v>L-Arginine (China)44288</v>
      </c>
      <c r="U1354" s="797"/>
      <c r="V1354" s="797"/>
      <c r="W1354" s="785">
        <f>IFERROR(VLOOKUP($Q1354,'391'!$S:$AG,15,0),0)</f>
        <v>0</v>
      </c>
      <c r="X1354" s="1090">
        <f t="shared" si="838"/>
        <v>0</v>
      </c>
      <c r="Y1354" s="785"/>
      <c r="Z1354" s="785"/>
      <c r="AA1354" s="797"/>
      <c r="AB1354" s="797"/>
      <c r="AC1354" s="551"/>
      <c r="AD1354" s="551"/>
      <c r="AE1354" s="551"/>
      <c r="AF1354" s="551"/>
      <c r="AG1354" s="551"/>
      <c r="AH1354" s="551"/>
      <c r="AI1354" s="704"/>
      <c r="AJ1354" s="704"/>
      <c r="AK1354" s="704"/>
      <c r="AL1354" s="704"/>
      <c r="AM1354" s="704"/>
      <c r="AN1354" s="704"/>
      <c r="AO1354" s="704"/>
      <c r="AP1354" s="704"/>
      <c r="AQ1354" s="704"/>
      <c r="AR1354" s="704"/>
      <c r="AS1354" s="704"/>
    </row>
    <row r="1355" spans="1:45" s="265" customFormat="1" ht="30" customHeight="1" x14ac:dyDescent="0.25">
      <c r="A1355" s="2084"/>
      <c r="B1355" s="2076"/>
      <c r="C1355" s="574" t="s">
        <v>267</v>
      </c>
      <c r="D1355" s="881" t="s">
        <v>10</v>
      </c>
      <c r="E1355" s="882">
        <v>46262</v>
      </c>
      <c r="F1355" s="71">
        <f t="shared" si="839"/>
        <v>24</v>
      </c>
      <c r="G1355" s="64">
        <v>250</v>
      </c>
      <c r="H1355" s="64"/>
      <c r="I1355" s="64"/>
      <c r="J1355" s="1367"/>
      <c r="K1355" s="64">
        <f>IFERROR(SUMIF(INTAKE!$A:$A,$T1355,INTAKE!$P:$P),0)</f>
        <v>250</v>
      </c>
      <c r="L1355" s="1702">
        <f t="shared" si="835"/>
        <v>0</v>
      </c>
      <c r="M1355" s="48"/>
      <c r="N1355" s="163"/>
      <c r="O1355" s="48"/>
      <c r="P1355" s="750"/>
      <c r="Q1355" s="795"/>
      <c r="R1355" s="785">
        <f>IFERROR(VLOOKUP($Q1355,'391'!$S:$Z,8,0),"")</f>
        <v>0</v>
      </c>
      <c r="S1355" s="796"/>
      <c r="T1355" s="797" t="str">
        <f t="shared" si="840"/>
        <v>L-Arginine (China)Z6.146262</v>
      </c>
      <c r="U1355" s="797"/>
      <c r="V1355" s="797"/>
      <c r="W1355" s="785">
        <f>IFERROR(VLOOKUP($Q1355,'391'!$S:$AG,15,0),0)</f>
        <v>0</v>
      </c>
      <c r="X1355" s="1090">
        <f t="shared" si="838"/>
        <v>250</v>
      </c>
      <c r="Y1355" s="785"/>
      <c r="Z1355" s="785"/>
      <c r="AA1355" s="797"/>
      <c r="AB1355" s="797"/>
      <c r="AC1355" s="551"/>
      <c r="AD1355" s="551"/>
      <c r="AE1355" s="551"/>
      <c r="AF1355" s="551"/>
      <c r="AG1355" s="551"/>
      <c r="AH1355" s="551"/>
      <c r="AI1355" s="704"/>
      <c r="AJ1355" s="704"/>
      <c r="AK1355" s="704"/>
      <c r="AL1355" s="704"/>
      <c r="AM1355" s="704"/>
      <c r="AN1355" s="704"/>
      <c r="AO1355" s="704"/>
      <c r="AP1355" s="704"/>
      <c r="AQ1355" s="704"/>
      <c r="AR1355" s="704"/>
      <c r="AS1355" s="704"/>
    </row>
    <row r="1356" spans="1:45" s="265" customFormat="1" ht="30" customHeight="1" x14ac:dyDescent="0.25">
      <c r="A1356" s="2084"/>
      <c r="B1356" s="2076"/>
      <c r="C1356" s="574" t="s">
        <v>267</v>
      </c>
      <c r="D1356" s="881" t="s">
        <v>10</v>
      </c>
      <c r="E1356" s="882">
        <v>46270</v>
      </c>
      <c r="F1356" s="71">
        <f t="shared" si="839"/>
        <v>16</v>
      </c>
      <c r="G1356" s="64">
        <v>1000</v>
      </c>
      <c r="H1356" s="64"/>
      <c r="I1356" s="64"/>
      <c r="J1356" s="1367"/>
      <c r="K1356" s="64">
        <f>IFERROR(SUMIF(INTAKE!$A:$A,$T1356,INTAKE!$P:$P),0)</f>
        <v>0</v>
      </c>
      <c r="L1356" s="1702">
        <f t="shared" si="835"/>
        <v>1000</v>
      </c>
      <c r="M1356" s="48"/>
      <c r="N1356" s="163"/>
      <c r="O1356" s="48"/>
      <c r="P1356" s="750"/>
      <c r="Q1356" s="795"/>
      <c r="R1356" s="785">
        <f>IFERROR(VLOOKUP($Q1356,'391'!$S:$Z,8,0),"")</f>
        <v>0</v>
      </c>
      <c r="S1356" s="796"/>
      <c r="T1356" s="797" t="str">
        <f t="shared" si="840"/>
        <v>L-Arginine (China)Z6.146270</v>
      </c>
      <c r="U1356" s="797"/>
      <c r="V1356" s="797"/>
      <c r="W1356" s="785">
        <f>IFERROR(VLOOKUP($Q1356,'391'!$S:$AG,15,0),0)</f>
        <v>0</v>
      </c>
      <c r="X1356" s="1090">
        <f t="shared" si="838"/>
        <v>1000</v>
      </c>
      <c r="Y1356" s="785"/>
      <c r="Z1356" s="785"/>
      <c r="AA1356" s="797"/>
      <c r="AB1356" s="797"/>
      <c r="AC1356" s="551"/>
      <c r="AD1356" s="551"/>
      <c r="AE1356" s="551"/>
      <c r="AF1356" s="551"/>
      <c r="AG1356" s="551"/>
      <c r="AH1356" s="551"/>
      <c r="AI1356" s="704"/>
      <c r="AJ1356" s="704"/>
      <c r="AK1356" s="704"/>
      <c r="AL1356" s="704"/>
      <c r="AM1356" s="704"/>
      <c r="AN1356" s="704"/>
      <c r="AO1356" s="704"/>
      <c r="AP1356" s="704"/>
      <c r="AQ1356" s="704"/>
      <c r="AR1356" s="704"/>
      <c r="AS1356" s="704"/>
    </row>
    <row r="1357" spans="1:45" s="265" customFormat="1" ht="30" hidden="1" customHeight="1" x14ac:dyDescent="0.25">
      <c r="A1357" s="2084"/>
      <c r="B1357" s="2076"/>
      <c r="C1357" s="574"/>
      <c r="D1357" s="881" t="s">
        <v>10</v>
      </c>
      <c r="E1357" s="882">
        <v>46270</v>
      </c>
      <c r="F1357" s="71">
        <f t="shared" ref="F1357" si="841">$L$7-E1357</f>
        <v>16</v>
      </c>
      <c r="G1357" s="64">
        <v>0</v>
      </c>
      <c r="H1357" s="64"/>
      <c r="I1357" s="64"/>
      <c r="J1357" s="1367"/>
      <c r="K1357" s="64">
        <f>IFERROR(SUMIF(INTAKE!$A:$A,$T1357,INTAKE!$P:$P),0)</f>
        <v>0</v>
      </c>
      <c r="L1357" s="1702">
        <f t="shared" si="835"/>
        <v>0</v>
      </c>
      <c r="M1357" s="48"/>
      <c r="N1357" s="163"/>
      <c r="O1357" s="48"/>
      <c r="P1357" s="750"/>
      <c r="Q1357" s="795"/>
      <c r="R1357" s="785">
        <f>IFERROR(VLOOKUP($Q1357,'391'!$S:$Z,8,0),"")</f>
        <v>0</v>
      </c>
      <c r="S1357" s="796"/>
      <c r="T1357" s="797" t="str">
        <f t="shared" si="840"/>
        <v>L-Arginine (China)46270</v>
      </c>
      <c r="U1357" s="797"/>
      <c r="V1357" s="797"/>
      <c r="W1357" s="785">
        <f>IFERROR(VLOOKUP($Q1357,'391'!$S:$AG,15,0),0)</f>
        <v>0</v>
      </c>
      <c r="X1357" s="1090">
        <f t="shared" si="838"/>
        <v>0</v>
      </c>
      <c r="Y1357" s="785"/>
      <c r="Z1357" s="785"/>
      <c r="AA1357" s="797"/>
      <c r="AB1357" s="797"/>
      <c r="AC1357" s="551"/>
      <c r="AD1357" s="551"/>
      <c r="AE1357" s="551"/>
      <c r="AF1357" s="551"/>
      <c r="AG1357" s="551"/>
      <c r="AH1357" s="551"/>
      <c r="AI1357" s="704"/>
      <c r="AJ1357" s="704"/>
      <c r="AK1357" s="704"/>
      <c r="AL1357" s="704"/>
      <c r="AM1357" s="704"/>
      <c r="AN1357" s="704"/>
      <c r="AO1357" s="704"/>
      <c r="AP1357" s="704"/>
      <c r="AQ1357" s="704"/>
      <c r="AR1357" s="704"/>
      <c r="AS1357" s="704"/>
    </row>
    <row r="1358" spans="1:45" s="265" customFormat="1" ht="30" hidden="1" customHeight="1" x14ac:dyDescent="0.25">
      <c r="A1358" s="2121"/>
      <c r="B1358" s="2082"/>
      <c r="C1358" s="574"/>
      <c r="D1358" s="881" t="s">
        <v>10</v>
      </c>
      <c r="E1358" s="882">
        <v>45665</v>
      </c>
      <c r="F1358" s="71">
        <f t="shared" ref="F1358" si="842">$L$7-E1358</f>
        <v>621</v>
      </c>
      <c r="G1358" s="64">
        <v>0</v>
      </c>
      <c r="H1358" s="64"/>
      <c r="I1358" s="64"/>
      <c r="J1358" s="1367"/>
      <c r="K1358" s="64">
        <f>IFERROR(SUMIF(INTAKE!$A:$A,$T1358,INTAKE!$P:$P),0)</f>
        <v>0</v>
      </c>
      <c r="L1358" s="1702">
        <f t="shared" si="835"/>
        <v>0</v>
      </c>
      <c r="M1358" s="48"/>
      <c r="N1358" s="163"/>
      <c r="O1358" s="48"/>
      <c r="P1358" s="750"/>
      <c r="Q1358" s="795"/>
      <c r="R1358" s="785">
        <f>IFERROR(VLOOKUP($Q1358,'391'!$S:$Z,8,0),"")</f>
        <v>0</v>
      </c>
      <c r="S1358" s="796"/>
      <c r="T1358" s="797" t="str">
        <f t="shared" si="840"/>
        <v>L-Arginine (China)45665</v>
      </c>
      <c r="U1358" s="797"/>
      <c r="V1358" s="797"/>
      <c r="W1358" s="785">
        <f>IFERROR(VLOOKUP($Q1358,'391'!$S:$AG,15,0),0)</f>
        <v>0</v>
      </c>
      <c r="X1358" s="1090">
        <f t="shared" si="838"/>
        <v>0</v>
      </c>
      <c r="Y1358" s="785"/>
      <c r="Z1358" s="785"/>
      <c r="AA1358" s="797"/>
      <c r="AB1358" s="797"/>
      <c r="AC1358" s="551"/>
      <c r="AD1358" s="551"/>
      <c r="AE1358" s="551"/>
      <c r="AF1358" s="551"/>
      <c r="AG1358" s="551"/>
      <c r="AH1358" s="551"/>
      <c r="AI1358" s="704"/>
      <c r="AJ1358" s="704"/>
      <c r="AK1358" s="704"/>
      <c r="AL1358" s="704"/>
      <c r="AM1358" s="704"/>
      <c r="AN1358" s="704"/>
      <c r="AO1358" s="704"/>
      <c r="AP1358" s="704"/>
      <c r="AQ1358" s="704"/>
      <c r="AR1358" s="704"/>
      <c r="AS1358" s="704"/>
    </row>
    <row r="1359" spans="1:45" s="265" customFormat="1" ht="30" hidden="1" customHeight="1" x14ac:dyDescent="0.25">
      <c r="A1359" s="2121"/>
      <c r="B1359" s="2082"/>
      <c r="C1359" s="574"/>
      <c r="D1359" s="881" t="s">
        <v>10</v>
      </c>
      <c r="E1359" s="882">
        <v>45665</v>
      </c>
      <c r="F1359" s="71">
        <f t="shared" si="839"/>
        <v>621</v>
      </c>
      <c r="G1359" s="64">
        <v>0</v>
      </c>
      <c r="H1359" s="64"/>
      <c r="I1359" s="64"/>
      <c r="J1359" s="1367"/>
      <c r="K1359" s="64">
        <f>IFERROR(SUMIF(INTAKE!$A:$A,$T1359,INTAKE!$P:$P),0)</f>
        <v>0</v>
      </c>
      <c r="L1359" s="1711">
        <f t="shared" si="835"/>
        <v>0</v>
      </c>
      <c r="M1359" s="48"/>
      <c r="N1359" s="163"/>
      <c r="O1359" s="48"/>
      <c r="P1359" s="750"/>
      <c r="Q1359" s="795"/>
      <c r="R1359" s="785">
        <f>IFERROR(VLOOKUP($Q1359,'391'!$S:$Z,8,0),"")</f>
        <v>0</v>
      </c>
      <c r="S1359" s="796"/>
      <c r="T1359" s="797" t="str">
        <f t="shared" si="840"/>
        <v>L-Arginine (China)45665</v>
      </c>
      <c r="U1359" s="797"/>
      <c r="V1359" s="797"/>
      <c r="W1359" s="785">
        <f>IFERROR(VLOOKUP($Q1359,'391'!$S:$AG,15,0),0)</f>
        <v>0</v>
      </c>
      <c r="X1359" s="1090">
        <f t="shared" si="838"/>
        <v>0</v>
      </c>
      <c r="Y1359" s="785"/>
      <c r="Z1359" s="785"/>
      <c r="AA1359" s="797"/>
      <c r="AB1359" s="797"/>
      <c r="AC1359" s="551"/>
      <c r="AD1359" s="551"/>
      <c r="AE1359" s="551"/>
      <c r="AF1359" s="551"/>
      <c r="AG1359" s="551"/>
      <c r="AH1359" s="551"/>
      <c r="AI1359" s="704"/>
      <c r="AJ1359" s="704"/>
      <c r="AK1359" s="704"/>
      <c r="AL1359" s="704"/>
      <c r="AM1359" s="704"/>
      <c r="AN1359" s="704"/>
      <c r="AO1359" s="704"/>
      <c r="AP1359" s="704"/>
      <c r="AQ1359" s="704"/>
      <c r="AR1359" s="704"/>
      <c r="AS1359" s="704"/>
    </row>
    <row r="1360" spans="1:45" s="265" customFormat="1" ht="30" customHeight="1" x14ac:dyDescent="0.25">
      <c r="A1360" s="2085"/>
      <c r="B1360" s="2068"/>
      <c r="C1360" s="108" t="s">
        <v>46</v>
      </c>
      <c r="D1360" s="884" t="s">
        <v>10</v>
      </c>
      <c r="E1360" s="885">
        <v>46262</v>
      </c>
      <c r="F1360" s="293">
        <f t="shared" si="839"/>
        <v>24</v>
      </c>
      <c r="G1360" s="1214">
        <v>113.72000000000006</v>
      </c>
      <c r="H1360" s="37"/>
      <c r="I1360" s="37">
        <f>+K1355+K1354+K1356+K1357</f>
        <v>250</v>
      </c>
      <c r="J1360" s="1385">
        <f>usage!I163</f>
        <v>204.1</v>
      </c>
      <c r="K1360" s="64">
        <f>IFERROR(SUMIF(INTAKE!$A:$A,$T1360,INTAKE!$P:$P),0)</f>
        <v>0</v>
      </c>
      <c r="L1360" s="1533">
        <f t="shared" si="835"/>
        <v>159.62000000000003</v>
      </c>
      <c r="M1360" s="35"/>
      <c r="N1360" s="920"/>
      <c r="O1360" s="35"/>
      <c r="P1360" s="1013"/>
      <c r="Q1360" s="795"/>
      <c r="R1360" s="785">
        <f>IFERROR(VLOOKUP($Q1360,'391'!$S:$Z,8,0),"")</f>
        <v>0</v>
      </c>
      <c r="S1360" s="796"/>
      <c r="T1360" s="797" t="str">
        <f t="shared" si="840"/>
        <v>L-Arginine (China)Feedmill46262</v>
      </c>
      <c r="U1360" s="797"/>
      <c r="V1360" s="797"/>
      <c r="W1360" s="785">
        <f>IFERROR(VLOOKUP($Q1360,'391'!$S:$AG,15,0),0)</f>
        <v>0</v>
      </c>
      <c r="X1360" s="1090">
        <f t="shared" si="838"/>
        <v>113.72000000000006</v>
      </c>
      <c r="Y1360" s="785"/>
      <c r="Z1360" s="785"/>
      <c r="AA1360" s="797"/>
      <c r="AB1360" s="797"/>
      <c r="AC1360" s="551"/>
      <c r="AD1360" s="551"/>
      <c r="AE1360" s="551"/>
      <c r="AF1360" s="551"/>
      <c r="AG1360" s="551"/>
      <c r="AH1360" s="551"/>
      <c r="AI1360" s="704"/>
      <c r="AJ1360" s="704"/>
      <c r="AK1360" s="704"/>
      <c r="AL1360" s="704"/>
      <c r="AM1360" s="704"/>
      <c r="AN1360" s="704"/>
      <c r="AO1360" s="704"/>
      <c r="AP1360" s="704"/>
      <c r="AQ1360" s="704"/>
      <c r="AR1360" s="704"/>
      <c r="AS1360" s="704"/>
    </row>
    <row r="1361" spans="1:45" s="265" customFormat="1" ht="30" customHeight="1" x14ac:dyDescent="0.25">
      <c r="A1361" s="184"/>
      <c r="B1361" s="184" t="s">
        <v>873</v>
      </c>
      <c r="C1361" s="575"/>
      <c r="D1361" s="900"/>
      <c r="E1361" s="901"/>
      <c r="F1361" s="902"/>
      <c r="G1361" s="1337">
        <v>1363.72</v>
      </c>
      <c r="H1361" s="1337">
        <f>+SUM(H1354:H1360)</f>
        <v>0</v>
      </c>
      <c r="I1361" s="1337">
        <f t="shared" ref="I1361:L1361" si="843">+SUM(I1354:I1360)</f>
        <v>250</v>
      </c>
      <c r="J1361" s="1337">
        <f t="shared" si="843"/>
        <v>204.1</v>
      </c>
      <c r="K1361" s="1337">
        <f t="shared" si="843"/>
        <v>250</v>
      </c>
      <c r="L1361" s="1337">
        <f t="shared" si="843"/>
        <v>1159.6200000000001</v>
      </c>
      <c r="M1361" s="59">
        <f>IFERROR(R1361/$S$2,"")</f>
        <v>123.92666666666668</v>
      </c>
      <c r="N1361" s="366">
        <f>IFERROR(L1361/M1361,0)</f>
        <v>9.3573080854268653</v>
      </c>
      <c r="O1361" s="59">
        <f>IFERROR(SUMIF(ETM!$A:$A,$Q1361,ETM!$E:$E),"")</f>
        <v>105.66666666666667</v>
      </c>
      <c r="P1361" s="880">
        <f>IFERROR(L1361/O1361,0)</f>
        <v>10.974321766561514</v>
      </c>
      <c r="Q1361" s="795" t="s">
        <v>879</v>
      </c>
      <c r="R1361" s="785">
        <f>IFERROR(VLOOKUP($Q1361,'391'!$S:$Z,8,0),"")</f>
        <v>743.56000000000006</v>
      </c>
      <c r="S1361" s="796"/>
      <c r="T1361" s="797"/>
      <c r="U1361" s="797"/>
      <c r="V1361" s="797"/>
      <c r="W1361" s="785">
        <f>IFERROR(VLOOKUP($Q1361,'391'!$S:$AG,15,0),0)</f>
        <v>1363.72</v>
      </c>
      <c r="X1361" s="1090">
        <f t="shared" si="838"/>
        <v>0</v>
      </c>
      <c r="Y1361" s="785"/>
      <c r="Z1361" s="785"/>
      <c r="AA1361" s="797"/>
      <c r="AB1361" s="797"/>
      <c r="AC1361" s="683"/>
      <c r="AD1361" s="551"/>
      <c r="AE1361" s="551"/>
      <c r="AF1361" s="551"/>
      <c r="AG1361" s="551"/>
      <c r="AH1361" s="551"/>
      <c r="AI1361" s="704"/>
      <c r="AJ1361" s="704"/>
      <c r="AK1361" s="704"/>
      <c r="AL1361" s="704"/>
      <c r="AM1361" s="704"/>
      <c r="AN1361" s="704"/>
      <c r="AO1361" s="704"/>
      <c r="AP1361" s="704"/>
      <c r="AQ1361" s="704"/>
      <c r="AR1361" s="704"/>
      <c r="AS1361" s="704"/>
    </row>
    <row r="1362" spans="1:45" s="265" customFormat="1" ht="30" hidden="1" customHeight="1" x14ac:dyDescent="0.25">
      <c r="A1362" s="2083" t="str">
        <f>IF(L1367=0,"",MAX($A$16:A1361)+1)</f>
        <v/>
      </c>
      <c r="B1362" s="2075" t="s">
        <v>1187</v>
      </c>
      <c r="C1362" s="574" t="s">
        <v>267</v>
      </c>
      <c r="D1362" s="881" t="s">
        <v>10</v>
      </c>
      <c r="E1362" s="882">
        <v>44790</v>
      </c>
      <c r="F1362" s="71">
        <f>$L$7-E1362</f>
        <v>1496</v>
      </c>
      <c r="G1362" s="64">
        <v>0</v>
      </c>
      <c r="H1362" s="64"/>
      <c r="I1362" s="64"/>
      <c r="J1362" s="1367"/>
      <c r="K1362" s="64">
        <f>IFERROR(SUMIF(INTAKE!$A:$A,$T1362,INTAKE!$P:$P),0)</f>
        <v>0</v>
      </c>
      <c r="L1362" s="1533">
        <f t="shared" ref="L1362:L1398" si="844">+G1362+H1362+I1362-J1362-K1362</f>
        <v>0</v>
      </c>
      <c r="M1362" s="48"/>
      <c r="N1362" s="163"/>
      <c r="O1362" s="48"/>
      <c r="P1362" s="750"/>
      <c r="Q1362" s="795"/>
      <c r="R1362" s="785">
        <f>IFERROR(VLOOKUP($Q1362,'391'!$S:$Z,8,0),"")</f>
        <v>0</v>
      </c>
      <c r="S1362" s="796"/>
      <c r="T1362" s="797" t="str">
        <f>$Q$1367&amp;C1362&amp;E1362</f>
        <v>Ferm O tide (USA)Z6.144790</v>
      </c>
      <c r="U1362" s="797"/>
      <c r="V1362" s="797"/>
      <c r="W1362" s="785">
        <f>IFERROR(VLOOKUP($Q1362,'391'!$S:$AG,15,0),0)</f>
        <v>0</v>
      </c>
      <c r="X1362" s="1090">
        <f t="shared" si="838"/>
        <v>0</v>
      </c>
      <c r="Y1362" s="785"/>
      <c r="Z1362" s="785"/>
      <c r="AA1362" s="797"/>
      <c r="AB1362" s="797"/>
      <c r="AC1362" s="551"/>
      <c r="AD1362" s="551"/>
      <c r="AE1362" s="551"/>
      <c r="AF1362" s="551"/>
      <c r="AG1362" s="551"/>
      <c r="AH1362" s="551"/>
      <c r="AI1362" s="704"/>
      <c r="AJ1362" s="704"/>
      <c r="AK1362" s="704"/>
      <c r="AL1362" s="704"/>
      <c r="AM1362" s="704"/>
      <c r="AN1362" s="704"/>
      <c r="AO1362" s="704"/>
      <c r="AP1362" s="704"/>
      <c r="AQ1362" s="704"/>
      <c r="AR1362" s="704"/>
      <c r="AS1362" s="704"/>
    </row>
    <row r="1363" spans="1:45" s="265" customFormat="1" ht="30" hidden="1" customHeight="1" x14ac:dyDescent="0.25">
      <c r="A1363" s="2084"/>
      <c r="B1363" s="2076"/>
      <c r="C1363" s="574"/>
      <c r="D1363" s="881" t="s">
        <v>10</v>
      </c>
      <c r="E1363" s="882"/>
      <c r="F1363" s="71">
        <f>$L$7-E1363</f>
        <v>46286</v>
      </c>
      <c r="G1363" s="64">
        <v>0</v>
      </c>
      <c r="H1363" s="64"/>
      <c r="I1363" s="64"/>
      <c r="J1363" s="1367"/>
      <c r="K1363" s="64">
        <f>IFERROR(SUMIF(INTAKE!$A:$A,$T1363,INTAKE!$P:$P),0)</f>
        <v>0</v>
      </c>
      <c r="L1363" s="1533">
        <f t="shared" si="844"/>
        <v>0</v>
      </c>
      <c r="M1363" s="48"/>
      <c r="N1363" s="163"/>
      <c r="O1363" s="48"/>
      <c r="P1363" s="750"/>
      <c r="Q1363" s="795"/>
      <c r="R1363" s="785">
        <f>IFERROR(VLOOKUP($Q1363,'391'!$S:$Z,8,0),"")</f>
        <v>0</v>
      </c>
      <c r="S1363" s="796"/>
      <c r="T1363" s="797" t="str">
        <f>$Q$1367&amp;C1363&amp;E1363</f>
        <v>Ferm O tide (USA)</v>
      </c>
      <c r="U1363" s="797"/>
      <c r="V1363" s="797"/>
      <c r="W1363" s="785">
        <f>IFERROR(VLOOKUP($Q1363,'391'!$S:$AG,15,0),0)</f>
        <v>0</v>
      </c>
      <c r="X1363" s="1090">
        <f t="shared" si="838"/>
        <v>0</v>
      </c>
      <c r="Y1363" s="785"/>
      <c r="Z1363" s="785"/>
      <c r="AA1363" s="797"/>
      <c r="AB1363" s="797"/>
      <c r="AC1363" s="551"/>
      <c r="AD1363" s="551"/>
      <c r="AE1363" s="551"/>
      <c r="AF1363" s="551"/>
      <c r="AG1363" s="551"/>
      <c r="AH1363" s="551"/>
      <c r="AI1363" s="704"/>
      <c r="AJ1363" s="704"/>
      <c r="AK1363" s="704"/>
      <c r="AL1363" s="704"/>
      <c r="AM1363" s="704"/>
      <c r="AN1363" s="704"/>
      <c r="AO1363" s="704"/>
      <c r="AP1363" s="704"/>
      <c r="AQ1363" s="704"/>
      <c r="AR1363" s="704"/>
      <c r="AS1363" s="704"/>
    </row>
    <row r="1364" spans="1:45" s="265" customFormat="1" ht="30" hidden="1" customHeight="1" x14ac:dyDescent="0.25">
      <c r="A1364" s="2084"/>
      <c r="B1364" s="2076"/>
      <c r="C1364" s="574"/>
      <c r="D1364" s="881" t="s">
        <v>10</v>
      </c>
      <c r="E1364" s="882"/>
      <c r="F1364" s="71">
        <f>$L$7-E1364</f>
        <v>46286</v>
      </c>
      <c r="G1364" s="64">
        <v>0</v>
      </c>
      <c r="H1364" s="64"/>
      <c r="I1364" s="64"/>
      <c r="J1364" s="1367"/>
      <c r="K1364" s="64">
        <f>IFERROR(SUMIF(INTAKE!$A:$A,$T1364,INTAKE!$P:$P),0)</f>
        <v>0</v>
      </c>
      <c r="L1364" s="1533">
        <f t="shared" si="844"/>
        <v>0</v>
      </c>
      <c r="M1364" s="48"/>
      <c r="N1364" s="163"/>
      <c r="O1364" s="48"/>
      <c r="P1364" s="750"/>
      <c r="Q1364" s="795"/>
      <c r="R1364" s="785">
        <f>IFERROR(VLOOKUP($Q1364,'391'!$S:$Z,8,0),"")</f>
        <v>0</v>
      </c>
      <c r="S1364" s="796"/>
      <c r="T1364" s="797" t="str">
        <f>$Q$1367&amp;C1364&amp;E1364</f>
        <v>Ferm O tide (USA)</v>
      </c>
      <c r="U1364" s="797"/>
      <c r="V1364" s="797"/>
      <c r="W1364" s="785">
        <f>IFERROR(VLOOKUP($Q1364,'391'!$S:$AG,15,0),0)</f>
        <v>0</v>
      </c>
      <c r="X1364" s="1090">
        <f t="shared" si="838"/>
        <v>0</v>
      </c>
      <c r="Y1364" s="785"/>
      <c r="Z1364" s="785"/>
      <c r="AA1364" s="797"/>
      <c r="AB1364" s="797"/>
      <c r="AC1364" s="551"/>
      <c r="AD1364" s="551"/>
      <c r="AE1364" s="551"/>
      <c r="AF1364" s="551"/>
      <c r="AG1364" s="551"/>
      <c r="AH1364" s="551"/>
      <c r="AI1364" s="704"/>
      <c r="AJ1364" s="704"/>
      <c r="AK1364" s="704"/>
      <c r="AL1364" s="704"/>
      <c r="AM1364" s="704"/>
      <c r="AN1364" s="704"/>
      <c r="AO1364" s="704"/>
      <c r="AP1364" s="704"/>
      <c r="AQ1364" s="704"/>
      <c r="AR1364" s="704"/>
      <c r="AS1364" s="704"/>
    </row>
    <row r="1365" spans="1:45" s="265" customFormat="1" ht="30" hidden="1" customHeight="1" x14ac:dyDescent="0.25">
      <c r="A1365" s="2084"/>
      <c r="B1365" s="2076"/>
      <c r="C1365" s="574"/>
      <c r="D1365" s="881" t="s">
        <v>10</v>
      </c>
      <c r="E1365" s="882"/>
      <c r="F1365" s="71">
        <f>$L$7-E1365</f>
        <v>46286</v>
      </c>
      <c r="G1365" s="64">
        <v>0</v>
      </c>
      <c r="H1365" s="64"/>
      <c r="I1365" s="64"/>
      <c r="J1365" s="1367"/>
      <c r="K1365" s="64">
        <f>IFERROR(SUMIF(INTAKE!$A:$A,$T1365,INTAKE!$P:$P),0)</f>
        <v>0</v>
      </c>
      <c r="L1365" s="1533">
        <f t="shared" si="844"/>
        <v>0</v>
      </c>
      <c r="M1365" s="48"/>
      <c r="N1365" s="163"/>
      <c r="O1365" s="48"/>
      <c r="P1365" s="750"/>
      <c r="Q1365" s="795"/>
      <c r="R1365" s="785">
        <f>IFERROR(VLOOKUP($Q1365,'391'!$S:$Z,8,0),"")</f>
        <v>0</v>
      </c>
      <c r="S1365" s="796"/>
      <c r="T1365" s="797" t="str">
        <f>$Q$1367&amp;C1365&amp;E1365</f>
        <v>Ferm O tide (USA)</v>
      </c>
      <c r="U1365" s="797"/>
      <c r="V1365" s="797"/>
      <c r="W1365" s="785">
        <f>IFERROR(VLOOKUP($Q1365,'391'!$S:$AG,15,0),0)</f>
        <v>0</v>
      </c>
      <c r="X1365" s="1090">
        <f t="shared" si="838"/>
        <v>0</v>
      </c>
      <c r="Y1365" s="785"/>
      <c r="Z1365" s="785"/>
      <c r="AA1365" s="797"/>
      <c r="AB1365" s="797"/>
      <c r="AC1365" s="551"/>
      <c r="AD1365" s="551"/>
      <c r="AE1365" s="551"/>
      <c r="AF1365" s="551"/>
      <c r="AG1365" s="551"/>
      <c r="AH1365" s="551"/>
      <c r="AI1365" s="704"/>
      <c r="AJ1365" s="704"/>
      <c r="AK1365" s="704"/>
      <c r="AL1365" s="704"/>
      <c r="AM1365" s="704"/>
      <c r="AN1365" s="704"/>
      <c r="AO1365" s="704"/>
      <c r="AP1365" s="704"/>
      <c r="AQ1365" s="704"/>
      <c r="AR1365" s="704"/>
      <c r="AS1365" s="704"/>
    </row>
    <row r="1366" spans="1:45" s="265" customFormat="1" ht="30" hidden="1" customHeight="1" x14ac:dyDescent="0.25">
      <c r="A1366" s="2085"/>
      <c r="B1366" s="2068"/>
      <c r="C1366" s="138" t="s">
        <v>76</v>
      </c>
      <c r="D1366" s="884" t="s">
        <v>10</v>
      </c>
      <c r="E1366" s="885">
        <v>44790</v>
      </c>
      <c r="F1366" s="293">
        <f>$L$7-E1366</f>
        <v>1496</v>
      </c>
      <c r="G1366" s="1214">
        <v>0</v>
      </c>
      <c r="H1366" s="37"/>
      <c r="I1366" s="37">
        <f>+K1363+K1362</f>
        <v>0</v>
      </c>
      <c r="J1366" s="1385">
        <f>usage!I165</f>
        <v>0</v>
      </c>
      <c r="K1366" s="64">
        <f>IFERROR(SUMIF(INTAKE!$A:$A,$T1366,INTAKE!$P:$P),0)</f>
        <v>0</v>
      </c>
      <c r="L1366" s="1533">
        <f t="shared" si="844"/>
        <v>0</v>
      </c>
      <c r="M1366" s="35"/>
      <c r="N1366" s="920"/>
      <c r="O1366" s="35"/>
      <c r="P1366" s="1013"/>
      <c r="Q1366" s="795"/>
      <c r="R1366" s="785">
        <f>IFERROR(VLOOKUP($Q1366,'391'!$S:$Z,8,0),"")</f>
        <v>0</v>
      </c>
      <c r="S1366" s="796"/>
      <c r="T1366" s="797" t="str">
        <f>$Q$1367&amp;C1366&amp;E1366</f>
        <v>Ferm O tide (USA)Feedmil44790</v>
      </c>
      <c r="U1366" s="797"/>
      <c r="V1366" s="797"/>
      <c r="W1366" s="785">
        <f>IFERROR(VLOOKUP($Q1366,'391'!$S:$AG,15,0),0)</f>
        <v>0</v>
      </c>
      <c r="X1366" s="1090">
        <f t="shared" si="838"/>
        <v>0</v>
      </c>
      <c r="Y1366" s="785"/>
      <c r="Z1366" s="785"/>
      <c r="AA1366" s="797"/>
      <c r="AB1366" s="797"/>
      <c r="AC1366" s="551"/>
      <c r="AD1366" s="551"/>
      <c r="AE1366" s="551"/>
      <c r="AF1366" s="551"/>
      <c r="AG1366" s="551"/>
      <c r="AH1366" s="551"/>
      <c r="AI1366" s="704"/>
      <c r="AJ1366" s="704"/>
      <c r="AK1366" s="704"/>
      <c r="AL1366" s="704"/>
      <c r="AM1366" s="704"/>
      <c r="AN1366" s="704"/>
      <c r="AO1366" s="704"/>
      <c r="AP1366" s="704"/>
      <c r="AQ1366" s="704"/>
      <c r="AR1366" s="704"/>
      <c r="AS1366" s="704"/>
    </row>
    <row r="1367" spans="1:45" s="265" customFormat="1" ht="30" hidden="1" customHeight="1" x14ac:dyDescent="0.25">
      <c r="A1367" s="184"/>
      <c r="B1367" s="184" t="s">
        <v>899</v>
      </c>
      <c r="C1367" s="575"/>
      <c r="D1367" s="900"/>
      <c r="E1367" s="901"/>
      <c r="F1367" s="902"/>
      <c r="G1367" s="1337">
        <v>0</v>
      </c>
      <c r="H1367" s="1337">
        <f>+SUM(H1362:H1366)</f>
        <v>0</v>
      </c>
      <c r="I1367" s="1337">
        <f t="shared" ref="I1367:K1367" si="845">+SUM(I1362:I1366)</f>
        <v>0</v>
      </c>
      <c r="J1367" s="1337">
        <f t="shared" si="845"/>
        <v>0</v>
      </c>
      <c r="K1367" s="1337">
        <f t="shared" si="845"/>
        <v>0</v>
      </c>
      <c r="L1367" s="1533">
        <f t="shared" si="844"/>
        <v>0</v>
      </c>
      <c r="M1367" s="59" t="str">
        <f>IFERROR(R1367/$S$2,"")</f>
        <v/>
      </c>
      <c r="N1367" s="366">
        <f>IFERROR(L1367/M1367,0)</f>
        <v>0</v>
      </c>
      <c r="O1367" s="59">
        <f>IFERROR(SUMIF(ETM!$A:$A,$Q1367,ETM!$E:$E),"")</f>
        <v>0</v>
      </c>
      <c r="P1367" s="880">
        <f>IFERROR(L1367/O1367,0)</f>
        <v>0</v>
      </c>
      <c r="Q1367" s="795" t="s">
        <v>900</v>
      </c>
      <c r="R1367" s="785" t="str">
        <f>IFERROR(VLOOKUP($Q1367,'391'!$S:$Z,8,0),"")</f>
        <v/>
      </c>
      <c r="S1367" s="796"/>
      <c r="T1367" s="797"/>
      <c r="U1367" s="797"/>
      <c r="V1367" s="797"/>
      <c r="W1367" s="785">
        <f>IFERROR(VLOOKUP($Q1367,'391'!$S:$AG,15,0),0)</f>
        <v>0</v>
      </c>
      <c r="X1367" s="1090">
        <f t="shared" si="838"/>
        <v>0</v>
      </c>
      <c r="Y1367" s="785"/>
      <c r="Z1367" s="785"/>
      <c r="AA1367" s="797"/>
      <c r="AB1367" s="797"/>
      <c r="AC1367" s="683"/>
      <c r="AD1367" s="551"/>
      <c r="AE1367" s="551"/>
      <c r="AF1367" s="551"/>
      <c r="AG1367" s="551"/>
      <c r="AH1367" s="551"/>
      <c r="AI1367" s="704"/>
      <c r="AJ1367" s="704"/>
      <c r="AK1367" s="704"/>
      <c r="AL1367" s="704"/>
      <c r="AM1367" s="704"/>
      <c r="AN1367" s="704"/>
      <c r="AO1367" s="704"/>
      <c r="AP1367" s="704"/>
      <c r="AQ1367" s="704"/>
      <c r="AR1367" s="704"/>
      <c r="AS1367" s="704"/>
    </row>
    <row r="1368" spans="1:45" s="265" customFormat="1" ht="30" hidden="1" customHeight="1" x14ac:dyDescent="0.25">
      <c r="A1368" s="2083" t="str">
        <f>IF(L1373=0,"",MAX($A$16:A1367)+1)</f>
        <v/>
      </c>
      <c r="B1368" s="2075" t="s">
        <v>898</v>
      </c>
      <c r="C1368" s="574" t="s">
        <v>851</v>
      </c>
      <c r="D1368" s="881" t="s">
        <v>10</v>
      </c>
      <c r="E1368" s="882">
        <v>44294</v>
      </c>
      <c r="F1368" s="71">
        <f>$L$7-E1368</f>
        <v>1992</v>
      </c>
      <c r="G1368" s="64">
        <v>0</v>
      </c>
      <c r="H1368" s="64"/>
      <c r="I1368" s="64"/>
      <c r="J1368" s="1367"/>
      <c r="K1368" s="64">
        <f>IFERROR(SUMIF(INTAKE!$A:$A,$T1368,INTAKE!$P:$P),0)</f>
        <v>0</v>
      </c>
      <c r="L1368" s="1533">
        <f t="shared" si="844"/>
        <v>0</v>
      </c>
      <c r="M1368" s="48"/>
      <c r="N1368" s="163"/>
      <c r="O1368" s="48"/>
      <c r="P1368" s="750"/>
      <c r="Q1368" s="795"/>
      <c r="R1368" s="785">
        <f>IFERROR(VLOOKUP($Q1368,'391'!$S:$Z,8,0),"")</f>
        <v>0</v>
      </c>
      <c r="S1368" s="796"/>
      <c r="T1368" s="797" t="str">
        <f>$Q$1373&amp;C1368&amp;E1368</f>
        <v>Mypro (China)Z7.344294</v>
      </c>
      <c r="U1368" s="797"/>
      <c r="V1368" s="797"/>
      <c r="W1368" s="785">
        <f>IFERROR(VLOOKUP($Q1368,'391'!$S:$AG,15,0),0)</f>
        <v>0</v>
      </c>
      <c r="X1368" s="1090">
        <f t="shared" si="838"/>
        <v>0</v>
      </c>
      <c r="Y1368" s="785"/>
      <c r="Z1368" s="785"/>
      <c r="AA1368" s="797"/>
      <c r="AB1368" s="797"/>
      <c r="AC1368" s="551"/>
      <c r="AD1368" s="551"/>
      <c r="AE1368" s="551"/>
      <c r="AF1368" s="551"/>
      <c r="AG1368" s="551"/>
      <c r="AH1368" s="551"/>
      <c r="AI1368" s="704"/>
      <c r="AJ1368" s="704"/>
      <c r="AK1368" s="704"/>
      <c r="AL1368" s="704"/>
      <c r="AM1368" s="704"/>
      <c r="AN1368" s="704"/>
      <c r="AO1368" s="704"/>
      <c r="AP1368" s="704"/>
      <c r="AQ1368" s="704"/>
      <c r="AR1368" s="704"/>
      <c r="AS1368" s="704"/>
    </row>
    <row r="1369" spans="1:45" s="265" customFormat="1" ht="30" hidden="1" customHeight="1" x14ac:dyDescent="0.25">
      <c r="A1369" s="2084"/>
      <c r="B1369" s="2076"/>
      <c r="C1369" s="574" t="s">
        <v>248</v>
      </c>
      <c r="D1369" s="881" t="s">
        <v>10</v>
      </c>
      <c r="E1369" s="882">
        <v>44217</v>
      </c>
      <c r="F1369" s="71">
        <f>$L$7-E1369</f>
        <v>2069</v>
      </c>
      <c r="G1369" s="64">
        <v>0</v>
      </c>
      <c r="H1369" s="64"/>
      <c r="I1369" s="64"/>
      <c r="J1369" s="1367"/>
      <c r="K1369" s="64">
        <f>IFERROR(SUMIF(INTAKE!$A:$A,$T1369,INTAKE!$P:$P),0)</f>
        <v>0</v>
      </c>
      <c r="L1369" s="1533">
        <f t="shared" si="844"/>
        <v>0</v>
      </c>
      <c r="M1369" s="48"/>
      <c r="N1369" s="163"/>
      <c r="O1369" s="48"/>
      <c r="P1369" s="750"/>
      <c r="Q1369" s="795"/>
      <c r="R1369" s="785">
        <f>IFERROR(VLOOKUP($Q1369,'391'!$S:$Z,8,0),"")</f>
        <v>0</v>
      </c>
      <c r="S1369" s="796"/>
      <c r="T1369" s="797" t="str">
        <f>$Q$1373&amp;C1369&amp;E1369</f>
        <v>Mypro (China)Y4.144217</v>
      </c>
      <c r="U1369" s="797"/>
      <c r="V1369" s="797"/>
      <c r="W1369" s="785">
        <f>IFERROR(VLOOKUP($Q1369,'391'!$S:$AG,15,0),0)</f>
        <v>0</v>
      </c>
      <c r="X1369" s="1090">
        <f t="shared" si="838"/>
        <v>0</v>
      </c>
      <c r="Y1369" s="785"/>
      <c r="Z1369" s="785"/>
      <c r="AA1369" s="797"/>
      <c r="AB1369" s="797"/>
      <c r="AC1369" s="551"/>
      <c r="AD1369" s="551"/>
      <c r="AE1369" s="551"/>
      <c r="AF1369" s="551"/>
      <c r="AG1369" s="551"/>
      <c r="AH1369" s="551"/>
      <c r="AI1369" s="704"/>
      <c r="AJ1369" s="704"/>
      <c r="AK1369" s="704"/>
      <c r="AL1369" s="704"/>
      <c r="AM1369" s="704"/>
      <c r="AN1369" s="704"/>
      <c r="AO1369" s="704"/>
      <c r="AP1369" s="704"/>
      <c r="AQ1369" s="704"/>
      <c r="AR1369" s="704"/>
      <c r="AS1369" s="704"/>
    </row>
    <row r="1370" spans="1:45" s="265" customFormat="1" ht="30" hidden="1" customHeight="1" x14ac:dyDescent="0.25">
      <c r="A1370" s="2084"/>
      <c r="B1370" s="2076"/>
      <c r="C1370" s="574" t="s">
        <v>248</v>
      </c>
      <c r="D1370" s="881" t="s">
        <v>10</v>
      </c>
      <c r="E1370" s="882">
        <v>44217</v>
      </c>
      <c r="F1370" s="71">
        <f>$L$7-E1370</f>
        <v>2069</v>
      </c>
      <c r="G1370" s="64">
        <v>0</v>
      </c>
      <c r="H1370" s="64"/>
      <c r="I1370" s="64"/>
      <c r="J1370" s="1367"/>
      <c r="K1370" s="64">
        <f>IFERROR(SUMIF(INTAKE!$A:$A,$T1370,INTAKE!$P:$P),0)</f>
        <v>0</v>
      </c>
      <c r="L1370" s="1533">
        <f t="shared" si="844"/>
        <v>0</v>
      </c>
      <c r="M1370" s="48"/>
      <c r="N1370" s="163"/>
      <c r="O1370" s="48"/>
      <c r="P1370" s="750"/>
      <c r="Q1370" s="795"/>
      <c r="R1370" s="785">
        <f>IFERROR(VLOOKUP($Q1370,'391'!$S:$Z,8,0),"")</f>
        <v>0</v>
      </c>
      <c r="S1370" s="796"/>
      <c r="T1370" s="797" t="str">
        <f>$Q$1373&amp;C1370&amp;E1370</f>
        <v>Mypro (China)Y4.144217</v>
      </c>
      <c r="U1370" s="797"/>
      <c r="V1370" s="797"/>
      <c r="W1370" s="785">
        <f>IFERROR(VLOOKUP($Q1370,'391'!$S:$AG,15,0),0)</f>
        <v>0</v>
      </c>
      <c r="X1370" s="1090">
        <f t="shared" si="838"/>
        <v>0</v>
      </c>
      <c r="Y1370" s="785"/>
      <c r="Z1370" s="785"/>
      <c r="AA1370" s="797"/>
      <c r="AB1370" s="797"/>
      <c r="AC1370" s="551"/>
      <c r="AD1370" s="551"/>
      <c r="AE1370" s="551"/>
      <c r="AF1370" s="551"/>
      <c r="AG1370" s="551"/>
      <c r="AH1370" s="551"/>
      <c r="AI1370" s="704"/>
      <c r="AJ1370" s="704"/>
      <c r="AK1370" s="704"/>
      <c r="AL1370" s="704"/>
      <c r="AM1370" s="704"/>
      <c r="AN1370" s="704"/>
      <c r="AO1370" s="704"/>
      <c r="AP1370" s="704"/>
      <c r="AQ1370" s="704"/>
      <c r="AR1370" s="704"/>
      <c r="AS1370" s="704"/>
    </row>
    <row r="1371" spans="1:45" s="265" customFormat="1" ht="30" hidden="1" customHeight="1" x14ac:dyDescent="0.25">
      <c r="A1371" s="2084"/>
      <c r="B1371" s="2076"/>
      <c r="C1371" s="574" t="s">
        <v>248</v>
      </c>
      <c r="D1371" s="881" t="s">
        <v>10</v>
      </c>
      <c r="E1371" s="882">
        <v>44217</v>
      </c>
      <c r="F1371" s="71">
        <f>$L$7-E1371</f>
        <v>2069</v>
      </c>
      <c r="G1371" s="64">
        <v>0</v>
      </c>
      <c r="H1371" s="64"/>
      <c r="I1371" s="64"/>
      <c r="J1371" s="1367"/>
      <c r="K1371" s="64">
        <f>IFERROR(SUMIF(INTAKE!$A:$A,$T1371,INTAKE!$P:$P),0)</f>
        <v>0</v>
      </c>
      <c r="L1371" s="1533">
        <f t="shared" si="844"/>
        <v>0</v>
      </c>
      <c r="M1371" s="48"/>
      <c r="N1371" s="163"/>
      <c r="O1371" s="48"/>
      <c r="P1371" s="750"/>
      <c r="Q1371" s="795"/>
      <c r="R1371" s="785">
        <f>IFERROR(VLOOKUP($Q1371,'391'!$S:$Z,8,0),"")</f>
        <v>0</v>
      </c>
      <c r="S1371" s="796"/>
      <c r="T1371" s="797" t="str">
        <f>$Q$1373&amp;C1371&amp;E1371</f>
        <v>Mypro (China)Y4.144217</v>
      </c>
      <c r="U1371" s="797"/>
      <c r="V1371" s="797"/>
      <c r="W1371" s="785">
        <f>IFERROR(VLOOKUP($Q1371,'391'!$S:$AG,15,0),0)</f>
        <v>0</v>
      </c>
      <c r="X1371" s="1090">
        <f t="shared" si="838"/>
        <v>0</v>
      </c>
      <c r="Y1371" s="785"/>
      <c r="Z1371" s="785"/>
      <c r="AA1371" s="797"/>
      <c r="AB1371" s="797"/>
      <c r="AC1371" s="551"/>
      <c r="AD1371" s="551"/>
      <c r="AE1371" s="551"/>
      <c r="AF1371" s="551"/>
      <c r="AG1371" s="551"/>
      <c r="AH1371" s="551"/>
      <c r="AI1371" s="704"/>
      <c r="AJ1371" s="704"/>
      <c r="AK1371" s="704"/>
      <c r="AL1371" s="704"/>
      <c r="AM1371" s="704"/>
      <c r="AN1371" s="704"/>
      <c r="AO1371" s="704"/>
      <c r="AP1371" s="704"/>
      <c r="AQ1371" s="704"/>
      <c r="AR1371" s="704"/>
      <c r="AS1371" s="704"/>
    </row>
    <row r="1372" spans="1:45" s="265" customFormat="1" ht="30" hidden="1" customHeight="1" x14ac:dyDescent="0.25">
      <c r="A1372" s="2085"/>
      <c r="B1372" s="2068"/>
      <c r="C1372" s="138" t="s">
        <v>76</v>
      </c>
      <c r="D1372" s="884" t="s">
        <v>10</v>
      </c>
      <c r="E1372" s="885">
        <v>44294</v>
      </c>
      <c r="F1372" s="293">
        <f>$L$7-E1372</f>
        <v>1992</v>
      </c>
      <c r="G1372" s="1214">
        <v>0</v>
      </c>
      <c r="H1372" s="37"/>
      <c r="I1372" s="37">
        <f>+K1369+K1368</f>
        <v>0</v>
      </c>
      <c r="J1372" s="1385">
        <f>usage!I166</f>
        <v>0</v>
      </c>
      <c r="K1372" s="64">
        <f>IFERROR(SUMIF(INTAKE!$A:$A,$T1372,INTAKE!$P:$P),0)</f>
        <v>0</v>
      </c>
      <c r="L1372" s="1533">
        <f t="shared" si="844"/>
        <v>0</v>
      </c>
      <c r="M1372" s="35"/>
      <c r="N1372" s="920"/>
      <c r="O1372" s="35"/>
      <c r="P1372" s="1013"/>
      <c r="Q1372" s="795"/>
      <c r="R1372" s="785">
        <f>IFERROR(VLOOKUP($Q1372,'391'!$S:$Z,8,0),"")</f>
        <v>0</v>
      </c>
      <c r="S1372" s="796"/>
      <c r="T1372" s="797" t="str">
        <f>$Q$1373&amp;C1372&amp;E1372</f>
        <v>Mypro (China)Feedmil44294</v>
      </c>
      <c r="U1372" s="797"/>
      <c r="V1372" s="797"/>
      <c r="W1372" s="785">
        <f>IFERROR(VLOOKUP($Q1372,'391'!$S:$AG,15,0),0)</f>
        <v>0</v>
      </c>
      <c r="X1372" s="1090">
        <f t="shared" si="838"/>
        <v>0</v>
      </c>
      <c r="Y1372" s="785"/>
      <c r="Z1372" s="785"/>
      <c r="AA1372" s="797"/>
      <c r="AB1372" s="797"/>
      <c r="AC1372" s="551"/>
      <c r="AD1372" s="551"/>
      <c r="AE1372" s="551"/>
      <c r="AF1372" s="551"/>
      <c r="AG1372" s="551"/>
      <c r="AH1372" s="551"/>
      <c r="AI1372" s="704"/>
      <c r="AJ1372" s="704"/>
      <c r="AK1372" s="704"/>
      <c r="AL1372" s="704"/>
      <c r="AM1372" s="704"/>
      <c r="AN1372" s="704"/>
      <c r="AO1372" s="704"/>
      <c r="AP1372" s="704"/>
      <c r="AQ1372" s="704"/>
      <c r="AR1372" s="704"/>
      <c r="AS1372" s="704"/>
    </row>
    <row r="1373" spans="1:45" s="265" customFormat="1" ht="30" hidden="1" customHeight="1" x14ac:dyDescent="0.25">
      <c r="A1373" s="184"/>
      <c r="B1373" s="184" t="s">
        <v>902</v>
      </c>
      <c r="C1373" s="575"/>
      <c r="D1373" s="900"/>
      <c r="E1373" s="901"/>
      <c r="F1373" s="902"/>
      <c r="G1373" s="1337">
        <v>0</v>
      </c>
      <c r="H1373" s="1337">
        <f>+SUM(H1368:H1372)</f>
        <v>0</v>
      </c>
      <c r="I1373" s="1337">
        <f t="shared" ref="I1373:K1373" si="846">+SUM(I1368:I1372)</f>
        <v>0</v>
      </c>
      <c r="J1373" s="1337">
        <f t="shared" si="846"/>
        <v>0</v>
      </c>
      <c r="K1373" s="1337">
        <f t="shared" si="846"/>
        <v>0</v>
      </c>
      <c r="L1373" s="1533">
        <f t="shared" si="844"/>
        <v>0</v>
      </c>
      <c r="M1373" s="59" t="str">
        <f>IFERROR(R1373/$S$2,"")</f>
        <v/>
      </c>
      <c r="N1373" s="366">
        <f>IFERROR(L1373/M1373,0)</f>
        <v>0</v>
      </c>
      <c r="O1373" s="59">
        <f>IFERROR(SUMIF(ETM!$A:$A,$Q1373,ETM!$E:$E),"")</f>
        <v>0</v>
      </c>
      <c r="P1373" s="880">
        <f>IFERROR(L1373/O1373,0)</f>
        <v>0</v>
      </c>
      <c r="Q1373" s="795" t="s">
        <v>901</v>
      </c>
      <c r="R1373" s="785" t="str">
        <f>IFERROR(VLOOKUP($Q1373,'391'!$S:$Z,8,0),"")</f>
        <v/>
      </c>
      <c r="S1373" s="796"/>
      <c r="T1373" s="797"/>
      <c r="U1373" s="797"/>
      <c r="V1373" s="797"/>
      <c r="W1373" s="785">
        <f>IFERROR(VLOOKUP($Q1373,'391'!$S:$AG,15,0),0)</f>
        <v>0</v>
      </c>
      <c r="X1373" s="1090">
        <f t="shared" si="838"/>
        <v>0</v>
      </c>
      <c r="Y1373" s="785"/>
      <c r="Z1373" s="785"/>
      <c r="AA1373" s="797"/>
      <c r="AB1373" s="797"/>
      <c r="AC1373" s="683"/>
      <c r="AD1373" s="551"/>
      <c r="AE1373" s="551"/>
      <c r="AF1373" s="551"/>
      <c r="AG1373" s="551"/>
      <c r="AH1373" s="551"/>
      <c r="AI1373" s="704"/>
      <c r="AJ1373" s="704"/>
      <c r="AK1373" s="704"/>
      <c r="AL1373" s="704"/>
      <c r="AM1373" s="704"/>
      <c r="AN1373" s="704"/>
      <c r="AO1373" s="704"/>
      <c r="AP1373" s="704"/>
      <c r="AQ1373" s="704"/>
      <c r="AR1373" s="704"/>
      <c r="AS1373" s="704"/>
    </row>
    <row r="1374" spans="1:45" s="265" customFormat="1" ht="30" hidden="1" customHeight="1" x14ac:dyDescent="0.25">
      <c r="A1374" s="2083">
        <f>IF(L1382=0,"",MAX($A$16:A1373)+1)</f>
        <v>92</v>
      </c>
      <c r="B1374" s="2075" t="s">
        <v>903</v>
      </c>
      <c r="C1374" s="574"/>
      <c r="D1374" s="881" t="s">
        <v>10</v>
      </c>
      <c r="E1374" s="882">
        <v>46087</v>
      </c>
      <c r="F1374" s="71">
        <f t="shared" ref="F1374:F1378" si="847">$L$7-E1374</f>
        <v>199</v>
      </c>
      <c r="G1374" s="64">
        <v>0</v>
      </c>
      <c r="H1374" s="64"/>
      <c r="I1374" s="64"/>
      <c r="J1374" s="1367"/>
      <c r="K1374" s="64">
        <f>IFERROR(SUMIF(INTAKE!$A:$A,$T1374,INTAKE!$P:$P),0)</f>
        <v>0</v>
      </c>
      <c r="L1374" s="1702">
        <f t="shared" si="844"/>
        <v>0</v>
      </c>
      <c r="M1374" s="48"/>
      <c r="N1374" s="163"/>
      <c r="O1374" s="48"/>
      <c r="P1374" s="750"/>
      <c r="Q1374" s="795"/>
      <c r="R1374" s="785">
        <f>IFERROR(VLOOKUP($Q1374,'391'!$S:$Z,8,0),"")</f>
        <v>0</v>
      </c>
      <c r="S1374" s="796"/>
      <c r="T1374" s="797" t="str">
        <f t="shared" ref="T1374:T1381" si="848">$Q$1382&amp;C1374&amp;E1374</f>
        <v>DPS 50(USA)46087</v>
      </c>
      <c r="U1374" s="797"/>
      <c r="V1374" s="797"/>
      <c r="W1374" s="785">
        <f>IFERROR(VLOOKUP($Q1374,'391'!$S:$AG,15,0),0)</f>
        <v>0</v>
      </c>
      <c r="X1374" s="1090">
        <f t="shared" si="838"/>
        <v>0</v>
      </c>
      <c r="Y1374" s="785"/>
      <c r="Z1374" s="785"/>
      <c r="AA1374" s="797"/>
      <c r="AB1374" s="797"/>
      <c r="AC1374" s="551"/>
      <c r="AD1374" s="551"/>
      <c r="AE1374" s="551"/>
      <c r="AF1374" s="551"/>
      <c r="AG1374" s="551"/>
      <c r="AH1374" s="551"/>
      <c r="AI1374" s="704"/>
      <c r="AJ1374" s="704"/>
      <c r="AK1374" s="704"/>
      <c r="AL1374" s="704"/>
      <c r="AM1374" s="704"/>
      <c r="AN1374" s="704"/>
      <c r="AO1374" s="704"/>
      <c r="AP1374" s="704"/>
      <c r="AQ1374" s="704"/>
      <c r="AR1374" s="704"/>
      <c r="AS1374" s="704"/>
    </row>
    <row r="1375" spans="1:45" s="265" customFormat="1" ht="30" customHeight="1" x14ac:dyDescent="0.25">
      <c r="A1375" s="2084"/>
      <c r="B1375" s="2076"/>
      <c r="C1375" s="574" t="s">
        <v>283</v>
      </c>
      <c r="D1375" s="881" t="s">
        <v>10</v>
      </c>
      <c r="E1375" s="882">
        <v>46262</v>
      </c>
      <c r="F1375" s="71">
        <f t="shared" ref="F1375:F1377" si="849">$L$7-E1375</f>
        <v>24</v>
      </c>
      <c r="G1375" s="64">
        <v>5000</v>
      </c>
      <c r="H1375" s="64"/>
      <c r="I1375" s="64"/>
      <c r="J1375" s="1367"/>
      <c r="K1375" s="64">
        <f>IFERROR(SUMIF(INTAKE!$A:$A,$T1375,INTAKE!$P:$P),0)</f>
        <v>0</v>
      </c>
      <c r="L1375" s="1702">
        <f t="shared" si="844"/>
        <v>5000</v>
      </c>
      <c r="M1375" s="48"/>
      <c r="N1375" s="163"/>
      <c r="O1375" s="48"/>
      <c r="P1375" s="750"/>
      <c r="Q1375" s="795"/>
      <c r="R1375" s="785">
        <f>IFERROR(VLOOKUP($Q1375,'391'!$S:$Z,8,0),"")</f>
        <v>0</v>
      </c>
      <c r="S1375" s="796"/>
      <c r="T1375" s="797" t="str">
        <f t="shared" si="848"/>
        <v>DPS 50(USA)A19.346262</v>
      </c>
      <c r="U1375" s="797"/>
      <c r="V1375" s="797"/>
      <c r="W1375" s="785">
        <f>IFERROR(VLOOKUP($Q1375,'391'!$S:$AG,15,0),0)</f>
        <v>0</v>
      </c>
      <c r="X1375" s="1090">
        <f t="shared" si="838"/>
        <v>5000</v>
      </c>
      <c r="Y1375" s="785"/>
      <c r="Z1375" s="785"/>
      <c r="AA1375" s="797"/>
      <c r="AB1375" s="797"/>
      <c r="AC1375" s="551"/>
      <c r="AD1375" s="551"/>
      <c r="AE1375" s="551"/>
      <c r="AF1375" s="551"/>
      <c r="AG1375" s="551"/>
      <c r="AH1375" s="551"/>
      <c r="AI1375" s="704"/>
      <c r="AJ1375" s="704"/>
      <c r="AK1375" s="704"/>
      <c r="AL1375" s="704"/>
      <c r="AM1375" s="704"/>
      <c r="AN1375" s="704"/>
      <c r="AO1375" s="704"/>
      <c r="AP1375" s="704"/>
      <c r="AQ1375" s="704"/>
      <c r="AR1375" s="704"/>
      <c r="AS1375" s="704"/>
    </row>
    <row r="1376" spans="1:45" s="265" customFormat="1" ht="30" customHeight="1" x14ac:dyDescent="0.25">
      <c r="A1376" s="2084"/>
      <c r="B1376" s="2076"/>
      <c r="C1376" s="574" t="s">
        <v>284</v>
      </c>
      <c r="D1376" s="881" t="s">
        <v>10</v>
      </c>
      <c r="E1376" s="882">
        <v>46262</v>
      </c>
      <c r="F1376" s="71">
        <f t="shared" si="849"/>
        <v>24</v>
      </c>
      <c r="G1376" s="64">
        <v>5000</v>
      </c>
      <c r="H1376" s="64"/>
      <c r="I1376" s="64"/>
      <c r="J1376" s="1367"/>
      <c r="K1376" s="64">
        <f>IFERROR(SUMIF(INTAKE!$A:$A,$T1376,INTAKE!$P:$P),0)</f>
        <v>2500</v>
      </c>
      <c r="L1376" s="1702">
        <f t="shared" si="844"/>
        <v>2500</v>
      </c>
      <c r="M1376" s="48"/>
      <c r="N1376" s="163"/>
      <c r="O1376" s="48"/>
      <c r="P1376" s="750"/>
      <c r="Q1376" s="795"/>
      <c r="R1376" s="785">
        <f>IFERROR(VLOOKUP($Q1376,'391'!$S:$Z,8,0),"")</f>
        <v>0</v>
      </c>
      <c r="S1376" s="796"/>
      <c r="T1376" s="797" t="str">
        <f t="shared" si="848"/>
        <v>DPS 50(USA)A22.446262</v>
      </c>
      <c r="U1376" s="797"/>
      <c r="V1376" s="797"/>
      <c r="W1376" s="785">
        <f>IFERROR(VLOOKUP($Q1376,'391'!$S:$AG,15,0),0)</f>
        <v>0</v>
      </c>
      <c r="X1376" s="1090">
        <f t="shared" si="838"/>
        <v>5000</v>
      </c>
      <c r="Y1376" s="785"/>
      <c r="Z1376" s="785"/>
      <c r="AA1376" s="797"/>
      <c r="AB1376" s="797"/>
      <c r="AC1376" s="551"/>
      <c r="AD1376" s="551"/>
      <c r="AE1376" s="551"/>
      <c r="AF1376" s="551"/>
      <c r="AG1376" s="551"/>
      <c r="AH1376" s="551"/>
      <c r="AI1376" s="704"/>
      <c r="AJ1376" s="704"/>
      <c r="AK1376" s="704"/>
      <c r="AL1376" s="704"/>
      <c r="AM1376" s="704"/>
      <c r="AN1376" s="704"/>
      <c r="AO1376" s="704"/>
      <c r="AP1376" s="704"/>
      <c r="AQ1376" s="704"/>
      <c r="AR1376" s="704"/>
      <c r="AS1376" s="704"/>
    </row>
    <row r="1377" spans="1:45" s="265" customFormat="1" ht="30" customHeight="1" x14ac:dyDescent="0.25">
      <c r="A1377" s="2121"/>
      <c r="B1377" s="2082"/>
      <c r="C1377" s="574" t="s">
        <v>283</v>
      </c>
      <c r="D1377" s="881" t="s">
        <v>10</v>
      </c>
      <c r="E1377" s="882">
        <v>46263</v>
      </c>
      <c r="F1377" s="71">
        <f t="shared" si="849"/>
        <v>23</v>
      </c>
      <c r="G1377" s="64">
        <v>4000</v>
      </c>
      <c r="H1377" s="64"/>
      <c r="I1377" s="64"/>
      <c r="J1377" s="1367"/>
      <c r="K1377" s="64">
        <f>IFERROR(SUMIF(INTAKE!$A:$A,$T1377,INTAKE!$P:$P),0)</f>
        <v>0</v>
      </c>
      <c r="L1377" s="1702">
        <f t="shared" si="844"/>
        <v>4000</v>
      </c>
      <c r="M1377" s="48"/>
      <c r="N1377" s="163"/>
      <c r="O1377" s="48"/>
      <c r="P1377" s="750"/>
      <c r="Q1377" s="795"/>
      <c r="R1377" s="785">
        <f>IFERROR(VLOOKUP($Q1377,'391'!$S:$Z,8,0),"")</f>
        <v>0</v>
      </c>
      <c r="S1377" s="796"/>
      <c r="T1377" s="797" t="str">
        <f t="shared" si="848"/>
        <v>DPS 50(USA)A19.346263</v>
      </c>
      <c r="U1377" s="797"/>
      <c r="V1377" s="797"/>
      <c r="W1377" s="785">
        <f>IFERROR(VLOOKUP($Q1377,'391'!$S:$AG,15,0),0)</f>
        <v>0</v>
      </c>
      <c r="X1377" s="1090">
        <f t="shared" si="838"/>
        <v>4000</v>
      </c>
      <c r="Y1377" s="785"/>
      <c r="Z1377" s="785"/>
      <c r="AA1377" s="797"/>
      <c r="AB1377" s="797"/>
      <c r="AC1377" s="551"/>
      <c r="AD1377" s="551"/>
      <c r="AE1377" s="551"/>
      <c r="AF1377" s="551"/>
      <c r="AG1377" s="551"/>
      <c r="AH1377" s="551"/>
      <c r="AI1377" s="704"/>
      <c r="AJ1377" s="704"/>
      <c r="AK1377" s="704"/>
      <c r="AL1377" s="704"/>
      <c r="AM1377" s="704"/>
      <c r="AN1377" s="704"/>
      <c r="AO1377" s="704"/>
      <c r="AP1377" s="704"/>
      <c r="AQ1377" s="704"/>
      <c r="AR1377" s="704"/>
      <c r="AS1377" s="704"/>
    </row>
    <row r="1378" spans="1:45" s="265" customFormat="1" ht="31.5" customHeight="1" x14ac:dyDescent="0.25">
      <c r="A1378" s="2121"/>
      <c r="B1378" s="2082"/>
      <c r="C1378" s="574" t="s">
        <v>2186</v>
      </c>
      <c r="D1378" s="881" t="s">
        <v>10</v>
      </c>
      <c r="E1378" s="882">
        <v>46286</v>
      </c>
      <c r="F1378" s="71">
        <f t="shared" si="847"/>
        <v>0</v>
      </c>
      <c r="G1378" s="64">
        <v>0</v>
      </c>
      <c r="H1378" s="64">
        <v>15000</v>
      </c>
      <c r="I1378" s="64"/>
      <c r="J1378" s="1367"/>
      <c r="K1378" s="64">
        <f>IFERROR(SUMIF(INTAKE!$A:$A,$T1378,INTAKE!$P:$P),0)</f>
        <v>0</v>
      </c>
      <c r="L1378" s="1702">
        <f t="shared" ref="L1378:L1379" si="850">+G1378+H1378+I1378-J1378-K1378</f>
        <v>15000</v>
      </c>
      <c r="M1378" s="48"/>
      <c r="N1378" s="163"/>
      <c r="O1378" s="48"/>
      <c r="P1378" s="750"/>
      <c r="Q1378" s="795"/>
      <c r="R1378" s="785">
        <f>IFERROR(VLOOKUP($Q1378,'391'!$S:$Z,8,0),"")</f>
        <v>0</v>
      </c>
      <c r="S1378" s="796"/>
      <c r="T1378" s="797" t="str">
        <f t="shared" si="848"/>
        <v>DPS 50(USA)A22.246286</v>
      </c>
      <c r="U1378" s="797"/>
      <c r="V1378" s="797"/>
      <c r="W1378" s="785">
        <f>IFERROR(VLOOKUP($Q1378,'391'!$S:$AG,15,0),0)</f>
        <v>0</v>
      </c>
      <c r="X1378" s="1090">
        <f t="shared" ref="X1378:X1379" si="851">G1378-W1378</f>
        <v>0</v>
      </c>
      <c r="Y1378" s="785"/>
      <c r="Z1378" s="785"/>
      <c r="AA1378" s="797"/>
      <c r="AB1378" s="797"/>
      <c r="AC1378" s="551"/>
      <c r="AD1378" s="551"/>
      <c r="AE1378" s="551"/>
      <c r="AF1378" s="551"/>
      <c r="AG1378" s="551"/>
      <c r="AH1378" s="551"/>
      <c r="AI1378" s="704"/>
      <c r="AJ1378" s="704"/>
      <c r="AK1378" s="704"/>
      <c r="AL1378" s="704"/>
      <c r="AM1378" s="704"/>
      <c r="AN1378" s="704"/>
      <c r="AO1378" s="704"/>
      <c r="AP1378" s="704"/>
      <c r="AQ1378" s="704"/>
      <c r="AR1378" s="704"/>
      <c r="AS1378" s="704"/>
    </row>
    <row r="1379" spans="1:45" s="265" customFormat="1" ht="30" hidden="1" customHeight="1" x14ac:dyDescent="0.25">
      <c r="A1379" s="2121"/>
      <c r="B1379" s="2082"/>
      <c r="C1379" s="574"/>
      <c r="D1379" s="881" t="s">
        <v>10</v>
      </c>
      <c r="E1379" s="882">
        <v>46263</v>
      </c>
      <c r="F1379" s="71">
        <f t="shared" ref="F1379" si="852">$L$7-E1379</f>
        <v>23</v>
      </c>
      <c r="G1379" s="64">
        <v>0</v>
      </c>
      <c r="H1379" s="64"/>
      <c r="I1379" s="64"/>
      <c r="J1379" s="1367"/>
      <c r="K1379" s="64">
        <f>IFERROR(SUMIF(INTAKE!$A:$A,$T1379,INTAKE!$P:$P),0)</f>
        <v>0</v>
      </c>
      <c r="L1379" s="1702">
        <f t="shared" si="850"/>
        <v>0</v>
      </c>
      <c r="M1379" s="48"/>
      <c r="N1379" s="163"/>
      <c r="O1379" s="48"/>
      <c r="P1379" s="750"/>
      <c r="Q1379" s="795"/>
      <c r="R1379" s="785">
        <f>IFERROR(VLOOKUP($Q1379,'391'!$S:$Z,8,0),"")</f>
        <v>0</v>
      </c>
      <c r="S1379" s="796"/>
      <c r="T1379" s="797" t="str">
        <f t="shared" si="848"/>
        <v>DPS 50(USA)46263</v>
      </c>
      <c r="U1379" s="797"/>
      <c r="V1379" s="797"/>
      <c r="W1379" s="785">
        <f>IFERROR(VLOOKUP($Q1379,'391'!$S:$AG,15,0),0)</f>
        <v>0</v>
      </c>
      <c r="X1379" s="1090">
        <f t="shared" si="851"/>
        <v>0</v>
      </c>
      <c r="Y1379" s="785"/>
      <c r="Z1379" s="785"/>
      <c r="AA1379" s="797"/>
      <c r="AB1379" s="797"/>
      <c r="AC1379" s="551"/>
      <c r="AD1379" s="551"/>
      <c r="AE1379" s="551"/>
      <c r="AF1379" s="551"/>
      <c r="AG1379" s="551"/>
      <c r="AH1379" s="551"/>
      <c r="AI1379" s="704"/>
      <c r="AJ1379" s="704"/>
      <c r="AK1379" s="704"/>
      <c r="AL1379" s="704"/>
      <c r="AM1379" s="704"/>
      <c r="AN1379" s="704"/>
      <c r="AO1379" s="704"/>
      <c r="AP1379" s="704"/>
      <c r="AQ1379" s="704"/>
      <c r="AR1379" s="704"/>
      <c r="AS1379" s="704"/>
    </row>
    <row r="1380" spans="1:45" s="265" customFormat="1" ht="30" hidden="1" customHeight="1" x14ac:dyDescent="0.25">
      <c r="A1380" s="2084"/>
      <c r="B1380" s="2076"/>
      <c r="C1380" s="574"/>
      <c r="D1380" s="881" t="s">
        <v>10</v>
      </c>
      <c r="E1380" s="882">
        <v>46087</v>
      </c>
      <c r="F1380" s="71">
        <f t="shared" ref="F1380:F1381" si="853">$L$7-E1380</f>
        <v>199</v>
      </c>
      <c r="G1380" s="64">
        <v>0</v>
      </c>
      <c r="H1380" s="64"/>
      <c r="I1380" s="64"/>
      <c r="J1380" s="1367"/>
      <c r="K1380" s="64">
        <f>IFERROR(SUMIF(INTAKE!$A:$A,$T1380,INTAKE!$P:$P),0)</f>
        <v>0</v>
      </c>
      <c r="L1380" s="1702">
        <f t="shared" si="844"/>
        <v>0</v>
      </c>
      <c r="M1380" s="48"/>
      <c r="N1380" s="163"/>
      <c r="O1380" s="48"/>
      <c r="P1380" s="750"/>
      <c r="Q1380" s="795"/>
      <c r="R1380" s="785">
        <f>IFERROR(VLOOKUP($Q1380,'391'!$S:$Z,8,0),"")</f>
        <v>0</v>
      </c>
      <c r="S1380" s="796"/>
      <c r="T1380" s="797" t="str">
        <f t="shared" si="848"/>
        <v>DPS 50(USA)46087</v>
      </c>
      <c r="U1380" s="797"/>
      <c r="V1380" s="797"/>
      <c r="W1380" s="785">
        <f>IFERROR(VLOOKUP($Q1380,'391'!$S:$AG,15,0),0)</f>
        <v>0</v>
      </c>
      <c r="X1380" s="1090">
        <f t="shared" si="838"/>
        <v>0</v>
      </c>
      <c r="Y1380" s="785"/>
      <c r="Z1380" s="785"/>
      <c r="AA1380" s="797"/>
      <c r="AB1380" s="797"/>
      <c r="AC1380" s="551"/>
      <c r="AD1380" s="551"/>
      <c r="AE1380" s="551"/>
      <c r="AF1380" s="551"/>
      <c r="AG1380" s="551"/>
      <c r="AH1380" s="551"/>
      <c r="AI1380" s="704"/>
      <c r="AJ1380" s="704"/>
      <c r="AK1380" s="704"/>
      <c r="AL1380" s="704"/>
      <c r="AM1380" s="704"/>
      <c r="AN1380" s="704"/>
      <c r="AO1380" s="704"/>
      <c r="AP1380" s="704"/>
      <c r="AQ1380" s="704"/>
      <c r="AR1380" s="704"/>
      <c r="AS1380" s="704"/>
    </row>
    <row r="1381" spans="1:45" s="265" customFormat="1" ht="30" customHeight="1" x14ac:dyDescent="0.25">
      <c r="A1381" s="2085"/>
      <c r="B1381" s="2068"/>
      <c r="C1381" s="138" t="s">
        <v>76</v>
      </c>
      <c r="D1381" s="884" t="s">
        <v>10</v>
      </c>
      <c r="E1381" s="885">
        <v>46262</v>
      </c>
      <c r="F1381" s="293">
        <f t="shared" si="853"/>
        <v>24</v>
      </c>
      <c r="G1381" s="1214">
        <v>1715</v>
      </c>
      <c r="H1381" s="37"/>
      <c r="I1381" s="37">
        <f>SUM(K1374:K1378)</f>
        <v>2500</v>
      </c>
      <c r="J1381" s="1385">
        <f>usage!I167</f>
        <v>160</v>
      </c>
      <c r="K1381" s="64">
        <f>IFERROR(SUMIF(INTAKE!$A:$A,$T1381,INTAKE!$P:$P),0)</f>
        <v>0</v>
      </c>
      <c r="L1381" s="1533">
        <f t="shared" si="844"/>
        <v>4055</v>
      </c>
      <c r="M1381" s="35"/>
      <c r="N1381" s="920"/>
      <c r="O1381" s="35"/>
      <c r="P1381" s="1013"/>
      <c r="Q1381" s="795"/>
      <c r="R1381" s="785">
        <f>IFERROR(VLOOKUP($Q1381,'391'!$S:$Z,8,0),"")</f>
        <v>0</v>
      </c>
      <c r="S1381" s="796"/>
      <c r="T1381" s="797" t="str">
        <f t="shared" si="848"/>
        <v>DPS 50(USA)Feedmil46262</v>
      </c>
      <c r="U1381" s="797"/>
      <c r="V1381" s="797"/>
      <c r="W1381" s="785">
        <f>IFERROR(VLOOKUP($Q1381,'391'!$S:$AG,15,0),0)</f>
        <v>0</v>
      </c>
      <c r="X1381" s="1090">
        <f t="shared" si="838"/>
        <v>1715</v>
      </c>
      <c r="Y1381" s="785"/>
      <c r="Z1381" s="785"/>
      <c r="AA1381" s="797"/>
      <c r="AB1381" s="797"/>
      <c r="AC1381" s="551"/>
      <c r="AD1381" s="551"/>
      <c r="AE1381" s="551"/>
      <c r="AF1381" s="551"/>
      <c r="AG1381" s="551"/>
      <c r="AH1381" s="551"/>
      <c r="AI1381" s="704"/>
      <c r="AJ1381" s="704"/>
      <c r="AK1381" s="704"/>
      <c r="AL1381" s="704"/>
      <c r="AM1381" s="704"/>
      <c r="AN1381" s="704"/>
      <c r="AO1381" s="704"/>
      <c r="AP1381" s="704"/>
      <c r="AQ1381" s="704"/>
      <c r="AR1381" s="704"/>
      <c r="AS1381" s="704"/>
    </row>
    <row r="1382" spans="1:45" s="265" customFormat="1" ht="30" customHeight="1" x14ac:dyDescent="0.25">
      <c r="A1382" s="184"/>
      <c r="B1382" s="184" t="s">
        <v>904</v>
      </c>
      <c r="C1382" s="575"/>
      <c r="D1382" s="900"/>
      <c r="E1382" s="901"/>
      <c r="F1382" s="902"/>
      <c r="G1382" s="1337">
        <v>15715</v>
      </c>
      <c r="H1382" s="1337">
        <f>+SUM(H1374:H1381)</f>
        <v>15000</v>
      </c>
      <c r="I1382" s="1337">
        <f t="shared" ref="I1382:L1382" si="854">+SUM(I1374:I1381)</f>
        <v>2500</v>
      </c>
      <c r="J1382" s="1337">
        <f t="shared" si="854"/>
        <v>160</v>
      </c>
      <c r="K1382" s="1337">
        <f t="shared" si="854"/>
        <v>2500</v>
      </c>
      <c r="L1382" s="1337">
        <f t="shared" si="854"/>
        <v>30555</v>
      </c>
      <c r="M1382" s="59">
        <f>IFERROR(R1382/$S$2,"")</f>
        <v>811.66666666666663</v>
      </c>
      <c r="N1382" s="366">
        <f>IFERROR(L1382/M1382,0)</f>
        <v>37.644763860369615</v>
      </c>
      <c r="O1382" s="59">
        <f>IFERROR(SUMIF(ETM!$A:$A,$Q1382,ETM!$E:$E),"")</f>
        <v>710</v>
      </c>
      <c r="P1382" s="880">
        <f>IFERROR(L1382/O1382,0)</f>
        <v>43.035211267605632</v>
      </c>
      <c r="Q1382" s="795" t="s">
        <v>903</v>
      </c>
      <c r="R1382" s="785">
        <f>IFERROR(VLOOKUP($Q1382,'391'!$S:$Z,8,0),"")</f>
        <v>4870</v>
      </c>
      <c r="S1382" s="796"/>
      <c r="T1382" s="797"/>
      <c r="U1382" s="797"/>
      <c r="V1382" s="797"/>
      <c r="W1382" s="785">
        <f>IFERROR(VLOOKUP($Q1382,'391'!$S:$AG,15,0),0)</f>
        <v>15715</v>
      </c>
      <c r="X1382" s="1090">
        <f t="shared" si="838"/>
        <v>0</v>
      </c>
      <c r="Y1382" s="785"/>
      <c r="Z1382" s="785"/>
      <c r="AA1382" s="797"/>
      <c r="AB1382" s="797"/>
      <c r="AC1382" s="683"/>
      <c r="AD1382" s="551"/>
      <c r="AE1382" s="551"/>
      <c r="AF1382" s="551"/>
      <c r="AG1382" s="551"/>
      <c r="AH1382" s="551"/>
      <c r="AI1382" s="704"/>
      <c r="AJ1382" s="704"/>
      <c r="AK1382" s="704"/>
      <c r="AL1382" s="704"/>
      <c r="AM1382" s="704"/>
      <c r="AN1382" s="704"/>
      <c r="AO1382" s="704"/>
      <c r="AP1382" s="704"/>
      <c r="AQ1382" s="704"/>
      <c r="AR1382" s="704"/>
      <c r="AS1382" s="704"/>
    </row>
    <row r="1383" spans="1:45" s="265" customFormat="1" ht="30" hidden="1" customHeight="1" x14ac:dyDescent="0.25">
      <c r="A1383" s="2083" t="str">
        <f>IF(L1388=0,"",MAX($A$16:A1382)+1)</f>
        <v/>
      </c>
      <c r="B1383" s="2075" t="s">
        <v>905</v>
      </c>
      <c r="C1383" s="574"/>
      <c r="D1383" s="881" t="s">
        <v>10</v>
      </c>
      <c r="E1383" s="882">
        <v>44918</v>
      </c>
      <c r="F1383" s="71">
        <f>$L$7-E1383</f>
        <v>1368</v>
      </c>
      <c r="G1383" s="64">
        <v>0</v>
      </c>
      <c r="H1383" s="64"/>
      <c r="I1383" s="64"/>
      <c r="J1383" s="1367"/>
      <c r="K1383" s="64">
        <f>IFERROR(SUMIF(INTAKE!$A:$A,$T1383,INTAKE!$P:$P),0)</f>
        <v>0</v>
      </c>
      <c r="L1383" s="1533">
        <f t="shared" si="844"/>
        <v>0</v>
      </c>
      <c r="M1383" s="48"/>
      <c r="N1383" s="163"/>
      <c r="O1383" s="48"/>
      <c r="P1383" s="750"/>
      <c r="Q1383" s="795"/>
      <c r="R1383" s="785">
        <f>IFERROR(VLOOKUP($Q1383,'391'!$S:$Z,8,0),"")</f>
        <v>0</v>
      </c>
      <c r="S1383" s="796"/>
      <c r="T1383" s="797" t="str">
        <f>$Q$1388&amp;C1383&amp;E1383</f>
        <v>AP920 (Canada)44918</v>
      </c>
      <c r="U1383" s="797"/>
      <c r="V1383" s="797"/>
      <c r="W1383" s="785">
        <f>IFERROR(VLOOKUP($Q1383,'391'!$S:$AG,15,0),0)</f>
        <v>0</v>
      </c>
      <c r="X1383" s="1090">
        <f t="shared" si="838"/>
        <v>0</v>
      </c>
      <c r="Y1383" s="785"/>
      <c r="Z1383" s="785"/>
      <c r="AA1383" s="797"/>
      <c r="AB1383" s="797"/>
      <c r="AC1383" s="551"/>
      <c r="AD1383" s="551"/>
      <c r="AE1383" s="551"/>
      <c r="AF1383" s="551"/>
      <c r="AG1383" s="551"/>
      <c r="AH1383" s="551"/>
      <c r="AI1383" s="704"/>
      <c r="AJ1383" s="704"/>
      <c r="AK1383" s="704"/>
      <c r="AL1383" s="704"/>
      <c r="AM1383" s="704"/>
      <c r="AN1383" s="704"/>
      <c r="AO1383" s="704"/>
      <c r="AP1383" s="704"/>
      <c r="AQ1383" s="704"/>
      <c r="AR1383" s="704"/>
      <c r="AS1383" s="704"/>
    </row>
    <row r="1384" spans="1:45" s="265" customFormat="1" ht="30" hidden="1" customHeight="1" x14ac:dyDescent="0.25">
      <c r="A1384" s="2084"/>
      <c r="B1384" s="2076"/>
      <c r="C1384" s="574" t="s">
        <v>1232</v>
      </c>
      <c r="D1384" s="881" t="s">
        <v>10</v>
      </c>
      <c r="E1384" s="882">
        <v>44918</v>
      </c>
      <c r="F1384" s="71">
        <f>$L$7-E1384</f>
        <v>1368</v>
      </c>
      <c r="G1384" s="64">
        <v>0</v>
      </c>
      <c r="H1384" s="64"/>
      <c r="I1384" s="64"/>
      <c r="J1384" s="1367"/>
      <c r="K1384" s="64">
        <f>IFERROR(SUMIF(INTAKE!$A:$A,$T1384,INTAKE!$P:$P),0)</f>
        <v>0</v>
      </c>
      <c r="L1384" s="1533">
        <f t="shared" si="844"/>
        <v>0</v>
      </c>
      <c r="M1384" s="48"/>
      <c r="N1384" s="163"/>
      <c r="O1384" s="48"/>
      <c r="P1384" s="750"/>
      <c r="Q1384" s="795"/>
      <c r="R1384" s="785">
        <f>IFERROR(VLOOKUP($Q1384,'391'!$S:$Z,8,0),"")</f>
        <v>0</v>
      </c>
      <c r="S1384" s="796"/>
      <c r="T1384" s="797" t="str">
        <f>$Q$1388&amp;C1384&amp;E1384</f>
        <v>AP920 (Canada)V6.244918</v>
      </c>
      <c r="U1384" s="797"/>
      <c r="V1384" s="797"/>
      <c r="W1384" s="785">
        <f>IFERROR(VLOOKUP($Q1384,'391'!$S:$AG,15,0),0)</f>
        <v>0</v>
      </c>
      <c r="X1384" s="1090">
        <f t="shared" si="838"/>
        <v>0</v>
      </c>
      <c r="Y1384" s="785"/>
      <c r="Z1384" s="785"/>
      <c r="AA1384" s="797"/>
      <c r="AB1384" s="797"/>
      <c r="AC1384" s="551"/>
      <c r="AD1384" s="551"/>
      <c r="AE1384" s="551"/>
      <c r="AF1384" s="551"/>
      <c r="AG1384" s="551"/>
      <c r="AH1384" s="551"/>
      <c r="AI1384" s="704"/>
      <c r="AJ1384" s="704"/>
      <c r="AK1384" s="704"/>
      <c r="AL1384" s="704"/>
      <c r="AM1384" s="704"/>
      <c r="AN1384" s="704"/>
      <c r="AO1384" s="704"/>
      <c r="AP1384" s="704"/>
      <c r="AQ1384" s="704"/>
      <c r="AR1384" s="704"/>
      <c r="AS1384" s="704"/>
    </row>
    <row r="1385" spans="1:45" s="265" customFormat="1" ht="30" hidden="1" customHeight="1" x14ac:dyDescent="0.25">
      <c r="A1385" s="2084"/>
      <c r="B1385" s="2076"/>
      <c r="C1385" s="574"/>
      <c r="D1385" s="881" t="s">
        <v>10</v>
      </c>
      <c r="E1385" s="882">
        <v>44217</v>
      </c>
      <c r="F1385" s="71">
        <f>$L$7-E1385</f>
        <v>2069</v>
      </c>
      <c r="G1385" s="64">
        <v>0</v>
      </c>
      <c r="H1385" s="64"/>
      <c r="I1385" s="64"/>
      <c r="J1385" s="1367"/>
      <c r="K1385" s="64">
        <f>IFERROR(SUMIF(INTAKE!$A:$A,$T1385,INTAKE!$P:$P),0)</f>
        <v>0</v>
      </c>
      <c r="L1385" s="1533">
        <f t="shared" si="844"/>
        <v>0</v>
      </c>
      <c r="M1385" s="48"/>
      <c r="N1385" s="163"/>
      <c r="O1385" s="48"/>
      <c r="P1385" s="750"/>
      <c r="Q1385" s="795"/>
      <c r="R1385" s="785">
        <f>IFERROR(VLOOKUP($Q1385,'391'!$S:$Z,8,0),"")</f>
        <v>0</v>
      </c>
      <c r="S1385" s="796"/>
      <c r="T1385" s="797" t="str">
        <f>$Q$1388&amp;C1385&amp;E1385</f>
        <v>AP920 (Canada)44217</v>
      </c>
      <c r="U1385" s="797"/>
      <c r="V1385" s="797"/>
      <c r="W1385" s="785">
        <f>IFERROR(VLOOKUP($Q1385,'391'!$S:$AG,15,0),0)</f>
        <v>0</v>
      </c>
      <c r="X1385" s="1090">
        <f t="shared" si="838"/>
        <v>0</v>
      </c>
      <c r="Y1385" s="785"/>
      <c r="Z1385" s="785"/>
      <c r="AA1385" s="797"/>
      <c r="AB1385" s="797"/>
      <c r="AC1385" s="551"/>
      <c r="AD1385" s="551"/>
      <c r="AE1385" s="551"/>
      <c r="AF1385" s="551"/>
      <c r="AG1385" s="551"/>
      <c r="AH1385" s="551"/>
      <c r="AI1385" s="704"/>
      <c r="AJ1385" s="704"/>
      <c r="AK1385" s="704"/>
      <c r="AL1385" s="704"/>
      <c r="AM1385" s="704"/>
      <c r="AN1385" s="704"/>
      <c r="AO1385" s="704"/>
      <c r="AP1385" s="704"/>
      <c r="AQ1385" s="704"/>
      <c r="AR1385" s="704"/>
      <c r="AS1385" s="704"/>
    </row>
    <row r="1386" spans="1:45" s="265" customFormat="1" ht="30" hidden="1" customHeight="1" x14ac:dyDescent="0.25">
      <c r="A1386" s="2084"/>
      <c r="B1386" s="2076"/>
      <c r="C1386" s="574"/>
      <c r="D1386" s="881" t="s">
        <v>10</v>
      </c>
      <c r="E1386" s="882">
        <v>44217</v>
      </c>
      <c r="F1386" s="71">
        <f>$L$7-E1386</f>
        <v>2069</v>
      </c>
      <c r="G1386" s="64">
        <v>0</v>
      </c>
      <c r="H1386" s="64"/>
      <c r="I1386" s="64"/>
      <c r="J1386" s="1367"/>
      <c r="K1386" s="64">
        <f>IFERROR(SUMIF(INTAKE!$A:$A,$T1386,INTAKE!$P:$P),0)</f>
        <v>0</v>
      </c>
      <c r="L1386" s="1533">
        <f t="shared" si="844"/>
        <v>0</v>
      </c>
      <c r="M1386" s="48"/>
      <c r="N1386" s="163"/>
      <c r="O1386" s="48"/>
      <c r="P1386" s="750"/>
      <c r="Q1386" s="795"/>
      <c r="R1386" s="785">
        <f>IFERROR(VLOOKUP($Q1386,'391'!$S:$Z,8,0),"")</f>
        <v>0</v>
      </c>
      <c r="S1386" s="796"/>
      <c r="T1386" s="797" t="str">
        <f>$Q$1388&amp;C1386&amp;E1386</f>
        <v>AP920 (Canada)44217</v>
      </c>
      <c r="U1386" s="797"/>
      <c r="V1386" s="797"/>
      <c r="W1386" s="785">
        <f>IFERROR(VLOOKUP($Q1386,'391'!$S:$AG,15,0),0)</f>
        <v>0</v>
      </c>
      <c r="X1386" s="1090">
        <f t="shared" si="838"/>
        <v>0</v>
      </c>
      <c r="Y1386" s="785"/>
      <c r="Z1386" s="785"/>
      <c r="AA1386" s="797"/>
      <c r="AB1386" s="797"/>
      <c r="AC1386" s="551"/>
      <c r="AD1386" s="551"/>
      <c r="AE1386" s="551"/>
      <c r="AF1386" s="551"/>
      <c r="AG1386" s="551"/>
      <c r="AH1386" s="551"/>
      <c r="AI1386" s="704"/>
      <c r="AJ1386" s="704"/>
      <c r="AK1386" s="704"/>
      <c r="AL1386" s="704"/>
      <c r="AM1386" s="704"/>
      <c r="AN1386" s="704"/>
      <c r="AO1386" s="704"/>
      <c r="AP1386" s="704"/>
      <c r="AQ1386" s="704"/>
      <c r="AR1386" s="704"/>
      <c r="AS1386" s="704"/>
    </row>
    <row r="1387" spans="1:45" s="265" customFormat="1" ht="30" hidden="1" customHeight="1" x14ac:dyDescent="0.25">
      <c r="A1387" s="2085"/>
      <c r="B1387" s="2068"/>
      <c r="C1387" s="138" t="s">
        <v>76</v>
      </c>
      <c r="D1387" s="884" t="s">
        <v>10</v>
      </c>
      <c r="E1387" s="885">
        <v>44918</v>
      </c>
      <c r="F1387" s="293">
        <f>$L$7-E1387</f>
        <v>1368</v>
      </c>
      <c r="G1387" s="1214">
        <v>0</v>
      </c>
      <c r="H1387" s="37"/>
      <c r="I1387" s="37">
        <f>+K1384+K1383</f>
        <v>0</v>
      </c>
      <c r="J1387" s="1385">
        <f>usage!I168</f>
        <v>0</v>
      </c>
      <c r="K1387" s="64">
        <f>IFERROR(SUMIF(INTAKE!$A:$A,$T1387,INTAKE!$P:$P),0)</f>
        <v>0</v>
      </c>
      <c r="L1387" s="1533">
        <f t="shared" si="844"/>
        <v>0</v>
      </c>
      <c r="M1387" s="35"/>
      <c r="N1387" s="920"/>
      <c r="O1387" s="35"/>
      <c r="P1387" s="1013"/>
      <c r="Q1387" s="795"/>
      <c r="R1387" s="785">
        <f>IFERROR(VLOOKUP($Q1387,'391'!$S:$Z,8,0),"")</f>
        <v>0</v>
      </c>
      <c r="S1387" s="796"/>
      <c r="T1387" s="797" t="str">
        <f>$Q$1388&amp;C1387&amp;E1387</f>
        <v>AP920 (Canada)Feedmil44918</v>
      </c>
      <c r="U1387" s="797"/>
      <c r="V1387" s="797"/>
      <c r="W1387" s="785">
        <f>IFERROR(VLOOKUP($Q1387,'391'!$S:$AG,15,0),0)</f>
        <v>0</v>
      </c>
      <c r="X1387" s="1090">
        <f t="shared" si="838"/>
        <v>0</v>
      </c>
      <c r="Y1387" s="785"/>
      <c r="Z1387" s="785"/>
      <c r="AA1387" s="797"/>
      <c r="AB1387" s="797"/>
      <c r="AC1387" s="551"/>
      <c r="AD1387" s="551"/>
      <c r="AE1387" s="551"/>
      <c r="AF1387" s="551"/>
      <c r="AG1387" s="551"/>
      <c r="AH1387" s="551"/>
      <c r="AI1387" s="704"/>
      <c r="AJ1387" s="704"/>
      <c r="AK1387" s="704"/>
      <c r="AL1387" s="704"/>
      <c r="AM1387" s="704"/>
      <c r="AN1387" s="704"/>
      <c r="AO1387" s="704"/>
      <c r="AP1387" s="704"/>
      <c r="AQ1387" s="704"/>
      <c r="AR1387" s="704"/>
      <c r="AS1387" s="704"/>
    </row>
    <row r="1388" spans="1:45" s="265" customFormat="1" ht="30" hidden="1" customHeight="1" x14ac:dyDescent="0.25">
      <c r="A1388" s="184"/>
      <c r="B1388" s="184" t="s">
        <v>906</v>
      </c>
      <c r="C1388" s="575"/>
      <c r="D1388" s="900"/>
      <c r="E1388" s="901"/>
      <c r="F1388" s="902"/>
      <c r="G1388" s="1337">
        <v>0</v>
      </c>
      <c r="H1388" s="1337">
        <f>+SUM(H1383:H1387)</f>
        <v>0</v>
      </c>
      <c r="I1388" s="1337">
        <f t="shared" ref="I1388:K1388" si="855">+SUM(I1383:I1387)</f>
        <v>0</v>
      </c>
      <c r="J1388" s="1337">
        <f t="shared" si="855"/>
        <v>0</v>
      </c>
      <c r="K1388" s="1337">
        <f t="shared" si="855"/>
        <v>0</v>
      </c>
      <c r="L1388" s="1533">
        <f t="shared" si="844"/>
        <v>0</v>
      </c>
      <c r="M1388" s="59" t="str">
        <f>IFERROR(R1388/$S$2,"")</f>
        <v/>
      </c>
      <c r="N1388" s="366">
        <f>IFERROR(L1388/M1388,0)</f>
        <v>0</v>
      </c>
      <c r="O1388" s="59">
        <f>IFERROR(SUMIF(ETM!$A:$A,$Q1388,ETM!$E:$E),"")</f>
        <v>0</v>
      </c>
      <c r="P1388" s="880">
        <f>IFERROR(L1388/O1388,0)</f>
        <v>0</v>
      </c>
      <c r="Q1388" s="795" t="s">
        <v>923</v>
      </c>
      <c r="R1388" s="785" t="str">
        <f>IFERROR(VLOOKUP($Q1388,'391'!$S:$Z,8,0),"")</f>
        <v/>
      </c>
      <c r="S1388" s="796"/>
      <c r="T1388" s="797"/>
      <c r="U1388" s="797"/>
      <c r="V1388" s="797"/>
      <c r="W1388" s="785">
        <f>IFERROR(VLOOKUP($Q1388,'391'!$S:$AG,15,0),0)</f>
        <v>0</v>
      </c>
      <c r="X1388" s="1090">
        <f t="shared" si="838"/>
        <v>0</v>
      </c>
      <c r="Y1388" s="785"/>
      <c r="Z1388" s="785"/>
      <c r="AA1388" s="797"/>
      <c r="AB1388" s="797"/>
      <c r="AC1388" s="683"/>
      <c r="AD1388" s="551"/>
      <c r="AE1388" s="551"/>
      <c r="AF1388" s="551"/>
      <c r="AG1388" s="551"/>
      <c r="AH1388" s="551"/>
      <c r="AI1388" s="704"/>
      <c r="AJ1388" s="704"/>
      <c r="AK1388" s="704"/>
      <c r="AL1388" s="704"/>
      <c r="AM1388" s="704"/>
      <c r="AN1388" s="704"/>
      <c r="AO1388" s="704"/>
      <c r="AP1388" s="704"/>
      <c r="AQ1388" s="704"/>
      <c r="AR1388" s="704"/>
      <c r="AS1388" s="704"/>
    </row>
    <row r="1389" spans="1:45" s="265" customFormat="1" ht="30" hidden="1" customHeight="1" x14ac:dyDescent="0.25">
      <c r="A1389" s="2083" t="str">
        <f>IF(L1394=0,"",MAX($A$16:A1388)+1)</f>
        <v/>
      </c>
      <c r="B1389" s="2075" t="s">
        <v>1115</v>
      </c>
      <c r="C1389" s="574" t="s">
        <v>190</v>
      </c>
      <c r="D1389" s="881" t="s">
        <v>10</v>
      </c>
      <c r="E1389" s="882">
        <v>44553</v>
      </c>
      <c r="F1389" s="71">
        <f>$L$7-E1389</f>
        <v>1733</v>
      </c>
      <c r="G1389" s="64">
        <v>0</v>
      </c>
      <c r="H1389" s="64"/>
      <c r="I1389" s="64"/>
      <c r="J1389" s="1367"/>
      <c r="K1389" s="64">
        <f>IFERROR(SUMIF(INTAKE!$A:$A,$T1389,INTAKE!$P:$P),0)</f>
        <v>0</v>
      </c>
      <c r="L1389" s="1533">
        <f t="shared" si="844"/>
        <v>0</v>
      </c>
      <c r="M1389" s="48"/>
      <c r="N1389" s="163"/>
      <c r="O1389" s="48"/>
      <c r="P1389" s="750"/>
      <c r="Q1389" s="795"/>
      <c r="R1389" s="785">
        <f>IFERROR(VLOOKUP($Q1389,'391'!$S:$Z,8,0),"")</f>
        <v>0</v>
      </c>
      <c r="S1389" s="796"/>
      <c r="T1389" s="797" t="str">
        <f>$Q$1394&amp;C1389&amp;E1389</f>
        <v>FiberMax- 7 (USA)A16.244553</v>
      </c>
      <c r="U1389" s="797"/>
      <c r="V1389" s="797"/>
      <c r="W1389" s="785">
        <f>IFERROR(VLOOKUP($Q1389,'391'!$S:$AG,15,0),0)</f>
        <v>0</v>
      </c>
      <c r="X1389" s="1090">
        <f t="shared" si="838"/>
        <v>0</v>
      </c>
      <c r="Y1389" s="785"/>
      <c r="Z1389" s="785"/>
      <c r="AA1389" s="797"/>
      <c r="AB1389" s="797"/>
      <c r="AC1389" s="551"/>
      <c r="AD1389" s="551"/>
      <c r="AE1389" s="551"/>
      <c r="AF1389" s="551"/>
      <c r="AG1389" s="551"/>
      <c r="AH1389" s="551"/>
      <c r="AI1389" s="704"/>
      <c r="AJ1389" s="704"/>
      <c r="AK1389" s="704"/>
      <c r="AL1389" s="704"/>
      <c r="AM1389" s="704"/>
      <c r="AN1389" s="704"/>
      <c r="AO1389" s="704"/>
      <c r="AP1389" s="704"/>
      <c r="AQ1389" s="704"/>
      <c r="AR1389" s="704"/>
      <c r="AS1389" s="704"/>
    </row>
    <row r="1390" spans="1:45" s="265" customFormat="1" ht="30" hidden="1" customHeight="1" x14ac:dyDescent="0.25">
      <c r="A1390" s="2084"/>
      <c r="B1390" s="2076"/>
      <c r="C1390" s="574"/>
      <c r="D1390" s="881" t="s">
        <v>10</v>
      </c>
      <c r="E1390" s="882">
        <v>44217</v>
      </c>
      <c r="F1390" s="71">
        <f>$L$7-E1390</f>
        <v>2069</v>
      </c>
      <c r="G1390" s="64">
        <v>0</v>
      </c>
      <c r="H1390" s="64"/>
      <c r="I1390" s="64"/>
      <c r="J1390" s="1367"/>
      <c r="K1390" s="64">
        <f>IFERROR(SUMIF(INTAKE!$A:$A,$T1390,INTAKE!$P:$P),0)</f>
        <v>0</v>
      </c>
      <c r="L1390" s="1533">
        <f t="shared" si="844"/>
        <v>0</v>
      </c>
      <c r="M1390" s="48"/>
      <c r="N1390" s="163"/>
      <c r="O1390" s="48"/>
      <c r="P1390" s="750"/>
      <c r="Q1390" s="795"/>
      <c r="R1390" s="785">
        <f>IFERROR(VLOOKUP($Q1390,'391'!$S:$Z,8,0),"")</f>
        <v>0</v>
      </c>
      <c r="S1390" s="796"/>
      <c r="T1390" s="797" t="str">
        <f>$Q$1394&amp;C1390&amp;E1390</f>
        <v>FiberMax- 7 (USA)44217</v>
      </c>
      <c r="U1390" s="797"/>
      <c r="V1390" s="797"/>
      <c r="W1390" s="785">
        <f>IFERROR(VLOOKUP($Q1390,'391'!$S:$AG,15,0),0)</f>
        <v>0</v>
      </c>
      <c r="X1390" s="1090">
        <f t="shared" si="838"/>
        <v>0</v>
      </c>
      <c r="Y1390" s="785"/>
      <c r="Z1390" s="785"/>
      <c r="AA1390" s="797"/>
      <c r="AB1390" s="797"/>
      <c r="AC1390" s="551"/>
      <c r="AD1390" s="551"/>
      <c r="AE1390" s="551"/>
      <c r="AF1390" s="551"/>
      <c r="AG1390" s="551"/>
      <c r="AH1390" s="551"/>
      <c r="AI1390" s="704"/>
      <c r="AJ1390" s="704"/>
      <c r="AK1390" s="704"/>
      <c r="AL1390" s="704"/>
      <c r="AM1390" s="704"/>
      <c r="AN1390" s="704"/>
      <c r="AO1390" s="704"/>
      <c r="AP1390" s="704"/>
      <c r="AQ1390" s="704"/>
      <c r="AR1390" s="704"/>
      <c r="AS1390" s="704"/>
    </row>
    <row r="1391" spans="1:45" s="265" customFormat="1" ht="30" hidden="1" customHeight="1" x14ac:dyDescent="0.25">
      <c r="A1391" s="2084"/>
      <c r="B1391" s="2076"/>
      <c r="C1391" s="574"/>
      <c r="D1391" s="881" t="s">
        <v>10</v>
      </c>
      <c r="E1391" s="882">
        <v>44217</v>
      </c>
      <c r="F1391" s="71">
        <f>$L$7-E1391</f>
        <v>2069</v>
      </c>
      <c r="G1391" s="64">
        <v>0</v>
      </c>
      <c r="H1391" s="64"/>
      <c r="I1391" s="64"/>
      <c r="J1391" s="1367"/>
      <c r="K1391" s="64">
        <f>IFERROR(SUMIF(INTAKE!$A:$A,$T1391,INTAKE!$P:$P),0)</f>
        <v>0</v>
      </c>
      <c r="L1391" s="1533">
        <f t="shared" si="844"/>
        <v>0</v>
      </c>
      <c r="M1391" s="48"/>
      <c r="N1391" s="163"/>
      <c r="O1391" s="48"/>
      <c r="P1391" s="750"/>
      <c r="Q1391" s="795"/>
      <c r="R1391" s="785">
        <f>IFERROR(VLOOKUP($Q1391,'391'!$S:$Z,8,0),"")</f>
        <v>0</v>
      </c>
      <c r="S1391" s="796"/>
      <c r="T1391" s="797" t="str">
        <f>$Q$1394&amp;C1391&amp;E1391</f>
        <v>FiberMax- 7 (USA)44217</v>
      </c>
      <c r="U1391" s="797"/>
      <c r="V1391" s="797"/>
      <c r="W1391" s="785">
        <f>IFERROR(VLOOKUP($Q1391,'391'!$S:$AG,15,0),0)</f>
        <v>0</v>
      </c>
      <c r="X1391" s="1090">
        <f t="shared" si="838"/>
        <v>0</v>
      </c>
      <c r="Y1391" s="785"/>
      <c r="Z1391" s="785"/>
      <c r="AA1391" s="797"/>
      <c r="AB1391" s="797"/>
      <c r="AC1391" s="551"/>
      <c r="AD1391" s="551"/>
      <c r="AE1391" s="551"/>
      <c r="AF1391" s="551"/>
      <c r="AG1391" s="551"/>
      <c r="AH1391" s="551"/>
      <c r="AI1391" s="704"/>
      <c r="AJ1391" s="704"/>
      <c r="AK1391" s="704"/>
      <c r="AL1391" s="704"/>
      <c r="AM1391" s="704"/>
      <c r="AN1391" s="704"/>
      <c r="AO1391" s="704"/>
      <c r="AP1391" s="704"/>
      <c r="AQ1391" s="704"/>
      <c r="AR1391" s="704"/>
      <c r="AS1391" s="704"/>
    </row>
    <row r="1392" spans="1:45" s="265" customFormat="1" ht="30" hidden="1" customHeight="1" x14ac:dyDescent="0.25">
      <c r="A1392" s="2084"/>
      <c r="B1392" s="2076"/>
      <c r="C1392" s="574"/>
      <c r="D1392" s="881" t="s">
        <v>10</v>
      </c>
      <c r="E1392" s="882">
        <v>44217</v>
      </c>
      <c r="F1392" s="71">
        <f>$L$7-E1392</f>
        <v>2069</v>
      </c>
      <c r="G1392" s="64">
        <v>0</v>
      </c>
      <c r="H1392" s="64"/>
      <c r="I1392" s="64"/>
      <c r="J1392" s="1367"/>
      <c r="K1392" s="64">
        <f>IFERROR(SUMIF(INTAKE!$A:$A,$T1392,INTAKE!$P:$P),0)</f>
        <v>0</v>
      </c>
      <c r="L1392" s="1533">
        <f t="shared" si="844"/>
        <v>0</v>
      </c>
      <c r="M1392" s="48"/>
      <c r="N1392" s="163"/>
      <c r="O1392" s="48"/>
      <c r="P1392" s="750"/>
      <c r="Q1392" s="795"/>
      <c r="R1392" s="785">
        <f>IFERROR(VLOOKUP($Q1392,'391'!$S:$Z,8,0),"")</f>
        <v>0</v>
      </c>
      <c r="S1392" s="796"/>
      <c r="T1392" s="797" t="str">
        <f>$Q$1394&amp;C1392&amp;E1392</f>
        <v>FiberMax- 7 (USA)44217</v>
      </c>
      <c r="U1392" s="797"/>
      <c r="V1392" s="797"/>
      <c r="W1392" s="785">
        <f>IFERROR(VLOOKUP($Q1392,'391'!$S:$AG,15,0),0)</f>
        <v>0</v>
      </c>
      <c r="X1392" s="1090">
        <f t="shared" si="838"/>
        <v>0</v>
      </c>
      <c r="Y1392" s="785"/>
      <c r="Z1392" s="785"/>
      <c r="AA1392" s="797"/>
      <c r="AB1392" s="797"/>
      <c r="AC1392" s="551"/>
      <c r="AD1392" s="551"/>
      <c r="AE1392" s="551"/>
      <c r="AF1392" s="551"/>
      <c r="AG1392" s="551"/>
      <c r="AH1392" s="551"/>
      <c r="AI1392" s="704"/>
      <c r="AJ1392" s="704"/>
      <c r="AK1392" s="704"/>
      <c r="AL1392" s="704"/>
      <c r="AM1392" s="704"/>
      <c r="AN1392" s="704"/>
      <c r="AO1392" s="704"/>
      <c r="AP1392" s="704"/>
      <c r="AQ1392" s="704"/>
      <c r="AR1392" s="704"/>
      <c r="AS1392" s="704"/>
    </row>
    <row r="1393" spans="1:45" s="265" customFormat="1" ht="30" hidden="1" customHeight="1" x14ac:dyDescent="0.25">
      <c r="A1393" s="2085"/>
      <c r="B1393" s="2068"/>
      <c r="C1393" s="138" t="s">
        <v>76</v>
      </c>
      <c r="D1393" s="884" t="s">
        <v>10</v>
      </c>
      <c r="E1393" s="885">
        <v>44553</v>
      </c>
      <c r="F1393" s="293">
        <f>$L$7-E1393</f>
        <v>1733</v>
      </c>
      <c r="G1393" s="1214">
        <v>0</v>
      </c>
      <c r="H1393" s="37"/>
      <c r="I1393" s="37">
        <f>+K1390+K1389</f>
        <v>0</v>
      </c>
      <c r="J1393" s="1385">
        <f>usage!I184</f>
        <v>0</v>
      </c>
      <c r="K1393" s="64">
        <f>IFERROR(SUMIF(INTAKE!$A:$A,$T1393,INTAKE!$P:$P),0)</f>
        <v>0</v>
      </c>
      <c r="L1393" s="1533">
        <f t="shared" si="844"/>
        <v>0</v>
      </c>
      <c r="M1393" s="35"/>
      <c r="N1393" s="920"/>
      <c r="O1393" s="35"/>
      <c r="P1393" s="1013"/>
      <c r="Q1393" s="795"/>
      <c r="R1393" s="785">
        <f>IFERROR(VLOOKUP($Q1393,'391'!$S:$Z,8,0),"")</f>
        <v>0</v>
      </c>
      <c r="S1393" s="796"/>
      <c r="T1393" s="797" t="str">
        <f>$Q$1394&amp;C1393&amp;E1393</f>
        <v>FiberMax- 7 (USA)Feedmil44553</v>
      </c>
      <c r="U1393" s="797"/>
      <c r="V1393" s="797"/>
      <c r="W1393" s="785">
        <f>IFERROR(VLOOKUP($Q1393,'391'!$S:$AG,15,0),0)</f>
        <v>0</v>
      </c>
      <c r="X1393" s="1090">
        <f t="shared" si="838"/>
        <v>0</v>
      </c>
      <c r="Y1393" s="785"/>
      <c r="Z1393" s="785"/>
      <c r="AA1393" s="797"/>
      <c r="AB1393" s="797"/>
      <c r="AC1393" s="551"/>
      <c r="AD1393" s="551"/>
      <c r="AE1393" s="551"/>
      <c r="AF1393" s="551"/>
      <c r="AG1393" s="551"/>
      <c r="AH1393" s="551"/>
      <c r="AI1393" s="704"/>
      <c r="AJ1393" s="704"/>
      <c r="AK1393" s="704"/>
      <c r="AL1393" s="704"/>
      <c r="AM1393" s="704"/>
      <c r="AN1393" s="704"/>
      <c r="AO1393" s="704"/>
      <c r="AP1393" s="704"/>
      <c r="AQ1393" s="704"/>
      <c r="AR1393" s="704"/>
      <c r="AS1393" s="704"/>
    </row>
    <row r="1394" spans="1:45" s="265" customFormat="1" ht="30" hidden="1" customHeight="1" x14ac:dyDescent="0.25">
      <c r="A1394" s="184"/>
      <c r="B1394" s="184" t="s">
        <v>1116</v>
      </c>
      <c r="C1394" s="575"/>
      <c r="D1394" s="900"/>
      <c r="E1394" s="901"/>
      <c r="F1394" s="902"/>
      <c r="G1394" s="1337">
        <v>0</v>
      </c>
      <c r="H1394" s="1337">
        <f>+SUM(H1389:H1393)</f>
        <v>0</v>
      </c>
      <c r="I1394" s="1337">
        <f t="shared" ref="I1394:K1394" si="856">+SUM(I1389:I1393)</f>
        <v>0</v>
      </c>
      <c r="J1394" s="1337">
        <f t="shared" si="856"/>
        <v>0</v>
      </c>
      <c r="K1394" s="1337">
        <f t="shared" si="856"/>
        <v>0</v>
      </c>
      <c r="L1394" s="1533">
        <f t="shared" si="844"/>
        <v>0</v>
      </c>
      <c r="M1394" s="59" t="str">
        <f>IFERROR(R1394/$S$2,"")</f>
        <v/>
      </c>
      <c r="N1394" s="366">
        <f>IFERROR(L1394/M1394,0)</f>
        <v>0</v>
      </c>
      <c r="O1394" s="59">
        <f>IFERROR(SUMIF(ETM!$A:$A,$Q1394,ETM!$E:$E),"")</f>
        <v>0</v>
      </c>
      <c r="P1394" s="880">
        <f>IFERROR(L1394/O1394,0)</f>
        <v>0</v>
      </c>
      <c r="Q1394" s="795" t="s">
        <v>1115</v>
      </c>
      <c r="R1394" s="785" t="str">
        <f>IFERROR(VLOOKUP($Q1394,'391'!$S:$Z,8,0),"")</f>
        <v/>
      </c>
      <c r="S1394" s="796"/>
      <c r="T1394" s="797"/>
      <c r="U1394" s="797"/>
      <c r="V1394" s="797"/>
      <c r="W1394" s="785">
        <f>IFERROR(VLOOKUP($Q1394,'391'!$S:$AG,15,0),0)</f>
        <v>0</v>
      </c>
      <c r="X1394" s="1090">
        <f t="shared" si="838"/>
        <v>0</v>
      </c>
      <c r="Y1394" s="785"/>
      <c r="Z1394" s="785"/>
      <c r="AA1394" s="797"/>
      <c r="AB1394" s="797"/>
      <c r="AC1394" s="683"/>
      <c r="AD1394" s="551"/>
      <c r="AE1394" s="551"/>
      <c r="AF1394" s="551"/>
      <c r="AG1394" s="551"/>
      <c r="AH1394" s="551"/>
      <c r="AI1394" s="704"/>
      <c r="AJ1394" s="704"/>
      <c r="AK1394" s="704"/>
      <c r="AL1394" s="704"/>
      <c r="AM1394" s="704"/>
      <c r="AN1394" s="704"/>
      <c r="AO1394" s="704"/>
      <c r="AP1394" s="704"/>
      <c r="AQ1394" s="704"/>
      <c r="AR1394" s="704"/>
      <c r="AS1394" s="704"/>
    </row>
    <row r="1395" spans="1:45" s="265" customFormat="1" ht="30" hidden="1" customHeight="1" x14ac:dyDescent="0.25">
      <c r="A1395" s="2083">
        <f>IF(L1399=0,"",MAX($A$16:A1380)+1)</f>
        <v>93</v>
      </c>
      <c r="B1395" s="2075" t="s">
        <v>1111</v>
      </c>
      <c r="C1395" s="574"/>
      <c r="D1395" s="881" t="s">
        <v>10</v>
      </c>
      <c r="E1395" s="882">
        <v>46050</v>
      </c>
      <c r="F1395" s="71">
        <f>$L$7-E1395</f>
        <v>236</v>
      </c>
      <c r="G1395" s="64">
        <v>0</v>
      </c>
      <c r="H1395" s="64"/>
      <c r="I1395" s="64"/>
      <c r="J1395" s="1367"/>
      <c r="K1395" s="64">
        <f>IFERROR(SUMIF(INTAKE!$A:$A,$T1395,INTAKE!$P:$P),0)</f>
        <v>0</v>
      </c>
      <c r="L1395" s="1702">
        <f t="shared" si="844"/>
        <v>0</v>
      </c>
      <c r="M1395" s="102"/>
      <c r="N1395" s="103"/>
      <c r="O1395" s="102"/>
      <c r="P1395" s="739"/>
      <c r="Q1395" s="795"/>
      <c r="R1395" s="785">
        <f>IFERROR(VLOOKUP($Q1395,'391'!$S:$Z,8,0),"")</f>
        <v>0</v>
      </c>
      <c r="S1395" s="796"/>
      <c r="T1395" s="797" t="str">
        <f>$Q$1399&amp;C1395&amp;E1395</f>
        <v>TARTRAZINE 50% content (India)46050</v>
      </c>
      <c r="U1395" s="797"/>
      <c r="V1395" s="797"/>
      <c r="W1395" s="785">
        <f>IFERROR(VLOOKUP($Q1395,'391'!$S:$AG,15,0),0)</f>
        <v>0</v>
      </c>
      <c r="X1395" s="1090">
        <f t="shared" si="838"/>
        <v>0</v>
      </c>
      <c r="Y1395" s="785"/>
      <c r="Z1395" s="785"/>
      <c r="AA1395" s="797"/>
      <c r="AB1395" s="797"/>
      <c r="AC1395" s="551"/>
      <c r="AD1395" s="551"/>
      <c r="AE1395" s="551"/>
      <c r="AF1395" s="551"/>
      <c r="AG1395" s="551"/>
      <c r="AH1395" s="551"/>
      <c r="AI1395" s="704"/>
      <c r="AJ1395" s="704"/>
      <c r="AK1395" s="704"/>
      <c r="AL1395" s="704"/>
      <c r="AM1395" s="704"/>
      <c r="AN1395" s="704"/>
      <c r="AO1395" s="704"/>
      <c r="AP1395" s="704"/>
      <c r="AQ1395" s="704"/>
      <c r="AR1395" s="704"/>
      <c r="AS1395" s="704"/>
    </row>
    <row r="1396" spans="1:45" s="265" customFormat="1" ht="30" customHeight="1" x14ac:dyDescent="0.25">
      <c r="A1396" s="2121"/>
      <c r="B1396" s="2082"/>
      <c r="C1396" s="574" t="s">
        <v>1582</v>
      </c>
      <c r="D1396" s="881" t="s">
        <v>10</v>
      </c>
      <c r="E1396" s="882">
        <v>46260</v>
      </c>
      <c r="F1396" s="71">
        <f>$L$7-E1396</f>
        <v>26</v>
      </c>
      <c r="G1396" s="64">
        <v>350</v>
      </c>
      <c r="H1396" s="64"/>
      <c r="I1396" s="64"/>
      <c r="J1396" s="1367"/>
      <c r="K1396" s="64">
        <f>IFERROR(SUMIF(INTAKE!$A:$A,$T1396,INTAKE!$P:$P),0)</f>
        <v>25</v>
      </c>
      <c r="L1396" s="1702">
        <f t="shared" si="844"/>
        <v>325</v>
      </c>
      <c r="M1396" s="102"/>
      <c r="N1396" s="103"/>
      <c r="O1396" s="102"/>
      <c r="P1396" s="739"/>
      <c r="Q1396" s="795"/>
      <c r="R1396" s="785">
        <f>IFERROR(VLOOKUP($Q1396,'391'!$S:$Z,8,0),"")</f>
        <v>0</v>
      </c>
      <c r="S1396" s="796"/>
      <c r="T1396" s="797" t="str">
        <f>$Q$1399&amp;C1396&amp;E1396</f>
        <v>TARTRAZINE 50% content (India)V1.146260</v>
      </c>
      <c r="U1396" s="797"/>
      <c r="V1396" s="797"/>
      <c r="W1396" s="785">
        <f>IFERROR(VLOOKUP($Q1396,'391'!$S:$AG,15,0),0)</f>
        <v>0</v>
      </c>
      <c r="X1396" s="1090">
        <f t="shared" si="838"/>
        <v>350</v>
      </c>
      <c r="Y1396" s="785"/>
      <c r="Z1396" s="785"/>
      <c r="AA1396" s="797"/>
      <c r="AB1396" s="797"/>
      <c r="AC1396" s="551"/>
      <c r="AD1396" s="551"/>
      <c r="AE1396" s="551"/>
      <c r="AF1396" s="551"/>
      <c r="AG1396" s="551"/>
      <c r="AH1396" s="551"/>
      <c r="AI1396" s="704"/>
      <c r="AJ1396" s="704"/>
      <c r="AK1396" s="704"/>
      <c r="AL1396" s="704"/>
      <c r="AM1396" s="704"/>
      <c r="AN1396" s="704"/>
      <c r="AO1396" s="704"/>
      <c r="AP1396" s="704"/>
      <c r="AQ1396" s="704"/>
      <c r="AR1396" s="704"/>
      <c r="AS1396" s="704"/>
    </row>
    <row r="1397" spans="1:45" s="265" customFormat="1" ht="30" hidden="1" customHeight="1" x14ac:dyDescent="0.25">
      <c r="A1397" s="2084"/>
      <c r="B1397" s="2076"/>
      <c r="C1397" s="574"/>
      <c r="D1397" s="881" t="s">
        <v>10</v>
      </c>
      <c r="E1397" s="882">
        <v>46260</v>
      </c>
      <c r="F1397" s="71">
        <f>$L$7-E1397</f>
        <v>26</v>
      </c>
      <c r="G1397" s="64">
        <v>0</v>
      </c>
      <c r="H1397" s="64"/>
      <c r="I1397" s="64"/>
      <c r="J1397" s="1367"/>
      <c r="K1397" s="64">
        <f>IFERROR(SUMIF(INTAKE!$A:$A,$T1397,INTAKE!$P:$P),0)</f>
        <v>0</v>
      </c>
      <c r="L1397" s="1702">
        <f t="shared" si="844"/>
        <v>0</v>
      </c>
      <c r="M1397" s="102"/>
      <c r="N1397" s="103"/>
      <c r="O1397" s="102"/>
      <c r="P1397" s="739"/>
      <c r="Q1397" s="795"/>
      <c r="R1397" s="785">
        <f>IFERROR(VLOOKUP($Q1397,'391'!$S:$Z,8,0),"")</f>
        <v>0</v>
      </c>
      <c r="S1397" s="796"/>
      <c r="T1397" s="797" t="str">
        <f>$Q$1399&amp;C1397&amp;E1397</f>
        <v>TARTRAZINE 50% content (India)46260</v>
      </c>
      <c r="U1397" s="797"/>
      <c r="V1397" s="797"/>
      <c r="W1397" s="785">
        <f>IFERROR(VLOOKUP($Q1397,'391'!$S:$AG,15,0),0)</f>
        <v>0</v>
      </c>
      <c r="X1397" s="1090">
        <f t="shared" si="838"/>
        <v>0</v>
      </c>
      <c r="Y1397" s="785"/>
      <c r="Z1397" s="785"/>
      <c r="AA1397" s="797"/>
      <c r="AB1397" s="797"/>
      <c r="AC1397" s="551"/>
      <c r="AD1397" s="551"/>
      <c r="AE1397" s="551"/>
      <c r="AF1397" s="551"/>
      <c r="AG1397" s="551"/>
      <c r="AH1397" s="551"/>
      <c r="AI1397" s="704"/>
      <c r="AJ1397" s="704"/>
      <c r="AK1397" s="704"/>
      <c r="AL1397" s="704"/>
      <c r="AM1397" s="704"/>
      <c r="AN1397" s="704"/>
      <c r="AO1397" s="704"/>
      <c r="AP1397" s="704"/>
      <c r="AQ1397" s="704"/>
      <c r="AR1397" s="704"/>
      <c r="AS1397" s="704"/>
    </row>
    <row r="1398" spans="1:45" s="265" customFormat="1" ht="30" customHeight="1" x14ac:dyDescent="0.25">
      <c r="A1398" s="2085"/>
      <c r="B1398" s="2068"/>
      <c r="C1398" s="108" t="s">
        <v>46</v>
      </c>
      <c r="D1398" s="884" t="s">
        <v>10</v>
      </c>
      <c r="E1398" s="885">
        <v>46260</v>
      </c>
      <c r="F1398" s="293">
        <f>$L$7-E1398</f>
        <v>26</v>
      </c>
      <c r="G1398" s="1214">
        <v>73.680000000000007</v>
      </c>
      <c r="H1398" s="37"/>
      <c r="I1398" s="37">
        <f>+K1397+K1395+K1396</f>
        <v>25</v>
      </c>
      <c r="J1398" s="1385">
        <f>usage!I171</f>
        <v>69.819999999999993</v>
      </c>
      <c r="K1398" s="64">
        <f>IFERROR(SUMIF(INTAKE!$A:$A,$T1398,INTAKE!$P:$P),0)</f>
        <v>0</v>
      </c>
      <c r="L1398" s="1533">
        <f t="shared" si="844"/>
        <v>28.860000000000014</v>
      </c>
      <c r="M1398" s="98"/>
      <c r="N1398" s="1473"/>
      <c r="O1398" s="98"/>
      <c r="P1398" s="759"/>
      <c r="Q1398" s="795"/>
      <c r="R1398" s="785">
        <f>IFERROR(VLOOKUP($Q1398,'391'!$S:$Z,8,0),"")</f>
        <v>0</v>
      </c>
      <c r="S1398" s="796"/>
      <c r="T1398" s="797" t="str">
        <f>$Q$1399&amp;C1398&amp;E1398</f>
        <v>TARTRAZINE 50% content (India)Feedmill46260</v>
      </c>
      <c r="U1398" s="797"/>
      <c r="V1398" s="797"/>
      <c r="W1398" s="785">
        <f>IFERROR(VLOOKUP($Q1398,'391'!$S:$AG,15,0),0)</f>
        <v>0</v>
      </c>
      <c r="X1398" s="1090">
        <f t="shared" si="838"/>
        <v>73.680000000000007</v>
      </c>
      <c r="Y1398" s="785"/>
      <c r="Z1398" s="785"/>
      <c r="AA1398" s="797"/>
      <c r="AB1398" s="797"/>
      <c r="AC1398" s="551"/>
      <c r="AD1398" s="551"/>
      <c r="AE1398" s="551"/>
      <c r="AF1398" s="551"/>
      <c r="AG1398" s="551"/>
      <c r="AH1398" s="551"/>
      <c r="AI1398" s="704"/>
      <c r="AJ1398" s="704"/>
      <c r="AK1398" s="704"/>
      <c r="AL1398" s="704"/>
      <c r="AM1398" s="704"/>
      <c r="AN1398" s="704"/>
      <c r="AO1398" s="704"/>
      <c r="AP1398" s="704"/>
      <c r="AQ1398" s="704"/>
      <c r="AR1398" s="704"/>
      <c r="AS1398" s="704"/>
    </row>
    <row r="1399" spans="1:45" s="265" customFormat="1" ht="30" customHeight="1" x14ac:dyDescent="0.25">
      <c r="A1399" s="184"/>
      <c r="B1399" s="184" t="s">
        <v>1110</v>
      </c>
      <c r="C1399" s="575"/>
      <c r="D1399" s="900"/>
      <c r="E1399" s="901"/>
      <c r="F1399" s="902"/>
      <c r="G1399" s="1297">
        <v>423.68</v>
      </c>
      <c r="H1399" s="1297">
        <f>+SUM(H1395:H1398)</f>
        <v>0</v>
      </c>
      <c r="I1399" s="1297">
        <f>+SUM(I1395:I1398)</f>
        <v>25</v>
      </c>
      <c r="J1399" s="1297">
        <f t="shared" ref="J1399:L1399" si="857">+SUM(J1395:J1398)</f>
        <v>69.819999999999993</v>
      </c>
      <c r="K1399" s="1297">
        <f t="shared" si="857"/>
        <v>25</v>
      </c>
      <c r="L1399" s="1297">
        <f t="shared" si="857"/>
        <v>353.86</v>
      </c>
      <c r="M1399" s="59">
        <f>IFERROR(R1399/$S$2,"")</f>
        <v>14.14</v>
      </c>
      <c r="N1399" s="99">
        <f>IFERROR(L1399/M1399,0)</f>
        <v>25.025459688826025</v>
      </c>
      <c r="O1399" s="59">
        <f>IFERROR(SUMIF(ETM!$A:$A,$Q1399,ETM!$E:$E),"")</f>
        <v>17.833333333333332</v>
      </c>
      <c r="P1399" s="741">
        <f>IFERROR(L1399/O1399,0)</f>
        <v>19.842616822429907</v>
      </c>
      <c r="Q1399" s="809" t="s">
        <v>1111</v>
      </c>
      <c r="R1399" s="785">
        <f>IFERROR(VLOOKUP($Q1399,'391'!$S:$Z,8,0),"")</f>
        <v>84.84</v>
      </c>
      <c r="S1399" s="796"/>
      <c r="T1399" s="797"/>
      <c r="U1399" s="797"/>
      <c r="V1399" s="797"/>
      <c r="W1399" s="785">
        <f>IFERROR(VLOOKUP($Q1399,'391'!$S:$AG,15,0),0)</f>
        <v>423.68</v>
      </c>
      <c r="X1399" s="1090">
        <f t="shared" si="838"/>
        <v>0</v>
      </c>
      <c r="Y1399" s="785"/>
      <c r="Z1399" s="785"/>
      <c r="AA1399" s="797"/>
      <c r="AB1399" s="797"/>
      <c r="AC1399" s="683"/>
      <c r="AD1399" s="551"/>
      <c r="AE1399" s="551"/>
      <c r="AF1399" s="551"/>
      <c r="AG1399" s="551"/>
      <c r="AH1399" s="551"/>
      <c r="AI1399" s="704"/>
      <c r="AJ1399" s="704"/>
      <c r="AK1399" s="704"/>
      <c r="AL1399" s="704"/>
      <c r="AM1399" s="704"/>
      <c r="AN1399" s="704"/>
      <c r="AO1399" s="704"/>
      <c r="AP1399" s="704"/>
      <c r="AQ1399" s="704"/>
      <c r="AR1399" s="704"/>
      <c r="AS1399" s="704"/>
    </row>
    <row r="1400" spans="1:45" s="265" customFormat="1" ht="30" hidden="1" customHeight="1" x14ac:dyDescent="0.25">
      <c r="A1400" s="2083" t="str">
        <f>IF(L1403=0,"",MAX($A$16:A1384)+1)</f>
        <v/>
      </c>
      <c r="B1400" s="2075" t="s">
        <v>1125</v>
      </c>
      <c r="C1400" s="574"/>
      <c r="D1400" s="881" t="s">
        <v>10</v>
      </c>
      <c r="E1400" s="882">
        <v>44571</v>
      </c>
      <c r="F1400" s="71">
        <f>$L$7-E1400</f>
        <v>1715</v>
      </c>
      <c r="G1400" s="64">
        <v>0</v>
      </c>
      <c r="H1400" s="64"/>
      <c r="I1400" s="64"/>
      <c r="J1400" s="1367"/>
      <c r="K1400" s="64">
        <f>IFERROR(SUMIF(INTAKE!$A:$A,$T1400,INTAKE!$P:$P),0)</f>
        <v>0</v>
      </c>
      <c r="L1400" s="1533">
        <f t="shared" ref="L1400:L1426" si="858">+G1400+H1400+I1400-J1400-K1400</f>
        <v>0</v>
      </c>
      <c r="M1400" s="102"/>
      <c r="N1400" s="103"/>
      <c r="O1400" s="102"/>
      <c r="P1400" s="739"/>
      <c r="Q1400" s="795"/>
      <c r="R1400" s="785">
        <f>IFERROR(VLOOKUP($Q1400,'391'!$S:$Z,8,0),"")</f>
        <v>0</v>
      </c>
      <c r="S1400" s="796"/>
      <c r="T1400" s="797" t="str">
        <f>$Q$1403&amp;C1400&amp;E1400</f>
        <v>BPS Plus (France)44571</v>
      </c>
      <c r="U1400" s="797"/>
      <c r="V1400" s="797"/>
      <c r="W1400" s="785">
        <f>IFERROR(VLOOKUP($Q1400,'391'!$S:$AG,15,0),0)</f>
        <v>0</v>
      </c>
      <c r="X1400" s="1090">
        <f t="shared" si="838"/>
        <v>0</v>
      </c>
      <c r="Y1400" s="785"/>
      <c r="Z1400" s="785"/>
      <c r="AA1400" s="797"/>
      <c r="AB1400" s="797"/>
      <c r="AC1400" s="551"/>
      <c r="AD1400" s="551"/>
      <c r="AE1400" s="551"/>
      <c r="AF1400" s="551"/>
      <c r="AG1400" s="551"/>
      <c r="AH1400" s="551"/>
      <c r="AI1400" s="704"/>
      <c r="AJ1400" s="704"/>
      <c r="AK1400" s="704"/>
      <c r="AL1400" s="704"/>
      <c r="AM1400" s="704"/>
      <c r="AN1400" s="704"/>
      <c r="AO1400" s="704"/>
      <c r="AP1400" s="704"/>
      <c r="AQ1400" s="704"/>
      <c r="AR1400" s="704"/>
      <c r="AS1400" s="704"/>
    </row>
    <row r="1401" spans="1:45" s="265" customFormat="1" ht="30" hidden="1" customHeight="1" x14ac:dyDescent="0.25">
      <c r="A1401" s="2084"/>
      <c r="B1401" s="2076"/>
      <c r="C1401" s="574" t="s">
        <v>248</v>
      </c>
      <c r="D1401" s="881" t="s">
        <v>10</v>
      </c>
      <c r="E1401" s="882">
        <v>44566</v>
      </c>
      <c r="F1401" s="71">
        <f>$L$7-E1401</f>
        <v>1720</v>
      </c>
      <c r="G1401" s="64">
        <v>0</v>
      </c>
      <c r="H1401" s="64"/>
      <c r="I1401" s="64"/>
      <c r="J1401" s="1367"/>
      <c r="K1401" s="64">
        <f>IFERROR(SUMIF(INTAKE!$A:$A,$T1401,INTAKE!$P:$P),0)</f>
        <v>0</v>
      </c>
      <c r="L1401" s="1533">
        <f t="shared" si="858"/>
        <v>0</v>
      </c>
      <c r="M1401" s="102"/>
      <c r="N1401" s="103"/>
      <c r="O1401" s="102"/>
      <c r="P1401" s="739"/>
      <c r="Q1401" s="795"/>
      <c r="R1401" s="785">
        <f>IFERROR(VLOOKUP($Q1401,'391'!$S:$Z,8,0),"")</f>
        <v>0</v>
      </c>
      <c r="S1401" s="796"/>
      <c r="T1401" s="797" t="str">
        <f>$Q$1403&amp;C1401&amp;E1401</f>
        <v>BPS Plus (France)Y4.144566</v>
      </c>
      <c r="U1401" s="797"/>
      <c r="V1401" s="797"/>
      <c r="W1401" s="785">
        <f>IFERROR(VLOOKUP($Q1401,'391'!$S:$AG,15,0),0)</f>
        <v>0</v>
      </c>
      <c r="X1401" s="1090">
        <f t="shared" si="838"/>
        <v>0</v>
      </c>
      <c r="Y1401" s="785"/>
      <c r="Z1401" s="785"/>
      <c r="AA1401" s="797"/>
      <c r="AB1401" s="797"/>
      <c r="AC1401" s="551"/>
      <c r="AD1401" s="551"/>
      <c r="AE1401" s="551"/>
      <c r="AF1401" s="551"/>
      <c r="AG1401" s="551"/>
      <c r="AH1401" s="551"/>
      <c r="AI1401" s="704"/>
      <c r="AJ1401" s="704"/>
      <c r="AK1401" s="704"/>
      <c r="AL1401" s="704"/>
      <c r="AM1401" s="704"/>
      <c r="AN1401" s="704"/>
      <c r="AO1401" s="704"/>
      <c r="AP1401" s="704"/>
      <c r="AQ1401" s="704"/>
      <c r="AR1401" s="704"/>
      <c r="AS1401" s="704"/>
    </row>
    <row r="1402" spans="1:45" s="265" customFormat="1" ht="30" hidden="1" customHeight="1" x14ac:dyDescent="0.25">
      <c r="A1402" s="2085"/>
      <c r="B1402" s="2068"/>
      <c r="C1402" s="138" t="s">
        <v>76</v>
      </c>
      <c r="D1402" s="884" t="s">
        <v>10</v>
      </c>
      <c r="E1402" s="885">
        <v>44571</v>
      </c>
      <c r="F1402" s="293">
        <f>$L$7-E1402</f>
        <v>1715</v>
      </c>
      <c r="G1402" s="1214">
        <v>0</v>
      </c>
      <c r="H1402" s="37"/>
      <c r="I1402" s="37">
        <f>+K1401+K1400</f>
        <v>0</v>
      </c>
      <c r="J1402" s="1385">
        <f>usage!I173</f>
        <v>0</v>
      </c>
      <c r="K1402" s="64">
        <f>IFERROR(SUMIF(INTAKE!$A:$A,$T1402,INTAKE!$P:$P),0)</f>
        <v>0</v>
      </c>
      <c r="L1402" s="1533">
        <f t="shared" si="858"/>
        <v>0</v>
      </c>
      <c r="M1402" s="98"/>
      <c r="N1402" s="1473"/>
      <c r="O1402" s="98"/>
      <c r="P1402" s="759"/>
      <c r="Q1402" s="795"/>
      <c r="R1402" s="785">
        <f>IFERROR(VLOOKUP($Q1402,'391'!$S:$Z,8,0),"")</f>
        <v>0</v>
      </c>
      <c r="S1402" s="796"/>
      <c r="T1402" s="797" t="str">
        <f>$Q$1403&amp;C1402&amp;E1402</f>
        <v>BPS Plus (France)Feedmil44571</v>
      </c>
      <c r="U1402" s="797"/>
      <c r="V1402" s="797"/>
      <c r="W1402" s="785">
        <f>IFERROR(VLOOKUP($Q1402,'391'!$S:$AG,15,0),0)</f>
        <v>0</v>
      </c>
      <c r="X1402" s="1090">
        <f t="shared" si="838"/>
        <v>0</v>
      </c>
      <c r="Y1402" s="785"/>
      <c r="Z1402" s="785"/>
      <c r="AA1402" s="797"/>
      <c r="AB1402" s="797"/>
      <c r="AC1402" s="551"/>
      <c r="AD1402" s="551"/>
      <c r="AE1402" s="551"/>
      <c r="AF1402" s="551"/>
      <c r="AG1402" s="551"/>
      <c r="AH1402" s="551"/>
      <c r="AI1402" s="704"/>
      <c r="AJ1402" s="704"/>
      <c r="AK1402" s="704"/>
      <c r="AL1402" s="704"/>
      <c r="AM1402" s="704"/>
      <c r="AN1402" s="704"/>
      <c r="AO1402" s="704"/>
      <c r="AP1402" s="704"/>
      <c r="AQ1402" s="704"/>
      <c r="AR1402" s="704"/>
      <c r="AS1402" s="704"/>
    </row>
    <row r="1403" spans="1:45" s="265" customFormat="1" ht="30" hidden="1" customHeight="1" x14ac:dyDescent="0.25">
      <c r="A1403" s="184"/>
      <c r="B1403" s="184" t="s">
        <v>1126</v>
      </c>
      <c r="C1403" s="575"/>
      <c r="D1403" s="900"/>
      <c r="E1403" s="901"/>
      <c r="F1403" s="902"/>
      <c r="G1403" s="1297">
        <v>0</v>
      </c>
      <c r="H1403" s="1297">
        <f>+SUM(H1400:H1402)</f>
        <v>0</v>
      </c>
      <c r="I1403" s="1297">
        <f t="shared" ref="I1403:K1403" si="859">+SUM(I1400:I1402)</f>
        <v>0</v>
      </c>
      <c r="J1403" s="1297">
        <f t="shared" si="859"/>
        <v>0</v>
      </c>
      <c r="K1403" s="1297">
        <f t="shared" si="859"/>
        <v>0</v>
      </c>
      <c r="L1403" s="1533">
        <f t="shared" si="858"/>
        <v>0</v>
      </c>
      <c r="M1403" s="59" t="str">
        <f>IFERROR(R1403/$S$2,"")</f>
        <v/>
      </c>
      <c r="N1403" s="99">
        <f>IFERROR(L1403/M1403,0)</f>
        <v>0</v>
      </c>
      <c r="O1403" s="59">
        <f>IFERROR(SUMIF(ETM!$A:$A,$Q1403,ETM!$E:$E),"")</f>
        <v>0</v>
      </c>
      <c r="P1403" s="741">
        <f>IFERROR(L1403/O1403,0)</f>
        <v>0</v>
      </c>
      <c r="Q1403" s="809" t="s">
        <v>1125</v>
      </c>
      <c r="R1403" s="785" t="str">
        <f>IFERROR(VLOOKUP($Q1403,'391'!$S:$Z,8,0),"")</f>
        <v/>
      </c>
      <c r="S1403" s="796"/>
      <c r="T1403" s="797"/>
      <c r="U1403" s="797"/>
      <c r="V1403" s="797"/>
      <c r="W1403" s="785">
        <f>IFERROR(VLOOKUP($Q1403,'391'!$S:$AG,15,0),0)</f>
        <v>0</v>
      </c>
      <c r="X1403" s="1090">
        <f t="shared" si="838"/>
        <v>0</v>
      </c>
      <c r="Y1403" s="785"/>
      <c r="Z1403" s="785"/>
      <c r="AA1403" s="797"/>
      <c r="AB1403" s="797"/>
      <c r="AC1403" s="683"/>
      <c r="AD1403" s="551"/>
      <c r="AE1403" s="551"/>
      <c r="AF1403" s="551"/>
      <c r="AG1403" s="551"/>
      <c r="AH1403" s="551"/>
      <c r="AI1403" s="704"/>
      <c r="AJ1403" s="704"/>
      <c r="AK1403" s="704"/>
      <c r="AL1403" s="704"/>
      <c r="AM1403" s="704"/>
      <c r="AN1403" s="704"/>
      <c r="AO1403" s="704"/>
      <c r="AP1403" s="704"/>
      <c r="AQ1403" s="704"/>
      <c r="AR1403" s="704"/>
      <c r="AS1403" s="704"/>
    </row>
    <row r="1404" spans="1:45" s="265" customFormat="1" ht="30" hidden="1" customHeight="1" x14ac:dyDescent="0.25">
      <c r="A1404" s="2083" t="str">
        <f>IF(L1407=0,"",MAX($A$16:A1403)+1)</f>
        <v/>
      </c>
      <c r="B1404" s="2075" t="s">
        <v>1139</v>
      </c>
      <c r="C1404" s="574" t="s">
        <v>227</v>
      </c>
      <c r="D1404" s="881" t="s">
        <v>10</v>
      </c>
      <c r="E1404" s="882">
        <v>44958</v>
      </c>
      <c r="F1404" s="71">
        <f>$L$7-E1404</f>
        <v>1328</v>
      </c>
      <c r="G1404" s="64">
        <v>0</v>
      </c>
      <c r="H1404" s="64"/>
      <c r="I1404" s="64"/>
      <c r="J1404" s="1367"/>
      <c r="K1404" s="64">
        <f>IFERROR(SUMIF(INTAKE!$A:$A,$T1404,INTAKE!$P:$P),0)</f>
        <v>0</v>
      </c>
      <c r="L1404" s="1533">
        <f t="shared" si="858"/>
        <v>0</v>
      </c>
      <c r="M1404" s="102"/>
      <c r="N1404" s="103"/>
      <c r="O1404" s="102"/>
      <c r="P1404" s="739"/>
      <c r="Q1404" s="795"/>
      <c r="R1404" s="785">
        <f>IFERROR(VLOOKUP($Q1404,'391'!$S:$Z,8,0),"")</f>
        <v>0</v>
      </c>
      <c r="S1404" s="796"/>
      <c r="T1404" s="797" t="str">
        <f>$Q$1407&amp;C1404&amp;E1404</f>
        <v>Glycine (China)V9.144958</v>
      </c>
      <c r="U1404" s="797"/>
      <c r="V1404" s="797"/>
      <c r="W1404" s="785">
        <f>IFERROR(VLOOKUP($Q1404,'391'!$S:$AG,15,0),0)</f>
        <v>0</v>
      </c>
      <c r="X1404" s="1090">
        <f t="shared" si="838"/>
        <v>0</v>
      </c>
      <c r="Y1404" s="785"/>
      <c r="Z1404" s="785"/>
      <c r="AA1404" s="797"/>
      <c r="AB1404" s="797"/>
      <c r="AC1404" s="551"/>
      <c r="AD1404" s="551"/>
      <c r="AE1404" s="551"/>
      <c r="AF1404" s="551"/>
      <c r="AG1404" s="551"/>
      <c r="AH1404" s="551"/>
      <c r="AI1404" s="704"/>
      <c r="AJ1404" s="704"/>
      <c r="AK1404" s="704"/>
      <c r="AL1404" s="704"/>
      <c r="AM1404" s="704"/>
      <c r="AN1404" s="704"/>
      <c r="AO1404" s="704"/>
      <c r="AP1404" s="704"/>
      <c r="AQ1404" s="704"/>
      <c r="AR1404" s="704"/>
      <c r="AS1404" s="704"/>
    </row>
    <row r="1405" spans="1:45" s="265" customFormat="1" ht="30" hidden="1" customHeight="1" x14ac:dyDescent="0.25">
      <c r="A1405" s="2084"/>
      <c r="B1405" s="2076"/>
      <c r="C1405" s="574"/>
      <c r="D1405" s="881" t="s">
        <v>10</v>
      </c>
      <c r="E1405" s="882">
        <v>44958</v>
      </c>
      <c r="F1405" s="71">
        <f>$L$7-E1405</f>
        <v>1328</v>
      </c>
      <c r="G1405" s="64">
        <v>0</v>
      </c>
      <c r="H1405" s="64"/>
      <c r="I1405" s="64"/>
      <c r="J1405" s="1367"/>
      <c r="K1405" s="64">
        <f>IFERROR(SUMIF(INTAKE!$A:$A,$T1405,INTAKE!$P:$P),0)</f>
        <v>0</v>
      </c>
      <c r="L1405" s="1533">
        <f t="shared" si="858"/>
        <v>0</v>
      </c>
      <c r="M1405" s="102"/>
      <c r="N1405" s="103"/>
      <c r="O1405" s="102"/>
      <c r="P1405" s="739"/>
      <c r="Q1405" s="795"/>
      <c r="R1405" s="785">
        <f>IFERROR(VLOOKUP($Q1405,'391'!$S:$Z,8,0),"")</f>
        <v>0</v>
      </c>
      <c r="S1405" s="796"/>
      <c r="T1405" s="797" t="str">
        <f>$Q$1407&amp;C1405&amp;E1405</f>
        <v>Glycine (China)44958</v>
      </c>
      <c r="U1405" s="797"/>
      <c r="V1405" s="797"/>
      <c r="W1405" s="785">
        <f>IFERROR(VLOOKUP($Q1405,'391'!$S:$AG,15,0),0)</f>
        <v>0</v>
      </c>
      <c r="X1405" s="1090">
        <f t="shared" si="838"/>
        <v>0</v>
      </c>
      <c r="Y1405" s="785"/>
      <c r="Z1405" s="785"/>
      <c r="AA1405" s="797"/>
      <c r="AB1405" s="797"/>
      <c r="AC1405" s="551"/>
      <c r="AD1405" s="551"/>
      <c r="AE1405" s="551"/>
      <c r="AF1405" s="551"/>
      <c r="AG1405" s="551"/>
      <c r="AH1405" s="551"/>
      <c r="AI1405" s="704"/>
      <c r="AJ1405" s="704"/>
      <c r="AK1405" s="704"/>
      <c r="AL1405" s="704"/>
      <c r="AM1405" s="704"/>
      <c r="AN1405" s="704"/>
      <c r="AO1405" s="704"/>
      <c r="AP1405" s="704"/>
      <c r="AQ1405" s="704"/>
      <c r="AR1405" s="704"/>
      <c r="AS1405" s="704"/>
    </row>
    <row r="1406" spans="1:45" s="265" customFormat="1" ht="30" hidden="1" customHeight="1" x14ac:dyDescent="0.25">
      <c r="A1406" s="2085"/>
      <c r="B1406" s="2068"/>
      <c r="C1406" s="138" t="s">
        <v>76</v>
      </c>
      <c r="D1406" s="884" t="s">
        <v>10</v>
      </c>
      <c r="E1406" s="885">
        <v>44958</v>
      </c>
      <c r="F1406" s="293">
        <f>$L$7-E1406</f>
        <v>1328</v>
      </c>
      <c r="G1406" s="1214">
        <v>0</v>
      </c>
      <c r="H1406" s="37"/>
      <c r="I1406" s="37">
        <f>+K1405+K1404</f>
        <v>0</v>
      </c>
      <c r="J1406" s="1385">
        <f>usage!I172</f>
        <v>0</v>
      </c>
      <c r="K1406" s="64">
        <f>IFERROR(SUMIF(INTAKE!$A:$A,$T1406,INTAKE!$P:$P),0)</f>
        <v>0</v>
      </c>
      <c r="L1406" s="1533">
        <f t="shared" si="858"/>
        <v>0</v>
      </c>
      <c r="M1406" s="98"/>
      <c r="N1406" s="1473"/>
      <c r="O1406" s="98"/>
      <c r="P1406" s="759"/>
      <c r="Q1406" s="795"/>
      <c r="R1406" s="785">
        <f>IFERROR(VLOOKUP($Q1406,'391'!$S:$Z,8,0),"")</f>
        <v>0</v>
      </c>
      <c r="S1406" s="796"/>
      <c r="T1406" s="797" t="str">
        <f>$Q$1407&amp;C1406&amp;E1406</f>
        <v>Glycine (China)Feedmil44958</v>
      </c>
      <c r="U1406" s="797"/>
      <c r="V1406" s="797"/>
      <c r="W1406" s="785">
        <f>IFERROR(VLOOKUP($Q1406,'391'!$S:$AG,15,0),0)</f>
        <v>0</v>
      </c>
      <c r="X1406" s="1090">
        <f t="shared" si="838"/>
        <v>0</v>
      </c>
      <c r="Y1406" s="785"/>
      <c r="Z1406" s="785"/>
      <c r="AA1406" s="797"/>
      <c r="AB1406" s="797"/>
      <c r="AC1406" s="551"/>
      <c r="AD1406" s="551"/>
      <c r="AE1406" s="551"/>
      <c r="AF1406" s="551"/>
      <c r="AG1406" s="551"/>
      <c r="AH1406" s="551"/>
      <c r="AI1406" s="704"/>
      <c r="AJ1406" s="704"/>
      <c r="AK1406" s="704"/>
      <c r="AL1406" s="704"/>
      <c r="AM1406" s="704"/>
      <c r="AN1406" s="704"/>
      <c r="AO1406" s="704"/>
      <c r="AP1406" s="704"/>
      <c r="AQ1406" s="704"/>
      <c r="AR1406" s="704"/>
      <c r="AS1406" s="704"/>
    </row>
    <row r="1407" spans="1:45" s="265" customFormat="1" ht="30" hidden="1" customHeight="1" x14ac:dyDescent="0.25">
      <c r="A1407" s="184"/>
      <c r="B1407" s="184" t="s">
        <v>1140</v>
      </c>
      <c r="C1407" s="575"/>
      <c r="D1407" s="900"/>
      <c r="E1407" s="901"/>
      <c r="F1407" s="902"/>
      <c r="G1407" s="1297">
        <v>0</v>
      </c>
      <c r="H1407" s="1297">
        <f>+SUM(H1404:H1406)</f>
        <v>0</v>
      </c>
      <c r="I1407" s="1297">
        <f t="shared" ref="I1407:K1407" si="860">+SUM(I1404:I1406)</f>
        <v>0</v>
      </c>
      <c r="J1407" s="1297">
        <f t="shared" si="860"/>
        <v>0</v>
      </c>
      <c r="K1407" s="1297">
        <f t="shared" si="860"/>
        <v>0</v>
      </c>
      <c r="L1407" s="1533">
        <f t="shared" si="858"/>
        <v>0</v>
      </c>
      <c r="M1407" s="59" t="str">
        <f>IFERROR(R1407/$S$2,"")</f>
        <v/>
      </c>
      <c r="N1407" s="99">
        <f>IFERROR(L1407/M1407,0)</f>
        <v>0</v>
      </c>
      <c r="O1407" s="59">
        <f>IFERROR(SUMIF(ETM!$A:$A,$Q1407,ETM!$E:$E),"")</f>
        <v>0</v>
      </c>
      <c r="P1407" s="741">
        <f>IFERROR(L1407/O1407,0)</f>
        <v>0</v>
      </c>
      <c r="Q1407" s="809" t="s">
        <v>1142</v>
      </c>
      <c r="R1407" s="785" t="str">
        <f>IFERROR(VLOOKUP($Q1407,'391'!$S:$Z,8,0),"")</f>
        <v/>
      </c>
      <c r="S1407" s="796"/>
      <c r="T1407" s="797"/>
      <c r="U1407" s="797"/>
      <c r="V1407" s="797"/>
      <c r="W1407" s="785">
        <f>IFERROR(VLOOKUP($Q1407,'391'!$S:$AG,15,0),0)</f>
        <v>0</v>
      </c>
      <c r="X1407" s="1090">
        <f t="shared" si="838"/>
        <v>0</v>
      </c>
      <c r="Y1407" s="785"/>
      <c r="Z1407" s="785"/>
      <c r="AA1407" s="797"/>
      <c r="AB1407" s="797"/>
      <c r="AC1407" s="683"/>
      <c r="AD1407" s="551"/>
      <c r="AE1407" s="551"/>
      <c r="AF1407" s="551"/>
      <c r="AG1407" s="551"/>
      <c r="AH1407" s="551"/>
      <c r="AI1407" s="704"/>
      <c r="AJ1407" s="704"/>
      <c r="AK1407" s="704"/>
      <c r="AL1407" s="704"/>
      <c r="AM1407" s="704"/>
      <c r="AN1407" s="704"/>
      <c r="AO1407" s="704"/>
      <c r="AP1407" s="704"/>
      <c r="AQ1407" s="704"/>
      <c r="AR1407" s="704"/>
      <c r="AS1407" s="704"/>
    </row>
    <row r="1408" spans="1:45" s="265" customFormat="1" ht="30" hidden="1" customHeight="1" x14ac:dyDescent="0.25">
      <c r="A1408" s="2083" t="str">
        <f>IF(L1411=0,"",MAX($A$16:A1407)+1)</f>
        <v/>
      </c>
      <c r="B1408" s="2075" t="s">
        <v>1156</v>
      </c>
      <c r="C1408" s="574"/>
      <c r="D1408" s="881" t="s">
        <v>10</v>
      </c>
      <c r="E1408" s="882">
        <v>44664</v>
      </c>
      <c r="F1408" s="71">
        <f>$L$7-E1408</f>
        <v>1622</v>
      </c>
      <c r="G1408" s="64">
        <v>0</v>
      </c>
      <c r="H1408" s="64"/>
      <c r="I1408" s="64"/>
      <c r="J1408" s="1367"/>
      <c r="K1408" s="64">
        <f>IFERROR(SUMIF(INTAKE!$A:$A,$T1408,INTAKE!$P:$P),0)</f>
        <v>0</v>
      </c>
      <c r="L1408" s="1533">
        <f t="shared" si="858"/>
        <v>0</v>
      </c>
      <c r="M1408" s="102"/>
      <c r="N1408" s="103"/>
      <c r="O1408" s="102"/>
      <c r="P1408" s="739"/>
      <c r="Q1408" s="795"/>
      <c r="R1408" s="785">
        <f>IFERROR(VLOOKUP($Q1408,'391'!$S:$Z,8,0),"")</f>
        <v>0</v>
      </c>
      <c r="S1408" s="796"/>
      <c r="T1408" s="797" t="str">
        <f>$Q$1411&amp;C1408&amp;E1408</f>
        <v>MFeed+ (France)44664</v>
      </c>
      <c r="U1408" s="797"/>
      <c r="V1408" s="797"/>
      <c r="W1408" s="785">
        <f>IFERROR(VLOOKUP($Q1408,'391'!$S:$AG,15,0),0)</f>
        <v>0</v>
      </c>
      <c r="X1408" s="1090">
        <f t="shared" si="838"/>
        <v>0</v>
      </c>
      <c r="Y1408" s="785"/>
      <c r="Z1408" s="785"/>
      <c r="AA1408" s="797"/>
      <c r="AB1408" s="797"/>
      <c r="AC1408" s="551"/>
      <c r="AD1408" s="551"/>
      <c r="AE1408" s="551"/>
      <c r="AF1408" s="551"/>
      <c r="AG1408" s="551"/>
      <c r="AH1408" s="551"/>
      <c r="AI1408" s="704"/>
      <c r="AJ1408" s="704"/>
      <c r="AK1408" s="704"/>
      <c r="AL1408" s="704"/>
      <c r="AM1408" s="704"/>
      <c r="AN1408" s="704"/>
      <c r="AO1408" s="704"/>
      <c r="AP1408" s="704"/>
      <c r="AQ1408" s="704"/>
      <c r="AR1408" s="704"/>
      <c r="AS1408" s="704"/>
    </row>
    <row r="1409" spans="1:45" s="265" customFormat="1" ht="30" hidden="1" customHeight="1" x14ac:dyDescent="0.25">
      <c r="A1409" s="2084"/>
      <c r="B1409" s="2076"/>
      <c r="C1409" s="574"/>
      <c r="D1409" s="881" t="s">
        <v>10</v>
      </c>
      <c r="E1409" s="882">
        <v>44566</v>
      </c>
      <c r="F1409" s="71">
        <f>$L$7-E1409</f>
        <v>1720</v>
      </c>
      <c r="G1409" s="64">
        <v>0</v>
      </c>
      <c r="H1409" s="64"/>
      <c r="I1409" s="64"/>
      <c r="J1409" s="1367"/>
      <c r="K1409" s="64">
        <f>IFERROR(SUMIF(INTAKE!$A:$A,$T1409,INTAKE!$P:$P),0)</f>
        <v>0</v>
      </c>
      <c r="L1409" s="1533">
        <f t="shared" si="858"/>
        <v>0</v>
      </c>
      <c r="M1409" s="102"/>
      <c r="N1409" s="103"/>
      <c r="O1409" s="102"/>
      <c r="P1409" s="739"/>
      <c r="Q1409" s="795"/>
      <c r="R1409" s="785">
        <f>IFERROR(VLOOKUP($Q1409,'391'!$S:$Z,8,0),"")</f>
        <v>0</v>
      </c>
      <c r="S1409" s="796"/>
      <c r="T1409" s="797" t="str">
        <f>$Q$1411&amp;C1409&amp;E1409</f>
        <v>MFeed+ (France)44566</v>
      </c>
      <c r="U1409" s="797"/>
      <c r="V1409" s="797"/>
      <c r="W1409" s="785">
        <f>IFERROR(VLOOKUP($Q1409,'391'!$S:$AG,15,0),0)</f>
        <v>0</v>
      </c>
      <c r="X1409" s="1090">
        <f t="shared" si="838"/>
        <v>0</v>
      </c>
      <c r="Y1409" s="785"/>
      <c r="Z1409" s="785"/>
      <c r="AA1409" s="797"/>
      <c r="AB1409" s="797"/>
      <c r="AC1409" s="551"/>
      <c r="AD1409" s="551"/>
      <c r="AE1409" s="551"/>
      <c r="AF1409" s="551"/>
      <c r="AG1409" s="551"/>
      <c r="AH1409" s="551"/>
      <c r="AI1409" s="704"/>
      <c r="AJ1409" s="704"/>
      <c r="AK1409" s="704"/>
      <c r="AL1409" s="704"/>
      <c r="AM1409" s="704"/>
      <c r="AN1409" s="704"/>
      <c r="AO1409" s="704"/>
      <c r="AP1409" s="704"/>
      <c r="AQ1409" s="704"/>
      <c r="AR1409" s="704"/>
      <c r="AS1409" s="704"/>
    </row>
    <row r="1410" spans="1:45" s="265" customFormat="1" ht="30" hidden="1" customHeight="1" x14ac:dyDescent="0.25">
      <c r="A1410" s="2085"/>
      <c r="B1410" s="2068"/>
      <c r="C1410" s="138" t="s">
        <v>76</v>
      </c>
      <c r="D1410" s="884" t="s">
        <v>10</v>
      </c>
      <c r="E1410" s="885">
        <v>44664</v>
      </c>
      <c r="F1410" s="293">
        <f>$L$7-E1410</f>
        <v>1622</v>
      </c>
      <c r="G1410" s="1214">
        <v>0</v>
      </c>
      <c r="H1410" s="37"/>
      <c r="I1410" s="37">
        <f>+K1409+K1408</f>
        <v>0</v>
      </c>
      <c r="J1410" s="1385">
        <f>usage!I174</f>
        <v>0</v>
      </c>
      <c r="K1410" s="64">
        <f>IFERROR(SUMIF(INTAKE!$A:$A,$T1410,INTAKE!$P:$P),0)</f>
        <v>0</v>
      </c>
      <c r="L1410" s="1533">
        <f t="shared" si="858"/>
        <v>0</v>
      </c>
      <c r="M1410" s="98"/>
      <c r="N1410" s="1473"/>
      <c r="O1410" s="98"/>
      <c r="P1410" s="759"/>
      <c r="Q1410" s="795"/>
      <c r="R1410" s="785">
        <f>IFERROR(VLOOKUP($Q1410,'391'!$S:$Z,8,0),"")</f>
        <v>0</v>
      </c>
      <c r="S1410" s="796"/>
      <c r="T1410" s="797" t="str">
        <f>$Q$1411&amp;C1410&amp;E1410</f>
        <v>MFeed+ (France)Feedmil44664</v>
      </c>
      <c r="U1410" s="797"/>
      <c r="V1410" s="797"/>
      <c r="W1410" s="785">
        <f>IFERROR(VLOOKUP($Q1410,'391'!$S:$AG,15,0),0)</f>
        <v>0</v>
      </c>
      <c r="X1410" s="1090">
        <f t="shared" si="838"/>
        <v>0</v>
      </c>
      <c r="Y1410" s="785"/>
      <c r="Z1410" s="785"/>
      <c r="AA1410" s="797"/>
      <c r="AB1410" s="797"/>
      <c r="AC1410" s="551"/>
      <c r="AD1410" s="551"/>
      <c r="AE1410" s="551"/>
      <c r="AF1410" s="551"/>
      <c r="AG1410" s="551"/>
      <c r="AH1410" s="551"/>
      <c r="AI1410" s="704"/>
      <c r="AJ1410" s="704"/>
      <c r="AK1410" s="704"/>
      <c r="AL1410" s="704"/>
      <c r="AM1410" s="704"/>
      <c r="AN1410" s="704"/>
      <c r="AO1410" s="704"/>
      <c r="AP1410" s="704"/>
      <c r="AQ1410" s="704"/>
      <c r="AR1410" s="704"/>
      <c r="AS1410" s="704"/>
    </row>
    <row r="1411" spans="1:45" s="265" customFormat="1" ht="30" hidden="1" customHeight="1" x14ac:dyDescent="0.25">
      <c r="A1411" s="184"/>
      <c r="B1411" s="184" t="s">
        <v>1157</v>
      </c>
      <c r="C1411" s="575"/>
      <c r="D1411" s="900"/>
      <c r="E1411" s="901"/>
      <c r="F1411" s="902"/>
      <c r="G1411" s="1297">
        <v>0</v>
      </c>
      <c r="H1411" s="1297">
        <f>+SUM(H1408:H1410)</f>
        <v>0</v>
      </c>
      <c r="I1411" s="1297">
        <f t="shared" ref="I1411:K1411" si="861">+SUM(I1408:I1410)</f>
        <v>0</v>
      </c>
      <c r="J1411" s="1297">
        <f t="shared" si="861"/>
        <v>0</v>
      </c>
      <c r="K1411" s="1297">
        <f t="shared" si="861"/>
        <v>0</v>
      </c>
      <c r="L1411" s="1533">
        <f t="shared" si="858"/>
        <v>0</v>
      </c>
      <c r="M1411" s="59" t="str">
        <f>IFERROR(R1411/$S$2,"")</f>
        <v/>
      </c>
      <c r="N1411" s="99">
        <f>IFERROR(L1411/M1411,0)</f>
        <v>0</v>
      </c>
      <c r="O1411" s="59">
        <f>IFERROR(SUMIF(ETM!$A:$A,$Q1411,ETM!$E:$E),"")</f>
        <v>0</v>
      </c>
      <c r="P1411" s="741">
        <f>IFERROR(L1411/O1411,0)</f>
        <v>0</v>
      </c>
      <c r="Q1411" s="809" t="s">
        <v>1159</v>
      </c>
      <c r="R1411" s="785" t="str">
        <f>IFERROR(VLOOKUP($Q1411,'391'!$S:$Z,8,0),"")</f>
        <v/>
      </c>
      <c r="S1411" s="796"/>
      <c r="T1411" s="797"/>
      <c r="U1411" s="797"/>
      <c r="V1411" s="797"/>
      <c r="W1411" s="785">
        <f>IFERROR(VLOOKUP($Q1411,'391'!$S:$AG,15,0),0)</f>
        <v>0</v>
      </c>
      <c r="X1411" s="1090">
        <f t="shared" si="838"/>
        <v>0</v>
      </c>
      <c r="Y1411" s="785"/>
      <c r="Z1411" s="785"/>
      <c r="AA1411" s="797"/>
      <c r="AB1411" s="797"/>
      <c r="AC1411" s="683"/>
      <c r="AD1411" s="551"/>
      <c r="AE1411" s="551"/>
      <c r="AF1411" s="551"/>
      <c r="AG1411" s="551"/>
      <c r="AH1411" s="551"/>
      <c r="AI1411" s="704"/>
      <c r="AJ1411" s="704"/>
      <c r="AK1411" s="704"/>
      <c r="AL1411" s="704"/>
      <c r="AM1411" s="704"/>
      <c r="AN1411" s="704"/>
      <c r="AO1411" s="704"/>
      <c r="AP1411" s="704"/>
      <c r="AQ1411" s="704"/>
      <c r="AR1411" s="704"/>
      <c r="AS1411" s="704"/>
    </row>
    <row r="1412" spans="1:45" s="265" customFormat="1" ht="30" hidden="1" customHeight="1" x14ac:dyDescent="0.25">
      <c r="A1412" s="2083" t="str">
        <f>IF(L1415=0,"",MAX($A$16:A1411)+1)</f>
        <v/>
      </c>
      <c r="B1412" s="2075" t="s">
        <v>1179</v>
      </c>
      <c r="C1412" s="574"/>
      <c r="D1412" s="881" t="s">
        <v>10</v>
      </c>
      <c r="E1412" s="882">
        <v>44761</v>
      </c>
      <c r="F1412" s="71">
        <f>$L$7-E1412</f>
        <v>1525</v>
      </c>
      <c r="G1412" s="64">
        <v>0</v>
      </c>
      <c r="H1412" s="64"/>
      <c r="I1412" s="64"/>
      <c r="J1412" s="1367"/>
      <c r="K1412" s="64">
        <f>IFERROR(SUMIF(INTAKE!$A:$A,$T1412,INTAKE!$P:$P),0)</f>
        <v>0</v>
      </c>
      <c r="L1412" s="1533">
        <f t="shared" si="858"/>
        <v>0</v>
      </c>
      <c r="M1412" s="102"/>
      <c r="N1412" s="103"/>
      <c r="O1412" s="102"/>
      <c r="P1412" s="739"/>
      <c r="Q1412" s="795"/>
      <c r="R1412" s="785">
        <f>IFERROR(VLOOKUP($Q1412,'391'!$S:$Z,8,0),"")</f>
        <v>0</v>
      </c>
      <c r="S1412" s="796"/>
      <c r="T1412" s="797" t="str">
        <f>$Q$1415&amp;C1412&amp;E1412</f>
        <v>XTRACT Nature (Switzerland)44761</v>
      </c>
      <c r="U1412" s="797"/>
      <c r="V1412" s="797"/>
      <c r="W1412" s="785">
        <f>IFERROR(VLOOKUP($Q1412,'391'!$S:$AG,15,0),0)</f>
        <v>0</v>
      </c>
      <c r="X1412" s="1090">
        <f t="shared" si="838"/>
        <v>0</v>
      </c>
      <c r="Y1412" s="785"/>
      <c r="Z1412" s="785"/>
      <c r="AA1412" s="797"/>
      <c r="AB1412" s="797"/>
      <c r="AC1412" s="551"/>
      <c r="AD1412" s="551"/>
      <c r="AE1412" s="551"/>
      <c r="AF1412" s="551"/>
      <c r="AG1412" s="551"/>
      <c r="AH1412" s="551"/>
      <c r="AI1412" s="704"/>
      <c r="AJ1412" s="704"/>
      <c r="AK1412" s="704"/>
      <c r="AL1412" s="704"/>
      <c r="AM1412" s="704"/>
      <c r="AN1412" s="704"/>
      <c r="AO1412" s="704"/>
      <c r="AP1412" s="704"/>
      <c r="AQ1412" s="704"/>
      <c r="AR1412" s="704"/>
      <c r="AS1412" s="704"/>
    </row>
    <row r="1413" spans="1:45" s="265" customFormat="1" ht="30" hidden="1" customHeight="1" x14ac:dyDescent="0.25">
      <c r="A1413" s="2084"/>
      <c r="B1413" s="2076"/>
      <c r="C1413" s="574"/>
      <c r="D1413" s="881" t="s">
        <v>10</v>
      </c>
      <c r="E1413" s="882">
        <v>44566</v>
      </c>
      <c r="F1413" s="71">
        <f>$L$7-E1413</f>
        <v>1720</v>
      </c>
      <c r="G1413" s="64">
        <v>0</v>
      </c>
      <c r="H1413" s="64"/>
      <c r="I1413" s="64"/>
      <c r="J1413" s="1367"/>
      <c r="K1413" s="64">
        <f>IFERROR(SUMIF(INTAKE!$A:$A,$T1413,INTAKE!$P:$P),0)</f>
        <v>0</v>
      </c>
      <c r="L1413" s="1533">
        <f t="shared" si="858"/>
        <v>0</v>
      </c>
      <c r="M1413" s="102"/>
      <c r="N1413" s="103"/>
      <c r="O1413" s="102"/>
      <c r="P1413" s="739"/>
      <c r="Q1413" s="795"/>
      <c r="R1413" s="785">
        <f>IFERROR(VLOOKUP($Q1413,'391'!$S:$Z,8,0),"")</f>
        <v>0</v>
      </c>
      <c r="S1413" s="796"/>
      <c r="T1413" s="797" t="str">
        <f>$Q$1415&amp;C1413&amp;E1413</f>
        <v>XTRACT Nature (Switzerland)44566</v>
      </c>
      <c r="U1413" s="797"/>
      <c r="V1413" s="797"/>
      <c r="W1413" s="785">
        <f>IFERROR(VLOOKUP($Q1413,'391'!$S:$AG,15,0),0)</f>
        <v>0</v>
      </c>
      <c r="X1413" s="1090">
        <f t="shared" si="838"/>
        <v>0</v>
      </c>
      <c r="Y1413" s="785"/>
      <c r="Z1413" s="785"/>
      <c r="AA1413" s="797"/>
      <c r="AB1413" s="797"/>
      <c r="AC1413" s="551"/>
      <c r="AD1413" s="551"/>
      <c r="AE1413" s="551"/>
      <c r="AF1413" s="551"/>
      <c r="AG1413" s="551"/>
      <c r="AH1413" s="551"/>
      <c r="AI1413" s="704"/>
      <c r="AJ1413" s="704"/>
      <c r="AK1413" s="704"/>
      <c r="AL1413" s="704"/>
      <c r="AM1413" s="704"/>
      <c r="AN1413" s="704"/>
      <c r="AO1413" s="704"/>
      <c r="AP1413" s="704"/>
      <c r="AQ1413" s="704"/>
      <c r="AR1413" s="704"/>
      <c r="AS1413" s="704"/>
    </row>
    <row r="1414" spans="1:45" s="265" customFormat="1" ht="30" hidden="1" customHeight="1" x14ac:dyDescent="0.25">
      <c r="A1414" s="2085"/>
      <c r="B1414" s="2068"/>
      <c r="C1414" s="138" t="s">
        <v>76</v>
      </c>
      <c r="D1414" s="884" t="s">
        <v>10</v>
      </c>
      <c r="E1414" s="885">
        <v>44761</v>
      </c>
      <c r="F1414" s="293">
        <f>$L$7-E1414</f>
        <v>1525</v>
      </c>
      <c r="G1414" s="1214">
        <v>0</v>
      </c>
      <c r="H1414" s="37"/>
      <c r="I1414" s="37">
        <f>+K1413+K1412</f>
        <v>0</v>
      </c>
      <c r="J1414" s="1385">
        <f>usage!I175</f>
        <v>0</v>
      </c>
      <c r="K1414" s="64">
        <f>IFERROR(SUMIF(INTAKE!$A:$A,$T1414,INTAKE!$P:$P),0)</f>
        <v>0</v>
      </c>
      <c r="L1414" s="1533">
        <f t="shared" si="858"/>
        <v>0</v>
      </c>
      <c r="M1414" s="98"/>
      <c r="N1414" s="1473"/>
      <c r="O1414" s="98"/>
      <c r="P1414" s="759"/>
      <c r="Q1414" s="795"/>
      <c r="R1414" s="785">
        <f>IFERROR(VLOOKUP($Q1414,'391'!$S:$Z,8,0),"")</f>
        <v>0</v>
      </c>
      <c r="S1414" s="796"/>
      <c r="T1414" s="797" t="str">
        <f>$Q$1415&amp;C1414&amp;E1414</f>
        <v>XTRACT Nature (Switzerland)Feedmil44761</v>
      </c>
      <c r="U1414" s="797"/>
      <c r="V1414" s="797"/>
      <c r="W1414" s="785">
        <f>IFERROR(VLOOKUP($Q1414,'391'!$S:$AG,15,0),0)</f>
        <v>0</v>
      </c>
      <c r="X1414" s="1090">
        <f t="shared" si="838"/>
        <v>0</v>
      </c>
      <c r="Y1414" s="785"/>
      <c r="Z1414" s="785"/>
      <c r="AA1414" s="797"/>
      <c r="AB1414" s="797"/>
      <c r="AC1414" s="551"/>
      <c r="AD1414" s="551"/>
      <c r="AE1414" s="551"/>
      <c r="AF1414" s="551"/>
      <c r="AG1414" s="551"/>
      <c r="AH1414" s="551"/>
      <c r="AI1414" s="704"/>
      <c r="AJ1414" s="704"/>
      <c r="AK1414" s="704"/>
      <c r="AL1414" s="704"/>
      <c r="AM1414" s="704"/>
      <c r="AN1414" s="704"/>
      <c r="AO1414" s="704"/>
      <c r="AP1414" s="704"/>
      <c r="AQ1414" s="704"/>
      <c r="AR1414" s="704"/>
      <c r="AS1414" s="704"/>
    </row>
    <row r="1415" spans="1:45" s="265" customFormat="1" ht="30" hidden="1" customHeight="1" x14ac:dyDescent="0.25">
      <c r="A1415" s="184"/>
      <c r="B1415" s="184" t="s">
        <v>1180</v>
      </c>
      <c r="C1415" s="575"/>
      <c r="D1415" s="900"/>
      <c r="E1415" s="901"/>
      <c r="F1415" s="902"/>
      <c r="G1415" s="1297">
        <v>0</v>
      </c>
      <c r="H1415" s="1297">
        <f>+SUM(H1412:H1414)</f>
        <v>0</v>
      </c>
      <c r="I1415" s="1297">
        <f t="shared" ref="I1415:K1415" si="862">+SUM(I1412:I1414)</f>
        <v>0</v>
      </c>
      <c r="J1415" s="1297">
        <f t="shared" si="862"/>
        <v>0</v>
      </c>
      <c r="K1415" s="1297">
        <f t="shared" si="862"/>
        <v>0</v>
      </c>
      <c r="L1415" s="1533">
        <f t="shared" si="858"/>
        <v>0</v>
      </c>
      <c r="M1415" s="59" t="str">
        <f>IFERROR(R1415/$S$2,"")</f>
        <v/>
      </c>
      <c r="N1415" s="99">
        <f>IFERROR(L1415/M1415,0)</f>
        <v>0</v>
      </c>
      <c r="O1415" s="59">
        <f>IFERROR(SUMIF(ETM!$A:$A,$Q1415,ETM!$E:$E),"")</f>
        <v>0</v>
      </c>
      <c r="P1415" s="741">
        <f>IFERROR(L1415/O1415,0)</f>
        <v>0</v>
      </c>
      <c r="Q1415" s="809" t="s">
        <v>1179</v>
      </c>
      <c r="R1415" s="785" t="str">
        <f>IFERROR(VLOOKUP($Q1415,'391'!$S:$Z,8,0),"")</f>
        <v/>
      </c>
      <c r="S1415" s="796"/>
      <c r="T1415" s="797"/>
      <c r="U1415" s="797"/>
      <c r="V1415" s="797"/>
      <c r="W1415" s="785">
        <f>IFERROR(VLOOKUP($Q1415,'391'!$S:$AG,15,0),0)</f>
        <v>0</v>
      </c>
      <c r="X1415" s="1090">
        <f t="shared" si="838"/>
        <v>0</v>
      </c>
      <c r="Y1415" s="785"/>
      <c r="Z1415" s="785"/>
      <c r="AA1415" s="797"/>
      <c r="AB1415" s="797"/>
      <c r="AC1415" s="683"/>
      <c r="AD1415" s="551"/>
      <c r="AE1415" s="551"/>
      <c r="AF1415" s="551"/>
      <c r="AG1415" s="551"/>
      <c r="AH1415" s="551"/>
      <c r="AI1415" s="704"/>
      <c r="AJ1415" s="704"/>
      <c r="AK1415" s="704"/>
      <c r="AL1415" s="704"/>
      <c r="AM1415" s="704"/>
      <c r="AN1415" s="704"/>
      <c r="AO1415" s="704"/>
      <c r="AP1415" s="704"/>
      <c r="AQ1415" s="704"/>
      <c r="AR1415" s="704"/>
      <c r="AS1415" s="704"/>
    </row>
    <row r="1416" spans="1:45" s="265" customFormat="1" ht="30" hidden="1" customHeight="1" x14ac:dyDescent="0.25">
      <c r="A1416" s="2083" t="str">
        <f>IF(L1421=0,"",MAX($A$16:A1415)+1)</f>
        <v/>
      </c>
      <c r="B1416" s="2075" t="s">
        <v>1185</v>
      </c>
      <c r="C1416" s="574" t="s">
        <v>1691</v>
      </c>
      <c r="D1416" s="881" t="s">
        <v>10</v>
      </c>
      <c r="E1416" s="882">
        <v>46043</v>
      </c>
      <c r="F1416" s="71">
        <f>$L$7-E1416</f>
        <v>243</v>
      </c>
      <c r="G1416" s="64">
        <v>0</v>
      </c>
      <c r="H1416" s="64"/>
      <c r="I1416" s="64"/>
      <c r="J1416" s="1367"/>
      <c r="K1416" s="64">
        <f>IFERROR(SUMIF(INTAKE!$A:$A,$T1416,INTAKE!$P:$P),0)</f>
        <v>0</v>
      </c>
      <c r="L1416" s="1702">
        <f t="shared" si="858"/>
        <v>0</v>
      </c>
      <c r="M1416" s="102"/>
      <c r="N1416" s="103"/>
      <c r="O1416" s="102"/>
      <c r="P1416" s="739"/>
      <c r="Q1416" s="795"/>
      <c r="R1416" s="785">
        <f>IFERROR(VLOOKUP($Q1416,'391'!$S:$Z,8,0),"")</f>
        <v>0</v>
      </c>
      <c r="S1416" s="796"/>
      <c r="T1416" s="797" t="str">
        <f>$Q$1421&amp;C1416&amp;E1416</f>
        <v>Novipel S ( Belgium)Y1.146043</v>
      </c>
      <c r="U1416" s="797"/>
      <c r="V1416" s="797"/>
      <c r="W1416" s="785">
        <f>IFERROR(VLOOKUP($Q1416,'391'!$S:$AG,15,0),0)</f>
        <v>0</v>
      </c>
      <c r="X1416" s="1090">
        <f t="shared" si="838"/>
        <v>0</v>
      </c>
      <c r="Y1416" s="785"/>
      <c r="Z1416" s="785"/>
      <c r="AA1416" s="797"/>
      <c r="AB1416" s="797"/>
      <c r="AC1416" s="551"/>
      <c r="AD1416" s="551"/>
      <c r="AE1416" s="551"/>
      <c r="AF1416" s="551"/>
      <c r="AG1416" s="551"/>
      <c r="AH1416" s="551"/>
      <c r="AI1416" s="704"/>
      <c r="AJ1416" s="704"/>
      <c r="AK1416" s="704"/>
      <c r="AL1416" s="704"/>
      <c r="AM1416" s="704"/>
      <c r="AN1416" s="704"/>
      <c r="AO1416" s="704"/>
      <c r="AP1416" s="704"/>
      <c r="AQ1416" s="704"/>
      <c r="AR1416" s="704"/>
      <c r="AS1416" s="704"/>
    </row>
    <row r="1417" spans="1:45" s="265" customFormat="1" ht="30" hidden="1" customHeight="1" x14ac:dyDescent="0.25">
      <c r="A1417" s="2121"/>
      <c r="B1417" s="2082"/>
      <c r="C1417" s="574"/>
      <c r="D1417" s="881" t="s">
        <v>10</v>
      </c>
      <c r="E1417" s="882">
        <v>46043</v>
      </c>
      <c r="F1417" s="71">
        <f>$L$7-E1417</f>
        <v>243</v>
      </c>
      <c r="G1417" s="64">
        <v>0</v>
      </c>
      <c r="H1417" s="64"/>
      <c r="I1417" s="64"/>
      <c r="J1417" s="1367"/>
      <c r="K1417" s="64">
        <f>IFERROR(SUMIF(INTAKE!$A:$A,$T1417,INTAKE!$P:$P),0)</f>
        <v>0</v>
      </c>
      <c r="L1417" s="1702">
        <f t="shared" ref="L1417:L1418" si="863">+G1417+H1417+I1417-J1417-K1417</f>
        <v>0</v>
      </c>
      <c r="M1417" s="102"/>
      <c r="N1417" s="103"/>
      <c r="O1417" s="102"/>
      <c r="P1417" s="739"/>
      <c r="Q1417" s="795"/>
      <c r="R1417" s="785">
        <f>IFERROR(VLOOKUP($Q1417,'391'!$S:$Z,8,0),"")</f>
        <v>0</v>
      </c>
      <c r="S1417" s="796"/>
      <c r="T1417" s="797" t="str">
        <f>$Q$1421&amp;C1417&amp;E1417</f>
        <v>Novipel S ( Belgium)46043</v>
      </c>
      <c r="U1417" s="797"/>
      <c r="V1417" s="797"/>
      <c r="W1417" s="785">
        <f>IFERROR(VLOOKUP($Q1417,'391'!$S:$AG,15,0),0)</f>
        <v>0</v>
      </c>
      <c r="X1417" s="1090">
        <f t="shared" ref="X1417:X1418" si="864">G1417-W1417</f>
        <v>0</v>
      </c>
      <c r="Y1417" s="785"/>
      <c r="Z1417" s="785"/>
      <c r="AA1417" s="797"/>
      <c r="AB1417" s="797"/>
      <c r="AC1417" s="551"/>
      <c r="AD1417" s="551"/>
      <c r="AE1417" s="551"/>
      <c r="AF1417" s="551"/>
      <c r="AG1417" s="551"/>
      <c r="AH1417" s="551"/>
      <c r="AI1417" s="704"/>
      <c r="AJ1417" s="704"/>
      <c r="AK1417" s="704"/>
      <c r="AL1417" s="704"/>
      <c r="AM1417" s="704"/>
      <c r="AN1417" s="704"/>
      <c r="AO1417" s="704"/>
      <c r="AP1417" s="704"/>
      <c r="AQ1417" s="704"/>
      <c r="AR1417" s="704"/>
      <c r="AS1417" s="704"/>
    </row>
    <row r="1418" spans="1:45" s="265" customFormat="1" ht="30" hidden="1" customHeight="1" x14ac:dyDescent="0.25">
      <c r="A1418" s="2121"/>
      <c r="B1418" s="2082"/>
      <c r="C1418" s="574"/>
      <c r="D1418" s="881" t="s">
        <v>10</v>
      </c>
      <c r="E1418" s="882">
        <v>46024</v>
      </c>
      <c r="F1418" s="71">
        <f>$L$7-E1418</f>
        <v>262</v>
      </c>
      <c r="G1418" s="64">
        <v>0</v>
      </c>
      <c r="H1418" s="64"/>
      <c r="I1418" s="64"/>
      <c r="J1418" s="1367"/>
      <c r="K1418" s="64">
        <f>IFERROR(SUMIF(INTAKE!$A:$A,$T1418,INTAKE!$P:$P),0)</f>
        <v>0</v>
      </c>
      <c r="L1418" s="1702">
        <f t="shared" si="863"/>
        <v>0</v>
      </c>
      <c r="M1418" s="102"/>
      <c r="N1418" s="103"/>
      <c r="O1418" s="102"/>
      <c r="P1418" s="739"/>
      <c r="Q1418" s="795"/>
      <c r="R1418" s="785">
        <f>IFERROR(VLOOKUP($Q1418,'391'!$S:$Z,8,0),"")</f>
        <v>0</v>
      </c>
      <c r="S1418" s="796"/>
      <c r="T1418" s="797" t="str">
        <f>$Q$1421&amp;C1418&amp;E1418</f>
        <v>Novipel S ( Belgium)46024</v>
      </c>
      <c r="U1418" s="797"/>
      <c r="V1418" s="797"/>
      <c r="W1418" s="785">
        <f>IFERROR(VLOOKUP($Q1418,'391'!$S:$AG,15,0),0)</f>
        <v>0</v>
      </c>
      <c r="X1418" s="1090">
        <f t="shared" si="864"/>
        <v>0</v>
      </c>
      <c r="Y1418" s="785"/>
      <c r="Z1418" s="785"/>
      <c r="AA1418" s="797"/>
      <c r="AB1418" s="797"/>
      <c r="AC1418" s="551"/>
      <c r="AD1418" s="551"/>
      <c r="AE1418" s="551"/>
      <c r="AF1418" s="551"/>
      <c r="AG1418" s="551"/>
      <c r="AH1418" s="551"/>
      <c r="AI1418" s="704"/>
      <c r="AJ1418" s="704"/>
      <c r="AK1418" s="704"/>
      <c r="AL1418" s="704"/>
      <c r="AM1418" s="704"/>
      <c r="AN1418" s="704"/>
      <c r="AO1418" s="704"/>
      <c r="AP1418" s="704"/>
      <c r="AQ1418" s="704"/>
      <c r="AR1418" s="704"/>
      <c r="AS1418" s="704"/>
    </row>
    <row r="1419" spans="1:45" s="265" customFormat="1" ht="30" hidden="1" customHeight="1" x14ac:dyDescent="0.25">
      <c r="A1419" s="2084"/>
      <c r="B1419" s="2076"/>
      <c r="C1419" s="574"/>
      <c r="D1419" s="881" t="s">
        <v>10</v>
      </c>
      <c r="E1419" s="882">
        <v>46024</v>
      </c>
      <c r="F1419" s="71">
        <f>$L$7-E1419</f>
        <v>262</v>
      </c>
      <c r="G1419" s="64">
        <v>0</v>
      </c>
      <c r="H1419" s="64"/>
      <c r="I1419" s="64"/>
      <c r="J1419" s="1367"/>
      <c r="K1419" s="64">
        <f>IFERROR(SUMIF(INTAKE!$A:$A,$T1419,INTAKE!$P:$P),0)</f>
        <v>0</v>
      </c>
      <c r="L1419" s="1702">
        <f t="shared" si="858"/>
        <v>0</v>
      </c>
      <c r="M1419" s="102"/>
      <c r="N1419" s="103"/>
      <c r="O1419" s="102"/>
      <c r="P1419" s="739"/>
      <c r="Q1419" s="795"/>
      <c r="R1419" s="785">
        <f>IFERROR(VLOOKUP($Q1419,'391'!$S:$Z,8,0),"")</f>
        <v>0</v>
      </c>
      <c r="S1419" s="796"/>
      <c r="T1419" s="797" t="str">
        <f>$Q$1421&amp;C1419&amp;E1419</f>
        <v>Novipel S ( Belgium)46024</v>
      </c>
      <c r="U1419" s="797"/>
      <c r="V1419" s="797"/>
      <c r="W1419" s="785">
        <f>IFERROR(VLOOKUP($Q1419,'391'!$S:$AG,15,0),0)</f>
        <v>0</v>
      </c>
      <c r="X1419" s="1090">
        <f t="shared" si="838"/>
        <v>0</v>
      </c>
      <c r="Y1419" s="785"/>
      <c r="Z1419" s="785"/>
      <c r="AA1419" s="797"/>
      <c r="AB1419" s="797"/>
      <c r="AC1419" s="551"/>
      <c r="AD1419" s="551"/>
      <c r="AE1419" s="551"/>
      <c r="AF1419" s="551"/>
      <c r="AG1419" s="551"/>
      <c r="AH1419" s="551"/>
      <c r="AI1419" s="704"/>
      <c r="AJ1419" s="704"/>
      <c r="AK1419" s="704"/>
      <c r="AL1419" s="704"/>
      <c r="AM1419" s="704"/>
      <c r="AN1419" s="704"/>
      <c r="AO1419" s="704"/>
      <c r="AP1419" s="704"/>
      <c r="AQ1419" s="704"/>
      <c r="AR1419" s="704"/>
      <c r="AS1419" s="704"/>
    </row>
    <row r="1420" spans="1:45" s="265" customFormat="1" ht="30" hidden="1" customHeight="1" x14ac:dyDescent="0.25">
      <c r="A1420" s="2085"/>
      <c r="B1420" s="2068"/>
      <c r="C1420" s="138" t="s">
        <v>76</v>
      </c>
      <c r="D1420" s="884" t="s">
        <v>10</v>
      </c>
      <c r="E1420" s="885">
        <v>46043</v>
      </c>
      <c r="F1420" s="293">
        <f>$L$7-E1420</f>
        <v>243</v>
      </c>
      <c r="G1420" s="1214">
        <v>0</v>
      </c>
      <c r="H1420" s="37"/>
      <c r="I1420" s="37">
        <f>SUM(K1416:K1419)</f>
        <v>0</v>
      </c>
      <c r="J1420" s="1385">
        <f>usage!I177</f>
        <v>0</v>
      </c>
      <c r="K1420" s="64">
        <f>IFERROR(SUMIF(INTAKE!$A:$A,$T1420,INTAKE!$P:$P),0)</f>
        <v>0</v>
      </c>
      <c r="L1420" s="1533">
        <f t="shared" si="858"/>
        <v>0</v>
      </c>
      <c r="M1420" s="98"/>
      <c r="N1420" s="1473"/>
      <c r="O1420" s="98"/>
      <c r="P1420" s="759"/>
      <c r="Q1420" s="795"/>
      <c r="R1420" s="785">
        <f>IFERROR(VLOOKUP($Q1420,'391'!$S:$Z,8,0),"")</f>
        <v>0</v>
      </c>
      <c r="S1420" s="796"/>
      <c r="T1420" s="797" t="str">
        <f>$Q$1421&amp;C1420&amp;E1420</f>
        <v>Novipel S ( Belgium)Feedmil46043</v>
      </c>
      <c r="U1420" s="797"/>
      <c r="V1420" s="797"/>
      <c r="W1420" s="785">
        <f>IFERROR(VLOOKUP($Q1420,'391'!$S:$AG,15,0),0)</f>
        <v>0</v>
      </c>
      <c r="X1420" s="1090">
        <f t="shared" si="838"/>
        <v>0</v>
      </c>
      <c r="Y1420" s="785"/>
      <c r="Z1420" s="785"/>
      <c r="AA1420" s="797"/>
      <c r="AB1420" s="797"/>
      <c r="AC1420" s="551"/>
      <c r="AD1420" s="551"/>
      <c r="AE1420" s="551"/>
      <c r="AF1420" s="551"/>
      <c r="AG1420" s="551"/>
      <c r="AH1420" s="551"/>
      <c r="AI1420" s="704"/>
      <c r="AJ1420" s="704"/>
      <c r="AK1420" s="704"/>
      <c r="AL1420" s="704"/>
      <c r="AM1420" s="704"/>
      <c r="AN1420" s="704"/>
      <c r="AO1420" s="704"/>
      <c r="AP1420" s="704"/>
      <c r="AQ1420" s="704"/>
      <c r="AR1420" s="704"/>
      <c r="AS1420" s="704"/>
    </row>
    <row r="1421" spans="1:45" s="265" customFormat="1" ht="30" hidden="1" customHeight="1" x14ac:dyDescent="0.25">
      <c r="A1421" s="184"/>
      <c r="B1421" s="184" t="s">
        <v>1188</v>
      </c>
      <c r="C1421" s="575"/>
      <c r="D1421" s="900"/>
      <c r="E1421" s="901"/>
      <c r="F1421" s="902"/>
      <c r="G1421" s="1297">
        <v>0</v>
      </c>
      <c r="H1421" s="1297">
        <f>+SUM(H1416:H1420)</f>
        <v>0</v>
      </c>
      <c r="I1421" s="1297">
        <f t="shared" ref="I1421:L1421" si="865">+SUM(I1416:I1420)</f>
        <v>0</v>
      </c>
      <c r="J1421" s="1297">
        <f t="shared" si="865"/>
        <v>0</v>
      </c>
      <c r="K1421" s="1297">
        <f t="shared" si="865"/>
        <v>0</v>
      </c>
      <c r="L1421" s="1297">
        <f t="shared" si="865"/>
        <v>0</v>
      </c>
      <c r="M1421" s="59" t="str">
        <f>IFERROR(R1421/$S$2,"")</f>
        <v/>
      </c>
      <c r="N1421" s="99">
        <f>IFERROR(L1421/M1421,0)</f>
        <v>0</v>
      </c>
      <c r="O1421" s="59">
        <f>IFERROR(SUMIF(ETM!$A:$A,$Q1421,ETM!$E:$E),"")</f>
        <v>0</v>
      </c>
      <c r="P1421" s="741">
        <f>IFERROR(L1421/O1421,0)</f>
        <v>0</v>
      </c>
      <c r="Q1421" s="809" t="s">
        <v>1192</v>
      </c>
      <c r="R1421" s="785" t="str">
        <f>IFERROR(VLOOKUP($Q1421,'391'!$S:$Z,8,0),"")</f>
        <v/>
      </c>
      <c r="S1421" s="796"/>
      <c r="T1421" s="797"/>
      <c r="U1421" s="797"/>
      <c r="V1421" s="797"/>
      <c r="W1421" s="785">
        <f>IFERROR(VLOOKUP($Q1421,'391'!$S:$AG,15,0),0)</f>
        <v>0</v>
      </c>
      <c r="X1421" s="1090">
        <f t="shared" ref="X1421:X1612" si="866">G1421-W1421</f>
        <v>0</v>
      </c>
      <c r="Y1421" s="785"/>
      <c r="Z1421" s="785"/>
      <c r="AA1421" s="797"/>
      <c r="AB1421" s="797"/>
      <c r="AC1421" s="683"/>
      <c r="AD1421" s="551"/>
      <c r="AE1421" s="551"/>
      <c r="AF1421" s="551"/>
      <c r="AG1421" s="551"/>
      <c r="AH1421" s="551"/>
      <c r="AI1421" s="704"/>
      <c r="AJ1421" s="704"/>
      <c r="AK1421" s="704"/>
      <c r="AL1421" s="704"/>
      <c r="AM1421" s="704"/>
      <c r="AN1421" s="704"/>
      <c r="AO1421" s="704"/>
      <c r="AP1421" s="704"/>
      <c r="AQ1421" s="704"/>
      <c r="AR1421" s="704"/>
      <c r="AS1421" s="704"/>
    </row>
    <row r="1422" spans="1:45" s="13" customFormat="1" ht="30" hidden="1" customHeight="1" x14ac:dyDescent="0.25">
      <c r="A1422" s="2083">
        <f>IF(L1427=0,"",MAX($A$16:A1421)+1)</f>
        <v>94</v>
      </c>
      <c r="B1422" s="2075" t="s">
        <v>1403</v>
      </c>
      <c r="C1422" s="574"/>
      <c r="D1422" s="881" t="s">
        <v>10</v>
      </c>
      <c r="E1422" s="882">
        <v>46064</v>
      </c>
      <c r="F1422" s="75">
        <f>$L$7-E1422</f>
        <v>222</v>
      </c>
      <c r="G1422" s="300">
        <v>0</v>
      </c>
      <c r="H1422" s="300"/>
      <c r="I1422" s="300"/>
      <c r="J1422" s="1300"/>
      <c r="K1422" s="64">
        <f>IFERROR(SUMIF(INTAKE!$A:$A,$T1422,INTAKE!$P:$P),0)</f>
        <v>0</v>
      </c>
      <c r="L1422" s="1702">
        <f t="shared" si="858"/>
        <v>0</v>
      </c>
      <c r="M1422" s="48"/>
      <c r="N1422" s="163"/>
      <c r="O1422" s="48"/>
      <c r="P1422" s="857"/>
      <c r="Q1422" s="795"/>
      <c r="R1422" s="785">
        <f>IFERROR(VLOOKUP($Q1422,'391'!$S:$Z,8,0),"")</f>
        <v>0</v>
      </c>
      <c r="S1422" s="796"/>
      <c r="T1422" s="797" t="str">
        <f>$Q$1426&amp;C1422&amp;E1422</f>
        <v>TOXY-NIL# (T©y Ban Nha)46064</v>
      </c>
      <c r="U1422" s="797"/>
      <c r="V1422" s="797"/>
      <c r="W1422" s="785">
        <f>IFERROR(VLOOKUP($Q1422,'391'!$S:$AG,15,0),0)</f>
        <v>0</v>
      </c>
      <c r="X1422" s="799">
        <f t="shared" si="866"/>
        <v>0</v>
      </c>
      <c r="Y1422" s="797"/>
      <c r="Z1422" s="785"/>
      <c r="AA1422" s="797"/>
      <c r="AB1422" s="797"/>
      <c r="AC1422" s="683"/>
      <c r="AD1422" s="683"/>
      <c r="AE1422" s="683"/>
      <c r="AF1422" s="683"/>
      <c r="AG1422" s="683"/>
      <c r="AH1422" s="683"/>
      <c r="AI1422" s="705"/>
      <c r="AJ1422" s="705"/>
      <c r="AK1422" s="705"/>
      <c r="AL1422" s="705"/>
      <c r="AM1422" s="705"/>
      <c r="AN1422" s="705"/>
      <c r="AO1422" s="705"/>
      <c r="AP1422" s="705"/>
      <c r="AQ1422" s="705"/>
      <c r="AR1422" s="705"/>
      <c r="AS1422" s="705"/>
    </row>
    <row r="1423" spans="1:45" s="13" customFormat="1" ht="30" hidden="1" customHeight="1" x14ac:dyDescent="0.25">
      <c r="A1423" s="2121"/>
      <c r="B1423" s="2082"/>
      <c r="C1423" s="574"/>
      <c r="D1423" s="881" t="s">
        <v>10</v>
      </c>
      <c r="E1423" s="882">
        <v>46087</v>
      </c>
      <c r="F1423" s="75">
        <f>$L$7-E1423</f>
        <v>199</v>
      </c>
      <c r="G1423" s="300">
        <v>0</v>
      </c>
      <c r="H1423" s="300"/>
      <c r="I1423" s="300"/>
      <c r="J1423" s="1300"/>
      <c r="K1423" s="64">
        <f>IFERROR(SUMIF(INTAKE!$A:$A,$T1423,INTAKE!$P:$P),0)</f>
        <v>0</v>
      </c>
      <c r="L1423" s="1702">
        <f t="shared" si="858"/>
        <v>0</v>
      </c>
      <c r="M1423" s="48"/>
      <c r="N1423" s="163"/>
      <c r="O1423" s="48"/>
      <c r="P1423" s="1773"/>
      <c r="Q1423" s="795"/>
      <c r="R1423" s="785">
        <f>IFERROR(VLOOKUP($Q1423,'391'!$S:$Z,8,0),"")</f>
        <v>0</v>
      </c>
      <c r="S1423" s="796"/>
      <c r="T1423" s="797" t="str">
        <f>$Q$1426&amp;C1423&amp;E1423</f>
        <v>TOXY-NIL# (T©y Ban Nha)46087</v>
      </c>
      <c r="U1423" s="797"/>
      <c r="V1423" s="797"/>
      <c r="W1423" s="785">
        <f>IFERROR(VLOOKUP($Q1423,'391'!$S:$AG,15,0),0)</f>
        <v>0</v>
      </c>
      <c r="X1423" s="799">
        <f t="shared" si="866"/>
        <v>0</v>
      </c>
      <c r="Y1423" s="797"/>
      <c r="Z1423" s="785"/>
      <c r="AA1423" s="797"/>
      <c r="AB1423" s="797"/>
      <c r="AC1423" s="683"/>
      <c r="AD1423" s="683"/>
      <c r="AE1423" s="683"/>
      <c r="AF1423" s="683"/>
      <c r="AG1423" s="683"/>
      <c r="AH1423" s="683"/>
      <c r="AI1423" s="705"/>
      <c r="AJ1423" s="705"/>
      <c r="AK1423" s="705"/>
      <c r="AL1423" s="705"/>
      <c r="AM1423" s="705"/>
      <c r="AN1423" s="705"/>
      <c r="AO1423" s="705"/>
      <c r="AP1423" s="705"/>
      <c r="AQ1423" s="705"/>
      <c r="AR1423" s="705"/>
      <c r="AS1423" s="705"/>
    </row>
    <row r="1424" spans="1:45" s="13" customFormat="1" ht="30" customHeight="1" x14ac:dyDescent="0.25">
      <c r="A1424" s="2121"/>
      <c r="B1424" s="2082"/>
      <c r="C1424" s="574" t="s">
        <v>324</v>
      </c>
      <c r="D1424" s="881" t="s">
        <v>10</v>
      </c>
      <c r="E1424" s="882">
        <v>46269</v>
      </c>
      <c r="F1424" s="75">
        <f>$L$7-E1424</f>
        <v>17</v>
      </c>
      <c r="G1424" s="300">
        <v>825</v>
      </c>
      <c r="H1424" s="300"/>
      <c r="I1424" s="300"/>
      <c r="J1424" s="1300"/>
      <c r="K1424" s="64">
        <f>IFERROR(SUMIF(INTAKE!$A:$A,$T1424,INTAKE!$P:$P),0)</f>
        <v>0</v>
      </c>
      <c r="L1424" s="1702">
        <f t="shared" si="858"/>
        <v>825</v>
      </c>
      <c r="M1424" s="48"/>
      <c r="N1424" s="163"/>
      <c r="O1424" s="48"/>
      <c r="P1424" s="1773"/>
      <c r="Q1424" s="795"/>
      <c r="R1424" s="785">
        <f>IFERROR(VLOOKUP($Q1424,'391'!$S:$Z,8,0),"")</f>
        <v>0</v>
      </c>
      <c r="S1424" s="796"/>
      <c r="T1424" s="797" t="str">
        <f>$Q$1426&amp;C1424&amp;E1424</f>
        <v>TOXY-NIL# (T©y Ban Nha)A19.446269</v>
      </c>
      <c r="U1424" s="797"/>
      <c r="V1424" s="797"/>
      <c r="W1424" s="785">
        <f>IFERROR(VLOOKUP($Q1424,'391'!$S:$AG,15,0),0)</f>
        <v>0</v>
      </c>
      <c r="X1424" s="799">
        <f t="shared" si="866"/>
        <v>825</v>
      </c>
      <c r="Y1424" s="797"/>
      <c r="Z1424" s="785"/>
      <c r="AA1424" s="797"/>
      <c r="AB1424" s="797"/>
      <c r="AC1424" s="683"/>
      <c r="AD1424" s="683"/>
      <c r="AE1424" s="683"/>
      <c r="AF1424" s="683"/>
      <c r="AG1424" s="683"/>
      <c r="AH1424" s="683"/>
      <c r="AI1424" s="705"/>
      <c r="AJ1424" s="705"/>
      <c r="AK1424" s="705"/>
      <c r="AL1424" s="705"/>
      <c r="AM1424" s="705"/>
      <c r="AN1424" s="705"/>
      <c r="AO1424" s="705"/>
      <c r="AP1424" s="705"/>
      <c r="AQ1424" s="705"/>
      <c r="AR1424" s="705"/>
      <c r="AS1424" s="705"/>
    </row>
    <row r="1425" spans="1:45" s="13" customFormat="1" ht="30" hidden="1" customHeight="1" x14ac:dyDescent="0.25">
      <c r="A1425" s="2121"/>
      <c r="B1425" s="2082"/>
      <c r="C1425" s="574"/>
      <c r="D1425" s="881" t="s">
        <v>10</v>
      </c>
      <c r="E1425" s="882">
        <v>46269</v>
      </c>
      <c r="F1425" s="75">
        <f>$L$7-E1425</f>
        <v>17</v>
      </c>
      <c r="G1425" s="300">
        <v>0</v>
      </c>
      <c r="H1425" s="300"/>
      <c r="I1425" s="300"/>
      <c r="J1425" s="1300"/>
      <c r="K1425" s="64">
        <f>IFERROR(SUMIF(INTAKE!$A:$A,$T1425,INTAKE!$P:$P),0)</f>
        <v>0</v>
      </c>
      <c r="L1425" s="1702">
        <f t="shared" ref="L1425" si="867">+G1425+H1425+I1425-J1425-K1425</f>
        <v>0</v>
      </c>
      <c r="M1425" s="48"/>
      <c r="N1425" s="163"/>
      <c r="O1425" s="48"/>
      <c r="P1425" s="1773"/>
      <c r="Q1425" s="795"/>
      <c r="R1425" s="785">
        <f>IFERROR(VLOOKUP($Q1425,'391'!$S:$Z,8,0),"")</f>
        <v>0</v>
      </c>
      <c r="S1425" s="796"/>
      <c r="T1425" s="797" t="str">
        <f>$Q$1426&amp;C1425&amp;E1425</f>
        <v>TOXY-NIL# (T©y Ban Nha)46269</v>
      </c>
      <c r="U1425" s="797"/>
      <c r="V1425" s="797"/>
      <c r="W1425" s="785">
        <f>IFERROR(VLOOKUP($Q1425,'391'!$S:$AG,15,0),0)</f>
        <v>0</v>
      </c>
      <c r="X1425" s="799">
        <f t="shared" ref="X1425" si="868">G1425-W1425</f>
        <v>0</v>
      </c>
      <c r="Y1425" s="797"/>
      <c r="Z1425" s="785"/>
      <c r="AA1425" s="797"/>
      <c r="AB1425" s="797"/>
      <c r="AC1425" s="683"/>
      <c r="AD1425" s="683"/>
      <c r="AE1425" s="683"/>
      <c r="AF1425" s="683"/>
      <c r="AG1425" s="683"/>
      <c r="AH1425" s="683"/>
      <c r="AI1425" s="705"/>
      <c r="AJ1425" s="705"/>
      <c r="AK1425" s="705"/>
      <c r="AL1425" s="705"/>
      <c r="AM1425" s="705"/>
      <c r="AN1425" s="705"/>
      <c r="AO1425" s="705"/>
      <c r="AP1425" s="705"/>
      <c r="AQ1425" s="705"/>
      <c r="AR1425" s="705"/>
      <c r="AS1425" s="705"/>
    </row>
    <row r="1426" spans="1:45" s="13" customFormat="1" ht="30" customHeight="1" x14ac:dyDescent="0.25">
      <c r="A1426" s="2085"/>
      <c r="B1426" s="2068"/>
      <c r="C1426" s="108" t="s">
        <v>46</v>
      </c>
      <c r="D1426" s="884" t="s">
        <v>10</v>
      </c>
      <c r="E1426" s="882">
        <v>46269</v>
      </c>
      <c r="F1426" s="75">
        <f>$L$7-E1426</f>
        <v>17</v>
      </c>
      <c r="G1426" s="1214">
        <v>290.60000000000002</v>
      </c>
      <c r="H1426" s="28"/>
      <c r="I1426" s="37">
        <f>+K1425+K1423+K1422+K1424</f>
        <v>0</v>
      </c>
      <c r="J1426" s="1295">
        <f>usage!E189</f>
        <v>124.62</v>
      </c>
      <c r="K1426" s="28"/>
      <c r="L1426" s="1533">
        <f t="shared" si="858"/>
        <v>165.98000000000002</v>
      </c>
      <c r="M1426" s="35"/>
      <c r="N1426" s="920"/>
      <c r="O1426" s="35"/>
      <c r="P1426" s="1275"/>
      <c r="Q1426" s="666" t="s">
        <v>1656</v>
      </c>
      <c r="R1426" s="785">
        <f>IFERROR(VLOOKUP($Q1426,'391'!$S:$Z,8,0),"")</f>
        <v>573.12</v>
      </c>
      <c r="S1426" s="796"/>
      <c r="T1426" s="797" t="str">
        <f>$Q$1427&amp;C1426&amp;E1426</f>
        <v>Toxy-Nil Dry ( Belgium)Feedmill46269</v>
      </c>
      <c r="U1426" s="797"/>
      <c r="V1426" s="797"/>
      <c r="W1426" s="785">
        <f>IFERROR(VLOOKUP($Q1426,'391'!$S:$AG,15,0),0)</f>
        <v>1115.6000000000001</v>
      </c>
      <c r="X1426" s="799">
        <f t="shared" si="866"/>
        <v>-825.00000000000011</v>
      </c>
      <c r="Y1426" s="797"/>
      <c r="Z1426" s="785"/>
      <c r="AA1426" s="797"/>
      <c r="AB1426" s="797"/>
      <c r="AC1426" s="683"/>
      <c r="AD1426" s="683"/>
      <c r="AE1426" s="683"/>
      <c r="AF1426" s="683"/>
      <c r="AG1426" s="683"/>
      <c r="AH1426" s="683"/>
      <c r="AI1426" s="705"/>
      <c r="AJ1426" s="705"/>
      <c r="AK1426" s="705"/>
      <c r="AL1426" s="705"/>
      <c r="AM1426" s="705"/>
      <c r="AN1426" s="705"/>
      <c r="AO1426" s="705"/>
      <c r="AP1426" s="705"/>
      <c r="AQ1426" s="705"/>
      <c r="AR1426" s="705"/>
      <c r="AS1426" s="705"/>
    </row>
    <row r="1427" spans="1:45" s="265" customFormat="1" ht="30" customHeight="1" x14ac:dyDescent="0.25">
      <c r="A1427" s="184"/>
      <c r="B1427" s="184" t="s">
        <v>1404</v>
      </c>
      <c r="C1427" s="575"/>
      <c r="D1427" s="900"/>
      <c r="E1427" s="901"/>
      <c r="F1427" s="902"/>
      <c r="G1427" s="1337">
        <v>1115.5999999999999</v>
      </c>
      <c r="H1427" s="1336">
        <f>+SUM(H1422:H1426)</f>
        <v>0</v>
      </c>
      <c r="I1427" s="1297">
        <f>+SUM(I1422:I1426)</f>
        <v>0</v>
      </c>
      <c r="J1427" s="1336">
        <f t="shared" ref="J1427" si="869">+SUM(J1422:J1426)</f>
        <v>124.62</v>
      </c>
      <c r="K1427" s="1297">
        <f>+SUM(K1422:K1426)</f>
        <v>0</v>
      </c>
      <c r="L1427" s="1337">
        <f>+SUM(L1422:L1426)</f>
        <v>990.98</v>
      </c>
      <c r="M1427" s="59">
        <f>IFERROR(S1427/$S$2,"")</f>
        <v>95.52</v>
      </c>
      <c r="N1427" s="366">
        <f>IFERROR(L1427/M1427,0)</f>
        <v>10.37458123953099</v>
      </c>
      <c r="O1427" s="59">
        <f>IFERROR(SUMIF(ETM!$A:$A,$Q1427,ETM!$E:$E),"")</f>
        <v>108.16666666666667</v>
      </c>
      <c r="P1427" s="855">
        <f>IFERROR(L1427/O1427,0)</f>
        <v>9.1616024653312795</v>
      </c>
      <c r="Q1427" s="1183" t="s">
        <v>1403</v>
      </c>
      <c r="R1427" s="785" t="str">
        <f>IFERROR(VLOOKUP($Q1427,'391'!$S:$Z,8,0),"0")</f>
        <v>0</v>
      </c>
      <c r="S1427" s="796">
        <f>+R1427+R1426</f>
        <v>573.12</v>
      </c>
      <c r="T1427" s="797"/>
      <c r="U1427" s="797"/>
      <c r="V1427" s="797"/>
      <c r="W1427" s="785">
        <f>IFERROR(VLOOKUP($Q1427,'391'!$S:$AG,15,0),0)</f>
        <v>0</v>
      </c>
      <c r="X1427" s="1231">
        <f>G1427-W1427-W1426</f>
        <v>0</v>
      </c>
      <c r="Y1427" s="797"/>
      <c r="Z1427" s="785"/>
      <c r="AA1427" s="797"/>
      <c r="AB1427" s="797"/>
      <c r="AC1427" s="551"/>
      <c r="AD1427" s="551"/>
      <c r="AE1427" s="551"/>
      <c r="AF1427" s="551"/>
      <c r="AG1427" s="551"/>
      <c r="AH1427" s="551"/>
      <c r="AI1427" s="704"/>
      <c r="AJ1427" s="704"/>
      <c r="AK1427" s="704"/>
      <c r="AL1427" s="704"/>
      <c r="AM1427" s="704"/>
      <c r="AN1427" s="704"/>
      <c r="AO1427" s="704"/>
      <c r="AP1427" s="704"/>
      <c r="AQ1427" s="704"/>
      <c r="AR1427" s="704"/>
      <c r="AS1427" s="704"/>
    </row>
    <row r="1428" spans="1:45" s="265" customFormat="1" ht="30" hidden="1" customHeight="1" x14ac:dyDescent="0.25">
      <c r="A1428" s="2083">
        <f>IF(L1432=0,"",MAX($A$16:A1427)+1)</f>
        <v>95</v>
      </c>
      <c r="B1428" s="2075" t="s">
        <v>1924</v>
      </c>
      <c r="C1428" s="574"/>
      <c r="D1428" s="881" t="s">
        <v>10</v>
      </c>
      <c r="E1428" s="882">
        <v>45986</v>
      </c>
      <c r="F1428" s="71">
        <f>$L$7-E1428</f>
        <v>300</v>
      </c>
      <c r="G1428" s="64">
        <v>0</v>
      </c>
      <c r="H1428" s="64"/>
      <c r="I1428" s="64"/>
      <c r="J1428" s="1367"/>
      <c r="K1428" s="64">
        <f>IFERROR(SUMIF(INTAKE!$A:$A,$T1428,INTAKE!$P:$P),0)</f>
        <v>0</v>
      </c>
      <c r="L1428" s="1702">
        <f>+G1428+H1428+I1428-J1428-K1428</f>
        <v>0</v>
      </c>
      <c r="M1428" s="102"/>
      <c r="N1428" s="103"/>
      <c r="O1428" s="102"/>
      <c r="P1428" s="739"/>
      <c r="Q1428" s="795"/>
      <c r="R1428" s="785">
        <f>IFERROR(VLOOKUP($Q1428,'391'!$S:$Z,8,0),"")</f>
        <v>0</v>
      </c>
      <c r="S1428" s="796"/>
      <c r="T1428" s="797" t="str">
        <f>$Q$1432&amp;C1428&amp;E1428</f>
        <v>Levucell sb 10 me titan (Poland)45986</v>
      </c>
      <c r="U1428" s="797"/>
      <c r="V1428" s="797"/>
      <c r="W1428" s="785">
        <f>IFERROR(VLOOKUP($Q1428,'391'!$S:$AG,15,0),0)</f>
        <v>0</v>
      </c>
      <c r="X1428" s="1090">
        <f t="shared" si="866"/>
        <v>0</v>
      </c>
      <c r="Y1428" s="785"/>
      <c r="Z1428" s="785"/>
      <c r="AA1428" s="797"/>
      <c r="AB1428" s="797"/>
      <c r="AC1428" s="551"/>
      <c r="AD1428" s="551"/>
      <c r="AE1428" s="551"/>
      <c r="AF1428" s="551"/>
      <c r="AG1428" s="551"/>
      <c r="AH1428" s="551"/>
      <c r="AI1428" s="704"/>
      <c r="AJ1428" s="704"/>
      <c r="AK1428" s="704"/>
      <c r="AL1428" s="704"/>
      <c r="AM1428" s="704"/>
      <c r="AN1428" s="704"/>
      <c r="AO1428" s="704"/>
      <c r="AP1428" s="704"/>
      <c r="AQ1428" s="704"/>
      <c r="AR1428" s="704"/>
      <c r="AS1428" s="704"/>
    </row>
    <row r="1429" spans="1:45" s="265" customFormat="1" ht="30" customHeight="1" x14ac:dyDescent="0.25">
      <c r="A1429" s="2084"/>
      <c r="B1429" s="2076"/>
      <c r="C1429" s="574" t="s">
        <v>1868</v>
      </c>
      <c r="D1429" s="881" t="s">
        <v>10</v>
      </c>
      <c r="E1429" s="882">
        <v>46237</v>
      </c>
      <c r="F1429" s="71">
        <f>$L$7-E1429</f>
        <v>49</v>
      </c>
      <c r="G1429" s="64">
        <v>0</v>
      </c>
      <c r="H1429" s="64"/>
      <c r="I1429" s="64"/>
      <c r="J1429" s="1367"/>
      <c r="K1429" s="64">
        <f>IFERROR(SUMIF(INTAKE!$A:$A,$T1429,INTAKE!$P:$P),0)</f>
        <v>0</v>
      </c>
      <c r="L1429" s="1702">
        <f>+G1429+H1429+I1429-J1429-K1429</f>
        <v>0</v>
      </c>
      <c r="M1429" s="102"/>
      <c r="N1429" s="103"/>
      <c r="O1429" s="102"/>
      <c r="P1429" s="739"/>
      <c r="Q1429" s="795"/>
      <c r="R1429" s="785">
        <f>IFERROR(VLOOKUP($Q1429,'391'!$S:$Z,8,0),"")</f>
        <v>0</v>
      </c>
      <c r="S1429" s="796"/>
      <c r="T1429" s="797" t="str">
        <f>$Q$1432&amp;C1429&amp;E1429</f>
        <v>Levucell sb 10 me titan (Poland)D246237</v>
      </c>
      <c r="U1429" s="797"/>
      <c r="V1429" s="797"/>
      <c r="W1429" s="785">
        <f>IFERROR(VLOOKUP($Q1429,'391'!$S:$AG,15,0),0)</f>
        <v>0</v>
      </c>
      <c r="X1429" s="1090">
        <f t="shared" si="866"/>
        <v>0</v>
      </c>
      <c r="Y1429" s="785"/>
      <c r="Z1429" s="785"/>
      <c r="AA1429" s="797"/>
      <c r="AB1429" s="797"/>
      <c r="AC1429" s="551"/>
      <c r="AD1429" s="551"/>
      <c r="AE1429" s="551"/>
      <c r="AF1429" s="551"/>
      <c r="AG1429" s="551"/>
      <c r="AH1429" s="551"/>
      <c r="AI1429" s="704"/>
      <c r="AJ1429" s="704"/>
      <c r="AK1429" s="704"/>
      <c r="AL1429" s="704"/>
      <c r="AM1429" s="704"/>
      <c r="AN1429" s="704"/>
      <c r="AO1429" s="704"/>
      <c r="AP1429" s="704"/>
      <c r="AQ1429" s="704"/>
      <c r="AR1429" s="704"/>
      <c r="AS1429" s="704"/>
    </row>
    <row r="1430" spans="1:45" s="265" customFormat="1" ht="30" customHeight="1" x14ac:dyDescent="0.25">
      <c r="A1430" s="2121"/>
      <c r="B1430" s="2082"/>
      <c r="C1430" s="574" t="s">
        <v>1868</v>
      </c>
      <c r="D1430" s="881" t="s">
        <v>10</v>
      </c>
      <c r="E1430" s="882">
        <v>46269</v>
      </c>
      <c r="F1430" s="71">
        <f>$L$7-E1430</f>
        <v>17</v>
      </c>
      <c r="G1430" s="64">
        <v>280</v>
      </c>
      <c r="H1430" s="64"/>
      <c r="I1430" s="64"/>
      <c r="J1430" s="1367"/>
      <c r="K1430" s="64">
        <f>IFERROR(SUMIF(INTAKE!$A:$A,$T1430,INTAKE!$P:$P),0)</f>
        <v>0</v>
      </c>
      <c r="L1430" s="1702">
        <f>+G1430+H1430+I1430-J1430-K1430</f>
        <v>280</v>
      </c>
      <c r="M1430" s="102"/>
      <c r="N1430" s="103"/>
      <c r="O1430" s="102"/>
      <c r="P1430" s="739"/>
      <c r="Q1430" s="795"/>
      <c r="R1430" s="785">
        <f>IFERROR(VLOOKUP($Q1430,'391'!$S:$Z,8,0),"")</f>
        <v>0</v>
      </c>
      <c r="S1430" s="796"/>
      <c r="T1430" s="797" t="str">
        <f>$Q$1432&amp;C1430&amp;E1430</f>
        <v>Levucell sb 10 me titan (Poland)D246269</v>
      </c>
      <c r="U1430" s="797"/>
      <c r="V1430" s="797"/>
      <c r="W1430" s="785">
        <f>IFERROR(VLOOKUP($Q1430,'391'!$S:$AG,15,0),0)</f>
        <v>0</v>
      </c>
      <c r="X1430" s="1090">
        <f t="shared" si="866"/>
        <v>280</v>
      </c>
      <c r="Y1430" s="785"/>
      <c r="Z1430" s="785"/>
      <c r="AA1430" s="797"/>
      <c r="AB1430" s="797"/>
      <c r="AC1430" s="551"/>
      <c r="AD1430" s="551"/>
      <c r="AE1430" s="551"/>
      <c r="AF1430" s="551"/>
      <c r="AG1430" s="551"/>
      <c r="AH1430" s="551"/>
      <c r="AI1430" s="704"/>
      <c r="AJ1430" s="704"/>
      <c r="AK1430" s="704"/>
      <c r="AL1430" s="704"/>
      <c r="AM1430" s="704"/>
      <c r="AN1430" s="704"/>
      <c r="AO1430" s="704"/>
      <c r="AP1430" s="704"/>
      <c r="AQ1430" s="704"/>
      <c r="AR1430" s="704"/>
      <c r="AS1430" s="704"/>
    </row>
    <row r="1431" spans="1:45" s="265" customFormat="1" ht="30" customHeight="1" x14ac:dyDescent="0.25">
      <c r="A1431" s="2085"/>
      <c r="B1431" s="2068"/>
      <c r="C1431" s="108" t="s">
        <v>46</v>
      </c>
      <c r="D1431" s="884" t="s">
        <v>10</v>
      </c>
      <c r="E1431" s="885">
        <v>46269</v>
      </c>
      <c r="F1431" s="293">
        <f>$L$7-E1431</f>
        <v>17</v>
      </c>
      <c r="G1431" s="1214">
        <v>109.44999999999996</v>
      </c>
      <c r="H1431" s="37"/>
      <c r="I1431" s="37">
        <f>+K1429+K1428+K1430</f>
        <v>0</v>
      </c>
      <c r="J1431" s="1385">
        <f>usage!I100</f>
        <v>20.93</v>
      </c>
      <c r="K1431" s="64">
        <f>IFERROR(SUMIF(INTAKE!$A:$A,$T1431,INTAKE!$P:$P),0)</f>
        <v>0</v>
      </c>
      <c r="L1431" s="1533">
        <f>+G1431+H1431+I1431-J1431-K1431</f>
        <v>88.519999999999953</v>
      </c>
      <c r="M1431" s="98"/>
      <c r="N1431" s="1473"/>
      <c r="O1431" s="98"/>
      <c r="P1431" s="759"/>
      <c r="Q1431" s="666" t="s">
        <v>1726</v>
      </c>
      <c r="R1431" s="785">
        <f>IFERROR(VLOOKUP($Q1431,'391'!$S:$Z,8,0),"0")</f>
        <v>0</v>
      </c>
      <c r="S1431" s="796"/>
      <c r="T1431" s="797" t="str">
        <f>$Q$1432&amp;C1431&amp;E1431</f>
        <v>Levucell sb 10 me titan (Poland)Feedmill46269</v>
      </c>
      <c r="U1431" s="797"/>
      <c r="V1431" s="797"/>
      <c r="W1431" s="785">
        <f>IFERROR(VLOOKUP($Q1431,'391'!$S:$AG,15,0),0)</f>
        <v>12.96</v>
      </c>
      <c r="X1431" s="1090">
        <f t="shared" si="866"/>
        <v>96.489999999999952</v>
      </c>
      <c r="Y1431" s="785"/>
      <c r="Z1431" s="785"/>
      <c r="AA1431" s="797"/>
      <c r="AB1431" s="797"/>
      <c r="AC1431" s="551"/>
      <c r="AD1431" s="551"/>
      <c r="AE1431" s="551"/>
      <c r="AF1431" s="551"/>
      <c r="AG1431" s="551"/>
      <c r="AH1431" s="551"/>
      <c r="AI1431" s="704"/>
      <c r="AJ1431" s="704"/>
      <c r="AK1431" s="704"/>
      <c r="AL1431" s="704"/>
      <c r="AM1431" s="704"/>
      <c r="AN1431" s="704"/>
      <c r="AO1431" s="704"/>
      <c r="AP1431" s="704"/>
      <c r="AQ1431" s="704"/>
      <c r="AR1431" s="704"/>
      <c r="AS1431" s="704"/>
    </row>
    <row r="1432" spans="1:45" s="265" customFormat="1" ht="30" customHeight="1" x14ac:dyDescent="0.25">
      <c r="A1432" s="184"/>
      <c r="B1432" s="184" t="s">
        <v>1197</v>
      </c>
      <c r="C1432" s="575"/>
      <c r="D1432" s="900"/>
      <c r="E1432" s="901"/>
      <c r="F1432" s="902"/>
      <c r="G1432" s="1297">
        <v>389.44999999999993</v>
      </c>
      <c r="H1432" s="1297">
        <f>+SUM(H1428:H1431)</f>
        <v>0</v>
      </c>
      <c r="I1432" s="1297">
        <f t="shared" ref="I1432:L1432" si="870">+SUM(I1428:I1431)</f>
        <v>0</v>
      </c>
      <c r="J1432" s="1297">
        <f t="shared" si="870"/>
        <v>20.93</v>
      </c>
      <c r="K1432" s="1297">
        <f t="shared" si="870"/>
        <v>0</v>
      </c>
      <c r="L1432" s="1297">
        <f t="shared" si="870"/>
        <v>368.52</v>
      </c>
      <c r="M1432" s="59">
        <f>IFERROR($S$1432/$S$2,"")</f>
        <v>15.946666666666667</v>
      </c>
      <c r="N1432" s="99">
        <f>IFERROR(L1432/M1432,0)</f>
        <v>23.109531772575249</v>
      </c>
      <c r="O1432" s="59">
        <f>IFERROR(SUMIF(ETM!$A:$A,$Q1432,ETM!$E:$E),"")</f>
        <v>17.166666666666668</v>
      </c>
      <c r="P1432" s="741">
        <f>IFERROR(L1432/O1432,0)</f>
        <v>21.467184466019415</v>
      </c>
      <c r="Q1432" s="809" t="s">
        <v>1198</v>
      </c>
      <c r="R1432" s="785">
        <f>IFERROR(VLOOKUP($Q1432,'391'!$S:$Z,8,0),"0")</f>
        <v>95.68</v>
      </c>
      <c r="S1432" s="796">
        <f>+R1431+R1432</f>
        <v>95.68</v>
      </c>
      <c r="T1432" s="797"/>
      <c r="U1432" s="797"/>
      <c r="V1432" s="797"/>
      <c r="W1432" s="821">
        <f>IFERROR(VLOOKUP($Q1432,'391'!$S:$AG,15,0),0)</f>
        <v>376.49</v>
      </c>
      <c r="X1432" s="1231">
        <f>G1432-W1432-W1431</f>
        <v>-7.815970093361102E-14</v>
      </c>
      <c r="Y1432" s="785"/>
      <c r="Z1432" s="785"/>
      <c r="AA1432" s="797"/>
      <c r="AB1432" s="797"/>
      <c r="AC1432" s="683"/>
      <c r="AD1432" s="551"/>
      <c r="AE1432" s="551"/>
      <c r="AF1432" s="551"/>
      <c r="AG1432" s="551"/>
      <c r="AH1432" s="551"/>
      <c r="AI1432" s="704"/>
      <c r="AJ1432" s="704"/>
      <c r="AK1432" s="704"/>
      <c r="AL1432" s="704"/>
      <c r="AM1432" s="704"/>
      <c r="AN1432" s="704"/>
      <c r="AO1432" s="704"/>
      <c r="AP1432" s="704"/>
      <c r="AQ1432" s="704"/>
      <c r="AR1432" s="704"/>
      <c r="AS1432" s="704"/>
    </row>
    <row r="1433" spans="1:45" s="265" customFormat="1" ht="30" hidden="1" customHeight="1" x14ac:dyDescent="0.25">
      <c r="A1433" s="2083" t="str">
        <f>IF(L1436=0,"",MAX($A$16:A1432)+1)</f>
        <v/>
      </c>
      <c r="B1433" s="2075" t="s">
        <v>1260</v>
      </c>
      <c r="C1433" s="574"/>
      <c r="D1433" s="881" t="s">
        <v>10</v>
      </c>
      <c r="E1433" s="882">
        <v>44972</v>
      </c>
      <c r="F1433" s="71">
        <f>$L$7-E1433</f>
        <v>1314</v>
      </c>
      <c r="G1433" s="64">
        <v>0</v>
      </c>
      <c r="H1433" s="64"/>
      <c r="I1433" s="64"/>
      <c r="J1433" s="1367"/>
      <c r="K1433" s="64">
        <f>IFERROR(SUMIF(INTAKE!$A:$A,$T1433,INTAKE!$P:$P),0)</f>
        <v>0</v>
      </c>
      <c r="L1433" s="1533">
        <f t="shared" ref="L1433:L1485" si="871">+G1433+H1433+I1433-J1433-K1433</f>
        <v>0</v>
      </c>
      <c r="M1433" s="102"/>
      <c r="N1433" s="103"/>
      <c r="O1433" s="102"/>
      <c r="P1433" s="739"/>
      <c r="Q1433" s="795"/>
      <c r="R1433" s="785">
        <f>IFERROR(VLOOKUP($Q1433,'391'!$S:$Z,8,0),"")</f>
        <v>0</v>
      </c>
      <c r="S1433" s="796"/>
      <c r="T1433" s="797" t="str">
        <f>$Q$1436&amp;C1433&amp;E1433</f>
        <v>Megacid-F (singapore)44972</v>
      </c>
      <c r="U1433" s="797"/>
      <c r="V1433" s="797"/>
      <c r="W1433" s="785">
        <f>IFERROR(VLOOKUP($Q1433,'391'!$S:$AG,15,0),0)</f>
        <v>0</v>
      </c>
      <c r="X1433" s="1090">
        <f t="shared" si="866"/>
        <v>0</v>
      </c>
      <c r="Y1433" s="785"/>
      <c r="Z1433" s="785"/>
      <c r="AA1433" s="797"/>
      <c r="AB1433" s="797"/>
      <c r="AC1433" s="551"/>
      <c r="AD1433" s="551"/>
      <c r="AE1433" s="551"/>
      <c r="AF1433" s="551"/>
      <c r="AG1433" s="551"/>
      <c r="AH1433" s="551"/>
      <c r="AI1433" s="704"/>
      <c r="AJ1433" s="704"/>
      <c r="AK1433" s="704"/>
      <c r="AL1433" s="704"/>
      <c r="AM1433" s="704"/>
      <c r="AN1433" s="704"/>
      <c r="AO1433" s="704"/>
      <c r="AP1433" s="704"/>
      <c r="AQ1433" s="704"/>
      <c r="AR1433" s="704"/>
      <c r="AS1433" s="704"/>
    </row>
    <row r="1434" spans="1:45" s="265" customFormat="1" ht="30" hidden="1" customHeight="1" x14ac:dyDescent="0.25">
      <c r="A1434" s="2084"/>
      <c r="B1434" s="2076"/>
      <c r="C1434" s="574"/>
      <c r="D1434" s="881" t="s">
        <v>10</v>
      </c>
      <c r="E1434" s="882">
        <v>44924</v>
      </c>
      <c r="F1434" s="71">
        <f>$L$7-E1434</f>
        <v>1362</v>
      </c>
      <c r="G1434" s="64">
        <v>0</v>
      </c>
      <c r="H1434" s="64"/>
      <c r="I1434" s="64"/>
      <c r="J1434" s="1367"/>
      <c r="K1434" s="64">
        <f>IFERROR(SUMIF(INTAKE!$A:$A,$T1434,INTAKE!$P:$P),0)</f>
        <v>0</v>
      </c>
      <c r="L1434" s="1533">
        <f t="shared" si="871"/>
        <v>0</v>
      </c>
      <c r="M1434" s="102"/>
      <c r="N1434" s="103"/>
      <c r="O1434" s="102"/>
      <c r="P1434" s="739"/>
      <c r="Q1434" s="795"/>
      <c r="R1434" s="785">
        <f>IFERROR(VLOOKUP($Q1434,'391'!$S:$Z,8,0),"")</f>
        <v>0</v>
      </c>
      <c r="S1434" s="796"/>
      <c r="T1434" s="797" t="str">
        <f>$Q$1436&amp;C1434&amp;E1434</f>
        <v>Megacid-F (singapore)44924</v>
      </c>
      <c r="U1434" s="797"/>
      <c r="V1434" s="797"/>
      <c r="W1434" s="785">
        <f>IFERROR(VLOOKUP($Q1434,'391'!$S:$AG,15,0),0)</f>
        <v>0</v>
      </c>
      <c r="X1434" s="1090">
        <f t="shared" si="866"/>
        <v>0</v>
      </c>
      <c r="Y1434" s="785"/>
      <c r="Z1434" s="785"/>
      <c r="AA1434" s="797"/>
      <c r="AB1434" s="797"/>
      <c r="AC1434" s="551"/>
      <c r="AD1434" s="551"/>
      <c r="AE1434" s="551"/>
      <c r="AF1434" s="551"/>
      <c r="AG1434" s="551"/>
      <c r="AH1434" s="551"/>
      <c r="AI1434" s="704"/>
      <c r="AJ1434" s="704"/>
      <c r="AK1434" s="704"/>
      <c r="AL1434" s="704"/>
      <c r="AM1434" s="704"/>
      <c r="AN1434" s="704"/>
      <c r="AO1434" s="704"/>
      <c r="AP1434" s="704"/>
      <c r="AQ1434" s="704"/>
      <c r="AR1434" s="704"/>
      <c r="AS1434" s="704"/>
    </row>
    <row r="1435" spans="1:45" s="265" customFormat="1" ht="30" hidden="1" customHeight="1" x14ac:dyDescent="0.25">
      <c r="A1435" s="2085"/>
      <c r="B1435" s="2068"/>
      <c r="C1435" s="138" t="s">
        <v>76</v>
      </c>
      <c r="D1435" s="884" t="s">
        <v>10</v>
      </c>
      <c r="E1435" s="885">
        <v>44972</v>
      </c>
      <c r="F1435" s="293">
        <f>$L$7-E1435</f>
        <v>1314</v>
      </c>
      <c r="G1435" s="1214">
        <v>0</v>
      </c>
      <c r="H1435" s="37"/>
      <c r="I1435" s="37">
        <f>+K1434+K1433</f>
        <v>0</v>
      </c>
      <c r="J1435" s="1385">
        <f>usage!I178</f>
        <v>0</v>
      </c>
      <c r="K1435" s="64">
        <f>IFERROR(SUMIF(INTAKE!$A:$A,$T1435,INTAKE!$P:$P),0)</f>
        <v>0</v>
      </c>
      <c r="L1435" s="1533">
        <f t="shared" si="871"/>
        <v>0</v>
      </c>
      <c r="M1435" s="98"/>
      <c r="N1435" s="1473"/>
      <c r="O1435" s="98"/>
      <c r="P1435" s="759"/>
      <c r="Q1435" s="795"/>
      <c r="R1435" s="785">
        <f>IFERROR(VLOOKUP($Q1435,'391'!$S:$Z,8,0),"")</f>
        <v>0</v>
      </c>
      <c r="S1435" s="796"/>
      <c r="T1435" s="797" t="str">
        <f>$Q$1436&amp;C1435&amp;E1435</f>
        <v>Megacid-F (singapore)Feedmil44972</v>
      </c>
      <c r="U1435" s="797"/>
      <c r="V1435" s="797"/>
      <c r="W1435" s="785">
        <f>IFERROR(VLOOKUP($Q1435,'391'!$S:$AG,15,0),0)</f>
        <v>0</v>
      </c>
      <c r="X1435" s="1090">
        <f t="shared" si="866"/>
        <v>0</v>
      </c>
      <c r="Y1435" s="785"/>
      <c r="Z1435" s="785"/>
      <c r="AA1435" s="797"/>
      <c r="AB1435" s="797"/>
      <c r="AC1435" s="551"/>
      <c r="AD1435" s="551"/>
      <c r="AE1435" s="551"/>
      <c r="AF1435" s="551"/>
      <c r="AG1435" s="551"/>
      <c r="AH1435" s="551"/>
      <c r="AI1435" s="704"/>
      <c r="AJ1435" s="704"/>
      <c r="AK1435" s="704"/>
      <c r="AL1435" s="704"/>
      <c r="AM1435" s="704"/>
      <c r="AN1435" s="704"/>
      <c r="AO1435" s="704"/>
      <c r="AP1435" s="704"/>
      <c r="AQ1435" s="704"/>
      <c r="AR1435" s="704"/>
      <c r="AS1435" s="704"/>
    </row>
    <row r="1436" spans="1:45" s="265" customFormat="1" ht="30" hidden="1" customHeight="1" x14ac:dyDescent="0.25">
      <c r="A1436" s="184"/>
      <c r="B1436" s="184" t="s">
        <v>1262</v>
      </c>
      <c r="C1436" s="575"/>
      <c r="D1436" s="900"/>
      <c r="E1436" s="901"/>
      <c r="F1436" s="902"/>
      <c r="G1436" s="1297">
        <v>0</v>
      </c>
      <c r="H1436" s="1297">
        <f>+SUM(H1433:H1435)</f>
        <v>0</v>
      </c>
      <c r="I1436" s="1297">
        <f t="shared" ref="I1436:K1436" si="872">+SUM(I1433:I1435)</f>
        <v>0</v>
      </c>
      <c r="J1436" s="1297">
        <f t="shared" si="872"/>
        <v>0</v>
      </c>
      <c r="K1436" s="1297">
        <f t="shared" si="872"/>
        <v>0</v>
      </c>
      <c r="L1436" s="1533">
        <f t="shared" si="871"/>
        <v>0</v>
      </c>
      <c r="M1436" s="59" t="str">
        <f>IFERROR(R1436/$S$2,"")</f>
        <v/>
      </c>
      <c r="N1436" s="99">
        <f>IFERROR(L1436/M1436,0)</f>
        <v>0</v>
      </c>
      <c r="O1436" s="59">
        <f>IFERROR(SUMIF(ETM!$A:$A,$Q1436,ETM!$E:$E),"")</f>
        <v>0</v>
      </c>
      <c r="P1436" s="741">
        <f>IFERROR(L1436/O1436,0)</f>
        <v>0</v>
      </c>
      <c r="Q1436" s="809" t="s">
        <v>1260</v>
      </c>
      <c r="R1436" s="785" t="str">
        <f>IFERROR(VLOOKUP($Q1436,'391'!$S:$Z,8,0),"")</f>
        <v/>
      </c>
      <c r="S1436" s="796"/>
      <c r="T1436" s="797"/>
      <c r="U1436" s="797"/>
      <c r="V1436" s="797"/>
      <c r="W1436" s="785">
        <f>IFERROR(VLOOKUP($Q1436,'391'!$S:$AG,15,0),0)</f>
        <v>0</v>
      </c>
      <c r="X1436" s="1090">
        <f t="shared" si="866"/>
        <v>0</v>
      </c>
      <c r="Y1436" s="785"/>
      <c r="Z1436" s="785"/>
      <c r="AA1436" s="797"/>
      <c r="AB1436" s="797"/>
      <c r="AC1436" s="683"/>
      <c r="AD1436" s="551"/>
      <c r="AE1436" s="551"/>
      <c r="AF1436" s="551"/>
      <c r="AG1436" s="551"/>
      <c r="AH1436" s="551"/>
      <c r="AI1436" s="704"/>
      <c r="AJ1436" s="704"/>
      <c r="AK1436" s="704"/>
      <c r="AL1436" s="704"/>
      <c r="AM1436" s="704"/>
      <c r="AN1436" s="704"/>
      <c r="AO1436" s="704"/>
      <c r="AP1436" s="704"/>
      <c r="AQ1436" s="704"/>
      <c r="AR1436" s="704"/>
      <c r="AS1436" s="704"/>
    </row>
    <row r="1437" spans="1:45" s="265" customFormat="1" ht="30" hidden="1" customHeight="1" x14ac:dyDescent="0.25">
      <c r="A1437" s="2083" t="str">
        <f>IF(L1440=0,"",MAX($A$16:A1436)+1)</f>
        <v/>
      </c>
      <c r="B1437" s="2075" t="s">
        <v>1265</v>
      </c>
      <c r="C1437" s="574" t="s">
        <v>579</v>
      </c>
      <c r="D1437" s="881" t="s">
        <v>10</v>
      </c>
      <c r="E1437" s="882">
        <v>44978</v>
      </c>
      <c r="F1437" s="71">
        <f>$L$7-E1437</f>
        <v>1308</v>
      </c>
      <c r="G1437" s="64">
        <v>0</v>
      </c>
      <c r="H1437" s="64"/>
      <c r="I1437" s="64"/>
      <c r="J1437" s="1367"/>
      <c r="K1437" s="64">
        <f>IFERROR(SUMIF(INTAKE!$A:$A,$T1437,INTAKE!$P:$P),0)</f>
        <v>0</v>
      </c>
      <c r="L1437" s="1533">
        <f t="shared" si="871"/>
        <v>0</v>
      </c>
      <c r="M1437" s="102"/>
      <c r="N1437" s="103"/>
      <c r="O1437" s="102"/>
      <c r="P1437" s="739"/>
      <c r="Q1437" s="795"/>
      <c r="R1437" s="785">
        <f>IFERROR(VLOOKUP($Q1437,'391'!$S:$Z,8,0),"")</f>
        <v>0</v>
      </c>
      <c r="S1437" s="796"/>
      <c r="T1437" s="797" t="str">
        <f>$Q$1440&amp;C1437&amp;E1437</f>
        <v>FRA Butyrin Ultra (Netherlands)V8.144978</v>
      </c>
      <c r="U1437" s="797"/>
      <c r="V1437" s="797"/>
      <c r="W1437" s="785">
        <f>IFERROR(VLOOKUP($Q1437,'391'!$S:$AG,15,0),0)</f>
        <v>0</v>
      </c>
      <c r="X1437" s="1090">
        <f t="shared" si="866"/>
        <v>0</v>
      </c>
      <c r="Y1437" s="785"/>
      <c r="Z1437" s="785"/>
      <c r="AA1437" s="797"/>
      <c r="AB1437" s="797"/>
      <c r="AC1437" s="551"/>
      <c r="AD1437" s="551"/>
      <c r="AE1437" s="551"/>
      <c r="AF1437" s="551"/>
      <c r="AG1437" s="551"/>
      <c r="AH1437" s="551"/>
      <c r="AI1437" s="704"/>
      <c r="AJ1437" s="704"/>
      <c r="AK1437" s="704"/>
      <c r="AL1437" s="704"/>
      <c r="AM1437" s="704"/>
      <c r="AN1437" s="704"/>
      <c r="AO1437" s="704"/>
      <c r="AP1437" s="704"/>
      <c r="AQ1437" s="704"/>
      <c r="AR1437" s="704"/>
      <c r="AS1437" s="704"/>
    </row>
    <row r="1438" spans="1:45" s="265" customFormat="1" ht="30" hidden="1" customHeight="1" x14ac:dyDescent="0.25">
      <c r="A1438" s="2084"/>
      <c r="B1438" s="2076"/>
      <c r="C1438" s="574"/>
      <c r="D1438" s="881" t="s">
        <v>10</v>
      </c>
      <c r="E1438" s="882">
        <v>44924</v>
      </c>
      <c r="F1438" s="71">
        <f>$L$7-E1438</f>
        <v>1362</v>
      </c>
      <c r="G1438" s="64">
        <v>0</v>
      </c>
      <c r="H1438" s="64"/>
      <c r="I1438" s="64"/>
      <c r="J1438" s="1367"/>
      <c r="K1438" s="64">
        <f>IFERROR(SUMIF(INTAKE!$A:$A,$T1438,INTAKE!$P:$P),0)</f>
        <v>0</v>
      </c>
      <c r="L1438" s="1533">
        <f t="shared" si="871"/>
        <v>0</v>
      </c>
      <c r="M1438" s="102"/>
      <c r="N1438" s="103"/>
      <c r="O1438" s="102"/>
      <c r="P1438" s="739"/>
      <c r="Q1438" s="795"/>
      <c r="R1438" s="785">
        <f>IFERROR(VLOOKUP($Q1438,'391'!$S:$Z,8,0),"")</f>
        <v>0</v>
      </c>
      <c r="S1438" s="796"/>
      <c r="T1438" s="797" t="str">
        <f>$Q$1440&amp;C1438&amp;E1438</f>
        <v>FRA Butyrin Ultra (Netherlands)44924</v>
      </c>
      <c r="U1438" s="797"/>
      <c r="V1438" s="797"/>
      <c r="W1438" s="785">
        <f>IFERROR(VLOOKUP($Q1438,'391'!$S:$AG,15,0),0)</f>
        <v>0</v>
      </c>
      <c r="X1438" s="1090">
        <f t="shared" si="866"/>
        <v>0</v>
      </c>
      <c r="Y1438" s="785"/>
      <c r="Z1438" s="785"/>
      <c r="AA1438" s="797"/>
      <c r="AB1438" s="797"/>
      <c r="AC1438" s="551"/>
      <c r="AD1438" s="551"/>
      <c r="AE1438" s="551"/>
      <c r="AF1438" s="551"/>
      <c r="AG1438" s="551"/>
      <c r="AH1438" s="551"/>
      <c r="AI1438" s="704"/>
      <c r="AJ1438" s="704"/>
      <c r="AK1438" s="704"/>
      <c r="AL1438" s="704"/>
      <c r="AM1438" s="704"/>
      <c r="AN1438" s="704"/>
      <c r="AO1438" s="704"/>
      <c r="AP1438" s="704"/>
      <c r="AQ1438" s="704"/>
      <c r="AR1438" s="704"/>
      <c r="AS1438" s="704"/>
    </row>
    <row r="1439" spans="1:45" s="265" customFormat="1" ht="30" hidden="1" customHeight="1" x14ac:dyDescent="0.25">
      <c r="A1439" s="2085"/>
      <c r="B1439" s="2068"/>
      <c r="C1439" s="138" t="s">
        <v>76</v>
      </c>
      <c r="D1439" s="884" t="s">
        <v>10</v>
      </c>
      <c r="E1439" s="885">
        <v>44978</v>
      </c>
      <c r="F1439" s="293">
        <f>$L$7-E1439</f>
        <v>1308</v>
      </c>
      <c r="G1439" s="1214">
        <v>0</v>
      </c>
      <c r="H1439" s="37"/>
      <c r="I1439" s="37">
        <f>+K1438+K1437</f>
        <v>0</v>
      </c>
      <c r="J1439" s="1385">
        <f>usage!I179</f>
        <v>0</v>
      </c>
      <c r="K1439" s="64">
        <f>IFERROR(SUMIF(INTAKE!$A:$A,$T1439,INTAKE!$P:$P),0)</f>
        <v>0</v>
      </c>
      <c r="L1439" s="1533">
        <f t="shared" si="871"/>
        <v>0</v>
      </c>
      <c r="M1439" s="98"/>
      <c r="N1439" s="1473"/>
      <c r="O1439" s="98"/>
      <c r="P1439" s="759"/>
      <c r="Q1439" s="795"/>
      <c r="R1439" s="785">
        <f>IFERROR(VLOOKUP($Q1439,'391'!$S:$Z,8,0),"")</f>
        <v>0</v>
      </c>
      <c r="S1439" s="796"/>
      <c r="T1439" s="797" t="str">
        <f>$Q$1440&amp;C1439&amp;E1439</f>
        <v>FRA Butyrin Ultra (Netherlands)Feedmil44978</v>
      </c>
      <c r="U1439" s="797"/>
      <c r="V1439" s="797"/>
      <c r="W1439" s="785">
        <f>IFERROR(VLOOKUP($Q1439,'391'!$S:$AG,15,0),0)</f>
        <v>0</v>
      </c>
      <c r="X1439" s="1090">
        <f t="shared" si="866"/>
        <v>0</v>
      </c>
      <c r="Y1439" s="785"/>
      <c r="Z1439" s="785"/>
      <c r="AA1439" s="797"/>
      <c r="AB1439" s="797"/>
      <c r="AC1439" s="551"/>
      <c r="AD1439" s="551"/>
      <c r="AE1439" s="551"/>
      <c r="AF1439" s="551"/>
      <c r="AG1439" s="551"/>
      <c r="AH1439" s="551"/>
      <c r="AI1439" s="704"/>
      <c r="AJ1439" s="704"/>
      <c r="AK1439" s="704"/>
      <c r="AL1439" s="704"/>
      <c r="AM1439" s="704"/>
      <c r="AN1439" s="704"/>
      <c r="AO1439" s="704"/>
      <c r="AP1439" s="704"/>
      <c r="AQ1439" s="704"/>
      <c r="AR1439" s="704"/>
      <c r="AS1439" s="704"/>
    </row>
    <row r="1440" spans="1:45" s="265" customFormat="1" ht="30" hidden="1" customHeight="1" x14ac:dyDescent="0.25">
      <c r="A1440" s="184"/>
      <c r="B1440" s="184" t="s">
        <v>1266</v>
      </c>
      <c r="C1440" s="575"/>
      <c r="D1440" s="900"/>
      <c r="E1440" s="901"/>
      <c r="F1440" s="902"/>
      <c r="G1440" s="1297">
        <v>0</v>
      </c>
      <c r="H1440" s="1297">
        <f>+SUM(H1437:H1439)</f>
        <v>0</v>
      </c>
      <c r="I1440" s="1297">
        <f t="shared" ref="I1440:K1440" si="873">+SUM(I1437:I1439)</f>
        <v>0</v>
      </c>
      <c r="J1440" s="1297">
        <f t="shared" si="873"/>
        <v>0</v>
      </c>
      <c r="K1440" s="1297">
        <f t="shared" si="873"/>
        <v>0</v>
      </c>
      <c r="L1440" s="1533">
        <f t="shared" si="871"/>
        <v>0</v>
      </c>
      <c r="M1440" s="59" t="str">
        <f>IFERROR(R1440/$S$2,"")</f>
        <v/>
      </c>
      <c r="N1440" s="99">
        <f>IFERROR(L1440/M1440,0)</f>
        <v>0</v>
      </c>
      <c r="O1440" s="59">
        <f>IFERROR(SUMIF(ETM!$A:$A,$Q1440,ETM!$E:$E),"")</f>
        <v>0</v>
      </c>
      <c r="P1440" s="741">
        <f>IFERROR(L1440/O1440,0)</f>
        <v>0</v>
      </c>
      <c r="Q1440" s="809" t="s">
        <v>1265</v>
      </c>
      <c r="R1440" s="785" t="str">
        <f>IFERROR(VLOOKUP($Q1440,'391'!$S:$Z,8,0),"")</f>
        <v/>
      </c>
      <c r="S1440" s="796"/>
      <c r="T1440" s="797"/>
      <c r="U1440" s="797"/>
      <c r="V1440" s="797"/>
      <c r="W1440" s="785">
        <f>IFERROR(VLOOKUP($Q1440,'391'!$S:$AG,15,0),0)</f>
        <v>0</v>
      </c>
      <c r="X1440" s="1090">
        <f t="shared" si="866"/>
        <v>0</v>
      </c>
      <c r="Y1440" s="785"/>
      <c r="Z1440" s="785"/>
      <c r="AA1440" s="797"/>
      <c r="AB1440" s="797"/>
      <c r="AC1440" s="683">
        <v>0.69999999999998863</v>
      </c>
      <c r="AD1440" s="551"/>
      <c r="AE1440" s="551"/>
      <c r="AF1440" s="551"/>
      <c r="AG1440" s="551"/>
      <c r="AH1440" s="551"/>
      <c r="AI1440" s="704"/>
      <c r="AJ1440" s="704"/>
      <c r="AK1440" s="704"/>
      <c r="AL1440" s="704"/>
      <c r="AM1440" s="704"/>
      <c r="AN1440" s="704"/>
      <c r="AO1440" s="704"/>
      <c r="AP1440" s="704"/>
      <c r="AQ1440" s="704"/>
      <c r="AR1440" s="704"/>
      <c r="AS1440" s="704"/>
    </row>
    <row r="1441" spans="1:45" s="265" customFormat="1" ht="30" hidden="1" customHeight="1" x14ac:dyDescent="0.25">
      <c r="A1441" s="2083" t="str">
        <f>IF(L1444=0,"",MAX($A$16:A1440)+1)</f>
        <v/>
      </c>
      <c r="B1441" s="2075" t="s">
        <v>1267</v>
      </c>
      <c r="C1441" s="574" t="s">
        <v>579</v>
      </c>
      <c r="D1441" s="881" t="s">
        <v>10</v>
      </c>
      <c r="E1441" s="882">
        <v>44978</v>
      </c>
      <c r="F1441" s="71">
        <f>$L$7-E1441</f>
        <v>1308</v>
      </c>
      <c r="G1441" s="64">
        <v>0</v>
      </c>
      <c r="H1441" s="64"/>
      <c r="I1441" s="64"/>
      <c r="J1441" s="1367"/>
      <c r="K1441" s="64">
        <f>IFERROR(SUMIF(INTAKE!$A:$A,$T1441,INTAKE!$P:$P),0)</f>
        <v>0</v>
      </c>
      <c r="L1441" s="1533">
        <f t="shared" si="871"/>
        <v>0</v>
      </c>
      <c r="M1441" s="102"/>
      <c r="N1441" s="103"/>
      <c r="O1441" s="102"/>
      <c r="P1441" s="739"/>
      <c r="Q1441" s="795"/>
      <c r="R1441" s="785">
        <f>IFERROR(VLOOKUP($Q1441,'391'!$S:$Z,8,0),"")</f>
        <v>0</v>
      </c>
      <c r="S1441" s="796"/>
      <c r="T1441" s="797" t="str">
        <f>$Q$1444&amp;C1441&amp;E1441</f>
        <v>FRA Butyrin Mono (Netherlands)V8.144978</v>
      </c>
      <c r="U1441" s="797"/>
      <c r="V1441" s="797"/>
      <c r="W1441" s="785">
        <f>IFERROR(VLOOKUP($Q1441,'391'!$S:$AG,15,0),0)</f>
        <v>0</v>
      </c>
      <c r="X1441" s="1090">
        <f t="shared" si="866"/>
        <v>0</v>
      </c>
      <c r="Y1441" s="785"/>
      <c r="Z1441" s="785"/>
      <c r="AA1441" s="797"/>
      <c r="AB1441" s="797"/>
      <c r="AC1441" s="551"/>
      <c r="AD1441" s="551"/>
      <c r="AE1441" s="551"/>
      <c r="AF1441" s="551"/>
      <c r="AG1441" s="551"/>
      <c r="AH1441" s="551"/>
      <c r="AI1441" s="704"/>
      <c r="AJ1441" s="704"/>
      <c r="AK1441" s="704"/>
      <c r="AL1441" s="704"/>
      <c r="AM1441" s="704"/>
      <c r="AN1441" s="704"/>
      <c r="AO1441" s="704"/>
      <c r="AP1441" s="704"/>
      <c r="AQ1441" s="704"/>
      <c r="AR1441" s="704"/>
      <c r="AS1441" s="704"/>
    </row>
    <row r="1442" spans="1:45" s="265" customFormat="1" ht="30" hidden="1" customHeight="1" x14ac:dyDescent="0.25">
      <c r="A1442" s="2084"/>
      <c r="B1442" s="2076"/>
      <c r="C1442" s="574"/>
      <c r="D1442" s="881" t="s">
        <v>10</v>
      </c>
      <c r="E1442" s="882">
        <v>44924</v>
      </c>
      <c r="F1442" s="71">
        <f>$L$7-E1442</f>
        <v>1362</v>
      </c>
      <c r="G1442" s="64">
        <v>0</v>
      </c>
      <c r="H1442" s="64"/>
      <c r="I1442" s="64"/>
      <c r="J1442" s="1367"/>
      <c r="K1442" s="64">
        <f>IFERROR(SUMIF(INTAKE!$A:$A,$T1442,INTAKE!$P:$P),0)</f>
        <v>0</v>
      </c>
      <c r="L1442" s="1533">
        <f t="shared" si="871"/>
        <v>0</v>
      </c>
      <c r="M1442" s="102"/>
      <c r="N1442" s="103"/>
      <c r="O1442" s="102"/>
      <c r="P1442" s="739"/>
      <c r="Q1442" s="795"/>
      <c r="R1442" s="785">
        <f>IFERROR(VLOOKUP($Q1442,'391'!$S:$Z,8,0),"")</f>
        <v>0</v>
      </c>
      <c r="S1442" s="796"/>
      <c r="T1442" s="797" t="str">
        <f>$Q$1444&amp;C1442&amp;E1442</f>
        <v>FRA Butyrin Mono (Netherlands)44924</v>
      </c>
      <c r="U1442" s="797"/>
      <c r="V1442" s="797"/>
      <c r="W1442" s="785">
        <f>IFERROR(VLOOKUP($Q1442,'391'!$S:$AG,15,0),0)</f>
        <v>0</v>
      </c>
      <c r="X1442" s="1090">
        <f t="shared" si="866"/>
        <v>0</v>
      </c>
      <c r="Y1442" s="785"/>
      <c r="Z1442" s="785"/>
      <c r="AA1442" s="797"/>
      <c r="AB1442" s="797"/>
      <c r="AC1442" s="551"/>
      <c r="AD1442" s="551"/>
      <c r="AE1442" s="551"/>
      <c r="AF1442" s="551"/>
      <c r="AG1442" s="551"/>
      <c r="AH1442" s="551"/>
      <c r="AI1442" s="704"/>
      <c r="AJ1442" s="704"/>
      <c r="AK1442" s="704"/>
      <c r="AL1442" s="704"/>
      <c r="AM1442" s="704"/>
      <c r="AN1442" s="704"/>
      <c r="AO1442" s="704"/>
      <c r="AP1442" s="704"/>
      <c r="AQ1442" s="704"/>
      <c r="AR1442" s="704"/>
      <c r="AS1442" s="704"/>
    </row>
    <row r="1443" spans="1:45" s="265" customFormat="1" ht="30" hidden="1" customHeight="1" x14ac:dyDescent="0.25">
      <c r="A1443" s="2085"/>
      <c r="B1443" s="2068"/>
      <c r="C1443" s="138" t="s">
        <v>76</v>
      </c>
      <c r="D1443" s="884" t="s">
        <v>10</v>
      </c>
      <c r="E1443" s="885">
        <v>44978</v>
      </c>
      <c r="F1443" s="293">
        <f>$L$7-E1443</f>
        <v>1308</v>
      </c>
      <c r="G1443" s="1214">
        <v>0</v>
      </c>
      <c r="H1443" s="37"/>
      <c r="I1443" s="37">
        <f>+K1442+K1441</f>
        <v>0</v>
      </c>
      <c r="J1443" s="1385">
        <f>usage!I180</f>
        <v>0</v>
      </c>
      <c r="K1443" s="64">
        <f>IFERROR(SUMIF(INTAKE!$A:$A,$T1443,INTAKE!$P:$P),0)</f>
        <v>0</v>
      </c>
      <c r="L1443" s="1533">
        <f t="shared" si="871"/>
        <v>0</v>
      </c>
      <c r="M1443" s="98"/>
      <c r="N1443" s="1473"/>
      <c r="O1443" s="98"/>
      <c r="P1443" s="759"/>
      <c r="Q1443" s="795"/>
      <c r="R1443" s="785">
        <f>IFERROR(VLOOKUP($Q1443,'391'!$S:$Z,8,0),"")</f>
        <v>0</v>
      </c>
      <c r="S1443" s="796"/>
      <c r="T1443" s="797" t="str">
        <f>$Q$1444&amp;C1443&amp;E1443</f>
        <v>FRA Butyrin Mono (Netherlands)Feedmil44978</v>
      </c>
      <c r="U1443" s="797"/>
      <c r="V1443" s="797"/>
      <c r="W1443" s="785">
        <f>IFERROR(VLOOKUP($Q1443,'391'!$S:$AG,15,0),0)</f>
        <v>0</v>
      </c>
      <c r="X1443" s="1090">
        <f t="shared" si="866"/>
        <v>0</v>
      </c>
      <c r="Y1443" s="785"/>
      <c r="Z1443" s="785"/>
      <c r="AA1443" s="797"/>
      <c r="AB1443" s="797"/>
      <c r="AC1443" s="551"/>
      <c r="AD1443" s="551"/>
      <c r="AE1443" s="551"/>
      <c r="AF1443" s="551"/>
      <c r="AG1443" s="551"/>
      <c r="AH1443" s="551"/>
      <c r="AI1443" s="704"/>
      <c r="AJ1443" s="704"/>
      <c r="AK1443" s="704"/>
      <c r="AL1443" s="704"/>
      <c r="AM1443" s="704"/>
      <c r="AN1443" s="704"/>
      <c r="AO1443" s="704"/>
      <c r="AP1443" s="704"/>
      <c r="AQ1443" s="704"/>
      <c r="AR1443" s="704"/>
      <c r="AS1443" s="704"/>
    </row>
    <row r="1444" spans="1:45" s="265" customFormat="1" ht="30" hidden="1" customHeight="1" x14ac:dyDescent="0.25">
      <c r="A1444" s="184"/>
      <c r="B1444" s="184" t="s">
        <v>1268</v>
      </c>
      <c r="C1444" s="575"/>
      <c r="D1444" s="900"/>
      <c r="E1444" s="901"/>
      <c r="F1444" s="902"/>
      <c r="G1444" s="1297">
        <v>0</v>
      </c>
      <c r="H1444" s="1297">
        <f>+SUM(H1441:H1443)</f>
        <v>0</v>
      </c>
      <c r="I1444" s="1297">
        <f t="shared" ref="I1444:K1444" si="874">+SUM(I1441:I1443)</f>
        <v>0</v>
      </c>
      <c r="J1444" s="1297">
        <f t="shared" si="874"/>
        <v>0</v>
      </c>
      <c r="K1444" s="1297">
        <f t="shared" si="874"/>
        <v>0</v>
      </c>
      <c r="L1444" s="1533">
        <f t="shared" si="871"/>
        <v>0</v>
      </c>
      <c r="M1444" s="59" t="str">
        <f>IFERROR(R1444/$S$2,"")</f>
        <v/>
      </c>
      <c r="N1444" s="99">
        <f>IFERROR(L1444/M1444,0)</f>
        <v>0</v>
      </c>
      <c r="O1444" s="59">
        <f>IFERROR(SUMIF(ETM!$A:$A,$Q1444,ETM!$E:$E),"")</f>
        <v>0</v>
      </c>
      <c r="P1444" s="741">
        <f>IFERROR(L1444/O1444,0)</f>
        <v>0</v>
      </c>
      <c r="Q1444" s="809" t="s">
        <v>1267</v>
      </c>
      <c r="R1444" s="785" t="str">
        <f>IFERROR(VLOOKUP($Q1444,'391'!$S:$Z,8,0),"")</f>
        <v/>
      </c>
      <c r="S1444" s="796"/>
      <c r="T1444" s="797"/>
      <c r="U1444" s="797"/>
      <c r="V1444" s="797"/>
      <c r="W1444" s="785">
        <f>IFERROR(VLOOKUP($Q1444,'391'!$S:$AG,15,0),0)</f>
        <v>0</v>
      </c>
      <c r="X1444" s="1090">
        <f t="shared" si="866"/>
        <v>0</v>
      </c>
      <c r="Y1444" s="785"/>
      <c r="Z1444" s="785"/>
      <c r="AA1444" s="797"/>
      <c r="AB1444" s="797"/>
      <c r="AC1444" s="683"/>
      <c r="AD1444" s="551"/>
      <c r="AE1444" s="551"/>
      <c r="AF1444" s="551"/>
      <c r="AG1444" s="551"/>
      <c r="AH1444" s="551"/>
      <c r="AI1444" s="704"/>
      <c r="AJ1444" s="704"/>
      <c r="AK1444" s="704"/>
      <c r="AL1444" s="704"/>
      <c r="AM1444" s="704"/>
      <c r="AN1444" s="704"/>
      <c r="AO1444" s="704"/>
      <c r="AP1444" s="704"/>
      <c r="AQ1444" s="704"/>
      <c r="AR1444" s="704"/>
      <c r="AS1444" s="704"/>
    </row>
    <row r="1445" spans="1:45" s="265" customFormat="1" ht="30" hidden="1" customHeight="1" x14ac:dyDescent="0.25">
      <c r="A1445" s="2083" t="str">
        <f>IF(L1448=0,"",MAX($A$16:A1444)+1)</f>
        <v/>
      </c>
      <c r="B1445" s="2075" t="s">
        <v>1273</v>
      </c>
      <c r="C1445" s="574" t="s">
        <v>227</v>
      </c>
      <c r="D1445" s="881" t="s">
        <v>10</v>
      </c>
      <c r="E1445" s="882">
        <v>44986</v>
      </c>
      <c r="F1445" s="71">
        <f>$L$7-E1445</f>
        <v>1300</v>
      </c>
      <c r="G1445" s="64">
        <v>0</v>
      </c>
      <c r="H1445" s="64"/>
      <c r="I1445" s="64"/>
      <c r="J1445" s="1367"/>
      <c r="K1445" s="64">
        <f>IFERROR(SUMIF(INTAKE!$A:$A,$T1445,INTAKE!$P:$P),0)</f>
        <v>0</v>
      </c>
      <c r="L1445" s="1533">
        <f t="shared" si="871"/>
        <v>0</v>
      </c>
      <c r="M1445" s="102"/>
      <c r="N1445" s="103"/>
      <c r="O1445" s="102"/>
      <c r="P1445" s="739"/>
      <c r="Q1445" s="795"/>
      <c r="R1445" s="785">
        <f>IFERROR(VLOOKUP($Q1445,'391'!$S:$Z,8,0),"")</f>
        <v>0</v>
      </c>
      <c r="S1445" s="796"/>
      <c r="T1445" s="797" t="str">
        <f>$Q$1448&amp;C1445&amp;E1445</f>
        <v>Citrex Powder (Malaysia)V9.144986</v>
      </c>
      <c r="U1445" s="797"/>
      <c r="V1445" s="797"/>
      <c r="W1445" s="785">
        <f>IFERROR(VLOOKUP($Q1445,'391'!$S:$AG,15,0),0)</f>
        <v>0</v>
      </c>
      <c r="X1445" s="1090">
        <f t="shared" si="866"/>
        <v>0</v>
      </c>
      <c r="Y1445" s="785"/>
      <c r="Z1445" s="785"/>
      <c r="AA1445" s="797"/>
      <c r="AB1445" s="797"/>
      <c r="AC1445" s="551"/>
      <c r="AD1445" s="551"/>
      <c r="AE1445" s="551"/>
      <c r="AF1445" s="551"/>
      <c r="AG1445" s="551"/>
      <c r="AH1445" s="551"/>
      <c r="AI1445" s="704"/>
      <c r="AJ1445" s="704"/>
      <c r="AK1445" s="704"/>
      <c r="AL1445" s="704"/>
      <c r="AM1445" s="704"/>
      <c r="AN1445" s="704"/>
      <c r="AO1445" s="704"/>
      <c r="AP1445" s="704"/>
      <c r="AQ1445" s="704"/>
      <c r="AR1445" s="704"/>
      <c r="AS1445" s="704"/>
    </row>
    <row r="1446" spans="1:45" s="265" customFormat="1" ht="30" hidden="1" customHeight="1" x14ac:dyDescent="0.25">
      <c r="A1446" s="2084"/>
      <c r="B1446" s="2076"/>
      <c r="C1446" s="574"/>
      <c r="D1446" s="881" t="s">
        <v>10</v>
      </c>
      <c r="E1446" s="882">
        <v>44924</v>
      </c>
      <c r="F1446" s="71">
        <f>$L$7-E1446</f>
        <v>1362</v>
      </c>
      <c r="G1446" s="64">
        <v>0</v>
      </c>
      <c r="H1446" s="64"/>
      <c r="I1446" s="64"/>
      <c r="J1446" s="1367"/>
      <c r="K1446" s="64">
        <f>IFERROR(SUMIF(INTAKE!$A:$A,$T1446,INTAKE!$P:$P),0)</f>
        <v>0</v>
      </c>
      <c r="L1446" s="1533">
        <f t="shared" si="871"/>
        <v>0</v>
      </c>
      <c r="M1446" s="102"/>
      <c r="N1446" s="103"/>
      <c r="O1446" s="102"/>
      <c r="P1446" s="739"/>
      <c r="Q1446" s="795"/>
      <c r="R1446" s="785">
        <f>IFERROR(VLOOKUP($Q1446,'391'!$S:$Z,8,0),"")</f>
        <v>0</v>
      </c>
      <c r="S1446" s="796"/>
      <c r="T1446" s="797" t="str">
        <f>$Q$1448&amp;C1446&amp;E1446</f>
        <v>Citrex Powder (Malaysia)44924</v>
      </c>
      <c r="U1446" s="797"/>
      <c r="V1446" s="797"/>
      <c r="W1446" s="785">
        <f>IFERROR(VLOOKUP($Q1446,'391'!$S:$AG,15,0),0)</f>
        <v>0</v>
      </c>
      <c r="X1446" s="1090">
        <f t="shared" si="866"/>
        <v>0</v>
      </c>
      <c r="Y1446" s="785"/>
      <c r="Z1446" s="785"/>
      <c r="AA1446" s="797"/>
      <c r="AB1446" s="797"/>
      <c r="AC1446" s="551"/>
      <c r="AD1446" s="551"/>
      <c r="AE1446" s="551"/>
      <c r="AF1446" s="551"/>
      <c r="AG1446" s="551"/>
      <c r="AH1446" s="551"/>
      <c r="AI1446" s="704"/>
      <c r="AJ1446" s="704"/>
      <c r="AK1446" s="704"/>
      <c r="AL1446" s="704"/>
      <c r="AM1446" s="704"/>
      <c r="AN1446" s="704"/>
      <c r="AO1446" s="704"/>
      <c r="AP1446" s="704"/>
      <c r="AQ1446" s="704"/>
      <c r="AR1446" s="704"/>
      <c r="AS1446" s="704"/>
    </row>
    <row r="1447" spans="1:45" s="265" customFormat="1" ht="30" hidden="1" customHeight="1" x14ac:dyDescent="0.25">
      <c r="A1447" s="2085"/>
      <c r="B1447" s="2068"/>
      <c r="C1447" s="138" t="s">
        <v>76</v>
      </c>
      <c r="D1447" s="884" t="s">
        <v>10</v>
      </c>
      <c r="E1447" s="885">
        <v>44986</v>
      </c>
      <c r="F1447" s="293">
        <f>$L$7-E1447</f>
        <v>1300</v>
      </c>
      <c r="G1447" s="1214">
        <v>0</v>
      </c>
      <c r="H1447" s="37"/>
      <c r="I1447" s="37">
        <f>+K1446+K1445</f>
        <v>0</v>
      </c>
      <c r="J1447" s="1385">
        <f>usage!I182</f>
        <v>0</v>
      </c>
      <c r="K1447" s="64">
        <f>IFERROR(SUMIF(INTAKE!$A:$A,$T1447,INTAKE!$P:$P),0)</f>
        <v>0</v>
      </c>
      <c r="L1447" s="1533">
        <f t="shared" si="871"/>
        <v>0</v>
      </c>
      <c r="M1447" s="98"/>
      <c r="N1447" s="1473"/>
      <c r="O1447" s="98"/>
      <c r="P1447" s="759"/>
      <c r="Q1447" s="795"/>
      <c r="R1447" s="785">
        <f>IFERROR(VLOOKUP($Q1447,'391'!$S:$Z,8,0),"")</f>
        <v>0</v>
      </c>
      <c r="S1447" s="796"/>
      <c r="T1447" s="797" t="str">
        <f>$Q$1448&amp;C1447&amp;E1447</f>
        <v>Citrex Powder (Malaysia)Feedmil44986</v>
      </c>
      <c r="U1447" s="797"/>
      <c r="V1447" s="797"/>
      <c r="W1447" s="785">
        <f>IFERROR(VLOOKUP($Q1447,'391'!$S:$AG,15,0),0)</f>
        <v>0</v>
      </c>
      <c r="X1447" s="1090">
        <f t="shared" si="866"/>
        <v>0</v>
      </c>
      <c r="Y1447" s="785"/>
      <c r="Z1447" s="785"/>
      <c r="AA1447" s="797"/>
      <c r="AB1447" s="797"/>
      <c r="AC1447" s="551"/>
      <c r="AD1447" s="551"/>
      <c r="AE1447" s="551"/>
      <c r="AF1447" s="551"/>
      <c r="AG1447" s="551"/>
      <c r="AH1447" s="551"/>
      <c r="AI1447" s="704"/>
      <c r="AJ1447" s="704"/>
      <c r="AK1447" s="704"/>
      <c r="AL1447" s="704"/>
      <c r="AM1447" s="704"/>
      <c r="AN1447" s="704"/>
      <c r="AO1447" s="704"/>
      <c r="AP1447" s="704"/>
      <c r="AQ1447" s="704"/>
      <c r="AR1447" s="704"/>
      <c r="AS1447" s="704"/>
    </row>
    <row r="1448" spans="1:45" s="265" customFormat="1" ht="30" hidden="1" customHeight="1" x14ac:dyDescent="0.25">
      <c r="A1448" s="184"/>
      <c r="B1448" s="184" t="s">
        <v>1274</v>
      </c>
      <c r="C1448" s="575"/>
      <c r="D1448" s="900"/>
      <c r="E1448" s="901"/>
      <c r="F1448" s="902"/>
      <c r="G1448" s="1297">
        <v>0</v>
      </c>
      <c r="H1448" s="1297">
        <f>+SUM(H1445:H1447)</f>
        <v>0</v>
      </c>
      <c r="I1448" s="1297">
        <f t="shared" ref="I1448:K1448" si="875">+SUM(I1445:I1447)</f>
        <v>0</v>
      </c>
      <c r="J1448" s="1297">
        <f t="shared" si="875"/>
        <v>0</v>
      </c>
      <c r="K1448" s="1297">
        <f t="shared" si="875"/>
        <v>0</v>
      </c>
      <c r="L1448" s="1533">
        <f t="shared" si="871"/>
        <v>0</v>
      </c>
      <c r="M1448" s="59" t="str">
        <f>IFERROR(R1448/$S$2,"")</f>
        <v/>
      </c>
      <c r="N1448" s="99">
        <f>IFERROR(L1448/M1448,0)</f>
        <v>0</v>
      </c>
      <c r="O1448" s="59">
        <f>IFERROR(SUMIF(ETM!$A:$A,$Q1448,ETM!$E:$E),"")</f>
        <v>0</v>
      </c>
      <c r="P1448" s="741">
        <f>IFERROR(L1448/O1448,0)</f>
        <v>0</v>
      </c>
      <c r="Q1448" s="809" t="s">
        <v>1273</v>
      </c>
      <c r="R1448" s="785" t="str">
        <f>IFERROR(VLOOKUP($Q1448,'391'!$S:$Z,8,0),"")</f>
        <v/>
      </c>
      <c r="S1448" s="796"/>
      <c r="T1448" s="797"/>
      <c r="U1448" s="797"/>
      <c r="V1448" s="797"/>
      <c r="W1448" s="785">
        <f>IFERROR(VLOOKUP($Q1448,'391'!$S:$AG,15,0),0)</f>
        <v>0</v>
      </c>
      <c r="X1448" s="1090">
        <f t="shared" si="866"/>
        <v>0</v>
      </c>
      <c r="Y1448" s="785"/>
      <c r="Z1448" s="785"/>
      <c r="AA1448" s="797"/>
      <c r="AB1448" s="797"/>
      <c r="AC1448" s="683"/>
      <c r="AD1448" s="551"/>
      <c r="AE1448" s="551"/>
      <c r="AF1448" s="551"/>
      <c r="AG1448" s="551"/>
      <c r="AH1448" s="551"/>
      <c r="AI1448" s="704"/>
      <c r="AJ1448" s="704"/>
      <c r="AK1448" s="704"/>
      <c r="AL1448" s="704"/>
      <c r="AM1448" s="704"/>
      <c r="AN1448" s="704"/>
      <c r="AO1448" s="704"/>
      <c r="AP1448" s="704"/>
      <c r="AQ1448" s="704"/>
      <c r="AR1448" s="704"/>
      <c r="AS1448" s="704"/>
    </row>
    <row r="1449" spans="1:45" s="265" customFormat="1" ht="30" hidden="1" customHeight="1" x14ac:dyDescent="0.25">
      <c r="A1449" s="2083" t="str">
        <f>IF(L1452=0,"",MAX($A$16:A1448)+1)</f>
        <v/>
      </c>
      <c r="B1449" s="2075" t="s">
        <v>1290</v>
      </c>
      <c r="C1449" s="574"/>
      <c r="D1449" s="881" t="s">
        <v>10</v>
      </c>
      <c r="E1449" s="882">
        <v>45027</v>
      </c>
      <c r="F1449" s="71">
        <f>$L$7-E1449</f>
        <v>1259</v>
      </c>
      <c r="G1449" s="64">
        <v>0</v>
      </c>
      <c r="H1449" s="64"/>
      <c r="I1449" s="64"/>
      <c r="J1449" s="1367"/>
      <c r="K1449" s="64">
        <f>IFERROR(SUMIF(INTAKE!$A:$A,$T1449,INTAKE!$P:$P),0)</f>
        <v>0</v>
      </c>
      <c r="L1449" s="1533">
        <f t="shared" si="871"/>
        <v>0</v>
      </c>
      <c r="M1449" s="102"/>
      <c r="N1449" s="103"/>
      <c r="O1449" s="102"/>
      <c r="P1449" s="739"/>
      <c r="Q1449" s="795"/>
      <c r="R1449" s="785">
        <f>IFERROR(VLOOKUP($Q1449,'391'!$S:$Z,8,0),"")</f>
        <v>0</v>
      </c>
      <c r="S1449" s="796"/>
      <c r="T1449" s="797" t="str">
        <f>$Q$1448&amp;C1449&amp;E1449</f>
        <v>Citrex Powder (Malaysia)45027</v>
      </c>
      <c r="U1449" s="797"/>
      <c r="V1449" s="797"/>
      <c r="W1449" s="785">
        <f>IFERROR(VLOOKUP($Q1449,'391'!$S:$AG,15,0),0)</f>
        <v>0</v>
      </c>
      <c r="X1449" s="1090">
        <f t="shared" si="866"/>
        <v>0</v>
      </c>
      <c r="Y1449" s="785"/>
      <c r="Z1449" s="785"/>
      <c r="AA1449" s="797"/>
      <c r="AB1449" s="797"/>
      <c r="AC1449" s="551"/>
      <c r="AD1449" s="551"/>
      <c r="AE1449" s="551"/>
      <c r="AF1449" s="551"/>
      <c r="AG1449" s="551"/>
      <c r="AH1449" s="551"/>
      <c r="AI1449" s="704"/>
      <c r="AJ1449" s="704"/>
      <c r="AK1449" s="704"/>
      <c r="AL1449" s="704"/>
      <c r="AM1449" s="704"/>
      <c r="AN1449" s="704"/>
      <c r="AO1449" s="704"/>
      <c r="AP1449" s="704"/>
      <c r="AQ1449" s="704"/>
      <c r="AR1449" s="704"/>
      <c r="AS1449" s="704"/>
    </row>
    <row r="1450" spans="1:45" s="265" customFormat="1" ht="30" hidden="1" customHeight="1" x14ac:dyDescent="0.25">
      <c r="A1450" s="2084"/>
      <c r="B1450" s="2076"/>
      <c r="C1450" s="574"/>
      <c r="D1450" s="881" t="s">
        <v>10</v>
      </c>
      <c r="E1450" s="882">
        <v>44924</v>
      </c>
      <c r="F1450" s="71">
        <f>$L$7-E1450</f>
        <v>1362</v>
      </c>
      <c r="G1450" s="64">
        <v>0</v>
      </c>
      <c r="H1450" s="64"/>
      <c r="I1450" s="64"/>
      <c r="J1450" s="1367"/>
      <c r="K1450" s="64">
        <f>IFERROR(SUMIF(INTAKE!$A:$A,$T1450,INTAKE!$P:$P),0)</f>
        <v>0</v>
      </c>
      <c r="L1450" s="1533">
        <f t="shared" si="871"/>
        <v>0</v>
      </c>
      <c r="M1450" s="102"/>
      <c r="N1450" s="103"/>
      <c r="O1450" s="102"/>
      <c r="P1450" s="739"/>
      <c r="Q1450" s="795"/>
      <c r="R1450" s="785">
        <f>IFERROR(VLOOKUP($Q1450,'391'!$S:$Z,8,0),"")</f>
        <v>0</v>
      </c>
      <c r="S1450" s="796"/>
      <c r="T1450" s="797" t="str">
        <f>$Q$1448&amp;C1450&amp;E1450</f>
        <v>Citrex Powder (Malaysia)44924</v>
      </c>
      <c r="U1450" s="797"/>
      <c r="V1450" s="797"/>
      <c r="W1450" s="785">
        <f>IFERROR(VLOOKUP($Q1450,'391'!$S:$AG,15,0),0)</f>
        <v>0</v>
      </c>
      <c r="X1450" s="1090">
        <f t="shared" si="866"/>
        <v>0</v>
      </c>
      <c r="Y1450" s="785"/>
      <c r="Z1450" s="785"/>
      <c r="AA1450" s="797"/>
      <c r="AB1450" s="797"/>
      <c r="AC1450" s="551"/>
      <c r="AD1450" s="551"/>
      <c r="AE1450" s="551"/>
      <c r="AF1450" s="551"/>
      <c r="AG1450" s="551"/>
      <c r="AH1450" s="551"/>
      <c r="AI1450" s="704"/>
      <c r="AJ1450" s="704"/>
      <c r="AK1450" s="704"/>
      <c r="AL1450" s="704"/>
      <c r="AM1450" s="704"/>
      <c r="AN1450" s="704"/>
      <c r="AO1450" s="704"/>
      <c r="AP1450" s="704"/>
      <c r="AQ1450" s="704"/>
      <c r="AR1450" s="704"/>
      <c r="AS1450" s="704"/>
    </row>
    <row r="1451" spans="1:45" s="265" customFormat="1" ht="30" hidden="1" customHeight="1" x14ac:dyDescent="0.25">
      <c r="A1451" s="2085"/>
      <c r="B1451" s="2068"/>
      <c r="C1451" s="138" t="s">
        <v>76</v>
      </c>
      <c r="D1451" s="884" t="s">
        <v>10</v>
      </c>
      <c r="E1451" s="885">
        <v>45027</v>
      </c>
      <c r="F1451" s="293">
        <f>$L$7-E1451</f>
        <v>1259</v>
      </c>
      <c r="G1451" s="1214">
        <v>0</v>
      </c>
      <c r="H1451" s="37"/>
      <c r="I1451" s="37">
        <f>+K1450+K1449</f>
        <v>0</v>
      </c>
      <c r="J1451" s="1385">
        <f>usage!I181</f>
        <v>0</v>
      </c>
      <c r="K1451" s="64">
        <f>IFERROR(SUMIF(INTAKE!$A:$A,$T1451,INTAKE!$P:$P),0)</f>
        <v>0</v>
      </c>
      <c r="L1451" s="1533">
        <f t="shared" si="871"/>
        <v>0</v>
      </c>
      <c r="M1451" s="98"/>
      <c r="N1451" s="1473"/>
      <c r="O1451" s="98"/>
      <c r="P1451" s="759"/>
      <c r="Q1451" s="795"/>
      <c r="R1451" s="785">
        <f>IFERROR(VLOOKUP($Q1451,'391'!$S:$Z,8,0),"")</f>
        <v>0</v>
      </c>
      <c r="S1451" s="796"/>
      <c r="T1451" s="797" t="str">
        <f>$Q$1448&amp;C1451&amp;E1451</f>
        <v>Citrex Powder (Malaysia)Feedmil45027</v>
      </c>
      <c r="U1451" s="797"/>
      <c r="V1451" s="797"/>
      <c r="W1451" s="785">
        <f>IFERROR(VLOOKUP($Q1451,'391'!$S:$AG,15,0),0)</f>
        <v>0</v>
      </c>
      <c r="X1451" s="1090">
        <f t="shared" si="866"/>
        <v>0</v>
      </c>
      <c r="Y1451" s="785"/>
      <c r="Z1451" s="785"/>
      <c r="AA1451" s="797"/>
      <c r="AB1451" s="797"/>
      <c r="AC1451" s="551"/>
      <c r="AD1451" s="551"/>
      <c r="AE1451" s="551"/>
      <c r="AF1451" s="551"/>
      <c r="AG1451" s="551"/>
      <c r="AH1451" s="551"/>
      <c r="AI1451" s="704"/>
      <c r="AJ1451" s="704"/>
      <c r="AK1451" s="704"/>
      <c r="AL1451" s="704"/>
      <c r="AM1451" s="704"/>
      <c r="AN1451" s="704"/>
      <c r="AO1451" s="704"/>
      <c r="AP1451" s="704"/>
      <c r="AQ1451" s="704"/>
      <c r="AR1451" s="704"/>
      <c r="AS1451" s="704"/>
    </row>
    <row r="1452" spans="1:45" s="265" customFormat="1" ht="30" hidden="1" customHeight="1" x14ac:dyDescent="0.25">
      <c r="A1452" s="184"/>
      <c r="B1452" s="184" t="s">
        <v>1291</v>
      </c>
      <c r="C1452" s="575"/>
      <c r="D1452" s="900"/>
      <c r="E1452" s="901"/>
      <c r="F1452" s="902"/>
      <c r="G1452" s="1297">
        <v>0</v>
      </c>
      <c r="H1452" s="1297">
        <f>+SUM(H1449:H1451)</f>
        <v>0</v>
      </c>
      <c r="I1452" s="1297">
        <f t="shared" ref="I1452:K1452" si="876">+SUM(I1449:I1451)</f>
        <v>0</v>
      </c>
      <c r="J1452" s="1297">
        <f t="shared" si="876"/>
        <v>0</v>
      </c>
      <c r="K1452" s="1297">
        <f t="shared" si="876"/>
        <v>0</v>
      </c>
      <c r="L1452" s="1533">
        <f t="shared" si="871"/>
        <v>0</v>
      </c>
      <c r="M1452" s="59" t="str">
        <f>IFERROR(R1452/$S$2,"")</f>
        <v/>
      </c>
      <c r="N1452" s="99">
        <f>IFERROR(L1452/M1452,0)</f>
        <v>0</v>
      </c>
      <c r="O1452" s="59">
        <f>IFERROR(SUMIF(ETM!$A:$A,$Q1452,ETM!$E:$E),"")</f>
        <v>0</v>
      </c>
      <c r="P1452" s="741">
        <f>IFERROR(L1452/O1452,0)</f>
        <v>0</v>
      </c>
      <c r="Q1452" s="666" t="s">
        <v>1298</v>
      </c>
      <c r="R1452" s="785" t="str">
        <f>IFERROR(VLOOKUP($Q1452,'391'!$S:$Z,8,0),"")</f>
        <v/>
      </c>
      <c r="S1452" s="796"/>
      <c r="T1452" s="797"/>
      <c r="U1452" s="797"/>
      <c r="V1452" s="797"/>
      <c r="W1452" s="785">
        <f>IFERROR(VLOOKUP($Q1452,'391'!$S:$AG,15,0),0)</f>
        <v>0</v>
      </c>
      <c r="X1452" s="1090">
        <f t="shared" si="866"/>
        <v>0</v>
      </c>
      <c r="Y1452" s="785"/>
      <c r="Z1452" s="785"/>
      <c r="AA1452" s="797"/>
      <c r="AB1452" s="797"/>
      <c r="AC1452" s="683"/>
      <c r="AD1452" s="551"/>
      <c r="AE1452" s="551"/>
      <c r="AF1452" s="551"/>
      <c r="AG1452" s="551"/>
      <c r="AH1452" s="551"/>
      <c r="AI1452" s="704"/>
      <c r="AJ1452" s="704"/>
      <c r="AK1452" s="704"/>
      <c r="AL1452" s="704"/>
      <c r="AM1452" s="704"/>
      <c r="AN1452" s="704"/>
      <c r="AO1452" s="704"/>
      <c r="AP1452" s="704"/>
      <c r="AQ1452" s="704"/>
      <c r="AR1452" s="704"/>
      <c r="AS1452" s="704"/>
    </row>
    <row r="1453" spans="1:45" s="265" customFormat="1" ht="30" hidden="1" customHeight="1" x14ac:dyDescent="0.25">
      <c r="A1453" s="2083" t="str">
        <f>IF(L1456=0,"",MAX($A$16:A1452)+1)</f>
        <v/>
      </c>
      <c r="B1453" s="2075" t="s">
        <v>1333</v>
      </c>
      <c r="C1453" s="574" t="s">
        <v>1313</v>
      </c>
      <c r="D1453" s="881" t="s">
        <v>10</v>
      </c>
      <c r="E1453" s="882">
        <v>45155</v>
      </c>
      <c r="F1453" s="71">
        <f>$L$7-E1453</f>
        <v>1131</v>
      </c>
      <c r="G1453" s="64">
        <v>0</v>
      </c>
      <c r="H1453" s="64"/>
      <c r="I1453" s="64"/>
      <c r="J1453" s="1367"/>
      <c r="K1453" s="64">
        <f>IFERROR(SUMIF(INTAKE!$A:$A,$T1453,INTAKE!$P:$P),0)</f>
        <v>0</v>
      </c>
      <c r="L1453" s="1533">
        <f t="shared" si="871"/>
        <v>0</v>
      </c>
      <c r="M1453" s="102"/>
      <c r="N1453" s="103"/>
      <c r="O1453" s="102"/>
      <c r="P1453" s="739"/>
      <c r="Q1453" s="795"/>
      <c r="R1453" s="785">
        <f>IFERROR(VLOOKUP($Q1453,'391'!$S:$Z,8,0),"")</f>
        <v>0</v>
      </c>
      <c r="S1453" s="796"/>
      <c r="T1453" s="797" t="str">
        <f>$Q$1456&amp;C1453&amp;E1453</f>
        <v>Hemicell HT (usa)E245155</v>
      </c>
      <c r="U1453" s="797"/>
      <c r="V1453" s="797"/>
      <c r="W1453" s="785">
        <f>IFERROR(VLOOKUP($Q1453,'391'!$S:$AG,15,0),0)</f>
        <v>0</v>
      </c>
      <c r="X1453" s="1090">
        <f t="shared" si="866"/>
        <v>0</v>
      </c>
      <c r="Y1453" s="785"/>
      <c r="Z1453" s="785"/>
      <c r="AA1453" s="797"/>
      <c r="AB1453" s="797"/>
      <c r="AC1453" s="551"/>
      <c r="AD1453" s="551"/>
      <c r="AE1453" s="551"/>
      <c r="AF1453" s="551"/>
      <c r="AG1453" s="551"/>
      <c r="AH1453" s="551"/>
      <c r="AI1453" s="704"/>
      <c r="AJ1453" s="704"/>
      <c r="AK1453" s="704"/>
      <c r="AL1453" s="704"/>
      <c r="AM1453" s="704"/>
      <c r="AN1453" s="704"/>
      <c r="AO1453" s="704"/>
      <c r="AP1453" s="704"/>
      <c r="AQ1453" s="704"/>
      <c r="AR1453" s="704"/>
      <c r="AS1453" s="704"/>
    </row>
    <row r="1454" spans="1:45" s="265" customFormat="1" ht="30" hidden="1" customHeight="1" x14ac:dyDescent="0.25">
      <c r="A1454" s="2084"/>
      <c r="B1454" s="2076"/>
      <c r="C1454" s="574"/>
      <c r="D1454" s="881" t="s">
        <v>10</v>
      </c>
      <c r="E1454" s="882">
        <v>44924</v>
      </c>
      <c r="F1454" s="71">
        <f>$L$7-E1454</f>
        <v>1362</v>
      </c>
      <c r="G1454" s="64">
        <v>0</v>
      </c>
      <c r="H1454" s="64"/>
      <c r="I1454" s="64"/>
      <c r="J1454" s="1367"/>
      <c r="K1454" s="64">
        <f>IFERROR(SUMIF(INTAKE!$A:$A,$T1454,INTAKE!$P:$P),0)</f>
        <v>0</v>
      </c>
      <c r="L1454" s="1533">
        <f t="shared" si="871"/>
        <v>0</v>
      </c>
      <c r="M1454" s="102"/>
      <c r="N1454" s="103"/>
      <c r="O1454" s="102"/>
      <c r="P1454" s="739"/>
      <c r="Q1454" s="795"/>
      <c r="R1454" s="785">
        <f>IFERROR(VLOOKUP($Q1454,'391'!$S:$Z,8,0),"")</f>
        <v>0</v>
      </c>
      <c r="S1454" s="796"/>
      <c r="T1454" s="797" t="str">
        <f>$Q$1456&amp;C1454&amp;E1454</f>
        <v>Hemicell HT (usa)44924</v>
      </c>
      <c r="U1454" s="797"/>
      <c r="V1454" s="797"/>
      <c r="W1454" s="785">
        <f>IFERROR(VLOOKUP($Q1454,'391'!$S:$AG,15,0),0)</f>
        <v>0</v>
      </c>
      <c r="X1454" s="1090">
        <f t="shared" si="866"/>
        <v>0</v>
      </c>
      <c r="Y1454" s="785"/>
      <c r="Z1454" s="785"/>
      <c r="AA1454" s="797"/>
      <c r="AB1454" s="797"/>
      <c r="AC1454" s="551"/>
      <c r="AD1454" s="551"/>
      <c r="AE1454" s="551"/>
      <c r="AF1454" s="551"/>
      <c r="AG1454" s="551"/>
      <c r="AH1454" s="551"/>
      <c r="AI1454" s="704"/>
      <c r="AJ1454" s="704"/>
      <c r="AK1454" s="704"/>
      <c r="AL1454" s="704"/>
      <c r="AM1454" s="704"/>
      <c r="AN1454" s="704"/>
      <c r="AO1454" s="704"/>
      <c r="AP1454" s="704"/>
      <c r="AQ1454" s="704"/>
      <c r="AR1454" s="704"/>
      <c r="AS1454" s="704"/>
    </row>
    <row r="1455" spans="1:45" s="265" customFormat="1" ht="30" hidden="1" customHeight="1" x14ac:dyDescent="0.25">
      <c r="A1455" s="2085"/>
      <c r="B1455" s="2068"/>
      <c r="C1455" s="138" t="s">
        <v>76</v>
      </c>
      <c r="D1455" s="884" t="s">
        <v>10</v>
      </c>
      <c r="E1455" s="885">
        <v>45155</v>
      </c>
      <c r="F1455" s="293">
        <f>$L$7-E1455</f>
        <v>1131</v>
      </c>
      <c r="G1455" s="1214">
        <v>0</v>
      </c>
      <c r="H1455" s="37"/>
      <c r="I1455" s="37">
        <f>+K1454+K1453</f>
        <v>0</v>
      </c>
      <c r="J1455" s="1385">
        <f>usage!I186</f>
        <v>0</v>
      </c>
      <c r="K1455" s="64">
        <f>IFERROR(SUMIF(INTAKE!$A:$A,$T1455,INTAKE!$P:$P),0)</f>
        <v>0</v>
      </c>
      <c r="L1455" s="1533">
        <f t="shared" si="871"/>
        <v>0</v>
      </c>
      <c r="M1455" s="98"/>
      <c r="N1455" s="1473"/>
      <c r="O1455" s="98"/>
      <c r="P1455" s="759"/>
      <c r="Q1455" s="795"/>
      <c r="R1455" s="785">
        <f>IFERROR(VLOOKUP($Q1455,'391'!$S:$Z,8,0),"")</f>
        <v>0</v>
      </c>
      <c r="S1455" s="796"/>
      <c r="T1455" s="797" t="str">
        <f>$Q$1456&amp;C1455&amp;E1455</f>
        <v>Hemicell HT (usa)Feedmil45155</v>
      </c>
      <c r="U1455" s="797"/>
      <c r="V1455" s="797"/>
      <c r="W1455" s="785">
        <f>IFERROR(VLOOKUP($Q1455,'391'!$S:$AG,15,0),0)</f>
        <v>0</v>
      </c>
      <c r="X1455" s="1090">
        <f t="shared" si="866"/>
        <v>0</v>
      </c>
      <c r="Y1455" s="785"/>
      <c r="Z1455" s="785"/>
      <c r="AA1455" s="797"/>
      <c r="AB1455" s="797"/>
      <c r="AC1455" s="551"/>
      <c r="AD1455" s="551"/>
      <c r="AE1455" s="551"/>
      <c r="AF1455" s="551"/>
      <c r="AG1455" s="551"/>
      <c r="AH1455" s="551"/>
      <c r="AI1455" s="704"/>
      <c r="AJ1455" s="704"/>
      <c r="AK1455" s="704"/>
      <c r="AL1455" s="704"/>
      <c r="AM1455" s="704"/>
      <c r="AN1455" s="704"/>
      <c r="AO1455" s="704"/>
      <c r="AP1455" s="704"/>
      <c r="AQ1455" s="704"/>
      <c r="AR1455" s="704"/>
      <c r="AS1455" s="704"/>
    </row>
    <row r="1456" spans="1:45" s="265" customFormat="1" ht="30" hidden="1" customHeight="1" x14ac:dyDescent="0.25">
      <c r="A1456" s="184"/>
      <c r="B1456" s="184" t="s">
        <v>1335</v>
      </c>
      <c r="C1456" s="575"/>
      <c r="D1456" s="900"/>
      <c r="E1456" s="901"/>
      <c r="F1456" s="902"/>
      <c r="G1456" s="1297">
        <v>0</v>
      </c>
      <c r="H1456" s="1297">
        <f>+SUM(H1453:H1455)</f>
        <v>0</v>
      </c>
      <c r="I1456" s="1297">
        <f t="shared" ref="I1456:K1456" si="877">+SUM(I1453:I1455)</f>
        <v>0</v>
      </c>
      <c r="J1456" s="1297">
        <f t="shared" si="877"/>
        <v>0</v>
      </c>
      <c r="K1456" s="1297">
        <f t="shared" si="877"/>
        <v>0</v>
      </c>
      <c r="L1456" s="1533">
        <f t="shared" si="871"/>
        <v>0</v>
      </c>
      <c r="M1456" s="59" t="str">
        <f>IFERROR(R1456/$S$2,"")</f>
        <v/>
      </c>
      <c r="N1456" s="99">
        <f>IFERROR(L1456/M1456,0)</f>
        <v>0</v>
      </c>
      <c r="O1456" s="59">
        <f>IFERROR(SUMIF(ETM!$A:$A,$Q1456,ETM!$E:$E),"")</f>
        <v>0</v>
      </c>
      <c r="P1456" s="741">
        <f>IFERROR(L1456/O1456,0)</f>
        <v>0</v>
      </c>
      <c r="Q1456" s="1183" t="s">
        <v>1333</v>
      </c>
      <c r="R1456" s="785" t="str">
        <f>IFERROR(VLOOKUP($Q1456,'391'!$S:$Z,8,0),"")</f>
        <v/>
      </c>
      <c r="S1456" s="796"/>
      <c r="T1456" s="797"/>
      <c r="U1456" s="797"/>
      <c r="V1456" s="797"/>
      <c r="W1456" s="785">
        <f>IFERROR(VLOOKUP($Q1456,'391'!$S:$AG,15,0),0)</f>
        <v>0</v>
      </c>
      <c r="X1456" s="1090">
        <f t="shared" si="866"/>
        <v>0</v>
      </c>
      <c r="Y1456" s="785"/>
      <c r="Z1456" s="785"/>
      <c r="AA1456" s="797"/>
      <c r="AB1456" s="797"/>
      <c r="AC1456" s="683"/>
      <c r="AD1456" s="551"/>
      <c r="AE1456" s="551"/>
      <c r="AF1456" s="551"/>
      <c r="AG1456" s="551"/>
      <c r="AH1456" s="551"/>
      <c r="AI1456" s="704"/>
      <c r="AJ1456" s="704"/>
      <c r="AK1456" s="704"/>
      <c r="AL1456" s="704"/>
      <c r="AM1456" s="704"/>
      <c r="AN1456" s="704"/>
      <c r="AO1456" s="704"/>
      <c r="AP1456" s="704"/>
      <c r="AQ1456" s="704"/>
      <c r="AR1456" s="704"/>
      <c r="AS1456" s="704"/>
    </row>
    <row r="1457" spans="1:45" s="265" customFormat="1" ht="30" hidden="1" customHeight="1" x14ac:dyDescent="0.25">
      <c r="A1457" s="2083" t="str">
        <f>IF(L1460=0,"",MAX($A$16:A1452)+1)</f>
        <v/>
      </c>
      <c r="B1457" s="2075" t="s">
        <v>1215</v>
      </c>
      <c r="C1457" s="574"/>
      <c r="D1457" s="881" t="s">
        <v>10</v>
      </c>
      <c r="E1457" s="882">
        <v>44847</v>
      </c>
      <c r="F1457" s="71">
        <f>$L$7-E1457</f>
        <v>1439</v>
      </c>
      <c r="G1457" s="64">
        <v>0</v>
      </c>
      <c r="H1457" s="64"/>
      <c r="I1457" s="64"/>
      <c r="J1457" s="1367"/>
      <c r="K1457" s="64">
        <f>IFERROR(SUMIF(INTAKE!$A:$A,$T1457,INTAKE!$P:$P),0)</f>
        <v>0</v>
      </c>
      <c r="L1457" s="1533">
        <f t="shared" si="871"/>
        <v>0</v>
      </c>
      <c r="M1457" s="102"/>
      <c r="N1457" s="103"/>
      <c r="O1457" s="102"/>
      <c r="P1457" s="739"/>
      <c r="Q1457" s="795"/>
      <c r="R1457" s="785">
        <f>IFERROR(VLOOKUP($Q1457,'391'!$S:$Z,8,0),"")</f>
        <v>0</v>
      </c>
      <c r="S1457" s="796"/>
      <c r="T1457" s="797" t="str">
        <f>$Q$1460&amp;C1457&amp;E1457</f>
        <v>Mix oil powder (Italy)44847</v>
      </c>
      <c r="U1457" s="797"/>
      <c r="V1457" s="797"/>
      <c r="W1457" s="785">
        <f>IFERROR(VLOOKUP($Q1457,'391'!$S:$AG,15,0),0)</f>
        <v>0</v>
      </c>
      <c r="X1457" s="1090">
        <f t="shared" si="866"/>
        <v>0</v>
      </c>
      <c r="Y1457" s="785"/>
      <c r="Z1457" s="785"/>
      <c r="AA1457" s="797"/>
      <c r="AB1457" s="797"/>
      <c r="AC1457" s="551"/>
      <c r="AD1457" s="551"/>
      <c r="AE1457" s="551"/>
      <c r="AF1457" s="551"/>
      <c r="AG1457" s="551"/>
      <c r="AH1457" s="551"/>
      <c r="AI1457" s="704"/>
      <c r="AJ1457" s="704"/>
      <c r="AK1457" s="704"/>
      <c r="AL1457" s="704"/>
      <c r="AM1457" s="704"/>
      <c r="AN1457" s="704"/>
      <c r="AO1457" s="704"/>
      <c r="AP1457" s="704"/>
      <c r="AQ1457" s="704"/>
      <c r="AR1457" s="704"/>
      <c r="AS1457" s="704"/>
    </row>
    <row r="1458" spans="1:45" s="265" customFormat="1" ht="30" hidden="1" customHeight="1" x14ac:dyDescent="0.25">
      <c r="A1458" s="2084"/>
      <c r="B1458" s="2076"/>
      <c r="C1458" s="574"/>
      <c r="D1458" s="881" t="s">
        <v>10</v>
      </c>
      <c r="E1458" s="882">
        <v>44566</v>
      </c>
      <c r="F1458" s="71">
        <f>$L$7-E1458</f>
        <v>1720</v>
      </c>
      <c r="G1458" s="64">
        <v>0</v>
      </c>
      <c r="H1458" s="64"/>
      <c r="I1458" s="64"/>
      <c r="J1458" s="1367"/>
      <c r="K1458" s="64">
        <f>IFERROR(SUMIF(INTAKE!$A:$A,$T1458,INTAKE!$P:$P),0)</f>
        <v>0</v>
      </c>
      <c r="L1458" s="1533">
        <f t="shared" si="871"/>
        <v>0</v>
      </c>
      <c r="M1458" s="102"/>
      <c r="N1458" s="103"/>
      <c r="O1458" s="102"/>
      <c r="P1458" s="739"/>
      <c r="Q1458" s="795"/>
      <c r="R1458" s="785">
        <f>IFERROR(VLOOKUP($Q1458,'391'!$S:$Z,8,0),"")</f>
        <v>0</v>
      </c>
      <c r="S1458" s="796"/>
      <c r="T1458" s="797" t="str">
        <f>$Q$1460&amp;C1458&amp;E1458</f>
        <v>Mix oil powder (Italy)44566</v>
      </c>
      <c r="U1458" s="797"/>
      <c r="V1458" s="797"/>
      <c r="W1458" s="785">
        <f>IFERROR(VLOOKUP($Q1458,'391'!$S:$AG,15,0),0)</f>
        <v>0</v>
      </c>
      <c r="X1458" s="1090">
        <f t="shared" si="866"/>
        <v>0</v>
      </c>
      <c r="Y1458" s="785"/>
      <c r="Z1458" s="785"/>
      <c r="AA1458" s="797"/>
      <c r="AB1458" s="797"/>
      <c r="AC1458" s="551"/>
      <c r="AD1458" s="551"/>
      <c r="AE1458" s="551"/>
      <c r="AF1458" s="551"/>
      <c r="AG1458" s="551"/>
      <c r="AH1458" s="551"/>
      <c r="AI1458" s="704"/>
      <c r="AJ1458" s="704"/>
      <c r="AK1458" s="704"/>
      <c r="AL1458" s="704"/>
      <c r="AM1458" s="704"/>
      <c r="AN1458" s="704"/>
      <c r="AO1458" s="704"/>
      <c r="AP1458" s="704"/>
      <c r="AQ1458" s="704"/>
      <c r="AR1458" s="704"/>
      <c r="AS1458" s="704"/>
    </row>
    <row r="1459" spans="1:45" s="265" customFormat="1" ht="30" hidden="1" customHeight="1" x14ac:dyDescent="0.25">
      <c r="A1459" s="2085"/>
      <c r="B1459" s="2068"/>
      <c r="C1459" s="138" t="s">
        <v>76</v>
      </c>
      <c r="D1459" s="884" t="s">
        <v>10</v>
      </c>
      <c r="E1459" s="885">
        <v>44847</v>
      </c>
      <c r="F1459" s="293">
        <f>$L$7-E1459</f>
        <v>1439</v>
      </c>
      <c r="G1459" s="1214">
        <v>0</v>
      </c>
      <c r="H1459" s="37"/>
      <c r="I1459" s="37">
        <f>+K1458+K1457</f>
        <v>0</v>
      </c>
      <c r="J1459" s="1385">
        <f>usage!I183</f>
        <v>0</v>
      </c>
      <c r="K1459" s="64">
        <f>IFERROR(SUMIF(INTAKE!$A:$A,$T1459,INTAKE!$P:$P),0)</f>
        <v>0</v>
      </c>
      <c r="L1459" s="1533">
        <f t="shared" si="871"/>
        <v>0</v>
      </c>
      <c r="M1459" s="98"/>
      <c r="N1459" s="1473"/>
      <c r="O1459" s="98"/>
      <c r="P1459" s="759"/>
      <c r="Q1459" s="795"/>
      <c r="R1459" s="785">
        <f>IFERROR(VLOOKUP($Q1459,'391'!$S:$Z,8,0),"")</f>
        <v>0</v>
      </c>
      <c r="S1459" s="796"/>
      <c r="T1459" s="797" t="str">
        <f>$Q$1460&amp;C1459&amp;E1459</f>
        <v>Mix oil powder (Italy)Feedmil44847</v>
      </c>
      <c r="U1459" s="797"/>
      <c r="V1459" s="797"/>
      <c r="W1459" s="785">
        <f>IFERROR(VLOOKUP($Q1459,'391'!$S:$AG,15,0),0)</f>
        <v>0</v>
      </c>
      <c r="X1459" s="1090">
        <f t="shared" si="866"/>
        <v>0</v>
      </c>
      <c r="Y1459" s="785"/>
      <c r="Z1459" s="785"/>
      <c r="AA1459" s="797"/>
      <c r="AB1459" s="797"/>
      <c r="AC1459" s="551"/>
      <c r="AD1459" s="551"/>
      <c r="AE1459" s="551"/>
      <c r="AF1459" s="551"/>
      <c r="AG1459" s="551"/>
      <c r="AH1459" s="551"/>
      <c r="AI1459" s="704"/>
      <c r="AJ1459" s="704"/>
      <c r="AK1459" s="704"/>
      <c r="AL1459" s="704"/>
      <c r="AM1459" s="704"/>
      <c r="AN1459" s="704"/>
      <c r="AO1459" s="704"/>
      <c r="AP1459" s="704"/>
      <c r="AQ1459" s="704"/>
      <c r="AR1459" s="704"/>
      <c r="AS1459" s="704"/>
    </row>
    <row r="1460" spans="1:45" s="265" customFormat="1" ht="30" hidden="1" customHeight="1" x14ac:dyDescent="0.25">
      <c r="A1460" s="184"/>
      <c r="B1460" s="184" t="s">
        <v>1216</v>
      </c>
      <c r="C1460" s="575"/>
      <c r="D1460" s="900"/>
      <c r="E1460" s="901"/>
      <c r="F1460" s="902"/>
      <c r="G1460" s="1297">
        <v>0</v>
      </c>
      <c r="H1460" s="1297">
        <f>+SUM(H1457:H1459)</f>
        <v>0</v>
      </c>
      <c r="I1460" s="1297">
        <f t="shared" ref="I1460:K1460" si="878">+SUM(I1457:I1459)</f>
        <v>0</v>
      </c>
      <c r="J1460" s="1297">
        <f t="shared" si="878"/>
        <v>0</v>
      </c>
      <c r="K1460" s="1297">
        <f t="shared" si="878"/>
        <v>0</v>
      </c>
      <c r="L1460" s="1533">
        <f t="shared" si="871"/>
        <v>0</v>
      </c>
      <c r="M1460" s="59" t="str">
        <f>IFERROR(R1460/$S$2,"")</f>
        <v/>
      </c>
      <c r="N1460" s="99">
        <f>IFERROR(L1460/M1460,0)</f>
        <v>0</v>
      </c>
      <c r="O1460" s="59">
        <f>IFERROR(SUMIF(ETM!$A:$A,$Q1460,ETM!$E:$E),"")</f>
        <v>0</v>
      </c>
      <c r="P1460" s="741">
        <f>IFERROR(L1460/O1460,0)</f>
        <v>0</v>
      </c>
      <c r="Q1460" s="809" t="s">
        <v>1219</v>
      </c>
      <c r="R1460" s="785" t="str">
        <f>IFERROR(VLOOKUP($Q1460,'391'!$S:$Z,8,0),"")</f>
        <v/>
      </c>
      <c r="S1460" s="796"/>
      <c r="T1460" s="797"/>
      <c r="U1460" s="797"/>
      <c r="V1460" s="797"/>
      <c r="W1460" s="785">
        <f>IFERROR(VLOOKUP($Q1460,'391'!$S:$AG,15,0),0)</f>
        <v>0</v>
      </c>
      <c r="X1460" s="1090">
        <f t="shared" si="866"/>
        <v>0</v>
      </c>
      <c r="Y1460" s="785"/>
      <c r="Z1460" s="785"/>
      <c r="AA1460" s="797"/>
      <c r="AB1460" s="797"/>
      <c r="AC1460" s="683"/>
      <c r="AD1460" s="551"/>
      <c r="AE1460" s="551"/>
      <c r="AF1460" s="551"/>
      <c r="AG1460" s="551"/>
      <c r="AH1460" s="551"/>
      <c r="AI1460" s="704"/>
      <c r="AJ1460" s="704"/>
      <c r="AK1460" s="704"/>
      <c r="AL1460" s="704"/>
      <c r="AM1460" s="704"/>
      <c r="AN1460" s="704"/>
      <c r="AO1460" s="704"/>
      <c r="AP1460" s="704"/>
      <c r="AQ1460" s="704"/>
      <c r="AR1460" s="704"/>
      <c r="AS1460" s="704"/>
    </row>
    <row r="1461" spans="1:45" s="265" customFormat="1" ht="30" hidden="1" customHeight="1" x14ac:dyDescent="0.25">
      <c r="A1461" s="2083" t="str">
        <f>IF(L1464=0,"",MAX($A$16:A1460)+1)</f>
        <v/>
      </c>
      <c r="B1461" s="2075" t="s">
        <v>1169</v>
      </c>
      <c r="C1461" s="574" t="s">
        <v>1211</v>
      </c>
      <c r="D1461" s="881" t="s">
        <v>10</v>
      </c>
      <c r="E1461" s="882">
        <v>44729</v>
      </c>
      <c r="F1461" s="71">
        <f>$L$7-E1461</f>
        <v>1557</v>
      </c>
      <c r="G1461" s="64">
        <v>0</v>
      </c>
      <c r="H1461" s="64"/>
      <c r="I1461" s="64"/>
      <c r="J1461" s="1367"/>
      <c r="K1461" s="64">
        <f>IFERROR(SUMIF(INTAKE!$A:$A,$T1461,INTAKE!$P:$P),0)</f>
        <v>0</v>
      </c>
      <c r="L1461" s="1533">
        <f t="shared" si="871"/>
        <v>0</v>
      </c>
      <c r="M1461" s="102"/>
      <c r="N1461" s="103"/>
      <c r="O1461" s="102"/>
      <c r="P1461" s="739"/>
      <c r="Q1461" s="795"/>
      <c r="R1461" s="785">
        <f>IFERROR(VLOOKUP($Q1461,'391'!$S:$Z,8,0),"")</f>
        <v>0</v>
      </c>
      <c r="S1461" s="796"/>
      <c r="T1461" s="797" t="str">
        <f>$Q$1464&amp;C1461&amp;E1461</f>
        <v>ID PHYT CAPCIN P2T 02.50 (Switzerland)D144729</v>
      </c>
      <c r="U1461" s="797"/>
      <c r="V1461" s="797"/>
      <c r="W1461" s="785">
        <f>IFERROR(VLOOKUP($Q1461,'391'!$S:$AG,15,0),0)</f>
        <v>0</v>
      </c>
      <c r="X1461" s="1090">
        <f t="shared" si="866"/>
        <v>0</v>
      </c>
      <c r="Y1461" s="785"/>
      <c r="Z1461" s="785"/>
      <c r="AA1461" s="797"/>
      <c r="AB1461" s="797"/>
      <c r="AC1461" s="551"/>
      <c r="AD1461" s="551"/>
      <c r="AE1461" s="551"/>
      <c r="AF1461" s="551"/>
      <c r="AG1461" s="551"/>
      <c r="AH1461" s="551"/>
      <c r="AI1461" s="704"/>
      <c r="AJ1461" s="704"/>
      <c r="AK1461" s="704"/>
      <c r="AL1461" s="704"/>
      <c r="AM1461" s="704"/>
      <c r="AN1461" s="704"/>
      <c r="AO1461" s="704"/>
      <c r="AP1461" s="704"/>
      <c r="AQ1461" s="704"/>
      <c r="AR1461" s="704"/>
      <c r="AS1461" s="704"/>
    </row>
    <row r="1462" spans="1:45" s="265" customFormat="1" ht="30" hidden="1" customHeight="1" x14ac:dyDescent="0.25">
      <c r="A1462" s="2084"/>
      <c r="B1462" s="2076"/>
      <c r="C1462" s="574"/>
      <c r="D1462" s="881" t="s">
        <v>10</v>
      </c>
      <c r="E1462" s="882">
        <v>44729</v>
      </c>
      <c r="F1462" s="71">
        <f>$L$7-E1462</f>
        <v>1557</v>
      </c>
      <c r="G1462" s="64">
        <v>0</v>
      </c>
      <c r="H1462" s="64"/>
      <c r="I1462" s="64"/>
      <c r="J1462" s="1367"/>
      <c r="K1462" s="64">
        <f>IFERROR(SUMIF(INTAKE!$A:$A,$T1462,INTAKE!$P:$P),0)</f>
        <v>0</v>
      </c>
      <c r="L1462" s="1533">
        <f t="shared" si="871"/>
        <v>0</v>
      </c>
      <c r="M1462" s="102"/>
      <c r="N1462" s="103"/>
      <c r="O1462" s="102"/>
      <c r="P1462" s="739"/>
      <c r="Q1462" s="795"/>
      <c r="R1462" s="785">
        <f>IFERROR(VLOOKUP($Q1462,'391'!$S:$Z,8,0),"")</f>
        <v>0</v>
      </c>
      <c r="S1462" s="796"/>
      <c r="T1462" s="797" t="str">
        <f>$Q$1464&amp;C1462&amp;E1462</f>
        <v>ID PHYT CAPCIN P2T 02.50 (Switzerland)44729</v>
      </c>
      <c r="U1462" s="797"/>
      <c r="V1462" s="797"/>
      <c r="W1462" s="785">
        <f>IFERROR(VLOOKUP($Q1462,'391'!$S:$AG,15,0),0)</f>
        <v>0</v>
      </c>
      <c r="X1462" s="1090">
        <f t="shared" si="866"/>
        <v>0</v>
      </c>
      <c r="Y1462" s="785"/>
      <c r="Z1462" s="785"/>
      <c r="AA1462" s="797"/>
      <c r="AB1462" s="797"/>
      <c r="AC1462" s="551"/>
      <c r="AD1462" s="551"/>
      <c r="AE1462" s="551"/>
      <c r="AF1462" s="551"/>
      <c r="AG1462" s="551"/>
      <c r="AH1462" s="551"/>
      <c r="AI1462" s="704"/>
      <c r="AJ1462" s="704"/>
      <c r="AK1462" s="704"/>
      <c r="AL1462" s="704"/>
      <c r="AM1462" s="704"/>
      <c r="AN1462" s="704"/>
      <c r="AO1462" s="704"/>
      <c r="AP1462" s="704"/>
      <c r="AQ1462" s="704"/>
      <c r="AR1462" s="704"/>
      <c r="AS1462" s="704"/>
    </row>
    <row r="1463" spans="1:45" s="265" customFormat="1" ht="30" hidden="1" customHeight="1" x14ac:dyDescent="0.25">
      <c r="A1463" s="2085"/>
      <c r="B1463" s="2068"/>
      <c r="C1463" s="138" t="s">
        <v>76</v>
      </c>
      <c r="D1463" s="884" t="s">
        <v>10</v>
      </c>
      <c r="E1463" s="885">
        <v>44729</v>
      </c>
      <c r="F1463" s="293">
        <f>$L$7-E1463</f>
        <v>1557</v>
      </c>
      <c r="G1463" s="1214">
        <v>0</v>
      </c>
      <c r="H1463" s="37"/>
      <c r="I1463" s="37">
        <f>+K1462+K1461</f>
        <v>0</v>
      </c>
      <c r="J1463" s="1385">
        <f>usage!I176</f>
        <v>0</v>
      </c>
      <c r="K1463" s="64">
        <f>IFERROR(SUMIF(INTAKE!$A:$A,$T1463,INTAKE!$P:$P),0)</f>
        <v>0</v>
      </c>
      <c r="L1463" s="1533">
        <f t="shared" si="871"/>
        <v>0</v>
      </c>
      <c r="M1463" s="98"/>
      <c r="N1463" s="1473"/>
      <c r="O1463" s="98"/>
      <c r="P1463" s="759"/>
      <c r="Q1463" s="795"/>
      <c r="R1463" s="785">
        <f>IFERROR(VLOOKUP($Q1463,'391'!$S:$Z,8,0),"")</f>
        <v>0</v>
      </c>
      <c r="S1463" s="796"/>
      <c r="T1463" s="797" t="str">
        <f>$Q$1464&amp;C1463&amp;E1463</f>
        <v>ID PHYT CAPCIN P2T 02.50 (Switzerland)Feedmil44729</v>
      </c>
      <c r="U1463" s="797"/>
      <c r="V1463" s="797"/>
      <c r="W1463" s="785">
        <f>IFERROR(VLOOKUP($Q1463,'391'!$S:$AG,15,0),0)</f>
        <v>0</v>
      </c>
      <c r="X1463" s="1090">
        <f t="shared" si="866"/>
        <v>0</v>
      </c>
      <c r="Y1463" s="785"/>
      <c r="Z1463" s="785"/>
      <c r="AA1463" s="797"/>
      <c r="AB1463" s="797"/>
      <c r="AC1463" s="551"/>
      <c r="AD1463" s="551"/>
      <c r="AE1463" s="551"/>
      <c r="AF1463" s="551"/>
      <c r="AG1463" s="551"/>
      <c r="AH1463" s="551"/>
      <c r="AI1463" s="704"/>
      <c r="AJ1463" s="704"/>
      <c r="AK1463" s="704"/>
      <c r="AL1463" s="704"/>
      <c r="AM1463" s="704"/>
      <c r="AN1463" s="704"/>
      <c r="AO1463" s="704"/>
      <c r="AP1463" s="704"/>
      <c r="AQ1463" s="704"/>
      <c r="AR1463" s="704"/>
      <c r="AS1463" s="704"/>
    </row>
    <row r="1464" spans="1:45" s="265" customFormat="1" ht="30" hidden="1" customHeight="1" x14ac:dyDescent="0.25">
      <c r="A1464" s="184"/>
      <c r="B1464" s="184" t="s">
        <v>1170</v>
      </c>
      <c r="C1464" s="575"/>
      <c r="D1464" s="900"/>
      <c r="E1464" s="901"/>
      <c r="F1464" s="902"/>
      <c r="G1464" s="1297">
        <v>0</v>
      </c>
      <c r="H1464" s="1297">
        <f>+SUM(H1461:H1463)</f>
        <v>0</v>
      </c>
      <c r="I1464" s="1297">
        <f t="shared" ref="I1464:K1464" si="879">+SUM(I1461:I1463)</f>
        <v>0</v>
      </c>
      <c r="J1464" s="1297">
        <f t="shared" si="879"/>
        <v>0</v>
      </c>
      <c r="K1464" s="1297">
        <f t="shared" si="879"/>
        <v>0</v>
      </c>
      <c r="L1464" s="1533">
        <f t="shared" si="871"/>
        <v>0</v>
      </c>
      <c r="M1464" s="59" t="str">
        <f>IFERROR(R1464/$S$2,"")</f>
        <v/>
      </c>
      <c r="N1464" s="99">
        <f>IFERROR(L1464/M1464,0)</f>
        <v>0</v>
      </c>
      <c r="O1464" s="59">
        <f>IFERROR(SUMIF(ETM!$A:$A,$Q1464,ETM!$E:$E),"")</f>
        <v>0</v>
      </c>
      <c r="P1464" s="741">
        <f>IFERROR(L1464/O1464,0)</f>
        <v>0</v>
      </c>
      <c r="Q1464" s="809" t="s">
        <v>1169</v>
      </c>
      <c r="R1464" s="785" t="str">
        <f>IFERROR(VLOOKUP($Q1464,'391'!$S:$Z,8,0),"")</f>
        <v/>
      </c>
      <c r="S1464" s="796"/>
      <c r="T1464" s="797"/>
      <c r="U1464" s="797"/>
      <c r="V1464" s="797"/>
      <c r="W1464" s="785">
        <f>IFERROR(VLOOKUP($Q1464,'391'!$S:$AG,15,0),0)</f>
        <v>0</v>
      </c>
      <c r="X1464" s="1090">
        <f t="shared" si="866"/>
        <v>0</v>
      </c>
      <c r="Y1464" s="785"/>
      <c r="Z1464" s="785"/>
      <c r="AA1464" s="797"/>
      <c r="AB1464" s="797"/>
      <c r="AC1464" s="683"/>
      <c r="AD1464" s="551"/>
      <c r="AE1464" s="551"/>
      <c r="AF1464" s="551"/>
      <c r="AG1464" s="551"/>
      <c r="AH1464" s="551"/>
      <c r="AI1464" s="704"/>
      <c r="AJ1464" s="704"/>
      <c r="AK1464" s="704"/>
      <c r="AL1464" s="704"/>
      <c r="AM1464" s="704"/>
      <c r="AN1464" s="704"/>
      <c r="AO1464" s="704"/>
      <c r="AP1464" s="704"/>
      <c r="AQ1464" s="704"/>
      <c r="AR1464" s="704"/>
      <c r="AS1464" s="704"/>
    </row>
    <row r="1465" spans="1:45" s="265" customFormat="1" ht="30" hidden="1" customHeight="1" x14ac:dyDescent="0.25">
      <c r="A1465" s="2083" t="str">
        <f>IF(L1469=0,"",MAX($A$16:A1464)+1)</f>
        <v/>
      </c>
      <c r="B1465" s="2075" t="s">
        <v>1606</v>
      </c>
      <c r="C1465" s="574" t="s">
        <v>251</v>
      </c>
      <c r="D1465" s="881" t="s">
        <v>10</v>
      </c>
      <c r="E1465" s="882">
        <v>45716</v>
      </c>
      <c r="F1465" s="71">
        <f>$L$7-E1465</f>
        <v>570</v>
      </c>
      <c r="G1465" s="64">
        <v>0</v>
      </c>
      <c r="H1465" s="64"/>
      <c r="I1465" s="64"/>
      <c r="J1465" s="1367"/>
      <c r="K1465" s="64">
        <f>IFERROR(SUMIF(INTAKE!$A:$A,$T1465,INTAKE!$P:$P),0)</f>
        <v>0</v>
      </c>
      <c r="L1465" s="1702">
        <f t="shared" ref="L1465:L1467" si="880">+G1465+H1465+I1465-J1465-K1465</f>
        <v>0</v>
      </c>
      <c r="M1465" s="102"/>
      <c r="N1465" s="103"/>
      <c r="O1465" s="102"/>
      <c r="P1465" s="739"/>
      <c r="Q1465" s="795"/>
      <c r="R1465" s="785">
        <f>IFERROR(VLOOKUP($Q1465,'391'!$S:$Z,8,0),"")</f>
        <v>0</v>
      </c>
      <c r="S1465" s="796"/>
      <c r="T1465" s="797" t="str">
        <f>$Q$1469&amp;C1465&amp;E1465</f>
        <v>Valosin FG50 (England)Z7.145716</v>
      </c>
      <c r="U1465" s="797"/>
      <c r="V1465" s="797"/>
      <c r="W1465" s="785">
        <f>IFERROR(VLOOKUP($Q1465,'391'!$S:$AG,15,0),0)</f>
        <v>0</v>
      </c>
      <c r="X1465" s="1090">
        <f t="shared" ref="X1465:X1469" si="881">G1465-W1465</f>
        <v>0</v>
      </c>
      <c r="Y1465" s="785"/>
      <c r="Z1465" s="785"/>
      <c r="AA1465" s="797"/>
      <c r="AB1465" s="797"/>
      <c r="AC1465" s="551"/>
      <c r="AD1465" s="551"/>
      <c r="AE1465" s="551"/>
      <c r="AF1465" s="551"/>
      <c r="AG1465" s="551"/>
      <c r="AH1465" s="551"/>
      <c r="AI1465" s="704"/>
      <c r="AJ1465" s="704"/>
      <c r="AK1465" s="704"/>
      <c r="AL1465" s="704"/>
      <c r="AM1465" s="704"/>
      <c r="AN1465" s="704"/>
      <c r="AO1465" s="704"/>
      <c r="AP1465" s="704"/>
      <c r="AQ1465" s="704"/>
      <c r="AR1465" s="704"/>
      <c r="AS1465" s="704"/>
    </row>
    <row r="1466" spans="1:45" s="265" customFormat="1" ht="30" hidden="1" customHeight="1" x14ac:dyDescent="0.25">
      <c r="A1466" s="2121"/>
      <c r="B1466" s="2082"/>
      <c r="C1466" s="574"/>
      <c r="D1466" s="881" t="s">
        <v>10</v>
      </c>
      <c r="E1466" s="882">
        <v>45716</v>
      </c>
      <c r="F1466" s="71">
        <f>$L$7-E1466</f>
        <v>570</v>
      </c>
      <c r="G1466" s="64">
        <v>0</v>
      </c>
      <c r="H1466" s="64"/>
      <c r="I1466" s="64"/>
      <c r="J1466" s="1367"/>
      <c r="K1466" s="64">
        <f>IFERROR(SUMIF(INTAKE!$A:$A,$T1466,INTAKE!$P:$P),0)</f>
        <v>0</v>
      </c>
      <c r="L1466" s="1702">
        <f t="shared" ref="L1466" si="882">+G1466+H1466+I1466-J1466-K1466</f>
        <v>0</v>
      </c>
      <c r="M1466" s="102"/>
      <c r="N1466" s="103"/>
      <c r="O1466" s="102"/>
      <c r="P1466" s="739"/>
      <c r="Q1466" s="795"/>
      <c r="R1466" s="785">
        <f>IFERROR(VLOOKUP($Q1466,'391'!$S:$Z,8,0),"")</f>
        <v>0</v>
      </c>
      <c r="S1466" s="796"/>
      <c r="T1466" s="797" t="str">
        <f t="shared" ref="T1466" si="883">$Q$1469&amp;C1466&amp;E1466</f>
        <v>Valosin FG50 (England)45716</v>
      </c>
      <c r="U1466" s="797"/>
      <c r="V1466" s="797"/>
      <c r="W1466" s="785">
        <f>IFERROR(VLOOKUP($Q1466,'391'!$S:$AG,15,0),0)</f>
        <v>0</v>
      </c>
      <c r="X1466" s="1090">
        <f t="shared" ref="X1466" si="884">G1466-W1466</f>
        <v>0</v>
      </c>
      <c r="Y1466" s="785"/>
      <c r="Z1466" s="785"/>
      <c r="AA1466" s="797"/>
      <c r="AB1466" s="797"/>
      <c r="AC1466" s="551"/>
      <c r="AD1466" s="551"/>
      <c r="AE1466" s="551"/>
      <c r="AF1466" s="551"/>
      <c r="AG1466" s="551"/>
      <c r="AH1466" s="551"/>
      <c r="AI1466" s="704"/>
      <c r="AJ1466" s="704"/>
      <c r="AK1466" s="704"/>
      <c r="AL1466" s="704"/>
      <c r="AM1466" s="704"/>
      <c r="AN1466" s="704"/>
      <c r="AO1466" s="704"/>
      <c r="AP1466" s="704"/>
      <c r="AQ1466" s="704"/>
      <c r="AR1466" s="704"/>
      <c r="AS1466" s="704"/>
    </row>
    <row r="1467" spans="1:45" s="265" customFormat="1" ht="30" hidden="1" customHeight="1" x14ac:dyDescent="0.25">
      <c r="A1467" s="2084"/>
      <c r="B1467" s="2076"/>
      <c r="C1467" s="574"/>
      <c r="D1467" s="881" t="s">
        <v>10</v>
      </c>
      <c r="E1467" s="882">
        <v>45716</v>
      </c>
      <c r="F1467" s="71">
        <f>$L$7-E1467</f>
        <v>570</v>
      </c>
      <c r="G1467" s="64">
        <v>0</v>
      </c>
      <c r="H1467" s="64"/>
      <c r="I1467" s="64"/>
      <c r="J1467" s="1367"/>
      <c r="K1467" s="64">
        <f>IFERROR(SUMIF(INTAKE!$A:$A,$T1467,INTAKE!$P:$P),0)</f>
        <v>0</v>
      </c>
      <c r="L1467" s="1702">
        <f t="shared" si="880"/>
        <v>0</v>
      </c>
      <c r="M1467" s="102"/>
      <c r="N1467" s="103"/>
      <c r="O1467" s="102"/>
      <c r="P1467" s="739"/>
      <c r="Q1467" s="795"/>
      <c r="R1467" s="785">
        <f>IFERROR(VLOOKUP($Q1467,'391'!$S:$Z,8,0),"")</f>
        <v>0</v>
      </c>
      <c r="S1467" s="796"/>
      <c r="T1467" s="797" t="str">
        <f t="shared" ref="T1467:T1468" si="885">$Q$1469&amp;C1467&amp;E1467</f>
        <v>Valosin FG50 (England)45716</v>
      </c>
      <c r="U1467" s="797"/>
      <c r="V1467" s="797"/>
      <c r="W1467" s="785">
        <f>IFERROR(VLOOKUP($Q1467,'391'!$S:$AG,15,0),0)</f>
        <v>0</v>
      </c>
      <c r="X1467" s="1090">
        <f t="shared" si="881"/>
        <v>0</v>
      </c>
      <c r="Y1467" s="785"/>
      <c r="Z1467" s="785"/>
      <c r="AA1467" s="797"/>
      <c r="AB1467" s="797"/>
      <c r="AC1467" s="551"/>
      <c r="AD1467" s="551"/>
      <c r="AE1467" s="551"/>
      <c r="AF1467" s="551"/>
      <c r="AG1467" s="551"/>
      <c r="AH1467" s="551"/>
      <c r="AI1467" s="704"/>
      <c r="AJ1467" s="704"/>
      <c r="AK1467" s="704"/>
      <c r="AL1467" s="704"/>
      <c r="AM1467" s="704"/>
      <c r="AN1467" s="704"/>
      <c r="AO1467" s="704"/>
      <c r="AP1467" s="704"/>
      <c r="AQ1467" s="704"/>
      <c r="AR1467" s="704"/>
      <c r="AS1467" s="704"/>
    </row>
    <row r="1468" spans="1:45" s="265" customFormat="1" ht="30" hidden="1" customHeight="1" x14ac:dyDescent="0.25">
      <c r="A1468" s="2085"/>
      <c r="B1468" s="2068"/>
      <c r="C1468" s="138" t="s">
        <v>76</v>
      </c>
      <c r="D1468" s="884" t="s">
        <v>10</v>
      </c>
      <c r="E1468" s="885">
        <v>45700</v>
      </c>
      <c r="F1468" s="293">
        <f>$L$7-E1468</f>
        <v>586</v>
      </c>
      <c r="G1468" s="1214">
        <v>0</v>
      </c>
      <c r="H1468" s="37"/>
      <c r="I1468" s="37">
        <f>+K1467+K1465+K1466</f>
        <v>0</v>
      </c>
      <c r="J1468" s="1385">
        <f>usage!I190</f>
        <v>0</v>
      </c>
      <c r="K1468" s="64">
        <f>IFERROR(SUMIF(INTAKE!$A:$A,$T1468,INTAKE!$P:$P),0)</f>
        <v>0</v>
      </c>
      <c r="L1468" s="1533">
        <f>+G1468+H1468+I1468-J1468-K1468</f>
        <v>0</v>
      </c>
      <c r="M1468" s="98"/>
      <c r="N1468" s="1473"/>
      <c r="O1468" s="98"/>
      <c r="P1468" s="759"/>
      <c r="Q1468" s="795"/>
      <c r="R1468" s="785">
        <f>IFERROR(VLOOKUP($Q1468,'391'!$S:$Z,8,0),"")</f>
        <v>0</v>
      </c>
      <c r="S1468" s="796"/>
      <c r="T1468" s="797" t="str">
        <f t="shared" si="885"/>
        <v>Valosin FG50 (England)Feedmil45700</v>
      </c>
      <c r="U1468" s="797"/>
      <c r="V1468" s="797"/>
      <c r="W1468" s="785">
        <f>IFERROR(VLOOKUP($Q1468,'391'!$S:$AG,15,0),0)</f>
        <v>0</v>
      </c>
      <c r="X1468" s="1090">
        <f t="shared" si="881"/>
        <v>0</v>
      </c>
      <c r="Y1468" s="785"/>
      <c r="Z1468" s="785"/>
      <c r="AA1468" s="797"/>
      <c r="AB1468" s="797"/>
      <c r="AC1468" s="551"/>
      <c r="AD1468" s="551"/>
      <c r="AE1468" s="551"/>
      <c r="AF1468" s="551"/>
      <c r="AG1468" s="551"/>
      <c r="AH1468" s="551"/>
      <c r="AI1468" s="704"/>
      <c r="AJ1468" s="704"/>
      <c r="AK1468" s="704"/>
      <c r="AL1468" s="704"/>
      <c r="AM1468" s="704"/>
      <c r="AN1468" s="704"/>
      <c r="AO1468" s="704"/>
      <c r="AP1468" s="704"/>
      <c r="AQ1468" s="704"/>
      <c r="AR1468" s="704"/>
      <c r="AS1468" s="704"/>
    </row>
    <row r="1469" spans="1:45" s="265" customFormat="1" ht="30" hidden="1" customHeight="1" x14ac:dyDescent="0.25">
      <c r="A1469" s="184"/>
      <c r="B1469" s="184" t="s">
        <v>1517</v>
      </c>
      <c r="C1469" s="575"/>
      <c r="D1469" s="900"/>
      <c r="E1469" s="901"/>
      <c r="F1469" s="902"/>
      <c r="G1469" s="1297">
        <v>0</v>
      </c>
      <c r="H1469" s="1297">
        <f>+SUM(H1465:H1468)</f>
        <v>0</v>
      </c>
      <c r="I1469" s="1297">
        <f t="shared" ref="I1469:L1469" si="886">+SUM(I1465:I1468)</f>
        <v>0</v>
      </c>
      <c r="J1469" s="1297">
        <f t="shared" si="886"/>
        <v>0</v>
      </c>
      <c r="K1469" s="1297">
        <f t="shared" si="886"/>
        <v>0</v>
      </c>
      <c r="L1469" s="1297">
        <f t="shared" si="886"/>
        <v>0</v>
      </c>
      <c r="M1469" s="59" t="str">
        <f>IFERROR(R1469/$S$2,"")</f>
        <v/>
      </c>
      <c r="N1469" s="99">
        <f>IFERROR(L1469/M1469,0)</f>
        <v>0</v>
      </c>
      <c r="O1469" s="59">
        <f>IFERROR(SUMIF(ETM!$A:$A,$Q1469,ETM!$E:$E),"")</f>
        <v>0</v>
      </c>
      <c r="P1469" s="741">
        <f>IFERROR(L1469/O1469,0)</f>
        <v>0</v>
      </c>
      <c r="Q1469" s="809" t="s">
        <v>1516</v>
      </c>
      <c r="R1469" s="785" t="str">
        <f>IFERROR(VLOOKUP($Q1469,'391'!$S:$Z,8,0),"")</f>
        <v/>
      </c>
      <c r="S1469" s="796"/>
      <c r="T1469" s="797"/>
      <c r="U1469" s="797"/>
      <c r="V1469" s="797"/>
      <c r="W1469" s="785">
        <f>IFERROR(VLOOKUP($Q1469,'391'!$S:$AG,15,0),0)</f>
        <v>0</v>
      </c>
      <c r="X1469" s="1090">
        <f t="shared" si="881"/>
        <v>0</v>
      </c>
      <c r="Y1469" s="785"/>
      <c r="Z1469" s="785"/>
      <c r="AA1469" s="797"/>
      <c r="AB1469" s="797"/>
      <c r="AC1469" s="683"/>
      <c r="AD1469" s="551"/>
      <c r="AE1469" s="551"/>
      <c r="AF1469" s="551"/>
      <c r="AG1469" s="551"/>
      <c r="AH1469" s="551"/>
      <c r="AI1469" s="704"/>
      <c r="AJ1469" s="704"/>
      <c r="AK1469" s="704"/>
      <c r="AL1469" s="704"/>
      <c r="AM1469" s="704"/>
      <c r="AN1469" s="704"/>
      <c r="AO1469" s="704"/>
      <c r="AP1469" s="704"/>
      <c r="AQ1469" s="704"/>
      <c r="AR1469" s="704"/>
      <c r="AS1469" s="704"/>
    </row>
    <row r="1470" spans="1:45" s="265" customFormat="1" ht="30" customHeight="1" x14ac:dyDescent="0.25">
      <c r="A1470" s="2083">
        <f>IF(L1475=0,"",MAX($A$16:A1469)+1)</f>
        <v>96</v>
      </c>
      <c r="B1470" s="2075" t="s">
        <v>1519</v>
      </c>
      <c r="C1470" s="1741" t="s">
        <v>1868</v>
      </c>
      <c r="D1470" s="881" t="s">
        <v>10</v>
      </c>
      <c r="E1470" s="882">
        <v>46241</v>
      </c>
      <c r="F1470" s="71">
        <f>$L$7-E1470</f>
        <v>45</v>
      </c>
      <c r="G1470" s="64">
        <v>0</v>
      </c>
      <c r="H1470" s="64"/>
      <c r="I1470" s="64"/>
      <c r="J1470" s="1367"/>
      <c r="K1470" s="1348">
        <f>IFERROR(SUMIF(INTAKE!$A:$A,$T1470,INTAKE!$P:$P),0)</f>
        <v>0</v>
      </c>
      <c r="L1470" s="1702">
        <f t="shared" ref="L1470:L1472" si="887">+G1470+H1470+I1470-J1470-K1470</f>
        <v>0</v>
      </c>
      <c r="M1470" s="102"/>
      <c r="N1470" s="103"/>
      <c r="O1470" s="102"/>
      <c r="P1470" s="739"/>
      <c r="Q1470" s="795"/>
      <c r="R1470" s="785">
        <f>IFERROR(VLOOKUP($Q1470,'391'!$S:$Z,8,0),"")</f>
        <v>0</v>
      </c>
      <c r="S1470" s="796"/>
      <c r="T1470" s="797" t="str">
        <f>$Q$1475&amp;C1470&amp;E1470</f>
        <v>CIBENZA DP100 (USA)D246241</v>
      </c>
      <c r="U1470" s="797"/>
      <c r="V1470" s="797"/>
      <c r="W1470" s="785">
        <f>IFERROR(VLOOKUP($Q1470,'391'!$S:$AG,15,0),0)</f>
        <v>0</v>
      </c>
      <c r="X1470" s="1090">
        <f t="shared" ref="X1470:X1475" si="888">G1470-W1470</f>
        <v>0</v>
      </c>
      <c r="Y1470" s="785"/>
      <c r="Z1470" s="785"/>
      <c r="AA1470" s="797"/>
      <c r="AB1470" s="797"/>
      <c r="AC1470" s="551"/>
      <c r="AD1470" s="551"/>
      <c r="AE1470" s="551"/>
      <c r="AF1470" s="551"/>
      <c r="AG1470" s="551"/>
      <c r="AH1470" s="551"/>
      <c r="AI1470" s="704"/>
      <c r="AJ1470" s="704"/>
      <c r="AK1470" s="704"/>
      <c r="AL1470" s="704"/>
      <c r="AM1470" s="704"/>
      <c r="AN1470" s="704"/>
      <c r="AO1470" s="704"/>
      <c r="AP1470" s="704"/>
      <c r="AQ1470" s="704"/>
      <c r="AR1470" s="704"/>
      <c r="AS1470" s="704"/>
    </row>
    <row r="1471" spans="1:45" s="265" customFormat="1" ht="30" customHeight="1" x14ac:dyDescent="0.25">
      <c r="A1471" s="2121"/>
      <c r="B1471" s="2082"/>
      <c r="C1471" s="1741" t="s">
        <v>1868</v>
      </c>
      <c r="D1471" s="881" t="s">
        <v>10</v>
      </c>
      <c r="E1471" s="882">
        <v>46270</v>
      </c>
      <c r="F1471" s="71">
        <f>$L$7-E1471</f>
        <v>16</v>
      </c>
      <c r="G1471" s="64">
        <v>450</v>
      </c>
      <c r="H1471" s="64"/>
      <c r="I1471" s="64"/>
      <c r="J1471" s="1367"/>
      <c r="K1471" s="64">
        <f>IFERROR(SUMIF(INTAKE!$A:$A,$T1471,INTAKE!$P:$P),0)</f>
        <v>75</v>
      </c>
      <c r="L1471" s="1702">
        <f t="shared" ref="L1471" si="889">+G1471+H1471+I1471-J1471-K1471</f>
        <v>375</v>
      </c>
      <c r="M1471" s="102"/>
      <c r="N1471" s="103"/>
      <c r="O1471" s="102"/>
      <c r="P1471" s="739"/>
      <c r="Q1471" s="795"/>
      <c r="R1471" s="785">
        <f>IFERROR(VLOOKUP($Q1471,'391'!$S:$Z,8,0),"")</f>
        <v>0</v>
      </c>
      <c r="S1471" s="796"/>
      <c r="T1471" s="797" t="str">
        <f t="shared" ref="T1471" si="890">$Q$1475&amp;C1471&amp;E1471</f>
        <v>CIBENZA DP100 (USA)D246270</v>
      </c>
      <c r="U1471" s="797"/>
      <c r="V1471" s="797"/>
      <c r="W1471" s="785">
        <f>IFERROR(VLOOKUP($Q1471,'391'!$S:$AG,15,0),0)</f>
        <v>0</v>
      </c>
      <c r="X1471" s="1090">
        <f t="shared" ref="X1471" si="891">G1471-W1471</f>
        <v>450</v>
      </c>
      <c r="Y1471" s="785"/>
      <c r="Z1471" s="785"/>
      <c r="AA1471" s="797"/>
      <c r="AB1471" s="797"/>
      <c r="AC1471" s="551"/>
      <c r="AD1471" s="551"/>
      <c r="AE1471" s="551"/>
      <c r="AF1471" s="551"/>
      <c r="AG1471" s="551"/>
      <c r="AH1471" s="551"/>
      <c r="AI1471" s="704"/>
      <c r="AJ1471" s="704"/>
      <c r="AK1471" s="704"/>
      <c r="AL1471" s="704"/>
      <c r="AM1471" s="704"/>
      <c r="AN1471" s="704"/>
      <c r="AO1471" s="704"/>
      <c r="AP1471" s="704"/>
      <c r="AQ1471" s="704"/>
      <c r="AR1471" s="704"/>
      <c r="AS1471" s="704"/>
    </row>
    <row r="1472" spans="1:45" s="265" customFormat="1" ht="30" hidden="1" customHeight="1" x14ac:dyDescent="0.25">
      <c r="A1472" s="2084"/>
      <c r="B1472" s="2076"/>
      <c r="C1472" s="1741"/>
      <c r="D1472" s="881" t="s">
        <v>10</v>
      </c>
      <c r="E1472" s="882">
        <v>46134</v>
      </c>
      <c r="F1472" s="71">
        <f>$L$7-E1472</f>
        <v>152</v>
      </c>
      <c r="G1472" s="64">
        <v>0</v>
      </c>
      <c r="H1472" s="64"/>
      <c r="I1472" s="64"/>
      <c r="J1472" s="1367"/>
      <c r="K1472" s="64">
        <f>IFERROR(SUMIF(INTAKE!$A:$A,$T1472,INTAKE!$P:$P),0)</f>
        <v>0</v>
      </c>
      <c r="L1472" s="1702">
        <f t="shared" si="887"/>
        <v>0</v>
      </c>
      <c r="M1472" s="102"/>
      <c r="N1472" s="103"/>
      <c r="O1472" s="102"/>
      <c r="P1472" s="739"/>
      <c r="Q1472" s="795"/>
      <c r="R1472" s="785">
        <f>IFERROR(VLOOKUP($Q1472,'391'!$S:$Z,8,0),"")</f>
        <v>0</v>
      </c>
      <c r="S1472" s="796"/>
      <c r="T1472" s="797" t="str">
        <f>$Q$1475&amp;C1472&amp;E1472</f>
        <v>CIBENZA DP100 (USA)46134</v>
      </c>
      <c r="U1472" s="797"/>
      <c r="V1472" s="797"/>
      <c r="W1472" s="785">
        <f>IFERROR(VLOOKUP($Q1472,'391'!$S:$AG,15,0),0)</f>
        <v>0</v>
      </c>
      <c r="X1472" s="1090">
        <f t="shared" si="888"/>
        <v>0</v>
      </c>
      <c r="Y1472" s="785"/>
      <c r="Z1472" s="785"/>
      <c r="AA1472" s="797"/>
      <c r="AB1472" s="797"/>
      <c r="AC1472" s="551"/>
      <c r="AD1472" s="551"/>
      <c r="AE1472" s="551"/>
      <c r="AF1472" s="551"/>
      <c r="AG1472" s="551"/>
      <c r="AH1472" s="551"/>
      <c r="AI1472" s="704"/>
      <c r="AJ1472" s="704"/>
      <c r="AK1472" s="704"/>
      <c r="AL1472" s="704"/>
      <c r="AM1472" s="704"/>
      <c r="AN1472" s="704"/>
      <c r="AO1472" s="704"/>
      <c r="AP1472" s="704"/>
      <c r="AQ1472" s="704"/>
      <c r="AR1472" s="704"/>
      <c r="AS1472" s="704"/>
    </row>
    <row r="1473" spans="1:45" s="265" customFormat="1" ht="30" hidden="1" customHeight="1" x14ac:dyDescent="0.25">
      <c r="A1473" s="2121"/>
      <c r="B1473" s="2082"/>
      <c r="C1473" s="1741"/>
      <c r="D1473" s="881" t="s">
        <v>10</v>
      </c>
      <c r="E1473" s="882">
        <v>46064</v>
      </c>
      <c r="F1473" s="71">
        <f>$L$7-E1473</f>
        <v>222</v>
      </c>
      <c r="G1473" s="64">
        <v>0</v>
      </c>
      <c r="H1473" s="64"/>
      <c r="I1473" s="64"/>
      <c r="J1473" s="1367"/>
      <c r="K1473" s="64">
        <f>IFERROR(SUMIF(INTAKE!$A:$A,$T1473,INTAKE!$P:$P),0)</f>
        <v>0</v>
      </c>
      <c r="L1473" s="1702">
        <f t="shared" ref="L1473" si="892">+G1473+H1473+I1473-J1473-K1473</f>
        <v>0</v>
      </c>
      <c r="M1473" s="102"/>
      <c r="N1473" s="103"/>
      <c r="O1473" s="102"/>
      <c r="P1473" s="739"/>
      <c r="Q1473" s="795"/>
      <c r="R1473" s="785">
        <f>IFERROR(VLOOKUP($Q1473,'391'!$S:$Z,8,0),"")</f>
        <v>0</v>
      </c>
      <c r="S1473" s="796"/>
      <c r="T1473" s="797" t="str">
        <f>$Q$1475&amp;C1473&amp;E1473</f>
        <v>CIBENZA DP100 (USA)46064</v>
      </c>
      <c r="U1473" s="797"/>
      <c r="V1473" s="797"/>
      <c r="W1473" s="785">
        <f>IFERROR(VLOOKUP($Q1473,'391'!$S:$AG,15,0),0)</f>
        <v>0</v>
      </c>
      <c r="X1473" s="1090">
        <f t="shared" ref="X1473" si="893">G1473-W1473</f>
        <v>0</v>
      </c>
      <c r="Y1473" s="785"/>
      <c r="Z1473" s="785"/>
      <c r="AA1473" s="797"/>
      <c r="AB1473" s="797"/>
      <c r="AC1473" s="551"/>
      <c r="AD1473" s="551"/>
      <c r="AE1473" s="551"/>
      <c r="AF1473" s="551"/>
      <c r="AG1473" s="551"/>
      <c r="AH1473" s="551"/>
      <c r="AI1473" s="704"/>
      <c r="AJ1473" s="704"/>
      <c r="AK1473" s="704"/>
      <c r="AL1473" s="704"/>
      <c r="AM1473" s="704"/>
      <c r="AN1473" s="704"/>
      <c r="AO1473" s="704"/>
      <c r="AP1473" s="704"/>
      <c r="AQ1473" s="704"/>
      <c r="AR1473" s="704"/>
      <c r="AS1473" s="704"/>
    </row>
    <row r="1474" spans="1:45" s="265" customFormat="1" ht="30" customHeight="1" x14ac:dyDescent="0.25">
      <c r="A1474" s="2085"/>
      <c r="B1474" s="2068"/>
      <c r="C1474" s="138" t="s">
        <v>76</v>
      </c>
      <c r="D1474" s="884" t="s">
        <v>10</v>
      </c>
      <c r="E1474" s="885">
        <v>46270</v>
      </c>
      <c r="F1474" s="293">
        <f>$L$7-E1474</f>
        <v>16</v>
      </c>
      <c r="G1474" s="1214">
        <v>77.669999999999959</v>
      </c>
      <c r="H1474" s="37"/>
      <c r="I1474" s="37">
        <f>SUM(K1470:K1473)</f>
        <v>75</v>
      </c>
      <c r="J1474" s="1385">
        <f>usage!I194</f>
        <v>62.63</v>
      </c>
      <c r="K1474" s="64">
        <f>IFERROR(SUMIF(INTAKE!$A:$A,$T1474,INTAKE!$P:$P),0)</f>
        <v>0</v>
      </c>
      <c r="L1474" s="1533">
        <f>+G1474+H1474+I1474-J1474-K1474</f>
        <v>90.039999999999964</v>
      </c>
      <c r="M1474" s="98"/>
      <c r="N1474" s="1473"/>
      <c r="O1474" s="98"/>
      <c r="P1474" s="759"/>
      <c r="Q1474" s="795"/>
      <c r="R1474" s="785">
        <f>IFERROR(VLOOKUP($Q1474,'391'!$S:$Z,8,0),"")</f>
        <v>0</v>
      </c>
      <c r="S1474" s="796"/>
      <c r="T1474" s="797" t="str">
        <f>$Q$1475&amp;C1474&amp;E1474</f>
        <v>CIBENZA DP100 (USA)Feedmil46270</v>
      </c>
      <c r="U1474" s="797"/>
      <c r="V1474" s="797"/>
      <c r="W1474" s="785">
        <f>IFERROR(VLOOKUP($Q1474,'391'!$S:$AG,15,0),0)</f>
        <v>0</v>
      </c>
      <c r="X1474" s="1090">
        <f t="shared" si="888"/>
        <v>77.669999999999959</v>
      </c>
      <c r="Y1474" s="785"/>
      <c r="Z1474" s="785"/>
      <c r="AA1474" s="797"/>
      <c r="AB1474" s="797"/>
      <c r="AC1474" s="551"/>
      <c r="AD1474" s="551"/>
      <c r="AE1474" s="551"/>
      <c r="AF1474" s="551"/>
      <c r="AG1474" s="551"/>
      <c r="AH1474" s="551"/>
      <c r="AI1474" s="704"/>
      <c r="AJ1474" s="704"/>
      <c r="AK1474" s="704"/>
      <c r="AL1474" s="704"/>
      <c r="AM1474" s="704"/>
      <c r="AN1474" s="704"/>
      <c r="AO1474" s="704"/>
      <c r="AP1474" s="704"/>
      <c r="AQ1474" s="704"/>
      <c r="AR1474" s="704"/>
      <c r="AS1474" s="704"/>
    </row>
    <row r="1475" spans="1:45" s="265" customFormat="1" ht="30" customHeight="1" x14ac:dyDescent="0.25">
      <c r="A1475" s="184"/>
      <c r="B1475" s="184" t="s">
        <v>1520</v>
      </c>
      <c r="C1475" s="575"/>
      <c r="D1475" s="900"/>
      <c r="E1475" s="901"/>
      <c r="F1475" s="902"/>
      <c r="G1475" s="1297">
        <v>527.66999999999996</v>
      </c>
      <c r="H1475" s="1297">
        <f>+SUM(H1470:H1474)</f>
        <v>0</v>
      </c>
      <c r="I1475" s="1297">
        <f t="shared" ref="I1475:L1475" si="894">+SUM(I1470:I1474)</f>
        <v>75</v>
      </c>
      <c r="J1475" s="1297">
        <f t="shared" si="894"/>
        <v>62.63</v>
      </c>
      <c r="K1475" s="1297">
        <f t="shared" si="894"/>
        <v>75</v>
      </c>
      <c r="L1475" s="1297">
        <f t="shared" si="894"/>
        <v>465.03999999999996</v>
      </c>
      <c r="M1475" s="59">
        <f>IFERROR(R1475/$S$2,"")</f>
        <v>18.715</v>
      </c>
      <c r="N1475" s="99">
        <f>IFERROR(L1475/M1475,0)</f>
        <v>24.84851723216671</v>
      </c>
      <c r="O1475" s="59">
        <f>IFERROR(SUMIF(ETM!$A:$A,$Q1475,ETM!$E:$E),"")</f>
        <v>30.833333333333336</v>
      </c>
      <c r="P1475" s="741">
        <f>IFERROR(L1475/O1475,0)</f>
        <v>15.082378378378376</v>
      </c>
      <c r="Q1475" s="809" t="s">
        <v>1521</v>
      </c>
      <c r="R1475" s="785">
        <f>IFERROR(VLOOKUP($Q1475,'391'!$S:$Z,8,0),"")</f>
        <v>112.29</v>
      </c>
      <c r="S1475" s="796"/>
      <c r="T1475" s="797"/>
      <c r="U1475" s="797"/>
      <c r="V1475" s="797"/>
      <c r="W1475" s="785">
        <f>IFERROR(VLOOKUP($Q1475,'391'!$S:$AG,15,0),0)</f>
        <v>527.66999999999996</v>
      </c>
      <c r="X1475" s="1090">
        <f t="shared" si="888"/>
        <v>0</v>
      </c>
      <c r="Y1475" s="785"/>
      <c r="Z1475" s="785"/>
      <c r="AA1475" s="797"/>
      <c r="AB1475" s="797"/>
      <c r="AC1475" s="683"/>
      <c r="AD1475" s="551"/>
      <c r="AE1475" s="551"/>
      <c r="AF1475" s="551"/>
      <c r="AG1475" s="551"/>
      <c r="AH1475" s="551"/>
      <c r="AI1475" s="704"/>
      <c r="AJ1475" s="704"/>
      <c r="AK1475" s="704"/>
      <c r="AL1475" s="704"/>
      <c r="AM1475" s="704"/>
      <c r="AN1475" s="704"/>
      <c r="AO1475" s="704"/>
      <c r="AP1475" s="704"/>
      <c r="AQ1475" s="704"/>
      <c r="AR1475" s="704"/>
      <c r="AS1475" s="704"/>
    </row>
    <row r="1476" spans="1:45" s="265" customFormat="1" ht="30" hidden="1" customHeight="1" x14ac:dyDescent="0.25">
      <c r="A1476" s="2083" t="str">
        <f>IF(L1480=0,"",MAX($A$16:A1475)+1)</f>
        <v/>
      </c>
      <c r="B1476" s="2075" t="s">
        <v>1532</v>
      </c>
      <c r="C1476" s="1741" t="s">
        <v>1313</v>
      </c>
      <c r="D1476" s="881" t="s">
        <v>10</v>
      </c>
      <c r="E1476" s="882">
        <v>45758</v>
      </c>
      <c r="F1476" s="71">
        <f>$L$7-E1476</f>
        <v>528</v>
      </c>
      <c r="G1476" s="64">
        <v>0</v>
      </c>
      <c r="H1476" s="64"/>
      <c r="I1476" s="64"/>
      <c r="J1476" s="1367"/>
      <c r="K1476" s="64">
        <f>IFERROR(SUMIF(INTAKE!$A:$A,$T1476,INTAKE!$P:$P),0)</f>
        <v>0</v>
      </c>
      <c r="L1476" s="1702">
        <f t="shared" ref="L1476:L1479" si="895">+G1476+H1476+I1476-J1476-K1476</f>
        <v>0</v>
      </c>
      <c r="M1476" s="102"/>
      <c r="N1476" s="103"/>
      <c r="O1476" s="102"/>
      <c r="P1476" s="739"/>
      <c r="Q1476" s="795"/>
      <c r="R1476" s="785">
        <f>IFERROR(VLOOKUP($Q1476,'391'!$S:$Z,8,0),"")</f>
        <v>0</v>
      </c>
      <c r="S1476" s="796"/>
      <c r="T1476" s="797" t="str">
        <f>$Q$1480&amp;C1476&amp;E1476</f>
        <v>Alterion Ne20 (Singapore)E245758</v>
      </c>
      <c r="U1476" s="797"/>
      <c r="V1476" s="797"/>
      <c r="W1476" s="785">
        <f>IFERROR(VLOOKUP($Q1476,'391'!$S:$AG,15,0),0)</f>
        <v>0</v>
      </c>
      <c r="X1476" s="1090">
        <f t="shared" ref="X1476:X1480" si="896">G1476-W1476</f>
        <v>0</v>
      </c>
      <c r="Y1476" s="785"/>
      <c r="Z1476" s="785"/>
      <c r="AA1476" s="797"/>
      <c r="AB1476" s="797"/>
      <c r="AC1476" s="551"/>
      <c r="AD1476" s="551"/>
      <c r="AE1476" s="551"/>
      <c r="AF1476" s="551"/>
      <c r="AG1476" s="551"/>
      <c r="AH1476" s="551"/>
      <c r="AI1476" s="704"/>
      <c r="AJ1476" s="704"/>
      <c r="AK1476" s="704"/>
      <c r="AL1476" s="704"/>
      <c r="AM1476" s="704"/>
      <c r="AN1476" s="704"/>
      <c r="AO1476" s="704"/>
      <c r="AP1476" s="704"/>
      <c r="AQ1476" s="704"/>
      <c r="AR1476" s="704"/>
      <c r="AS1476" s="704"/>
    </row>
    <row r="1477" spans="1:45" s="265" customFormat="1" ht="30" hidden="1" customHeight="1" x14ac:dyDescent="0.25">
      <c r="A1477" s="2121"/>
      <c r="B1477" s="2082"/>
      <c r="C1477" s="1741"/>
      <c r="D1477" s="881" t="s">
        <v>10</v>
      </c>
      <c r="E1477" s="882">
        <v>45758</v>
      </c>
      <c r="F1477" s="71">
        <f>$L$7-E1477</f>
        <v>528</v>
      </c>
      <c r="G1477" s="64">
        <v>0</v>
      </c>
      <c r="H1477" s="64"/>
      <c r="I1477" s="64"/>
      <c r="J1477" s="1367"/>
      <c r="K1477" s="64">
        <f>IFERROR(SUMIF(INTAKE!$A:$A,$T1477,INTAKE!$P:$P),0)</f>
        <v>0</v>
      </c>
      <c r="L1477" s="1702">
        <f t="shared" ref="L1477" si="897">+G1477+H1477+I1477-J1477-K1477</f>
        <v>0</v>
      </c>
      <c r="M1477" s="102"/>
      <c r="N1477" s="103"/>
      <c r="O1477" s="102"/>
      <c r="P1477" s="739"/>
      <c r="Q1477" s="795"/>
      <c r="R1477" s="785">
        <f>IFERROR(VLOOKUP($Q1477,'391'!$S:$Z,8,0),"")</f>
        <v>0</v>
      </c>
      <c r="S1477" s="796"/>
      <c r="T1477" s="797" t="str">
        <f t="shared" ref="T1477" si="898">$Q$1480&amp;C1477&amp;E1477</f>
        <v>Alterion Ne20 (Singapore)45758</v>
      </c>
      <c r="U1477" s="797"/>
      <c r="V1477" s="797"/>
      <c r="W1477" s="785">
        <f>IFERROR(VLOOKUP($Q1477,'391'!$S:$AG,15,0),0)</f>
        <v>0</v>
      </c>
      <c r="X1477" s="1090">
        <f t="shared" ref="X1477" si="899">G1477-W1477</f>
        <v>0</v>
      </c>
      <c r="Y1477" s="785"/>
      <c r="Z1477" s="785"/>
      <c r="AA1477" s="797"/>
      <c r="AB1477" s="797"/>
      <c r="AC1477" s="551"/>
      <c r="AD1477" s="551"/>
      <c r="AE1477" s="551"/>
      <c r="AF1477" s="551"/>
      <c r="AG1477" s="551"/>
      <c r="AH1477" s="551"/>
      <c r="AI1477" s="704"/>
      <c r="AJ1477" s="704"/>
      <c r="AK1477" s="704"/>
      <c r="AL1477" s="704"/>
      <c r="AM1477" s="704"/>
      <c r="AN1477" s="704"/>
      <c r="AO1477" s="704"/>
      <c r="AP1477" s="704"/>
      <c r="AQ1477" s="704"/>
      <c r="AR1477" s="704"/>
      <c r="AS1477" s="704"/>
    </row>
    <row r="1478" spans="1:45" s="265" customFormat="1" ht="30" hidden="1" customHeight="1" x14ac:dyDescent="0.25">
      <c r="A1478" s="2084"/>
      <c r="B1478" s="2076"/>
      <c r="C1478" s="1741"/>
      <c r="D1478" s="881" t="s">
        <v>10</v>
      </c>
      <c r="E1478" s="882">
        <v>45758</v>
      </c>
      <c r="F1478" s="71">
        <f>$L$7-E1478</f>
        <v>528</v>
      </c>
      <c r="G1478" s="64">
        <v>0</v>
      </c>
      <c r="H1478" s="64"/>
      <c r="I1478" s="64"/>
      <c r="J1478" s="1367"/>
      <c r="K1478" s="64">
        <f>IFERROR(SUMIF(INTAKE!$A:$A,$T1478,INTAKE!$P:$P),0)</f>
        <v>0</v>
      </c>
      <c r="L1478" s="1702">
        <f t="shared" si="895"/>
        <v>0</v>
      </c>
      <c r="M1478" s="102"/>
      <c r="N1478" s="103"/>
      <c r="O1478" s="102"/>
      <c r="P1478" s="739"/>
      <c r="Q1478" s="795"/>
      <c r="R1478" s="785">
        <f>IFERROR(VLOOKUP($Q1478,'391'!$S:$Z,8,0),"")</f>
        <v>0</v>
      </c>
      <c r="S1478" s="796"/>
      <c r="T1478" s="797" t="str">
        <f t="shared" ref="T1478:T1479" si="900">$Q$1480&amp;C1478&amp;E1478</f>
        <v>Alterion Ne20 (Singapore)45758</v>
      </c>
      <c r="U1478" s="797"/>
      <c r="V1478" s="797"/>
      <c r="W1478" s="785">
        <f>IFERROR(VLOOKUP($Q1478,'391'!$S:$AG,15,0),0)</f>
        <v>0</v>
      </c>
      <c r="X1478" s="1090">
        <f t="shared" si="896"/>
        <v>0</v>
      </c>
      <c r="Y1478" s="785"/>
      <c r="Z1478" s="785"/>
      <c r="AA1478" s="797"/>
      <c r="AB1478" s="797"/>
      <c r="AC1478" s="551"/>
      <c r="AD1478" s="551"/>
      <c r="AE1478" s="551"/>
      <c r="AF1478" s="551"/>
      <c r="AG1478" s="551"/>
      <c r="AH1478" s="551"/>
      <c r="AI1478" s="704"/>
      <c r="AJ1478" s="704"/>
      <c r="AK1478" s="704"/>
      <c r="AL1478" s="704"/>
      <c r="AM1478" s="704"/>
      <c r="AN1478" s="704"/>
      <c r="AO1478" s="704"/>
      <c r="AP1478" s="704"/>
      <c r="AQ1478" s="704"/>
      <c r="AR1478" s="704"/>
      <c r="AS1478" s="704"/>
    </row>
    <row r="1479" spans="1:45" s="265" customFormat="1" ht="30" hidden="1" customHeight="1" x14ac:dyDescent="0.25">
      <c r="A1479" s="2085"/>
      <c r="B1479" s="2068"/>
      <c r="C1479" s="138" t="s">
        <v>76</v>
      </c>
      <c r="D1479" s="884" t="s">
        <v>10</v>
      </c>
      <c r="E1479" s="885">
        <v>45737</v>
      </c>
      <c r="F1479" s="293">
        <f>$L$7-E1479</f>
        <v>549</v>
      </c>
      <c r="G1479" s="1214">
        <v>0</v>
      </c>
      <c r="H1479" s="37"/>
      <c r="I1479" s="37">
        <f>+K1478+K1476</f>
        <v>0</v>
      </c>
      <c r="J1479" s="1385">
        <f>usage!I195</f>
        <v>0</v>
      </c>
      <c r="K1479" s="64">
        <f>IFERROR(SUMIF(INTAKE!$A:$A,$T1479,INTAKE!$P:$P),0)</f>
        <v>0</v>
      </c>
      <c r="L1479" s="1533">
        <f t="shared" si="895"/>
        <v>0</v>
      </c>
      <c r="M1479" s="98"/>
      <c r="N1479" s="1473"/>
      <c r="O1479" s="98"/>
      <c r="P1479" s="759"/>
      <c r="Q1479" s="795"/>
      <c r="R1479" s="785">
        <f>IFERROR(VLOOKUP($Q1479,'391'!$S:$Z,8,0),"")</f>
        <v>0</v>
      </c>
      <c r="S1479" s="796"/>
      <c r="T1479" s="797" t="str">
        <f t="shared" si="900"/>
        <v>Alterion Ne20 (Singapore)Feedmil45737</v>
      </c>
      <c r="U1479" s="797"/>
      <c r="V1479" s="797"/>
      <c r="W1479" s="785">
        <f>IFERROR(VLOOKUP($Q1479,'391'!$S:$AG,15,0),0)</f>
        <v>0</v>
      </c>
      <c r="X1479" s="1090">
        <f t="shared" si="896"/>
        <v>0</v>
      </c>
      <c r="Y1479" s="785"/>
      <c r="Z1479" s="785"/>
      <c r="AA1479" s="797"/>
      <c r="AB1479" s="797"/>
      <c r="AC1479" s="551"/>
      <c r="AD1479" s="551"/>
      <c r="AE1479" s="551"/>
      <c r="AF1479" s="551"/>
      <c r="AG1479" s="551"/>
      <c r="AH1479" s="551"/>
      <c r="AI1479" s="704"/>
      <c r="AJ1479" s="704"/>
      <c r="AK1479" s="704"/>
      <c r="AL1479" s="704"/>
      <c r="AM1479" s="704"/>
      <c r="AN1479" s="704"/>
      <c r="AO1479" s="704"/>
      <c r="AP1479" s="704"/>
      <c r="AQ1479" s="704"/>
      <c r="AR1479" s="704"/>
      <c r="AS1479" s="704"/>
    </row>
    <row r="1480" spans="1:45" s="265" customFormat="1" ht="30" hidden="1" customHeight="1" x14ac:dyDescent="0.25">
      <c r="A1480" s="184"/>
      <c r="B1480" s="184" t="s">
        <v>1534</v>
      </c>
      <c r="C1480" s="575"/>
      <c r="D1480" s="900"/>
      <c r="E1480" s="901"/>
      <c r="F1480" s="902"/>
      <c r="G1480" s="1297">
        <v>0</v>
      </c>
      <c r="H1480" s="1297">
        <f>+SUM(H1476:H1479)</f>
        <v>0</v>
      </c>
      <c r="I1480" s="1297">
        <f t="shared" ref="I1480:L1480" si="901">+SUM(I1476:I1479)</f>
        <v>0</v>
      </c>
      <c r="J1480" s="1297">
        <f t="shared" si="901"/>
        <v>0</v>
      </c>
      <c r="K1480" s="1297">
        <f t="shared" si="901"/>
        <v>0</v>
      </c>
      <c r="L1480" s="1297">
        <f t="shared" si="901"/>
        <v>0</v>
      </c>
      <c r="M1480" s="59" t="str">
        <f>IFERROR(R1480/$S$2,"")</f>
        <v/>
      </c>
      <c r="N1480" s="99">
        <f>IFERROR(L1480/M1480,0)</f>
        <v>0</v>
      </c>
      <c r="O1480" s="59">
        <f>IFERROR(SUMIF(ETM!$A:$A,$Q1480,ETM!$E:$E),"")</f>
        <v>0</v>
      </c>
      <c r="P1480" s="741">
        <f>IFERROR(L1480/O1480,0)</f>
        <v>0</v>
      </c>
      <c r="Q1480" s="666" t="s">
        <v>1535</v>
      </c>
      <c r="R1480" s="785" t="str">
        <f>IFERROR(VLOOKUP($Q1480,'391'!$S:$Z,8,0),"")</f>
        <v/>
      </c>
      <c r="S1480" s="796"/>
      <c r="T1480" s="797"/>
      <c r="U1480" s="797"/>
      <c r="V1480" s="797"/>
      <c r="W1480" s="785">
        <f>IFERROR(VLOOKUP($Q1480,'391'!$S:$AG,15,0),0)</f>
        <v>0</v>
      </c>
      <c r="X1480" s="1090">
        <f t="shared" si="896"/>
        <v>0</v>
      </c>
      <c r="Y1480" s="785"/>
      <c r="Z1480" s="785"/>
      <c r="AA1480" s="797"/>
      <c r="AB1480" s="797"/>
      <c r="AC1480" s="683"/>
      <c r="AD1480" s="551"/>
      <c r="AE1480" s="551"/>
      <c r="AF1480" s="551"/>
      <c r="AG1480" s="551"/>
      <c r="AH1480" s="551"/>
      <c r="AI1480" s="704"/>
      <c r="AJ1480" s="704"/>
      <c r="AK1480" s="704"/>
      <c r="AL1480" s="704"/>
      <c r="AM1480" s="704"/>
      <c r="AN1480" s="704"/>
      <c r="AO1480" s="704"/>
      <c r="AP1480" s="704"/>
      <c r="AQ1480" s="704"/>
      <c r="AR1480" s="704"/>
      <c r="AS1480" s="704"/>
    </row>
    <row r="1481" spans="1:45" s="265" customFormat="1" ht="30" hidden="1" customHeight="1" x14ac:dyDescent="0.25">
      <c r="A1481" s="2083" t="str">
        <f>IF(L1486=0,"",MAX($A$16:A1480)+1)</f>
        <v/>
      </c>
      <c r="B1481" s="2075" t="s">
        <v>976</v>
      </c>
      <c r="C1481" s="574"/>
      <c r="D1481" s="881" t="s">
        <v>10</v>
      </c>
      <c r="E1481" s="882">
        <v>45637</v>
      </c>
      <c r="F1481" s="71">
        <f>$L$7-E1481</f>
        <v>649</v>
      </c>
      <c r="G1481" s="64">
        <v>0</v>
      </c>
      <c r="H1481" s="64"/>
      <c r="I1481" s="64"/>
      <c r="J1481" s="1367"/>
      <c r="K1481" s="64">
        <f>IFERROR(SUMIF(INTAKE!$A:$A,$T1481,INTAKE!$P:$P),0)</f>
        <v>0</v>
      </c>
      <c r="L1481" s="1702">
        <f t="shared" si="871"/>
        <v>0</v>
      </c>
      <c r="M1481" s="102"/>
      <c r="N1481" s="103"/>
      <c r="O1481" s="102"/>
      <c r="P1481" s="739"/>
      <c r="Q1481" s="795"/>
      <c r="R1481" s="785">
        <f>IFERROR(VLOOKUP($Q1481,'391'!$S:$Z,8,0),"")</f>
        <v>0</v>
      </c>
      <c r="S1481" s="796"/>
      <c r="T1481" s="797" t="str">
        <f>$Q$1486&amp;C1481&amp;E1481</f>
        <v>Dia-V Nursery (USA)45637</v>
      </c>
      <c r="U1481" s="797"/>
      <c r="V1481" s="797"/>
      <c r="W1481" s="785">
        <f>IFERROR(VLOOKUP($Q1481,'391'!$S:$AG,15,0),0)</f>
        <v>0</v>
      </c>
      <c r="X1481" s="1090">
        <f t="shared" si="866"/>
        <v>0</v>
      </c>
      <c r="Y1481" s="785"/>
      <c r="Z1481" s="785"/>
      <c r="AA1481" s="797"/>
      <c r="AB1481" s="797"/>
      <c r="AC1481" s="551"/>
      <c r="AD1481" s="551"/>
      <c r="AE1481" s="551"/>
      <c r="AF1481" s="551"/>
      <c r="AG1481" s="551"/>
      <c r="AH1481" s="551"/>
      <c r="AI1481" s="704"/>
      <c r="AJ1481" s="704"/>
      <c r="AK1481" s="704"/>
      <c r="AL1481" s="704"/>
      <c r="AM1481" s="704"/>
      <c r="AN1481" s="704"/>
      <c r="AO1481" s="704"/>
      <c r="AP1481" s="704"/>
      <c r="AQ1481" s="704"/>
      <c r="AR1481" s="704"/>
      <c r="AS1481" s="704"/>
    </row>
    <row r="1482" spans="1:45" s="265" customFormat="1" ht="30" hidden="1" customHeight="1" x14ac:dyDescent="0.25">
      <c r="A1482" s="2121"/>
      <c r="B1482" s="2082"/>
      <c r="C1482" s="574"/>
      <c r="D1482" s="881" t="s">
        <v>10</v>
      </c>
      <c r="E1482" s="882">
        <v>45637</v>
      </c>
      <c r="F1482" s="71">
        <f>$L$7-E1482</f>
        <v>649</v>
      </c>
      <c r="G1482" s="64">
        <v>0</v>
      </c>
      <c r="H1482" s="64"/>
      <c r="I1482" s="64"/>
      <c r="J1482" s="1367"/>
      <c r="K1482" s="64">
        <f>IFERROR(SUMIF(INTAKE!$A:$A,$T1482,INTAKE!$P:$P),0)</f>
        <v>0</v>
      </c>
      <c r="L1482" s="1702">
        <f t="shared" si="871"/>
        <v>0</v>
      </c>
      <c r="M1482" s="102"/>
      <c r="N1482" s="103"/>
      <c r="O1482" s="102"/>
      <c r="P1482" s="739"/>
      <c r="Q1482" s="795"/>
      <c r="R1482" s="785">
        <f>IFERROR(VLOOKUP($Q1482,'391'!$S:$Z,8,0),"")</f>
        <v>0</v>
      </c>
      <c r="S1482" s="796"/>
      <c r="T1482" s="797" t="str">
        <f>$Q$1486&amp;C1482&amp;E1482</f>
        <v>Dia-V Nursery (USA)45637</v>
      </c>
      <c r="U1482" s="797"/>
      <c r="V1482" s="797"/>
      <c r="W1482" s="785">
        <f>IFERROR(VLOOKUP($Q1482,'391'!$S:$AG,15,0),0)</f>
        <v>0</v>
      </c>
      <c r="X1482" s="1090">
        <f t="shared" si="866"/>
        <v>0</v>
      </c>
      <c r="Y1482" s="785"/>
      <c r="Z1482" s="785"/>
      <c r="AA1482" s="797"/>
      <c r="AB1482" s="797"/>
      <c r="AC1482" s="551"/>
      <c r="AD1482" s="551"/>
      <c r="AE1482" s="551"/>
      <c r="AF1482" s="551"/>
      <c r="AG1482" s="551"/>
      <c r="AH1482" s="551"/>
      <c r="AI1482" s="704"/>
      <c r="AJ1482" s="704"/>
      <c r="AK1482" s="704"/>
      <c r="AL1482" s="704"/>
      <c r="AM1482" s="704"/>
      <c r="AN1482" s="704"/>
      <c r="AO1482" s="704"/>
      <c r="AP1482" s="704"/>
      <c r="AQ1482" s="704"/>
      <c r="AR1482" s="704"/>
      <c r="AS1482" s="704"/>
    </row>
    <row r="1483" spans="1:45" s="265" customFormat="1" ht="30" hidden="1" customHeight="1" x14ac:dyDescent="0.25">
      <c r="A1483" s="2121"/>
      <c r="B1483" s="2082"/>
      <c r="C1483" s="574"/>
      <c r="D1483" s="881" t="s">
        <v>10</v>
      </c>
      <c r="E1483" s="882">
        <v>45637</v>
      </c>
      <c r="F1483" s="71">
        <f>$L$7-E1483</f>
        <v>649</v>
      </c>
      <c r="G1483" s="64">
        <v>0</v>
      </c>
      <c r="H1483" s="64"/>
      <c r="I1483" s="64"/>
      <c r="J1483" s="1367"/>
      <c r="K1483" s="64">
        <f>IFERROR(SUMIF(INTAKE!$A:$A,$T1483,INTAKE!$P:$P),0)</f>
        <v>0</v>
      </c>
      <c r="L1483" s="1702">
        <f t="shared" ref="L1483" si="902">+G1483+H1483+I1483-J1483-K1483</f>
        <v>0</v>
      </c>
      <c r="M1483" s="102"/>
      <c r="N1483" s="103"/>
      <c r="O1483" s="102"/>
      <c r="P1483" s="739"/>
      <c r="Q1483" s="795"/>
      <c r="R1483" s="785">
        <f>IFERROR(VLOOKUP($Q1483,'391'!$S:$Z,8,0),"")</f>
        <v>0</v>
      </c>
      <c r="S1483" s="796"/>
      <c r="T1483" s="797" t="str">
        <f>$Q$1486&amp;C1483&amp;E1483</f>
        <v>Dia-V Nursery (USA)45637</v>
      </c>
      <c r="U1483" s="797"/>
      <c r="V1483" s="797"/>
      <c r="W1483" s="785">
        <f>IFERROR(VLOOKUP($Q1483,'391'!$S:$AG,15,0),0)</f>
        <v>0</v>
      </c>
      <c r="X1483" s="1090">
        <f t="shared" ref="X1483" si="903">G1483-W1483</f>
        <v>0</v>
      </c>
      <c r="Y1483" s="785"/>
      <c r="Z1483" s="785"/>
      <c r="AA1483" s="797"/>
      <c r="AB1483" s="797"/>
      <c r="AC1483" s="551"/>
      <c r="AD1483" s="551"/>
      <c r="AE1483" s="551"/>
      <c r="AF1483" s="551"/>
      <c r="AG1483" s="551"/>
      <c r="AH1483" s="551"/>
      <c r="AI1483" s="704"/>
      <c r="AJ1483" s="704"/>
      <c r="AK1483" s="704"/>
      <c r="AL1483" s="704"/>
      <c r="AM1483" s="704"/>
      <c r="AN1483" s="704"/>
      <c r="AO1483" s="704"/>
      <c r="AP1483" s="704"/>
      <c r="AQ1483" s="704"/>
      <c r="AR1483" s="704"/>
      <c r="AS1483" s="704"/>
    </row>
    <row r="1484" spans="1:45" s="265" customFormat="1" ht="30" hidden="1" customHeight="1" x14ac:dyDescent="0.25">
      <c r="A1484" s="2084"/>
      <c r="B1484" s="2076"/>
      <c r="C1484" s="574"/>
      <c r="D1484" s="881" t="s">
        <v>10</v>
      </c>
      <c r="E1484" s="882">
        <v>45637</v>
      </c>
      <c r="F1484" s="71">
        <f>$L$7-E1484</f>
        <v>649</v>
      </c>
      <c r="G1484" s="64">
        <v>0</v>
      </c>
      <c r="H1484" s="64"/>
      <c r="I1484" s="64"/>
      <c r="J1484" s="1367"/>
      <c r="K1484" s="64">
        <f>IFERROR(SUMIF(INTAKE!$A:$A,$T1484,INTAKE!$P:$P),0)</f>
        <v>0</v>
      </c>
      <c r="L1484" s="1702">
        <f t="shared" si="871"/>
        <v>0</v>
      </c>
      <c r="M1484" s="102"/>
      <c r="N1484" s="103"/>
      <c r="O1484" s="102"/>
      <c r="P1484" s="739"/>
      <c r="Q1484" s="795"/>
      <c r="R1484" s="785">
        <f>IFERROR(VLOOKUP($Q1484,'391'!$S:$Z,8,0),"")</f>
        <v>0</v>
      </c>
      <c r="S1484" s="796"/>
      <c r="T1484" s="797" t="str">
        <f>$Q$1486&amp;C1484&amp;E1484</f>
        <v>Dia-V Nursery (USA)45637</v>
      </c>
      <c r="U1484" s="797"/>
      <c r="V1484" s="797"/>
      <c r="W1484" s="785">
        <f>IFERROR(VLOOKUP($Q1484,'391'!$S:$AG,15,0),0)</f>
        <v>0</v>
      </c>
      <c r="X1484" s="1090">
        <f t="shared" si="866"/>
        <v>0</v>
      </c>
      <c r="Y1484" s="785"/>
      <c r="Z1484" s="785"/>
      <c r="AA1484" s="797"/>
      <c r="AB1484" s="797"/>
      <c r="AC1484" s="551"/>
      <c r="AD1484" s="551"/>
      <c r="AE1484" s="551"/>
      <c r="AF1484" s="551"/>
      <c r="AG1484" s="551"/>
      <c r="AH1484" s="551"/>
      <c r="AI1484" s="704"/>
      <c r="AJ1484" s="704"/>
      <c r="AK1484" s="704"/>
      <c r="AL1484" s="704"/>
      <c r="AM1484" s="704"/>
      <c r="AN1484" s="704"/>
      <c r="AO1484" s="704"/>
      <c r="AP1484" s="704"/>
      <c r="AQ1484" s="704"/>
      <c r="AR1484" s="704"/>
      <c r="AS1484" s="704"/>
    </row>
    <row r="1485" spans="1:45" s="265" customFormat="1" ht="30" hidden="1" customHeight="1" x14ac:dyDescent="0.25">
      <c r="A1485" s="2085"/>
      <c r="B1485" s="2068"/>
      <c r="C1485" s="108" t="s">
        <v>46</v>
      </c>
      <c r="D1485" s="884" t="s">
        <v>10</v>
      </c>
      <c r="E1485" s="885">
        <v>45637</v>
      </c>
      <c r="F1485" s="293">
        <f>$L$7-E1485</f>
        <v>649</v>
      </c>
      <c r="G1485" s="1214">
        <v>0</v>
      </c>
      <c r="H1485" s="37"/>
      <c r="I1485" s="37">
        <f>SUM(K1481:K1485)</f>
        <v>0</v>
      </c>
      <c r="J1485" s="1385">
        <f>usage!I112</f>
        <v>0</v>
      </c>
      <c r="K1485" s="64">
        <f>IFERROR(SUMIF(INTAKE!$A:$A,$T1485,INTAKE!$P:$P),0)</f>
        <v>0</v>
      </c>
      <c r="L1485" s="1533">
        <f t="shared" si="871"/>
        <v>0</v>
      </c>
      <c r="M1485" s="98"/>
      <c r="N1485" s="1473"/>
      <c r="O1485" s="98"/>
      <c r="P1485" s="759"/>
      <c r="Q1485" s="795"/>
      <c r="R1485" s="785">
        <f>IFERROR(VLOOKUP($Q1485,'391'!$S:$Z,8,0),"")</f>
        <v>0</v>
      </c>
      <c r="S1485" s="796"/>
      <c r="T1485" s="797" t="str">
        <f>$Q$1486&amp;C1485&amp;E1485</f>
        <v>Dia-V Nursery (USA)Feedmill45637</v>
      </c>
      <c r="U1485" s="797"/>
      <c r="V1485" s="797"/>
      <c r="W1485" s="785">
        <f>IFERROR(VLOOKUP($Q1485,'391'!$S:$AG,15,0),0)</f>
        <v>0</v>
      </c>
      <c r="X1485" s="1090">
        <f t="shared" si="866"/>
        <v>0</v>
      </c>
      <c r="Y1485" s="785"/>
      <c r="Z1485" s="785"/>
      <c r="AA1485" s="797"/>
      <c r="AB1485" s="797"/>
      <c r="AC1485" s="551"/>
      <c r="AD1485" s="551"/>
      <c r="AE1485" s="551"/>
      <c r="AF1485" s="551"/>
      <c r="AG1485" s="551"/>
      <c r="AH1485" s="551"/>
      <c r="AI1485" s="704"/>
      <c r="AJ1485" s="704"/>
      <c r="AK1485" s="704"/>
      <c r="AL1485" s="704"/>
      <c r="AM1485" s="704"/>
      <c r="AN1485" s="704"/>
      <c r="AO1485" s="704"/>
      <c r="AP1485" s="704"/>
      <c r="AQ1485" s="704"/>
      <c r="AR1485" s="704"/>
      <c r="AS1485" s="704"/>
    </row>
    <row r="1486" spans="1:45" s="265" customFormat="1" ht="30" hidden="1" customHeight="1" x14ac:dyDescent="0.25">
      <c r="A1486" s="184"/>
      <c r="B1486" s="184" t="s">
        <v>977</v>
      </c>
      <c r="C1486" s="575"/>
      <c r="D1486" s="900"/>
      <c r="E1486" s="901"/>
      <c r="F1486" s="902"/>
      <c r="G1486" s="1297">
        <v>0</v>
      </c>
      <c r="H1486" s="1297">
        <f>+SUM(H1481:H1485)</f>
        <v>0</v>
      </c>
      <c r="I1486" s="1297">
        <f>+SUM(I1481:I1485)</f>
        <v>0</v>
      </c>
      <c r="J1486" s="1297">
        <f t="shared" ref="J1486:L1486" si="904">+SUM(J1481:J1485)</f>
        <v>0</v>
      </c>
      <c r="K1486" s="1297">
        <f t="shared" si="904"/>
        <v>0</v>
      </c>
      <c r="L1486" s="1297">
        <f t="shared" si="904"/>
        <v>0</v>
      </c>
      <c r="M1486" s="59" t="str">
        <f>IFERROR(R1486/$S$2,"")</f>
        <v/>
      </c>
      <c r="N1486" s="99">
        <f>IFERROR(L1486/M1486,0)</f>
        <v>0</v>
      </c>
      <c r="O1486" s="92">
        <f>O1598</f>
        <v>0</v>
      </c>
      <c r="P1486" s="741">
        <f>IFERROR(L1486/O1486,0)</f>
        <v>0</v>
      </c>
      <c r="Q1486" s="809" t="s">
        <v>978</v>
      </c>
      <c r="R1486" s="785" t="str">
        <f>IFERROR(VLOOKUP($Q1486,'391'!$S:$Z,8,0),"")</f>
        <v/>
      </c>
      <c r="S1486" s="796"/>
      <c r="T1486" s="797"/>
      <c r="U1486" s="797"/>
      <c r="V1486" s="797"/>
      <c r="W1486" s="785">
        <f>IFERROR(VLOOKUP($Q1486,'391'!$S:$AG,15,0),0)</f>
        <v>0</v>
      </c>
      <c r="X1486" s="1090">
        <f t="shared" si="866"/>
        <v>0</v>
      </c>
      <c r="Y1486" s="785"/>
      <c r="Z1486" s="785"/>
      <c r="AA1486" s="797"/>
      <c r="AB1486" s="797"/>
      <c r="AC1486" s="683"/>
      <c r="AD1486" s="551"/>
      <c r="AE1486" s="551"/>
      <c r="AF1486" s="551"/>
      <c r="AG1486" s="551"/>
      <c r="AH1486" s="551"/>
      <c r="AI1486" s="704"/>
      <c r="AJ1486" s="704"/>
      <c r="AK1486" s="704"/>
      <c r="AL1486" s="704"/>
      <c r="AM1486" s="704"/>
      <c r="AN1486" s="704"/>
      <c r="AO1486" s="704"/>
      <c r="AP1486" s="704"/>
      <c r="AQ1486" s="704"/>
      <c r="AR1486" s="704"/>
      <c r="AS1486" s="704"/>
    </row>
    <row r="1487" spans="1:45" s="265" customFormat="1" ht="30" hidden="1" customHeight="1" x14ac:dyDescent="0.25">
      <c r="A1487" s="2083" t="str">
        <f>IF(L1490=0,"",MAX($A$16:A1486)+1)</f>
        <v/>
      </c>
      <c r="B1487" s="2075" t="s">
        <v>1600</v>
      </c>
      <c r="C1487" s="574" t="s">
        <v>1249</v>
      </c>
      <c r="D1487" s="881" t="s">
        <v>10</v>
      </c>
      <c r="E1487" s="882">
        <v>45812</v>
      </c>
      <c r="F1487" s="71">
        <f>$L$7-E1487</f>
        <v>474</v>
      </c>
      <c r="G1487" s="64">
        <v>0</v>
      </c>
      <c r="H1487" s="64"/>
      <c r="I1487" s="64"/>
      <c r="J1487" s="1367"/>
      <c r="K1487" s="64">
        <f>IFERROR(SUMIF(INTAKE!$A:$A,$T1487,INTAKE!$P:$P),0)</f>
        <v>0</v>
      </c>
      <c r="L1487" s="1669">
        <f>+G1487+H1487+I1487-J1487-K1487</f>
        <v>0</v>
      </c>
      <c r="M1487" s="102"/>
      <c r="N1487" s="103"/>
      <c r="O1487" s="102"/>
      <c r="P1487" s="739"/>
      <c r="Q1487" s="795"/>
      <c r="R1487" s="785">
        <f>IFERROR(VLOOKUP($Q1487,'391'!$S:$Z,8,0),"")</f>
        <v>0</v>
      </c>
      <c r="S1487" s="796"/>
      <c r="T1487" s="797" t="str">
        <f>$Q$1490&amp;C1487&amp;E1487</f>
        <v>LUCTASWEET–  78049Z (China)E145812</v>
      </c>
      <c r="U1487" s="797"/>
      <c r="V1487" s="797"/>
      <c r="W1487" s="785">
        <f>IFERROR(VLOOKUP($Q1487,'391'!$S:$AG,15,0),0)</f>
        <v>0</v>
      </c>
      <c r="X1487" s="1090">
        <f t="shared" ref="X1487:X1490" si="905">G1487-W1487</f>
        <v>0</v>
      </c>
      <c r="Y1487" s="785"/>
      <c r="Z1487" s="785"/>
      <c r="AA1487" s="797"/>
      <c r="AB1487" s="797"/>
      <c r="AC1487" s="551"/>
      <c r="AD1487" s="551"/>
      <c r="AE1487" s="551"/>
      <c r="AF1487" s="551"/>
      <c r="AG1487" s="551"/>
      <c r="AH1487" s="551"/>
      <c r="AI1487" s="704"/>
      <c r="AJ1487" s="704"/>
      <c r="AK1487" s="704"/>
      <c r="AL1487" s="704"/>
      <c r="AM1487" s="704"/>
      <c r="AN1487" s="704"/>
      <c r="AO1487" s="704"/>
      <c r="AP1487" s="704"/>
      <c r="AQ1487" s="704"/>
      <c r="AR1487" s="704"/>
      <c r="AS1487" s="704"/>
    </row>
    <row r="1488" spans="1:45" s="265" customFormat="1" ht="30" hidden="1" customHeight="1" x14ac:dyDescent="0.25">
      <c r="A1488" s="2084"/>
      <c r="B1488" s="2076"/>
      <c r="C1488" s="574"/>
      <c r="D1488" s="881" t="s">
        <v>10</v>
      </c>
      <c r="E1488" s="882">
        <v>44200</v>
      </c>
      <c r="F1488" s="71">
        <f>$L$7-E1488</f>
        <v>2086</v>
      </c>
      <c r="G1488" s="64">
        <v>0</v>
      </c>
      <c r="H1488" s="64"/>
      <c r="I1488" s="64"/>
      <c r="J1488" s="1367"/>
      <c r="K1488" s="64">
        <f>IFERROR(SUMIF(INTAKE!$A:$A,$T1488,INTAKE!$P:$P),0)</f>
        <v>0</v>
      </c>
      <c r="L1488" s="531">
        <f>+G1488+H1488+I1488-J1488-K1488</f>
        <v>0</v>
      </c>
      <c r="M1488" s="102"/>
      <c r="N1488" s="103"/>
      <c r="O1488" s="102"/>
      <c r="P1488" s="739"/>
      <c r="Q1488" s="795"/>
      <c r="R1488" s="785">
        <f>IFERROR(VLOOKUP($Q1488,'391'!$S:$Z,8,0),"")</f>
        <v>0</v>
      </c>
      <c r="S1488" s="796"/>
      <c r="T1488" s="797" t="str">
        <f t="shared" ref="T1488:T1489" si="906">$Q$1490&amp;C1488&amp;E1488</f>
        <v>LUCTASWEET–  78049Z (China)44200</v>
      </c>
      <c r="U1488" s="797"/>
      <c r="V1488" s="797"/>
      <c r="W1488" s="785">
        <f>IFERROR(VLOOKUP($Q1488,'391'!$S:$AG,15,0),0)</f>
        <v>0</v>
      </c>
      <c r="X1488" s="1090">
        <f t="shared" si="905"/>
        <v>0</v>
      </c>
      <c r="Y1488" s="785"/>
      <c r="Z1488" s="785"/>
      <c r="AA1488" s="797"/>
      <c r="AB1488" s="797"/>
      <c r="AC1488" s="551"/>
      <c r="AD1488" s="551"/>
      <c r="AE1488" s="551"/>
      <c r="AF1488" s="551"/>
      <c r="AG1488" s="551"/>
      <c r="AH1488" s="551"/>
      <c r="AI1488" s="704"/>
      <c r="AJ1488" s="704"/>
      <c r="AK1488" s="704"/>
      <c r="AL1488" s="704"/>
      <c r="AM1488" s="704"/>
      <c r="AN1488" s="704"/>
      <c r="AO1488" s="704"/>
      <c r="AP1488" s="704"/>
      <c r="AQ1488" s="704"/>
      <c r="AR1488" s="704"/>
      <c r="AS1488" s="704"/>
    </row>
    <row r="1489" spans="1:45" s="265" customFormat="1" ht="30" hidden="1" customHeight="1" x14ac:dyDescent="0.25">
      <c r="A1489" s="2085"/>
      <c r="B1489" s="2068"/>
      <c r="C1489" s="138" t="s">
        <v>76</v>
      </c>
      <c r="D1489" s="884" t="s">
        <v>10</v>
      </c>
      <c r="E1489" s="885">
        <v>45812</v>
      </c>
      <c r="F1489" s="293">
        <f>$L$7-E1489</f>
        <v>474</v>
      </c>
      <c r="G1489" s="1214">
        <v>0</v>
      </c>
      <c r="H1489" s="37"/>
      <c r="I1489" s="37">
        <f>+K1488+K1487</f>
        <v>0</v>
      </c>
      <c r="J1489" s="1385">
        <f>usage!I193</f>
        <v>0</v>
      </c>
      <c r="K1489" s="64">
        <f>IFERROR(SUMIF(INTAKE!$A:$A,$T1489,INTAKE!$P:$P),0)</f>
        <v>0</v>
      </c>
      <c r="L1489" s="1533">
        <f>+G1489+H1489+I1489-J1489-K1489</f>
        <v>0</v>
      </c>
      <c r="M1489" s="98"/>
      <c r="N1489" s="1473"/>
      <c r="O1489" s="98"/>
      <c r="P1489" s="759"/>
      <c r="Q1489" s="795"/>
      <c r="R1489" s="785">
        <f>IFERROR(VLOOKUP($Q1489,'391'!$S:$Z,8,0),"")</f>
        <v>0</v>
      </c>
      <c r="S1489" s="796"/>
      <c r="T1489" s="797" t="str">
        <f t="shared" si="906"/>
        <v>LUCTASWEET–  78049Z (China)Feedmil45812</v>
      </c>
      <c r="U1489" s="797"/>
      <c r="V1489" s="797"/>
      <c r="W1489" s="785">
        <f>IFERROR(VLOOKUP($Q1489,'391'!$S:$AG,15,0),0)</f>
        <v>0</v>
      </c>
      <c r="X1489" s="1090">
        <f t="shared" si="905"/>
        <v>0</v>
      </c>
      <c r="Y1489" s="785"/>
      <c r="Z1489" s="785"/>
      <c r="AA1489" s="797"/>
      <c r="AB1489" s="797"/>
      <c r="AC1489" s="551"/>
      <c r="AD1489" s="551"/>
      <c r="AE1489" s="551"/>
      <c r="AF1489" s="551"/>
      <c r="AG1489" s="551"/>
      <c r="AH1489" s="551"/>
      <c r="AI1489" s="704"/>
      <c r="AJ1489" s="704"/>
      <c r="AK1489" s="704"/>
      <c r="AL1489" s="704"/>
      <c r="AM1489" s="704"/>
      <c r="AN1489" s="704"/>
      <c r="AO1489" s="704"/>
      <c r="AP1489" s="704"/>
      <c r="AQ1489" s="704"/>
      <c r="AR1489" s="704"/>
      <c r="AS1489" s="704"/>
    </row>
    <row r="1490" spans="1:45" s="265" customFormat="1" ht="30" hidden="1" customHeight="1" x14ac:dyDescent="0.25">
      <c r="A1490" s="184"/>
      <c r="B1490" s="184" t="s">
        <v>1601</v>
      </c>
      <c r="C1490" s="575"/>
      <c r="D1490" s="900"/>
      <c r="E1490" s="901"/>
      <c r="F1490" s="902"/>
      <c r="G1490" s="1297">
        <v>0</v>
      </c>
      <c r="H1490" s="1297">
        <f>+SUM(H1487:H1489)</f>
        <v>0</v>
      </c>
      <c r="I1490" s="1297">
        <f t="shared" ref="I1490:L1490" si="907">+SUM(I1487:I1489)</f>
        <v>0</v>
      </c>
      <c r="J1490" s="1297">
        <f t="shared" si="907"/>
        <v>0</v>
      </c>
      <c r="K1490" s="1297">
        <f t="shared" si="907"/>
        <v>0</v>
      </c>
      <c r="L1490" s="1297">
        <f t="shared" si="907"/>
        <v>0</v>
      </c>
      <c r="M1490" s="92" t="str">
        <f>IFERROR(R1490/$S$2,"")</f>
        <v/>
      </c>
      <c r="N1490" s="99">
        <f>IFERROR(L1490/M1490,0)</f>
        <v>0</v>
      </c>
      <c r="O1490" s="92">
        <f>IFERROR(SUMIF(ETM!$A:$A,$Q1490,ETM!$E:$E),"")</f>
        <v>0</v>
      </c>
      <c r="P1490" s="741">
        <f>IFERROR(L1490/O1490,0)</f>
        <v>0</v>
      </c>
      <c r="Q1490" s="809" t="s">
        <v>1600</v>
      </c>
      <c r="R1490" s="785" t="str">
        <f>IFERROR(VLOOKUP($Q1490,'391'!$S:$Z,8,0),"")</f>
        <v/>
      </c>
      <c r="S1490" s="796"/>
      <c r="T1490" s="797"/>
      <c r="U1490" s="797"/>
      <c r="V1490" s="797"/>
      <c r="W1490" s="785">
        <f>IFERROR(VLOOKUP($Q1490,'391'!$S:$AG,15,0),0)</f>
        <v>0</v>
      </c>
      <c r="X1490" s="1090">
        <f t="shared" si="905"/>
        <v>0</v>
      </c>
      <c r="Y1490" s="785"/>
      <c r="Z1490" s="785"/>
      <c r="AA1490" s="797"/>
      <c r="AB1490" s="797"/>
      <c r="AC1490" s="683"/>
      <c r="AD1490" s="551"/>
      <c r="AE1490" s="551"/>
      <c r="AF1490" s="551"/>
      <c r="AG1490" s="551"/>
      <c r="AH1490" s="551"/>
      <c r="AI1490" s="704"/>
      <c r="AJ1490" s="704"/>
      <c r="AK1490" s="704"/>
      <c r="AL1490" s="704"/>
      <c r="AM1490" s="704"/>
      <c r="AN1490" s="704"/>
      <c r="AO1490" s="704"/>
      <c r="AP1490" s="704"/>
      <c r="AQ1490" s="704"/>
      <c r="AR1490" s="704"/>
      <c r="AS1490" s="704"/>
    </row>
    <row r="1491" spans="1:45" s="265" customFormat="1" ht="31.15" customHeight="1" x14ac:dyDescent="0.25">
      <c r="A1491" s="2083">
        <f>IF(L1495=0,"",MAX($A$16:A1490)+1)</f>
        <v>97</v>
      </c>
      <c r="B1491" s="2075" t="s">
        <v>1632</v>
      </c>
      <c r="C1491" s="574" t="s">
        <v>510</v>
      </c>
      <c r="D1491" s="881" t="s">
        <v>10</v>
      </c>
      <c r="E1491" s="882">
        <v>46218</v>
      </c>
      <c r="F1491" s="71">
        <f>$L$7-E1491</f>
        <v>68</v>
      </c>
      <c r="G1491" s="64">
        <v>8000</v>
      </c>
      <c r="H1491" s="64"/>
      <c r="I1491" s="64"/>
      <c r="J1491" s="1367"/>
      <c r="K1491" s="64">
        <f>IFERROR(SUMIF(INTAKE!$A:$A,$T1491,INTAKE!$P:$P),0)</f>
        <v>0</v>
      </c>
      <c r="L1491" s="1669">
        <f>+G1491+H1491+I1491-J1491-K1491</f>
        <v>8000</v>
      </c>
      <c r="M1491" s="102"/>
      <c r="N1491" s="103"/>
      <c r="O1491" s="102"/>
      <c r="P1491" s="739"/>
      <c r="Q1491" s="795"/>
      <c r="R1491" s="785">
        <f>IFERROR(VLOOKUP($Q1491,'391'!$S:$Z,8,0),"")</f>
        <v>0</v>
      </c>
      <c r="S1491" s="796"/>
      <c r="T1491" s="797" t="str">
        <f>$Q$1495&amp;C1491&amp;E1491</f>
        <v>Acid Buf 10 (Ireland)A18.646218</v>
      </c>
      <c r="U1491" s="797"/>
      <c r="V1491" s="797"/>
      <c r="W1491" s="785">
        <f>IFERROR(VLOOKUP($Q1491,'391'!$S:$AG,15,0),0)</f>
        <v>0</v>
      </c>
      <c r="X1491" s="1090">
        <f t="shared" ref="X1491:X1495" si="908">G1491-W1491</f>
        <v>8000</v>
      </c>
      <c r="Y1491" s="785"/>
      <c r="Z1491" s="785"/>
      <c r="AA1491" s="797"/>
      <c r="AB1491" s="797"/>
      <c r="AC1491" s="551"/>
      <c r="AD1491" s="551"/>
      <c r="AE1491" s="551"/>
      <c r="AF1491" s="551"/>
      <c r="AG1491" s="551"/>
      <c r="AH1491" s="551"/>
      <c r="AI1491" s="704"/>
      <c r="AJ1491" s="704"/>
      <c r="AK1491" s="704"/>
      <c r="AL1491" s="704"/>
      <c r="AM1491" s="704"/>
      <c r="AN1491" s="704"/>
      <c r="AO1491" s="704"/>
      <c r="AP1491" s="704"/>
      <c r="AQ1491" s="704"/>
      <c r="AR1491" s="704"/>
      <c r="AS1491" s="704"/>
    </row>
    <row r="1492" spans="1:45" s="265" customFormat="1" ht="30" customHeight="1" x14ac:dyDescent="0.25">
      <c r="A1492" s="2121"/>
      <c r="B1492" s="2082"/>
      <c r="C1492" s="574" t="s">
        <v>1190</v>
      </c>
      <c r="D1492" s="881" t="s">
        <v>10</v>
      </c>
      <c r="E1492" s="882">
        <v>46280</v>
      </c>
      <c r="F1492" s="71">
        <f>$L$7-E1492</f>
        <v>6</v>
      </c>
      <c r="G1492" s="64">
        <v>13000</v>
      </c>
      <c r="H1492" s="64"/>
      <c r="I1492" s="64"/>
      <c r="J1492" s="1367"/>
      <c r="K1492" s="64">
        <f>IFERROR(SUMIF(INTAKE!$A:$A,$T1492,INTAKE!$P:$P),0)</f>
        <v>0</v>
      </c>
      <c r="L1492" s="1669">
        <f>+G1492+H1492+I1492-J1492-K1492</f>
        <v>13000</v>
      </c>
      <c r="M1492" s="102"/>
      <c r="N1492" s="103"/>
      <c r="O1492" s="102"/>
      <c r="P1492" s="739"/>
      <c r="Q1492" s="795"/>
      <c r="R1492" s="785">
        <f>IFERROR(VLOOKUP($Q1492,'391'!$S:$Z,8,0),"")</f>
        <v>0</v>
      </c>
      <c r="S1492" s="796"/>
      <c r="T1492" s="797" t="str">
        <f t="shared" ref="T1492" si="909">$Q$1495&amp;C1492&amp;E1492</f>
        <v>Acid Buf 10 (Ireland)A18.146280</v>
      </c>
      <c r="U1492" s="797"/>
      <c r="V1492" s="797"/>
      <c r="W1492" s="785">
        <f>IFERROR(VLOOKUP($Q1492,'391'!$S:$AG,15,0),0)</f>
        <v>0</v>
      </c>
      <c r="X1492" s="1090">
        <f t="shared" ref="X1492" si="910">G1492-W1492</f>
        <v>13000</v>
      </c>
      <c r="Y1492" s="785"/>
      <c r="Z1492" s="785"/>
      <c r="AA1492" s="797"/>
      <c r="AB1492" s="797"/>
      <c r="AC1492" s="551"/>
      <c r="AD1492" s="551"/>
      <c r="AE1492" s="551"/>
      <c r="AF1492" s="551"/>
      <c r="AG1492" s="551"/>
      <c r="AH1492" s="551"/>
      <c r="AI1492" s="704"/>
      <c r="AJ1492" s="704"/>
      <c r="AK1492" s="704"/>
      <c r="AL1492" s="704"/>
      <c r="AM1492" s="704"/>
      <c r="AN1492" s="704"/>
      <c r="AO1492" s="704"/>
      <c r="AP1492" s="704"/>
      <c r="AQ1492" s="704"/>
      <c r="AR1492" s="704"/>
      <c r="AS1492" s="704"/>
    </row>
    <row r="1493" spans="1:45" s="265" customFormat="1" ht="30" hidden="1" customHeight="1" x14ac:dyDescent="0.25">
      <c r="A1493" s="2084"/>
      <c r="B1493" s="2076"/>
      <c r="C1493" s="574"/>
      <c r="D1493" s="881" t="s">
        <v>10</v>
      </c>
      <c r="E1493" s="882">
        <v>46255</v>
      </c>
      <c r="F1493" s="71">
        <f>$L$7-E1493</f>
        <v>31</v>
      </c>
      <c r="G1493" s="64">
        <v>0</v>
      </c>
      <c r="H1493" s="64"/>
      <c r="I1493" s="64"/>
      <c r="J1493" s="1367"/>
      <c r="K1493" s="64">
        <f>IFERROR(SUMIF(INTAKE!$A:$A,$T1493,INTAKE!$P:$P),0)</f>
        <v>0</v>
      </c>
      <c r="L1493" s="1669">
        <f>+G1493+H1493+I1493-J1493-K1493</f>
        <v>0</v>
      </c>
      <c r="M1493" s="102"/>
      <c r="N1493" s="103"/>
      <c r="O1493" s="102"/>
      <c r="P1493" s="739"/>
      <c r="Q1493" s="795"/>
      <c r="R1493" s="785">
        <f>IFERROR(VLOOKUP($Q1493,'391'!$S:$Z,8,0),"")</f>
        <v>0</v>
      </c>
      <c r="S1493" s="796"/>
      <c r="T1493" s="797" t="str">
        <f t="shared" ref="T1493:T1494" si="911">$Q$1495&amp;C1493&amp;E1493</f>
        <v>Acid Buf 10 (Ireland)46255</v>
      </c>
      <c r="U1493" s="797"/>
      <c r="V1493" s="797"/>
      <c r="W1493" s="785">
        <f>IFERROR(VLOOKUP($Q1493,'391'!$S:$AG,15,0),0)</f>
        <v>0</v>
      </c>
      <c r="X1493" s="1090">
        <f t="shared" si="908"/>
        <v>0</v>
      </c>
      <c r="Y1493" s="785"/>
      <c r="Z1493" s="785"/>
      <c r="AA1493" s="797"/>
      <c r="AB1493" s="797"/>
      <c r="AC1493" s="551"/>
      <c r="AD1493" s="551"/>
      <c r="AE1493" s="551"/>
      <c r="AF1493" s="551"/>
      <c r="AG1493" s="551"/>
      <c r="AH1493" s="551"/>
      <c r="AI1493" s="704"/>
      <c r="AJ1493" s="704"/>
      <c r="AK1493" s="704"/>
      <c r="AL1493" s="704"/>
      <c r="AM1493" s="704"/>
      <c r="AN1493" s="704"/>
      <c r="AO1493" s="704"/>
      <c r="AP1493" s="704"/>
      <c r="AQ1493" s="704"/>
      <c r="AR1493" s="704"/>
      <c r="AS1493" s="704"/>
    </row>
    <row r="1494" spans="1:45" s="265" customFormat="1" ht="30" customHeight="1" x14ac:dyDescent="0.25">
      <c r="A1494" s="2085"/>
      <c r="B1494" s="2068"/>
      <c r="C1494" s="138" t="s">
        <v>76</v>
      </c>
      <c r="D1494" s="884" t="s">
        <v>10</v>
      </c>
      <c r="E1494" s="885">
        <v>46202</v>
      </c>
      <c r="F1494" s="293">
        <f>$L$7-E1494</f>
        <v>84</v>
      </c>
      <c r="G1494" s="1214">
        <v>584.68999999999994</v>
      </c>
      <c r="H1494" s="37"/>
      <c r="I1494" s="37">
        <f>+K1493+K1491+K1492</f>
        <v>0</v>
      </c>
      <c r="J1494" s="1385">
        <f>usage!I196</f>
        <v>420.74</v>
      </c>
      <c r="K1494" s="64">
        <f>IFERROR(SUMIF(INTAKE!$A:$A,$T1494,INTAKE!$P:$P),0)</f>
        <v>0</v>
      </c>
      <c r="L1494" s="1533">
        <f>+G1494+H1494+I1494-J1494-K1494</f>
        <v>163.94999999999993</v>
      </c>
      <c r="M1494" s="98"/>
      <c r="N1494" s="1473"/>
      <c r="O1494" s="98"/>
      <c r="P1494" s="759"/>
      <c r="Q1494" s="795"/>
      <c r="R1494" s="785">
        <f>IFERROR(VLOOKUP($Q1494,'391'!$S:$Z,8,0),"")</f>
        <v>0</v>
      </c>
      <c r="S1494" s="796"/>
      <c r="T1494" s="797" t="str">
        <f t="shared" si="911"/>
        <v>Acid Buf 10 (Ireland)Feedmil46202</v>
      </c>
      <c r="U1494" s="797"/>
      <c r="V1494" s="797"/>
      <c r="W1494" s="785">
        <f>IFERROR(VLOOKUP($Q1494,'391'!$S:$AG,15,0),0)</f>
        <v>0</v>
      </c>
      <c r="X1494" s="1090">
        <f t="shared" si="908"/>
        <v>584.68999999999994</v>
      </c>
      <c r="Y1494" s="785"/>
      <c r="Z1494" s="785"/>
      <c r="AA1494" s="797"/>
      <c r="AB1494" s="797"/>
      <c r="AC1494" s="551"/>
      <c r="AD1494" s="551"/>
      <c r="AE1494" s="551"/>
      <c r="AF1494" s="551"/>
      <c r="AG1494" s="551"/>
      <c r="AH1494" s="551"/>
      <c r="AI1494" s="704"/>
      <c r="AJ1494" s="704"/>
      <c r="AK1494" s="704"/>
      <c r="AL1494" s="704"/>
      <c r="AM1494" s="704"/>
      <c r="AN1494" s="704"/>
      <c r="AO1494" s="704"/>
      <c r="AP1494" s="704"/>
      <c r="AQ1494" s="704"/>
      <c r="AR1494" s="704"/>
      <c r="AS1494" s="704"/>
    </row>
    <row r="1495" spans="1:45" s="265" customFormat="1" ht="30" customHeight="1" x14ac:dyDescent="0.25">
      <c r="A1495" s="184"/>
      <c r="B1495" s="184" t="s">
        <v>1633</v>
      </c>
      <c r="C1495" s="575"/>
      <c r="D1495" s="900"/>
      <c r="E1495" s="901"/>
      <c r="F1495" s="902"/>
      <c r="G1495" s="1297">
        <v>21584.69</v>
      </c>
      <c r="H1495" s="1297">
        <f>+SUM(H1491:H1494)</f>
        <v>0</v>
      </c>
      <c r="I1495" s="1297">
        <f t="shared" ref="I1495:L1495" si="912">+SUM(I1491:I1494)</f>
        <v>0</v>
      </c>
      <c r="J1495" s="1297">
        <f t="shared" si="912"/>
        <v>420.74</v>
      </c>
      <c r="K1495" s="1297">
        <f t="shared" si="912"/>
        <v>0</v>
      </c>
      <c r="L1495" s="1297">
        <f t="shared" si="912"/>
        <v>21163.95</v>
      </c>
      <c r="M1495" s="92">
        <f>IFERROR(R1495/$S$2,"")</f>
        <v>336.77333333333337</v>
      </c>
      <c r="N1495" s="99">
        <f>IFERROR(L1495/M1495,0)</f>
        <v>62.843307071026999</v>
      </c>
      <c r="O1495" s="92">
        <f>IFERROR(SUMIF(ETM!$A:$A,$Q1495,ETM!$E:$E),"")</f>
        <v>328.66666666666669</v>
      </c>
      <c r="P1495" s="741">
        <f>IFERROR(L1495/O1495,0)</f>
        <v>64.393356997971594</v>
      </c>
      <c r="Q1495" s="809" t="s">
        <v>1632</v>
      </c>
      <c r="R1495" s="785">
        <f>IFERROR(VLOOKUP($Q1495,'391'!$S:$Z,8,0),"")</f>
        <v>2020.64</v>
      </c>
      <c r="S1495" s="796"/>
      <c r="T1495" s="797"/>
      <c r="U1495" s="797"/>
      <c r="V1495" s="797"/>
      <c r="W1495" s="785">
        <f>IFERROR(VLOOKUP($Q1495,'391'!$S:$AG,15,0),0)</f>
        <v>21584.69</v>
      </c>
      <c r="X1495" s="1090">
        <f t="shared" si="908"/>
        <v>0</v>
      </c>
      <c r="Y1495" s="785"/>
      <c r="Z1495" s="785"/>
      <c r="AA1495" s="797"/>
      <c r="AB1495" s="797"/>
      <c r="AC1495" s="683"/>
      <c r="AD1495" s="551"/>
      <c r="AE1495" s="551"/>
      <c r="AF1495" s="551"/>
      <c r="AG1495" s="551"/>
      <c r="AH1495" s="551"/>
      <c r="AI1495" s="704"/>
      <c r="AJ1495" s="704"/>
      <c r="AK1495" s="704"/>
      <c r="AL1495" s="704"/>
      <c r="AM1495" s="704"/>
      <c r="AN1495" s="704"/>
      <c r="AO1495" s="704"/>
      <c r="AP1495" s="704"/>
      <c r="AQ1495" s="704"/>
      <c r="AR1495" s="704"/>
      <c r="AS1495" s="704"/>
    </row>
    <row r="1496" spans="1:45" s="265" customFormat="1" ht="30" customHeight="1" x14ac:dyDescent="0.25">
      <c r="A1496" s="2083">
        <f>IF(L1500=0,"",MAX($A$16:A1495)+1)</f>
        <v>98</v>
      </c>
      <c r="B1496" s="2075" t="s">
        <v>1634</v>
      </c>
      <c r="C1496" s="1978" t="s">
        <v>250</v>
      </c>
      <c r="D1496" s="881" t="s">
        <v>10</v>
      </c>
      <c r="E1496" s="882">
        <v>46218</v>
      </c>
      <c r="F1496" s="71">
        <f>$L$7-E1496</f>
        <v>68</v>
      </c>
      <c r="G1496" s="64">
        <v>550</v>
      </c>
      <c r="H1496" s="64"/>
      <c r="I1496" s="64"/>
      <c r="J1496" s="1367"/>
      <c r="K1496" s="64">
        <f>IFERROR(SUMIF(INTAKE!$A:$A,$T1496,INTAKE!$P:$P),0)</f>
        <v>25</v>
      </c>
      <c r="L1496" s="1669">
        <f>+G1496+H1496+I1496-J1496-K1496</f>
        <v>525</v>
      </c>
      <c r="M1496" s="102"/>
      <c r="N1496" s="103"/>
      <c r="O1496" s="102"/>
      <c r="P1496" s="739"/>
      <c r="Q1496" s="795"/>
      <c r="R1496" s="785">
        <f>IFERROR(VLOOKUP($Q1496,'391'!$S:$Z,8,0),"")</f>
        <v>0</v>
      </c>
      <c r="S1496" s="796"/>
      <c r="T1496" s="797" t="str">
        <f>$Q$1500&amp;C1496&amp;E1496</f>
        <v>DH VITAMIN PREMIX (ViÖt Nam)Y3.146218</v>
      </c>
      <c r="U1496" s="797"/>
      <c r="V1496" s="797"/>
      <c r="W1496" s="785">
        <f>IFERROR(VLOOKUP($Q1496,'391'!$S:$AG,15,0),0)</f>
        <v>0</v>
      </c>
      <c r="X1496" s="1090">
        <f t="shared" ref="X1496:X1500" si="913">G1496-W1496</f>
        <v>550</v>
      </c>
      <c r="Y1496" s="785"/>
      <c r="Z1496" s="785"/>
      <c r="AA1496" s="797"/>
      <c r="AB1496" s="797"/>
      <c r="AC1496" s="551"/>
      <c r="AD1496" s="551"/>
      <c r="AE1496" s="551"/>
      <c r="AF1496" s="551"/>
      <c r="AG1496" s="551"/>
      <c r="AH1496" s="551"/>
      <c r="AI1496" s="704"/>
      <c r="AJ1496" s="704"/>
      <c r="AK1496" s="704"/>
      <c r="AL1496" s="704"/>
      <c r="AM1496" s="704"/>
      <c r="AN1496" s="704"/>
      <c r="AO1496" s="704"/>
      <c r="AP1496" s="704"/>
      <c r="AQ1496" s="704"/>
      <c r="AR1496" s="704"/>
      <c r="AS1496" s="704"/>
    </row>
    <row r="1497" spans="1:45" s="265" customFormat="1" ht="30" customHeight="1" x14ac:dyDescent="0.25">
      <c r="A1497" s="2084"/>
      <c r="B1497" s="2076"/>
      <c r="C1497" s="1952" t="s">
        <v>248</v>
      </c>
      <c r="D1497" s="881" t="s">
        <v>10</v>
      </c>
      <c r="E1497" s="882">
        <v>46245</v>
      </c>
      <c r="F1497" s="71">
        <f>$L$7-E1497</f>
        <v>41</v>
      </c>
      <c r="G1497" s="64">
        <v>2500</v>
      </c>
      <c r="H1497" s="1381"/>
      <c r="I1497" s="1381"/>
      <c r="J1497" s="1899"/>
      <c r="K1497" s="1896"/>
      <c r="L1497" s="1669">
        <f>+G1497+H1497+I1497-J1497-K1497</f>
        <v>2500</v>
      </c>
      <c r="M1497" s="102"/>
      <c r="N1497" s="103"/>
      <c r="O1497" s="102"/>
      <c r="P1497" s="739"/>
      <c r="Q1497" s="795"/>
      <c r="R1497" s="785">
        <f>IFERROR(VLOOKUP($Q1497,'391'!$S:$Z,8,0),"")</f>
        <v>0</v>
      </c>
      <c r="S1497" s="796"/>
      <c r="T1497" s="797" t="str">
        <f>$Q$1500&amp;C1497&amp;E1497</f>
        <v>DH VITAMIN PREMIX (ViÖt Nam)Y4.146245</v>
      </c>
      <c r="U1497" s="797"/>
      <c r="V1497" s="797"/>
      <c r="W1497" s="785">
        <f>IFERROR(VLOOKUP($Q1497,'391'!$S:$AG,15,0),0)</f>
        <v>0</v>
      </c>
      <c r="X1497" s="1090">
        <f t="shared" si="913"/>
        <v>2500</v>
      </c>
      <c r="Y1497" s="785"/>
      <c r="Z1497" s="785"/>
      <c r="AA1497" s="797"/>
      <c r="AB1497" s="797"/>
      <c r="AC1497" s="551"/>
      <c r="AD1497" s="551"/>
      <c r="AE1497" s="551"/>
      <c r="AF1497" s="551"/>
      <c r="AG1497" s="551"/>
      <c r="AH1497" s="551"/>
      <c r="AI1497" s="704"/>
      <c r="AJ1497" s="704"/>
      <c r="AK1497" s="704"/>
      <c r="AL1497" s="704"/>
      <c r="AM1497" s="704"/>
      <c r="AN1497" s="704"/>
      <c r="AO1497" s="704"/>
      <c r="AP1497" s="704"/>
      <c r="AQ1497" s="704"/>
      <c r="AR1497" s="704"/>
      <c r="AS1497" s="704"/>
    </row>
    <row r="1498" spans="1:45" s="265" customFormat="1" ht="30" customHeight="1" x14ac:dyDescent="0.25">
      <c r="A1498" s="2121"/>
      <c r="B1498" s="2082"/>
      <c r="C1498" s="1978" t="s">
        <v>1308</v>
      </c>
      <c r="D1498" s="881" t="s">
        <v>10</v>
      </c>
      <c r="E1498" s="882">
        <v>46280</v>
      </c>
      <c r="F1498" s="71">
        <f>$L$7-E1498</f>
        <v>6</v>
      </c>
      <c r="G1498" s="64">
        <v>2500</v>
      </c>
      <c r="H1498" s="1381"/>
      <c r="I1498" s="1381"/>
      <c r="J1498" s="1899"/>
      <c r="K1498" s="1896"/>
      <c r="L1498" s="1669">
        <f>+G1498+H1498+I1498-J1498-K1498</f>
        <v>2500</v>
      </c>
      <c r="M1498" s="1979"/>
      <c r="N1498" s="1980"/>
      <c r="O1498" s="1979"/>
      <c r="P1498" s="1981"/>
      <c r="Q1498" s="1982"/>
      <c r="R1498" s="785"/>
      <c r="S1498" s="796"/>
      <c r="T1498" s="797"/>
      <c r="U1498" s="797"/>
      <c r="V1498" s="797"/>
      <c r="W1498" s="785"/>
      <c r="X1498" s="1090"/>
      <c r="Y1498" s="785"/>
      <c r="Z1498" s="785"/>
      <c r="AA1498" s="797"/>
      <c r="AB1498" s="797"/>
      <c r="AC1498" s="551"/>
      <c r="AD1498" s="551"/>
      <c r="AE1498" s="551"/>
      <c r="AF1498" s="551"/>
      <c r="AG1498" s="551"/>
      <c r="AH1498" s="551"/>
      <c r="AI1498" s="704"/>
      <c r="AJ1498" s="704"/>
      <c r="AK1498" s="704"/>
      <c r="AL1498" s="704"/>
      <c r="AM1498" s="704"/>
      <c r="AN1498" s="704"/>
      <c r="AO1498" s="704"/>
      <c r="AP1498" s="704"/>
      <c r="AQ1498" s="704"/>
      <c r="AR1498" s="704"/>
      <c r="AS1498" s="704"/>
    </row>
    <row r="1499" spans="1:45" s="265" customFormat="1" ht="30" customHeight="1" x14ac:dyDescent="0.25">
      <c r="A1499" s="2085"/>
      <c r="B1499" s="2068"/>
      <c r="C1499" s="138" t="s">
        <v>76</v>
      </c>
      <c r="D1499" s="884" t="s">
        <v>10</v>
      </c>
      <c r="E1499" s="885">
        <v>46218</v>
      </c>
      <c r="F1499" s="293">
        <f>$L$7-E1499</f>
        <v>68</v>
      </c>
      <c r="G1499" s="1214">
        <v>70.439999999999813</v>
      </c>
      <c r="H1499" s="37"/>
      <c r="I1499" s="37">
        <f>+K1497+K1496</f>
        <v>25</v>
      </c>
      <c r="J1499" s="1385">
        <f>usage!I197</f>
        <v>94.2</v>
      </c>
      <c r="K1499" s="64">
        <f>IFERROR(SUMIF(INTAKE!$A:$A,$T1499,INTAKE!$P:$P),0)</f>
        <v>0</v>
      </c>
      <c r="L1499" s="1533">
        <f>+G1499+H1499+I1499-J1499-K1499</f>
        <v>1.2399999999998101</v>
      </c>
      <c r="M1499" s="98"/>
      <c r="N1499" s="1473"/>
      <c r="O1499" s="98"/>
      <c r="P1499" s="759"/>
      <c r="Q1499" s="795"/>
      <c r="R1499" s="785">
        <f>IFERROR(VLOOKUP($Q1499,'391'!$S:$Z,8,0),"")</f>
        <v>0</v>
      </c>
      <c r="S1499" s="796"/>
      <c r="T1499" s="797" t="str">
        <f>$Q$1500&amp;C1499&amp;E1499</f>
        <v>DH VITAMIN PREMIX (ViÖt Nam)Feedmil46218</v>
      </c>
      <c r="U1499" s="797"/>
      <c r="V1499" s="797"/>
      <c r="W1499" s="785">
        <f>IFERROR(VLOOKUP($Q1499,'391'!$S:$AG,15,0),0)</f>
        <v>0</v>
      </c>
      <c r="X1499" s="1090">
        <f t="shared" si="913"/>
        <v>70.439999999999813</v>
      </c>
      <c r="Y1499" s="785"/>
      <c r="Z1499" s="785"/>
      <c r="AA1499" s="797"/>
      <c r="AB1499" s="797"/>
      <c r="AC1499" s="551"/>
      <c r="AD1499" s="551"/>
      <c r="AE1499" s="551"/>
      <c r="AF1499" s="551"/>
      <c r="AG1499" s="551"/>
      <c r="AH1499" s="551"/>
      <c r="AI1499" s="704"/>
      <c r="AJ1499" s="704"/>
      <c r="AK1499" s="704"/>
      <c r="AL1499" s="704"/>
      <c r="AM1499" s="704"/>
      <c r="AN1499" s="704"/>
      <c r="AO1499" s="704"/>
      <c r="AP1499" s="704"/>
      <c r="AQ1499" s="704"/>
      <c r="AR1499" s="704"/>
      <c r="AS1499" s="704"/>
    </row>
    <row r="1500" spans="1:45" s="265" customFormat="1" ht="30" customHeight="1" x14ac:dyDescent="0.25">
      <c r="A1500" s="184"/>
      <c r="B1500" s="184" t="s">
        <v>1635</v>
      </c>
      <c r="C1500" s="575"/>
      <c r="D1500" s="900"/>
      <c r="E1500" s="901"/>
      <c r="F1500" s="902"/>
      <c r="G1500" s="1297">
        <v>5620.44</v>
      </c>
      <c r="H1500" s="1297">
        <f>+SUM(H1496:H1499)</f>
        <v>0</v>
      </c>
      <c r="I1500" s="1297">
        <f t="shared" ref="I1500:L1500" si="914">+SUM(I1496:I1499)</f>
        <v>25</v>
      </c>
      <c r="J1500" s="1297">
        <f t="shared" si="914"/>
        <v>94.2</v>
      </c>
      <c r="K1500" s="1297">
        <f t="shared" si="914"/>
        <v>25</v>
      </c>
      <c r="L1500" s="1297">
        <f t="shared" si="914"/>
        <v>5526.24</v>
      </c>
      <c r="M1500" s="92">
        <f>IFERROR(R1500/$S$2,"")</f>
        <v>79.855000000000004</v>
      </c>
      <c r="N1500" s="99">
        <f>IFERROR(L1500/M1500,0)</f>
        <v>69.203431219084578</v>
      </c>
      <c r="O1500" s="92">
        <f>IFERROR(SUMIF(ETM!$A:$A,$Q1500,ETM!$E:$E),"")</f>
        <v>76.833333333333343</v>
      </c>
      <c r="P1500" s="741">
        <f>IFERROR(L1500/O1500,0)</f>
        <v>71.925032537960945</v>
      </c>
      <c r="Q1500" s="809" t="s">
        <v>1636</v>
      </c>
      <c r="R1500" s="785">
        <f>IFERROR(VLOOKUP($Q1500,'391'!$S:$Z,8,0),"")</f>
        <v>479.13</v>
      </c>
      <c r="S1500" s="796"/>
      <c r="T1500" s="797"/>
      <c r="U1500" s="797"/>
      <c r="V1500" s="797"/>
      <c r="W1500" s="785">
        <f>IFERROR(VLOOKUP($Q1500,'391'!$S:$AG,15,0),0)</f>
        <v>5620.4400000000005</v>
      </c>
      <c r="X1500" s="1090">
        <f t="shared" si="913"/>
        <v>0</v>
      </c>
      <c r="Y1500" s="785"/>
      <c r="Z1500" s="785"/>
      <c r="AA1500" s="797"/>
      <c r="AB1500" s="797"/>
      <c r="AC1500" s="683"/>
      <c r="AD1500" s="551"/>
      <c r="AE1500" s="551"/>
      <c r="AF1500" s="551"/>
      <c r="AG1500" s="551"/>
      <c r="AH1500" s="551"/>
      <c r="AI1500" s="704"/>
      <c r="AJ1500" s="704"/>
      <c r="AK1500" s="704"/>
      <c r="AL1500" s="704"/>
      <c r="AM1500" s="704"/>
      <c r="AN1500" s="704"/>
      <c r="AO1500" s="704"/>
      <c r="AP1500" s="704"/>
      <c r="AQ1500" s="704"/>
      <c r="AR1500" s="704"/>
      <c r="AS1500" s="704"/>
    </row>
    <row r="1501" spans="1:45" s="265" customFormat="1" ht="30" customHeight="1" x14ac:dyDescent="0.25">
      <c r="A1501" s="2083">
        <f>IF(L1505=0,"",MAX($A$16:A1500)+1)</f>
        <v>99</v>
      </c>
      <c r="B1501" s="2075" t="s">
        <v>1637</v>
      </c>
      <c r="C1501" s="574" t="s">
        <v>283</v>
      </c>
      <c r="D1501" s="881" t="s">
        <v>10</v>
      </c>
      <c r="E1501" s="882">
        <v>46218</v>
      </c>
      <c r="F1501" s="71">
        <f>$L$7-E1501</f>
        <v>68</v>
      </c>
      <c r="G1501" s="64">
        <v>0</v>
      </c>
      <c r="H1501" s="64"/>
      <c r="I1501" s="64"/>
      <c r="J1501" s="1367"/>
      <c r="K1501" s="64">
        <f>IFERROR(SUMIF(INTAKE!$A:$A,$T1501,INTAKE!$P:$P),0)</f>
        <v>0</v>
      </c>
      <c r="L1501" s="1669">
        <f>+G1501+H1501+I1501-J1501-K1501</f>
        <v>0</v>
      </c>
      <c r="M1501" s="102"/>
      <c r="N1501" s="103"/>
      <c r="O1501" s="102"/>
      <c r="P1501" s="739"/>
      <c r="Q1501" s="795"/>
      <c r="R1501" s="785">
        <f>IFERROR(VLOOKUP($Q1501,'391'!$S:$Z,8,0),"")</f>
        <v>0</v>
      </c>
      <c r="S1501" s="796"/>
      <c r="T1501" s="797" t="str">
        <f>$Q$1505&amp;C1501&amp;E1501</f>
        <v>Kessent MF Dry (Singapore)A19.346218</v>
      </c>
      <c r="U1501" s="797"/>
      <c r="V1501" s="797"/>
      <c r="W1501" s="785">
        <f>IFERROR(VLOOKUP($Q1501,'391'!$S:$AG,15,0),0)</f>
        <v>0</v>
      </c>
      <c r="X1501" s="1090">
        <f t="shared" ref="X1501:X1505" si="915">G1501-W1501</f>
        <v>0</v>
      </c>
      <c r="Y1501" s="785"/>
      <c r="Z1501" s="785"/>
      <c r="AA1501" s="797"/>
      <c r="AB1501" s="797"/>
      <c r="AC1501" s="551"/>
      <c r="AD1501" s="551"/>
      <c r="AE1501" s="551"/>
      <c r="AF1501" s="551"/>
      <c r="AG1501" s="551"/>
      <c r="AH1501" s="551"/>
      <c r="AI1501" s="704"/>
      <c r="AJ1501" s="704"/>
      <c r="AK1501" s="704"/>
      <c r="AL1501" s="704"/>
      <c r="AM1501" s="704"/>
      <c r="AN1501" s="704"/>
      <c r="AO1501" s="704"/>
      <c r="AP1501" s="704"/>
      <c r="AQ1501" s="704"/>
      <c r="AR1501" s="704"/>
      <c r="AS1501" s="704"/>
    </row>
    <row r="1502" spans="1:45" s="265" customFormat="1" ht="30" customHeight="1" x14ac:dyDescent="0.25">
      <c r="A1502" s="2121"/>
      <c r="B1502" s="2082"/>
      <c r="C1502" s="574" t="s">
        <v>509</v>
      </c>
      <c r="D1502" s="881" t="s">
        <v>10</v>
      </c>
      <c r="E1502" s="882">
        <v>46245</v>
      </c>
      <c r="F1502" s="71">
        <f>$L$7-E1502</f>
        <v>41</v>
      </c>
      <c r="G1502" s="64">
        <v>5100</v>
      </c>
      <c r="H1502" s="64"/>
      <c r="I1502" s="64"/>
      <c r="J1502" s="1367"/>
      <c r="K1502" s="64">
        <f>IFERROR(SUMIF(INTAKE!$A:$A,$T1502,INTAKE!$P:$P),0)</f>
        <v>75</v>
      </c>
      <c r="L1502" s="1712">
        <f>+G1502+H1502+I1502-J1502-K1502</f>
        <v>5025</v>
      </c>
      <c r="M1502" s="102"/>
      <c r="N1502" s="103"/>
      <c r="O1502" s="102"/>
      <c r="P1502" s="739"/>
      <c r="Q1502" s="795"/>
      <c r="R1502" s="785">
        <f>IFERROR(VLOOKUP($Q1502,'391'!$S:$Z,8,0),"")</f>
        <v>0</v>
      </c>
      <c r="S1502" s="796"/>
      <c r="T1502" s="797" t="str">
        <f t="shared" ref="T1502" si="916">$Q$1505&amp;C1502&amp;E1502</f>
        <v>Kessent MF Dry (Singapore)A18.546245</v>
      </c>
      <c r="U1502" s="797"/>
      <c r="V1502" s="797"/>
      <c r="W1502" s="785">
        <f>IFERROR(VLOOKUP($Q1502,'391'!$S:$AG,15,0),0)</f>
        <v>0</v>
      </c>
      <c r="X1502" s="1090">
        <f t="shared" ref="X1502" si="917">G1502-W1502</f>
        <v>5100</v>
      </c>
      <c r="Y1502" s="785"/>
      <c r="Z1502" s="785"/>
      <c r="AA1502" s="797"/>
      <c r="AB1502" s="797"/>
      <c r="AC1502" s="551"/>
      <c r="AD1502" s="551"/>
      <c r="AE1502" s="551"/>
      <c r="AF1502" s="551"/>
      <c r="AG1502" s="551"/>
      <c r="AH1502" s="551"/>
      <c r="AI1502" s="704"/>
      <c r="AJ1502" s="704"/>
      <c r="AK1502" s="704"/>
      <c r="AL1502" s="704"/>
      <c r="AM1502" s="704"/>
      <c r="AN1502" s="704"/>
      <c r="AO1502" s="704"/>
      <c r="AP1502" s="704"/>
      <c r="AQ1502" s="704"/>
      <c r="AR1502" s="704"/>
      <c r="AS1502" s="704"/>
    </row>
    <row r="1503" spans="1:45" s="265" customFormat="1" ht="30" customHeight="1" x14ac:dyDescent="0.25">
      <c r="A1503" s="2084"/>
      <c r="B1503" s="2076"/>
      <c r="C1503" s="574" t="s">
        <v>283</v>
      </c>
      <c r="D1503" s="881" t="s">
        <v>10</v>
      </c>
      <c r="E1503" s="882">
        <v>46280</v>
      </c>
      <c r="F1503" s="71">
        <f>$L$7-E1503</f>
        <v>6</v>
      </c>
      <c r="G1503" s="64">
        <v>4000</v>
      </c>
      <c r="H1503" s="64"/>
      <c r="I1503" s="64"/>
      <c r="J1503" s="1367"/>
      <c r="K1503" s="64">
        <f>IFERROR(SUMIF(INTAKE!$A:$A,$T1503,INTAKE!$P:$P),0)</f>
        <v>0</v>
      </c>
      <c r="L1503" s="1712">
        <f>+G1503+H1503+I1503-J1503-K1503</f>
        <v>4000</v>
      </c>
      <c r="M1503" s="102"/>
      <c r="N1503" s="103"/>
      <c r="O1503" s="102"/>
      <c r="P1503" s="739"/>
      <c r="Q1503" s="795"/>
      <c r="R1503" s="785">
        <f>IFERROR(VLOOKUP($Q1503,'391'!$S:$Z,8,0),"")</f>
        <v>0</v>
      </c>
      <c r="S1503" s="796"/>
      <c r="T1503" s="797" t="str">
        <f t="shared" ref="T1503:T1504" si="918">$Q$1505&amp;C1503&amp;E1503</f>
        <v>Kessent MF Dry (Singapore)A19.346280</v>
      </c>
      <c r="U1503" s="797"/>
      <c r="V1503" s="797"/>
      <c r="W1503" s="785">
        <f>IFERROR(VLOOKUP($Q1503,'391'!$S:$AG,15,0),0)</f>
        <v>0</v>
      </c>
      <c r="X1503" s="1090">
        <f t="shared" si="915"/>
        <v>4000</v>
      </c>
      <c r="Y1503" s="785"/>
      <c r="Z1503" s="785"/>
      <c r="AA1503" s="797"/>
      <c r="AB1503" s="797"/>
      <c r="AC1503" s="551"/>
      <c r="AD1503" s="551"/>
      <c r="AE1503" s="551"/>
      <c r="AF1503" s="551"/>
      <c r="AG1503" s="551"/>
      <c r="AH1503" s="551"/>
      <c r="AI1503" s="704"/>
      <c r="AJ1503" s="704"/>
      <c r="AK1503" s="704"/>
      <c r="AL1503" s="704"/>
      <c r="AM1503" s="704"/>
      <c r="AN1503" s="704"/>
      <c r="AO1503" s="704"/>
      <c r="AP1503" s="704"/>
      <c r="AQ1503" s="704"/>
      <c r="AR1503" s="704"/>
      <c r="AS1503" s="704"/>
    </row>
    <row r="1504" spans="1:45" s="265" customFormat="1" ht="30" customHeight="1" x14ac:dyDescent="0.25">
      <c r="A1504" s="2085"/>
      <c r="B1504" s="2068"/>
      <c r="C1504" s="138" t="s">
        <v>76</v>
      </c>
      <c r="D1504" s="884" t="s">
        <v>10</v>
      </c>
      <c r="E1504" s="885">
        <v>46245</v>
      </c>
      <c r="F1504" s="293">
        <f>$L$7-E1504</f>
        <v>41</v>
      </c>
      <c r="G1504" s="1214">
        <v>291.07</v>
      </c>
      <c r="H1504" s="37"/>
      <c r="I1504" s="37">
        <f>+SUM(K1501:K1503)</f>
        <v>75</v>
      </c>
      <c r="J1504" s="1385">
        <f>usage!I198</f>
        <v>298.64999999999998</v>
      </c>
      <c r="K1504" s="64">
        <f>IFERROR(SUMIF(INTAKE!$A:$A,$T1504,INTAKE!$P:$P),0)</f>
        <v>0</v>
      </c>
      <c r="L1504" s="1533">
        <f>+G1504+H1504+I1504-J1504-K1504</f>
        <v>67.420000000000016</v>
      </c>
      <c r="M1504" s="98"/>
      <c r="N1504" s="1473"/>
      <c r="O1504" s="98"/>
      <c r="P1504" s="759"/>
      <c r="Q1504" s="795"/>
      <c r="R1504" s="785">
        <f>IFERROR(VLOOKUP($Q1504,'391'!$S:$Z,8,0),"")</f>
        <v>0</v>
      </c>
      <c r="S1504" s="796"/>
      <c r="T1504" s="797" t="str">
        <f t="shared" si="918"/>
        <v>Kessent MF Dry (Singapore)Feedmil46245</v>
      </c>
      <c r="U1504" s="797"/>
      <c r="V1504" s="797"/>
      <c r="W1504" s="785">
        <f>IFERROR(VLOOKUP($Q1504,'391'!$S:$AG,15,0),0)</f>
        <v>0</v>
      </c>
      <c r="X1504" s="1090">
        <f t="shared" si="915"/>
        <v>291.07</v>
      </c>
      <c r="Y1504" s="785"/>
      <c r="Z1504" s="785"/>
      <c r="AA1504" s="797"/>
      <c r="AB1504" s="797"/>
      <c r="AC1504" s="551"/>
      <c r="AD1504" s="551"/>
      <c r="AE1504" s="551"/>
      <c r="AF1504" s="551"/>
      <c r="AG1504" s="551"/>
      <c r="AH1504" s="551"/>
      <c r="AI1504" s="704"/>
      <c r="AJ1504" s="704"/>
      <c r="AK1504" s="704"/>
      <c r="AL1504" s="704"/>
      <c r="AM1504" s="704"/>
      <c r="AN1504" s="704"/>
      <c r="AO1504" s="704"/>
      <c r="AP1504" s="704"/>
      <c r="AQ1504" s="704"/>
      <c r="AR1504" s="704"/>
      <c r="AS1504" s="704"/>
    </row>
    <row r="1505" spans="1:45" s="265" customFormat="1" ht="30" customHeight="1" x14ac:dyDescent="0.25">
      <c r="A1505" s="184"/>
      <c r="B1505" s="184" t="s">
        <v>1638</v>
      </c>
      <c r="C1505" s="575"/>
      <c r="D1505" s="900"/>
      <c r="E1505" s="901"/>
      <c r="F1505" s="902"/>
      <c r="G1505" s="1297">
        <v>9391.07</v>
      </c>
      <c r="H1505" s="1297">
        <f>+SUM(H1501:H1504)</f>
        <v>0</v>
      </c>
      <c r="I1505" s="1297">
        <f t="shared" ref="I1505:L1505" si="919">+SUM(I1501:I1504)</f>
        <v>75</v>
      </c>
      <c r="J1505" s="1297">
        <f t="shared" si="919"/>
        <v>298.64999999999998</v>
      </c>
      <c r="K1505" s="1297">
        <f t="shared" si="919"/>
        <v>75</v>
      </c>
      <c r="L1505" s="1297">
        <f t="shared" si="919"/>
        <v>9092.42</v>
      </c>
      <c r="M1505" s="92">
        <f>IFERROR(R1505/$S$2,"")</f>
        <v>181.64166666666665</v>
      </c>
      <c r="N1505" s="99">
        <f>IFERROR(L1505/M1505,0)</f>
        <v>50.05690691379548</v>
      </c>
      <c r="O1505" s="92">
        <f>IFERROR(SUMIF(ETM!$A:$A,$Q1505,ETM!$E:$E),"")</f>
        <v>205.50000000000003</v>
      </c>
      <c r="P1505" s="741">
        <f>IFERROR(L1505/O1505,0)</f>
        <v>44.245352798053524</v>
      </c>
      <c r="Q1505" s="809" t="s">
        <v>1637</v>
      </c>
      <c r="R1505" s="785">
        <f>IFERROR(VLOOKUP($Q1505,'391'!$S:$Z,8,0),"")</f>
        <v>1089.8499999999999</v>
      </c>
      <c r="S1505" s="796"/>
      <c r="T1505" s="797"/>
      <c r="U1505" s="797"/>
      <c r="V1505" s="797"/>
      <c r="W1505" s="785">
        <f>IFERROR(VLOOKUP($Q1505,'391'!$S:$AG,15,0),0)</f>
        <v>9391.07</v>
      </c>
      <c r="X1505" s="1090">
        <f t="shared" si="915"/>
        <v>0</v>
      </c>
      <c r="Y1505" s="785"/>
      <c r="Z1505" s="785"/>
      <c r="AA1505" s="797"/>
      <c r="AB1505" s="797"/>
      <c r="AC1505" s="683"/>
      <c r="AD1505" s="551"/>
      <c r="AE1505" s="551"/>
      <c r="AF1505" s="551"/>
      <c r="AG1505" s="551"/>
      <c r="AH1505" s="551"/>
      <c r="AI1505" s="704"/>
      <c r="AJ1505" s="704"/>
      <c r="AK1505" s="704"/>
      <c r="AL1505" s="704"/>
      <c r="AM1505" s="704"/>
      <c r="AN1505" s="704"/>
      <c r="AO1505" s="704"/>
      <c r="AP1505" s="704"/>
      <c r="AQ1505" s="704"/>
      <c r="AR1505" s="704"/>
      <c r="AS1505" s="704"/>
    </row>
    <row r="1506" spans="1:45" s="265" customFormat="1" ht="30" customHeight="1" x14ac:dyDescent="0.25">
      <c r="A1506" s="2083">
        <f>IF(L1511=0,"",MAX($A$16:A1505)+1)</f>
        <v>100</v>
      </c>
      <c r="B1506" s="2075" t="s">
        <v>1732</v>
      </c>
      <c r="C1506" s="574"/>
      <c r="D1506" s="881" t="s">
        <v>10</v>
      </c>
      <c r="E1506" s="882">
        <v>46225</v>
      </c>
      <c r="F1506" s="71">
        <f>$L$7-E1506</f>
        <v>61</v>
      </c>
      <c r="G1506" s="64">
        <v>0</v>
      </c>
      <c r="H1506" s="64"/>
      <c r="I1506" s="64"/>
      <c r="J1506" s="1367"/>
      <c r="K1506" s="64">
        <f>IFERROR(SUMIF(INTAKE!$A:$A,$T1506,INTAKE!$P:$P),0)</f>
        <v>0</v>
      </c>
      <c r="L1506" s="1669">
        <f>+G1506+H1506+I1506-J1506-K1506</f>
        <v>0</v>
      </c>
      <c r="M1506" s="102"/>
      <c r="N1506" s="103"/>
      <c r="O1506" s="102"/>
      <c r="P1506" s="739"/>
      <c r="Q1506" s="795"/>
      <c r="R1506" s="785">
        <f>IFERROR(VLOOKUP($Q1506,'391'!$S:$Z,8,0),"")</f>
        <v>0</v>
      </c>
      <c r="S1506" s="796"/>
      <c r="T1506" s="797" t="str">
        <f>$Q$1510&amp;C1506&amp;E1506</f>
        <v>D-Biotin 2%  (China)46225</v>
      </c>
      <c r="U1506" s="797"/>
      <c r="V1506" s="797"/>
      <c r="W1506" s="785">
        <f>IFERROR(VLOOKUP($Q1506,'391'!$S:$AG,15,0),0)</f>
        <v>0</v>
      </c>
      <c r="X1506" s="1090">
        <f t="shared" ref="X1506:X1510" si="920">G1506-W1506</f>
        <v>0</v>
      </c>
      <c r="Y1506" s="785"/>
      <c r="Z1506" s="785"/>
      <c r="AA1506" s="797"/>
      <c r="AB1506" s="797"/>
      <c r="AC1506" s="551"/>
      <c r="AD1506" s="551"/>
      <c r="AE1506" s="551"/>
      <c r="AF1506" s="551"/>
      <c r="AG1506" s="551"/>
      <c r="AH1506" s="551"/>
      <c r="AI1506" s="704"/>
      <c r="AJ1506" s="704"/>
      <c r="AK1506" s="704"/>
      <c r="AL1506" s="704"/>
      <c r="AM1506" s="704"/>
      <c r="AN1506" s="704"/>
      <c r="AO1506" s="704"/>
      <c r="AP1506" s="704"/>
      <c r="AQ1506" s="704"/>
      <c r="AR1506" s="704"/>
      <c r="AS1506" s="704"/>
    </row>
    <row r="1507" spans="1:45" s="265" customFormat="1" ht="30" customHeight="1" x14ac:dyDescent="0.25">
      <c r="A1507" s="2121"/>
      <c r="B1507" s="2082"/>
      <c r="C1507" s="574" t="s">
        <v>1868</v>
      </c>
      <c r="D1507" s="881" t="s">
        <v>10</v>
      </c>
      <c r="E1507" s="882">
        <v>46241</v>
      </c>
      <c r="F1507" s="71">
        <f>$L$7-E1507</f>
        <v>45</v>
      </c>
      <c r="G1507" s="64">
        <v>25</v>
      </c>
      <c r="H1507" s="64"/>
      <c r="I1507" s="64"/>
      <c r="J1507" s="1367"/>
      <c r="K1507" s="64">
        <f>IFERROR(SUMIF(INTAKE!$A:$A,$T1507,INTAKE!$P:$P),0)</f>
        <v>0</v>
      </c>
      <c r="L1507" s="1669">
        <f>+G1507+H1507+I1507-J1507-K1507</f>
        <v>25</v>
      </c>
      <c r="M1507" s="102"/>
      <c r="N1507" s="103"/>
      <c r="O1507" s="102"/>
      <c r="P1507" s="739"/>
      <c r="Q1507" s="666"/>
      <c r="R1507" s="785">
        <f>IFERROR(VLOOKUP($Q1507,'391'!$S:$Z,8,0),"")</f>
        <v>0</v>
      </c>
      <c r="S1507" s="796"/>
      <c r="T1507" s="797" t="str">
        <f>$Q$1510&amp;C1507&amp;E1507</f>
        <v>D-Biotin 2%  (China)D246241</v>
      </c>
      <c r="U1507" s="797"/>
      <c r="V1507" s="797"/>
      <c r="W1507" s="785">
        <f>IFERROR(VLOOKUP($Q1507,'391'!$S:$AG,15,0),0)</f>
        <v>0</v>
      </c>
      <c r="X1507" s="1090">
        <f t="shared" ref="X1507:X1508" si="921">G1507-W1507</f>
        <v>25</v>
      </c>
      <c r="Y1507" s="785"/>
      <c r="Z1507" s="785"/>
      <c r="AA1507" s="797"/>
      <c r="AB1507" s="797"/>
      <c r="AC1507" s="551"/>
      <c r="AD1507" s="551"/>
      <c r="AE1507" s="551"/>
      <c r="AF1507" s="551"/>
      <c r="AG1507" s="551"/>
      <c r="AH1507" s="551"/>
      <c r="AI1507" s="704"/>
      <c r="AJ1507" s="704"/>
      <c r="AK1507" s="704"/>
      <c r="AL1507" s="704"/>
      <c r="AM1507" s="704"/>
      <c r="AN1507" s="704"/>
      <c r="AO1507" s="704"/>
      <c r="AP1507" s="704"/>
      <c r="AQ1507" s="704"/>
      <c r="AR1507" s="704"/>
      <c r="AS1507" s="704"/>
    </row>
    <row r="1508" spans="1:45" s="265" customFormat="1" ht="30" customHeight="1" x14ac:dyDescent="0.25">
      <c r="A1508" s="2121"/>
      <c r="B1508" s="2082"/>
      <c r="C1508" s="574" t="s">
        <v>1868</v>
      </c>
      <c r="D1508" s="881" t="s">
        <v>10</v>
      </c>
      <c r="E1508" s="882">
        <v>46275</v>
      </c>
      <c r="F1508" s="71">
        <f>$L$7-E1508</f>
        <v>11</v>
      </c>
      <c r="G1508" s="64">
        <v>50</v>
      </c>
      <c r="H1508" s="64"/>
      <c r="I1508" s="64"/>
      <c r="J1508" s="1367"/>
      <c r="K1508" s="64">
        <f>IFERROR(SUMIF(INTAKE!$A:$A,$T1508,INTAKE!$P:$P),0)</f>
        <v>0</v>
      </c>
      <c r="L1508" s="1669">
        <f>+G1508+H1508+I1508-J1508-K1508</f>
        <v>50</v>
      </c>
      <c r="M1508" s="102"/>
      <c r="N1508" s="103"/>
      <c r="O1508" s="102"/>
      <c r="P1508" s="739"/>
      <c r="Q1508" s="666"/>
      <c r="R1508" s="785">
        <f>IFERROR(VLOOKUP($Q1508,'391'!$S:$Z,8,0),"")</f>
        <v>0</v>
      </c>
      <c r="S1508" s="796"/>
      <c r="T1508" s="797" t="str">
        <f>$Q$1510&amp;C1508&amp;E1508</f>
        <v>D-Biotin 2%  (China)D246275</v>
      </c>
      <c r="U1508" s="797"/>
      <c r="V1508" s="797"/>
      <c r="W1508" s="785">
        <f>IFERROR(VLOOKUP($Q1508,'391'!$S:$AG,15,0),0)</f>
        <v>0</v>
      </c>
      <c r="X1508" s="1090">
        <f t="shared" si="921"/>
        <v>50</v>
      </c>
      <c r="Y1508" s="785"/>
      <c r="Z1508" s="785"/>
      <c r="AA1508" s="797"/>
      <c r="AB1508" s="797"/>
      <c r="AC1508" s="551"/>
      <c r="AD1508" s="551"/>
      <c r="AE1508" s="551"/>
      <c r="AF1508" s="551"/>
      <c r="AG1508" s="551"/>
      <c r="AH1508" s="551"/>
      <c r="AI1508" s="704"/>
      <c r="AJ1508" s="704"/>
      <c r="AK1508" s="704"/>
      <c r="AL1508" s="704"/>
      <c r="AM1508" s="704"/>
      <c r="AN1508" s="704"/>
      <c r="AO1508" s="704"/>
      <c r="AP1508" s="704"/>
      <c r="AQ1508" s="704"/>
      <c r="AR1508" s="704"/>
      <c r="AS1508" s="704"/>
    </row>
    <row r="1509" spans="1:45" s="265" customFormat="1" ht="30" hidden="1" customHeight="1" x14ac:dyDescent="0.25">
      <c r="A1509" s="2084"/>
      <c r="B1509" s="2076"/>
      <c r="C1509" s="574"/>
      <c r="D1509" s="881" t="s">
        <v>10</v>
      </c>
      <c r="E1509" s="882">
        <v>46255</v>
      </c>
      <c r="F1509" s="71">
        <f>$L$7-E1509</f>
        <v>31</v>
      </c>
      <c r="G1509" s="64">
        <v>0</v>
      </c>
      <c r="H1509" s="64"/>
      <c r="I1509" s="64"/>
      <c r="J1509" s="1367"/>
      <c r="K1509" s="64">
        <f>IFERROR(SUMIF(INTAKE!$A:$A,$T1509,INTAKE!$P:$P),0)</f>
        <v>0</v>
      </c>
      <c r="L1509" s="1669">
        <f>+G1509+H1509+I1509-J1509-K1509</f>
        <v>0</v>
      </c>
      <c r="M1509" s="102"/>
      <c r="N1509" s="103"/>
      <c r="O1509" s="102"/>
      <c r="P1509" s="739"/>
      <c r="Q1509" s="666"/>
      <c r="R1509" s="785">
        <f>IFERROR(VLOOKUP($Q1509,'391'!$S:$Z,8,0),"")</f>
        <v>0</v>
      </c>
      <c r="S1509" s="796"/>
      <c r="T1509" s="797" t="str">
        <f>$Q$1510&amp;C1509&amp;E1509</f>
        <v>D-Biotin 2%  (China)46255</v>
      </c>
      <c r="U1509" s="797"/>
      <c r="V1509" s="797"/>
      <c r="W1509" s="785">
        <f>IFERROR(VLOOKUP($Q1509,'391'!$S:$AG,15,0),0)</f>
        <v>0</v>
      </c>
      <c r="X1509" s="1090">
        <f t="shared" si="920"/>
        <v>0</v>
      </c>
      <c r="Y1509" s="785"/>
      <c r="Z1509" s="785"/>
      <c r="AA1509" s="797"/>
      <c r="AB1509" s="797"/>
      <c r="AC1509" s="551"/>
      <c r="AD1509" s="551"/>
      <c r="AE1509" s="551"/>
      <c r="AF1509" s="551"/>
      <c r="AG1509" s="551"/>
      <c r="AH1509" s="551"/>
      <c r="AI1509" s="704"/>
      <c r="AJ1509" s="704"/>
      <c r="AK1509" s="704"/>
      <c r="AL1509" s="704"/>
      <c r="AM1509" s="704"/>
      <c r="AN1509" s="704"/>
      <c r="AO1509" s="704"/>
      <c r="AP1509" s="704"/>
      <c r="AQ1509" s="704"/>
      <c r="AR1509" s="704"/>
      <c r="AS1509" s="704"/>
    </row>
    <row r="1510" spans="1:45" s="265" customFormat="1" ht="30" customHeight="1" x14ac:dyDescent="0.25">
      <c r="A1510" s="2085"/>
      <c r="B1510" s="2068"/>
      <c r="C1510" s="138" t="s">
        <v>76</v>
      </c>
      <c r="D1510" s="884" t="s">
        <v>10</v>
      </c>
      <c r="E1510" s="885">
        <v>46241</v>
      </c>
      <c r="F1510" s="293">
        <f>$L$7-E1510</f>
        <v>45</v>
      </c>
      <c r="G1510" s="1214">
        <v>22.179999999999996</v>
      </c>
      <c r="H1510" s="37"/>
      <c r="I1510" s="37">
        <f>SUM(K1506:K1508)</f>
        <v>0</v>
      </c>
      <c r="J1510" s="1385">
        <f>usage!I213</f>
        <v>8.5</v>
      </c>
      <c r="K1510" s="64">
        <f>IFERROR(SUMIF(INTAKE!$A:$A,$T1510,INTAKE!$P:$P),0)</f>
        <v>0</v>
      </c>
      <c r="L1510" s="1533">
        <f>+G1510+H1510+I1510-J1510-K1510</f>
        <v>13.679999999999996</v>
      </c>
      <c r="M1510" s="98"/>
      <c r="N1510" s="1473"/>
      <c r="O1510" s="98"/>
      <c r="P1510" s="759"/>
      <c r="Q1510" s="666" t="s">
        <v>1823</v>
      </c>
      <c r="R1510" s="785">
        <f>IFERROR(VLOOKUP($Q1510,'391'!$S:$Z,8,0),"")</f>
        <v>42.57</v>
      </c>
      <c r="S1510" s="796"/>
      <c r="T1510" s="797" t="str">
        <f t="shared" ref="T1510" si="922">$Q$1511&amp;C1510&amp;E1510</f>
        <v>BIOTIN 2%Feedmil46241</v>
      </c>
      <c r="U1510" s="797"/>
      <c r="V1510" s="797"/>
      <c r="W1510" s="785">
        <f>IFERROR(VLOOKUP($Q1510,'391'!$S:$AG,15,0),0)</f>
        <v>97.18</v>
      </c>
      <c r="X1510" s="1090">
        <f t="shared" si="920"/>
        <v>-75.000000000000014</v>
      </c>
      <c r="Y1510" s="785"/>
      <c r="Z1510" s="785"/>
      <c r="AA1510" s="797"/>
      <c r="AB1510" s="797"/>
      <c r="AC1510" s="551"/>
      <c r="AD1510" s="551"/>
      <c r="AE1510" s="551"/>
      <c r="AF1510" s="551"/>
      <c r="AG1510" s="551"/>
      <c r="AH1510" s="551"/>
      <c r="AI1510" s="704"/>
      <c r="AJ1510" s="704"/>
      <c r="AK1510" s="704"/>
      <c r="AL1510" s="704"/>
      <c r="AM1510" s="704"/>
      <c r="AN1510" s="704"/>
      <c r="AO1510" s="704"/>
      <c r="AP1510" s="704"/>
      <c r="AQ1510" s="704"/>
      <c r="AR1510" s="704"/>
      <c r="AS1510" s="704"/>
    </row>
    <row r="1511" spans="1:45" s="265" customFormat="1" ht="30" customHeight="1" x14ac:dyDescent="0.25">
      <c r="A1511" s="184"/>
      <c r="B1511" s="184" t="s">
        <v>1733</v>
      </c>
      <c r="C1511" s="575"/>
      <c r="D1511" s="900"/>
      <c r="E1511" s="901"/>
      <c r="F1511" s="902"/>
      <c r="G1511" s="1297">
        <v>97.179999999999993</v>
      </c>
      <c r="H1511" s="1297">
        <f>+SUM(H1506:H1510)</f>
        <v>0</v>
      </c>
      <c r="I1511" s="1297">
        <f t="shared" ref="I1511:L1511" si="923">+SUM(I1506:I1510)</f>
        <v>0</v>
      </c>
      <c r="J1511" s="1297">
        <f t="shared" si="923"/>
        <v>8.5</v>
      </c>
      <c r="K1511" s="1297">
        <f t="shared" si="923"/>
        <v>0</v>
      </c>
      <c r="L1511" s="1297">
        <f t="shared" si="923"/>
        <v>88.679999999999993</v>
      </c>
      <c r="M1511" s="92">
        <f>IFERROR(S1511/$S$2,"")</f>
        <v>7.0949999999999998</v>
      </c>
      <c r="N1511" s="99">
        <f>IFERROR(L1511/M1511,0)</f>
        <v>12.498942917547568</v>
      </c>
      <c r="O1511" s="92">
        <f>IFERROR(SUMIF(ETM!$A:$A,$Q1511,ETM!$E:$E),"")</f>
        <v>6.666666666666667</v>
      </c>
      <c r="P1511" s="741">
        <f>IFERROR(L1511/O1511,0)</f>
        <v>13.301999999999998</v>
      </c>
      <c r="Q1511" s="809" t="s">
        <v>1732</v>
      </c>
      <c r="R1511" s="785" t="str">
        <f>IFERROR(VLOOKUP($Q1511,'391'!$S:$Z,8,0),"0")</f>
        <v>0</v>
      </c>
      <c r="S1511" s="1495">
        <f>+R1511+R1510</f>
        <v>42.57</v>
      </c>
      <c r="T1511" s="797"/>
      <c r="U1511" s="797"/>
      <c r="V1511" s="797"/>
      <c r="W1511" s="785">
        <f>IFERROR(VLOOKUP($Q1511,'391'!$S:$AG,15,0),0)</f>
        <v>0</v>
      </c>
      <c r="X1511" s="1090">
        <f>G1511-W1511-W1510</f>
        <v>0</v>
      </c>
      <c r="Y1511" s="785"/>
      <c r="Z1511" s="785"/>
      <c r="AA1511" s="797"/>
      <c r="AB1511" s="797"/>
      <c r="AC1511" s="683"/>
      <c r="AD1511" s="551"/>
      <c r="AE1511" s="551"/>
      <c r="AF1511" s="551"/>
      <c r="AG1511" s="551"/>
      <c r="AH1511" s="551"/>
      <c r="AI1511" s="704"/>
      <c r="AJ1511" s="704"/>
      <c r="AK1511" s="704"/>
      <c r="AL1511" s="704"/>
      <c r="AM1511" s="704"/>
      <c r="AN1511" s="704"/>
      <c r="AO1511" s="704"/>
      <c r="AP1511" s="704"/>
      <c r="AQ1511" s="704"/>
      <c r="AR1511" s="704"/>
      <c r="AS1511" s="704"/>
    </row>
    <row r="1512" spans="1:45" s="265" customFormat="1" ht="30" customHeight="1" x14ac:dyDescent="0.25">
      <c r="A1512" s="2083">
        <f>IF(L1516=0,"",MAX($A$16:A1505)+1)</f>
        <v>100</v>
      </c>
      <c r="B1512" s="2075" t="s">
        <v>1639</v>
      </c>
      <c r="C1512" s="574" t="s">
        <v>245</v>
      </c>
      <c r="D1512" s="881" t="s">
        <v>10</v>
      </c>
      <c r="E1512" s="882">
        <v>46218</v>
      </c>
      <c r="F1512" s="71">
        <f>$L$7-E1512</f>
        <v>68</v>
      </c>
      <c r="G1512" s="64">
        <v>750</v>
      </c>
      <c r="H1512" s="64"/>
      <c r="I1512" s="64"/>
      <c r="J1512" s="1367"/>
      <c r="K1512" s="1348">
        <f>IFERROR(SUMIF(INTAKE!$A:$A,$T1512,INTAKE!$P:$P),0)</f>
        <v>0</v>
      </c>
      <c r="L1512" s="1669">
        <f>+G1512+H1512+I1512-J1512-K1512</f>
        <v>750</v>
      </c>
      <c r="M1512" s="102"/>
      <c r="N1512" s="103"/>
      <c r="O1512" s="102"/>
      <c r="P1512" s="739"/>
      <c r="Q1512" s="795"/>
      <c r="R1512" s="785">
        <f>IFERROR(VLOOKUP($Q1512,'391'!$S:$Z,8,0),"")</f>
        <v>0</v>
      </c>
      <c r="S1512" s="796"/>
      <c r="T1512" s="797" t="str">
        <f>$Q$1516&amp;C1512&amp;E1512</f>
        <v>Lysoforte TM Brand Dry (Singapore)Y6.146218</v>
      </c>
      <c r="U1512" s="797"/>
      <c r="V1512" s="797"/>
      <c r="W1512" s="785">
        <f>IFERROR(VLOOKUP($Q1512,'391'!$S:$AG,15,0),0)</f>
        <v>0</v>
      </c>
      <c r="X1512" s="1090">
        <f t="shared" ref="X1512:X1516" si="924">G1512-W1512</f>
        <v>750</v>
      </c>
      <c r="Y1512" s="785"/>
      <c r="Z1512" s="785"/>
      <c r="AA1512" s="797"/>
      <c r="AB1512" s="797"/>
      <c r="AC1512" s="551"/>
      <c r="AD1512" s="551"/>
      <c r="AE1512" s="551"/>
      <c r="AF1512" s="551"/>
      <c r="AG1512" s="551"/>
      <c r="AH1512" s="551"/>
      <c r="AI1512" s="704"/>
      <c r="AJ1512" s="704"/>
      <c r="AK1512" s="704"/>
      <c r="AL1512" s="704"/>
      <c r="AM1512" s="704"/>
      <c r="AN1512" s="704"/>
      <c r="AO1512" s="704"/>
      <c r="AP1512" s="704"/>
      <c r="AQ1512" s="704"/>
      <c r="AR1512" s="704"/>
      <c r="AS1512" s="704"/>
    </row>
    <row r="1513" spans="1:45" s="265" customFormat="1" ht="30" customHeight="1" x14ac:dyDescent="0.25">
      <c r="A1513" s="2121"/>
      <c r="B1513" s="2082"/>
      <c r="C1513" s="574" t="s">
        <v>245</v>
      </c>
      <c r="D1513" s="881" t="s">
        <v>10</v>
      </c>
      <c r="E1513" s="882">
        <v>46245</v>
      </c>
      <c r="F1513" s="71">
        <f>$L$7-E1513</f>
        <v>41</v>
      </c>
      <c r="G1513" s="64">
        <v>1000</v>
      </c>
      <c r="H1513" s="64"/>
      <c r="I1513" s="64"/>
      <c r="J1513" s="1367"/>
      <c r="K1513" s="64">
        <f>IFERROR(SUMIF(INTAKE!$A:$A,$T1513,INTAKE!$P:$P),0)</f>
        <v>0</v>
      </c>
      <c r="L1513" s="1669">
        <f>+G1513+H1513+I1513-J1513-K1513</f>
        <v>1000</v>
      </c>
      <c r="M1513" s="102"/>
      <c r="N1513" s="103"/>
      <c r="O1513" s="102"/>
      <c r="P1513" s="739"/>
      <c r="Q1513" s="795"/>
      <c r="R1513" s="785">
        <f>IFERROR(VLOOKUP($Q1513,'391'!$S:$Z,8,0),"")</f>
        <v>0</v>
      </c>
      <c r="S1513" s="796"/>
      <c r="T1513" s="797" t="str">
        <f t="shared" ref="T1513" si="925">$Q$1516&amp;C1513&amp;E1513</f>
        <v>Lysoforte TM Brand Dry (Singapore)Y6.146245</v>
      </c>
      <c r="U1513" s="797"/>
      <c r="V1513" s="797"/>
      <c r="W1513" s="785">
        <f>IFERROR(VLOOKUP($Q1513,'391'!$S:$AG,15,0),0)</f>
        <v>0</v>
      </c>
      <c r="X1513" s="1090">
        <f t="shared" ref="X1513" si="926">G1513-W1513</f>
        <v>1000</v>
      </c>
      <c r="Y1513" s="785"/>
      <c r="Z1513" s="785"/>
      <c r="AA1513" s="797"/>
      <c r="AB1513" s="797"/>
      <c r="AC1513" s="551"/>
      <c r="AD1513" s="551"/>
      <c r="AE1513" s="551"/>
      <c r="AF1513" s="551"/>
      <c r="AG1513" s="551"/>
      <c r="AH1513" s="551"/>
      <c r="AI1513" s="704"/>
      <c r="AJ1513" s="704"/>
      <c r="AK1513" s="704"/>
      <c r="AL1513" s="704"/>
      <c r="AM1513" s="704"/>
      <c r="AN1513" s="704"/>
      <c r="AO1513" s="704"/>
      <c r="AP1513" s="704"/>
      <c r="AQ1513" s="704"/>
      <c r="AR1513" s="704"/>
      <c r="AS1513" s="704"/>
    </row>
    <row r="1514" spans="1:45" s="265" customFormat="1" ht="30" hidden="1" customHeight="1" x14ac:dyDescent="0.25">
      <c r="A1514" s="2084"/>
      <c r="B1514" s="2076"/>
      <c r="C1514" s="574"/>
      <c r="D1514" s="881" t="s">
        <v>10</v>
      </c>
      <c r="E1514" s="882">
        <v>46245</v>
      </c>
      <c r="F1514" s="71">
        <f>$L$7-E1514</f>
        <v>41</v>
      </c>
      <c r="G1514" s="64">
        <v>0</v>
      </c>
      <c r="H1514" s="64"/>
      <c r="I1514" s="64"/>
      <c r="J1514" s="1367"/>
      <c r="K1514" s="64">
        <f>IFERROR(SUMIF(INTAKE!$A:$A,$T1514,INTAKE!$P:$P),0)</f>
        <v>0</v>
      </c>
      <c r="L1514" s="1669">
        <f>+G1514+H1514+I1514-J1514-K1514</f>
        <v>0</v>
      </c>
      <c r="M1514" s="102"/>
      <c r="N1514" s="103"/>
      <c r="O1514" s="102"/>
      <c r="P1514" s="739"/>
      <c r="Q1514" s="795"/>
      <c r="R1514" s="785">
        <f>IFERROR(VLOOKUP($Q1514,'391'!$S:$Z,8,0),"")</f>
        <v>0</v>
      </c>
      <c r="S1514" s="796"/>
      <c r="T1514" s="797" t="str">
        <f t="shared" ref="T1514:T1515" si="927">$Q$1516&amp;C1514&amp;E1514</f>
        <v>Lysoforte TM Brand Dry (Singapore)46245</v>
      </c>
      <c r="U1514" s="797"/>
      <c r="V1514" s="797"/>
      <c r="W1514" s="785">
        <f>IFERROR(VLOOKUP($Q1514,'391'!$S:$AG,15,0),0)</f>
        <v>0</v>
      </c>
      <c r="X1514" s="1090">
        <f t="shared" si="924"/>
        <v>0</v>
      </c>
      <c r="Y1514" s="785"/>
      <c r="Z1514" s="785"/>
      <c r="AA1514" s="797"/>
      <c r="AB1514" s="797"/>
      <c r="AC1514" s="551"/>
      <c r="AD1514" s="551"/>
      <c r="AE1514" s="551"/>
      <c r="AF1514" s="551"/>
      <c r="AG1514" s="551"/>
      <c r="AH1514" s="551"/>
      <c r="AI1514" s="704"/>
      <c r="AJ1514" s="704"/>
      <c r="AK1514" s="704"/>
      <c r="AL1514" s="704"/>
      <c r="AM1514" s="704"/>
      <c r="AN1514" s="704"/>
      <c r="AO1514" s="704"/>
      <c r="AP1514" s="704"/>
      <c r="AQ1514" s="704"/>
      <c r="AR1514" s="704"/>
      <c r="AS1514" s="704"/>
    </row>
    <row r="1515" spans="1:45" s="265" customFormat="1" ht="30" customHeight="1" x14ac:dyDescent="0.25">
      <c r="A1515" s="2085"/>
      <c r="B1515" s="2068"/>
      <c r="C1515" s="138" t="s">
        <v>76</v>
      </c>
      <c r="D1515" s="884" t="s">
        <v>10</v>
      </c>
      <c r="E1515" s="885">
        <v>46218</v>
      </c>
      <c r="F1515" s="293">
        <f>$L$7-E1515</f>
        <v>68</v>
      </c>
      <c r="G1515" s="1214">
        <v>56.399999999999991</v>
      </c>
      <c r="H1515" s="37"/>
      <c r="I1515" s="37">
        <f>+K1514+K1512+K1513</f>
        <v>0</v>
      </c>
      <c r="J1515" s="1385">
        <f>usage!I199</f>
        <v>32.049999999999997</v>
      </c>
      <c r="K1515" s="64">
        <f>IFERROR(SUMIF(INTAKE!$A:$A,$T1515,INTAKE!$P:$P),0)</f>
        <v>0</v>
      </c>
      <c r="L1515" s="1533">
        <f>+G1515+H1515+I1515-J1515-K1515</f>
        <v>24.349999999999994</v>
      </c>
      <c r="M1515" s="98"/>
      <c r="N1515" s="1473"/>
      <c r="O1515" s="98"/>
      <c r="P1515" s="759"/>
      <c r="Q1515" s="795"/>
      <c r="R1515" s="785">
        <f>IFERROR(VLOOKUP($Q1515,'391'!$S:$Z,8,0),"")</f>
        <v>0</v>
      </c>
      <c r="S1515" s="796"/>
      <c r="T1515" s="797" t="str">
        <f t="shared" si="927"/>
        <v>Lysoforte TM Brand Dry (Singapore)Feedmil46218</v>
      </c>
      <c r="U1515" s="797"/>
      <c r="V1515" s="797"/>
      <c r="W1515" s="785">
        <f>IFERROR(VLOOKUP($Q1515,'391'!$S:$AG,15,0),0)</f>
        <v>0</v>
      </c>
      <c r="X1515" s="1090">
        <f t="shared" si="924"/>
        <v>56.399999999999991</v>
      </c>
      <c r="Y1515" s="785"/>
      <c r="Z1515" s="785"/>
      <c r="AA1515" s="797"/>
      <c r="AB1515" s="797"/>
      <c r="AC1515" s="551"/>
      <c r="AD1515" s="551"/>
      <c r="AE1515" s="551"/>
      <c r="AF1515" s="551"/>
      <c r="AG1515" s="551"/>
      <c r="AH1515" s="551"/>
      <c r="AI1515" s="704"/>
      <c r="AJ1515" s="704"/>
      <c r="AK1515" s="704"/>
      <c r="AL1515" s="704"/>
      <c r="AM1515" s="704"/>
      <c r="AN1515" s="704"/>
      <c r="AO1515" s="704"/>
      <c r="AP1515" s="704"/>
      <c r="AQ1515" s="704"/>
      <c r="AR1515" s="704"/>
      <c r="AS1515" s="704"/>
    </row>
    <row r="1516" spans="1:45" s="265" customFormat="1" ht="30" customHeight="1" x14ac:dyDescent="0.25">
      <c r="A1516" s="184"/>
      <c r="B1516" s="184" t="s">
        <v>1640</v>
      </c>
      <c r="C1516" s="575"/>
      <c r="D1516" s="900"/>
      <c r="E1516" s="901"/>
      <c r="F1516" s="902"/>
      <c r="G1516" s="1297">
        <v>1806.4</v>
      </c>
      <c r="H1516" s="1297">
        <f>+SUM(H1512:H1515)</f>
        <v>0</v>
      </c>
      <c r="I1516" s="1297">
        <f t="shared" ref="I1516:L1516" si="928">+SUM(I1512:I1515)</f>
        <v>0</v>
      </c>
      <c r="J1516" s="1297">
        <f t="shared" si="928"/>
        <v>32.049999999999997</v>
      </c>
      <c r="K1516" s="1297">
        <f t="shared" si="928"/>
        <v>0</v>
      </c>
      <c r="L1516" s="1297">
        <f t="shared" si="928"/>
        <v>1774.35</v>
      </c>
      <c r="M1516" s="92">
        <f>IFERROR(R1516/$S$2,"")</f>
        <v>18.690000000000001</v>
      </c>
      <c r="N1516" s="99">
        <f>IFERROR(L1516/M1516,0)</f>
        <v>94.935794542536101</v>
      </c>
      <c r="O1516" s="92">
        <f>IFERROR(SUMIF(ETM!$A:$A,$Q1516,ETM!$E:$E),"")</f>
        <v>22.000000000000004</v>
      </c>
      <c r="P1516" s="741">
        <f>IFERROR(L1516/O1516,0)</f>
        <v>80.652272727272717</v>
      </c>
      <c r="Q1516" s="809" t="s">
        <v>1639</v>
      </c>
      <c r="R1516" s="785">
        <f>IFERROR(VLOOKUP($Q1516,'391'!$S:$Z,8,0),"")</f>
        <v>112.14</v>
      </c>
      <c r="S1516" s="796"/>
      <c r="T1516" s="797"/>
      <c r="U1516" s="797"/>
      <c r="V1516" s="797"/>
      <c r="W1516" s="785">
        <f>IFERROR(VLOOKUP($Q1516,'391'!$S:$AG,15,0),0)</f>
        <v>1806.4</v>
      </c>
      <c r="X1516" s="1090">
        <f t="shared" si="924"/>
        <v>0</v>
      </c>
      <c r="Y1516" s="785"/>
      <c r="Z1516" s="785"/>
      <c r="AA1516" s="797"/>
      <c r="AB1516" s="797"/>
      <c r="AC1516" s="683"/>
      <c r="AD1516" s="551"/>
      <c r="AE1516" s="551"/>
      <c r="AF1516" s="551"/>
      <c r="AG1516" s="551"/>
      <c r="AH1516" s="551"/>
      <c r="AI1516" s="704"/>
      <c r="AJ1516" s="704"/>
      <c r="AK1516" s="704"/>
      <c r="AL1516" s="704"/>
      <c r="AM1516" s="704"/>
      <c r="AN1516" s="704"/>
      <c r="AO1516" s="704"/>
      <c r="AP1516" s="704"/>
      <c r="AQ1516" s="704"/>
      <c r="AR1516" s="704"/>
      <c r="AS1516" s="704"/>
    </row>
    <row r="1517" spans="1:45" s="265" customFormat="1" ht="30" customHeight="1" x14ac:dyDescent="0.25">
      <c r="A1517" s="2083">
        <f>IF(L1522=0,"",MAX($A$16:A1516)+1)</f>
        <v>101</v>
      </c>
      <c r="B1517" s="2075" t="s">
        <v>1641</v>
      </c>
      <c r="C1517" s="574" t="s">
        <v>983</v>
      </c>
      <c r="D1517" s="881" t="s">
        <v>10</v>
      </c>
      <c r="E1517" s="882">
        <v>46223</v>
      </c>
      <c r="F1517" s="71">
        <f>$L$7-E1517</f>
        <v>63</v>
      </c>
      <c r="G1517" s="64">
        <v>5000</v>
      </c>
      <c r="H1517" s="64"/>
      <c r="I1517" s="64"/>
      <c r="J1517" s="1367"/>
      <c r="K1517" s="64">
        <f>IFERROR(SUMIF(INTAKE!$A:$A,$T1517,INTAKE!$P:$P),0)</f>
        <v>0</v>
      </c>
      <c r="L1517" s="1669">
        <f>+G1517+H1517+I1517-J1517-K1517</f>
        <v>5000</v>
      </c>
      <c r="M1517" s="102"/>
      <c r="N1517" s="103"/>
      <c r="O1517" s="102"/>
      <c r="P1517" s="739"/>
      <c r="Q1517" s="795"/>
      <c r="R1517" s="785">
        <f>IFERROR(VLOOKUP($Q1517,'391'!$S:$Z,8,0),"")</f>
        <v>0</v>
      </c>
      <c r="S1517" s="796"/>
      <c r="T1517" s="797" t="str">
        <f>$Q$1522&amp;C1517&amp;E1517</f>
        <v>Rumifat R100 (Malaysia)B15.246223</v>
      </c>
      <c r="U1517" s="797"/>
      <c r="V1517" s="797"/>
      <c r="W1517" s="785">
        <f>IFERROR(VLOOKUP($Q1517,'391'!$S:$AG,15,0),0)</f>
        <v>0</v>
      </c>
      <c r="X1517" s="1090">
        <f t="shared" ref="X1517:X1521" si="929">G1517-W1517</f>
        <v>5000</v>
      </c>
      <c r="Y1517" s="785"/>
      <c r="Z1517" s="785"/>
      <c r="AA1517" s="797"/>
      <c r="AB1517" s="797"/>
      <c r="AC1517" s="551"/>
      <c r="AD1517" s="551"/>
      <c r="AE1517" s="551"/>
      <c r="AF1517" s="551"/>
      <c r="AG1517" s="551"/>
      <c r="AH1517" s="551"/>
      <c r="AI1517" s="704"/>
      <c r="AJ1517" s="704"/>
      <c r="AK1517" s="704"/>
      <c r="AL1517" s="704"/>
      <c r="AM1517" s="704"/>
      <c r="AN1517" s="704"/>
      <c r="AO1517" s="704"/>
      <c r="AP1517" s="704"/>
      <c r="AQ1517" s="704"/>
      <c r="AR1517" s="704"/>
      <c r="AS1517" s="704"/>
    </row>
    <row r="1518" spans="1:45" s="265" customFormat="1" ht="30" customHeight="1" x14ac:dyDescent="0.25">
      <c r="A1518" s="2121"/>
      <c r="B1518" s="2082"/>
      <c r="C1518" s="574" t="s">
        <v>983</v>
      </c>
      <c r="D1518" s="881" t="s">
        <v>10</v>
      </c>
      <c r="E1518" s="882">
        <v>46223</v>
      </c>
      <c r="F1518" s="71">
        <f>$L$7-E1518</f>
        <v>63</v>
      </c>
      <c r="G1518" s="64">
        <v>10000</v>
      </c>
      <c r="H1518" s="64"/>
      <c r="I1518" s="64"/>
      <c r="J1518" s="1367"/>
      <c r="K1518" s="64"/>
      <c r="L1518" s="1669">
        <f>+G1518+H1518+I1518-J1518-K1518</f>
        <v>10000</v>
      </c>
      <c r="M1518" s="102"/>
      <c r="N1518" s="103"/>
      <c r="O1518" s="102"/>
      <c r="P1518" s="739"/>
      <c r="Q1518" s="795"/>
      <c r="R1518" s="785">
        <f>IFERROR(VLOOKUP($Q1518,'391'!$S:$Z,8,0),"")</f>
        <v>0</v>
      </c>
      <c r="S1518" s="796"/>
      <c r="T1518" s="797" t="str">
        <f t="shared" ref="T1518:T1519" si="930">$Q$1522&amp;C1518&amp;E1518</f>
        <v>Rumifat R100 (Malaysia)B15.246223</v>
      </c>
      <c r="U1518" s="797"/>
      <c r="V1518" s="797"/>
      <c r="W1518" s="785">
        <f>IFERROR(VLOOKUP($Q1518,'391'!$S:$AG,15,0),0)</f>
        <v>0</v>
      </c>
      <c r="X1518" s="1090">
        <f t="shared" ref="X1518:X1519" si="931">G1518-W1518</f>
        <v>10000</v>
      </c>
      <c r="Y1518" s="785"/>
      <c r="Z1518" s="785"/>
      <c r="AA1518" s="797"/>
      <c r="AB1518" s="797"/>
      <c r="AC1518" s="551"/>
      <c r="AD1518" s="551"/>
      <c r="AE1518" s="551"/>
      <c r="AF1518" s="551"/>
      <c r="AG1518" s="551"/>
      <c r="AH1518" s="551"/>
      <c r="AI1518" s="704"/>
      <c r="AJ1518" s="704"/>
      <c r="AK1518" s="704"/>
      <c r="AL1518" s="704"/>
      <c r="AM1518" s="704"/>
      <c r="AN1518" s="704"/>
      <c r="AO1518" s="704"/>
      <c r="AP1518" s="704"/>
      <c r="AQ1518" s="704"/>
      <c r="AR1518" s="704"/>
      <c r="AS1518" s="704"/>
    </row>
    <row r="1519" spans="1:45" s="265" customFormat="1" ht="30" customHeight="1" x14ac:dyDescent="0.25">
      <c r="A1519" s="2121"/>
      <c r="B1519" s="2082"/>
      <c r="C1519" s="574" t="s">
        <v>983</v>
      </c>
      <c r="D1519" s="881" t="s">
        <v>10</v>
      </c>
      <c r="E1519" s="882">
        <v>46254</v>
      </c>
      <c r="F1519" s="71">
        <f>$L$7-E1519</f>
        <v>32</v>
      </c>
      <c r="G1519" s="64">
        <v>20000</v>
      </c>
      <c r="H1519" s="64"/>
      <c r="I1519" s="64"/>
      <c r="J1519" s="1367"/>
      <c r="K1519" s="64">
        <f>IFERROR(SUMIF(INTAKE!$A:$A,$T1519,INTAKE!$P:$P),0)</f>
        <v>0</v>
      </c>
      <c r="L1519" s="1669">
        <f>+G1519+H1519+I1519-J1519-K1519</f>
        <v>20000</v>
      </c>
      <c r="M1519" s="102"/>
      <c r="N1519" s="103"/>
      <c r="O1519" s="102"/>
      <c r="P1519" s="739"/>
      <c r="Q1519" s="795"/>
      <c r="R1519" s="785">
        <f>IFERROR(VLOOKUP($Q1519,'391'!$S:$Z,8,0),"")</f>
        <v>0</v>
      </c>
      <c r="S1519" s="796"/>
      <c r="T1519" s="797" t="str">
        <f t="shared" si="930"/>
        <v>Rumifat R100 (Malaysia)B15.246254</v>
      </c>
      <c r="U1519" s="797"/>
      <c r="V1519" s="797"/>
      <c r="W1519" s="785">
        <f>IFERROR(VLOOKUP($Q1519,'391'!$S:$AG,15,0),0)</f>
        <v>0</v>
      </c>
      <c r="X1519" s="1090">
        <f t="shared" si="931"/>
        <v>20000</v>
      </c>
      <c r="Y1519" s="785"/>
      <c r="Z1519" s="785"/>
      <c r="AA1519" s="797"/>
      <c r="AB1519" s="797"/>
      <c r="AC1519" s="551"/>
      <c r="AD1519" s="551"/>
      <c r="AE1519" s="551"/>
      <c r="AF1519" s="551"/>
      <c r="AG1519" s="551"/>
      <c r="AH1519" s="551"/>
      <c r="AI1519" s="704"/>
      <c r="AJ1519" s="704"/>
      <c r="AK1519" s="704"/>
      <c r="AL1519" s="704"/>
      <c r="AM1519" s="704"/>
      <c r="AN1519" s="704"/>
      <c r="AO1519" s="704"/>
      <c r="AP1519" s="704"/>
      <c r="AQ1519" s="704"/>
      <c r="AR1519" s="704"/>
      <c r="AS1519" s="704"/>
    </row>
    <row r="1520" spans="1:45" s="265" customFormat="1" ht="30" hidden="1" customHeight="1" x14ac:dyDescent="0.25">
      <c r="A1520" s="2084"/>
      <c r="B1520" s="2076"/>
      <c r="C1520" s="574"/>
      <c r="D1520" s="881" t="s">
        <v>10</v>
      </c>
      <c r="E1520" s="882">
        <v>46254</v>
      </c>
      <c r="F1520" s="71">
        <f>$L$7-E1520</f>
        <v>32</v>
      </c>
      <c r="G1520" s="64">
        <v>0</v>
      </c>
      <c r="H1520" s="64"/>
      <c r="I1520" s="64"/>
      <c r="J1520" s="1367"/>
      <c r="K1520" s="64">
        <f>IFERROR(SUMIF(INTAKE!$A:$A,$T1520,INTAKE!$P:$P),0)</f>
        <v>0</v>
      </c>
      <c r="L1520" s="1669">
        <f>+G1520+H1520+I1520-J1520-K1520</f>
        <v>0</v>
      </c>
      <c r="M1520" s="102"/>
      <c r="N1520" s="103"/>
      <c r="O1520" s="102"/>
      <c r="P1520" s="739"/>
      <c r="Q1520" s="795"/>
      <c r="R1520" s="785">
        <f>IFERROR(VLOOKUP($Q1520,'391'!$S:$Z,8,0),"")</f>
        <v>0</v>
      </c>
      <c r="S1520" s="796"/>
      <c r="T1520" s="797" t="str">
        <f t="shared" ref="T1520:T1521" si="932">$Q$1522&amp;C1520&amp;E1520</f>
        <v>Rumifat R100 (Malaysia)46254</v>
      </c>
      <c r="U1520" s="797"/>
      <c r="V1520" s="797"/>
      <c r="W1520" s="785">
        <f>IFERROR(VLOOKUP($Q1520,'391'!$S:$AG,15,0),0)</f>
        <v>0</v>
      </c>
      <c r="X1520" s="1090">
        <f t="shared" si="929"/>
        <v>0</v>
      </c>
      <c r="Y1520" s="785"/>
      <c r="Z1520" s="785"/>
      <c r="AA1520" s="797"/>
      <c r="AB1520" s="797"/>
      <c r="AC1520" s="551"/>
      <c r="AD1520" s="551"/>
      <c r="AE1520" s="551"/>
      <c r="AF1520" s="551"/>
      <c r="AG1520" s="551"/>
      <c r="AH1520" s="551"/>
      <c r="AI1520" s="704"/>
      <c r="AJ1520" s="704"/>
      <c r="AK1520" s="704"/>
      <c r="AL1520" s="704"/>
      <c r="AM1520" s="704"/>
      <c r="AN1520" s="704"/>
      <c r="AO1520" s="704"/>
      <c r="AP1520" s="704"/>
      <c r="AQ1520" s="704"/>
      <c r="AR1520" s="704"/>
      <c r="AS1520" s="704"/>
    </row>
    <row r="1521" spans="1:45" s="265" customFormat="1" ht="30" customHeight="1" x14ac:dyDescent="0.25">
      <c r="A1521" s="2085"/>
      <c r="B1521" s="2068"/>
      <c r="C1521" s="138" t="s">
        <v>76</v>
      </c>
      <c r="D1521" s="884" t="s">
        <v>10</v>
      </c>
      <c r="E1521" s="885">
        <v>46223</v>
      </c>
      <c r="F1521" s="293">
        <f>$L$7-E1521</f>
        <v>63</v>
      </c>
      <c r="G1521" s="1214">
        <v>1680.7700000000004</v>
      </c>
      <c r="H1521" s="37"/>
      <c r="I1521" s="37">
        <f>+SUM(K1517:K1520)</f>
        <v>0</v>
      </c>
      <c r="J1521" s="1385">
        <f>usage!I200</f>
        <v>711.59</v>
      </c>
      <c r="K1521" s="64">
        <f>IFERROR(SUMIF(INTAKE!$A:$A,$T1521,INTAKE!$P:$P),0)</f>
        <v>0</v>
      </c>
      <c r="L1521" s="1533">
        <f>+G1521+H1521+I1521-J1521-K1521</f>
        <v>969.1800000000004</v>
      </c>
      <c r="M1521" s="98"/>
      <c r="N1521" s="1473"/>
      <c r="O1521" s="98"/>
      <c r="P1521" s="759"/>
      <c r="Q1521" s="795"/>
      <c r="R1521" s="785">
        <f>IFERROR(VLOOKUP($Q1521,'391'!$S:$Z,8,0),"")</f>
        <v>0</v>
      </c>
      <c r="S1521" s="796"/>
      <c r="T1521" s="797" t="str">
        <f t="shared" si="932"/>
        <v>Rumifat R100 (Malaysia)Feedmil46223</v>
      </c>
      <c r="U1521" s="797"/>
      <c r="V1521" s="797"/>
      <c r="W1521" s="785">
        <f>IFERROR(VLOOKUP($Q1521,'391'!$S:$AG,15,0),0)</f>
        <v>0</v>
      </c>
      <c r="X1521" s="1090">
        <f t="shared" si="929"/>
        <v>1680.7700000000004</v>
      </c>
      <c r="Y1521" s="785"/>
      <c r="Z1521" s="785"/>
      <c r="AA1521" s="797"/>
      <c r="AB1521" s="797"/>
      <c r="AC1521" s="551"/>
      <c r="AD1521" s="551"/>
      <c r="AE1521" s="551"/>
      <c r="AF1521" s="551"/>
      <c r="AG1521" s="551"/>
      <c r="AH1521" s="551"/>
      <c r="AI1521" s="704"/>
      <c r="AJ1521" s="704"/>
      <c r="AK1521" s="704"/>
      <c r="AL1521" s="704"/>
      <c r="AM1521" s="704"/>
      <c r="AN1521" s="704"/>
      <c r="AO1521" s="704"/>
      <c r="AP1521" s="704"/>
      <c r="AQ1521" s="704"/>
      <c r="AR1521" s="704"/>
      <c r="AS1521" s="704"/>
    </row>
    <row r="1522" spans="1:45" s="265" customFormat="1" ht="30" customHeight="1" x14ac:dyDescent="0.25">
      <c r="A1522" s="184"/>
      <c r="B1522" s="184" t="s">
        <v>1642</v>
      </c>
      <c r="C1522" s="575"/>
      <c r="D1522" s="900"/>
      <c r="E1522" s="901"/>
      <c r="F1522" s="902"/>
      <c r="G1522" s="1297">
        <v>36680.770000000004</v>
      </c>
      <c r="H1522" s="1297">
        <f>+SUM(H1517:H1521)</f>
        <v>0</v>
      </c>
      <c r="I1522" s="1297">
        <f t="shared" ref="I1522:L1522" si="933">+SUM(I1517:I1521)</f>
        <v>0</v>
      </c>
      <c r="J1522" s="1297">
        <f t="shared" si="933"/>
        <v>711.59</v>
      </c>
      <c r="K1522" s="1297">
        <f t="shared" si="933"/>
        <v>0</v>
      </c>
      <c r="L1522" s="1297">
        <f t="shared" si="933"/>
        <v>35969.18</v>
      </c>
      <c r="M1522" s="92">
        <f>IFERROR(R1522/$S$2,"")</f>
        <v>404.24166666666673</v>
      </c>
      <c r="N1522" s="99">
        <f>IFERROR(L1522/M1522,0)</f>
        <v>88.979397637551784</v>
      </c>
      <c r="O1522" s="92">
        <f>IFERROR(SUMIF(ETM!$A:$A,$Q1522,ETM!$E:$E),"")</f>
        <v>464.83333333333337</v>
      </c>
      <c r="P1522" s="741">
        <f>IFERROR(L1522/O1522,0)</f>
        <v>77.380810326281818</v>
      </c>
      <c r="Q1522" s="809" t="s">
        <v>1641</v>
      </c>
      <c r="R1522" s="785">
        <f>IFERROR(VLOOKUP($Q1522,'391'!$S:$Z,8,0),"")</f>
        <v>2425.4500000000003</v>
      </c>
      <c r="S1522" s="796"/>
      <c r="T1522" s="797"/>
      <c r="U1522" s="797"/>
      <c r="V1522" s="797"/>
      <c r="W1522" s="785">
        <f>IFERROR(VLOOKUP($Q1522,'391'!$S:$AG,15,0),0)</f>
        <v>36680.770000000004</v>
      </c>
      <c r="X1522" s="1090">
        <f>G1522-W1522</f>
        <v>0</v>
      </c>
      <c r="Y1522" s="785"/>
      <c r="Z1522" s="785"/>
      <c r="AA1522" s="797"/>
      <c r="AB1522" s="797"/>
      <c r="AC1522" s="683"/>
      <c r="AD1522" s="551"/>
      <c r="AE1522" s="551"/>
      <c r="AF1522" s="551"/>
      <c r="AG1522" s="551"/>
      <c r="AH1522" s="551"/>
      <c r="AI1522" s="704"/>
      <c r="AJ1522" s="704"/>
      <c r="AK1522" s="704"/>
      <c r="AL1522" s="704"/>
      <c r="AM1522" s="704"/>
      <c r="AN1522" s="704"/>
      <c r="AO1522" s="704"/>
      <c r="AP1522" s="704"/>
      <c r="AQ1522" s="704"/>
      <c r="AR1522" s="704"/>
      <c r="AS1522" s="704"/>
    </row>
    <row r="1523" spans="1:45" s="265" customFormat="1" ht="30" customHeight="1" x14ac:dyDescent="0.25">
      <c r="A1523" s="2083">
        <f>IF(L1528=0,"",MAX($A$16:A1522)+1)</f>
        <v>102</v>
      </c>
      <c r="B1523" s="2075" t="s">
        <v>1643</v>
      </c>
      <c r="C1523" s="574" t="s">
        <v>360</v>
      </c>
      <c r="D1523" s="881" t="s">
        <v>10</v>
      </c>
      <c r="E1523" s="882">
        <v>46276</v>
      </c>
      <c r="F1523" s="71">
        <f>$L$7-E1523</f>
        <v>10</v>
      </c>
      <c r="G1523" s="64">
        <v>0</v>
      </c>
      <c r="H1523" s="64"/>
      <c r="I1523" s="64"/>
      <c r="J1523" s="1367"/>
      <c r="K1523" s="64">
        <f>IFERROR(SUMIF(INTAKE!$A:$A,$T1523,INTAKE!$P:$P),0)</f>
        <v>0</v>
      </c>
      <c r="L1523" s="1669">
        <f>+G1523+H1523+I1523-J1523-K1523</f>
        <v>0</v>
      </c>
      <c r="M1523" s="102"/>
      <c r="N1523" s="103"/>
      <c r="O1523" s="102"/>
      <c r="P1523" s="739"/>
      <c r="Q1523" s="795"/>
      <c r="R1523" s="785">
        <f>IFERROR(VLOOKUP($Q1523,'391'!$S:$Z,8,0),"")</f>
        <v>0</v>
      </c>
      <c r="S1523" s="796"/>
      <c r="T1523" s="797" t="str">
        <f>$Q$1528&amp;C1523&amp;E1523</f>
        <v>Rumifat Plus (Malaysia)A19.246276</v>
      </c>
      <c r="U1523" s="797"/>
      <c r="V1523" s="797"/>
      <c r="W1523" s="785">
        <f>IFERROR(VLOOKUP($Q1523,'391'!$S:$AG,15,0),0)</f>
        <v>0</v>
      </c>
      <c r="X1523" s="1090">
        <f t="shared" ref="X1523:X1528" si="934">G1523-W1523</f>
        <v>0</v>
      </c>
      <c r="Y1523" s="785"/>
      <c r="Z1523" s="785"/>
      <c r="AA1523" s="797"/>
      <c r="AB1523" s="797"/>
      <c r="AC1523" s="551"/>
      <c r="AD1523" s="551"/>
      <c r="AE1523" s="551"/>
      <c r="AF1523" s="551"/>
      <c r="AG1523" s="551"/>
      <c r="AH1523" s="551"/>
      <c r="AI1523" s="704"/>
      <c r="AJ1523" s="704"/>
      <c r="AK1523" s="704"/>
      <c r="AL1523" s="704"/>
      <c r="AM1523" s="704"/>
      <c r="AN1523" s="704"/>
      <c r="AO1523" s="704"/>
      <c r="AP1523" s="704"/>
      <c r="AQ1523" s="704"/>
      <c r="AR1523" s="704"/>
      <c r="AS1523" s="704"/>
    </row>
    <row r="1524" spans="1:45" s="265" customFormat="1" ht="30" customHeight="1" x14ac:dyDescent="0.25">
      <c r="A1524" s="2121"/>
      <c r="B1524" s="2082"/>
      <c r="C1524" s="574" t="s">
        <v>247</v>
      </c>
      <c r="D1524" s="881" t="s">
        <v>10</v>
      </c>
      <c r="E1524" s="882">
        <v>46281</v>
      </c>
      <c r="F1524" s="71">
        <f>$L$7-E1524</f>
        <v>5</v>
      </c>
      <c r="G1524" s="64">
        <v>0</v>
      </c>
      <c r="H1524" s="64"/>
      <c r="I1524" s="64"/>
      <c r="J1524" s="1367"/>
      <c r="K1524" s="64">
        <f>IFERROR(SUMIF(INTAKE!$A:$A,$T1524,INTAKE!$P:$P),0)</f>
        <v>0</v>
      </c>
      <c r="L1524" s="1669">
        <f>+G1524+H1524+I1524-J1524-K1524</f>
        <v>0</v>
      </c>
      <c r="M1524" s="102"/>
      <c r="N1524" s="103"/>
      <c r="O1524" s="102"/>
      <c r="P1524" s="739"/>
      <c r="Q1524" s="795"/>
      <c r="R1524" s="785">
        <f>IFERROR(VLOOKUP($Q1524,'391'!$S:$Z,8,0),"")</f>
        <v>0</v>
      </c>
      <c r="S1524" s="796"/>
      <c r="T1524" s="797" t="str">
        <f t="shared" ref="T1524:T1525" si="935">$Q$1528&amp;C1524&amp;E1524</f>
        <v>Rumifat Plus (Malaysia)A19.146281</v>
      </c>
      <c r="U1524" s="797"/>
      <c r="V1524" s="797"/>
      <c r="W1524" s="785">
        <f>IFERROR(VLOOKUP($Q1524,'391'!$S:$AG,15,0),0)</f>
        <v>0</v>
      </c>
      <c r="X1524" s="1090">
        <f t="shared" ref="X1524:X1525" si="936">G1524-W1524</f>
        <v>0</v>
      </c>
      <c r="Y1524" s="785"/>
      <c r="Z1524" s="785"/>
      <c r="AA1524" s="797"/>
      <c r="AB1524" s="797"/>
      <c r="AC1524" s="551"/>
      <c r="AD1524" s="551"/>
      <c r="AE1524" s="551"/>
      <c r="AF1524" s="551"/>
      <c r="AG1524" s="551"/>
      <c r="AH1524" s="551"/>
      <c r="AI1524" s="704"/>
      <c r="AJ1524" s="704"/>
      <c r="AK1524" s="704"/>
      <c r="AL1524" s="704"/>
      <c r="AM1524" s="704"/>
      <c r="AN1524" s="704"/>
      <c r="AO1524" s="704"/>
      <c r="AP1524" s="704"/>
      <c r="AQ1524" s="704"/>
      <c r="AR1524" s="704"/>
      <c r="AS1524" s="704"/>
    </row>
    <row r="1525" spans="1:45" s="265" customFormat="1" ht="30" customHeight="1" x14ac:dyDescent="0.25">
      <c r="A1525" s="2121"/>
      <c r="B1525" s="2082"/>
      <c r="C1525" s="574" t="s">
        <v>578</v>
      </c>
      <c r="D1525" s="881" t="s">
        <v>10</v>
      </c>
      <c r="E1525" s="882">
        <v>46281</v>
      </c>
      <c r="F1525" s="71">
        <f>$L$7-E1525</f>
        <v>5</v>
      </c>
      <c r="G1525" s="64">
        <v>40000</v>
      </c>
      <c r="H1525" s="64"/>
      <c r="I1525" s="64"/>
      <c r="J1525" s="1367"/>
      <c r="K1525" s="64">
        <f>IFERROR(SUMIF(INTAKE!$A:$A,$T1525,INTAKE!$P:$P),0)</f>
        <v>0</v>
      </c>
      <c r="L1525" s="1669">
        <f>+G1525+H1525+I1525-J1525-K1525</f>
        <v>40000</v>
      </c>
      <c r="M1525" s="102"/>
      <c r="N1525" s="103"/>
      <c r="O1525" s="102"/>
      <c r="P1525" s="739"/>
      <c r="Q1525" s="795"/>
      <c r="R1525" s="785">
        <f>IFERROR(VLOOKUP($Q1525,'391'!$S:$Z,8,0),"")</f>
        <v>0</v>
      </c>
      <c r="S1525" s="796"/>
      <c r="T1525" s="797" t="str">
        <f t="shared" si="935"/>
        <v>Rumifat Plus (Malaysia)B14.446281</v>
      </c>
      <c r="U1525" s="797"/>
      <c r="V1525" s="797"/>
      <c r="W1525" s="785">
        <f>IFERROR(VLOOKUP($Q1525,'391'!$S:$AG,15,0),0)</f>
        <v>0</v>
      </c>
      <c r="X1525" s="1090">
        <f t="shared" si="936"/>
        <v>40000</v>
      </c>
      <c r="Y1525" s="785"/>
      <c r="Z1525" s="785"/>
      <c r="AA1525" s="797"/>
      <c r="AB1525" s="797"/>
      <c r="AC1525" s="551"/>
      <c r="AD1525" s="551"/>
      <c r="AE1525" s="551"/>
      <c r="AF1525" s="551"/>
      <c r="AG1525" s="551"/>
      <c r="AH1525" s="551"/>
      <c r="AI1525" s="704"/>
      <c r="AJ1525" s="704"/>
      <c r="AK1525" s="704"/>
      <c r="AL1525" s="704"/>
      <c r="AM1525" s="704"/>
      <c r="AN1525" s="704"/>
      <c r="AO1525" s="704"/>
      <c r="AP1525" s="704"/>
      <c r="AQ1525" s="704"/>
      <c r="AR1525" s="704"/>
      <c r="AS1525" s="704"/>
    </row>
    <row r="1526" spans="1:45" s="265" customFormat="1" ht="30" hidden="1" customHeight="1" x14ac:dyDescent="0.25">
      <c r="A1526" s="2084"/>
      <c r="B1526" s="2076"/>
      <c r="C1526" s="574"/>
      <c r="D1526" s="881" t="s">
        <v>10</v>
      </c>
      <c r="E1526" s="882">
        <v>46234</v>
      </c>
      <c r="F1526" s="71">
        <f>$L$7-E1526</f>
        <v>52</v>
      </c>
      <c r="G1526" s="64">
        <v>0</v>
      </c>
      <c r="H1526" s="64"/>
      <c r="I1526" s="64"/>
      <c r="J1526" s="1367"/>
      <c r="K1526" s="64">
        <f>IFERROR(SUMIF(INTAKE!$A:$A,$T1526,INTAKE!$P:$P),0)</f>
        <v>0</v>
      </c>
      <c r="L1526" s="1669">
        <f>+G1526+H1526+I1526-J1526-K1526</f>
        <v>0</v>
      </c>
      <c r="M1526" s="102"/>
      <c r="N1526" s="103"/>
      <c r="O1526" s="102"/>
      <c r="P1526" s="739"/>
      <c r="Q1526" s="795"/>
      <c r="R1526" s="785">
        <f>IFERROR(VLOOKUP($Q1526,'391'!$S:$Z,8,0),"")</f>
        <v>0</v>
      </c>
      <c r="S1526" s="796"/>
      <c r="T1526" s="797" t="str">
        <f t="shared" ref="T1526:T1527" si="937">$Q$1528&amp;C1526&amp;E1526</f>
        <v>Rumifat Plus (Malaysia)46234</v>
      </c>
      <c r="U1526" s="797"/>
      <c r="V1526" s="797"/>
      <c r="W1526" s="785">
        <f>IFERROR(VLOOKUP($Q1526,'391'!$S:$AG,15,0),0)</f>
        <v>0</v>
      </c>
      <c r="X1526" s="1090">
        <f t="shared" si="934"/>
        <v>0</v>
      </c>
      <c r="Y1526" s="785"/>
      <c r="Z1526" s="785"/>
      <c r="AA1526" s="797"/>
      <c r="AB1526" s="797"/>
      <c r="AC1526" s="551"/>
      <c r="AD1526" s="551"/>
      <c r="AE1526" s="551"/>
      <c r="AF1526" s="551"/>
      <c r="AG1526" s="551"/>
      <c r="AH1526" s="551"/>
      <c r="AI1526" s="704"/>
      <c r="AJ1526" s="704"/>
      <c r="AK1526" s="704"/>
      <c r="AL1526" s="704"/>
      <c r="AM1526" s="704"/>
      <c r="AN1526" s="704"/>
      <c r="AO1526" s="704"/>
      <c r="AP1526" s="704"/>
      <c r="AQ1526" s="704"/>
      <c r="AR1526" s="704"/>
      <c r="AS1526" s="704"/>
    </row>
    <row r="1527" spans="1:45" s="265" customFormat="1" ht="30" customHeight="1" x14ac:dyDescent="0.25">
      <c r="A1527" s="2085"/>
      <c r="B1527" s="2068"/>
      <c r="C1527" s="138" t="s">
        <v>76</v>
      </c>
      <c r="D1527" s="884" t="s">
        <v>10</v>
      </c>
      <c r="E1527" s="885">
        <v>46276</v>
      </c>
      <c r="F1527" s="293">
        <f>$L$7-E1527</f>
        <v>10</v>
      </c>
      <c r="G1527" s="1214">
        <v>19299</v>
      </c>
      <c r="H1527" s="37"/>
      <c r="I1527" s="37">
        <f>SUM(K1523:K1527)</f>
        <v>0</v>
      </c>
      <c r="J1527" s="1385">
        <f>usage!I201</f>
        <v>4393</v>
      </c>
      <c r="K1527" s="64">
        <f>IFERROR(SUMIF(INTAKE!$A:$A,$T1527,INTAKE!$P:$P),0)</f>
        <v>0</v>
      </c>
      <c r="L1527" s="1533">
        <f>+G1527+H1527+I1527-J1527-K1527</f>
        <v>14906</v>
      </c>
      <c r="M1527" s="98"/>
      <c r="N1527" s="1473"/>
      <c r="O1527" s="98"/>
      <c r="P1527" s="759"/>
      <c r="Q1527" s="795"/>
      <c r="R1527" s="785">
        <f>IFERROR(VLOOKUP($Q1527,'391'!$S:$Z,8,0),"")</f>
        <v>0</v>
      </c>
      <c r="S1527" s="796"/>
      <c r="T1527" s="797" t="str">
        <f t="shared" si="937"/>
        <v>Rumifat Plus (Malaysia)Feedmil46276</v>
      </c>
      <c r="U1527" s="797"/>
      <c r="V1527" s="797"/>
      <c r="W1527" s="785">
        <f>IFERROR(VLOOKUP($Q1527,'391'!$S:$AG,15,0),0)</f>
        <v>0</v>
      </c>
      <c r="X1527" s="1090">
        <f t="shared" si="934"/>
        <v>19299</v>
      </c>
      <c r="Y1527" s="785"/>
      <c r="Z1527" s="785"/>
      <c r="AA1527" s="797"/>
      <c r="AB1527" s="797"/>
      <c r="AC1527" s="551"/>
      <c r="AD1527" s="551"/>
      <c r="AE1527" s="551"/>
      <c r="AF1527" s="551"/>
      <c r="AG1527" s="551"/>
      <c r="AH1527" s="551"/>
      <c r="AI1527" s="704"/>
      <c r="AJ1527" s="704"/>
      <c r="AK1527" s="704"/>
      <c r="AL1527" s="704"/>
      <c r="AM1527" s="704"/>
      <c r="AN1527" s="704"/>
      <c r="AO1527" s="704"/>
      <c r="AP1527" s="704"/>
      <c r="AQ1527" s="704"/>
      <c r="AR1527" s="704"/>
      <c r="AS1527" s="704"/>
    </row>
    <row r="1528" spans="1:45" s="265" customFormat="1" ht="30" customHeight="1" x14ac:dyDescent="0.25">
      <c r="A1528" s="184"/>
      <c r="B1528" s="184" t="s">
        <v>1644</v>
      </c>
      <c r="C1528" s="575"/>
      <c r="D1528" s="900"/>
      <c r="E1528" s="901"/>
      <c r="F1528" s="902"/>
      <c r="G1528" s="1297">
        <v>59299</v>
      </c>
      <c r="H1528" s="1297">
        <f>+SUM(H1523:H1527)</f>
        <v>0</v>
      </c>
      <c r="I1528" s="1297">
        <f t="shared" ref="I1528:L1528" si="938">+SUM(I1523:I1527)</f>
        <v>0</v>
      </c>
      <c r="J1528" s="1297">
        <f t="shared" si="938"/>
        <v>4393</v>
      </c>
      <c r="K1528" s="1297">
        <f t="shared" si="938"/>
        <v>0</v>
      </c>
      <c r="L1528" s="1297">
        <f t="shared" si="938"/>
        <v>54906</v>
      </c>
      <c r="M1528" s="92">
        <f>IFERROR(R1528/$S$2,"")</f>
        <v>2874</v>
      </c>
      <c r="N1528" s="99">
        <f>IFERROR(L1528/M1528,0)</f>
        <v>19.104384133611692</v>
      </c>
      <c r="O1528" s="92">
        <f>IFERROR(SUMIF(ETM!$A:$A,$Q1528,ETM!$E:$E),"")</f>
        <v>3124.5</v>
      </c>
      <c r="P1528" s="741">
        <f>IFERROR(L1528/O1528,0)</f>
        <v>17.572731637061931</v>
      </c>
      <c r="Q1528" s="809" t="s">
        <v>1643</v>
      </c>
      <c r="R1528" s="785">
        <f>IFERROR(VLOOKUP($Q1528,'391'!$S:$Z,8,0),"")</f>
        <v>17244</v>
      </c>
      <c r="S1528" s="796"/>
      <c r="T1528" s="797"/>
      <c r="U1528" s="797"/>
      <c r="V1528" s="797"/>
      <c r="W1528" s="785">
        <f>IFERROR(VLOOKUP($Q1528,'391'!$S:$AG,15,0),0)</f>
        <v>59299</v>
      </c>
      <c r="X1528" s="1090">
        <f t="shared" si="934"/>
        <v>0</v>
      </c>
      <c r="Y1528" s="785"/>
      <c r="Z1528" s="785"/>
      <c r="AA1528" s="797"/>
      <c r="AB1528" s="797"/>
      <c r="AC1528" s="683"/>
      <c r="AD1528" s="551"/>
      <c r="AE1528" s="551"/>
      <c r="AF1528" s="551"/>
      <c r="AG1528" s="551"/>
      <c r="AH1528" s="551"/>
      <c r="AI1528" s="704"/>
      <c r="AJ1528" s="704"/>
      <c r="AK1528" s="704"/>
      <c r="AL1528" s="704"/>
      <c r="AM1528" s="704"/>
      <c r="AN1528" s="704"/>
      <c r="AO1528" s="704"/>
      <c r="AP1528" s="704"/>
      <c r="AQ1528" s="704"/>
      <c r="AR1528" s="704"/>
      <c r="AS1528" s="704"/>
    </row>
    <row r="1529" spans="1:45" s="265" customFormat="1" ht="30" customHeight="1" x14ac:dyDescent="0.25">
      <c r="A1529" s="2083">
        <f>IF(L1532=0,"",MAX($A$16:A1528)+1)</f>
        <v>103</v>
      </c>
      <c r="B1529" s="2075" t="s">
        <v>1728</v>
      </c>
      <c r="C1529" s="574" t="s">
        <v>1232</v>
      </c>
      <c r="D1529" s="881" t="s">
        <v>10</v>
      </c>
      <c r="E1529" s="882">
        <v>46038</v>
      </c>
      <c r="F1529" s="71">
        <f>$L$7-E1529</f>
        <v>248</v>
      </c>
      <c r="G1529" s="64">
        <v>40</v>
      </c>
      <c r="H1529" s="64"/>
      <c r="I1529" s="64"/>
      <c r="J1529" s="1367"/>
      <c r="K1529" s="64">
        <f>IFERROR(SUMIF(INTAKE!$A:$A,$T1529,INTAKE!$P:$P),0)</f>
        <v>0</v>
      </c>
      <c r="L1529" s="1669">
        <f>+G1529+H1529+I1529-J1529-K1529</f>
        <v>40</v>
      </c>
      <c r="M1529" s="102"/>
      <c r="N1529" s="103"/>
      <c r="O1529" s="102"/>
      <c r="P1529" s="739"/>
      <c r="Q1529" s="795"/>
      <c r="R1529" s="785">
        <f>IFERROR(VLOOKUP($Q1529,'391'!$S:$Z,8,0),"")</f>
        <v>0</v>
      </c>
      <c r="S1529" s="796"/>
      <c r="T1529" s="797" t="str">
        <f>$Q$1532&amp;C1529&amp;E1529</f>
        <v>DELTA  ACIDOLINE XT (France)V6.246038</v>
      </c>
      <c r="U1529" s="797"/>
      <c r="V1529" s="797"/>
      <c r="W1529" s="785">
        <f>IFERROR(VLOOKUP($Q1529,'391'!$S:$AG,15,0),0)</f>
        <v>0</v>
      </c>
      <c r="X1529" s="1090">
        <f t="shared" ref="X1529:X1532" si="939">G1529-W1529</f>
        <v>40</v>
      </c>
      <c r="Y1529" s="785"/>
      <c r="Z1529" s="785"/>
      <c r="AA1529" s="797"/>
      <c r="AB1529" s="797"/>
      <c r="AC1529" s="551"/>
      <c r="AD1529" s="551"/>
      <c r="AE1529" s="551"/>
      <c r="AF1529" s="551"/>
      <c r="AG1529" s="551"/>
      <c r="AH1529" s="551"/>
      <c r="AI1529" s="704"/>
      <c r="AJ1529" s="704"/>
      <c r="AK1529" s="704"/>
      <c r="AL1529" s="704"/>
      <c r="AM1529" s="704"/>
      <c r="AN1529" s="704"/>
      <c r="AO1529" s="704"/>
      <c r="AP1529" s="704"/>
      <c r="AQ1529" s="704"/>
      <c r="AR1529" s="704"/>
      <c r="AS1529" s="704"/>
    </row>
    <row r="1530" spans="1:45" s="265" customFormat="1" ht="30" customHeight="1" x14ac:dyDescent="0.25">
      <c r="A1530" s="2084"/>
      <c r="B1530" s="2076"/>
      <c r="C1530" s="574" t="s">
        <v>1232</v>
      </c>
      <c r="D1530" s="881" t="s">
        <v>10</v>
      </c>
      <c r="E1530" s="882">
        <v>46052</v>
      </c>
      <c r="F1530" s="71">
        <f>$L$7-E1530</f>
        <v>234</v>
      </c>
      <c r="G1530" s="64">
        <v>500</v>
      </c>
      <c r="H1530" s="64"/>
      <c r="I1530" s="64"/>
      <c r="J1530" s="1367"/>
      <c r="K1530" s="64">
        <f>IFERROR(SUMIF(INTAKE!$A:$A,$T1530,INTAKE!$P:$P),0)</f>
        <v>0</v>
      </c>
      <c r="L1530" s="1669">
        <f>+G1530+H1530+I1530-J1530-K1530</f>
        <v>500</v>
      </c>
      <c r="M1530" s="102"/>
      <c r="N1530" s="103"/>
      <c r="O1530" s="102"/>
      <c r="P1530" s="739"/>
      <c r="Q1530" s="795"/>
      <c r="R1530" s="785">
        <f>IFERROR(VLOOKUP($Q1530,'391'!$S:$Z,8,0),"")</f>
        <v>0</v>
      </c>
      <c r="S1530" s="796"/>
      <c r="T1530" s="797" t="str">
        <f t="shared" ref="T1530:T1531" si="940">$Q$1532&amp;C1530&amp;E1530</f>
        <v>DELTA  ACIDOLINE XT (France)V6.246052</v>
      </c>
      <c r="U1530" s="797"/>
      <c r="V1530" s="797"/>
      <c r="W1530" s="785">
        <f>IFERROR(VLOOKUP($Q1530,'391'!$S:$AG,15,0),0)</f>
        <v>0</v>
      </c>
      <c r="X1530" s="1090">
        <f t="shared" si="939"/>
        <v>500</v>
      </c>
      <c r="Y1530" s="785"/>
      <c r="Z1530" s="785"/>
      <c r="AA1530" s="797"/>
      <c r="AB1530" s="797"/>
      <c r="AC1530" s="551"/>
      <c r="AD1530" s="551"/>
      <c r="AE1530" s="551"/>
      <c r="AF1530" s="551"/>
      <c r="AG1530" s="551"/>
      <c r="AH1530" s="551"/>
      <c r="AI1530" s="704"/>
      <c r="AJ1530" s="704"/>
      <c r="AK1530" s="704"/>
      <c r="AL1530" s="704"/>
      <c r="AM1530" s="704"/>
      <c r="AN1530" s="704"/>
      <c r="AO1530" s="704"/>
      <c r="AP1530" s="704"/>
      <c r="AQ1530" s="704"/>
      <c r="AR1530" s="704"/>
      <c r="AS1530" s="704"/>
    </row>
    <row r="1531" spans="1:45" s="265" customFormat="1" ht="30" customHeight="1" x14ac:dyDescent="0.25">
      <c r="A1531" s="2085"/>
      <c r="B1531" s="2068"/>
      <c r="C1531" s="138" t="s">
        <v>76</v>
      </c>
      <c r="D1531" s="884" t="s">
        <v>10</v>
      </c>
      <c r="E1531" s="885">
        <v>46038</v>
      </c>
      <c r="F1531" s="293">
        <f>$L$7-E1531</f>
        <v>248</v>
      </c>
      <c r="G1531" s="1214">
        <v>1.05</v>
      </c>
      <c r="H1531" s="37"/>
      <c r="I1531" s="37">
        <f>+K1530+K1529</f>
        <v>0</v>
      </c>
      <c r="J1531" s="1385">
        <f>usage!I212</f>
        <v>1.05</v>
      </c>
      <c r="K1531" s="64">
        <f>IFERROR(SUMIF(INTAKE!$A:$A,$T1531,INTAKE!$P:$P),0)</f>
        <v>0</v>
      </c>
      <c r="L1531" s="1533">
        <f>+G1531+H1531+I1531-J1531-K1531</f>
        <v>0</v>
      </c>
      <c r="M1531" s="98"/>
      <c r="N1531" s="1473"/>
      <c r="O1531" s="98"/>
      <c r="P1531" s="759"/>
      <c r="Q1531" s="795"/>
      <c r="R1531" s="785">
        <f>IFERROR(VLOOKUP($Q1531,'391'!$S:$Z,8,0),"")</f>
        <v>0</v>
      </c>
      <c r="S1531" s="796"/>
      <c r="T1531" s="797" t="str">
        <f t="shared" si="940"/>
        <v>DELTA  ACIDOLINE XT (France)Feedmil46038</v>
      </c>
      <c r="U1531" s="797"/>
      <c r="V1531" s="797"/>
      <c r="W1531" s="785">
        <f>IFERROR(VLOOKUP($Q1531,'391'!$S:$AG,15,0),0)</f>
        <v>0</v>
      </c>
      <c r="X1531" s="1090">
        <f t="shared" si="939"/>
        <v>1.05</v>
      </c>
      <c r="Y1531" s="785"/>
      <c r="Z1531" s="785"/>
      <c r="AA1531" s="797"/>
      <c r="AB1531" s="797"/>
      <c r="AC1531" s="551"/>
      <c r="AD1531" s="551"/>
      <c r="AE1531" s="551"/>
      <c r="AF1531" s="551"/>
      <c r="AG1531" s="551"/>
      <c r="AH1531" s="551"/>
      <c r="AI1531" s="704"/>
      <c r="AJ1531" s="704"/>
      <c r="AK1531" s="704"/>
      <c r="AL1531" s="704"/>
      <c r="AM1531" s="704"/>
      <c r="AN1531" s="704"/>
      <c r="AO1531" s="704"/>
      <c r="AP1531" s="704"/>
      <c r="AQ1531" s="704"/>
      <c r="AR1531" s="704"/>
      <c r="AS1531" s="704"/>
    </row>
    <row r="1532" spans="1:45" s="265" customFormat="1" ht="30" customHeight="1" x14ac:dyDescent="0.25">
      <c r="A1532" s="184"/>
      <c r="B1532" s="184" t="s">
        <v>1729</v>
      </c>
      <c r="C1532" s="575"/>
      <c r="D1532" s="900"/>
      <c r="E1532" s="901"/>
      <c r="F1532" s="902"/>
      <c r="G1532" s="1297">
        <f>+G1531+G1530+G1529</f>
        <v>541.04999999999995</v>
      </c>
      <c r="H1532" s="1297">
        <f>+SUM(H1529:H1531)</f>
        <v>0</v>
      </c>
      <c r="I1532" s="1297">
        <f t="shared" ref="I1532:L1532" si="941">+SUM(I1529:I1531)</f>
        <v>0</v>
      </c>
      <c r="J1532" s="1297">
        <f t="shared" si="941"/>
        <v>1.05</v>
      </c>
      <c r="K1532" s="1297">
        <f t="shared" si="941"/>
        <v>0</v>
      </c>
      <c r="L1532" s="1297">
        <f t="shared" si="941"/>
        <v>540</v>
      </c>
      <c r="M1532" s="92">
        <f>IFERROR(R1532/$S$2,"")</f>
        <v>2.1666666666666665</v>
      </c>
      <c r="N1532" s="99">
        <f>IFERROR(L1532/M1532,0)</f>
        <v>249.23076923076925</v>
      </c>
      <c r="O1532" s="92">
        <f>IFERROR(SUMIF(ETM!$A:$A,$Q1532,ETM!$E:$E),"")</f>
        <v>0</v>
      </c>
      <c r="P1532" s="741">
        <f>IFERROR(L1532/O1532,0)</f>
        <v>0</v>
      </c>
      <c r="Q1532" s="666" t="s">
        <v>1728</v>
      </c>
      <c r="R1532" s="785">
        <f>IFERROR(VLOOKUP($Q1532,'391'!$S:$Z,8,0),"")</f>
        <v>13</v>
      </c>
      <c r="S1532" s="796"/>
      <c r="T1532" s="797"/>
      <c r="U1532" s="797"/>
      <c r="V1532" s="797"/>
      <c r="W1532" s="785">
        <f>IFERROR(VLOOKUP($Q1532,'391'!$S:$AG,15,0),0)</f>
        <v>540.72</v>
      </c>
      <c r="X1532" s="1090">
        <f t="shared" si="939"/>
        <v>0.32999999999992724</v>
      </c>
      <c r="Y1532" s="785"/>
      <c r="Z1532" s="785"/>
      <c r="AA1532" s="797"/>
      <c r="AB1532" s="797"/>
      <c r="AC1532" s="683"/>
      <c r="AD1532" s="551"/>
      <c r="AE1532" s="551"/>
      <c r="AF1532" s="551"/>
      <c r="AG1532" s="551"/>
      <c r="AH1532" s="551"/>
      <c r="AI1532" s="704"/>
      <c r="AJ1532" s="704"/>
      <c r="AK1532" s="704"/>
      <c r="AL1532" s="704"/>
      <c r="AM1532" s="704"/>
      <c r="AN1532" s="704"/>
      <c r="AO1532" s="704"/>
      <c r="AP1532" s="704"/>
      <c r="AQ1532" s="704"/>
      <c r="AR1532" s="704"/>
      <c r="AS1532" s="704"/>
    </row>
    <row r="1533" spans="1:45" s="265" customFormat="1" ht="30" customHeight="1" x14ac:dyDescent="0.25">
      <c r="A1533" s="2083">
        <f>IF(L1538=0,"",MAX($A$16:A1532)+1)</f>
        <v>104</v>
      </c>
      <c r="B1533" s="2075" t="s">
        <v>1730</v>
      </c>
      <c r="C1533" s="574"/>
      <c r="D1533" s="881" t="s">
        <v>10</v>
      </c>
      <c r="E1533" s="882">
        <v>46202</v>
      </c>
      <c r="F1533" s="71">
        <f>$L$7-E1533</f>
        <v>84</v>
      </c>
      <c r="G1533" s="64">
        <v>0</v>
      </c>
      <c r="H1533" s="64"/>
      <c r="I1533" s="64"/>
      <c r="J1533" s="1367"/>
      <c r="K1533" s="64">
        <f>IFERROR(SUMIF(INTAKE!$A:$A,$T1533,INTAKE!$P:$P),0)</f>
        <v>0</v>
      </c>
      <c r="L1533" s="1669">
        <f>+G1533+H1533+I1533-J1533-K1533</f>
        <v>0</v>
      </c>
      <c r="M1533" s="102"/>
      <c r="N1533" s="103"/>
      <c r="O1533" s="102"/>
      <c r="P1533" s="739"/>
      <c r="Q1533" s="795"/>
      <c r="R1533" s="785">
        <f>IFERROR(VLOOKUP($Q1533,'391'!$S:$Z,8,0),"")</f>
        <v>0</v>
      </c>
      <c r="S1533" s="796"/>
      <c r="T1533" s="797" t="str">
        <f>$Q$1538&amp;C1533&amp;E1533</f>
        <v>Kemzin 2000 Dry (Singapore)46202</v>
      </c>
      <c r="U1533" s="797"/>
      <c r="V1533" s="797"/>
      <c r="W1533" s="785">
        <f>IFERROR(VLOOKUP($Q1533,'391'!$S:$AG,15,0),0)</f>
        <v>0</v>
      </c>
      <c r="X1533" s="1090">
        <f t="shared" ref="X1533:X1538" si="942">G1533-W1533</f>
        <v>0</v>
      </c>
      <c r="Y1533" s="785"/>
      <c r="Z1533" s="785"/>
      <c r="AA1533" s="797"/>
      <c r="AB1533" s="797"/>
      <c r="AC1533" s="551"/>
      <c r="AD1533" s="551"/>
      <c r="AE1533" s="551"/>
      <c r="AF1533" s="551"/>
      <c r="AG1533" s="551"/>
      <c r="AH1533" s="551"/>
      <c r="AI1533" s="704"/>
      <c r="AJ1533" s="704"/>
      <c r="AK1533" s="704"/>
      <c r="AL1533" s="704"/>
      <c r="AM1533" s="704"/>
      <c r="AN1533" s="704"/>
      <c r="AO1533" s="704"/>
      <c r="AP1533" s="704"/>
      <c r="AQ1533" s="704"/>
      <c r="AR1533" s="704"/>
      <c r="AS1533" s="704"/>
    </row>
    <row r="1534" spans="1:45" s="265" customFormat="1" ht="30" customHeight="1" x14ac:dyDescent="0.25">
      <c r="A1534" s="2121"/>
      <c r="B1534" s="2082"/>
      <c r="C1534" s="574" t="s">
        <v>1793</v>
      </c>
      <c r="D1534" s="881" t="s">
        <v>10</v>
      </c>
      <c r="E1534" s="882">
        <v>46218</v>
      </c>
      <c r="F1534" s="71">
        <f>$L$7-E1534</f>
        <v>68</v>
      </c>
      <c r="G1534" s="64">
        <v>75</v>
      </c>
      <c r="H1534" s="64"/>
      <c r="I1534" s="64"/>
      <c r="J1534" s="1367"/>
      <c r="K1534" s="64">
        <f>IFERROR(SUMIF(INTAKE!$A:$A,$T1534,INTAKE!$P:$P),0)</f>
        <v>0</v>
      </c>
      <c r="L1534" s="1669">
        <f>+G1534+H1534+I1534-J1534-K1534</f>
        <v>75</v>
      </c>
      <c r="M1534" s="102"/>
      <c r="N1534" s="103"/>
      <c r="O1534" s="102"/>
      <c r="P1534" s="739"/>
      <c r="Q1534" s="795"/>
      <c r="R1534" s="785">
        <f>IFERROR(VLOOKUP($Q1534,'391'!$S:$Z,8,0),"")</f>
        <v>0</v>
      </c>
      <c r="S1534" s="796"/>
      <c r="T1534" s="797" t="str">
        <f t="shared" ref="T1534:T1537" si="943">$Q$1538&amp;C1534&amp;E1534</f>
        <v>Kemzin 2000 Dry (Singapore)V5.246218</v>
      </c>
      <c r="U1534" s="797"/>
      <c r="V1534" s="797"/>
      <c r="W1534" s="785">
        <f>IFERROR(VLOOKUP($Q1534,'391'!$S:$AG,15,0),0)</f>
        <v>0</v>
      </c>
      <c r="X1534" s="1090">
        <f t="shared" ref="X1534:X1535" si="944">G1534-W1534</f>
        <v>75</v>
      </c>
      <c r="Y1534" s="785"/>
      <c r="Z1534" s="785"/>
      <c r="AA1534" s="797"/>
      <c r="AB1534" s="797"/>
      <c r="AC1534" s="551"/>
      <c r="AD1534" s="551"/>
      <c r="AE1534" s="551"/>
      <c r="AF1534" s="551"/>
      <c r="AG1534" s="551"/>
      <c r="AH1534" s="551"/>
      <c r="AI1534" s="704"/>
      <c r="AJ1534" s="704"/>
      <c r="AK1534" s="704"/>
      <c r="AL1534" s="704"/>
      <c r="AM1534" s="704"/>
      <c r="AN1534" s="704"/>
      <c r="AO1534" s="704"/>
      <c r="AP1534" s="704"/>
      <c r="AQ1534" s="704"/>
      <c r="AR1534" s="704"/>
      <c r="AS1534" s="704"/>
    </row>
    <row r="1535" spans="1:45" s="265" customFormat="1" ht="30" customHeight="1" x14ac:dyDescent="0.25">
      <c r="A1535" s="2121"/>
      <c r="B1535" s="2082"/>
      <c r="C1535" s="574" t="s">
        <v>1793</v>
      </c>
      <c r="D1535" s="881" t="s">
        <v>10</v>
      </c>
      <c r="E1535" s="882">
        <v>46245</v>
      </c>
      <c r="F1535" s="71">
        <f>$L$7-E1535</f>
        <v>41</v>
      </c>
      <c r="G1535" s="64">
        <v>75</v>
      </c>
      <c r="H1535" s="64"/>
      <c r="I1535" s="64"/>
      <c r="J1535" s="1367"/>
      <c r="K1535" s="64">
        <f>IFERROR(SUMIF(INTAKE!$A:$A,$T1535,INTAKE!$P:$P),0)</f>
        <v>0</v>
      </c>
      <c r="L1535" s="1669">
        <f>+G1535+H1535+I1535-J1535-K1535</f>
        <v>75</v>
      </c>
      <c r="M1535" s="102"/>
      <c r="N1535" s="103"/>
      <c r="O1535" s="102"/>
      <c r="P1535" s="739"/>
      <c r="Q1535" s="795"/>
      <c r="R1535" s="785">
        <f>IFERROR(VLOOKUP($Q1535,'391'!$S:$Z,8,0),"")</f>
        <v>0</v>
      </c>
      <c r="S1535" s="796"/>
      <c r="T1535" s="797" t="str">
        <f t="shared" si="943"/>
        <v>Kemzin 2000 Dry (Singapore)V5.246245</v>
      </c>
      <c r="U1535" s="797"/>
      <c r="V1535" s="797"/>
      <c r="W1535" s="785">
        <f>IFERROR(VLOOKUP($Q1535,'391'!$S:$AG,15,0),0)</f>
        <v>0</v>
      </c>
      <c r="X1535" s="1090">
        <f t="shared" si="944"/>
        <v>75</v>
      </c>
      <c r="Y1535" s="785"/>
      <c r="Z1535" s="785"/>
      <c r="AA1535" s="797"/>
      <c r="AB1535" s="797"/>
      <c r="AC1535" s="551"/>
      <c r="AD1535" s="551"/>
      <c r="AE1535" s="551"/>
      <c r="AF1535" s="551"/>
      <c r="AG1535" s="551"/>
      <c r="AH1535" s="551"/>
      <c r="AI1535" s="704"/>
      <c r="AJ1535" s="704"/>
      <c r="AK1535" s="704"/>
      <c r="AL1535" s="704"/>
      <c r="AM1535" s="704"/>
      <c r="AN1535" s="704"/>
      <c r="AO1535" s="704"/>
      <c r="AP1535" s="704"/>
      <c r="AQ1535" s="704"/>
      <c r="AR1535" s="704"/>
      <c r="AS1535" s="704"/>
    </row>
    <row r="1536" spans="1:45" s="265" customFormat="1" ht="30" hidden="1" customHeight="1" x14ac:dyDescent="0.25">
      <c r="A1536" s="2084"/>
      <c r="B1536" s="2076"/>
      <c r="C1536" s="574"/>
      <c r="D1536" s="881" t="s">
        <v>10</v>
      </c>
      <c r="E1536" s="882">
        <v>46255</v>
      </c>
      <c r="F1536" s="71">
        <f>$L$7-E1536</f>
        <v>31</v>
      </c>
      <c r="G1536" s="64">
        <v>0</v>
      </c>
      <c r="H1536" s="64"/>
      <c r="I1536" s="64"/>
      <c r="J1536" s="1367"/>
      <c r="K1536" s="64">
        <f>IFERROR(SUMIF(INTAKE!$A:$A,$T1536,INTAKE!$P:$P),0)</f>
        <v>0</v>
      </c>
      <c r="L1536" s="1669">
        <f>+G1536+H1536+I1536-J1536-K1536</f>
        <v>0</v>
      </c>
      <c r="M1536" s="102"/>
      <c r="N1536" s="103"/>
      <c r="O1536" s="102"/>
      <c r="P1536" s="739"/>
      <c r="Q1536" s="795"/>
      <c r="R1536" s="785">
        <f>IFERROR(VLOOKUP($Q1536,'391'!$S:$Z,8,0),"")</f>
        <v>0</v>
      </c>
      <c r="S1536" s="796"/>
      <c r="T1536" s="797" t="str">
        <f t="shared" si="943"/>
        <v>Kemzin 2000 Dry (Singapore)46255</v>
      </c>
      <c r="U1536" s="797"/>
      <c r="V1536" s="797"/>
      <c r="W1536" s="785">
        <f>IFERROR(VLOOKUP($Q1536,'391'!$S:$AG,15,0),0)</f>
        <v>0</v>
      </c>
      <c r="X1536" s="1090">
        <f t="shared" si="942"/>
        <v>0</v>
      </c>
      <c r="Y1536" s="785"/>
      <c r="Z1536" s="785"/>
      <c r="AA1536" s="797"/>
      <c r="AB1536" s="797"/>
      <c r="AC1536" s="551"/>
      <c r="AD1536" s="551"/>
      <c r="AE1536" s="551"/>
      <c r="AF1536" s="551"/>
      <c r="AG1536" s="551"/>
      <c r="AH1536" s="551"/>
      <c r="AI1536" s="704"/>
      <c r="AJ1536" s="704"/>
      <c r="AK1536" s="704"/>
      <c r="AL1536" s="704"/>
      <c r="AM1536" s="704"/>
      <c r="AN1536" s="704"/>
      <c r="AO1536" s="704"/>
      <c r="AP1536" s="704"/>
      <c r="AQ1536" s="704"/>
      <c r="AR1536" s="704"/>
      <c r="AS1536" s="704"/>
    </row>
    <row r="1537" spans="1:45" s="265" customFormat="1" ht="30" customHeight="1" x14ac:dyDescent="0.25">
      <c r="A1537" s="2085"/>
      <c r="B1537" s="2068"/>
      <c r="C1537" s="138" t="s">
        <v>76</v>
      </c>
      <c r="D1537" s="884" t="s">
        <v>10</v>
      </c>
      <c r="E1537" s="885">
        <v>46202</v>
      </c>
      <c r="F1537" s="293">
        <f>$L$7-E1537</f>
        <v>84</v>
      </c>
      <c r="G1537" s="1214">
        <v>11.510000000000002</v>
      </c>
      <c r="H1537" s="37"/>
      <c r="I1537" s="37">
        <f>+K1536+K1533</f>
        <v>0</v>
      </c>
      <c r="J1537" s="1385">
        <f>usage!I214</f>
        <v>2.4</v>
      </c>
      <c r="K1537" s="64">
        <f>IFERROR(SUMIF(INTAKE!$A:$A,$T1537,INTAKE!$P:$P),0)</f>
        <v>0</v>
      </c>
      <c r="L1537" s="1533">
        <f>+G1537+H1537+I1537-J1537-K1537</f>
        <v>9.1100000000000012</v>
      </c>
      <c r="M1537" s="98"/>
      <c r="N1537" s="1473"/>
      <c r="O1537" s="98"/>
      <c r="P1537" s="759"/>
      <c r="Q1537" s="795"/>
      <c r="R1537" s="785">
        <f>IFERROR(VLOOKUP($Q1537,'391'!$S:$Z,8,0),"")</f>
        <v>0</v>
      </c>
      <c r="S1537" s="796"/>
      <c r="T1537" s="797" t="str">
        <f t="shared" si="943"/>
        <v>Kemzin 2000 Dry (Singapore)Feedmil46202</v>
      </c>
      <c r="U1537" s="797"/>
      <c r="V1537" s="797"/>
      <c r="W1537" s="785">
        <f>IFERROR(VLOOKUP($Q1537,'391'!$S:$AG,15,0),0)</f>
        <v>0</v>
      </c>
      <c r="X1537" s="1090">
        <f t="shared" si="942"/>
        <v>11.510000000000002</v>
      </c>
      <c r="Y1537" s="785"/>
      <c r="Z1537" s="785"/>
      <c r="AA1537" s="797"/>
      <c r="AB1537" s="797"/>
      <c r="AC1537" s="551"/>
      <c r="AD1537" s="551"/>
      <c r="AE1537" s="551"/>
      <c r="AF1537" s="551"/>
      <c r="AG1537" s="551"/>
      <c r="AH1537" s="551"/>
      <c r="AI1537" s="704"/>
      <c r="AJ1537" s="704"/>
      <c r="AK1537" s="704"/>
      <c r="AL1537" s="704"/>
      <c r="AM1537" s="704"/>
      <c r="AN1537" s="704"/>
      <c r="AO1537" s="704"/>
      <c r="AP1537" s="704"/>
      <c r="AQ1537" s="704"/>
      <c r="AR1537" s="704"/>
      <c r="AS1537" s="704"/>
    </row>
    <row r="1538" spans="1:45" s="265" customFormat="1" ht="30" customHeight="1" x14ac:dyDescent="0.25">
      <c r="A1538" s="184"/>
      <c r="B1538" s="184" t="s">
        <v>1731</v>
      </c>
      <c r="C1538" s="575"/>
      <c r="D1538" s="900"/>
      <c r="E1538" s="901"/>
      <c r="F1538" s="902"/>
      <c r="G1538" s="1297">
        <v>161.51</v>
      </c>
      <c r="H1538" s="1297">
        <f>+SUM(H1533:H1537)</f>
        <v>0</v>
      </c>
      <c r="I1538" s="1297">
        <f t="shared" ref="I1538:L1538" si="945">+SUM(I1533:I1537)</f>
        <v>0</v>
      </c>
      <c r="J1538" s="1297">
        <f t="shared" si="945"/>
        <v>2.4</v>
      </c>
      <c r="K1538" s="1297">
        <f t="shared" si="945"/>
        <v>0</v>
      </c>
      <c r="L1538" s="1297">
        <f t="shared" si="945"/>
        <v>159.11000000000001</v>
      </c>
      <c r="M1538" s="92">
        <f>IFERROR(R1538/$S$2,"")</f>
        <v>2.9816666666666669</v>
      </c>
      <c r="N1538" s="99">
        <f>IFERROR(L1538/M1538,0)</f>
        <v>53.362772498602574</v>
      </c>
      <c r="O1538" s="92">
        <f>IFERROR(SUMIF(ETM!$A:$A,$Q1538,ETM!$E:$E),"")</f>
        <v>2</v>
      </c>
      <c r="P1538" s="741">
        <f>IFERROR(L1538/O1538,0)</f>
        <v>79.555000000000007</v>
      </c>
      <c r="Q1538" s="1163" t="s">
        <v>1730</v>
      </c>
      <c r="R1538" s="785">
        <f>IFERROR(VLOOKUP($Q1538,'391'!$S:$Z,8,0),"")</f>
        <v>17.89</v>
      </c>
      <c r="S1538" s="796"/>
      <c r="T1538" s="797"/>
      <c r="U1538" s="797"/>
      <c r="V1538" s="797"/>
      <c r="W1538" s="785">
        <f>IFERROR(VLOOKUP($Q1538,'391'!$S:$AG,15,0),0)</f>
        <v>161.51</v>
      </c>
      <c r="X1538" s="1090">
        <f t="shared" si="942"/>
        <v>0</v>
      </c>
      <c r="Y1538" s="785"/>
      <c r="Z1538" s="785"/>
      <c r="AA1538" s="797"/>
      <c r="AB1538" s="797"/>
      <c r="AC1538" s="683"/>
      <c r="AD1538" s="551"/>
      <c r="AE1538" s="551"/>
      <c r="AF1538" s="551"/>
      <c r="AG1538" s="551"/>
      <c r="AH1538" s="551"/>
      <c r="AI1538" s="704"/>
      <c r="AJ1538" s="704"/>
      <c r="AK1538" s="704"/>
      <c r="AL1538" s="704"/>
      <c r="AM1538" s="704"/>
      <c r="AN1538" s="704"/>
      <c r="AO1538" s="704"/>
      <c r="AP1538" s="704"/>
      <c r="AQ1538" s="704"/>
      <c r="AR1538" s="704"/>
      <c r="AS1538" s="704"/>
    </row>
    <row r="1539" spans="1:45" s="265" customFormat="1" ht="30" customHeight="1" x14ac:dyDescent="0.25">
      <c r="A1539" s="2083">
        <f>IF(L1542=0,"",MAX($A$16:A1538)+1)</f>
        <v>105</v>
      </c>
      <c r="B1539" s="2075" t="s">
        <v>1736</v>
      </c>
      <c r="C1539" s="574" t="s">
        <v>1687</v>
      </c>
      <c r="D1539" s="881" t="s">
        <v>10</v>
      </c>
      <c r="E1539" s="882">
        <v>46210</v>
      </c>
      <c r="F1539" s="71">
        <f>$L$7-E1539</f>
        <v>76</v>
      </c>
      <c r="G1539" s="64">
        <v>1850</v>
      </c>
      <c r="H1539" s="64"/>
      <c r="I1539" s="64"/>
      <c r="J1539" s="1367"/>
      <c r="K1539" s="64">
        <f>IFERROR(SUMIF(INTAKE!$A:$A,$T1539,INTAKE!$P:$P),0)</f>
        <v>0</v>
      </c>
      <c r="L1539" s="1669">
        <f>+G1539+H1539+I1539-J1539-K1539</f>
        <v>1850</v>
      </c>
      <c r="M1539" s="102"/>
      <c r="N1539" s="103"/>
      <c r="O1539" s="102"/>
      <c r="P1539" s="739"/>
      <c r="Q1539" s="795"/>
      <c r="R1539" s="785">
        <f>IFERROR(VLOOKUP($Q1539,'391'!$S:$Z,8,0),"")</f>
        <v>0</v>
      </c>
      <c r="S1539" s="796"/>
      <c r="T1539" s="797" t="str">
        <f>$Q$1542&amp;C1539&amp;E1539</f>
        <v>Diamond V Original XPC Ultra (USA)Y2.146210</v>
      </c>
      <c r="U1539" s="797"/>
      <c r="V1539" s="797"/>
      <c r="W1539" s="785">
        <f>IFERROR(VLOOKUP($Q1539,'391'!$S:$AG,15,0),0)</f>
        <v>0</v>
      </c>
      <c r="X1539" s="1090">
        <f t="shared" ref="X1539:X1542" si="946">G1539-W1539</f>
        <v>1850</v>
      </c>
      <c r="Y1539" s="785"/>
      <c r="Z1539" s="785"/>
      <c r="AA1539" s="797"/>
      <c r="AB1539" s="797"/>
      <c r="AC1539" s="551"/>
      <c r="AD1539" s="551"/>
      <c r="AE1539" s="551"/>
      <c r="AF1539" s="551"/>
      <c r="AG1539" s="551"/>
      <c r="AH1539" s="551"/>
      <c r="AI1539" s="704"/>
      <c r="AJ1539" s="704"/>
      <c r="AK1539" s="704"/>
      <c r="AL1539" s="704"/>
      <c r="AM1539" s="704"/>
      <c r="AN1539" s="704"/>
      <c r="AO1539" s="704"/>
      <c r="AP1539" s="704"/>
      <c r="AQ1539" s="704"/>
      <c r="AR1539" s="704"/>
      <c r="AS1539" s="704"/>
    </row>
    <row r="1540" spans="1:45" s="265" customFormat="1" ht="30" hidden="1" customHeight="1" x14ac:dyDescent="0.25">
      <c r="A1540" s="2084"/>
      <c r="B1540" s="2076"/>
      <c r="C1540" s="574"/>
      <c r="D1540" s="881" t="s">
        <v>10</v>
      </c>
      <c r="E1540" s="882">
        <v>46210</v>
      </c>
      <c r="F1540" s="71">
        <f>$L$7-E1540</f>
        <v>76</v>
      </c>
      <c r="G1540" s="64">
        <v>0</v>
      </c>
      <c r="H1540" s="64"/>
      <c r="I1540" s="64"/>
      <c r="J1540" s="1367"/>
      <c r="K1540" s="64">
        <f>IFERROR(SUMIF(INTAKE!$A:$A,$T1540,INTAKE!$P:$P),0)</f>
        <v>0</v>
      </c>
      <c r="L1540" s="1669">
        <f>+G1540+H1540+I1540-J1540-K1540</f>
        <v>0</v>
      </c>
      <c r="M1540" s="102"/>
      <c r="N1540" s="103"/>
      <c r="O1540" s="102"/>
      <c r="P1540" s="739"/>
      <c r="Q1540" s="795"/>
      <c r="R1540" s="785">
        <f>IFERROR(VLOOKUP($Q1540,'391'!$S:$Z,8,0),"")</f>
        <v>0</v>
      </c>
      <c r="S1540" s="796"/>
      <c r="T1540" s="797" t="str">
        <f t="shared" ref="T1540:T1541" si="947">$Q$1542&amp;C1540&amp;E1540</f>
        <v>Diamond V Original XPC Ultra (USA)46210</v>
      </c>
      <c r="U1540" s="797"/>
      <c r="V1540" s="797"/>
      <c r="W1540" s="785">
        <f>IFERROR(VLOOKUP($Q1540,'391'!$S:$AG,15,0),0)</f>
        <v>0</v>
      </c>
      <c r="X1540" s="1090">
        <f t="shared" si="946"/>
        <v>0</v>
      </c>
      <c r="Y1540" s="785"/>
      <c r="Z1540" s="785"/>
      <c r="AA1540" s="797"/>
      <c r="AB1540" s="797"/>
      <c r="AC1540" s="551"/>
      <c r="AD1540" s="551"/>
      <c r="AE1540" s="551"/>
      <c r="AF1540" s="551"/>
      <c r="AG1540" s="551"/>
      <c r="AH1540" s="551"/>
      <c r="AI1540" s="704"/>
      <c r="AJ1540" s="704"/>
      <c r="AK1540" s="704"/>
      <c r="AL1540" s="704"/>
      <c r="AM1540" s="704"/>
      <c r="AN1540" s="704"/>
      <c r="AO1540" s="704"/>
      <c r="AP1540" s="704"/>
      <c r="AQ1540" s="704"/>
      <c r="AR1540" s="704"/>
      <c r="AS1540" s="704"/>
    </row>
    <row r="1541" spans="1:45" s="265" customFormat="1" ht="30" customHeight="1" x14ac:dyDescent="0.25">
      <c r="A1541" s="2085"/>
      <c r="B1541" s="2068"/>
      <c r="C1541" s="138" t="s">
        <v>76</v>
      </c>
      <c r="D1541" s="884" t="s">
        <v>10</v>
      </c>
      <c r="E1541" s="885">
        <v>46210</v>
      </c>
      <c r="F1541" s="293">
        <f>$L$7-E1541</f>
        <v>76</v>
      </c>
      <c r="G1541" s="1214">
        <v>5.6199999999999974</v>
      </c>
      <c r="H1541" s="37"/>
      <c r="I1541" s="37">
        <f>+K1540+K1539</f>
        <v>0</v>
      </c>
      <c r="J1541" s="1385">
        <f>usage!I218</f>
        <v>0</v>
      </c>
      <c r="K1541" s="64">
        <f>IFERROR(SUMIF(INTAKE!$A:$A,$T1541,INTAKE!$P:$P),0)</f>
        <v>0</v>
      </c>
      <c r="L1541" s="1533">
        <f>+G1541+H1541+I1541-J1541-K1541</f>
        <v>5.6199999999999974</v>
      </c>
      <c r="M1541" s="98"/>
      <c r="N1541" s="1473"/>
      <c r="O1541" s="98"/>
      <c r="P1541" s="759"/>
      <c r="Q1541" s="795"/>
      <c r="R1541" s="785">
        <f>IFERROR(VLOOKUP($Q1541,'391'!$S:$Z,8,0),"")</f>
        <v>0</v>
      </c>
      <c r="S1541" s="796"/>
      <c r="T1541" s="797" t="str">
        <f t="shared" si="947"/>
        <v>Diamond V Original XPC Ultra (USA)Feedmil46210</v>
      </c>
      <c r="U1541" s="797"/>
      <c r="V1541" s="797"/>
      <c r="W1541" s="785">
        <f>IFERROR(VLOOKUP($Q1541,'391'!$S:$AG,15,0),0)</f>
        <v>0</v>
      </c>
      <c r="X1541" s="1090">
        <f t="shared" si="946"/>
        <v>5.6199999999999974</v>
      </c>
      <c r="Y1541" s="785"/>
      <c r="Z1541" s="785"/>
      <c r="AA1541" s="797"/>
      <c r="AB1541" s="797"/>
      <c r="AC1541" s="551"/>
      <c r="AD1541" s="551"/>
      <c r="AE1541" s="551"/>
      <c r="AF1541" s="551"/>
      <c r="AG1541" s="551"/>
      <c r="AH1541" s="551"/>
      <c r="AI1541" s="704"/>
      <c r="AJ1541" s="704"/>
      <c r="AK1541" s="704"/>
      <c r="AL1541" s="704"/>
      <c r="AM1541" s="704"/>
      <c r="AN1541" s="704"/>
      <c r="AO1541" s="704"/>
      <c r="AP1541" s="704"/>
      <c r="AQ1541" s="704"/>
      <c r="AR1541" s="704"/>
      <c r="AS1541" s="704"/>
    </row>
    <row r="1542" spans="1:45" s="265" customFormat="1" ht="30" customHeight="1" x14ac:dyDescent="0.25">
      <c r="A1542" s="184"/>
      <c r="B1542" s="184" t="s">
        <v>1737</v>
      </c>
      <c r="C1542" s="575"/>
      <c r="D1542" s="900"/>
      <c r="E1542" s="901"/>
      <c r="F1542" s="902"/>
      <c r="G1542" s="1297">
        <v>1855.62</v>
      </c>
      <c r="H1542" s="1297">
        <f>+SUM(H1539:H1541)</f>
        <v>0</v>
      </c>
      <c r="I1542" s="1297">
        <f t="shared" ref="I1542:L1542" si="948">+SUM(I1539:I1541)</f>
        <v>0</v>
      </c>
      <c r="J1542" s="1297">
        <f t="shared" si="948"/>
        <v>0</v>
      </c>
      <c r="K1542" s="1297">
        <f t="shared" si="948"/>
        <v>0</v>
      </c>
      <c r="L1542" s="1297">
        <f t="shared" si="948"/>
        <v>1855.62</v>
      </c>
      <c r="M1542" s="92">
        <f>IFERROR(R1542/$S$2,"")</f>
        <v>21.321666666666669</v>
      </c>
      <c r="N1542" s="99">
        <f>IFERROR(L1542/M1542,0)</f>
        <v>87.029781911983108</v>
      </c>
      <c r="O1542" s="92">
        <f>IFERROR(SUMIF(ETM!$A:$A,$Q1542,ETM!$E:$E),"")</f>
        <v>13.333333333333334</v>
      </c>
      <c r="P1542" s="741">
        <f>IFERROR(L1542/O1542,0)</f>
        <v>139.17149999999998</v>
      </c>
      <c r="Q1542" s="666" t="s">
        <v>1736</v>
      </c>
      <c r="R1542" s="785">
        <f>IFERROR(VLOOKUP($Q1542,'391'!$S:$Z,8,0),"")</f>
        <v>127.93</v>
      </c>
      <c r="S1542" s="796"/>
      <c r="T1542" s="797"/>
      <c r="U1542" s="797"/>
      <c r="V1542" s="797"/>
      <c r="W1542" s="785">
        <f>IFERROR(VLOOKUP($Q1542,'391'!$S:$AG,15,0),0)</f>
        <v>1855.6200000000001</v>
      </c>
      <c r="X1542" s="1090">
        <f t="shared" si="946"/>
        <v>0</v>
      </c>
      <c r="Y1542" s="785"/>
      <c r="Z1542" s="785"/>
      <c r="AA1542" s="797"/>
      <c r="AB1542" s="797"/>
      <c r="AC1542" s="683"/>
      <c r="AD1542" s="551"/>
      <c r="AE1542" s="551"/>
      <c r="AF1542" s="551"/>
      <c r="AG1542" s="551"/>
      <c r="AH1542" s="551"/>
      <c r="AI1542" s="704"/>
      <c r="AJ1542" s="704"/>
      <c r="AK1542" s="704"/>
      <c r="AL1542" s="704"/>
      <c r="AM1542" s="704"/>
      <c r="AN1542" s="704"/>
      <c r="AO1542" s="704"/>
      <c r="AP1542" s="704"/>
      <c r="AQ1542" s="704"/>
      <c r="AR1542" s="704"/>
      <c r="AS1542" s="704"/>
    </row>
    <row r="1543" spans="1:45" s="265" customFormat="1" ht="30" customHeight="1" x14ac:dyDescent="0.25">
      <c r="A1543" s="2083">
        <f>IF(L1547=0,"",MAX($A$16:A1542)+1)</f>
        <v>106</v>
      </c>
      <c r="B1543" s="2075" t="s">
        <v>1739</v>
      </c>
      <c r="C1543" s="574" t="s">
        <v>284</v>
      </c>
      <c r="D1543" s="881" t="s">
        <v>10</v>
      </c>
      <c r="E1543" s="882">
        <v>46254</v>
      </c>
      <c r="F1543" s="71">
        <f>$L$7-E1543</f>
        <v>32</v>
      </c>
      <c r="G1543" s="64">
        <v>10000</v>
      </c>
      <c r="H1543" s="64"/>
      <c r="I1543" s="64"/>
      <c r="J1543" s="1367"/>
      <c r="K1543" s="64">
        <f>IFERROR(SUMIF(INTAKE!$A:$A,$T1543,INTAKE!$P:$P),0)</f>
        <v>0</v>
      </c>
      <c r="L1543" s="1669">
        <f>+G1543+H1543+I1543-J1543-K1543</f>
        <v>10000</v>
      </c>
      <c r="M1543" s="102"/>
      <c r="N1543" s="103"/>
      <c r="O1543" s="102"/>
      <c r="P1543" s="739"/>
      <c r="Q1543" s="795"/>
      <c r="R1543" s="785">
        <f>IFERROR(VLOOKUP($Q1543,'391'!$S:$Z,8,0),"")</f>
        <v>0</v>
      </c>
      <c r="S1543" s="796"/>
      <c r="T1543" s="797" t="str">
        <f>$Q$1547&amp;C1543&amp;E1543</f>
        <v>Nutracor (Malaysia)A22.446254</v>
      </c>
      <c r="U1543" s="797"/>
      <c r="V1543" s="797"/>
      <c r="W1543" s="785">
        <f>IFERROR(VLOOKUP($Q1543,'391'!$S:$AG,15,0),0)</f>
        <v>0</v>
      </c>
      <c r="X1543" s="1090">
        <f t="shared" ref="X1543:X1547" si="949">G1543-W1543</f>
        <v>10000</v>
      </c>
      <c r="Y1543" s="785"/>
      <c r="Z1543" s="785"/>
      <c r="AA1543" s="797"/>
      <c r="AB1543" s="797"/>
      <c r="AC1543" s="551"/>
      <c r="AD1543" s="551"/>
      <c r="AE1543" s="551"/>
      <c r="AF1543" s="551"/>
      <c r="AG1543" s="551"/>
      <c r="AH1543" s="551"/>
      <c r="AI1543" s="704"/>
      <c r="AJ1543" s="704"/>
      <c r="AK1543" s="704"/>
      <c r="AL1543" s="704"/>
      <c r="AM1543" s="704"/>
      <c r="AN1543" s="704"/>
      <c r="AO1543" s="704"/>
      <c r="AP1543" s="704"/>
      <c r="AQ1543" s="704"/>
      <c r="AR1543" s="704"/>
      <c r="AS1543" s="704"/>
    </row>
    <row r="1544" spans="1:45" s="265" customFormat="1" ht="30" customHeight="1" x14ac:dyDescent="0.25">
      <c r="A1544" s="2121"/>
      <c r="B1544" s="2082"/>
      <c r="C1544" s="574" t="s">
        <v>1895</v>
      </c>
      <c r="D1544" s="881" t="s">
        <v>10</v>
      </c>
      <c r="E1544" s="882">
        <v>46280</v>
      </c>
      <c r="F1544" s="71">
        <f>$L$7-E1544</f>
        <v>6</v>
      </c>
      <c r="G1544" s="64">
        <v>2000</v>
      </c>
      <c r="H1544" s="64"/>
      <c r="I1544" s="64"/>
      <c r="J1544" s="1367"/>
      <c r="K1544" s="64">
        <f>IFERROR(SUMIF(INTAKE!$A:$A,$T1544,INTAKE!$P:$P),0)</f>
        <v>0</v>
      </c>
      <c r="L1544" s="1669">
        <f>+G1544+H1544+I1544-J1544-K1544</f>
        <v>2000</v>
      </c>
      <c r="M1544" s="102"/>
      <c r="N1544" s="103"/>
      <c r="O1544" s="102"/>
      <c r="P1544" s="739"/>
      <c r="Q1544" s="795"/>
      <c r="R1544" s="785">
        <f>IFERROR(VLOOKUP($Q1544,'391'!$S:$Z,8,0),"")</f>
        <v>0</v>
      </c>
      <c r="S1544" s="796"/>
      <c r="T1544" s="797" t="str">
        <f t="shared" ref="T1544" si="950">$Q$1547&amp;C1544&amp;E1544</f>
        <v>Nutracor (Malaysia)V4.246280</v>
      </c>
      <c r="U1544" s="797"/>
      <c r="V1544" s="797"/>
      <c r="W1544" s="785">
        <f>IFERROR(VLOOKUP($Q1544,'391'!$S:$AG,15,0),0)</f>
        <v>0</v>
      </c>
      <c r="X1544" s="1090">
        <f t="shared" ref="X1544" si="951">G1544-W1544</f>
        <v>2000</v>
      </c>
      <c r="Y1544" s="785"/>
      <c r="Z1544" s="785"/>
      <c r="AA1544" s="797"/>
      <c r="AB1544" s="797"/>
      <c r="AC1544" s="551"/>
      <c r="AD1544" s="551"/>
      <c r="AE1544" s="551"/>
      <c r="AF1544" s="551"/>
      <c r="AG1544" s="551"/>
      <c r="AH1544" s="551"/>
      <c r="AI1544" s="704"/>
      <c r="AJ1544" s="704"/>
      <c r="AK1544" s="704"/>
      <c r="AL1544" s="704"/>
      <c r="AM1544" s="704"/>
      <c r="AN1544" s="704"/>
      <c r="AO1544" s="704"/>
      <c r="AP1544" s="704"/>
      <c r="AQ1544" s="704"/>
      <c r="AR1544" s="704"/>
      <c r="AS1544" s="704"/>
    </row>
    <row r="1545" spans="1:45" s="265" customFormat="1" ht="30" customHeight="1" x14ac:dyDescent="0.25">
      <c r="A1545" s="2084"/>
      <c r="B1545" s="2076"/>
      <c r="C1545" s="574" t="s">
        <v>2186</v>
      </c>
      <c r="D1545" s="881" t="s">
        <v>10</v>
      </c>
      <c r="E1545" s="882">
        <v>46280</v>
      </c>
      <c r="F1545" s="71">
        <f>$L$7-E1545</f>
        <v>6</v>
      </c>
      <c r="G1545" s="64">
        <v>15000</v>
      </c>
      <c r="H1545" s="64"/>
      <c r="I1545" s="64"/>
      <c r="J1545" s="1367"/>
      <c r="K1545" s="64">
        <f>IFERROR(SUMIF(INTAKE!$A:$A,$T1545,INTAKE!$P:$P),0)</f>
        <v>0</v>
      </c>
      <c r="L1545" s="1669">
        <f>+G1545+H1545+I1545-J1545-K1545</f>
        <v>15000</v>
      </c>
      <c r="M1545" s="102"/>
      <c r="N1545" s="103"/>
      <c r="O1545" s="102"/>
      <c r="P1545" s="739"/>
      <c r="Q1545" s="795"/>
      <c r="R1545" s="785">
        <f>IFERROR(VLOOKUP($Q1545,'391'!$S:$Z,8,0),"")</f>
        <v>0</v>
      </c>
      <c r="S1545" s="796"/>
      <c r="T1545" s="797" t="str">
        <f t="shared" ref="T1545:T1546" si="952">$Q$1547&amp;C1545&amp;E1545</f>
        <v>Nutracor (Malaysia)A22.246280</v>
      </c>
      <c r="U1545" s="797"/>
      <c r="V1545" s="797"/>
      <c r="W1545" s="785">
        <f>IFERROR(VLOOKUP($Q1545,'391'!$S:$AG,15,0),0)</f>
        <v>0</v>
      </c>
      <c r="X1545" s="1090">
        <f t="shared" si="949"/>
        <v>15000</v>
      </c>
      <c r="Y1545" s="785"/>
      <c r="Z1545" s="785"/>
      <c r="AA1545" s="797"/>
      <c r="AB1545" s="797"/>
      <c r="AC1545" s="551"/>
      <c r="AD1545" s="551"/>
      <c r="AE1545" s="551"/>
      <c r="AF1545" s="551"/>
      <c r="AG1545" s="551"/>
      <c r="AH1545" s="551"/>
      <c r="AI1545" s="704"/>
      <c r="AJ1545" s="704"/>
      <c r="AK1545" s="704"/>
      <c r="AL1545" s="704"/>
      <c r="AM1545" s="704"/>
      <c r="AN1545" s="704"/>
      <c r="AO1545" s="704"/>
      <c r="AP1545" s="704"/>
      <c r="AQ1545" s="704"/>
      <c r="AR1545" s="704"/>
      <c r="AS1545" s="704"/>
    </row>
    <row r="1546" spans="1:45" s="265" customFormat="1" ht="30" customHeight="1" x14ac:dyDescent="0.25">
      <c r="A1546" s="2085"/>
      <c r="B1546" s="2068"/>
      <c r="C1546" s="138" t="s">
        <v>76</v>
      </c>
      <c r="D1546" s="884" t="s">
        <v>10</v>
      </c>
      <c r="E1546" s="885">
        <v>46254</v>
      </c>
      <c r="F1546" s="293">
        <f>$L$7-E1546</f>
        <v>32</v>
      </c>
      <c r="G1546" s="1214">
        <v>2477.6500000000005</v>
      </c>
      <c r="H1546" s="37"/>
      <c r="I1546" s="37">
        <f>SUM(K1543:K1545)</f>
        <v>0</v>
      </c>
      <c r="J1546" s="1385">
        <f>usage!I215</f>
        <v>707.64</v>
      </c>
      <c r="K1546" s="64">
        <f>IFERROR(SUMIF(INTAKE!$A:$A,$T1546,INTAKE!$P:$P),0)</f>
        <v>0</v>
      </c>
      <c r="L1546" s="1533">
        <f>+G1546+H1546+I1546-J1546-K1546</f>
        <v>1770.0100000000007</v>
      </c>
      <c r="M1546" s="98"/>
      <c r="N1546" s="1473"/>
      <c r="O1546" s="98"/>
      <c r="P1546" s="759"/>
      <c r="Q1546" s="795"/>
      <c r="R1546" s="785">
        <f>IFERROR(VLOOKUP($Q1546,'391'!$S:$Z,8,0),"")</f>
        <v>0</v>
      </c>
      <c r="S1546" s="796"/>
      <c r="T1546" s="797" t="str">
        <f t="shared" si="952"/>
        <v>Nutracor (Malaysia)Feedmil46254</v>
      </c>
      <c r="U1546" s="797"/>
      <c r="V1546" s="797"/>
      <c r="W1546" s="785">
        <f>IFERROR(VLOOKUP($Q1546,'391'!$S:$AG,15,0),0)</f>
        <v>0</v>
      </c>
      <c r="X1546" s="1090">
        <f t="shared" si="949"/>
        <v>2477.6500000000005</v>
      </c>
      <c r="Y1546" s="785"/>
      <c r="Z1546" s="785"/>
      <c r="AA1546" s="797"/>
      <c r="AB1546" s="797"/>
      <c r="AC1546" s="551"/>
      <c r="AD1546" s="551"/>
      <c r="AE1546" s="551"/>
      <c r="AF1546" s="551"/>
      <c r="AG1546" s="551"/>
      <c r="AH1546" s="551"/>
      <c r="AI1546" s="704"/>
      <c r="AJ1546" s="704"/>
      <c r="AK1546" s="704"/>
      <c r="AL1546" s="704"/>
      <c r="AM1546" s="704"/>
      <c r="AN1546" s="704"/>
      <c r="AO1546" s="704"/>
      <c r="AP1546" s="704"/>
      <c r="AQ1546" s="704"/>
      <c r="AR1546" s="704"/>
      <c r="AS1546" s="704"/>
    </row>
    <row r="1547" spans="1:45" s="265" customFormat="1" ht="30" customHeight="1" x14ac:dyDescent="0.25">
      <c r="A1547" s="184"/>
      <c r="B1547" s="184" t="s">
        <v>1740</v>
      </c>
      <c r="C1547" s="575"/>
      <c r="D1547" s="900"/>
      <c r="E1547" s="901"/>
      <c r="F1547" s="902"/>
      <c r="G1547" s="1297">
        <v>29477.65</v>
      </c>
      <c r="H1547" s="1297">
        <f>+SUM(H1543:H1546)</f>
        <v>0</v>
      </c>
      <c r="I1547" s="1297">
        <f t="shared" ref="I1547:L1547" si="953">+SUM(I1543:I1546)</f>
        <v>0</v>
      </c>
      <c r="J1547" s="1297">
        <f t="shared" si="953"/>
        <v>707.64</v>
      </c>
      <c r="K1547" s="1297">
        <f t="shared" si="953"/>
        <v>0</v>
      </c>
      <c r="L1547" s="1297">
        <f t="shared" si="953"/>
        <v>28770.010000000002</v>
      </c>
      <c r="M1547" s="92">
        <f>IFERROR(R1547/$S$2,"")</f>
        <v>664.46833333333336</v>
      </c>
      <c r="N1547" s="99">
        <f>IFERROR(L1547/M1547,0)</f>
        <v>43.297789460746813</v>
      </c>
      <c r="O1547" s="92">
        <f>IFERROR(SUMIF(ETM!$A:$A,$Q1547,ETM!$E:$E),"")</f>
        <v>596.83333333333337</v>
      </c>
      <c r="P1547" s="741">
        <f>IFERROR(L1547/O1547,0)</f>
        <v>48.204428930466349</v>
      </c>
      <c r="Q1547" s="666" t="s">
        <v>1739</v>
      </c>
      <c r="R1547" s="785">
        <f>IFERROR(VLOOKUP($Q1547,'391'!$S:$Z,8,0),"")</f>
        <v>3986.81</v>
      </c>
      <c r="S1547" s="796"/>
      <c r="T1547" s="797"/>
      <c r="U1547" s="797"/>
      <c r="V1547" s="797"/>
      <c r="W1547" s="785">
        <f>IFERROR(VLOOKUP($Q1547,'391'!$S:$AG,15,0),0)</f>
        <v>29477.65</v>
      </c>
      <c r="X1547" s="1090">
        <f t="shared" si="949"/>
        <v>0</v>
      </c>
      <c r="Y1547" s="785"/>
      <c r="Z1547" s="785"/>
      <c r="AA1547" s="797"/>
      <c r="AB1547" s="797"/>
      <c r="AC1547" s="683"/>
      <c r="AD1547" s="551"/>
      <c r="AE1547" s="551"/>
      <c r="AF1547" s="551"/>
      <c r="AG1547" s="551"/>
      <c r="AH1547" s="551"/>
      <c r="AI1547" s="704"/>
      <c r="AJ1547" s="704"/>
      <c r="AK1547" s="704"/>
      <c r="AL1547" s="704"/>
      <c r="AM1547" s="704"/>
      <c r="AN1547" s="704"/>
      <c r="AO1547" s="704"/>
      <c r="AP1547" s="704"/>
      <c r="AQ1547" s="704"/>
      <c r="AR1547" s="704"/>
      <c r="AS1547" s="704"/>
    </row>
    <row r="1548" spans="1:45" s="265" customFormat="1" ht="30" customHeight="1" x14ac:dyDescent="0.25">
      <c r="A1548" s="2083">
        <f>IF(L1553=0,"",MAX($A$16:A1547)+1)</f>
        <v>107</v>
      </c>
      <c r="B1548" s="2075" t="s">
        <v>1791</v>
      </c>
      <c r="C1548" s="574" t="s">
        <v>1929</v>
      </c>
      <c r="D1548" s="881" t="s">
        <v>10</v>
      </c>
      <c r="E1548" s="882">
        <v>46255</v>
      </c>
      <c r="F1548" s="71">
        <f>$L$7-E1548</f>
        <v>31</v>
      </c>
      <c r="G1548" s="64">
        <v>8918.1899999999987</v>
      </c>
      <c r="H1548" s="64"/>
      <c r="I1548" s="64"/>
      <c r="J1548" s="1367"/>
      <c r="K1548" s="1348">
        <f>IFERROR(SUMIF(INTAKE!$A:$A,$T1548,INTAKE!$P:$P),0)</f>
        <v>0</v>
      </c>
      <c r="L1548" s="1669">
        <f>+G1548+H1548+I1548-J1548-K1548</f>
        <v>8918.1899999999987</v>
      </c>
      <c r="M1548" s="102"/>
      <c r="N1548" s="103"/>
      <c r="O1548" s="102"/>
      <c r="P1548" s="739"/>
      <c r="Q1548" s="795"/>
      <c r="R1548" s="785">
        <f>IFERROR(VLOOKUP($Q1548,'391'!$S:$Z,8,0),"")</f>
        <v>0</v>
      </c>
      <c r="S1548" s="796"/>
      <c r="T1548" s="797" t="str">
        <f>$Q$1553&amp;C1548&amp;E1548</f>
        <v>AMINOPLUS# (USA)C046255</v>
      </c>
      <c r="U1548" s="797"/>
      <c r="V1548" s="797"/>
      <c r="W1548" s="785">
        <f>IFERROR(VLOOKUP($Q1548,'391'!$S:$AG,15,0),0)</f>
        <v>0</v>
      </c>
      <c r="X1548" s="1090">
        <f t="shared" ref="X1548:X1553" si="954">G1548-W1548</f>
        <v>8918.1899999999987</v>
      </c>
      <c r="Y1548" s="785"/>
      <c r="Z1548" s="785"/>
      <c r="AA1548" s="797"/>
      <c r="AB1548" s="797"/>
      <c r="AC1548" s="551"/>
      <c r="AD1548" s="551"/>
      <c r="AE1548" s="551"/>
      <c r="AF1548" s="551"/>
      <c r="AG1548" s="551"/>
      <c r="AH1548" s="551"/>
      <c r="AI1548" s="704"/>
      <c r="AJ1548" s="704"/>
      <c r="AK1548" s="704"/>
      <c r="AL1548" s="704"/>
      <c r="AM1548" s="704"/>
      <c r="AN1548" s="704"/>
      <c r="AO1548" s="704"/>
      <c r="AP1548" s="704"/>
      <c r="AQ1548" s="704"/>
      <c r="AR1548" s="704"/>
      <c r="AS1548" s="704"/>
    </row>
    <row r="1549" spans="1:45" s="265" customFormat="1" ht="30" customHeight="1" x14ac:dyDescent="0.25">
      <c r="A1549" s="2121"/>
      <c r="B1549" s="2082"/>
      <c r="C1549" s="574" t="s">
        <v>987</v>
      </c>
      <c r="D1549" s="881" t="s">
        <v>10</v>
      </c>
      <c r="E1549" s="882">
        <v>46281</v>
      </c>
      <c r="F1549" s="71">
        <f>$L$7-E1549</f>
        <v>5</v>
      </c>
      <c r="G1549" s="64">
        <v>32874</v>
      </c>
      <c r="H1549" s="64"/>
      <c r="I1549" s="64"/>
      <c r="J1549" s="1367"/>
      <c r="K1549" s="64">
        <f>IFERROR(SUMIF(INTAKE!$A:$A,$T1549,INTAKE!$P:$P),0)</f>
        <v>0</v>
      </c>
      <c r="L1549" s="1669">
        <f>+G1549+H1549+I1549-J1549-K1549</f>
        <v>32874</v>
      </c>
      <c r="M1549" s="102"/>
      <c r="N1549" s="103"/>
      <c r="O1549" s="102"/>
      <c r="P1549" s="739"/>
      <c r="Q1549" s="795"/>
      <c r="R1549" s="785">
        <f>IFERROR(VLOOKUP($Q1549,'391'!$S:$Z,8,0),"")</f>
        <v>0</v>
      </c>
      <c r="S1549" s="796"/>
      <c r="T1549" s="797" t="str">
        <f t="shared" ref="T1549:T1550" si="955">$Q$1553&amp;C1549&amp;E1549</f>
        <v>AMINOPLUS# (USA)A846281</v>
      </c>
      <c r="U1549" s="797"/>
      <c r="V1549" s="797"/>
      <c r="W1549" s="785">
        <f>IFERROR(VLOOKUP($Q1549,'391'!$S:$AG,15,0),0)</f>
        <v>0</v>
      </c>
      <c r="X1549" s="1090">
        <f t="shared" ref="X1549:X1550" si="956">G1549-W1549</f>
        <v>32874</v>
      </c>
      <c r="Y1549" s="785"/>
      <c r="Z1549" s="785"/>
      <c r="AA1549" s="797"/>
      <c r="AB1549" s="797"/>
      <c r="AC1549" s="551"/>
      <c r="AD1549" s="551"/>
      <c r="AE1549" s="551"/>
      <c r="AF1549" s="551"/>
      <c r="AG1549" s="551"/>
      <c r="AH1549" s="551"/>
      <c r="AI1549" s="704"/>
      <c r="AJ1549" s="704"/>
      <c r="AK1549" s="704"/>
      <c r="AL1549" s="704"/>
      <c r="AM1549" s="704"/>
      <c r="AN1549" s="704"/>
      <c r="AO1549" s="704"/>
      <c r="AP1549" s="704"/>
      <c r="AQ1549" s="704"/>
      <c r="AR1549" s="704"/>
      <c r="AS1549" s="704"/>
    </row>
    <row r="1550" spans="1:45" s="265" customFormat="1" ht="30" customHeight="1" x14ac:dyDescent="0.25">
      <c r="A1550" s="2121"/>
      <c r="B1550" s="2082"/>
      <c r="C1550" s="574" t="s">
        <v>2252</v>
      </c>
      <c r="D1550" s="881" t="s">
        <v>10</v>
      </c>
      <c r="E1550" s="882">
        <v>46283</v>
      </c>
      <c r="F1550" s="71">
        <f>$L$7-E1550</f>
        <v>3</v>
      </c>
      <c r="G1550" s="64">
        <v>32845</v>
      </c>
      <c r="H1550" s="64"/>
      <c r="I1550" s="64"/>
      <c r="J1550" s="1367"/>
      <c r="K1550" s="64">
        <f>IFERROR(SUMIF(INTAKE!$A:$A,$T1550,INTAKE!$P:$P),0)</f>
        <v>0</v>
      </c>
      <c r="L1550" s="1669">
        <f>+G1550+H1550+I1550-J1550-K1550</f>
        <v>32845</v>
      </c>
      <c r="M1550" s="102"/>
      <c r="N1550" s="103"/>
      <c r="O1550" s="102"/>
      <c r="P1550" s="739"/>
      <c r="Q1550" s="795"/>
      <c r="R1550" s="785">
        <f>IFERROR(VLOOKUP($Q1550,'391'!$S:$Z,8,0),"")</f>
        <v>0</v>
      </c>
      <c r="S1550" s="796"/>
      <c r="T1550" s="797" t="str">
        <f t="shared" si="955"/>
        <v>AMINOPLUS# (USA)A446283</v>
      </c>
      <c r="U1550" s="797"/>
      <c r="V1550" s="797"/>
      <c r="W1550" s="785">
        <f>IFERROR(VLOOKUP($Q1550,'391'!$S:$AG,15,0),0)</f>
        <v>0</v>
      </c>
      <c r="X1550" s="1090">
        <f t="shared" si="956"/>
        <v>32845</v>
      </c>
      <c r="Y1550" s="785"/>
      <c r="Z1550" s="785"/>
      <c r="AA1550" s="797"/>
      <c r="AB1550" s="797"/>
      <c r="AC1550" s="551"/>
      <c r="AD1550" s="551"/>
      <c r="AE1550" s="551"/>
      <c r="AF1550" s="551"/>
      <c r="AG1550" s="551"/>
      <c r="AH1550" s="551"/>
      <c r="AI1550" s="704"/>
      <c r="AJ1550" s="704"/>
      <c r="AK1550" s="704"/>
      <c r="AL1550" s="704"/>
      <c r="AM1550" s="704"/>
      <c r="AN1550" s="704"/>
      <c r="AO1550" s="704"/>
      <c r="AP1550" s="704"/>
      <c r="AQ1550" s="704"/>
      <c r="AR1550" s="704"/>
      <c r="AS1550" s="704"/>
    </row>
    <row r="1551" spans="1:45" s="265" customFormat="1" ht="30" hidden="1" customHeight="1" x14ac:dyDescent="0.25">
      <c r="A1551" s="2084"/>
      <c r="B1551" s="2076"/>
      <c r="C1551" s="574"/>
      <c r="D1551" s="881" t="s">
        <v>10</v>
      </c>
      <c r="E1551" s="882">
        <v>46255</v>
      </c>
      <c r="F1551" s="71">
        <f>$L$7-E1551</f>
        <v>31</v>
      </c>
      <c r="G1551" s="64">
        <v>0</v>
      </c>
      <c r="H1551" s="64"/>
      <c r="I1551" s="64"/>
      <c r="J1551" s="1367"/>
      <c r="K1551" s="64">
        <f>IFERROR(SUMIF(INTAKE!$A:$A,$T1551,INTAKE!$P:$P),0)</f>
        <v>0</v>
      </c>
      <c r="L1551" s="1669">
        <f>+G1551+H1551+I1551-J1551-K1551</f>
        <v>0</v>
      </c>
      <c r="M1551" s="102"/>
      <c r="N1551" s="103"/>
      <c r="O1551" s="102"/>
      <c r="P1551" s="739"/>
      <c r="Q1551" s="795"/>
      <c r="R1551" s="785">
        <f>IFERROR(VLOOKUP($Q1551,'391'!$S:$Z,8,0),"")</f>
        <v>0</v>
      </c>
      <c r="S1551" s="796"/>
      <c r="T1551" s="797" t="str">
        <f t="shared" ref="T1551:T1552" si="957">$Q$1553&amp;C1551&amp;E1551</f>
        <v>AMINOPLUS# (USA)46255</v>
      </c>
      <c r="U1551" s="797"/>
      <c r="V1551" s="797"/>
      <c r="W1551" s="785">
        <f>IFERROR(VLOOKUP($Q1551,'391'!$S:$AG,15,0),0)</f>
        <v>0</v>
      </c>
      <c r="X1551" s="1090">
        <f t="shared" si="954"/>
        <v>0</v>
      </c>
      <c r="Y1551" s="785"/>
      <c r="Z1551" s="785"/>
      <c r="AA1551" s="797"/>
      <c r="AB1551" s="797"/>
      <c r="AC1551" s="551"/>
      <c r="AD1551" s="551"/>
      <c r="AE1551" s="551"/>
      <c r="AF1551" s="551"/>
      <c r="AG1551" s="551"/>
      <c r="AH1551" s="551"/>
      <c r="AI1551" s="704"/>
      <c r="AJ1551" s="704"/>
      <c r="AK1551" s="704"/>
      <c r="AL1551" s="704"/>
      <c r="AM1551" s="704"/>
      <c r="AN1551" s="704"/>
      <c r="AO1551" s="704"/>
      <c r="AP1551" s="704"/>
      <c r="AQ1551" s="704"/>
      <c r="AR1551" s="704"/>
      <c r="AS1551" s="704"/>
    </row>
    <row r="1552" spans="1:45" s="265" customFormat="1" ht="30" customHeight="1" x14ac:dyDescent="0.25">
      <c r="A1552" s="2085"/>
      <c r="B1552" s="2068"/>
      <c r="C1552" s="138" t="s">
        <v>1858</v>
      </c>
      <c r="D1552" s="884" t="s">
        <v>10</v>
      </c>
      <c r="E1552" s="885">
        <v>46255</v>
      </c>
      <c r="F1552" s="293">
        <f>$L$7-E1552</f>
        <v>31</v>
      </c>
      <c r="G1552" s="1214">
        <v>19652.840000000011</v>
      </c>
      <c r="H1552" s="37"/>
      <c r="I1552" s="37">
        <f>SUM(K1548:K1551)</f>
        <v>0</v>
      </c>
      <c r="J1552" s="1385">
        <f>usage!I216</f>
        <v>4278</v>
      </c>
      <c r="K1552" s="64">
        <f>IFERROR(SUMIF(INTAKE!$A:$A,$T1552,INTAKE!$P:$P),0)</f>
        <v>0</v>
      </c>
      <c r="L1552" s="1533">
        <f>+G1552+H1552+I1552-J1552-K1552</f>
        <v>15374.840000000011</v>
      </c>
      <c r="M1552" s="98"/>
      <c r="N1552" s="1473"/>
      <c r="O1552" s="98"/>
      <c r="P1552" s="759"/>
      <c r="Q1552" s="795"/>
      <c r="R1552" s="785">
        <f>IFERROR(VLOOKUP($Q1552,'391'!$S:$Z,8,0),"")</f>
        <v>0</v>
      </c>
      <c r="S1552" s="796"/>
      <c r="T1552" s="797" t="str">
        <f t="shared" si="957"/>
        <v>AMINOPLUS# (USA)Feedmil 7846255</v>
      </c>
      <c r="U1552" s="797"/>
      <c r="V1552" s="797"/>
      <c r="W1552" s="785">
        <f>IFERROR(VLOOKUP($Q1552,'391'!$S:$AG,15,0),0)</f>
        <v>0</v>
      </c>
      <c r="X1552" s="1090">
        <f t="shared" si="954"/>
        <v>19652.840000000011</v>
      </c>
      <c r="Y1552" s="785"/>
      <c r="Z1552" s="785"/>
      <c r="AA1552" s="797"/>
      <c r="AB1552" s="797"/>
      <c r="AC1552" s="551"/>
      <c r="AD1552" s="551"/>
      <c r="AE1552" s="551"/>
      <c r="AF1552" s="551"/>
      <c r="AG1552" s="551"/>
      <c r="AH1552" s="551"/>
      <c r="AI1552" s="704"/>
      <c r="AJ1552" s="704"/>
      <c r="AK1552" s="704"/>
      <c r="AL1552" s="704"/>
      <c r="AM1552" s="704"/>
      <c r="AN1552" s="704"/>
      <c r="AO1552" s="704"/>
      <c r="AP1552" s="704"/>
      <c r="AQ1552" s="704"/>
      <c r="AR1552" s="704"/>
      <c r="AS1552" s="704"/>
    </row>
    <row r="1553" spans="1:45" s="265" customFormat="1" ht="30" customHeight="1" x14ac:dyDescent="0.25">
      <c r="A1553" s="184"/>
      <c r="B1553" s="184" t="s">
        <v>1792</v>
      </c>
      <c r="C1553" s="575"/>
      <c r="D1553" s="900"/>
      <c r="E1553" s="901"/>
      <c r="F1553" s="902"/>
      <c r="G1553" s="1297">
        <v>94290.030000000013</v>
      </c>
      <c r="H1553" s="1297">
        <f>+SUM(H1548:H1552)</f>
        <v>0</v>
      </c>
      <c r="I1553" s="1297">
        <f t="shared" ref="I1553:L1553" si="958">+SUM(I1548:I1552)</f>
        <v>0</v>
      </c>
      <c r="J1553" s="1297">
        <f t="shared" si="958"/>
        <v>4278</v>
      </c>
      <c r="K1553" s="1297">
        <f t="shared" si="958"/>
        <v>0</v>
      </c>
      <c r="L1553" s="1297">
        <f t="shared" si="958"/>
        <v>90012.030000000013</v>
      </c>
      <c r="M1553" s="92">
        <f>IFERROR(R1553/$S$2,"")</f>
        <v>2916.9166666666665</v>
      </c>
      <c r="N1553" s="99">
        <f>IFERROR(L1553/M1553,0)</f>
        <v>30.858622403793966</v>
      </c>
      <c r="O1553" s="92">
        <f>IFERROR(SUMIF(ETM!$A:$A,$Q1553,ETM!$E:$E),"")</f>
        <v>3119.3333333333335</v>
      </c>
      <c r="P1553" s="741">
        <f>IFERROR(L1553/O1553,0)</f>
        <v>28.856175464842917</v>
      </c>
      <c r="Q1553" s="1163" t="s">
        <v>1791</v>
      </c>
      <c r="R1553" s="785">
        <f>IFERROR(VLOOKUP($Q1553,'391'!$S:$Z,8,0),"")</f>
        <v>17501.5</v>
      </c>
      <c r="S1553" s="796"/>
      <c r="T1553" s="797"/>
      <c r="U1553" s="797"/>
      <c r="V1553" s="797"/>
      <c r="W1553" s="785">
        <f>IFERROR(VLOOKUP($Q1553,'391'!$S:$AG,15,0),0)</f>
        <v>94290.03</v>
      </c>
      <c r="X1553" s="1090">
        <f t="shared" si="954"/>
        <v>0</v>
      </c>
      <c r="Y1553" s="785"/>
      <c r="Z1553" s="785"/>
      <c r="AA1553" s="797"/>
      <c r="AB1553" s="797"/>
      <c r="AC1553" s="683"/>
      <c r="AD1553" s="551"/>
      <c r="AE1553" s="551"/>
      <c r="AF1553" s="551"/>
      <c r="AG1553" s="551"/>
      <c r="AH1553" s="551"/>
      <c r="AI1553" s="704"/>
      <c r="AJ1553" s="704"/>
      <c r="AK1553" s="704"/>
      <c r="AL1553" s="704"/>
      <c r="AM1553" s="704"/>
      <c r="AN1553" s="704"/>
      <c r="AO1553" s="704"/>
      <c r="AP1553" s="704"/>
      <c r="AQ1553" s="704"/>
      <c r="AR1553" s="704"/>
      <c r="AS1553" s="704"/>
    </row>
    <row r="1554" spans="1:45" s="265" customFormat="1" ht="30" customHeight="1" x14ac:dyDescent="0.25">
      <c r="A1554" s="2083">
        <f>IF(L1558=0,"",MAX($A$16:A1553)+1)</f>
        <v>108</v>
      </c>
      <c r="B1554" s="2075" t="s">
        <v>1841</v>
      </c>
      <c r="C1554" s="574" t="s">
        <v>227</v>
      </c>
      <c r="D1554" s="881" t="s">
        <v>10</v>
      </c>
      <c r="E1554" s="882">
        <v>46218</v>
      </c>
      <c r="F1554" s="71">
        <f>$L$7-E1554</f>
        <v>68</v>
      </c>
      <c r="G1554" s="64">
        <v>375</v>
      </c>
      <c r="H1554" s="64"/>
      <c r="I1554" s="64"/>
      <c r="J1554" s="1367"/>
      <c r="K1554" s="64">
        <f>IFERROR(SUMIF(INTAKE!$A:$A,$T1554,INTAKE!$P:$P),0)</f>
        <v>0</v>
      </c>
      <c r="L1554" s="1669">
        <f>+G1554+H1554+I1554-J1554-K1554</f>
        <v>375</v>
      </c>
      <c r="M1554" s="102"/>
      <c r="N1554" s="103"/>
      <c r="O1554" s="102"/>
      <c r="P1554" s="739"/>
      <c r="Q1554" s="795"/>
      <c r="R1554" s="785">
        <f>IFERROR(VLOOKUP($Q1554,'391'!$S:$Z,8,0),"")</f>
        <v>0</v>
      </c>
      <c r="S1554" s="796"/>
      <c r="T1554" s="797" t="str">
        <f>$Q$1558&amp;C1554&amp;E1554</f>
        <v>Stearolac 90 (Malaysia)V9.146218</v>
      </c>
      <c r="U1554" s="797"/>
      <c r="V1554" s="797"/>
      <c r="W1554" s="785">
        <f>IFERROR(VLOOKUP($Q1554,'391'!$S:$AG,15,0),0)</f>
        <v>0</v>
      </c>
      <c r="X1554" s="1090">
        <f t="shared" ref="X1554:X1557" si="959">G1554-W1554</f>
        <v>375</v>
      </c>
      <c r="Y1554" s="785"/>
      <c r="Z1554" s="785"/>
      <c r="AA1554" s="797"/>
      <c r="AB1554" s="797"/>
      <c r="AC1554" s="551"/>
      <c r="AD1554" s="551"/>
      <c r="AE1554" s="551"/>
      <c r="AF1554" s="551"/>
      <c r="AG1554" s="551"/>
      <c r="AH1554" s="551"/>
      <c r="AI1554" s="704"/>
      <c r="AJ1554" s="704"/>
      <c r="AK1554" s="704"/>
      <c r="AL1554" s="704"/>
      <c r="AM1554" s="704"/>
      <c r="AN1554" s="704"/>
      <c r="AO1554" s="704"/>
      <c r="AP1554" s="704"/>
      <c r="AQ1554" s="704"/>
      <c r="AR1554" s="704"/>
      <c r="AS1554" s="704"/>
    </row>
    <row r="1555" spans="1:45" s="265" customFormat="1" ht="30" customHeight="1" x14ac:dyDescent="0.25">
      <c r="A1555" s="2121"/>
      <c r="B1555" s="2082"/>
      <c r="C1555" s="574" t="s">
        <v>1922</v>
      </c>
      <c r="D1555" s="881" t="s">
        <v>10</v>
      </c>
      <c r="E1555" s="882">
        <v>46254</v>
      </c>
      <c r="F1555" s="71">
        <f>$L$7-E1555</f>
        <v>32</v>
      </c>
      <c r="G1555" s="64">
        <v>2000</v>
      </c>
      <c r="H1555" s="64"/>
      <c r="I1555" s="64"/>
      <c r="J1555" s="1367"/>
      <c r="K1555" s="64">
        <f>IFERROR(SUMIF(INTAKE!$A:$A,$T1555,INTAKE!$P:$P),0)</f>
        <v>0</v>
      </c>
      <c r="L1555" s="1669">
        <f>+G1555+H1555+I1555-J1555-K1555</f>
        <v>2000</v>
      </c>
      <c r="M1555" s="102"/>
      <c r="N1555" s="103"/>
      <c r="O1555" s="102"/>
      <c r="P1555" s="739"/>
      <c r="Q1555" s="795"/>
      <c r="R1555" s="785">
        <f>IFERROR(VLOOKUP($Q1555,'391'!$S:$Z,8,0),"")</f>
        <v>0</v>
      </c>
      <c r="S1555" s="796"/>
      <c r="T1555" s="797" t="str">
        <f t="shared" ref="T1555" si="960">$Q$1558&amp;C1555&amp;E1555</f>
        <v>Stearolac 90 (Malaysia)V4.146254</v>
      </c>
      <c r="U1555" s="797"/>
      <c r="V1555" s="797"/>
      <c r="W1555" s="785">
        <f>IFERROR(VLOOKUP($Q1555,'391'!$S:$AG,15,0),0)</f>
        <v>0</v>
      </c>
      <c r="X1555" s="1090">
        <f t="shared" ref="X1555" si="961">G1555-W1555</f>
        <v>2000</v>
      </c>
      <c r="Y1555" s="785"/>
      <c r="Z1555" s="785"/>
      <c r="AA1555" s="797"/>
      <c r="AB1555" s="797"/>
      <c r="AC1555" s="551"/>
      <c r="AD1555" s="551"/>
      <c r="AE1555" s="551"/>
      <c r="AF1555" s="551"/>
      <c r="AG1555" s="551"/>
      <c r="AH1555" s="551"/>
      <c r="AI1555" s="704"/>
      <c r="AJ1555" s="704"/>
      <c r="AK1555" s="704"/>
      <c r="AL1555" s="704"/>
      <c r="AM1555" s="704"/>
      <c r="AN1555" s="704"/>
      <c r="AO1555" s="704"/>
      <c r="AP1555" s="704"/>
      <c r="AQ1555" s="704"/>
      <c r="AR1555" s="704"/>
      <c r="AS1555" s="704"/>
    </row>
    <row r="1556" spans="1:45" s="265" customFormat="1" ht="30" hidden="1" customHeight="1" x14ac:dyDescent="0.25">
      <c r="A1556" s="2084"/>
      <c r="B1556" s="2076"/>
      <c r="C1556" s="574"/>
      <c r="D1556" s="881" t="s">
        <v>10</v>
      </c>
      <c r="E1556" s="882">
        <v>46255</v>
      </c>
      <c r="F1556" s="71">
        <f>$L$7-E1556</f>
        <v>31</v>
      </c>
      <c r="G1556" s="64">
        <v>0</v>
      </c>
      <c r="H1556" s="64"/>
      <c r="I1556" s="64"/>
      <c r="J1556" s="1367"/>
      <c r="K1556" s="64">
        <f>IFERROR(SUMIF(INTAKE!$A:$A,$T1556,INTAKE!$P:$P),0)</f>
        <v>0</v>
      </c>
      <c r="L1556" s="1669">
        <f>+G1556+H1556+I1556-J1556-K1556</f>
        <v>0</v>
      </c>
      <c r="M1556" s="102"/>
      <c r="N1556" s="103"/>
      <c r="O1556" s="102"/>
      <c r="P1556" s="739"/>
      <c r="Q1556" s="795"/>
      <c r="R1556" s="785">
        <f>IFERROR(VLOOKUP($Q1556,'391'!$S:$Z,8,0),"")</f>
        <v>0</v>
      </c>
      <c r="S1556" s="796"/>
      <c r="T1556" s="797" t="str">
        <f t="shared" ref="T1556:T1557" si="962">$Q$1558&amp;C1556&amp;E1556</f>
        <v>Stearolac 90 (Malaysia)46255</v>
      </c>
      <c r="U1556" s="797"/>
      <c r="V1556" s="797"/>
      <c r="W1556" s="785">
        <f>IFERROR(VLOOKUP($Q1556,'391'!$S:$AG,15,0),0)</f>
        <v>0</v>
      </c>
      <c r="X1556" s="1090">
        <f t="shared" si="959"/>
        <v>0</v>
      </c>
      <c r="Y1556" s="785"/>
      <c r="Z1556" s="785"/>
      <c r="AA1556" s="797"/>
      <c r="AB1556" s="797"/>
      <c r="AC1556" s="551"/>
      <c r="AD1556" s="551"/>
      <c r="AE1556" s="551"/>
      <c r="AF1556" s="551"/>
      <c r="AG1556" s="551"/>
      <c r="AH1556" s="551"/>
      <c r="AI1556" s="704"/>
      <c r="AJ1556" s="704"/>
      <c r="AK1556" s="704"/>
      <c r="AL1556" s="704"/>
      <c r="AM1556" s="704"/>
      <c r="AN1556" s="704"/>
      <c r="AO1556" s="704"/>
      <c r="AP1556" s="704"/>
      <c r="AQ1556" s="704"/>
      <c r="AR1556" s="704"/>
      <c r="AS1556" s="704"/>
    </row>
    <row r="1557" spans="1:45" s="265" customFormat="1" ht="30" customHeight="1" x14ac:dyDescent="0.25">
      <c r="A1557" s="2085"/>
      <c r="B1557" s="2068"/>
      <c r="C1557" s="138" t="s">
        <v>76</v>
      </c>
      <c r="D1557" s="884" t="s">
        <v>10</v>
      </c>
      <c r="E1557" s="885">
        <v>46218</v>
      </c>
      <c r="F1557" s="293">
        <f>$L$7-E1557</f>
        <v>68</v>
      </c>
      <c r="G1557" s="1214">
        <v>136.00000000000006</v>
      </c>
      <c r="H1557" s="37"/>
      <c r="I1557" s="37">
        <f>+K1556+K1554</f>
        <v>0</v>
      </c>
      <c r="J1557" s="1385">
        <f>usage!I220</f>
        <v>67.63</v>
      </c>
      <c r="K1557" s="64">
        <f>IFERROR(SUMIF(INTAKE!$A:$A,$T1557,INTAKE!$P:$P),0)</f>
        <v>0</v>
      </c>
      <c r="L1557" s="1533">
        <f>+G1557+H1557+I1557-J1557-K1557</f>
        <v>68.370000000000061</v>
      </c>
      <c r="M1557" s="98"/>
      <c r="N1557" s="1473"/>
      <c r="O1557" s="98"/>
      <c r="P1557" s="759"/>
      <c r="Q1557" s="795"/>
      <c r="R1557" s="785">
        <f>IFERROR(VLOOKUP($Q1557,'391'!$S:$Z,8,0),"")</f>
        <v>0</v>
      </c>
      <c r="S1557" s="796"/>
      <c r="T1557" s="797" t="str">
        <f t="shared" si="962"/>
        <v>Stearolac 90 (Malaysia)Feedmil46218</v>
      </c>
      <c r="U1557" s="797"/>
      <c r="V1557" s="797"/>
      <c r="W1557" s="785">
        <f>IFERROR(VLOOKUP($Q1557,'391'!$S:$AG,15,0),0)</f>
        <v>0</v>
      </c>
      <c r="X1557" s="1090">
        <f t="shared" si="959"/>
        <v>136.00000000000006</v>
      </c>
      <c r="Y1557" s="785"/>
      <c r="Z1557" s="785"/>
      <c r="AA1557" s="797"/>
      <c r="AB1557" s="797"/>
      <c r="AC1557" s="551"/>
      <c r="AD1557" s="551"/>
      <c r="AE1557" s="551"/>
      <c r="AF1557" s="551"/>
      <c r="AG1557" s="551"/>
      <c r="AH1557" s="551"/>
      <c r="AI1557" s="704"/>
      <c r="AJ1557" s="704"/>
      <c r="AK1557" s="704"/>
      <c r="AL1557" s="704"/>
      <c r="AM1557" s="704"/>
      <c r="AN1557" s="704"/>
      <c r="AO1557" s="704"/>
      <c r="AP1557" s="704"/>
      <c r="AQ1557" s="704"/>
      <c r="AR1557" s="704"/>
      <c r="AS1557" s="704"/>
    </row>
    <row r="1558" spans="1:45" s="265" customFormat="1" ht="30" customHeight="1" x14ac:dyDescent="0.25">
      <c r="A1558" s="184"/>
      <c r="B1558" s="184" t="s">
        <v>1842</v>
      </c>
      <c r="C1558" s="575"/>
      <c r="D1558" s="900"/>
      <c r="E1558" s="901"/>
      <c r="F1558" s="902"/>
      <c r="G1558" s="1297">
        <v>2511</v>
      </c>
      <c r="H1558" s="1297">
        <f>+SUM(H1554:H1557)</f>
        <v>0</v>
      </c>
      <c r="I1558" s="1297">
        <f t="shared" ref="I1558:L1558" si="963">+SUM(I1554:I1557)</f>
        <v>0</v>
      </c>
      <c r="J1558" s="1297">
        <f t="shared" si="963"/>
        <v>67.63</v>
      </c>
      <c r="K1558" s="1297">
        <f t="shared" si="963"/>
        <v>0</v>
      </c>
      <c r="L1558" s="1297">
        <f t="shared" si="963"/>
        <v>2443.37</v>
      </c>
      <c r="M1558" s="92">
        <f>IFERROR(R1558/$S$2,"")</f>
        <v>56.358333333333341</v>
      </c>
      <c r="N1558" s="99">
        <f>IFERROR(L1558/M1558,0)</f>
        <v>43.354191926659759</v>
      </c>
      <c r="O1558" s="92">
        <f>IFERROR(SUMIF(ETM!$A:$A,$Q1558,ETM!$E:$E),"")</f>
        <v>57</v>
      </c>
      <c r="P1558" s="741">
        <f>IFERROR(L1558/O1558,0)</f>
        <v>42.866140350877188</v>
      </c>
      <c r="Q1558" s="1163" t="s">
        <v>1841</v>
      </c>
      <c r="R1558" s="785">
        <f>IFERROR(VLOOKUP($Q1558,'391'!$S:$Z,8,0),"")</f>
        <v>338.15000000000003</v>
      </c>
      <c r="S1558" s="796"/>
      <c r="T1558" s="797"/>
      <c r="U1558" s="797"/>
      <c r="V1558" s="797"/>
      <c r="W1558" s="785">
        <f>IFERROR(VLOOKUP($Q1558,'391'!$S:$AG,15,0),0)</f>
        <v>2511</v>
      </c>
      <c r="X1558" s="1090">
        <f>G1558-W1558</f>
        <v>0</v>
      </c>
      <c r="Y1558" s="785"/>
      <c r="Z1558" s="785"/>
      <c r="AA1558" s="797"/>
      <c r="AB1558" s="797"/>
      <c r="AC1558" s="683"/>
      <c r="AD1558" s="551"/>
      <c r="AE1558" s="551"/>
      <c r="AF1558" s="551"/>
      <c r="AG1558" s="551"/>
      <c r="AH1558" s="551"/>
      <c r="AI1558" s="704"/>
      <c r="AJ1558" s="704"/>
      <c r="AK1558" s="704"/>
      <c r="AL1558" s="704"/>
      <c r="AM1558" s="704"/>
      <c r="AN1558" s="704"/>
      <c r="AO1558" s="704"/>
      <c r="AP1558" s="704"/>
      <c r="AQ1558" s="704"/>
      <c r="AR1558" s="704"/>
      <c r="AS1558" s="704"/>
    </row>
    <row r="1559" spans="1:45" s="265" customFormat="1" ht="30" customHeight="1" x14ac:dyDescent="0.25">
      <c r="A1559" s="2083">
        <f>IF(L1564=0,"",MAX($A$16:A1558)+1)</f>
        <v>109</v>
      </c>
      <c r="B1559" s="2075" t="s">
        <v>1843</v>
      </c>
      <c r="C1559" s="574" t="s">
        <v>1834</v>
      </c>
      <c r="D1559" s="881" t="s">
        <v>10</v>
      </c>
      <c r="E1559" s="882">
        <v>46218</v>
      </c>
      <c r="F1559" s="71">
        <f>$L$7-E1559</f>
        <v>68</v>
      </c>
      <c r="G1559" s="64">
        <v>25</v>
      </c>
      <c r="H1559" s="64"/>
      <c r="I1559" s="64"/>
      <c r="J1559" s="1367"/>
      <c r="K1559" s="1348">
        <f>IFERROR(SUMIF(INTAKE!$A:$A,$T1559,INTAKE!$P:$P),0)</f>
        <v>0</v>
      </c>
      <c r="L1559" s="1669">
        <f>+G1559+H1559+I1559-J1559-K1559</f>
        <v>25</v>
      </c>
      <c r="M1559" s="102"/>
      <c r="N1559" s="103"/>
      <c r="O1559" s="102"/>
      <c r="P1559" s="739"/>
      <c r="Q1559" s="795"/>
      <c r="R1559" s="785">
        <f>IFERROR(VLOOKUP($Q1559,'391'!$S:$Z,8,0),"")</f>
        <v>0</v>
      </c>
      <c r="S1559" s="796"/>
      <c r="T1559" s="797" t="str">
        <f>$Q$1564&amp;C1559&amp;E1559</f>
        <v>Toxfin Dry (Singapore)Z4.246218</v>
      </c>
      <c r="U1559" s="797"/>
      <c r="V1559" s="797"/>
      <c r="W1559" s="785">
        <f>IFERROR(VLOOKUP($Q1559,'391'!$S:$AG,15,0),0)</f>
        <v>0</v>
      </c>
      <c r="X1559" s="1090">
        <f t="shared" ref="X1559:X1564" si="964">G1559-W1559</f>
        <v>25</v>
      </c>
      <c r="Y1559" s="785"/>
      <c r="Z1559" s="785"/>
      <c r="AA1559" s="797"/>
      <c r="AB1559" s="797"/>
      <c r="AC1559" s="551"/>
      <c r="AD1559" s="551"/>
      <c r="AE1559" s="551"/>
      <c r="AF1559" s="551"/>
      <c r="AG1559" s="551"/>
      <c r="AH1559" s="551"/>
      <c r="AI1559" s="704"/>
      <c r="AJ1559" s="704"/>
      <c r="AK1559" s="704"/>
      <c r="AL1559" s="704"/>
      <c r="AM1559" s="704"/>
      <c r="AN1559" s="704"/>
      <c r="AO1559" s="704"/>
      <c r="AP1559" s="704"/>
      <c r="AQ1559" s="704"/>
      <c r="AR1559" s="704"/>
      <c r="AS1559" s="704"/>
    </row>
    <row r="1560" spans="1:45" s="265" customFormat="1" ht="30" customHeight="1" x14ac:dyDescent="0.25">
      <c r="A1560" s="2121"/>
      <c r="B1560" s="2082"/>
      <c r="C1560" s="574" t="s">
        <v>1834</v>
      </c>
      <c r="D1560" s="881" t="s">
        <v>10</v>
      </c>
      <c r="E1560" s="882">
        <v>46245</v>
      </c>
      <c r="F1560" s="71">
        <f>$L$7-E1560</f>
        <v>41</v>
      </c>
      <c r="G1560" s="64">
        <v>100</v>
      </c>
      <c r="H1560" s="64"/>
      <c r="I1560" s="64"/>
      <c r="J1560" s="1367"/>
      <c r="K1560" s="64">
        <f>IFERROR(SUMIF(INTAKE!$A:$A,$T1560,INTAKE!$P:$P),0)</f>
        <v>0</v>
      </c>
      <c r="L1560" s="1669">
        <f>+G1560+H1560+I1560-J1560-K1560</f>
        <v>100</v>
      </c>
      <c r="M1560" s="102"/>
      <c r="N1560" s="103"/>
      <c r="O1560" s="102"/>
      <c r="P1560" s="739"/>
      <c r="Q1560" s="795"/>
      <c r="R1560" s="785">
        <f>IFERROR(VLOOKUP($Q1560,'391'!$S:$Z,8,0),"")</f>
        <v>0</v>
      </c>
      <c r="S1560" s="796"/>
      <c r="T1560" s="797" t="str">
        <f t="shared" ref="T1560:T1561" si="965">$Q$1564&amp;C1560&amp;E1560</f>
        <v>Toxfin Dry (Singapore)Z4.246245</v>
      </c>
      <c r="U1560" s="797"/>
      <c r="V1560" s="797"/>
      <c r="W1560" s="785">
        <f>IFERROR(VLOOKUP($Q1560,'391'!$S:$AG,15,0),0)</f>
        <v>0</v>
      </c>
      <c r="X1560" s="1090">
        <f t="shared" ref="X1560:X1561" si="966">G1560-W1560</f>
        <v>100</v>
      </c>
      <c r="Y1560" s="785"/>
      <c r="Z1560" s="785"/>
      <c r="AA1560" s="797"/>
      <c r="AB1560" s="797"/>
      <c r="AC1560" s="551"/>
      <c r="AD1560" s="551"/>
      <c r="AE1560" s="551"/>
      <c r="AF1560" s="551"/>
      <c r="AG1560" s="551"/>
      <c r="AH1560" s="551"/>
      <c r="AI1560" s="704"/>
      <c r="AJ1560" s="704"/>
      <c r="AK1560" s="704"/>
      <c r="AL1560" s="704"/>
      <c r="AM1560" s="704"/>
      <c r="AN1560" s="704"/>
      <c r="AO1560" s="704"/>
      <c r="AP1560" s="704"/>
      <c r="AQ1560" s="704"/>
      <c r="AR1560" s="704"/>
      <c r="AS1560" s="704"/>
    </row>
    <row r="1561" spans="1:45" s="265" customFormat="1" ht="30" customHeight="1" x14ac:dyDescent="0.25">
      <c r="A1561" s="2121"/>
      <c r="B1561" s="2082"/>
      <c r="C1561" s="574" t="s">
        <v>1834</v>
      </c>
      <c r="D1561" s="881" t="s">
        <v>10</v>
      </c>
      <c r="E1561" s="882">
        <v>46255</v>
      </c>
      <c r="F1561" s="71">
        <f>$L$7-E1561</f>
        <v>31</v>
      </c>
      <c r="G1561" s="64">
        <v>125</v>
      </c>
      <c r="H1561" s="64"/>
      <c r="I1561" s="64"/>
      <c r="J1561" s="1367"/>
      <c r="K1561" s="64">
        <f>IFERROR(SUMIF(INTAKE!$A:$A,$T1561,INTAKE!$P:$P),0)</f>
        <v>0</v>
      </c>
      <c r="L1561" s="1669">
        <f>+G1561+H1561+I1561-J1561-K1561</f>
        <v>125</v>
      </c>
      <c r="M1561" s="102"/>
      <c r="N1561" s="103"/>
      <c r="O1561" s="102"/>
      <c r="P1561" s="739"/>
      <c r="Q1561" s="795"/>
      <c r="R1561" s="785">
        <f>IFERROR(VLOOKUP($Q1561,'391'!$S:$Z,8,0),"")</f>
        <v>0</v>
      </c>
      <c r="S1561" s="796"/>
      <c r="T1561" s="797" t="str">
        <f t="shared" si="965"/>
        <v>Toxfin Dry (Singapore)Z4.246255</v>
      </c>
      <c r="U1561" s="797"/>
      <c r="V1561" s="797"/>
      <c r="W1561" s="785">
        <f>IFERROR(VLOOKUP($Q1561,'391'!$S:$AG,15,0),0)</f>
        <v>0</v>
      </c>
      <c r="X1561" s="1090">
        <f t="shared" si="966"/>
        <v>125</v>
      </c>
      <c r="Y1561" s="785"/>
      <c r="Z1561" s="785"/>
      <c r="AA1561" s="797"/>
      <c r="AB1561" s="797"/>
      <c r="AC1561" s="551"/>
      <c r="AD1561" s="551"/>
      <c r="AE1561" s="551"/>
      <c r="AF1561" s="551"/>
      <c r="AG1561" s="551"/>
      <c r="AH1561" s="551"/>
      <c r="AI1561" s="704"/>
      <c r="AJ1561" s="704"/>
      <c r="AK1561" s="704"/>
      <c r="AL1561" s="704"/>
      <c r="AM1561" s="704"/>
      <c r="AN1561" s="704"/>
      <c r="AO1561" s="704"/>
      <c r="AP1561" s="704"/>
      <c r="AQ1561" s="704"/>
      <c r="AR1561" s="704"/>
      <c r="AS1561" s="704"/>
    </row>
    <row r="1562" spans="1:45" s="265" customFormat="1" ht="30" customHeight="1" x14ac:dyDescent="0.25">
      <c r="A1562" s="2084"/>
      <c r="B1562" s="2076"/>
      <c r="C1562" s="574" t="s">
        <v>1834</v>
      </c>
      <c r="D1562" s="881" t="s">
        <v>10</v>
      </c>
      <c r="E1562" s="882">
        <v>46280</v>
      </c>
      <c r="F1562" s="71">
        <f>$L$7-E1562</f>
        <v>6</v>
      </c>
      <c r="G1562" s="64">
        <v>200</v>
      </c>
      <c r="H1562" s="64"/>
      <c r="I1562" s="64"/>
      <c r="J1562" s="1367"/>
      <c r="K1562" s="64">
        <f>IFERROR(SUMIF(INTAKE!$A:$A,$T1562,INTAKE!$P:$P),0)</f>
        <v>0</v>
      </c>
      <c r="L1562" s="1669">
        <f>+G1562+H1562+I1562-J1562-K1562</f>
        <v>200</v>
      </c>
      <c r="M1562" s="102"/>
      <c r="N1562" s="103"/>
      <c r="O1562" s="102"/>
      <c r="P1562" s="739"/>
      <c r="Q1562" s="795"/>
      <c r="R1562" s="785">
        <f>IFERROR(VLOOKUP($Q1562,'391'!$S:$Z,8,0),"")</f>
        <v>0</v>
      </c>
      <c r="S1562" s="796"/>
      <c r="T1562" s="797" t="str">
        <f t="shared" ref="T1562:T1563" si="967">$Q$1564&amp;C1562&amp;E1562</f>
        <v>Toxfin Dry (Singapore)Z4.246280</v>
      </c>
      <c r="U1562" s="797"/>
      <c r="V1562" s="797"/>
      <c r="W1562" s="785">
        <f>IFERROR(VLOOKUP($Q1562,'391'!$S:$AG,15,0),0)</f>
        <v>0</v>
      </c>
      <c r="X1562" s="1090">
        <f t="shared" si="964"/>
        <v>200</v>
      </c>
      <c r="Y1562" s="785"/>
      <c r="Z1562" s="785"/>
      <c r="AA1562" s="797"/>
      <c r="AB1562" s="797"/>
      <c r="AC1562" s="551"/>
      <c r="AD1562" s="551"/>
      <c r="AE1562" s="551"/>
      <c r="AF1562" s="551"/>
      <c r="AG1562" s="551"/>
      <c r="AH1562" s="551"/>
      <c r="AI1562" s="704"/>
      <c r="AJ1562" s="704"/>
      <c r="AK1562" s="704"/>
      <c r="AL1562" s="704"/>
      <c r="AM1562" s="704"/>
      <c r="AN1562" s="704"/>
      <c r="AO1562" s="704"/>
      <c r="AP1562" s="704"/>
      <c r="AQ1562" s="704"/>
      <c r="AR1562" s="704"/>
      <c r="AS1562" s="704"/>
    </row>
    <row r="1563" spans="1:45" s="265" customFormat="1" ht="30" customHeight="1" x14ac:dyDescent="0.25">
      <c r="A1563" s="2085"/>
      <c r="B1563" s="2068"/>
      <c r="C1563" s="138" t="s">
        <v>76</v>
      </c>
      <c r="D1563" s="884" t="s">
        <v>10</v>
      </c>
      <c r="E1563" s="885">
        <v>46255</v>
      </c>
      <c r="F1563" s="293">
        <f>$L$7-E1563</f>
        <v>31</v>
      </c>
      <c r="G1563" s="1214">
        <f>13.23-0.15</f>
        <v>13.08</v>
      </c>
      <c r="H1563" s="37"/>
      <c r="I1563" s="37">
        <f>+SUM(K1559:K1562)</f>
        <v>0</v>
      </c>
      <c r="J1563" s="1385">
        <f>usage!I219</f>
        <v>13</v>
      </c>
      <c r="K1563" s="64">
        <f>IFERROR(SUMIF(INTAKE!$A:$A,$T1563,INTAKE!$P:$P),0)</f>
        <v>0</v>
      </c>
      <c r="L1563" s="1533">
        <f>+G1563+H1563+I1563-J1563-K1563</f>
        <v>8.0000000000000071E-2</v>
      </c>
      <c r="M1563" s="98"/>
      <c r="N1563" s="1473"/>
      <c r="O1563" s="98"/>
      <c r="P1563" s="759"/>
      <c r="Q1563" s="795"/>
      <c r="R1563" s="785">
        <f>IFERROR(VLOOKUP($Q1563,'391'!$S:$Z,8,0),"")</f>
        <v>0</v>
      </c>
      <c r="S1563" s="796"/>
      <c r="T1563" s="797" t="str">
        <f t="shared" si="967"/>
        <v>Toxfin Dry (Singapore)Feedmil46255</v>
      </c>
      <c r="U1563" s="797"/>
      <c r="V1563" s="797"/>
      <c r="W1563" s="785">
        <f>IFERROR(VLOOKUP($Q1563,'391'!$S:$AG,15,0),0)</f>
        <v>0</v>
      </c>
      <c r="X1563" s="1090">
        <f t="shared" si="964"/>
        <v>13.08</v>
      </c>
      <c r="Y1563" s="785"/>
      <c r="Z1563" s="785"/>
      <c r="AA1563" s="797"/>
      <c r="AB1563" s="797"/>
      <c r="AC1563" s="551"/>
      <c r="AD1563" s="551"/>
      <c r="AE1563" s="551"/>
      <c r="AF1563" s="551"/>
      <c r="AG1563" s="551"/>
      <c r="AH1563" s="551"/>
      <c r="AI1563" s="704"/>
      <c r="AJ1563" s="704"/>
      <c r="AK1563" s="704"/>
      <c r="AL1563" s="704"/>
      <c r="AM1563" s="704"/>
      <c r="AN1563" s="704"/>
      <c r="AO1563" s="704"/>
      <c r="AP1563" s="704"/>
      <c r="AQ1563" s="704"/>
      <c r="AR1563" s="704"/>
      <c r="AS1563" s="704"/>
    </row>
    <row r="1564" spans="1:45" s="265" customFormat="1" ht="30" customHeight="1" x14ac:dyDescent="0.25">
      <c r="A1564" s="184"/>
      <c r="B1564" s="184" t="s">
        <v>1844</v>
      </c>
      <c r="C1564" s="575"/>
      <c r="D1564" s="900"/>
      <c r="E1564" s="901"/>
      <c r="F1564" s="902"/>
      <c r="G1564" s="1297">
        <f>+SUM(G1559:G1563)</f>
        <v>463.08</v>
      </c>
      <c r="H1564" s="1297">
        <f>+SUM(H1559:H1563)</f>
        <v>0</v>
      </c>
      <c r="I1564" s="1297">
        <f t="shared" ref="I1564:L1564" si="968">+SUM(I1559:I1563)</f>
        <v>0</v>
      </c>
      <c r="J1564" s="1297">
        <f t="shared" si="968"/>
        <v>13</v>
      </c>
      <c r="K1564" s="1297">
        <f t="shared" si="968"/>
        <v>0</v>
      </c>
      <c r="L1564" s="1297">
        <f t="shared" si="968"/>
        <v>450.08</v>
      </c>
      <c r="M1564" s="92">
        <f>IFERROR(R1564/$S$2,"")</f>
        <v>1.9616666666666667</v>
      </c>
      <c r="N1564" s="99">
        <f>IFERROR(L1564/M1564,0)</f>
        <v>229.4375531011045</v>
      </c>
      <c r="O1564" s="92">
        <f>IFERROR(SUMIF(ETM!$A:$A,$Q1564,ETM!$E:$E),"")</f>
        <v>0</v>
      </c>
      <c r="P1564" s="741">
        <f>IFERROR(L1564/O1564,0)</f>
        <v>0</v>
      </c>
      <c r="Q1564" s="1163" t="s">
        <v>1843</v>
      </c>
      <c r="R1564" s="785">
        <f>IFERROR(VLOOKUP($Q1564,'391'!$S:$Z,8,0),"")</f>
        <v>11.77</v>
      </c>
      <c r="S1564" s="796"/>
      <c r="T1564" s="797"/>
      <c r="U1564" s="797"/>
      <c r="V1564" s="797"/>
      <c r="W1564" s="785">
        <f>IFERROR(VLOOKUP($Q1564,'391'!$S:$AG,15,0),0)</f>
        <v>463.08</v>
      </c>
      <c r="X1564" s="1090">
        <f t="shared" si="964"/>
        <v>0</v>
      </c>
      <c r="Y1564" s="785"/>
      <c r="Z1564" s="785"/>
      <c r="AA1564" s="797"/>
      <c r="AB1564" s="797"/>
      <c r="AC1564" s="683"/>
      <c r="AD1564" s="551"/>
      <c r="AE1564" s="551"/>
      <c r="AF1564" s="551"/>
      <c r="AG1564" s="551"/>
      <c r="AH1564" s="551"/>
      <c r="AI1564" s="704"/>
      <c r="AJ1564" s="704"/>
      <c r="AK1564" s="704"/>
      <c r="AL1564" s="704"/>
      <c r="AM1564" s="704"/>
      <c r="AN1564" s="704"/>
      <c r="AO1564" s="704"/>
      <c r="AP1564" s="704"/>
      <c r="AQ1564" s="704"/>
      <c r="AR1564" s="704"/>
      <c r="AS1564" s="704"/>
    </row>
    <row r="1565" spans="1:45" s="265" customFormat="1" ht="30" hidden="1" customHeight="1" x14ac:dyDescent="0.25">
      <c r="A1565" s="2083" t="str">
        <f>IF(L1568=0,"",MAX($A$16:A1553)+1)</f>
        <v/>
      </c>
      <c r="B1565" s="2075" t="s">
        <v>1659</v>
      </c>
      <c r="C1565" s="574" t="s">
        <v>1661</v>
      </c>
      <c r="D1565" s="881" t="s">
        <v>10</v>
      </c>
      <c r="E1565" s="882">
        <v>45898</v>
      </c>
      <c r="F1565" s="71">
        <f>$L$7-E1565</f>
        <v>388</v>
      </c>
      <c r="G1565" s="64">
        <v>0</v>
      </c>
      <c r="H1565" s="64"/>
      <c r="I1565" s="64"/>
      <c r="J1565" s="1367"/>
      <c r="K1565" s="64">
        <f>IFERROR(SUMIF(INTAKE!$A:$A,$T1565,INTAKE!$P:$P),0)</f>
        <v>0</v>
      </c>
      <c r="L1565" s="1669">
        <f>+G1565+H1565+I1565-J1565-K1565</f>
        <v>0</v>
      </c>
      <c r="M1565" s="102"/>
      <c r="N1565" s="103"/>
      <c r="O1565" s="102"/>
      <c r="P1565" s="739"/>
      <c r="Q1565" s="795"/>
      <c r="R1565" s="785">
        <f>IFERROR(VLOOKUP($Q1565,'391'!$S:$Z,8,0),"")</f>
        <v>0</v>
      </c>
      <c r="S1565" s="796"/>
      <c r="T1565" s="797" t="str">
        <f>$Q$1568&amp;C1565&amp;E1565</f>
        <v>Kulactic (USA)A22.545898</v>
      </c>
      <c r="U1565" s="797"/>
      <c r="V1565" s="797"/>
      <c r="W1565" s="785">
        <f>IFERROR(VLOOKUP($Q1565,'391'!$S:$AG,15,0),0)</f>
        <v>0</v>
      </c>
      <c r="X1565" s="1090">
        <f t="shared" ref="X1565:X1568" si="969">G1565-W1565</f>
        <v>0</v>
      </c>
      <c r="Y1565" s="785"/>
      <c r="Z1565" s="785"/>
      <c r="AA1565" s="797"/>
      <c r="AB1565" s="797"/>
      <c r="AC1565" s="551"/>
      <c r="AD1565" s="551"/>
      <c r="AE1565" s="551"/>
      <c r="AF1565" s="551"/>
      <c r="AG1565" s="551"/>
      <c r="AH1565" s="551"/>
      <c r="AI1565" s="704"/>
      <c r="AJ1565" s="704"/>
      <c r="AK1565" s="704"/>
      <c r="AL1565" s="704"/>
      <c r="AM1565" s="704"/>
      <c r="AN1565" s="704"/>
      <c r="AO1565" s="704"/>
      <c r="AP1565" s="704"/>
      <c r="AQ1565" s="704"/>
      <c r="AR1565" s="704"/>
      <c r="AS1565" s="704"/>
    </row>
    <row r="1566" spans="1:45" s="265" customFormat="1" ht="30" hidden="1" customHeight="1" x14ac:dyDescent="0.25">
      <c r="A1566" s="2084"/>
      <c r="B1566" s="2076"/>
      <c r="C1566" s="574"/>
      <c r="D1566" s="881" t="s">
        <v>10</v>
      </c>
      <c r="E1566" s="882">
        <v>44200</v>
      </c>
      <c r="F1566" s="71">
        <f>$L$7-E1566</f>
        <v>2086</v>
      </c>
      <c r="G1566" s="64">
        <v>0</v>
      </c>
      <c r="H1566" s="64"/>
      <c r="I1566" s="64"/>
      <c r="J1566" s="1367"/>
      <c r="K1566" s="64">
        <f>IFERROR(SUMIF(INTAKE!$A:$A,$T1566,INTAKE!$P:$P),0)</f>
        <v>0</v>
      </c>
      <c r="L1566" s="531">
        <f>+G1566+H1566+I1566-J1566-K1566</f>
        <v>0</v>
      </c>
      <c r="M1566" s="102"/>
      <c r="N1566" s="103"/>
      <c r="O1566" s="102"/>
      <c r="P1566" s="739"/>
      <c r="Q1566" s="795"/>
      <c r="R1566" s="785">
        <f>IFERROR(VLOOKUP($Q1566,'391'!$S:$Z,8,0),"")</f>
        <v>0</v>
      </c>
      <c r="S1566" s="796"/>
      <c r="T1566" s="797" t="str">
        <f t="shared" ref="T1566:T1567" si="970">$Q$1528&amp;C1566&amp;E1566</f>
        <v>Rumifat Plus (Malaysia)44200</v>
      </c>
      <c r="U1566" s="797"/>
      <c r="V1566" s="797"/>
      <c r="W1566" s="785">
        <f>IFERROR(VLOOKUP($Q1566,'391'!$S:$AG,15,0),0)</f>
        <v>0</v>
      </c>
      <c r="X1566" s="1090">
        <f t="shared" si="969"/>
        <v>0</v>
      </c>
      <c r="Y1566" s="785"/>
      <c r="Z1566" s="785"/>
      <c r="AA1566" s="797"/>
      <c r="AB1566" s="797"/>
      <c r="AC1566" s="551"/>
      <c r="AD1566" s="551"/>
      <c r="AE1566" s="551"/>
      <c r="AF1566" s="551"/>
      <c r="AG1566" s="551"/>
      <c r="AH1566" s="551"/>
      <c r="AI1566" s="704"/>
      <c r="AJ1566" s="704"/>
      <c r="AK1566" s="704"/>
      <c r="AL1566" s="704"/>
      <c r="AM1566" s="704"/>
      <c r="AN1566" s="704"/>
      <c r="AO1566" s="704"/>
      <c r="AP1566" s="704"/>
      <c r="AQ1566" s="704"/>
      <c r="AR1566" s="704"/>
      <c r="AS1566" s="704"/>
    </row>
    <row r="1567" spans="1:45" s="265" customFormat="1" ht="30" hidden="1" customHeight="1" x14ac:dyDescent="0.25">
      <c r="A1567" s="2085"/>
      <c r="B1567" s="2068"/>
      <c r="C1567" s="138" t="s">
        <v>76</v>
      </c>
      <c r="D1567" s="884" t="s">
        <v>10</v>
      </c>
      <c r="E1567" s="885">
        <v>45898</v>
      </c>
      <c r="F1567" s="293">
        <f>$L$7-E1567</f>
        <v>388</v>
      </c>
      <c r="G1567" s="1214">
        <v>0</v>
      </c>
      <c r="H1567" s="37"/>
      <c r="I1567" s="37">
        <f>+K1566+K1565</f>
        <v>0</v>
      </c>
      <c r="J1567" s="1385">
        <f>usage!I210</f>
        <v>0</v>
      </c>
      <c r="K1567" s="64">
        <f>IFERROR(SUMIF(INTAKE!$A:$A,$T1567,INTAKE!$P:$P),0)</f>
        <v>0</v>
      </c>
      <c r="L1567" s="1533">
        <f>+G1567+H1567+I1567-J1567-K1567</f>
        <v>0</v>
      </c>
      <c r="M1567" s="98"/>
      <c r="N1567" s="1473"/>
      <c r="O1567" s="98"/>
      <c r="P1567" s="759"/>
      <c r="Q1567" s="795"/>
      <c r="R1567" s="785">
        <f>IFERROR(VLOOKUP($Q1567,'391'!$S:$Z,8,0),"")</f>
        <v>0</v>
      </c>
      <c r="S1567" s="796"/>
      <c r="T1567" s="797" t="str">
        <f t="shared" si="970"/>
        <v>Rumifat Plus (Malaysia)Feedmil45898</v>
      </c>
      <c r="U1567" s="797"/>
      <c r="V1567" s="797"/>
      <c r="W1567" s="785">
        <f>IFERROR(VLOOKUP($Q1567,'391'!$S:$AG,15,0),0)</f>
        <v>0</v>
      </c>
      <c r="X1567" s="1090">
        <f t="shared" si="969"/>
        <v>0</v>
      </c>
      <c r="Y1567" s="785"/>
      <c r="Z1567" s="785"/>
      <c r="AA1567" s="797"/>
      <c r="AB1567" s="797"/>
      <c r="AC1567" s="551"/>
      <c r="AD1567" s="551"/>
      <c r="AE1567" s="551"/>
      <c r="AF1567" s="551"/>
      <c r="AG1567" s="551"/>
      <c r="AH1567" s="551"/>
      <c r="AI1567" s="704"/>
      <c r="AJ1567" s="704"/>
      <c r="AK1567" s="704"/>
      <c r="AL1567" s="704"/>
      <c r="AM1567" s="704"/>
      <c r="AN1567" s="704"/>
      <c r="AO1567" s="704"/>
      <c r="AP1567" s="704"/>
      <c r="AQ1567" s="704"/>
      <c r="AR1567" s="704"/>
      <c r="AS1567" s="704"/>
    </row>
    <row r="1568" spans="1:45" s="265" customFormat="1" ht="30" hidden="1" customHeight="1" x14ac:dyDescent="0.25">
      <c r="A1568" s="184"/>
      <c r="B1568" s="184" t="s">
        <v>1660</v>
      </c>
      <c r="C1568" s="575"/>
      <c r="D1568" s="900"/>
      <c r="E1568" s="901"/>
      <c r="F1568" s="902"/>
      <c r="G1568" s="1297">
        <v>0</v>
      </c>
      <c r="H1568" s="1297">
        <f>+SUM(H1565:H1567)</f>
        <v>0</v>
      </c>
      <c r="I1568" s="1297">
        <f t="shared" ref="I1568:L1568" si="971">+SUM(I1565:I1567)</f>
        <v>0</v>
      </c>
      <c r="J1568" s="1297">
        <f t="shared" si="971"/>
        <v>0</v>
      </c>
      <c r="K1568" s="1297">
        <f t="shared" si="971"/>
        <v>0</v>
      </c>
      <c r="L1568" s="1297">
        <f t="shared" si="971"/>
        <v>0</v>
      </c>
      <c r="M1568" s="92" t="str">
        <f>IFERROR(R1568/$S$2,"")</f>
        <v/>
      </c>
      <c r="N1568" s="99">
        <f>IFERROR(L1568/M1568,0)</f>
        <v>0</v>
      </c>
      <c r="O1568" s="92">
        <f>IFERROR(SUMIF(ETM!$A:$A,$Q1568,ETM!$E:$E),"")</f>
        <v>0</v>
      </c>
      <c r="P1568" s="741">
        <f>IFERROR(L1568/O1568,0)</f>
        <v>0</v>
      </c>
      <c r="Q1568" s="809" t="s">
        <v>1659</v>
      </c>
      <c r="R1568" s="785" t="str">
        <f>IFERROR(VLOOKUP($Q1568,'391'!$S:$Z,8,0),"")</f>
        <v/>
      </c>
      <c r="S1568" s="796"/>
      <c r="T1568" s="797"/>
      <c r="U1568" s="797"/>
      <c r="V1568" s="797"/>
      <c r="W1568" s="785">
        <f>IFERROR(VLOOKUP($Q1568,'391'!$S:$AG,15,0),0)</f>
        <v>0</v>
      </c>
      <c r="X1568" s="1090">
        <f t="shared" si="969"/>
        <v>0</v>
      </c>
      <c r="Y1568" s="785"/>
      <c r="Z1568" s="785"/>
      <c r="AA1568" s="797"/>
      <c r="AB1568" s="797"/>
      <c r="AC1568" s="683"/>
      <c r="AD1568" s="551"/>
      <c r="AE1568" s="551"/>
      <c r="AF1568" s="551"/>
      <c r="AG1568" s="551"/>
      <c r="AH1568" s="551"/>
      <c r="AI1568" s="704"/>
      <c r="AJ1568" s="704"/>
      <c r="AK1568" s="704"/>
      <c r="AL1568" s="704"/>
      <c r="AM1568" s="704"/>
      <c r="AN1568" s="704"/>
      <c r="AO1568" s="704"/>
      <c r="AP1568" s="704"/>
      <c r="AQ1568" s="704"/>
      <c r="AR1568" s="704"/>
      <c r="AS1568" s="704"/>
    </row>
    <row r="1569" spans="1:45" s="265" customFormat="1" ht="30" customHeight="1" x14ac:dyDescent="0.25">
      <c r="A1569" s="2083">
        <f>IF(L1572=0,"",MAX($A$16:A1568)+1)</f>
        <v>110</v>
      </c>
      <c r="B1569" s="2075" t="s">
        <v>1683</v>
      </c>
      <c r="C1569" s="574" t="s">
        <v>273</v>
      </c>
      <c r="D1569" s="881" t="s">
        <v>10</v>
      </c>
      <c r="E1569" s="882">
        <v>46086</v>
      </c>
      <c r="F1569" s="71">
        <f>$L$7-E1569</f>
        <v>200</v>
      </c>
      <c r="G1569" s="64">
        <v>2375</v>
      </c>
      <c r="H1569" s="64"/>
      <c r="I1569" s="64"/>
      <c r="J1569" s="1367"/>
      <c r="K1569" s="1348">
        <f>IFERROR(SUMIF(INTAKE!$A:$A,$T1569,INTAKE!$P:$P),0)</f>
        <v>0</v>
      </c>
      <c r="L1569" s="1669">
        <f>+G1569+H1569+I1569-J1569-K1569</f>
        <v>2375</v>
      </c>
      <c r="M1569" s="102"/>
      <c r="N1569" s="103"/>
      <c r="O1569" s="102"/>
      <c r="P1569" s="739"/>
      <c r="Q1569" s="795"/>
      <c r="R1569" s="785">
        <f>IFERROR(VLOOKUP($Q1569,'391'!$S:$Z,8,0),"")</f>
        <v>0</v>
      </c>
      <c r="S1569" s="796"/>
      <c r="T1569" s="797" t="str">
        <f>$Q$1572&amp;C1569&amp;E1569</f>
        <v>Globatan (France)A19.546086</v>
      </c>
      <c r="U1569" s="797"/>
      <c r="V1569" s="797"/>
      <c r="W1569" s="785">
        <f>IFERROR(VLOOKUP($Q1569,'391'!$S:$AG,15,0),0)</f>
        <v>0</v>
      </c>
      <c r="X1569" s="1090">
        <f t="shared" ref="X1569:X1572" si="972">G1569-W1569</f>
        <v>2375</v>
      </c>
      <c r="Y1569" s="785"/>
      <c r="Z1569" s="785"/>
      <c r="AA1569" s="797"/>
      <c r="AB1569" s="797"/>
      <c r="AC1569" s="551"/>
      <c r="AD1569" s="551"/>
      <c r="AE1569" s="551"/>
      <c r="AF1569" s="551"/>
      <c r="AG1569" s="551"/>
      <c r="AH1569" s="551"/>
      <c r="AI1569" s="704"/>
      <c r="AJ1569" s="704"/>
      <c r="AK1569" s="704"/>
      <c r="AL1569" s="704"/>
      <c r="AM1569" s="704"/>
      <c r="AN1569" s="704"/>
      <c r="AO1569" s="704"/>
      <c r="AP1569" s="704"/>
      <c r="AQ1569" s="704"/>
      <c r="AR1569" s="704"/>
      <c r="AS1569" s="704"/>
    </row>
    <row r="1570" spans="1:45" s="265" customFormat="1" ht="30" hidden="1" customHeight="1" x14ac:dyDescent="0.25">
      <c r="A1570" s="2084"/>
      <c r="B1570" s="2076"/>
      <c r="C1570" s="574"/>
      <c r="D1570" s="881" t="s">
        <v>10</v>
      </c>
      <c r="E1570" s="882">
        <v>44200</v>
      </c>
      <c r="F1570" s="71">
        <f>$L$7-E1570</f>
        <v>2086</v>
      </c>
      <c r="G1570" s="64">
        <v>0</v>
      </c>
      <c r="H1570" s="64"/>
      <c r="I1570" s="64"/>
      <c r="J1570" s="1367"/>
      <c r="K1570" s="64">
        <f>IFERROR(SUMIF(INTAKE!$A:$A,$T1570,INTAKE!$P:$P),0)</f>
        <v>0</v>
      </c>
      <c r="L1570" s="531">
        <f>+G1570+H1570+I1570-J1570-K1570</f>
        <v>0</v>
      </c>
      <c r="M1570" s="102"/>
      <c r="N1570" s="103"/>
      <c r="O1570" s="102"/>
      <c r="P1570" s="739"/>
      <c r="Q1570" s="795"/>
      <c r="R1570" s="785">
        <f>IFERROR(VLOOKUP($Q1570,'391'!$S:$Z,8,0),"")</f>
        <v>0</v>
      </c>
      <c r="S1570" s="796"/>
      <c r="T1570" s="797" t="str">
        <f t="shared" ref="T1570:T1571" si="973">$Q$1572&amp;C1570&amp;E1570</f>
        <v>Globatan (France)44200</v>
      </c>
      <c r="U1570" s="797"/>
      <c r="V1570" s="797"/>
      <c r="W1570" s="785">
        <f>IFERROR(VLOOKUP($Q1570,'391'!$S:$AG,15,0),0)</f>
        <v>0</v>
      </c>
      <c r="X1570" s="1090">
        <f t="shared" si="972"/>
        <v>0</v>
      </c>
      <c r="Y1570" s="785"/>
      <c r="Z1570" s="785"/>
      <c r="AA1570" s="797"/>
      <c r="AB1570" s="797"/>
      <c r="AC1570" s="551"/>
      <c r="AD1570" s="551"/>
      <c r="AE1570" s="551"/>
      <c r="AF1570" s="551"/>
      <c r="AG1570" s="551"/>
      <c r="AH1570" s="551"/>
      <c r="AI1570" s="704"/>
      <c r="AJ1570" s="704"/>
      <c r="AK1570" s="704"/>
      <c r="AL1570" s="704"/>
      <c r="AM1570" s="704"/>
      <c r="AN1570" s="704"/>
      <c r="AO1570" s="704"/>
      <c r="AP1570" s="704"/>
      <c r="AQ1570" s="704"/>
      <c r="AR1570" s="704"/>
      <c r="AS1570" s="704"/>
    </row>
    <row r="1571" spans="1:45" s="265" customFormat="1" ht="30" customHeight="1" x14ac:dyDescent="0.25">
      <c r="A1571" s="2085"/>
      <c r="B1571" s="2068"/>
      <c r="C1571" s="138" t="s">
        <v>76</v>
      </c>
      <c r="D1571" s="884" t="s">
        <v>10</v>
      </c>
      <c r="E1571" s="885">
        <v>46086</v>
      </c>
      <c r="F1571" s="293">
        <f>$L$7-E1571</f>
        <v>200</v>
      </c>
      <c r="G1571" s="1214">
        <v>0</v>
      </c>
      <c r="H1571" s="37"/>
      <c r="I1571" s="37">
        <f>+K1570+K1569</f>
        <v>0</v>
      </c>
      <c r="J1571" s="1385">
        <f>usage!I205</f>
        <v>0</v>
      </c>
      <c r="K1571" s="64">
        <f>IFERROR(SUMIF(INTAKE!$A:$A,$T1571,INTAKE!$P:$P),0)</f>
        <v>0</v>
      </c>
      <c r="L1571" s="1533">
        <f>+G1571+H1571+I1571-J1571-K1571</f>
        <v>0</v>
      </c>
      <c r="M1571" s="98"/>
      <c r="N1571" s="1473"/>
      <c r="O1571" s="98"/>
      <c r="P1571" s="759"/>
      <c r="Q1571" s="795"/>
      <c r="R1571" s="785">
        <f>IFERROR(VLOOKUP($Q1571,'391'!$S:$Z,8,0),"")</f>
        <v>0</v>
      </c>
      <c r="S1571" s="796"/>
      <c r="T1571" s="797" t="str">
        <f t="shared" si="973"/>
        <v>Globatan (France)Feedmil46086</v>
      </c>
      <c r="U1571" s="797"/>
      <c r="V1571" s="797"/>
      <c r="W1571" s="785">
        <f>IFERROR(VLOOKUP($Q1571,'391'!$S:$AG,15,0),0)</f>
        <v>0</v>
      </c>
      <c r="X1571" s="1090">
        <f t="shared" si="972"/>
        <v>0</v>
      </c>
      <c r="Y1571" s="785"/>
      <c r="Z1571" s="785"/>
      <c r="AA1571" s="797"/>
      <c r="AB1571" s="797"/>
      <c r="AC1571" s="551"/>
      <c r="AD1571" s="551"/>
      <c r="AE1571" s="551"/>
      <c r="AF1571" s="551"/>
      <c r="AG1571" s="551"/>
      <c r="AH1571" s="551"/>
      <c r="AI1571" s="704"/>
      <c r="AJ1571" s="704"/>
      <c r="AK1571" s="704"/>
      <c r="AL1571" s="704"/>
      <c r="AM1571" s="704"/>
      <c r="AN1571" s="704"/>
      <c r="AO1571" s="704"/>
      <c r="AP1571" s="704"/>
      <c r="AQ1571" s="704"/>
      <c r="AR1571" s="704"/>
      <c r="AS1571" s="704"/>
    </row>
    <row r="1572" spans="1:45" s="265" customFormat="1" ht="30" customHeight="1" x14ac:dyDescent="0.25">
      <c r="A1572" s="184"/>
      <c r="B1572" s="184" t="s">
        <v>1684</v>
      </c>
      <c r="C1572" s="575"/>
      <c r="D1572" s="900"/>
      <c r="E1572" s="901"/>
      <c r="F1572" s="902"/>
      <c r="G1572" s="1297">
        <v>2375</v>
      </c>
      <c r="H1572" s="1297">
        <f>+SUM(H1569:H1571)</f>
        <v>0</v>
      </c>
      <c r="I1572" s="1297">
        <f t="shared" ref="I1572:L1572" si="974">+SUM(I1569:I1571)</f>
        <v>0</v>
      </c>
      <c r="J1572" s="1297">
        <f t="shared" si="974"/>
        <v>0</v>
      </c>
      <c r="K1572" s="1297">
        <f t="shared" si="974"/>
        <v>0</v>
      </c>
      <c r="L1572" s="1297">
        <f t="shared" si="974"/>
        <v>2375</v>
      </c>
      <c r="M1572" s="92">
        <f>IFERROR(R1572/$S$2,"")</f>
        <v>0</v>
      </c>
      <c r="N1572" s="99">
        <f>IFERROR(L1572/M1572,0)</f>
        <v>0</v>
      </c>
      <c r="O1572" s="92">
        <f>IFERROR(SUMIF(ETM!$A:$A,$Q1572,ETM!$E:$E),"")</f>
        <v>0</v>
      </c>
      <c r="P1572" s="741">
        <f>IFERROR(L1572/O1572,0)</f>
        <v>0</v>
      </c>
      <c r="Q1572" s="809" t="s">
        <v>1683</v>
      </c>
      <c r="R1572" s="785">
        <f>IFERROR(VLOOKUP($Q1572,'391'!$S:$Z,8,0),"")</f>
        <v>0</v>
      </c>
      <c r="S1572" s="796"/>
      <c r="T1572" s="797"/>
      <c r="U1572" s="797"/>
      <c r="V1572" s="797"/>
      <c r="W1572" s="785">
        <f>IFERROR(VLOOKUP($Q1572,'391'!$S:$AG,15,0),0)</f>
        <v>2375</v>
      </c>
      <c r="X1572" s="1090">
        <f t="shared" si="972"/>
        <v>0</v>
      </c>
      <c r="Y1572" s="785"/>
      <c r="Z1572" s="785"/>
      <c r="AA1572" s="797"/>
      <c r="AB1572" s="797"/>
      <c r="AC1572" s="683"/>
      <c r="AD1572" s="551"/>
      <c r="AE1572" s="551"/>
      <c r="AF1572" s="551"/>
      <c r="AG1572" s="551"/>
      <c r="AH1572" s="551"/>
      <c r="AI1572" s="704"/>
      <c r="AJ1572" s="704"/>
      <c r="AK1572" s="704"/>
      <c r="AL1572" s="704"/>
      <c r="AM1572" s="704"/>
      <c r="AN1572" s="704"/>
      <c r="AO1572" s="704"/>
      <c r="AP1572" s="704"/>
      <c r="AQ1572" s="704"/>
      <c r="AR1572" s="704"/>
      <c r="AS1572" s="704"/>
    </row>
    <row r="1573" spans="1:45" s="265" customFormat="1" ht="30" hidden="1" customHeight="1" x14ac:dyDescent="0.25">
      <c r="A1573" s="2083" t="str">
        <f>IF(L1577=0,"",MAX($A$16:A1572)+1)</f>
        <v/>
      </c>
      <c r="B1573" s="2075" t="s">
        <v>1685</v>
      </c>
      <c r="C1573" s="574" t="s">
        <v>141</v>
      </c>
      <c r="D1573" s="881" t="s">
        <v>10</v>
      </c>
      <c r="E1573" s="882">
        <v>46009</v>
      </c>
      <c r="F1573" s="71">
        <f>$L$7-E1573</f>
        <v>277</v>
      </c>
      <c r="G1573" s="64">
        <v>0</v>
      </c>
      <c r="H1573" s="64"/>
      <c r="I1573" s="64"/>
      <c r="J1573" s="1367"/>
      <c r="K1573" s="64">
        <f>IFERROR(SUMIF(INTAKE!$A:$A,$T1573,INTAKE!$P:$P),0)</f>
        <v>0</v>
      </c>
      <c r="L1573" s="1669">
        <f>+G1573+H1573+I1573-J1573-K1573</f>
        <v>0</v>
      </c>
      <c r="M1573" s="102"/>
      <c r="N1573" s="103"/>
      <c r="O1573" s="102"/>
      <c r="P1573" s="739"/>
      <c r="Q1573" s="795"/>
      <c r="R1573" s="785">
        <f>IFERROR(VLOOKUP($Q1573,'391'!$S:$Z,8,0),"")</f>
        <v>0</v>
      </c>
      <c r="S1573" s="796"/>
      <c r="T1573" s="797" t="str">
        <f>$Q$1577&amp;C1573&amp;E1573</f>
        <v>KingBrown (polyphenols)(France)Y6.246009</v>
      </c>
      <c r="U1573" s="797"/>
      <c r="V1573" s="797"/>
      <c r="W1573" s="785">
        <f>IFERROR(VLOOKUP($Q1573,'391'!$S:$AG,15,0),0)</f>
        <v>0</v>
      </c>
      <c r="X1573" s="1090">
        <f t="shared" ref="X1573:X1577" si="975">G1573-W1573</f>
        <v>0</v>
      </c>
      <c r="Y1573" s="785"/>
      <c r="Z1573" s="785"/>
      <c r="AA1573" s="797"/>
      <c r="AB1573" s="797"/>
      <c r="AC1573" s="551"/>
      <c r="AD1573" s="551"/>
      <c r="AE1573" s="551"/>
      <c r="AF1573" s="551"/>
      <c r="AG1573" s="551"/>
      <c r="AH1573" s="551"/>
      <c r="AI1573" s="704"/>
      <c r="AJ1573" s="704"/>
      <c r="AK1573" s="704"/>
      <c r="AL1573" s="704"/>
      <c r="AM1573" s="704"/>
      <c r="AN1573" s="704"/>
      <c r="AO1573" s="704"/>
      <c r="AP1573" s="704"/>
      <c r="AQ1573" s="704"/>
      <c r="AR1573" s="704"/>
      <c r="AS1573" s="704"/>
    </row>
    <row r="1574" spans="1:45" s="265" customFormat="1" ht="30" hidden="1" customHeight="1" x14ac:dyDescent="0.25">
      <c r="A1574" s="2121"/>
      <c r="B1574" s="2082"/>
      <c r="C1574" s="574"/>
      <c r="D1574" s="881" t="s">
        <v>10</v>
      </c>
      <c r="E1574" s="882">
        <v>46009</v>
      </c>
      <c r="F1574" s="71">
        <f>$L$7-E1574</f>
        <v>277</v>
      </c>
      <c r="G1574" s="64">
        <v>0</v>
      </c>
      <c r="H1574" s="64"/>
      <c r="I1574" s="64"/>
      <c r="J1574" s="1367"/>
      <c r="K1574" s="64">
        <f>IFERROR(SUMIF(INTAKE!$A:$A,$T1574,INTAKE!$P:$P),0)</f>
        <v>0</v>
      </c>
      <c r="L1574" s="1669">
        <f>+G1574+H1574+I1574-J1574-K1574</f>
        <v>0</v>
      </c>
      <c r="M1574" s="102"/>
      <c r="N1574" s="103"/>
      <c r="O1574" s="102"/>
      <c r="P1574" s="739"/>
      <c r="Q1574" s="795"/>
      <c r="R1574" s="785">
        <f>IFERROR(VLOOKUP($Q1574,'391'!$S:$Z,8,0),"")</f>
        <v>0</v>
      </c>
      <c r="S1574" s="796"/>
      <c r="T1574" s="797" t="str">
        <f t="shared" ref="T1574" si="976">$Q$1577&amp;C1574&amp;E1574</f>
        <v>KingBrown (polyphenols)(France)46009</v>
      </c>
      <c r="U1574" s="797"/>
      <c r="V1574" s="797"/>
      <c r="W1574" s="785">
        <f>IFERROR(VLOOKUP($Q1574,'391'!$S:$AG,15,0),0)</f>
        <v>0</v>
      </c>
      <c r="X1574" s="1090">
        <f t="shared" ref="X1574" si="977">G1574-W1574</f>
        <v>0</v>
      </c>
      <c r="Y1574" s="785"/>
      <c r="Z1574" s="785"/>
      <c r="AA1574" s="797"/>
      <c r="AB1574" s="797"/>
      <c r="AC1574" s="551"/>
      <c r="AD1574" s="551"/>
      <c r="AE1574" s="551"/>
      <c r="AF1574" s="551"/>
      <c r="AG1574" s="551"/>
      <c r="AH1574" s="551"/>
      <c r="AI1574" s="704"/>
      <c r="AJ1574" s="704"/>
      <c r="AK1574" s="704"/>
      <c r="AL1574" s="704"/>
      <c r="AM1574" s="704"/>
      <c r="AN1574" s="704"/>
      <c r="AO1574" s="704"/>
      <c r="AP1574" s="704"/>
      <c r="AQ1574" s="704"/>
      <c r="AR1574" s="704"/>
      <c r="AS1574" s="704"/>
    </row>
    <row r="1575" spans="1:45" s="265" customFormat="1" ht="30" hidden="1" customHeight="1" x14ac:dyDescent="0.25">
      <c r="A1575" s="2084"/>
      <c r="B1575" s="2076"/>
      <c r="C1575" s="574"/>
      <c r="D1575" s="881" t="s">
        <v>10</v>
      </c>
      <c r="E1575" s="882">
        <v>46009</v>
      </c>
      <c r="F1575" s="71">
        <f>$L$7-E1575</f>
        <v>277</v>
      </c>
      <c r="G1575" s="64">
        <v>0</v>
      </c>
      <c r="H1575" s="64"/>
      <c r="I1575" s="64"/>
      <c r="J1575" s="1367"/>
      <c r="K1575" s="64">
        <f>IFERROR(SUMIF(INTAKE!$A:$A,$T1575,INTAKE!$P:$P),0)</f>
        <v>0</v>
      </c>
      <c r="L1575" s="531">
        <f>+G1575+H1575+I1575-J1575-K1575</f>
        <v>0</v>
      </c>
      <c r="M1575" s="102"/>
      <c r="N1575" s="103"/>
      <c r="O1575" s="102"/>
      <c r="P1575" s="739"/>
      <c r="Q1575" s="795"/>
      <c r="R1575" s="785">
        <f>IFERROR(VLOOKUP($Q1575,'391'!$S:$Z,8,0),"")</f>
        <v>0</v>
      </c>
      <c r="S1575" s="796"/>
      <c r="T1575" s="797" t="str">
        <f t="shared" ref="T1575:T1576" si="978">$Q$1577&amp;C1575&amp;E1575</f>
        <v>KingBrown (polyphenols)(France)46009</v>
      </c>
      <c r="U1575" s="797"/>
      <c r="V1575" s="797"/>
      <c r="W1575" s="785">
        <f>IFERROR(VLOOKUP($Q1575,'391'!$S:$AG,15,0),0)</f>
        <v>0</v>
      </c>
      <c r="X1575" s="1090">
        <f t="shared" si="975"/>
        <v>0</v>
      </c>
      <c r="Y1575" s="785"/>
      <c r="Z1575" s="785"/>
      <c r="AA1575" s="797"/>
      <c r="AB1575" s="797"/>
      <c r="AC1575" s="551"/>
      <c r="AD1575" s="551"/>
      <c r="AE1575" s="551"/>
      <c r="AF1575" s="551"/>
      <c r="AG1575" s="551"/>
      <c r="AH1575" s="551"/>
      <c r="AI1575" s="704"/>
      <c r="AJ1575" s="704"/>
      <c r="AK1575" s="704"/>
      <c r="AL1575" s="704"/>
      <c r="AM1575" s="704"/>
      <c r="AN1575" s="704"/>
      <c r="AO1575" s="704"/>
      <c r="AP1575" s="704"/>
      <c r="AQ1575" s="704"/>
      <c r="AR1575" s="704"/>
      <c r="AS1575" s="704"/>
    </row>
    <row r="1576" spans="1:45" s="265" customFormat="1" ht="30" hidden="1" customHeight="1" x14ac:dyDescent="0.25">
      <c r="A1576" s="2085"/>
      <c r="B1576" s="2068"/>
      <c r="C1576" s="138" t="s">
        <v>76</v>
      </c>
      <c r="D1576" s="884" t="s">
        <v>10</v>
      </c>
      <c r="E1576" s="885">
        <v>46009</v>
      </c>
      <c r="F1576" s="293">
        <f>$L$7-E1576</f>
        <v>277</v>
      </c>
      <c r="G1576" s="1214">
        <v>0</v>
      </c>
      <c r="H1576" s="37"/>
      <c r="I1576" s="37">
        <f>+K1575+K1573+K1574</f>
        <v>0</v>
      </c>
      <c r="J1576" s="1385">
        <f>usage!I204</f>
        <v>0</v>
      </c>
      <c r="K1576" s="64">
        <f>IFERROR(SUMIF(INTAKE!$A:$A,$T1576,INTAKE!$P:$P),0)</f>
        <v>0</v>
      </c>
      <c r="L1576" s="1533">
        <f>+G1576+H1576+I1576-J1576-K1576</f>
        <v>0</v>
      </c>
      <c r="M1576" s="98"/>
      <c r="N1576" s="1473"/>
      <c r="O1576" s="98"/>
      <c r="P1576" s="759"/>
      <c r="Q1576" s="795"/>
      <c r="R1576" s="785">
        <f>IFERROR(VLOOKUP($Q1576,'391'!$S:$Z,8,0),"")</f>
        <v>0</v>
      </c>
      <c r="S1576" s="796"/>
      <c r="T1576" s="797" t="str">
        <f t="shared" si="978"/>
        <v>KingBrown (polyphenols)(France)Feedmil46009</v>
      </c>
      <c r="U1576" s="797"/>
      <c r="V1576" s="797"/>
      <c r="W1576" s="785">
        <f>IFERROR(VLOOKUP($Q1576,'391'!$S:$AG,15,0),0)</f>
        <v>0</v>
      </c>
      <c r="X1576" s="1090">
        <f t="shared" si="975"/>
        <v>0</v>
      </c>
      <c r="Y1576" s="785"/>
      <c r="Z1576" s="785"/>
      <c r="AA1576" s="797"/>
      <c r="AB1576" s="797"/>
      <c r="AC1576" s="551"/>
      <c r="AD1576" s="551"/>
      <c r="AE1576" s="551"/>
      <c r="AF1576" s="551"/>
      <c r="AG1576" s="551"/>
      <c r="AH1576" s="551"/>
      <c r="AI1576" s="704"/>
      <c r="AJ1576" s="704"/>
      <c r="AK1576" s="704"/>
      <c r="AL1576" s="704"/>
      <c r="AM1576" s="704"/>
      <c r="AN1576" s="704"/>
      <c r="AO1576" s="704"/>
      <c r="AP1576" s="704"/>
      <c r="AQ1576" s="704"/>
      <c r="AR1576" s="704"/>
      <c r="AS1576" s="704"/>
    </row>
    <row r="1577" spans="1:45" s="265" customFormat="1" ht="30" hidden="1" customHeight="1" x14ac:dyDescent="0.25">
      <c r="A1577" s="184"/>
      <c r="B1577" s="184" t="s">
        <v>1686</v>
      </c>
      <c r="C1577" s="575"/>
      <c r="D1577" s="900"/>
      <c r="E1577" s="901"/>
      <c r="F1577" s="902"/>
      <c r="G1577" s="1297">
        <v>0</v>
      </c>
      <c r="H1577" s="1297">
        <f>+SUM(H1573:H1576)</f>
        <v>0</v>
      </c>
      <c r="I1577" s="1297">
        <f t="shared" ref="I1577:L1577" si="979">+SUM(I1573:I1576)</f>
        <v>0</v>
      </c>
      <c r="J1577" s="1297">
        <f t="shared" si="979"/>
        <v>0</v>
      </c>
      <c r="K1577" s="1297">
        <f t="shared" si="979"/>
        <v>0</v>
      </c>
      <c r="L1577" s="1297">
        <f t="shared" si="979"/>
        <v>0</v>
      </c>
      <c r="M1577" s="92" t="str">
        <f>IFERROR(R1577/$S$2,"")</f>
        <v/>
      </c>
      <c r="N1577" s="99">
        <f>IFERROR(L1577/M1577,0)</f>
        <v>0</v>
      </c>
      <c r="O1577" s="92">
        <f>IFERROR(SUMIF(ETM!$A:$A,$Q1577,ETM!$E:$E),"")</f>
        <v>0</v>
      </c>
      <c r="P1577" s="741">
        <f>IFERROR(L1577/O1577,0)</f>
        <v>0</v>
      </c>
      <c r="Q1577" s="809" t="s">
        <v>1685</v>
      </c>
      <c r="R1577" s="785" t="str">
        <f>IFERROR(VLOOKUP($Q1577,'391'!$S:$Z,8,0),"")</f>
        <v/>
      </c>
      <c r="S1577" s="796"/>
      <c r="T1577" s="797"/>
      <c r="U1577" s="797"/>
      <c r="V1577" s="797"/>
      <c r="W1577" s="785">
        <f>IFERROR(VLOOKUP($Q1577,'391'!$S:$AG,15,0),0)</f>
        <v>0</v>
      </c>
      <c r="X1577" s="1090">
        <f t="shared" si="975"/>
        <v>0</v>
      </c>
      <c r="Y1577" s="785"/>
      <c r="Z1577" s="785"/>
      <c r="AA1577" s="797"/>
      <c r="AB1577" s="797"/>
      <c r="AC1577" s="683"/>
      <c r="AD1577" s="551"/>
      <c r="AE1577" s="551"/>
      <c r="AF1577" s="551"/>
      <c r="AG1577" s="551"/>
      <c r="AH1577" s="551"/>
      <c r="AI1577" s="704"/>
      <c r="AJ1577" s="704"/>
      <c r="AK1577" s="704"/>
      <c r="AL1577" s="704"/>
      <c r="AM1577" s="704"/>
      <c r="AN1577" s="704"/>
      <c r="AO1577" s="704"/>
      <c r="AP1577" s="704"/>
      <c r="AQ1577" s="704"/>
      <c r="AR1577" s="704"/>
      <c r="AS1577" s="704"/>
    </row>
    <row r="1578" spans="1:45" s="265" customFormat="1" ht="30" customHeight="1" x14ac:dyDescent="0.25">
      <c r="A1578" s="2083">
        <f>IF(L1582=0,"",MAX($A$16:A1577)+1)</f>
        <v>111</v>
      </c>
      <c r="B1578" s="2075" t="s">
        <v>1705</v>
      </c>
      <c r="C1578" s="574" t="s">
        <v>264</v>
      </c>
      <c r="D1578" s="881" t="s">
        <v>10</v>
      </c>
      <c r="E1578" s="882">
        <v>46255</v>
      </c>
      <c r="F1578" s="71">
        <f>$L$7-E1578</f>
        <v>31</v>
      </c>
      <c r="G1578" s="64">
        <v>0</v>
      </c>
      <c r="H1578" s="64"/>
      <c r="I1578" s="64"/>
      <c r="J1578" s="1367"/>
      <c r="K1578" s="64">
        <f>IFERROR(SUMIF(INTAKE!$A:$A,$T1578,INTAKE!$P:$P),0)</f>
        <v>0</v>
      </c>
      <c r="L1578" s="1669">
        <f>+G1578+H1578+I1578-J1578-K1578</f>
        <v>0</v>
      </c>
      <c r="M1578" s="102"/>
      <c r="N1578" s="103"/>
      <c r="O1578" s="102"/>
      <c r="P1578" s="739"/>
      <c r="Q1578" s="795"/>
      <c r="R1578" s="785">
        <f>IFERROR(VLOOKUP($Q1578,'391'!$S:$Z,8,0),"")</f>
        <v>0</v>
      </c>
      <c r="S1578" s="796"/>
      <c r="T1578" s="797" t="str">
        <f>$Q$1582&amp;C1578&amp;E1578</f>
        <v>FEED GRADE MONTMORILLONITE (CN)Z5.246255</v>
      </c>
      <c r="U1578" s="797"/>
      <c r="V1578" s="797"/>
      <c r="W1578" s="785">
        <f>IFERROR(VLOOKUP($Q1578,'391'!$S:$AG,15,0),0)</f>
        <v>0</v>
      </c>
      <c r="X1578" s="1090">
        <f t="shared" ref="X1578:X1586" si="980">G1578-W1578</f>
        <v>0</v>
      </c>
      <c r="Y1578" s="785"/>
      <c r="Z1578" s="785"/>
      <c r="AA1578" s="797"/>
      <c r="AB1578" s="797"/>
      <c r="AC1578" s="551"/>
      <c r="AD1578" s="551"/>
      <c r="AE1578" s="551"/>
      <c r="AF1578" s="551"/>
      <c r="AG1578" s="551"/>
      <c r="AH1578" s="551"/>
      <c r="AI1578" s="704"/>
      <c r="AJ1578" s="704"/>
      <c r="AK1578" s="704"/>
      <c r="AL1578" s="704"/>
      <c r="AM1578" s="704"/>
      <c r="AN1578" s="704"/>
      <c r="AO1578" s="704"/>
      <c r="AP1578" s="704"/>
      <c r="AQ1578" s="704"/>
      <c r="AR1578" s="704"/>
      <c r="AS1578" s="704"/>
    </row>
    <row r="1579" spans="1:45" s="265" customFormat="1" ht="30" customHeight="1" x14ac:dyDescent="0.25">
      <c r="A1579" s="2121"/>
      <c r="B1579" s="2082"/>
      <c r="C1579" s="574" t="s">
        <v>2189</v>
      </c>
      <c r="D1579" s="881" t="s">
        <v>10</v>
      </c>
      <c r="E1579" s="882">
        <v>46275</v>
      </c>
      <c r="F1579" s="71">
        <f>$L$7-E1579</f>
        <v>11</v>
      </c>
      <c r="G1579" s="64">
        <v>2000</v>
      </c>
      <c r="H1579" s="64"/>
      <c r="I1579" s="64"/>
      <c r="J1579" s="1367"/>
      <c r="K1579" s="64">
        <f>IFERROR(SUMIF(INTAKE!$A:$A,$T1579,INTAKE!$P:$P),0)</f>
        <v>0</v>
      </c>
      <c r="L1579" s="1669">
        <f>+G1579+H1579+I1579-J1579-K1579</f>
        <v>2000</v>
      </c>
      <c r="M1579" s="102"/>
      <c r="N1579" s="103"/>
      <c r="O1579" s="102"/>
      <c r="P1579" s="739"/>
      <c r="Q1579" s="795"/>
      <c r="R1579" s="785">
        <f>IFERROR(VLOOKUP($Q1579,'391'!$S:$Z,8,0),"")</f>
        <v>0</v>
      </c>
      <c r="S1579" s="796"/>
      <c r="T1579" s="797" t="str">
        <f t="shared" ref="T1579" si="981">$Q$1582&amp;C1579&amp;E1579</f>
        <v>FEED GRADE MONTMORILLONITE (CN)V6.346275</v>
      </c>
      <c r="U1579" s="797"/>
      <c r="V1579" s="797"/>
      <c r="W1579" s="785">
        <f>IFERROR(VLOOKUP($Q1579,'391'!$S:$AG,15,0),0)</f>
        <v>0</v>
      </c>
      <c r="X1579" s="1090">
        <f t="shared" ref="X1579" si="982">G1579-W1579</f>
        <v>2000</v>
      </c>
      <c r="Y1579" s="785"/>
      <c r="Z1579" s="785"/>
      <c r="AA1579" s="797"/>
      <c r="AB1579" s="797"/>
      <c r="AC1579" s="551"/>
      <c r="AD1579" s="551"/>
      <c r="AE1579" s="551"/>
      <c r="AF1579" s="551"/>
      <c r="AG1579" s="551"/>
      <c r="AH1579" s="551"/>
      <c r="AI1579" s="704"/>
      <c r="AJ1579" s="704"/>
      <c r="AK1579" s="704"/>
      <c r="AL1579" s="704"/>
      <c r="AM1579" s="704"/>
      <c r="AN1579" s="704"/>
      <c r="AO1579" s="704"/>
      <c r="AP1579" s="704"/>
      <c r="AQ1579" s="704"/>
      <c r="AR1579" s="704"/>
      <c r="AS1579" s="704"/>
    </row>
    <row r="1580" spans="1:45" s="265" customFormat="1" ht="30" customHeight="1" x14ac:dyDescent="0.25">
      <c r="A1580" s="2084"/>
      <c r="B1580" s="2076"/>
      <c r="C1580" s="574" t="s">
        <v>235</v>
      </c>
      <c r="D1580" s="881" t="s">
        <v>10</v>
      </c>
      <c r="E1580" s="882">
        <v>46275</v>
      </c>
      <c r="F1580" s="71">
        <f>$L$7-E1580</f>
        <v>11</v>
      </c>
      <c r="G1580" s="64">
        <v>2000</v>
      </c>
      <c r="H1580" s="64"/>
      <c r="I1580" s="64"/>
      <c r="J1580" s="1367"/>
      <c r="K1580" s="64">
        <f>IFERROR(SUMIF(INTAKE!$A:$A,$T1580,INTAKE!$P:$P),0)</f>
        <v>0</v>
      </c>
      <c r="L1580" s="1669">
        <f>+G1580+H1580+I1580-J1580-K1580</f>
        <v>2000</v>
      </c>
      <c r="M1580" s="102"/>
      <c r="N1580" s="103"/>
      <c r="O1580" s="102"/>
      <c r="P1580" s="739"/>
      <c r="Q1580" s="795"/>
      <c r="R1580" s="785">
        <f>IFERROR(VLOOKUP($Q1580,'391'!$S:$Z,8,0),"")</f>
        <v>0</v>
      </c>
      <c r="S1580" s="796"/>
      <c r="T1580" s="797" t="str">
        <f t="shared" ref="T1580:T1581" si="983">$Q$1582&amp;C1580&amp;E1580</f>
        <v>FEED GRADE MONTMORILLONITE (CN)V7.346275</v>
      </c>
      <c r="U1580" s="797"/>
      <c r="V1580" s="797"/>
      <c r="W1580" s="785">
        <f>IFERROR(VLOOKUP($Q1580,'391'!$S:$AG,15,0),0)</f>
        <v>0</v>
      </c>
      <c r="X1580" s="1090">
        <f t="shared" si="980"/>
        <v>2000</v>
      </c>
      <c r="Y1580" s="785"/>
      <c r="Z1580" s="785"/>
      <c r="AA1580" s="797"/>
      <c r="AB1580" s="797"/>
      <c r="AC1580" s="551"/>
      <c r="AD1580" s="551"/>
      <c r="AE1580" s="551"/>
      <c r="AF1580" s="551"/>
      <c r="AG1580" s="551"/>
      <c r="AH1580" s="551"/>
      <c r="AI1580" s="704"/>
      <c r="AJ1580" s="704"/>
      <c r="AK1580" s="704"/>
      <c r="AL1580" s="704"/>
      <c r="AM1580" s="704"/>
      <c r="AN1580" s="704"/>
      <c r="AO1580" s="704"/>
      <c r="AP1580" s="704"/>
      <c r="AQ1580" s="704"/>
      <c r="AR1580" s="704"/>
      <c r="AS1580" s="704"/>
    </row>
    <row r="1581" spans="1:45" s="265" customFormat="1" ht="30" customHeight="1" x14ac:dyDescent="0.25">
      <c r="A1581" s="2085"/>
      <c r="B1581" s="2068"/>
      <c r="C1581" s="138" t="s">
        <v>76</v>
      </c>
      <c r="D1581" s="884" t="s">
        <v>10</v>
      </c>
      <c r="E1581" s="885">
        <v>46255</v>
      </c>
      <c r="F1581" s="293">
        <f>$L$7-E1581</f>
        <v>31</v>
      </c>
      <c r="G1581" s="1214">
        <v>397.80000000000035</v>
      </c>
      <c r="H1581" s="37"/>
      <c r="I1581" s="37">
        <f>+K1580+K1578+K1579</f>
        <v>0</v>
      </c>
      <c r="J1581" s="1385">
        <f>usage!I206</f>
        <v>33.659999999999997</v>
      </c>
      <c r="K1581" s="64">
        <f>IFERROR(SUMIF(INTAKE!$A:$A,$T1581,INTAKE!$P:$P),0)</f>
        <v>0</v>
      </c>
      <c r="L1581" s="1533">
        <f>+G1581+H1581+I1581-J1581-K1581</f>
        <v>364.14000000000033</v>
      </c>
      <c r="M1581" s="98"/>
      <c r="N1581" s="1473"/>
      <c r="O1581" s="98"/>
      <c r="P1581" s="759"/>
      <c r="Q1581" s="795"/>
      <c r="R1581" s="785">
        <f>IFERROR(VLOOKUP($Q1581,'391'!$S:$Z,8,0),"")</f>
        <v>0</v>
      </c>
      <c r="S1581" s="796"/>
      <c r="T1581" s="797" t="str">
        <f t="shared" si="983"/>
        <v>FEED GRADE MONTMORILLONITE (CN)Feedmil46255</v>
      </c>
      <c r="U1581" s="797"/>
      <c r="V1581" s="797"/>
      <c r="W1581" s="785">
        <f>IFERROR(VLOOKUP($Q1581,'391'!$S:$AG,15,0),0)</f>
        <v>0</v>
      </c>
      <c r="X1581" s="1090">
        <f t="shared" si="980"/>
        <v>397.80000000000035</v>
      </c>
      <c r="Y1581" s="785"/>
      <c r="Z1581" s="785"/>
      <c r="AA1581" s="797"/>
      <c r="AB1581" s="797"/>
      <c r="AC1581" s="551"/>
      <c r="AD1581" s="551"/>
      <c r="AE1581" s="551"/>
      <c r="AF1581" s="551"/>
      <c r="AG1581" s="551"/>
      <c r="AH1581" s="551"/>
      <c r="AI1581" s="704"/>
      <c r="AJ1581" s="704"/>
      <c r="AK1581" s="704"/>
      <c r="AL1581" s="704"/>
      <c r="AM1581" s="704"/>
      <c r="AN1581" s="704"/>
      <c r="AO1581" s="704"/>
      <c r="AP1581" s="704"/>
      <c r="AQ1581" s="704"/>
      <c r="AR1581" s="704"/>
      <c r="AS1581" s="704"/>
    </row>
    <row r="1582" spans="1:45" s="265" customFormat="1" ht="30" customHeight="1" x14ac:dyDescent="0.25">
      <c r="A1582" s="184"/>
      <c r="B1582" s="184" t="s">
        <v>1708</v>
      </c>
      <c r="C1582" s="575"/>
      <c r="D1582" s="900"/>
      <c r="E1582" s="901"/>
      <c r="F1582" s="902"/>
      <c r="G1582" s="1297">
        <v>4397.8</v>
      </c>
      <c r="H1582" s="1297">
        <f>+SUM(H1578:H1581)</f>
        <v>0</v>
      </c>
      <c r="I1582" s="1297">
        <f t="shared" ref="I1582:L1582" si="984">+SUM(I1578:I1581)</f>
        <v>0</v>
      </c>
      <c r="J1582" s="1297">
        <f t="shared" si="984"/>
        <v>33.659999999999997</v>
      </c>
      <c r="K1582" s="1297">
        <f t="shared" si="984"/>
        <v>0</v>
      </c>
      <c r="L1582" s="1297">
        <f t="shared" si="984"/>
        <v>4364.1400000000003</v>
      </c>
      <c r="M1582" s="92">
        <f>IFERROR(R1582/$S$2,"")</f>
        <v>231.24666666666667</v>
      </c>
      <c r="N1582" s="99">
        <f>IFERROR(L1582/M1582,0)</f>
        <v>18.872228788883444</v>
      </c>
      <c r="O1582" s="92">
        <f>IFERROR(SUMIF(ETM!$A:$A,$Q1582,ETM!$E:$E),"")</f>
        <v>280.66666666666669</v>
      </c>
      <c r="P1582" s="741">
        <f>IFERROR(L1582/O1582,0)</f>
        <v>15.549192399049881</v>
      </c>
      <c r="Q1582" s="809" t="s">
        <v>1705</v>
      </c>
      <c r="R1582" s="785">
        <f>IFERROR(VLOOKUP($Q1582,'391'!$S:$Z,8,0),"")</f>
        <v>1387.48</v>
      </c>
      <c r="S1582" s="796"/>
      <c r="T1582" s="797"/>
      <c r="U1582" s="797"/>
      <c r="V1582" s="797"/>
      <c r="W1582" s="785">
        <f>IFERROR(VLOOKUP($Q1582,'391'!$S:$AG,15,0),0)</f>
        <v>4397.8</v>
      </c>
      <c r="X1582" s="1090">
        <f t="shared" si="980"/>
        <v>0</v>
      </c>
      <c r="Y1582" s="785"/>
      <c r="Z1582" s="785"/>
      <c r="AA1582" s="797"/>
      <c r="AB1582" s="797"/>
      <c r="AC1582" s="683"/>
      <c r="AD1582" s="551"/>
      <c r="AE1582" s="551"/>
      <c r="AF1582" s="551"/>
      <c r="AG1582" s="551"/>
      <c r="AH1582" s="551"/>
      <c r="AI1582" s="704"/>
      <c r="AJ1582" s="704"/>
      <c r="AK1582" s="704"/>
      <c r="AL1582" s="704"/>
      <c r="AM1582" s="704"/>
      <c r="AN1582" s="704"/>
      <c r="AO1582" s="704"/>
      <c r="AP1582" s="704"/>
      <c r="AQ1582" s="704"/>
      <c r="AR1582" s="704"/>
      <c r="AS1582" s="704"/>
    </row>
    <row r="1583" spans="1:45" s="265" customFormat="1" ht="30" customHeight="1" x14ac:dyDescent="0.25">
      <c r="A1583" s="2083">
        <f>IF(L1586=0,"",MAX($A$16:A1582)+1)</f>
        <v>112</v>
      </c>
      <c r="B1583" s="2075" t="s">
        <v>1756</v>
      </c>
      <c r="C1583" s="574" t="s">
        <v>1213</v>
      </c>
      <c r="D1583" s="881" t="s">
        <v>10</v>
      </c>
      <c r="E1583" s="882">
        <v>46270</v>
      </c>
      <c r="F1583" s="71">
        <f>$L$7-E1583</f>
        <v>16</v>
      </c>
      <c r="G1583" s="64">
        <v>20</v>
      </c>
      <c r="H1583" s="64"/>
      <c r="I1583" s="64"/>
      <c r="J1583" s="1367"/>
      <c r="K1583" s="64">
        <f>IFERROR(SUMIF(INTAKE!$A:$A,$T1583,INTAKE!$P:$P),0)</f>
        <v>0</v>
      </c>
      <c r="L1583" s="1669">
        <f>+G1583+H1583+I1583-J1583-K1583</f>
        <v>20</v>
      </c>
      <c r="M1583" s="102"/>
      <c r="N1583" s="103"/>
      <c r="O1583" s="102"/>
      <c r="P1583" s="739"/>
      <c r="Q1583" s="795"/>
      <c r="R1583" s="785">
        <f>IFERROR(VLOOKUP($Q1583,'391'!$S:$Z,8,0),"")</f>
        <v>0</v>
      </c>
      <c r="S1583" s="796"/>
      <c r="T1583" s="797" t="str">
        <f>$Q$1586&amp;C1583&amp;E1583</f>
        <v>Doxan 50 (Viet Nam)E346270</v>
      </c>
      <c r="U1583" s="797"/>
      <c r="V1583" s="797"/>
      <c r="W1583" s="785">
        <f>IFERROR(VLOOKUP($Q1583,'391'!$S:$AG,15,0),0)</f>
        <v>0</v>
      </c>
      <c r="X1583" s="1090">
        <f t="shared" si="980"/>
        <v>20</v>
      </c>
      <c r="Y1583" s="785"/>
      <c r="Z1583" s="785"/>
      <c r="AA1583" s="797"/>
      <c r="AB1583" s="797"/>
      <c r="AC1583" s="551"/>
      <c r="AD1583" s="551"/>
      <c r="AE1583" s="551"/>
      <c r="AF1583" s="551"/>
      <c r="AG1583" s="551"/>
      <c r="AH1583" s="551"/>
      <c r="AI1583" s="704"/>
      <c r="AJ1583" s="704"/>
      <c r="AK1583" s="704"/>
      <c r="AL1583" s="704"/>
      <c r="AM1583" s="704"/>
      <c r="AN1583" s="704"/>
      <c r="AO1583" s="704"/>
      <c r="AP1583" s="704"/>
      <c r="AQ1583" s="704"/>
      <c r="AR1583" s="704"/>
      <c r="AS1583" s="704"/>
    </row>
    <row r="1584" spans="1:45" s="265" customFormat="1" ht="30" hidden="1" customHeight="1" x14ac:dyDescent="0.25">
      <c r="A1584" s="2084"/>
      <c r="B1584" s="2076"/>
      <c r="C1584" s="574"/>
      <c r="D1584" s="881" t="s">
        <v>10</v>
      </c>
      <c r="E1584" s="882">
        <v>46017</v>
      </c>
      <c r="F1584" s="71">
        <f>$L$7-E1584</f>
        <v>269</v>
      </c>
      <c r="G1584" s="64">
        <v>0</v>
      </c>
      <c r="H1584" s="64"/>
      <c r="I1584" s="64"/>
      <c r="J1584" s="1367"/>
      <c r="K1584" s="64">
        <f>IFERROR(SUMIF(INTAKE!$A:$A,$T1584,INTAKE!$P:$P),0)</f>
        <v>0</v>
      </c>
      <c r="L1584" s="1669">
        <f>+G1584+H1584+I1584-J1584-K1584</f>
        <v>0</v>
      </c>
      <c r="M1584" s="102"/>
      <c r="N1584" s="103"/>
      <c r="O1584" s="102"/>
      <c r="P1584" s="739"/>
      <c r="Q1584" s="795"/>
      <c r="R1584" s="785">
        <f>IFERROR(VLOOKUP($Q1584,'391'!$S:$Z,8,0),"")</f>
        <v>0</v>
      </c>
      <c r="S1584" s="796"/>
      <c r="T1584" s="797" t="str">
        <f t="shared" ref="T1584:T1585" si="985">$Q$1586&amp;C1584&amp;E1584</f>
        <v>Doxan 50 (Viet Nam)46017</v>
      </c>
      <c r="U1584" s="797"/>
      <c r="V1584" s="797"/>
      <c r="W1584" s="785">
        <f>IFERROR(VLOOKUP($Q1584,'391'!$S:$AG,15,0),0)</f>
        <v>0</v>
      </c>
      <c r="X1584" s="1090">
        <f t="shared" si="980"/>
        <v>0</v>
      </c>
      <c r="Y1584" s="785"/>
      <c r="Z1584" s="785"/>
      <c r="AA1584" s="797"/>
      <c r="AB1584" s="797"/>
      <c r="AC1584" s="551"/>
      <c r="AD1584" s="551"/>
      <c r="AE1584" s="551"/>
      <c r="AF1584" s="551"/>
      <c r="AG1584" s="551"/>
      <c r="AH1584" s="551"/>
      <c r="AI1584" s="704"/>
      <c r="AJ1584" s="704"/>
      <c r="AK1584" s="704"/>
      <c r="AL1584" s="704"/>
      <c r="AM1584" s="704"/>
      <c r="AN1584" s="704"/>
      <c r="AO1584" s="704"/>
      <c r="AP1584" s="704"/>
      <c r="AQ1584" s="704"/>
      <c r="AR1584" s="704"/>
      <c r="AS1584" s="704"/>
    </row>
    <row r="1585" spans="1:45" s="265" customFormat="1" ht="30" customHeight="1" x14ac:dyDescent="0.25">
      <c r="A1585" s="2085"/>
      <c r="B1585" s="2068"/>
      <c r="C1585" s="138" t="s">
        <v>76</v>
      </c>
      <c r="D1585" s="884" t="s">
        <v>10</v>
      </c>
      <c r="E1585" s="885">
        <v>46254</v>
      </c>
      <c r="F1585" s="293">
        <f>$L$7-E1585</f>
        <v>32</v>
      </c>
      <c r="G1585" s="1214">
        <v>7.3999999999999995</v>
      </c>
      <c r="H1585" s="37"/>
      <c r="I1585" s="37">
        <f>+K1584+K1583</f>
        <v>0</v>
      </c>
      <c r="J1585" s="1385">
        <f>usage!I211</f>
        <v>0</v>
      </c>
      <c r="K1585" s="64">
        <f>IFERROR(SUMIF(INTAKE!$A:$A,$T1585,INTAKE!$P:$P),0)</f>
        <v>0</v>
      </c>
      <c r="L1585" s="1533">
        <f>+G1585+H1585+I1585-J1585-K1585</f>
        <v>7.3999999999999995</v>
      </c>
      <c r="M1585" s="98"/>
      <c r="N1585" s="1473"/>
      <c r="O1585" s="98"/>
      <c r="P1585" s="759"/>
      <c r="Q1585" s="795"/>
      <c r="R1585" s="785">
        <f>IFERROR(VLOOKUP($Q1585,'391'!$S:$Z,8,0),"")</f>
        <v>0</v>
      </c>
      <c r="S1585" s="796"/>
      <c r="T1585" s="797" t="str">
        <f t="shared" si="985"/>
        <v>Doxan 50 (Viet Nam)Feedmil46254</v>
      </c>
      <c r="U1585" s="797"/>
      <c r="V1585" s="797"/>
      <c r="W1585" s="785">
        <f>IFERROR(VLOOKUP($Q1585,'391'!$S:$AG,15,0),0)</f>
        <v>0</v>
      </c>
      <c r="X1585" s="1090">
        <f t="shared" si="980"/>
        <v>7.3999999999999995</v>
      </c>
      <c r="Y1585" s="785"/>
      <c r="Z1585" s="785"/>
      <c r="AA1585" s="797"/>
      <c r="AB1585" s="797"/>
      <c r="AC1585" s="551"/>
      <c r="AD1585" s="551"/>
      <c r="AE1585" s="551"/>
      <c r="AF1585" s="551"/>
      <c r="AG1585" s="551"/>
      <c r="AH1585" s="551"/>
      <c r="AI1585" s="704"/>
      <c r="AJ1585" s="704"/>
      <c r="AK1585" s="704"/>
      <c r="AL1585" s="704"/>
      <c r="AM1585" s="704"/>
      <c r="AN1585" s="704"/>
      <c r="AO1585" s="704"/>
      <c r="AP1585" s="704"/>
      <c r="AQ1585" s="704"/>
      <c r="AR1585" s="704"/>
      <c r="AS1585" s="704"/>
    </row>
    <row r="1586" spans="1:45" s="265" customFormat="1" ht="30" customHeight="1" x14ac:dyDescent="0.25">
      <c r="A1586" s="184"/>
      <c r="B1586" s="184" t="s">
        <v>1757</v>
      </c>
      <c r="C1586" s="575"/>
      <c r="D1586" s="900"/>
      <c r="E1586" s="901"/>
      <c r="F1586" s="902"/>
      <c r="G1586" s="1297">
        <v>27.4</v>
      </c>
      <c r="H1586" s="1297">
        <f>+SUM(H1583:H1585)</f>
        <v>0</v>
      </c>
      <c r="I1586" s="1297">
        <f t="shared" ref="I1586:L1586" si="986">+SUM(I1583:I1585)</f>
        <v>0</v>
      </c>
      <c r="J1586" s="1297">
        <f t="shared" si="986"/>
        <v>0</v>
      </c>
      <c r="K1586" s="1297">
        <f t="shared" si="986"/>
        <v>0</v>
      </c>
      <c r="L1586" s="1297">
        <f t="shared" si="986"/>
        <v>27.4</v>
      </c>
      <c r="M1586" s="92">
        <f>IFERROR(R1586/$S$2,"")</f>
        <v>0</v>
      </c>
      <c r="N1586" s="99">
        <f>IFERROR(L1586/M1586,0)</f>
        <v>0</v>
      </c>
      <c r="O1586" s="92">
        <f>IFERROR(SUMIF(ETM!$A:$A,$Q1586,ETM!$E:$E),"")</f>
        <v>0</v>
      </c>
      <c r="P1586" s="741">
        <f>IFERROR(L1586/O1586,0)</f>
        <v>0</v>
      </c>
      <c r="Q1586" s="809" t="s">
        <v>1756</v>
      </c>
      <c r="R1586" s="785">
        <f>IFERROR(VLOOKUP($Q1586,'391'!$S:$Z,8,0),"")</f>
        <v>0</v>
      </c>
      <c r="S1586" s="796"/>
      <c r="T1586" s="797"/>
      <c r="U1586" s="797"/>
      <c r="V1586" s="797"/>
      <c r="W1586" s="821">
        <f>IFERROR(VLOOKUP($Q1586,'391'!$S:$AG,15,0),0)</f>
        <v>27.400000000000002</v>
      </c>
      <c r="X1586" s="1090">
        <f t="shared" si="980"/>
        <v>0</v>
      </c>
      <c r="Y1586" s="785"/>
      <c r="Z1586" s="785"/>
      <c r="AA1586" s="797"/>
      <c r="AB1586" s="797"/>
      <c r="AC1586" s="683"/>
      <c r="AD1586" s="551"/>
      <c r="AE1586" s="551"/>
      <c r="AF1586" s="551"/>
      <c r="AG1586" s="551"/>
      <c r="AH1586" s="551"/>
      <c r="AI1586" s="704"/>
      <c r="AJ1586" s="704"/>
      <c r="AK1586" s="704"/>
      <c r="AL1586" s="704"/>
      <c r="AM1586" s="704"/>
      <c r="AN1586" s="704"/>
      <c r="AO1586" s="704"/>
      <c r="AP1586" s="704"/>
      <c r="AQ1586" s="704"/>
      <c r="AR1586" s="704"/>
      <c r="AS1586" s="704"/>
    </row>
    <row r="1587" spans="1:45" s="265" customFormat="1" ht="30" hidden="1" customHeight="1" x14ac:dyDescent="0.25">
      <c r="A1587" s="2083" t="str">
        <f>IF(L1590=0,"",MAX($A$16:A1585)+1)</f>
        <v/>
      </c>
      <c r="B1587" s="2075" t="s">
        <v>1710</v>
      </c>
      <c r="C1587" s="574" t="s">
        <v>1308</v>
      </c>
      <c r="D1587" s="881" t="s">
        <v>10</v>
      </c>
      <c r="E1587" s="882">
        <v>46017</v>
      </c>
      <c r="F1587" s="71">
        <f>$L$7-E1587</f>
        <v>269</v>
      </c>
      <c r="G1587" s="64">
        <v>0</v>
      </c>
      <c r="H1587" s="64"/>
      <c r="I1587" s="64"/>
      <c r="J1587" s="1367"/>
      <c r="K1587" s="64">
        <f>IFERROR(SUMIF(INTAKE!$A:$A,$T1587,INTAKE!$P:$P),0)</f>
        <v>0</v>
      </c>
      <c r="L1587" s="1669">
        <f>+G1587+H1587+I1587-J1587-K1587</f>
        <v>0</v>
      </c>
      <c r="M1587" s="102"/>
      <c r="N1587" s="103"/>
      <c r="O1587" s="102"/>
      <c r="P1587" s="739"/>
      <c r="Q1587" s="795"/>
      <c r="R1587" s="785">
        <f>IFERROR(VLOOKUP($Q1587,'391'!$S:$Z,8,0),"")</f>
        <v>0</v>
      </c>
      <c r="S1587" s="796"/>
      <c r="T1587" s="797" t="str">
        <f>$Q$1590&amp;C1587&amp;E1587</f>
        <v>Caliton (China)Z2.146017</v>
      </c>
      <c r="U1587" s="797"/>
      <c r="V1587" s="797"/>
      <c r="W1587" s="785">
        <f>IFERROR(VLOOKUP($Q1587,'391'!$S:$AG,15,0),0)</f>
        <v>0</v>
      </c>
      <c r="X1587" s="1090">
        <f t="shared" ref="X1587:X1590" si="987">G1587-W1587</f>
        <v>0</v>
      </c>
      <c r="Y1587" s="785"/>
      <c r="Z1587" s="785"/>
      <c r="AA1587" s="797"/>
      <c r="AB1587" s="797"/>
      <c r="AC1587" s="551"/>
      <c r="AD1587" s="551"/>
      <c r="AE1587" s="551"/>
      <c r="AF1587" s="551"/>
      <c r="AG1587" s="551"/>
      <c r="AH1587" s="551"/>
      <c r="AI1587" s="704"/>
      <c r="AJ1587" s="704"/>
      <c r="AK1587" s="704"/>
      <c r="AL1587" s="704"/>
      <c r="AM1587" s="704"/>
      <c r="AN1587" s="704"/>
      <c r="AO1587" s="704"/>
      <c r="AP1587" s="704"/>
      <c r="AQ1587" s="704"/>
      <c r="AR1587" s="704"/>
      <c r="AS1587" s="704"/>
    </row>
    <row r="1588" spans="1:45" s="265" customFormat="1" ht="30" hidden="1" customHeight="1" x14ac:dyDescent="0.25">
      <c r="A1588" s="2084"/>
      <c r="B1588" s="2076"/>
      <c r="C1588" s="574"/>
      <c r="D1588" s="881" t="s">
        <v>10</v>
      </c>
      <c r="E1588" s="882">
        <v>46017</v>
      </c>
      <c r="F1588" s="71">
        <f>$L$7-E1588</f>
        <v>269</v>
      </c>
      <c r="G1588" s="64">
        <v>0</v>
      </c>
      <c r="H1588" s="64"/>
      <c r="I1588" s="64"/>
      <c r="J1588" s="1367"/>
      <c r="K1588" s="64">
        <f>IFERROR(SUMIF(INTAKE!$A:$A,$T1588,INTAKE!$P:$P),0)</f>
        <v>0</v>
      </c>
      <c r="L1588" s="1669">
        <f>+G1588+H1588+I1588-J1588-K1588</f>
        <v>0</v>
      </c>
      <c r="M1588" s="102"/>
      <c r="N1588" s="103"/>
      <c r="O1588" s="102"/>
      <c r="P1588" s="739"/>
      <c r="Q1588" s="795"/>
      <c r="R1588" s="785">
        <f>IFERROR(VLOOKUP($Q1588,'391'!$S:$Z,8,0),"")</f>
        <v>0</v>
      </c>
      <c r="S1588" s="796"/>
      <c r="T1588" s="797" t="str">
        <f t="shared" ref="T1588:T1589" si="988">$Q$1590&amp;C1588&amp;E1588</f>
        <v>Caliton (China)46017</v>
      </c>
      <c r="U1588" s="797"/>
      <c r="V1588" s="797"/>
      <c r="W1588" s="785">
        <f>IFERROR(VLOOKUP($Q1588,'391'!$S:$AG,15,0),0)</f>
        <v>0</v>
      </c>
      <c r="X1588" s="1090">
        <f t="shared" si="987"/>
        <v>0</v>
      </c>
      <c r="Y1588" s="785"/>
      <c r="Z1588" s="785"/>
      <c r="AA1588" s="797"/>
      <c r="AB1588" s="797"/>
      <c r="AC1588" s="551"/>
      <c r="AD1588" s="551"/>
      <c r="AE1588" s="551"/>
      <c r="AF1588" s="551"/>
      <c r="AG1588" s="551"/>
      <c r="AH1588" s="551"/>
      <c r="AI1588" s="704"/>
      <c r="AJ1588" s="704"/>
      <c r="AK1588" s="704"/>
      <c r="AL1588" s="704"/>
      <c r="AM1588" s="704"/>
      <c r="AN1588" s="704"/>
      <c r="AO1588" s="704"/>
      <c r="AP1588" s="704"/>
      <c r="AQ1588" s="704"/>
      <c r="AR1588" s="704"/>
      <c r="AS1588" s="704"/>
    </row>
    <row r="1589" spans="1:45" s="265" customFormat="1" ht="30" hidden="1" customHeight="1" x14ac:dyDescent="0.25">
      <c r="A1589" s="2085"/>
      <c r="B1589" s="2068"/>
      <c r="C1589" s="138" t="s">
        <v>76</v>
      </c>
      <c r="D1589" s="884" t="s">
        <v>10</v>
      </c>
      <c r="E1589" s="885">
        <v>46017</v>
      </c>
      <c r="F1589" s="293">
        <f>$L$7-E1589</f>
        <v>269</v>
      </c>
      <c r="G1589" s="1214">
        <v>0</v>
      </c>
      <c r="H1589" s="37"/>
      <c r="I1589" s="37">
        <f>+K1588+K1587</f>
        <v>0</v>
      </c>
      <c r="J1589" s="1385"/>
      <c r="K1589" s="64">
        <f>IFERROR(SUMIF(INTAKE!$A:$A,$T1589,INTAKE!$P:$P),0)</f>
        <v>0</v>
      </c>
      <c r="L1589" s="1533">
        <f>+G1589+H1589+I1589-J1589-K1589</f>
        <v>0</v>
      </c>
      <c r="M1589" s="98"/>
      <c r="N1589" s="1473"/>
      <c r="O1589" s="98"/>
      <c r="P1589" s="759"/>
      <c r="Q1589" s="795"/>
      <c r="R1589" s="785">
        <f>IFERROR(VLOOKUP($Q1589,'391'!$S:$Z,8,0),"")</f>
        <v>0</v>
      </c>
      <c r="S1589" s="796"/>
      <c r="T1589" s="797" t="str">
        <f t="shared" si="988"/>
        <v>Caliton (China)Feedmil46017</v>
      </c>
      <c r="U1589" s="797"/>
      <c r="V1589" s="797"/>
      <c r="W1589" s="785">
        <f>IFERROR(VLOOKUP($Q1589,'391'!$S:$AG,15,0),0)</f>
        <v>0</v>
      </c>
      <c r="X1589" s="1090">
        <f t="shared" si="987"/>
        <v>0</v>
      </c>
      <c r="Y1589" s="785"/>
      <c r="Z1589" s="785"/>
      <c r="AA1589" s="797"/>
      <c r="AB1589" s="797"/>
      <c r="AC1589" s="551"/>
      <c r="AD1589" s="551"/>
      <c r="AE1589" s="551"/>
      <c r="AF1589" s="551"/>
      <c r="AG1589" s="551"/>
      <c r="AH1589" s="551"/>
      <c r="AI1589" s="704"/>
      <c r="AJ1589" s="704"/>
      <c r="AK1589" s="704"/>
      <c r="AL1589" s="704"/>
      <c r="AM1589" s="704"/>
      <c r="AN1589" s="704"/>
      <c r="AO1589" s="704"/>
      <c r="AP1589" s="704"/>
      <c r="AQ1589" s="704"/>
      <c r="AR1589" s="704"/>
      <c r="AS1589" s="704"/>
    </row>
    <row r="1590" spans="1:45" s="265" customFormat="1" ht="30" hidden="1" customHeight="1" x14ac:dyDescent="0.25">
      <c r="A1590" s="184"/>
      <c r="B1590" s="184" t="s">
        <v>1711</v>
      </c>
      <c r="C1590" s="575"/>
      <c r="D1590" s="900"/>
      <c r="E1590" s="901"/>
      <c r="F1590" s="902"/>
      <c r="G1590" s="1297">
        <v>0</v>
      </c>
      <c r="H1590" s="1297">
        <f>+SUM(H1587:H1589)</f>
        <v>0</v>
      </c>
      <c r="I1590" s="1297">
        <f t="shared" ref="I1590:L1590" si="989">+SUM(I1587:I1589)</f>
        <v>0</v>
      </c>
      <c r="J1590" s="1297">
        <f t="shared" si="989"/>
        <v>0</v>
      </c>
      <c r="K1590" s="1297">
        <f t="shared" si="989"/>
        <v>0</v>
      </c>
      <c r="L1590" s="1297">
        <f t="shared" si="989"/>
        <v>0</v>
      </c>
      <c r="M1590" s="92" t="str">
        <f>IFERROR(R1590/$S$2,"")</f>
        <v/>
      </c>
      <c r="N1590" s="99">
        <f>IFERROR(L1590/M1590,0)</f>
        <v>0</v>
      </c>
      <c r="O1590" s="92">
        <f>IFERROR(SUMIF(ETM!$A:$A,$Q1590,ETM!$E:$E),"")</f>
        <v>0</v>
      </c>
      <c r="P1590" s="741">
        <f>IFERROR(L1590/O1590,0)</f>
        <v>0</v>
      </c>
      <c r="Q1590" s="809" t="s">
        <v>1710</v>
      </c>
      <c r="R1590" s="785" t="str">
        <f>IFERROR(VLOOKUP($Q1590,'391'!$S:$Z,8,0),"")</f>
        <v/>
      </c>
      <c r="S1590" s="796"/>
      <c r="T1590" s="797"/>
      <c r="U1590" s="797"/>
      <c r="V1590" s="797"/>
      <c r="W1590" s="821">
        <f>IFERROR(VLOOKUP($Q1590,'391'!$S:$AG,15,0),0)</f>
        <v>0</v>
      </c>
      <c r="X1590" s="1090">
        <f t="shared" si="987"/>
        <v>0</v>
      </c>
      <c r="Y1590" s="785"/>
      <c r="Z1590" s="785"/>
      <c r="AA1590" s="797"/>
      <c r="AB1590" s="797"/>
      <c r="AC1590" s="683"/>
      <c r="AD1590" s="551"/>
      <c r="AE1590" s="551"/>
      <c r="AF1590" s="551"/>
      <c r="AG1590" s="551"/>
      <c r="AH1590" s="551"/>
      <c r="AI1590" s="704"/>
      <c r="AJ1590" s="704"/>
      <c r="AK1590" s="704"/>
      <c r="AL1590" s="704"/>
      <c r="AM1590" s="704"/>
      <c r="AN1590" s="704"/>
      <c r="AO1590" s="704"/>
      <c r="AP1590" s="704"/>
      <c r="AQ1590" s="704"/>
      <c r="AR1590" s="704"/>
      <c r="AS1590" s="704"/>
    </row>
    <row r="1591" spans="1:45" s="265" customFormat="1" ht="30" customHeight="1" x14ac:dyDescent="0.25">
      <c r="A1591" s="2083">
        <f>IF(L1594=0,"",MAX($A$16:A1589)+1)</f>
        <v>113</v>
      </c>
      <c r="B1591" s="2075" t="s">
        <v>1827</v>
      </c>
      <c r="C1591" s="574" t="s">
        <v>1213</v>
      </c>
      <c r="D1591" s="881" t="s">
        <v>10</v>
      </c>
      <c r="E1591" s="882">
        <v>46276</v>
      </c>
      <c r="F1591" s="71">
        <f>$L$7-E1591</f>
        <v>10</v>
      </c>
      <c r="G1591" s="64">
        <v>50</v>
      </c>
      <c r="H1591" s="64"/>
      <c r="I1591" s="64"/>
      <c r="J1591" s="1367"/>
      <c r="K1591" s="1348">
        <f>IFERROR(SUMIF(INTAKE!$A:$A,$T1591,INTAKE!$P:$P),0)</f>
        <v>0</v>
      </c>
      <c r="L1591" s="1669">
        <f>+G1591+H1591+I1591-J1591-K1591</f>
        <v>50</v>
      </c>
      <c r="M1591" s="102"/>
      <c r="N1591" s="103"/>
      <c r="O1591" s="102"/>
      <c r="P1591" s="739"/>
      <c r="Q1591" s="795"/>
      <c r="R1591" s="785">
        <f>IFERROR(VLOOKUP($Q1591,'391'!$S:$Z,8,0),"")</f>
        <v>0</v>
      </c>
      <c r="S1591" s="796"/>
      <c r="T1591" s="797" t="str">
        <f>$Q$1594&amp;C1591&amp;E1591</f>
        <v>Anti-Fly (Viet Nam)E346276</v>
      </c>
      <c r="U1591" s="797"/>
      <c r="V1591" s="797"/>
      <c r="W1591" s="785">
        <f>IFERROR(VLOOKUP($Q1591,'391'!$S:$AG,15,0),0)</f>
        <v>0</v>
      </c>
      <c r="X1591" s="1090">
        <f t="shared" ref="X1591:X1594" si="990">G1591-W1591</f>
        <v>50</v>
      </c>
      <c r="Y1591" s="785"/>
      <c r="Z1591" s="785"/>
      <c r="AA1591" s="797"/>
      <c r="AB1591" s="797"/>
      <c r="AC1591" s="551"/>
      <c r="AD1591" s="551"/>
      <c r="AE1591" s="551"/>
      <c r="AF1591" s="551"/>
      <c r="AG1591" s="551"/>
      <c r="AH1591" s="551"/>
      <c r="AI1591" s="704"/>
      <c r="AJ1591" s="704"/>
      <c r="AK1591" s="704"/>
      <c r="AL1591" s="704"/>
      <c r="AM1591" s="704"/>
      <c r="AN1591" s="704"/>
      <c r="AO1591" s="704"/>
      <c r="AP1591" s="704"/>
      <c r="AQ1591" s="704"/>
      <c r="AR1591" s="704"/>
      <c r="AS1591" s="704"/>
    </row>
    <row r="1592" spans="1:45" s="265" customFormat="1" ht="30" hidden="1" customHeight="1" x14ac:dyDescent="0.25">
      <c r="A1592" s="2084"/>
      <c r="B1592" s="2076"/>
      <c r="C1592" s="574"/>
      <c r="D1592" s="881" t="s">
        <v>10</v>
      </c>
      <c r="E1592" s="882">
        <v>46276</v>
      </c>
      <c r="F1592" s="71">
        <f>$L$7-E1592</f>
        <v>10</v>
      </c>
      <c r="G1592" s="64">
        <v>0</v>
      </c>
      <c r="H1592" s="64"/>
      <c r="I1592" s="64"/>
      <c r="J1592" s="1367"/>
      <c r="K1592" s="64">
        <f>IFERROR(SUMIF(INTAKE!$A:$A,$T1592,INTAKE!$P:$P),0)</f>
        <v>0</v>
      </c>
      <c r="L1592" s="1669">
        <f>+G1592+H1592+I1592-J1592-K1592</f>
        <v>0</v>
      </c>
      <c r="M1592" s="102"/>
      <c r="N1592" s="103"/>
      <c r="O1592" s="102"/>
      <c r="P1592" s="739"/>
      <c r="Q1592" s="795"/>
      <c r="R1592" s="785">
        <f>IFERROR(VLOOKUP($Q1592,'391'!$S:$Z,8,0),"")</f>
        <v>0</v>
      </c>
      <c r="S1592" s="796"/>
      <c r="T1592" s="797" t="str">
        <f t="shared" ref="T1592:T1593" si="991">$Q$1594&amp;C1592&amp;E1592</f>
        <v>Anti-Fly (Viet Nam)46276</v>
      </c>
      <c r="U1592" s="797"/>
      <c r="V1592" s="797"/>
      <c r="W1592" s="785">
        <f>IFERROR(VLOOKUP($Q1592,'391'!$S:$AG,15,0),0)</f>
        <v>0</v>
      </c>
      <c r="X1592" s="1090">
        <f t="shared" si="990"/>
        <v>0</v>
      </c>
      <c r="Y1592" s="785"/>
      <c r="Z1592" s="785"/>
      <c r="AA1592" s="797"/>
      <c r="AB1592" s="797"/>
      <c r="AC1592" s="551"/>
      <c r="AD1592" s="551"/>
      <c r="AE1592" s="551"/>
      <c r="AF1592" s="551"/>
      <c r="AG1592" s="551"/>
      <c r="AH1592" s="551"/>
      <c r="AI1592" s="704"/>
      <c r="AJ1592" s="704"/>
      <c r="AK1592" s="704"/>
      <c r="AL1592" s="704"/>
      <c r="AM1592" s="704"/>
      <c r="AN1592" s="704"/>
      <c r="AO1592" s="704"/>
      <c r="AP1592" s="704"/>
      <c r="AQ1592" s="704"/>
      <c r="AR1592" s="704"/>
      <c r="AS1592" s="704"/>
    </row>
    <row r="1593" spans="1:45" s="265" customFormat="1" ht="30" customHeight="1" x14ac:dyDescent="0.25">
      <c r="A1593" s="2085"/>
      <c r="B1593" s="2068"/>
      <c r="C1593" s="138" t="s">
        <v>76</v>
      </c>
      <c r="D1593" s="884" t="s">
        <v>10</v>
      </c>
      <c r="E1593" s="885">
        <v>46275</v>
      </c>
      <c r="F1593" s="293">
        <f>$L$7-E1593</f>
        <v>11</v>
      </c>
      <c r="G1593" s="1214">
        <v>0</v>
      </c>
      <c r="H1593" s="37"/>
      <c r="I1593" s="37">
        <f>+K1592+K1591</f>
        <v>0</v>
      </c>
      <c r="J1593" s="1385">
        <f>usage!I144</f>
        <v>0</v>
      </c>
      <c r="K1593" s="64">
        <f>IFERROR(SUMIF(INTAKE!$A:$A,$T1593,INTAKE!$P:$P),0)</f>
        <v>0</v>
      </c>
      <c r="L1593" s="1533">
        <f>+G1593+H1593+I1593-J1593-K1593</f>
        <v>0</v>
      </c>
      <c r="M1593" s="98"/>
      <c r="N1593" s="1473"/>
      <c r="O1593" s="98"/>
      <c r="P1593" s="759"/>
      <c r="Q1593" s="795"/>
      <c r="R1593" s="785">
        <f>IFERROR(VLOOKUP($Q1593,'391'!$S:$Z,8,0),"")</f>
        <v>0</v>
      </c>
      <c r="S1593" s="796"/>
      <c r="T1593" s="797" t="str">
        <f t="shared" si="991"/>
        <v>Anti-Fly (Viet Nam)Feedmil46275</v>
      </c>
      <c r="U1593" s="797"/>
      <c r="V1593" s="797"/>
      <c r="W1593" s="785">
        <f>IFERROR(VLOOKUP($Q1593,'391'!$S:$AG,15,0),0)</f>
        <v>0</v>
      </c>
      <c r="X1593" s="1090">
        <f t="shared" si="990"/>
        <v>0</v>
      </c>
      <c r="Y1593" s="785"/>
      <c r="Z1593" s="785"/>
      <c r="AA1593" s="797"/>
      <c r="AB1593" s="797"/>
      <c r="AC1593" s="551"/>
      <c r="AD1593" s="551"/>
      <c r="AE1593" s="551"/>
      <c r="AF1593" s="551"/>
      <c r="AG1593" s="551"/>
      <c r="AH1593" s="551"/>
      <c r="AI1593" s="704"/>
      <c r="AJ1593" s="704"/>
      <c r="AK1593" s="704"/>
      <c r="AL1593" s="704"/>
      <c r="AM1593" s="704"/>
      <c r="AN1593" s="704"/>
      <c r="AO1593" s="704"/>
      <c r="AP1593" s="704"/>
      <c r="AQ1593" s="704"/>
      <c r="AR1593" s="704"/>
      <c r="AS1593" s="704"/>
    </row>
    <row r="1594" spans="1:45" s="265" customFormat="1" ht="30" customHeight="1" x14ac:dyDescent="0.25">
      <c r="A1594" s="184"/>
      <c r="B1594" s="184" t="s">
        <v>1828</v>
      </c>
      <c r="C1594" s="575"/>
      <c r="D1594" s="900"/>
      <c r="E1594" s="901"/>
      <c r="F1594" s="902"/>
      <c r="G1594" s="1297">
        <v>50</v>
      </c>
      <c r="H1594" s="1297">
        <f>+SUM(H1591:H1593)</f>
        <v>0</v>
      </c>
      <c r="I1594" s="1297">
        <f t="shared" ref="I1594:L1594" si="992">+SUM(I1591:I1593)</f>
        <v>0</v>
      </c>
      <c r="J1594" s="1297">
        <f t="shared" si="992"/>
        <v>0</v>
      </c>
      <c r="K1594" s="1297">
        <f t="shared" si="992"/>
        <v>0</v>
      </c>
      <c r="L1594" s="1297">
        <f t="shared" si="992"/>
        <v>50</v>
      </c>
      <c r="M1594" s="92">
        <f>IFERROR(R1594/$S$2,"")</f>
        <v>0</v>
      </c>
      <c r="N1594" s="99">
        <f>IFERROR(L1594/M1594,0)</f>
        <v>0</v>
      </c>
      <c r="O1594" s="92">
        <f>IFERROR(SUMIF(ETM!$A:$A,$Q1594,ETM!$E:$E),"")</f>
        <v>0</v>
      </c>
      <c r="P1594" s="741">
        <f>IFERROR(L1594/O1594,0)</f>
        <v>0</v>
      </c>
      <c r="Q1594" s="809" t="s">
        <v>1827</v>
      </c>
      <c r="R1594" s="785">
        <f>IFERROR(VLOOKUP($Q1594,'391'!$S:$Z,8,0),"")</f>
        <v>0</v>
      </c>
      <c r="S1594" s="796"/>
      <c r="T1594" s="797"/>
      <c r="U1594" s="797"/>
      <c r="V1594" s="797"/>
      <c r="W1594" s="821">
        <f>IFERROR(VLOOKUP($Q1594,'391'!$S:$AG,15,0),0)</f>
        <v>50</v>
      </c>
      <c r="X1594" s="1090">
        <f t="shared" si="990"/>
        <v>0</v>
      </c>
      <c r="Y1594" s="785"/>
      <c r="Z1594" s="785"/>
      <c r="AA1594" s="797"/>
      <c r="AB1594" s="797"/>
      <c r="AC1594" s="683"/>
      <c r="AD1594" s="551"/>
      <c r="AE1594" s="551"/>
      <c r="AF1594" s="551"/>
      <c r="AG1594" s="551"/>
      <c r="AH1594" s="551"/>
      <c r="AI1594" s="704"/>
      <c r="AJ1594" s="704"/>
      <c r="AK1594" s="704"/>
      <c r="AL1594" s="704"/>
      <c r="AM1594" s="704"/>
      <c r="AN1594" s="704"/>
      <c r="AO1594" s="704"/>
      <c r="AP1594" s="704"/>
      <c r="AQ1594" s="704"/>
      <c r="AR1594" s="704"/>
      <c r="AS1594" s="704"/>
    </row>
    <row r="1595" spans="1:45" s="265" customFormat="1" ht="30" hidden="1" customHeight="1" x14ac:dyDescent="0.25">
      <c r="A1595" s="2083" t="str">
        <f>IF(L1598=0,"",MAX($A$16:A1590)+1)</f>
        <v/>
      </c>
      <c r="B1595" s="2075" t="s">
        <v>520</v>
      </c>
      <c r="C1595" s="574" t="s">
        <v>287</v>
      </c>
      <c r="D1595" s="881" t="s">
        <v>10</v>
      </c>
      <c r="E1595" s="882">
        <v>44369</v>
      </c>
      <c r="F1595" s="71">
        <f>$L$7-E1595</f>
        <v>1917</v>
      </c>
      <c r="G1595" s="64">
        <v>0</v>
      </c>
      <c r="H1595" s="64"/>
      <c r="I1595" s="64"/>
      <c r="J1595" s="1367"/>
      <c r="K1595" s="64">
        <f>IFERROR(SUMIF(INTAKE!$A:$A,$T1595,INTAKE!$P:$P),0)</f>
        <v>0</v>
      </c>
      <c r="L1595" s="531">
        <f>+G1595+H1595+I1595-J1595-K1595</f>
        <v>0</v>
      </c>
      <c r="M1595" s="102"/>
      <c r="N1595" s="103"/>
      <c r="O1595" s="102"/>
      <c r="P1595" s="739"/>
      <c r="Q1595" s="795"/>
      <c r="R1595" s="785">
        <f>IFERROR(VLOOKUP($Q1595,'391'!$S:$Z,8,0),"")</f>
        <v>0</v>
      </c>
      <c r="S1595" s="796"/>
      <c r="T1595" s="797" t="str">
        <f>$Q$1598&amp;C1595&amp;E1595</f>
        <v>Syngen X (USA)A19.644369</v>
      </c>
      <c r="U1595" s="797"/>
      <c r="V1595" s="797"/>
      <c r="W1595" s="785">
        <f>IFERROR(VLOOKUP($Q1595,'391'!$S:$AG,15,0),0)</f>
        <v>0</v>
      </c>
      <c r="X1595" s="1090">
        <f t="shared" si="866"/>
        <v>0</v>
      </c>
      <c r="Y1595" s="785"/>
      <c r="Z1595" s="785"/>
      <c r="AA1595" s="797"/>
      <c r="AB1595" s="797"/>
      <c r="AC1595" s="551"/>
      <c r="AD1595" s="551"/>
      <c r="AE1595" s="551"/>
      <c r="AF1595" s="551"/>
      <c r="AG1595" s="551"/>
      <c r="AH1595" s="551"/>
      <c r="AI1595" s="704"/>
      <c r="AJ1595" s="704"/>
      <c r="AK1595" s="704"/>
      <c r="AL1595" s="704"/>
      <c r="AM1595" s="704"/>
      <c r="AN1595" s="704"/>
      <c r="AO1595" s="704"/>
      <c r="AP1595" s="704"/>
      <c r="AQ1595" s="704"/>
      <c r="AR1595" s="704"/>
      <c r="AS1595" s="704"/>
    </row>
    <row r="1596" spans="1:45" s="265" customFormat="1" ht="30" hidden="1" customHeight="1" x14ac:dyDescent="0.25">
      <c r="A1596" s="2084"/>
      <c r="B1596" s="2076"/>
      <c r="C1596" s="574" t="s">
        <v>287</v>
      </c>
      <c r="D1596" s="881" t="s">
        <v>10</v>
      </c>
      <c r="E1596" s="882">
        <v>44200</v>
      </c>
      <c r="F1596" s="71">
        <f>$L$7-E1596</f>
        <v>2086</v>
      </c>
      <c r="G1596" s="64">
        <v>0</v>
      </c>
      <c r="H1596" s="64"/>
      <c r="I1596" s="64"/>
      <c r="J1596" s="1367"/>
      <c r="K1596" s="64">
        <f>IFERROR(SUMIF(INTAKE!$A:$A,$T1596,INTAKE!$P:$P),0)</f>
        <v>0</v>
      </c>
      <c r="L1596" s="531">
        <f>+G1596+H1596+I1596-J1596-K1596</f>
        <v>0</v>
      </c>
      <c r="M1596" s="102"/>
      <c r="N1596" s="103"/>
      <c r="O1596" s="102"/>
      <c r="P1596" s="739"/>
      <c r="Q1596" s="795"/>
      <c r="R1596" s="785">
        <f>IFERROR(VLOOKUP($Q1596,'391'!$S:$Z,8,0),"")</f>
        <v>0</v>
      </c>
      <c r="S1596" s="796"/>
      <c r="T1596" s="797" t="str">
        <f>$Q$1598&amp;C1596&amp;E1596</f>
        <v>Syngen X (USA)A19.644200</v>
      </c>
      <c r="U1596" s="797"/>
      <c r="V1596" s="797"/>
      <c r="W1596" s="785">
        <f>IFERROR(VLOOKUP($Q1596,'391'!$S:$AG,15,0),0)</f>
        <v>0</v>
      </c>
      <c r="X1596" s="1090">
        <f t="shared" si="866"/>
        <v>0</v>
      </c>
      <c r="Y1596" s="785"/>
      <c r="Z1596" s="785"/>
      <c r="AA1596" s="797"/>
      <c r="AB1596" s="797"/>
      <c r="AC1596" s="551"/>
      <c r="AD1596" s="551"/>
      <c r="AE1596" s="551"/>
      <c r="AF1596" s="551"/>
      <c r="AG1596" s="551"/>
      <c r="AH1596" s="551"/>
      <c r="AI1596" s="704"/>
      <c r="AJ1596" s="704"/>
      <c r="AK1596" s="704"/>
      <c r="AL1596" s="704"/>
      <c r="AM1596" s="704"/>
      <c r="AN1596" s="704"/>
      <c r="AO1596" s="704"/>
      <c r="AP1596" s="704"/>
      <c r="AQ1596" s="704"/>
      <c r="AR1596" s="704"/>
      <c r="AS1596" s="704"/>
    </row>
    <row r="1597" spans="1:45" s="265" customFormat="1" ht="30" hidden="1" customHeight="1" x14ac:dyDescent="0.25">
      <c r="A1597" s="2085"/>
      <c r="B1597" s="2068"/>
      <c r="C1597" s="138" t="s">
        <v>76</v>
      </c>
      <c r="D1597" s="884" t="s">
        <v>10</v>
      </c>
      <c r="E1597" s="885">
        <v>44369</v>
      </c>
      <c r="F1597" s="293">
        <f>$L$7-E1597</f>
        <v>1917</v>
      </c>
      <c r="G1597" s="1214">
        <v>0</v>
      </c>
      <c r="H1597" s="37"/>
      <c r="I1597" s="37">
        <f>+K1596+K1595</f>
        <v>0</v>
      </c>
      <c r="J1597" s="1385">
        <f>+usage!I111</f>
        <v>0</v>
      </c>
      <c r="K1597" s="64">
        <f>IFERROR(SUMIF(INTAKE!$A:$A,$T1597,INTAKE!$P:$P),0)</f>
        <v>0</v>
      </c>
      <c r="L1597" s="531">
        <f>+G1597+H1597+I1597-J1597-K1597</f>
        <v>0</v>
      </c>
      <c r="M1597" s="98"/>
      <c r="N1597" s="1473"/>
      <c r="O1597" s="98"/>
      <c r="P1597" s="759"/>
      <c r="Q1597" s="795"/>
      <c r="R1597" s="785">
        <f>IFERROR(VLOOKUP($Q1597,'391'!$S:$Z,8,0),"")</f>
        <v>0</v>
      </c>
      <c r="S1597" s="796"/>
      <c r="T1597" s="797" t="str">
        <f>$Q$1598&amp;C1597&amp;E1597</f>
        <v>Syngen X (USA)Feedmil44369</v>
      </c>
      <c r="U1597" s="797"/>
      <c r="V1597" s="797"/>
      <c r="W1597" s="785">
        <f>IFERROR(VLOOKUP($Q1597,'391'!$S:$AG,15,0),0)</f>
        <v>0</v>
      </c>
      <c r="X1597" s="1090">
        <f t="shared" si="866"/>
        <v>0</v>
      </c>
      <c r="Y1597" s="785"/>
      <c r="Z1597" s="785"/>
      <c r="AA1597" s="797"/>
      <c r="AB1597" s="797"/>
      <c r="AC1597" s="551"/>
      <c r="AD1597" s="551"/>
      <c r="AE1597" s="551"/>
      <c r="AF1597" s="551"/>
      <c r="AG1597" s="551"/>
      <c r="AH1597" s="551"/>
      <c r="AI1597" s="704"/>
      <c r="AJ1597" s="704"/>
      <c r="AK1597" s="704"/>
      <c r="AL1597" s="704"/>
      <c r="AM1597" s="704"/>
      <c r="AN1597" s="704"/>
      <c r="AO1597" s="704"/>
      <c r="AP1597" s="704"/>
      <c r="AQ1597" s="704"/>
      <c r="AR1597" s="704"/>
      <c r="AS1597" s="704"/>
    </row>
    <row r="1598" spans="1:45" s="265" customFormat="1" ht="30" hidden="1" customHeight="1" x14ac:dyDescent="0.25">
      <c r="A1598" s="184"/>
      <c r="B1598" s="184" t="s">
        <v>565</v>
      </c>
      <c r="C1598" s="575"/>
      <c r="D1598" s="900"/>
      <c r="E1598" s="901"/>
      <c r="F1598" s="902"/>
      <c r="G1598" s="1297">
        <v>0</v>
      </c>
      <c r="H1598" s="1297">
        <f>+SUM(H1595:H1597)</f>
        <v>0</v>
      </c>
      <c r="I1598" s="1297">
        <f t="shared" ref="I1598:L1598" si="993">+SUM(I1595:I1597)</f>
        <v>0</v>
      </c>
      <c r="J1598" s="1297">
        <f t="shared" si="993"/>
        <v>0</v>
      </c>
      <c r="K1598" s="1297">
        <f t="shared" si="993"/>
        <v>0</v>
      </c>
      <c r="L1598" s="1297">
        <f t="shared" si="993"/>
        <v>0</v>
      </c>
      <c r="M1598" s="92" t="str">
        <f>IFERROR(R1598/$S$2,"")</f>
        <v/>
      </c>
      <c r="N1598" s="99">
        <f>IFERROR(L1598/M1598,0)</f>
        <v>0</v>
      </c>
      <c r="O1598" s="92">
        <f>IFERROR(SUMIF(ETM!$A:$A,$Q1598,ETM!$E:$E),"")</f>
        <v>0</v>
      </c>
      <c r="P1598" s="741">
        <f>IFERROR(L1598/O1598,0)</f>
        <v>0</v>
      </c>
      <c r="Q1598" s="809" t="s">
        <v>520</v>
      </c>
      <c r="R1598" s="785" t="str">
        <f>IFERROR(VLOOKUP($Q1598,'391'!$S:$Z,8,0),"")</f>
        <v/>
      </c>
      <c r="S1598" s="796"/>
      <c r="T1598" s="797"/>
      <c r="U1598" s="797"/>
      <c r="V1598" s="797"/>
      <c r="W1598" s="785">
        <f>IFERROR(VLOOKUP($Q1598,'391'!$S:$AG,15,0),0)</f>
        <v>0</v>
      </c>
      <c r="X1598" s="1090">
        <f t="shared" si="866"/>
        <v>0</v>
      </c>
      <c r="Y1598" s="785"/>
      <c r="Z1598" s="785"/>
      <c r="AA1598" s="797"/>
      <c r="AB1598" s="797"/>
      <c r="AC1598" s="683"/>
      <c r="AD1598" s="551"/>
      <c r="AE1598" s="551"/>
      <c r="AF1598" s="551"/>
      <c r="AG1598" s="551"/>
      <c r="AH1598" s="551"/>
      <c r="AI1598" s="704"/>
      <c r="AJ1598" s="704"/>
      <c r="AK1598" s="704"/>
      <c r="AL1598" s="704"/>
      <c r="AM1598" s="704"/>
      <c r="AN1598" s="704"/>
      <c r="AO1598" s="704"/>
      <c r="AP1598" s="704"/>
      <c r="AQ1598" s="704"/>
      <c r="AR1598" s="704"/>
      <c r="AS1598" s="704"/>
    </row>
    <row r="1599" spans="1:45" s="14" customFormat="1" ht="39.950000000000003" customHeight="1" x14ac:dyDescent="0.25">
      <c r="A1599" s="2205" t="s">
        <v>1476</v>
      </c>
      <c r="B1599" s="2206"/>
      <c r="C1599" s="2206"/>
      <c r="D1599" s="2206"/>
      <c r="E1599" s="183"/>
      <c r="F1599" s="1421"/>
      <c r="G1599" s="1421">
        <f t="shared" ref="G1599:L1599" si="994">G622+G637+G660+G678+G747+G756+G764+G773+G782+G796+G814+G845+G853+G861+G875+G882+G890+G899+G909+G927+G932+G941+G953+G993+G1295+G1300+G1237+G1000+G1016+G1023+G1029+G1034+G1048+G1056+G1062+G1084+G1091+G1106+G1113+G1128+G1139+G1150+G1156+G1163+G1171+G1180+G1188+G1201+G1098+G1209+G1222+G1195+G642+G1069+G867+G1229+G1241+G1249+G1254+G650+G730+G725+G696+G1266+G735+G1260+G1279+G1272+G1284+G1290+G685+G1215+G719+G963+G1040+G1598+G969+G738+G1309+G741+G1320+G1330+G1316+G1324+G1334+G1341+G1347+G1353+G1361+G802+G1367+G1373+G1382+G1388+G808+G788+G1078+G1486+G1399+G1394+G1403+G1407+G1411+G1464+G1415+G1421+G1432+G1460+G1436+G1440+G1444+G1448+G1452+G664+G1456+G1120+G825+G820+G836+G708+G1427+G702+G1469+G1475+G1480+G1133+G1490+G1528+G1522+G1516+G1505+G1500+G1495+G975+G987+G1568+G981+G1572+G1577+G1582+G1590+G1007+G1538+G1532+G1511+G1542+G1547+G1586+G830+G1553+G1145+G626+G1594+G1564+G1558</f>
        <v>1287840.0299999998</v>
      </c>
      <c r="H1599" s="1421">
        <f t="shared" si="994"/>
        <v>15000</v>
      </c>
      <c r="I1599" s="1421">
        <f t="shared" si="994"/>
        <v>19675</v>
      </c>
      <c r="J1599" s="1421">
        <f t="shared" si="994"/>
        <v>38170.5</v>
      </c>
      <c r="K1599" s="1421">
        <f t="shared" si="994"/>
        <v>19675</v>
      </c>
      <c r="L1599" s="1421">
        <f t="shared" si="994"/>
        <v>1264669.53</v>
      </c>
      <c r="M1599" s="1039"/>
      <c r="N1599" s="1039"/>
      <c r="O1599" s="1039"/>
      <c r="P1599" s="1040"/>
      <c r="Q1599" s="795"/>
      <c r="R1599" s="812">
        <f>+SUM(R613:R1598)</f>
        <v>259267.26000000007</v>
      </c>
      <c r="S1599" s="828"/>
      <c r="T1599" s="827">
        <f>+R1599-S1599</f>
        <v>259267.26000000007</v>
      </c>
      <c r="U1599" s="797"/>
      <c r="V1599" s="797"/>
      <c r="W1599" s="785">
        <f>IFERROR(VLOOKUP($Q1599,'391'!$S:$AG,15,0),0)</f>
        <v>0</v>
      </c>
      <c r="X1599" s="799">
        <f t="shared" si="866"/>
        <v>1287840.0299999998</v>
      </c>
      <c r="Y1599" s="797"/>
      <c r="Z1599" s="785"/>
      <c r="AA1599" s="797"/>
      <c r="AB1599" s="797"/>
      <c r="AC1599" s="679"/>
      <c r="AD1599" s="683"/>
      <c r="AE1599" s="683"/>
      <c r="AF1599" s="683"/>
      <c r="AG1599" s="683"/>
      <c r="AH1599" s="683"/>
      <c r="AI1599" s="705"/>
      <c r="AJ1599" s="705"/>
      <c r="AK1599" s="705"/>
      <c r="AL1599" s="705"/>
      <c r="AM1599" s="705"/>
      <c r="AN1599" s="705"/>
      <c r="AO1599" s="705"/>
      <c r="AP1599" s="705"/>
      <c r="AQ1599" s="705"/>
      <c r="AR1599" s="705"/>
      <c r="AS1599" s="705"/>
    </row>
    <row r="1600" spans="1:45" s="6" customFormat="1" ht="30" customHeight="1" x14ac:dyDescent="0.25">
      <c r="A1600" s="2010">
        <f>IF(L1607=0,"",MAX($A$16:A1599)+1)</f>
        <v>114</v>
      </c>
      <c r="B1600" s="390" t="s">
        <v>2199</v>
      </c>
      <c r="C1600" s="557" t="s">
        <v>1871</v>
      </c>
      <c r="D1600" s="866" t="s">
        <v>10</v>
      </c>
      <c r="E1600" s="1122">
        <v>46275</v>
      </c>
      <c r="F1600" s="71">
        <f t="shared" ref="F1600" si="995">$L$7-E1600</f>
        <v>11</v>
      </c>
      <c r="G1600" s="12">
        <v>600</v>
      </c>
      <c r="H1600" s="11"/>
      <c r="I1600" s="11"/>
      <c r="J1600" s="1388"/>
      <c r="K1600" s="64">
        <f>IFERROR(SUMIF(INTAKE!$A:$A,$T1600,INTAKE!$P:$P),0)</f>
        <v>600</v>
      </c>
      <c r="L1600" s="1702">
        <f t="shared" ref="L1600:L1606" si="996">+G1600+H1600+I1600-J1600-K1600</f>
        <v>0</v>
      </c>
      <c r="M1600" s="22"/>
      <c r="N1600" s="22"/>
      <c r="O1600" s="22"/>
      <c r="P1600" s="735"/>
      <c r="Q1600" s="795"/>
      <c r="R1600" s="785">
        <f>IFERROR(VLOOKUP($Q1600,'391'!$S:$Z,8,0),"")</f>
        <v>0</v>
      </c>
      <c r="S1600" s="786"/>
      <c r="T1600" s="787" t="str">
        <f t="shared" ref="T1600:T1606" si="997">$Q$1607&amp;C1600&amp;E1600</f>
        <v>Premix 10MX3.246275</v>
      </c>
      <c r="U1600" s="787"/>
      <c r="V1600" s="787"/>
      <c r="W1600" s="785">
        <f>IFERROR(VLOOKUP($Q1600,'391'!$S:$AG,15,0),0)</f>
        <v>0</v>
      </c>
      <c r="X1600" s="1090">
        <f t="shared" si="866"/>
        <v>600</v>
      </c>
      <c r="Y1600" s="787"/>
      <c r="Z1600" s="791"/>
      <c r="AA1600" s="787"/>
      <c r="AB1600" s="787"/>
      <c r="AC1600" s="679"/>
      <c r="AD1600" s="679"/>
      <c r="AE1600" s="679"/>
      <c r="AF1600" s="679"/>
      <c r="AG1600" s="679"/>
      <c r="AH1600" s="679"/>
      <c r="AI1600" s="682"/>
      <c r="AJ1600" s="682"/>
      <c r="AK1600" s="682"/>
      <c r="AL1600" s="682"/>
      <c r="AM1600" s="682"/>
      <c r="AN1600" s="682"/>
      <c r="AO1600" s="682"/>
      <c r="AP1600" s="682"/>
      <c r="AQ1600" s="682"/>
      <c r="AR1600" s="682"/>
      <c r="AS1600" s="682"/>
    </row>
    <row r="1601" spans="1:45" s="6" customFormat="1" ht="30" customHeight="1" x14ac:dyDescent="0.25">
      <c r="A1601" s="2002"/>
      <c r="B1601" s="390" t="s">
        <v>2232</v>
      </c>
      <c r="C1601" s="557" t="s">
        <v>1871</v>
      </c>
      <c r="D1601" s="866" t="s">
        <v>10</v>
      </c>
      <c r="E1601" s="1122">
        <v>46283</v>
      </c>
      <c r="F1601" s="71">
        <f t="shared" ref="F1601" si="998">$L$7-E1601</f>
        <v>3</v>
      </c>
      <c r="G1601" s="12">
        <v>1500</v>
      </c>
      <c r="H1601" s="11"/>
      <c r="I1601" s="11"/>
      <c r="J1601" s="1388"/>
      <c r="K1601" s="64">
        <f>IFERROR(SUMIF(INTAKE!$A:$A,$T1601,INTAKE!$P:$P),0)</f>
        <v>0</v>
      </c>
      <c r="L1601" s="1702">
        <f t="shared" si="996"/>
        <v>1500</v>
      </c>
      <c r="M1601" s="101"/>
      <c r="N1601" s="101"/>
      <c r="O1601" s="101"/>
      <c r="P1601" s="738"/>
      <c r="Q1601" s="795"/>
      <c r="R1601" s="785">
        <f>IFERROR(VLOOKUP($Q1601,'391'!$S:$Z,8,0),"")</f>
        <v>0</v>
      </c>
      <c r="S1601" s="786"/>
      <c r="T1601" s="787" t="str">
        <f t="shared" si="997"/>
        <v>Premix 10MX3.246283</v>
      </c>
      <c r="U1601" s="787"/>
      <c r="V1601" s="787"/>
      <c r="W1601" s="785">
        <f>IFERROR(VLOOKUP($Q1601,'391'!$S:$AG,15,0),0)</f>
        <v>0</v>
      </c>
      <c r="X1601" s="1090">
        <f t="shared" si="866"/>
        <v>1500</v>
      </c>
      <c r="Y1601" s="787"/>
      <c r="Z1601" s="791"/>
      <c r="AA1601" s="787"/>
      <c r="AB1601" s="787"/>
      <c r="AC1601" s="679"/>
      <c r="AD1601" s="679"/>
      <c r="AE1601" s="679"/>
      <c r="AF1601" s="679"/>
      <c r="AG1601" s="679"/>
      <c r="AH1601" s="679"/>
      <c r="AI1601" s="682"/>
      <c r="AJ1601" s="682"/>
      <c r="AK1601" s="682"/>
      <c r="AL1601" s="682"/>
      <c r="AM1601" s="682"/>
      <c r="AN1601" s="682"/>
      <c r="AO1601" s="682"/>
      <c r="AP1601" s="682"/>
      <c r="AQ1601" s="682"/>
      <c r="AR1601" s="682"/>
      <c r="AS1601" s="682"/>
    </row>
    <row r="1602" spans="1:45" s="6" customFormat="1" ht="30" hidden="1" customHeight="1" x14ac:dyDescent="0.25">
      <c r="A1602" s="2002"/>
      <c r="B1602" s="390" t="s">
        <v>1872</v>
      </c>
      <c r="C1602" s="557"/>
      <c r="D1602" s="866" t="s">
        <v>10</v>
      </c>
      <c r="E1602" s="1122">
        <v>46227</v>
      </c>
      <c r="F1602" s="71">
        <f t="shared" ref="F1602:F1605" si="999">$L$7-E1602</f>
        <v>59</v>
      </c>
      <c r="G1602" s="12">
        <v>0</v>
      </c>
      <c r="H1602" s="11"/>
      <c r="I1602" s="11"/>
      <c r="J1602" s="1388"/>
      <c r="K1602" s="64">
        <f>IFERROR(SUMIF(INTAKE!$A:$A,$T1602,INTAKE!$P:$P),0)</f>
        <v>0</v>
      </c>
      <c r="L1602" s="1702">
        <f t="shared" si="996"/>
        <v>0</v>
      </c>
      <c r="M1602" s="101"/>
      <c r="N1602" s="101"/>
      <c r="O1602" s="101"/>
      <c r="P1602" s="738"/>
      <c r="Q1602" s="795"/>
      <c r="R1602" s="785">
        <f>IFERROR(VLOOKUP($Q1602,'391'!$S:$Z,8,0),"")</f>
        <v>0</v>
      </c>
      <c r="S1602" s="786"/>
      <c r="T1602" s="787" t="str">
        <f t="shared" si="997"/>
        <v>Premix 10M46227</v>
      </c>
      <c r="U1602" s="787"/>
      <c r="V1602" s="787"/>
      <c r="W1602" s="785">
        <f>IFERROR(VLOOKUP($Q1602,'391'!$S:$AG,15,0),0)</f>
        <v>0</v>
      </c>
      <c r="X1602" s="1090">
        <f t="shared" si="866"/>
        <v>0</v>
      </c>
      <c r="Y1602" s="787"/>
      <c r="Z1602" s="791"/>
      <c r="AA1602" s="787"/>
      <c r="AB1602" s="787"/>
      <c r="AC1602" s="679"/>
      <c r="AD1602" s="679"/>
      <c r="AE1602" s="679"/>
      <c r="AF1602" s="679"/>
      <c r="AG1602" s="679"/>
      <c r="AH1602" s="679"/>
      <c r="AI1602" s="682"/>
      <c r="AJ1602" s="682"/>
      <c r="AK1602" s="682"/>
      <c r="AL1602" s="682"/>
      <c r="AM1602" s="682"/>
      <c r="AN1602" s="682"/>
      <c r="AO1602" s="682"/>
      <c r="AP1602" s="682"/>
      <c r="AQ1602" s="682"/>
      <c r="AR1602" s="682"/>
      <c r="AS1602" s="682"/>
    </row>
    <row r="1603" spans="1:45" s="6" customFormat="1" ht="30" hidden="1" customHeight="1" x14ac:dyDescent="0.25">
      <c r="A1603" s="2002"/>
      <c r="B1603" s="390" t="s">
        <v>1550</v>
      </c>
      <c r="C1603" s="557"/>
      <c r="D1603" s="866" t="s">
        <v>10</v>
      </c>
      <c r="E1603" s="1122">
        <v>45702</v>
      </c>
      <c r="F1603" s="71">
        <f t="shared" si="999"/>
        <v>584</v>
      </c>
      <c r="G1603" s="12">
        <v>0</v>
      </c>
      <c r="H1603" s="12"/>
      <c r="I1603" s="11"/>
      <c r="J1603" s="1368"/>
      <c r="K1603" s="64">
        <f>IFERROR(SUMIF(INTAKE!$A:$A,$T1603,INTAKE!$P:$P),0)</f>
        <v>0</v>
      </c>
      <c r="L1603" s="1702">
        <f t="shared" si="996"/>
        <v>0</v>
      </c>
      <c r="M1603" s="101"/>
      <c r="N1603" s="101"/>
      <c r="O1603" s="101"/>
      <c r="P1603" s="738"/>
      <c r="Q1603" s="795"/>
      <c r="R1603" s="785">
        <f>IFERROR(VLOOKUP($Q1603,'391'!$S:$Z,8,0),"")</f>
        <v>0</v>
      </c>
      <c r="S1603" s="786"/>
      <c r="T1603" s="787" t="str">
        <f t="shared" si="997"/>
        <v>Premix 10M45702</v>
      </c>
      <c r="U1603" s="787"/>
      <c r="V1603" s="787"/>
      <c r="W1603" s="785">
        <f>IFERROR(VLOOKUP($Q1603,'391'!$S:$AG,15,0),0)</f>
        <v>0</v>
      </c>
      <c r="X1603" s="1090">
        <f t="shared" si="866"/>
        <v>0</v>
      </c>
      <c r="Y1603" s="787"/>
      <c r="Z1603" s="791"/>
      <c r="AA1603" s="787"/>
      <c r="AB1603" s="787"/>
      <c r="AC1603" s="679"/>
      <c r="AD1603" s="679"/>
      <c r="AE1603" s="679"/>
      <c r="AF1603" s="679"/>
      <c r="AG1603" s="679"/>
      <c r="AH1603" s="679"/>
      <c r="AI1603" s="682"/>
      <c r="AJ1603" s="682"/>
      <c r="AK1603" s="682"/>
      <c r="AL1603" s="682"/>
      <c r="AM1603" s="682"/>
      <c r="AN1603" s="682"/>
      <c r="AO1603" s="682"/>
      <c r="AP1603" s="682"/>
      <c r="AQ1603" s="682"/>
      <c r="AR1603" s="682"/>
      <c r="AS1603" s="682"/>
    </row>
    <row r="1604" spans="1:45" s="6" customFormat="1" ht="30" hidden="1" customHeight="1" x14ac:dyDescent="0.25">
      <c r="A1604" s="2002"/>
      <c r="B1604" s="390" t="s">
        <v>1251</v>
      </c>
      <c r="C1604" s="557"/>
      <c r="D1604" s="866" t="s">
        <v>10</v>
      </c>
      <c r="E1604" s="1122">
        <v>44956</v>
      </c>
      <c r="F1604" s="71">
        <f t="shared" si="999"/>
        <v>1330</v>
      </c>
      <c r="G1604" s="12">
        <v>0</v>
      </c>
      <c r="H1604" s="12"/>
      <c r="I1604" s="11"/>
      <c r="J1604" s="1368"/>
      <c r="K1604" s="64">
        <f>IFERROR(SUMIF(INTAKE!$A:$A,$T1604,INTAKE!$P:$P),0)</f>
        <v>0</v>
      </c>
      <c r="L1604" s="1533">
        <f t="shared" si="996"/>
        <v>0</v>
      </c>
      <c r="M1604" s="23"/>
      <c r="N1604" s="23"/>
      <c r="O1604" s="23"/>
      <c r="P1604" s="736"/>
      <c r="Q1604" s="795"/>
      <c r="R1604" s="785">
        <f>IFERROR(VLOOKUP($Q1604,'391'!$S:$Z,8,0),"")</f>
        <v>0</v>
      </c>
      <c r="S1604" s="786"/>
      <c r="T1604" s="787" t="str">
        <f t="shared" si="997"/>
        <v>Premix 10M44956</v>
      </c>
      <c r="U1604" s="787"/>
      <c r="V1604" s="787"/>
      <c r="W1604" s="785">
        <f>IFERROR(VLOOKUP($Q1604,'391'!$S:$AG,15,0),0)</f>
        <v>0</v>
      </c>
      <c r="X1604" s="1090">
        <f t="shared" si="866"/>
        <v>0</v>
      </c>
      <c r="Y1604" s="787"/>
      <c r="Z1604" s="791"/>
      <c r="AA1604" s="787"/>
      <c r="AB1604" s="787"/>
      <c r="AC1604" s="679"/>
      <c r="AD1604" s="679"/>
      <c r="AE1604" s="679"/>
      <c r="AF1604" s="679"/>
      <c r="AG1604" s="679"/>
      <c r="AH1604" s="679"/>
      <c r="AI1604" s="682"/>
      <c r="AJ1604" s="682"/>
      <c r="AK1604" s="682"/>
      <c r="AL1604" s="682"/>
      <c r="AM1604" s="682"/>
      <c r="AN1604" s="682"/>
      <c r="AO1604" s="682"/>
      <c r="AP1604" s="682"/>
      <c r="AQ1604" s="682"/>
      <c r="AR1604" s="682"/>
      <c r="AS1604" s="682"/>
    </row>
    <row r="1605" spans="1:45" s="6" customFormat="1" ht="30" hidden="1" customHeight="1" x14ac:dyDescent="0.25">
      <c r="A1605" s="2002"/>
      <c r="B1605" s="390" t="s">
        <v>339</v>
      </c>
      <c r="C1605" s="151"/>
      <c r="D1605" s="866" t="s">
        <v>10</v>
      </c>
      <c r="E1605" s="1122">
        <v>44903</v>
      </c>
      <c r="F1605" s="71">
        <f t="shared" si="999"/>
        <v>1383</v>
      </c>
      <c r="G1605" s="56">
        <v>0</v>
      </c>
      <c r="H1605" s="56"/>
      <c r="I1605" s="58"/>
      <c r="J1605" s="1369"/>
      <c r="K1605" s="64">
        <f>IFERROR(SUMIF(INTAKE!$A:$A,$T1605,INTAKE!$P:$P),0)</f>
        <v>0</v>
      </c>
      <c r="L1605" s="1533">
        <f t="shared" si="996"/>
        <v>0</v>
      </c>
      <c r="M1605" s="23"/>
      <c r="N1605" s="23"/>
      <c r="O1605" s="23"/>
      <c r="P1605" s="736"/>
      <c r="Q1605" s="795"/>
      <c r="R1605" s="785">
        <f>IFERROR(VLOOKUP($Q1605,'391'!$S:$Z,8,0),"")</f>
        <v>0</v>
      </c>
      <c r="S1605" s="786"/>
      <c r="T1605" s="787" t="str">
        <f t="shared" si="997"/>
        <v>Premix 10M44903</v>
      </c>
      <c r="U1605" s="787"/>
      <c r="V1605" s="787"/>
      <c r="W1605" s="785">
        <f>IFERROR(VLOOKUP($Q1605,'391'!$S:$AG,15,0),0)</f>
        <v>0</v>
      </c>
      <c r="X1605" s="1090">
        <f t="shared" si="866"/>
        <v>0</v>
      </c>
      <c r="Y1605" s="787"/>
      <c r="Z1605" s="791"/>
      <c r="AA1605" s="787"/>
      <c r="AB1605" s="787"/>
      <c r="AC1605" s="679"/>
      <c r="AD1605" s="679"/>
      <c r="AE1605" s="679"/>
      <c r="AF1605" s="679"/>
      <c r="AG1605" s="679"/>
      <c r="AH1605" s="679"/>
      <c r="AI1605" s="682"/>
      <c r="AJ1605" s="682"/>
      <c r="AK1605" s="682"/>
      <c r="AL1605" s="682"/>
      <c r="AM1605" s="682"/>
      <c r="AN1605" s="682"/>
      <c r="AO1605" s="682"/>
      <c r="AP1605" s="682"/>
      <c r="AQ1605" s="682"/>
      <c r="AR1605" s="682"/>
      <c r="AS1605" s="682"/>
    </row>
    <row r="1606" spans="1:45" s="406" customFormat="1" ht="30" customHeight="1" x14ac:dyDescent="0.25">
      <c r="A1606" s="2011"/>
      <c r="B1606" s="1014" t="s">
        <v>2199</v>
      </c>
      <c r="C1606" s="151" t="s">
        <v>46</v>
      </c>
      <c r="D1606" s="884" t="s">
        <v>10</v>
      </c>
      <c r="E1606" s="1123">
        <v>46275</v>
      </c>
      <c r="F1606" s="71">
        <f t="shared" ref="F1606" si="1000">$L$7-E1606</f>
        <v>11</v>
      </c>
      <c r="G1606" s="56">
        <v>297.04000000000042</v>
      </c>
      <c r="H1606" s="56"/>
      <c r="I1606" s="58">
        <f>+SUM(K1600:K1605)</f>
        <v>600</v>
      </c>
      <c r="J1606" s="1369">
        <f>+usage!I232</f>
        <v>256.58</v>
      </c>
      <c r="K1606" s="64">
        <f>IFERROR(SUMIF(INTAKE!$A:$A,$T1606,INTAKE!$P:$P),0)</f>
        <v>0</v>
      </c>
      <c r="L1606" s="1533">
        <f t="shared" si="996"/>
        <v>640.46000000000049</v>
      </c>
      <c r="M1606" s="35"/>
      <c r="N1606" s="35"/>
      <c r="O1606" s="35"/>
      <c r="P1606" s="740"/>
      <c r="Q1606" s="795"/>
      <c r="R1606" s="785">
        <f>IFERROR(VLOOKUP($Q1606,'391'!$S:$Z,8,0),"")</f>
        <v>0</v>
      </c>
      <c r="S1606" s="786"/>
      <c r="T1606" s="787" t="str">
        <f t="shared" si="997"/>
        <v>Premix 10MFeedmill46275</v>
      </c>
      <c r="U1606" s="787"/>
      <c r="V1606" s="787"/>
      <c r="W1606" s="785">
        <f>IFERROR(VLOOKUP($Q1606,'391'!$S:$AG,15,0),0)</f>
        <v>0</v>
      </c>
      <c r="X1606" s="1090">
        <f t="shared" si="866"/>
        <v>297.04000000000042</v>
      </c>
      <c r="Y1606" s="787"/>
      <c r="Z1606" s="791"/>
      <c r="AA1606" s="787"/>
      <c r="AB1606" s="787"/>
      <c r="AC1606" s="550"/>
      <c r="AD1606" s="679"/>
      <c r="AE1606" s="679"/>
      <c r="AF1606" s="679"/>
      <c r="AG1606" s="679"/>
      <c r="AH1606" s="679"/>
      <c r="AI1606" s="682"/>
      <c r="AJ1606" s="682"/>
      <c r="AK1606" s="682"/>
      <c r="AL1606" s="682"/>
      <c r="AM1606" s="682"/>
      <c r="AN1606" s="682"/>
      <c r="AO1606" s="682"/>
      <c r="AP1606" s="682"/>
      <c r="AQ1606" s="682"/>
      <c r="AR1606" s="682"/>
      <c r="AS1606" s="682"/>
    </row>
    <row r="1607" spans="1:45" s="420" customFormat="1" ht="30" customHeight="1" x14ac:dyDescent="0.25">
      <c r="A1607" s="2003" t="s">
        <v>20</v>
      </c>
      <c r="B1607" s="2004"/>
      <c r="C1607" s="125"/>
      <c r="D1607" s="1027"/>
      <c r="E1607" s="1027"/>
      <c r="F1607" s="896"/>
      <c r="G1607" s="1422">
        <v>2397.0400000000004</v>
      </c>
      <c r="H1607" s="1422">
        <f t="shared" ref="H1607:L1607" si="1001">SUM(H1600:H1606)</f>
        <v>0</v>
      </c>
      <c r="I1607" s="1422">
        <f t="shared" si="1001"/>
        <v>600</v>
      </c>
      <c r="J1607" s="1422">
        <f t="shared" si="1001"/>
        <v>256.58</v>
      </c>
      <c r="K1607" s="1422">
        <f t="shared" si="1001"/>
        <v>600</v>
      </c>
      <c r="L1607" s="1422">
        <f t="shared" si="1001"/>
        <v>2140.4600000000005</v>
      </c>
      <c r="M1607" s="889">
        <f>IFERROR(R1607/$S$2,"")</f>
        <v>181.98333333333335</v>
      </c>
      <c r="N1607" s="854">
        <f>(L1607/M1607)</f>
        <v>11.761846322923347</v>
      </c>
      <c r="O1607" s="889">
        <f>IFERROR(SUMIF(ETM!$A:$A,$Q1607,ETM!$E:$E),"")</f>
        <v>190.16666666666669</v>
      </c>
      <c r="P1607" s="880">
        <f>IFERROR(L1607/O1607,0)</f>
        <v>11.255705521472395</v>
      </c>
      <c r="Q1607" s="814" t="s">
        <v>626</v>
      </c>
      <c r="R1607" s="785">
        <f>IFERROR(VLOOKUP($Q1607,'391'!$S:$Z,8,0),"")</f>
        <v>1091.9000000000001</v>
      </c>
      <c r="S1607" s="786"/>
      <c r="T1607" s="787"/>
      <c r="U1607" s="787"/>
      <c r="V1607" s="787"/>
      <c r="W1607" s="785">
        <f>IFERROR(VLOOKUP($Q1607,'391'!$S:$AG,15,0),0)</f>
        <v>2397.04</v>
      </c>
      <c r="X1607" s="1090">
        <f t="shared" si="866"/>
        <v>0</v>
      </c>
      <c r="Y1607" s="787"/>
      <c r="Z1607" s="791"/>
      <c r="AA1607" s="787"/>
      <c r="AB1607" s="787"/>
      <c r="AC1607" s="679"/>
      <c r="AD1607" s="550"/>
      <c r="AE1607" s="550"/>
      <c r="AF1607" s="550"/>
      <c r="AG1607" s="550"/>
      <c r="AH1607" s="550"/>
      <c r="AI1607" s="559"/>
      <c r="AJ1607" s="559"/>
      <c r="AK1607" s="559"/>
      <c r="AL1607" s="559"/>
      <c r="AM1607" s="559"/>
      <c r="AN1607" s="559"/>
      <c r="AO1607" s="559"/>
      <c r="AP1607" s="559"/>
      <c r="AQ1607" s="559"/>
      <c r="AR1607" s="559"/>
      <c r="AS1607" s="559"/>
    </row>
    <row r="1608" spans="1:45" s="6" customFormat="1" ht="30" hidden="1" customHeight="1" x14ac:dyDescent="0.25">
      <c r="A1608" s="2010" t="str">
        <f>IF(L1610=0,"",MAX($A$16:A1607)+1)</f>
        <v/>
      </c>
      <c r="B1608" s="2008" t="s">
        <v>98</v>
      </c>
      <c r="C1608" s="236" t="s">
        <v>191</v>
      </c>
      <c r="D1608" s="866" t="s">
        <v>10</v>
      </c>
      <c r="E1608" s="1113">
        <v>41757</v>
      </c>
      <c r="F1608" s="71">
        <f>$L$7-E1608</f>
        <v>4529</v>
      </c>
      <c r="G1608" s="64">
        <v>0</v>
      </c>
      <c r="H1608" s="64"/>
      <c r="I1608" s="64"/>
      <c r="J1608" s="1367"/>
      <c r="K1608" s="64"/>
      <c r="L1608" s="1533">
        <f t="shared" ref="L1608:L1624" si="1002">+G1608+H1608+I1608-J1608-K1608</f>
        <v>0</v>
      </c>
      <c r="M1608" s="66"/>
      <c r="N1608" s="920"/>
      <c r="O1608" s="66"/>
      <c r="P1608" s="857"/>
      <c r="Q1608" s="795"/>
      <c r="R1608" s="785">
        <f>IFERROR(VLOOKUP($Q1608,'391'!$S:$Z,8,0),"")</f>
        <v>0</v>
      </c>
      <c r="S1608" s="786"/>
      <c r="T1608" s="787"/>
      <c r="U1608" s="787"/>
      <c r="V1608" s="787"/>
      <c r="W1608" s="785">
        <f>IFERROR(VLOOKUP($Q1608,'391'!$S:$AG,15,0),0)</f>
        <v>0</v>
      </c>
      <c r="X1608" s="1090">
        <f t="shared" si="866"/>
        <v>0</v>
      </c>
      <c r="Y1608" s="787"/>
      <c r="Z1608" s="791"/>
      <c r="AA1608" s="787"/>
      <c r="AB1608" s="787"/>
      <c r="AC1608" s="679"/>
      <c r="AD1608" s="679"/>
      <c r="AE1608" s="679"/>
      <c r="AF1608" s="679"/>
      <c r="AG1608" s="679"/>
      <c r="AH1608" s="679"/>
      <c r="AI1608" s="682"/>
      <c r="AJ1608" s="682"/>
      <c r="AK1608" s="682"/>
      <c r="AL1608" s="682"/>
      <c r="AM1608" s="682"/>
      <c r="AN1608" s="682"/>
      <c r="AO1608" s="682"/>
      <c r="AP1608" s="682"/>
      <c r="AQ1608" s="682"/>
      <c r="AR1608" s="682"/>
      <c r="AS1608" s="682"/>
    </row>
    <row r="1609" spans="1:45" s="406" customFormat="1" ht="30" hidden="1" customHeight="1" x14ac:dyDescent="0.25">
      <c r="A1609" s="2002"/>
      <c r="B1609" s="2009"/>
      <c r="C1609" s="119" t="s">
        <v>46</v>
      </c>
      <c r="D1609" s="884" t="s">
        <v>10</v>
      </c>
      <c r="E1609" s="1113">
        <v>41751</v>
      </c>
      <c r="F1609" s="71">
        <f>$L$7-E1609</f>
        <v>4535</v>
      </c>
      <c r="G1609" s="37">
        <v>0</v>
      </c>
      <c r="H1609" s="37"/>
      <c r="I1609" s="37"/>
      <c r="J1609" s="1385"/>
      <c r="K1609" s="37"/>
      <c r="L1609" s="1533">
        <f t="shared" si="1002"/>
        <v>0</v>
      </c>
      <c r="M1609" s="40"/>
      <c r="N1609" s="84"/>
      <c r="O1609" s="40"/>
      <c r="P1609" s="857"/>
      <c r="Q1609" s="795"/>
      <c r="R1609" s="785">
        <f>IFERROR(VLOOKUP($Q1609,'391'!$S:$Z,8,0),"")</f>
        <v>0</v>
      </c>
      <c r="S1609" s="786"/>
      <c r="T1609" s="787"/>
      <c r="U1609" s="787"/>
      <c r="V1609" s="787"/>
      <c r="W1609" s="785">
        <f>IFERROR(VLOOKUP($Q1609,'391'!$S:$AG,15,0),0)</f>
        <v>0</v>
      </c>
      <c r="X1609" s="1090">
        <f t="shared" si="866"/>
        <v>0</v>
      </c>
      <c r="Y1609" s="787"/>
      <c r="Z1609" s="791"/>
      <c r="AA1609" s="787"/>
      <c r="AB1609" s="787"/>
      <c r="AC1609" s="550"/>
      <c r="AD1609" s="679"/>
      <c r="AE1609" s="679"/>
      <c r="AF1609" s="679"/>
      <c r="AG1609" s="679"/>
      <c r="AH1609" s="679"/>
      <c r="AI1609" s="682"/>
      <c r="AJ1609" s="682"/>
      <c r="AK1609" s="682"/>
      <c r="AL1609" s="682"/>
      <c r="AM1609" s="682"/>
      <c r="AN1609" s="682"/>
      <c r="AO1609" s="682"/>
      <c r="AP1609" s="682"/>
      <c r="AQ1609" s="682"/>
      <c r="AR1609" s="682"/>
      <c r="AS1609" s="682"/>
    </row>
    <row r="1610" spans="1:45" s="420" customFormat="1" ht="30" hidden="1" customHeight="1" x14ac:dyDescent="0.25">
      <c r="A1610" s="2003" t="s">
        <v>21</v>
      </c>
      <c r="B1610" s="2004"/>
      <c r="C1610" s="125"/>
      <c r="D1610" s="1027"/>
      <c r="E1610" s="1027"/>
      <c r="F1610" s="896"/>
      <c r="G1610" s="1422">
        <v>0</v>
      </c>
      <c r="H1610" s="1422">
        <f>SUM(H1608:H1609)</f>
        <v>0</v>
      </c>
      <c r="I1610" s="1422">
        <f>SUM(I1608:I1609)</f>
        <v>0</v>
      </c>
      <c r="J1610" s="1422">
        <f>SUM(J1608:J1609)</f>
        <v>0</v>
      </c>
      <c r="K1610" s="1422"/>
      <c r="L1610" s="1533">
        <f t="shared" si="1002"/>
        <v>0</v>
      </c>
      <c r="M1610" s="889"/>
      <c r="N1610" s="854" t="e">
        <f>(L1610/M1610)/1000</f>
        <v>#DIV/0!</v>
      </c>
      <c r="O1610" s="889"/>
      <c r="P1610" s="857"/>
      <c r="Q1610" s="795"/>
      <c r="R1610" s="785">
        <f>IFERROR(VLOOKUP($Q1610,'391'!$S:$Z,8,0),"")</f>
        <v>0</v>
      </c>
      <c r="S1610" s="786"/>
      <c r="T1610" s="787"/>
      <c r="U1610" s="787"/>
      <c r="V1610" s="787"/>
      <c r="W1610" s="785">
        <f>IFERROR(VLOOKUP($Q1610,'391'!$S:$AG,15,0),0)</f>
        <v>0</v>
      </c>
      <c r="X1610" s="1090">
        <f t="shared" si="866"/>
        <v>0</v>
      </c>
      <c r="Y1610" s="787"/>
      <c r="Z1610" s="791"/>
      <c r="AA1610" s="787"/>
      <c r="AB1610" s="787"/>
      <c r="AC1610" s="679"/>
      <c r="AD1610" s="550"/>
      <c r="AE1610" s="550"/>
      <c r="AF1610" s="550"/>
      <c r="AG1610" s="550"/>
      <c r="AH1610" s="550"/>
      <c r="AI1610" s="559"/>
      <c r="AJ1610" s="559"/>
      <c r="AK1610" s="559"/>
      <c r="AL1610" s="559"/>
      <c r="AM1610" s="559"/>
      <c r="AN1610" s="559"/>
      <c r="AO1610" s="559"/>
      <c r="AP1610" s="559"/>
      <c r="AQ1610" s="559"/>
      <c r="AR1610" s="559"/>
      <c r="AS1610" s="559"/>
    </row>
    <row r="1611" spans="1:45" s="6" customFormat="1" ht="30" hidden="1" customHeight="1" x14ac:dyDescent="0.25">
      <c r="A1611" s="2010" t="str">
        <f>IF(L1613=0,"",MAX($A$16:A1610)+1)</f>
        <v/>
      </c>
      <c r="B1611" s="2008" t="s">
        <v>99</v>
      </c>
      <c r="C1611" s="165" t="s">
        <v>188</v>
      </c>
      <c r="D1611" s="866" t="s">
        <v>10</v>
      </c>
      <c r="E1611" s="1113">
        <v>41751</v>
      </c>
      <c r="F1611" s="71">
        <f>$L$7-E1611</f>
        <v>4535</v>
      </c>
      <c r="G1611" s="64">
        <v>0</v>
      </c>
      <c r="H1611" s="64"/>
      <c r="I1611" s="64"/>
      <c r="J1611" s="1378"/>
      <c r="K1611" s="63"/>
      <c r="L1611" s="1533">
        <f t="shared" si="1002"/>
        <v>0</v>
      </c>
      <c r="M1611" s="20"/>
      <c r="N1611" s="196"/>
      <c r="O1611" s="20"/>
      <c r="P1611" s="857"/>
      <c r="Q1611" s="795"/>
      <c r="R1611" s="785">
        <f>IFERROR(VLOOKUP($Q1611,'391'!$S:$Z,8,0),"")</f>
        <v>0</v>
      </c>
      <c r="S1611" s="786"/>
      <c r="T1611" s="787"/>
      <c r="U1611" s="787"/>
      <c r="V1611" s="787"/>
      <c r="W1611" s="785">
        <f>IFERROR(VLOOKUP($Q1611,'391'!$S:$AG,15,0),0)</f>
        <v>0</v>
      </c>
      <c r="X1611" s="1090">
        <f t="shared" si="866"/>
        <v>0</v>
      </c>
      <c r="Y1611" s="787"/>
      <c r="Z1611" s="791"/>
      <c r="AA1611" s="787"/>
      <c r="AB1611" s="787"/>
      <c r="AC1611" s="679"/>
      <c r="AD1611" s="679"/>
      <c r="AE1611" s="679"/>
      <c r="AF1611" s="679"/>
      <c r="AG1611" s="679"/>
      <c r="AH1611" s="679"/>
      <c r="AI1611" s="682"/>
      <c r="AJ1611" s="682"/>
      <c r="AK1611" s="682"/>
      <c r="AL1611" s="682"/>
      <c r="AM1611" s="682"/>
      <c r="AN1611" s="682"/>
      <c r="AO1611" s="682"/>
      <c r="AP1611" s="682"/>
      <c r="AQ1611" s="682"/>
      <c r="AR1611" s="682"/>
      <c r="AS1611" s="682"/>
    </row>
    <row r="1612" spans="1:45" ht="30" hidden="1" customHeight="1" x14ac:dyDescent="0.25">
      <c r="A1612" s="2002"/>
      <c r="B1612" s="2009"/>
      <c r="C1612" s="151" t="s">
        <v>46</v>
      </c>
      <c r="D1612" s="884" t="s">
        <v>10</v>
      </c>
      <c r="E1612" s="1113">
        <v>41751</v>
      </c>
      <c r="F1612" s="71">
        <f>$L$7-E1612</f>
        <v>4535</v>
      </c>
      <c r="G1612" s="58">
        <v>0</v>
      </c>
      <c r="H1612" s="58"/>
      <c r="I1612" s="58"/>
      <c r="J1612" s="1369"/>
      <c r="K1612" s="37"/>
      <c r="L1612" s="1533">
        <f t="shared" si="1002"/>
        <v>0</v>
      </c>
      <c r="M1612" s="45"/>
      <c r="N1612" s="162"/>
      <c r="O1612" s="45"/>
      <c r="P1612" s="857"/>
      <c r="Q1612" s="795"/>
      <c r="R1612" s="785">
        <f>IFERROR(VLOOKUP($Q1612,'391'!$S:$Z,8,0),"")</f>
        <v>0</v>
      </c>
      <c r="U1612" s="787"/>
      <c r="V1612" s="787"/>
      <c r="W1612" s="785">
        <f>IFERROR(VLOOKUP($Q1612,'391'!$S:$AG,15,0),0)</f>
        <v>0</v>
      </c>
      <c r="X1612" s="1090">
        <f t="shared" si="866"/>
        <v>0</v>
      </c>
      <c r="Y1612" s="787"/>
      <c r="Z1612" s="791"/>
      <c r="AA1612" s="787"/>
      <c r="AB1612" s="787"/>
      <c r="AC1612" s="550"/>
    </row>
    <row r="1613" spans="1:45" s="420" customFormat="1" ht="30" hidden="1" customHeight="1" x14ac:dyDescent="0.25">
      <c r="A1613" s="2003" t="s">
        <v>22</v>
      </c>
      <c r="B1613" s="2004"/>
      <c r="C1613" s="125"/>
      <c r="D1613" s="1027"/>
      <c r="E1613" s="1027"/>
      <c r="F1613" s="896"/>
      <c r="G1613" s="1422">
        <v>0</v>
      </c>
      <c r="H1613" s="1422">
        <f>SUM(H1611:H1612)</f>
        <v>0</v>
      </c>
      <c r="I1613" s="1422">
        <f>SUM(I1611:I1612)</f>
        <v>0</v>
      </c>
      <c r="J1613" s="1422">
        <f>SUM(J1611:J1612)</f>
        <v>0</v>
      </c>
      <c r="K1613" s="1422"/>
      <c r="L1613" s="1533">
        <f t="shared" si="1002"/>
        <v>0</v>
      </c>
      <c r="M1613" s="889"/>
      <c r="N1613" s="366" t="e">
        <f>(L1613/M1613)/1000</f>
        <v>#DIV/0!</v>
      </c>
      <c r="O1613" s="889"/>
      <c r="P1613" s="857"/>
      <c r="Q1613" s="795"/>
      <c r="R1613" s="785">
        <f>IFERROR(VLOOKUP($Q1613,'391'!$S:$Z,8,0),"")</f>
        <v>0</v>
      </c>
      <c r="S1613" s="786"/>
      <c r="T1613" s="787"/>
      <c r="U1613" s="787"/>
      <c r="V1613" s="787"/>
      <c r="W1613" s="785">
        <f>IFERROR(VLOOKUP($Q1613,'391'!$S:$AG,15,0),0)</f>
        <v>0</v>
      </c>
      <c r="X1613" s="1090">
        <f t="shared" ref="X1613:X1673" si="1003">G1613-W1613</f>
        <v>0</v>
      </c>
      <c r="Y1613" s="787"/>
      <c r="Z1613" s="791"/>
      <c r="AA1613" s="787"/>
      <c r="AB1613" s="787"/>
      <c r="AC1613" s="679"/>
      <c r="AD1613" s="550"/>
      <c r="AE1613" s="550"/>
      <c r="AF1613" s="550"/>
      <c r="AG1613" s="550"/>
      <c r="AH1613" s="550"/>
      <c r="AI1613" s="559"/>
      <c r="AJ1613" s="559"/>
      <c r="AK1613" s="559"/>
      <c r="AL1613" s="559"/>
      <c r="AM1613" s="559"/>
      <c r="AN1613" s="559"/>
      <c r="AO1613" s="559"/>
      <c r="AP1613" s="559"/>
      <c r="AQ1613" s="559"/>
      <c r="AR1613" s="559"/>
      <c r="AS1613" s="559"/>
    </row>
    <row r="1614" spans="1:45" s="6" customFormat="1" ht="30" customHeight="1" x14ac:dyDescent="0.25">
      <c r="A1614" s="2010">
        <f>IF(L1625=0,"",MAX($A$16:A1613)+1)</f>
        <v>115</v>
      </c>
      <c r="B1614" s="770" t="s">
        <v>1965</v>
      </c>
      <c r="C1614" s="769" t="s">
        <v>1597</v>
      </c>
      <c r="D1614" s="866" t="s">
        <v>10</v>
      </c>
      <c r="E1614" s="1122">
        <v>46270</v>
      </c>
      <c r="F1614" s="71">
        <f t="shared" ref="F1614:F1615" si="1004">$L$7-E1614</f>
        <v>16</v>
      </c>
      <c r="G1614" s="63">
        <v>2400</v>
      </c>
      <c r="H1614" s="63"/>
      <c r="I1614" s="63"/>
      <c r="J1614" s="1378"/>
      <c r="K1614" s="64">
        <f>IFERROR(SUMIF(INTAKE!$A:$A,$T1614,INTAKE!$P:$P),0)</f>
        <v>1200</v>
      </c>
      <c r="L1614" s="1702">
        <f t="shared" si="1002"/>
        <v>1200</v>
      </c>
      <c r="M1614" s="20"/>
      <c r="N1614" s="920"/>
      <c r="O1614" s="20"/>
      <c r="P1614" s="954"/>
      <c r="Q1614" s="795"/>
      <c r="R1614" s="785">
        <f>IFERROR(VLOOKUP($Q1614,'391'!$S:$Z,8,0),"")</f>
        <v>0</v>
      </c>
      <c r="S1614" s="786"/>
      <c r="T1614" s="787" t="str">
        <f t="shared" ref="T1614:T1624" si="1005">$Q$1625&amp;C1614&amp;E1614</f>
        <v>Premix 52MX6.246270</v>
      </c>
      <c r="U1614" s="787"/>
      <c r="V1614" s="787"/>
      <c r="W1614" s="785">
        <f>IFERROR(VLOOKUP($Q1614,'391'!$S:$AG,15,0),0)</f>
        <v>0</v>
      </c>
      <c r="X1614" s="1090">
        <f t="shared" si="1003"/>
        <v>2400</v>
      </c>
      <c r="Y1614" s="787"/>
      <c r="Z1614" s="791"/>
      <c r="AA1614" s="787"/>
      <c r="AB1614" s="787"/>
      <c r="AC1614" s="679"/>
      <c r="AD1614" s="679"/>
      <c r="AE1614" s="679"/>
      <c r="AF1614" s="679"/>
      <c r="AG1614" s="679"/>
      <c r="AH1614" s="679"/>
      <c r="AI1614" s="682"/>
      <c r="AJ1614" s="682"/>
      <c r="AK1614" s="682"/>
      <c r="AL1614" s="682"/>
      <c r="AM1614" s="682"/>
      <c r="AN1614" s="682"/>
      <c r="AO1614" s="682"/>
      <c r="AP1614" s="682"/>
      <c r="AQ1614" s="682"/>
      <c r="AR1614" s="682"/>
      <c r="AS1614" s="682"/>
    </row>
    <row r="1615" spans="1:45" s="6" customFormat="1" ht="30" customHeight="1" x14ac:dyDescent="0.25">
      <c r="A1615" s="2002"/>
      <c r="B1615" s="770" t="s">
        <v>2204</v>
      </c>
      <c r="C1615" s="769" t="s">
        <v>1897</v>
      </c>
      <c r="D1615" s="866" t="s">
        <v>10</v>
      </c>
      <c r="E1615" s="1122">
        <v>46275</v>
      </c>
      <c r="F1615" s="71">
        <f t="shared" si="1004"/>
        <v>11</v>
      </c>
      <c r="G1615" s="63">
        <v>2400</v>
      </c>
      <c r="H1615" s="63"/>
      <c r="I1615" s="63"/>
      <c r="J1615" s="1378"/>
      <c r="K1615" s="64">
        <f>IFERROR(SUMIF(INTAKE!$A:$A,$T1615,INTAKE!$P:$P),0)</f>
        <v>0</v>
      </c>
      <c r="L1615" s="1702">
        <f t="shared" si="1002"/>
        <v>2400</v>
      </c>
      <c r="M1615" s="767"/>
      <c r="N1615" s="1469"/>
      <c r="O1615" s="768"/>
      <c r="P1615" s="1028"/>
      <c r="Q1615" s="795"/>
      <c r="R1615" s="785">
        <f>IFERROR(VLOOKUP($Q1615,'391'!$S:$Z,8,0),"")</f>
        <v>0</v>
      </c>
      <c r="S1615" s="786"/>
      <c r="T1615" s="787" t="str">
        <f t="shared" si="1005"/>
        <v>Premix 52MX4.246275</v>
      </c>
      <c r="U1615" s="787"/>
      <c r="V1615" s="787"/>
      <c r="W1615" s="785">
        <f>IFERROR(VLOOKUP($Q1615,'391'!$S:$AG,15,0),0)</f>
        <v>0</v>
      </c>
      <c r="X1615" s="1090">
        <f t="shared" si="1003"/>
        <v>2400</v>
      </c>
      <c r="Y1615" s="787"/>
      <c r="Z1615" s="791"/>
      <c r="AA1615" s="787"/>
      <c r="AB1615" s="787"/>
      <c r="AC1615" s="679"/>
      <c r="AD1615" s="679"/>
      <c r="AE1615" s="679"/>
      <c r="AF1615" s="679"/>
      <c r="AG1615" s="679"/>
      <c r="AH1615" s="679"/>
      <c r="AI1615" s="682"/>
      <c r="AJ1615" s="682"/>
      <c r="AK1615" s="682"/>
      <c r="AL1615" s="682"/>
      <c r="AM1615" s="682"/>
      <c r="AN1615" s="682"/>
      <c r="AO1615" s="682"/>
      <c r="AP1615" s="682"/>
      <c r="AQ1615" s="682"/>
      <c r="AR1615" s="682"/>
      <c r="AS1615" s="682"/>
    </row>
    <row r="1616" spans="1:45" s="6" customFormat="1" ht="30" customHeight="1" x14ac:dyDescent="0.25">
      <c r="A1616" s="2002"/>
      <c r="B1616" s="770" t="s">
        <v>2233</v>
      </c>
      <c r="C1616" s="769" t="s">
        <v>1898</v>
      </c>
      <c r="D1616" s="866" t="s">
        <v>10</v>
      </c>
      <c r="E1616" s="1122">
        <v>46283</v>
      </c>
      <c r="F1616" s="71">
        <f t="shared" ref="F1616" si="1006">$L$7-E1616</f>
        <v>3</v>
      </c>
      <c r="G1616" s="63">
        <v>1200</v>
      </c>
      <c r="H1616" s="63"/>
      <c r="I1616" s="63"/>
      <c r="J1616" s="1378"/>
      <c r="K1616" s="64">
        <f>IFERROR(SUMIF(INTAKE!$A:$A,$T1616,INTAKE!$P:$P),0)</f>
        <v>0</v>
      </c>
      <c r="L1616" s="1702">
        <f t="shared" si="1002"/>
        <v>1200</v>
      </c>
      <c r="M1616" s="767"/>
      <c r="N1616" s="1469"/>
      <c r="O1616" s="768"/>
      <c r="P1616" s="1028"/>
      <c r="Q1616" s="795"/>
      <c r="R1616" s="785">
        <f>IFERROR(VLOOKUP($Q1616,'391'!$S:$Z,8,0),"")</f>
        <v>0</v>
      </c>
      <c r="S1616" s="786"/>
      <c r="T1616" s="787" t="str">
        <f t="shared" si="1005"/>
        <v>Premix 52MX7.246283</v>
      </c>
      <c r="U1616" s="787"/>
      <c r="V1616" s="787"/>
      <c r="W1616" s="785">
        <f>IFERROR(VLOOKUP($Q1616,'391'!$S:$AG,15,0),0)</f>
        <v>0</v>
      </c>
      <c r="X1616" s="1090">
        <f t="shared" si="1003"/>
        <v>1200</v>
      </c>
      <c r="Y1616" s="787"/>
      <c r="Z1616" s="791"/>
      <c r="AA1616" s="787"/>
      <c r="AB1616" s="787"/>
      <c r="AC1616" s="679"/>
      <c r="AD1616" s="679"/>
      <c r="AE1616" s="679"/>
      <c r="AF1616" s="679"/>
      <c r="AG1616" s="679"/>
      <c r="AH1616" s="679"/>
      <c r="AI1616" s="682"/>
      <c r="AJ1616" s="682"/>
      <c r="AK1616" s="682"/>
      <c r="AL1616" s="682"/>
      <c r="AM1616" s="682"/>
      <c r="AN1616" s="682"/>
      <c r="AO1616" s="682"/>
      <c r="AP1616" s="682"/>
      <c r="AQ1616" s="682"/>
      <c r="AR1616" s="682"/>
      <c r="AS1616" s="682"/>
    </row>
    <row r="1617" spans="1:45" s="6" customFormat="1" ht="30" hidden="1" customHeight="1" x14ac:dyDescent="0.25">
      <c r="A1617" s="2002"/>
      <c r="B1617" s="770" t="s">
        <v>2204</v>
      </c>
      <c r="C1617" s="769"/>
      <c r="D1617" s="866" t="s">
        <v>10</v>
      </c>
      <c r="E1617" s="1122">
        <v>46275</v>
      </c>
      <c r="F1617" s="71">
        <f t="shared" ref="F1617" si="1007">$L$7-E1617</f>
        <v>11</v>
      </c>
      <c r="G1617" s="63">
        <v>0</v>
      </c>
      <c r="H1617" s="63"/>
      <c r="I1617" s="63"/>
      <c r="J1617" s="1378"/>
      <c r="K1617" s="64">
        <f>IFERROR(SUMIF(INTAKE!$A:$A,$T1617,INTAKE!$P:$P),0)</f>
        <v>0</v>
      </c>
      <c r="L1617" s="1702">
        <f t="shared" si="1002"/>
        <v>0</v>
      </c>
      <c r="M1617" s="767"/>
      <c r="N1617" s="1469"/>
      <c r="O1617" s="768"/>
      <c r="P1617" s="1028"/>
      <c r="Q1617" s="795"/>
      <c r="R1617" s="785">
        <f>IFERROR(VLOOKUP($Q1617,'391'!$S:$Z,8,0),"")</f>
        <v>0</v>
      </c>
      <c r="S1617" s="786"/>
      <c r="T1617" s="787" t="str">
        <f t="shared" si="1005"/>
        <v>Premix 52M46275</v>
      </c>
      <c r="U1617" s="787"/>
      <c r="V1617" s="787"/>
      <c r="W1617" s="785">
        <f>IFERROR(VLOOKUP($Q1617,'391'!$S:$AG,15,0),0)</f>
        <v>0</v>
      </c>
      <c r="X1617" s="1090">
        <f t="shared" si="1003"/>
        <v>0</v>
      </c>
      <c r="Y1617" s="787"/>
      <c r="Z1617" s="791"/>
      <c r="AA1617" s="787"/>
      <c r="AB1617" s="787"/>
      <c r="AC1617" s="679"/>
      <c r="AD1617" s="679"/>
      <c r="AE1617" s="679"/>
      <c r="AF1617" s="679"/>
      <c r="AG1617" s="679"/>
      <c r="AH1617" s="679"/>
      <c r="AI1617" s="682"/>
      <c r="AJ1617" s="682"/>
      <c r="AK1617" s="682"/>
      <c r="AL1617" s="682"/>
      <c r="AM1617" s="682"/>
      <c r="AN1617" s="682"/>
      <c r="AO1617" s="682"/>
      <c r="AP1617" s="682"/>
      <c r="AQ1617" s="682"/>
      <c r="AR1617" s="682"/>
      <c r="AS1617" s="682"/>
    </row>
    <row r="1618" spans="1:45" s="6" customFormat="1" ht="30" hidden="1" customHeight="1" x14ac:dyDescent="0.25">
      <c r="A1618" s="2002"/>
      <c r="B1618" s="770" t="s">
        <v>1939</v>
      </c>
      <c r="C1618" s="769"/>
      <c r="D1618" s="866" t="s">
        <v>10</v>
      </c>
      <c r="E1618" s="1122">
        <v>46262</v>
      </c>
      <c r="F1618" s="71">
        <f t="shared" ref="F1618" si="1008">$L$7-E1618</f>
        <v>24</v>
      </c>
      <c r="G1618" s="63">
        <v>0</v>
      </c>
      <c r="H1618" s="63"/>
      <c r="I1618" s="63"/>
      <c r="J1618" s="1378"/>
      <c r="K1618" s="64">
        <f>IFERROR(SUMIF(INTAKE!$A:$A,$T1618,INTAKE!$P:$P),0)</f>
        <v>0</v>
      </c>
      <c r="L1618" s="1702">
        <f t="shared" si="1002"/>
        <v>0</v>
      </c>
      <c r="M1618" s="767"/>
      <c r="N1618" s="1469"/>
      <c r="O1618" s="768"/>
      <c r="P1618" s="1028"/>
      <c r="Q1618" s="795"/>
      <c r="R1618" s="785">
        <f>IFERROR(VLOOKUP($Q1618,'391'!$S:$Z,8,0),"")</f>
        <v>0</v>
      </c>
      <c r="S1618" s="786"/>
      <c r="T1618" s="787" t="str">
        <f t="shared" si="1005"/>
        <v>Premix 52M46262</v>
      </c>
      <c r="U1618" s="787"/>
      <c r="V1618" s="787"/>
      <c r="W1618" s="785">
        <f>IFERROR(VLOOKUP($Q1618,'391'!$S:$AG,15,0),0)</f>
        <v>0</v>
      </c>
      <c r="X1618" s="1090">
        <f t="shared" si="1003"/>
        <v>0</v>
      </c>
      <c r="Y1618" s="787"/>
      <c r="Z1618" s="791"/>
      <c r="AA1618" s="787"/>
      <c r="AB1618" s="787"/>
      <c r="AC1618" s="679"/>
      <c r="AD1618" s="679"/>
      <c r="AE1618" s="679"/>
      <c r="AF1618" s="679"/>
      <c r="AG1618" s="679"/>
      <c r="AH1618" s="679"/>
      <c r="AI1618" s="682"/>
      <c r="AJ1618" s="682"/>
      <c r="AK1618" s="682"/>
      <c r="AL1618" s="682"/>
      <c r="AM1618" s="682"/>
      <c r="AN1618" s="682"/>
      <c r="AO1618" s="682"/>
      <c r="AP1618" s="682"/>
      <c r="AQ1618" s="682"/>
      <c r="AR1618" s="682"/>
      <c r="AS1618" s="682"/>
    </row>
    <row r="1619" spans="1:45" s="6" customFormat="1" ht="30" hidden="1" customHeight="1" x14ac:dyDescent="0.25">
      <c r="A1619" s="2002"/>
      <c r="B1619" s="770" t="s">
        <v>1805</v>
      </c>
      <c r="C1619" s="769"/>
      <c r="D1619" s="866" t="s">
        <v>10</v>
      </c>
      <c r="E1619" s="1122">
        <v>46129</v>
      </c>
      <c r="F1619" s="71">
        <f t="shared" ref="F1619" si="1009">$L$7-E1619</f>
        <v>157</v>
      </c>
      <c r="G1619" s="63">
        <v>0</v>
      </c>
      <c r="H1619" s="63"/>
      <c r="I1619" s="63"/>
      <c r="J1619" s="1378"/>
      <c r="K1619" s="64">
        <f>IFERROR(SUMIF(INTAKE!$A:$A,$T1619,INTAKE!$P:$P),0)</f>
        <v>0</v>
      </c>
      <c r="L1619" s="1702">
        <f t="shared" si="1002"/>
        <v>0</v>
      </c>
      <c r="M1619" s="767"/>
      <c r="N1619" s="1469"/>
      <c r="O1619" s="768"/>
      <c r="P1619" s="1028"/>
      <c r="Q1619" s="795"/>
      <c r="R1619" s="785">
        <f>IFERROR(VLOOKUP($Q1619,'391'!$S:$Z,8,0),"")</f>
        <v>0</v>
      </c>
      <c r="S1619" s="786"/>
      <c r="T1619" s="787" t="str">
        <f t="shared" si="1005"/>
        <v>Premix 52M46129</v>
      </c>
      <c r="U1619" s="787"/>
      <c r="V1619" s="787"/>
      <c r="W1619" s="785">
        <f>IFERROR(VLOOKUP($Q1619,'391'!$S:$AG,15,0),0)</f>
        <v>0</v>
      </c>
      <c r="X1619" s="1090">
        <f t="shared" si="1003"/>
        <v>0</v>
      </c>
      <c r="Y1619" s="787"/>
      <c r="Z1619" s="791"/>
      <c r="AA1619" s="787"/>
      <c r="AB1619" s="787"/>
      <c r="AC1619" s="679"/>
      <c r="AD1619" s="679"/>
      <c r="AE1619" s="679"/>
      <c r="AF1619" s="679"/>
      <c r="AG1619" s="679"/>
      <c r="AH1619" s="679"/>
      <c r="AI1619" s="682"/>
      <c r="AJ1619" s="682"/>
      <c r="AK1619" s="682"/>
      <c r="AL1619" s="682"/>
      <c r="AM1619" s="682"/>
      <c r="AN1619" s="682"/>
      <c r="AO1619" s="682"/>
      <c r="AP1619" s="682"/>
      <c r="AQ1619" s="682"/>
      <c r="AR1619" s="682"/>
      <c r="AS1619" s="682"/>
    </row>
    <row r="1620" spans="1:45" s="6" customFormat="1" ht="30" hidden="1" customHeight="1" x14ac:dyDescent="0.25">
      <c r="A1620" s="2002"/>
      <c r="B1620" s="770" t="s">
        <v>1722</v>
      </c>
      <c r="C1620" s="769"/>
      <c r="D1620" s="866" t="s">
        <v>10</v>
      </c>
      <c r="E1620" s="1122">
        <v>46022</v>
      </c>
      <c r="F1620" s="71">
        <f t="shared" ref="F1620" si="1010">$L$7-E1620</f>
        <v>264</v>
      </c>
      <c r="G1620" s="63">
        <v>0</v>
      </c>
      <c r="H1620" s="63"/>
      <c r="I1620" s="63"/>
      <c r="J1620" s="1378"/>
      <c r="K1620" s="64">
        <f>IFERROR(SUMIF(INTAKE!$A:$A,$T1620,INTAKE!$P:$P),0)</f>
        <v>0</v>
      </c>
      <c r="L1620" s="1702">
        <f t="shared" si="1002"/>
        <v>0</v>
      </c>
      <c r="M1620" s="767"/>
      <c r="N1620" s="1469"/>
      <c r="O1620" s="768"/>
      <c r="P1620" s="1028"/>
      <c r="Q1620" s="795"/>
      <c r="R1620" s="785">
        <f>IFERROR(VLOOKUP($Q1620,'391'!$S:$Z,8,0),"")</f>
        <v>0</v>
      </c>
      <c r="S1620" s="786"/>
      <c r="T1620" s="787" t="str">
        <f t="shared" si="1005"/>
        <v>Premix 52M46022</v>
      </c>
      <c r="U1620" s="787"/>
      <c r="V1620" s="787"/>
      <c r="W1620" s="785">
        <f>IFERROR(VLOOKUP($Q1620,'391'!$S:$AG,15,0),0)</f>
        <v>0</v>
      </c>
      <c r="X1620" s="1090">
        <f t="shared" si="1003"/>
        <v>0</v>
      </c>
      <c r="Y1620" s="787"/>
      <c r="Z1620" s="791"/>
      <c r="AA1620" s="787"/>
      <c r="AB1620" s="787"/>
      <c r="AC1620" s="679"/>
      <c r="AD1620" s="679"/>
      <c r="AE1620" s="679"/>
      <c r="AF1620" s="679"/>
      <c r="AG1620" s="679"/>
      <c r="AH1620" s="679"/>
      <c r="AI1620" s="682"/>
      <c r="AJ1620" s="682"/>
      <c r="AK1620" s="682"/>
      <c r="AL1620" s="682"/>
      <c r="AM1620" s="682"/>
      <c r="AN1620" s="682"/>
      <c r="AO1620" s="682"/>
      <c r="AP1620" s="682"/>
      <c r="AQ1620" s="682"/>
      <c r="AR1620" s="682"/>
      <c r="AS1620" s="682"/>
    </row>
    <row r="1621" spans="1:45" s="6" customFormat="1" ht="30" hidden="1" customHeight="1" x14ac:dyDescent="0.25">
      <c r="A1621" s="2002"/>
      <c r="B1621" s="770" t="s">
        <v>1538</v>
      </c>
      <c r="C1621" s="769"/>
      <c r="D1621" s="866" t="s">
        <v>10</v>
      </c>
      <c r="E1621" s="1122">
        <v>45674</v>
      </c>
      <c r="F1621" s="71">
        <f t="shared" ref="F1621" si="1011">$L$7-E1621</f>
        <v>612</v>
      </c>
      <c r="G1621" s="63">
        <v>0</v>
      </c>
      <c r="H1621" s="63"/>
      <c r="I1621" s="63"/>
      <c r="J1621" s="1378"/>
      <c r="K1621" s="64">
        <f>IFERROR(SUMIF(INTAKE!$A:$A,$T1621,INTAKE!$P:$P),0)</f>
        <v>0</v>
      </c>
      <c r="L1621" s="1702">
        <f t="shared" si="1002"/>
        <v>0</v>
      </c>
      <c r="M1621" s="767"/>
      <c r="N1621" s="1469"/>
      <c r="O1621" s="768"/>
      <c r="P1621" s="1028"/>
      <c r="Q1621" s="795"/>
      <c r="R1621" s="785">
        <f>IFERROR(VLOOKUP($Q1621,'391'!$S:$Z,8,0),"")</f>
        <v>0</v>
      </c>
      <c r="S1621" s="786"/>
      <c r="T1621" s="787" t="str">
        <f t="shared" si="1005"/>
        <v>Premix 52M45674</v>
      </c>
      <c r="U1621" s="787"/>
      <c r="V1621" s="787"/>
      <c r="W1621" s="785">
        <f>IFERROR(VLOOKUP($Q1621,'391'!$S:$AG,15,0),0)</f>
        <v>0</v>
      </c>
      <c r="X1621" s="1090">
        <f t="shared" si="1003"/>
        <v>0</v>
      </c>
      <c r="Y1621" s="787"/>
      <c r="Z1621" s="791"/>
      <c r="AA1621" s="787"/>
      <c r="AB1621" s="787"/>
      <c r="AC1621" s="679"/>
      <c r="AD1621" s="679"/>
      <c r="AE1621" s="679"/>
      <c r="AF1621" s="679"/>
      <c r="AG1621" s="679"/>
      <c r="AH1621" s="679"/>
      <c r="AI1621" s="682"/>
      <c r="AJ1621" s="682"/>
      <c r="AK1621" s="682"/>
      <c r="AL1621" s="682"/>
      <c r="AM1621" s="682"/>
      <c r="AN1621" s="682"/>
      <c r="AO1621" s="682"/>
      <c r="AP1621" s="682"/>
      <c r="AQ1621" s="682"/>
      <c r="AR1621" s="682"/>
      <c r="AS1621" s="682"/>
    </row>
    <row r="1622" spans="1:45" s="6" customFormat="1" ht="30" hidden="1" customHeight="1" x14ac:dyDescent="0.25">
      <c r="A1622" s="2002"/>
      <c r="B1622" s="770" t="s">
        <v>1540</v>
      </c>
      <c r="C1622" s="769"/>
      <c r="D1622" s="866" t="s">
        <v>10</v>
      </c>
      <c r="E1622" s="1122">
        <v>45680</v>
      </c>
      <c r="F1622" s="71">
        <f t="shared" ref="F1622" si="1012">$L$7-E1622</f>
        <v>606</v>
      </c>
      <c r="G1622" s="63">
        <v>0</v>
      </c>
      <c r="H1622" s="63"/>
      <c r="I1622" s="63"/>
      <c r="J1622" s="1378"/>
      <c r="K1622" s="64">
        <f>IFERROR(SUMIF(INTAKE!$A:$A,$T1622,INTAKE!$P:$P),0)</f>
        <v>0</v>
      </c>
      <c r="L1622" s="1702">
        <f t="shared" si="1002"/>
        <v>0</v>
      </c>
      <c r="M1622" s="767"/>
      <c r="N1622" s="1469"/>
      <c r="O1622" s="768"/>
      <c r="P1622" s="1028"/>
      <c r="Q1622" s="795"/>
      <c r="R1622" s="785">
        <f>IFERROR(VLOOKUP($Q1622,'391'!$S:$Z,8,0),"")</f>
        <v>0</v>
      </c>
      <c r="S1622" s="786"/>
      <c r="T1622" s="787" t="str">
        <f t="shared" si="1005"/>
        <v>Premix 52M45680</v>
      </c>
      <c r="U1622" s="787"/>
      <c r="V1622" s="787"/>
      <c r="W1622" s="785">
        <f>IFERROR(VLOOKUP($Q1622,'391'!$S:$AG,15,0),0)</f>
        <v>0</v>
      </c>
      <c r="X1622" s="1090">
        <f t="shared" si="1003"/>
        <v>0</v>
      </c>
      <c r="Y1622" s="787"/>
      <c r="Z1622" s="791"/>
      <c r="AA1622" s="787"/>
      <c r="AB1622" s="787"/>
      <c r="AC1622" s="679"/>
      <c r="AD1622" s="679"/>
      <c r="AE1622" s="679"/>
      <c r="AF1622" s="679"/>
      <c r="AG1622" s="679"/>
      <c r="AH1622" s="679"/>
      <c r="AI1622" s="682"/>
      <c r="AJ1622" s="682"/>
      <c r="AK1622" s="682"/>
      <c r="AL1622" s="682"/>
      <c r="AM1622" s="682"/>
      <c r="AN1622" s="682"/>
      <c r="AO1622" s="682"/>
      <c r="AP1622" s="682"/>
      <c r="AQ1622" s="682"/>
      <c r="AR1622" s="682"/>
      <c r="AS1622" s="682"/>
    </row>
    <row r="1623" spans="1:45" s="6" customFormat="1" ht="30" hidden="1" customHeight="1" x14ac:dyDescent="0.25">
      <c r="A1623" s="2002"/>
      <c r="B1623" s="770" t="s">
        <v>1393</v>
      </c>
      <c r="C1623" s="769"/>
      <c r="D1623" s="866" t="s">
        <v>10</v>
      </c>
      <c r="E1623" s="1122">
        <v>45317</v>
      </c>
      <c r="F1623" s="71">
        <f t="shared" ref="F1623:F1624" si="1013">$L$7-E1623</f>
        <v>969</v>
      </c>
      <c r="G1623" s="63">
        <v>0</v>
      </c>
      <c r="H1623" s="63"/>
      <c r="I1623" s="63"/>
      <c r="J1623" s="1378"/>
      <c r="K1623" s="64">
        <f>IFERROR(SUMIF(INTAKE!$A:$A,$T1623,INTAKE!$P:$P),0)</f>
        <v>0</v>
      </c>
      <c r="L1623" s="1533">
        <f t="shared" si="1002"/>
        <v>0</v>
      </c>
      <c r="M1623" s="767"/>
      <c r="N1623" s="1469"/>
      <c r="O1623" s="768"/>
      <c r="P1623" s="1028"/>
      <c r="Q1623" s="795"/>
      <c r="R1623" s="785">
        <f>IFERROR(VLOOKUP($Q1623,'391'!$S:$Z,8,0),"")</f>
        <v>0</v>
      </c>
      <c r="S1623" s="786"/>
      <c r="T1623" s="787" t="str">
        <f t="shared" si="1005"/>
        <v>Premix 52M45317</v>
      </c>
      <c r="U1623" s="787"/>
      <c r="V1623" s="787"/>
      <c r="W1623" s="785">
        <f>IFERROR(VLOOKUP($Q1623,'391'!$S:$AG,15,0),0)</f>
        <v>0</v>
      </c>
      <c r="X1623" s="1090">
        <f t="shared" si="1003"/>
        <v>0</v>
      </c>
      <c r="Y1623" s="787"/>
      <c r="Z1623" s="791"/>
      <c r="AA1623" s="787"/>
      <c r="AB1623" s="787"/>
      <c r="AC1623" s="679"/>
      <c r="AD1623" s="679"/>
      <c r="AE1623" s="679"/>
      <c r="AF1623" s="679"/>
      <c r="AG1623" s="679"/>
      <c r="AH1623" s="679"/>
      <c r="AI1623" s="682"/>
      <c r="AJ1623" s="682"/>
      <c r="AK1623" s="682"/>
      <c r="AL1623" s="682"/>
      <c r="AM1623" s="682"/>
      <c r="AN1623" s="682"/>
      <c r="AO1623" s="682"/>
      <c r="AP1623" s="682"/>
      <c r="AQ1623" s="682"/>
      <c r="AR1623" s="682"/>
      <c r="AS1623" s="682"/>
    </row>
    <row r="1624" spans="1:45" ht="30" customHeight="1" x14ac:dyDescent="0.25">
      <c r="A1624" s="2002"/>
      <c r="B1624" s="1014" t="s">
        <v>1965</v>
      </c>
      <c r="C1624" s="149" t="s">
        <v>46</v>
      </c>
      <c r="D1624" s="884" t="s">
        <v>10</v>
      </c>
      <c r="E1624" s="1123">
        <v>46270</v>
      </c>
      <c r="F1624" s="71">
        <f t="shared" si="1013"/>
        <v>16</v>
      </c>
      <c r="G1624" s="56">
        <v>583.04000000000042</v>
      </c>
      <c r="H1624" s="56"/>
      <c r="I1624" s="56">
        <f>+SUM(K1614:K1619)</f>
        <v>1200</v>
      </c>
      <c r="J1624" s="1369">
        <f>usage!I233</f>
        <v>597.04</v>
      </c>
      <c r="K1624" s="64">
        <f>IFERROR(SUMIF(INTAKE!$A:$A,$T1624,INTAKE!$P:$P),0)</f>
        <v>0</v>
      </c>
      <c r="L1624" s="1533">
        <f t="shared" si="1002"/>
        <v>1186.0000000000005</v>
      </c>
      <c r="M1624" s="45"/>
      <c r="N1624" s="162"/>
      <c r="O1624" s="45"/>
      <c r="P1624" s="857"/>
      <c r="Q1624" s="795"/>
      <c r="R1624" s="785">
        <f>IFERROR(VLOOKUP($Q1624,'391'!$S:$Z,8,0),"")</f>
        <v>0</v>
      </c>
      <c r="T1624" s="787" t="str">
        <f t="shared" si="1005"/>
        <v>Premix 52MFeedmill46270</v>
      </c>
      <c r="U1624" s="787"/>
      <c r="V1624" s="787"/>
      <c r="W1624" s="785">
        <f>IFERROR(VLOOKUP($Q1624,'391'!$S:$AG,15,0),0)</f>
        <v>0</v>
      </c>
      <c r="X1624" s="1090">
        <f t="shared" si="1003"/>
        <v>583.04000000000042</v>
      </c>
      <c r="Y1624" s="787"/>
      <c r="Z1624" s="791"/>
      <c r="AA1624" s="787"/>
      <c r="AB1624" s="787"/>
      <c r="AC1624" s="550"/>
    </row>
    <row r="1625" spans="1:45" s="420" customFormat="1" ht="30" customHeight="1" x14ac:dyDescent="0.25">
      <c r="A1625" s="2003" t="s">
        <v>23</v>
      </c>
      <c r="B1625" s="2004"/>
      <c r="C1625" s="854"/>
      <c r="D1625" s="1027"/>
      <c r="E1625" s="1027"/>
      <c r="F1625" s="896"/>
      <c r="G1625" s="1422">
        <v>6583.0400000000009</v>
      </c>
      <c r="H1625" s="1422">
        <f t="shared" ref="H1625:L1625" si="1014">SUM(H1614:H1624)</f>
        <v>0</v>
      </c>
      <c r="I1625" s="1422">
        <f t="shared" si="1014"/>
        <v>1200</v>
      </c>
      <c r="J1625" s="1422">
        <f t="shared" si="1014"/>
        <v>597.04</v>
      </c>
      <c r="K1625" s="1422">
        <f t="shared" si="1014"/>
        <v>1200</v>
      </c>
      <c r="L1625" s="1422">
        <f t="shared" si="1014"/>
        <v>5986</v>
      </c>
      <c r="M1625" s="889">
        <f>IFERROR(R1625/$S$2,"")</f>
        <v>420.8533333333333</v>
      </c>
      <c r="N1625" s="854">
        <f>IFERROR(L1625/M1625,0)</f>
        <v>14.223482448358892</v>
      </c>
      <c r="O1625" s="889">
        <f>IFERROR(SUMIF(ETM!$A:$A,$Q1625,ETM!$E:$E),"")</f>
        <v>482.16666666666663</v>
      </c>
      <c r="P1625" s="880">
        <f>IFERROR(L1625/O1625,0)</f>
        <v>12.414794331144142</v>
      </c>
      <c r="Q1625" s="814" t="s">
        <v>921</v>
      </c>
      <c r="R1625" s="785">
        <f>IFERROR(VLOOKUP($Q1625,'391'!$S:$Z,8,0),"")</f>
        <v>2525.12</v>
      </c>
      <c r="S1625" s="786"/>
      <c r="T1625" s="787"/>
      <c r="U1625" s="787"/>
      <c r="V1625" s="787"/>
      <c r="W1625" s="785">
        <f>IFERROR(VLOOKUP($Q1625,'391'!$S:$AG,15,0),0)</f>
        <v>6583.04</v>
      </c>
      <c r="X1625" s="1090">
        <f t="shared" si="1003"/>
        <v>0</v>
      </c>
      <c r="Y1625" s="787"/>
      <c r="Z1625" s="791"/>
      <c r="AA1625" s="787"/>
      <c r="AB1625" s="787"/>
      <c r="AC1625" s="679"/>
      <c r="AD1625" s="550"/>
      <c r="AE1625" s="550"/>
      <c r="AF1625" s="550"/>
      <c r="AG1625" s="550"/>
      <c r="AH1625" s="550"/>
      <c r="AI1625" s="559"/>
      <c r="AJ1625" s="559"/>
      <c r="AK1625" s="559"/>
      <c r="AL1625" s="559"/>
      <c r="AM1625" s="559"/>
      <c r="AN1625" s="559"/>
      <c r="AO1625" s="559"/>
      <c r="AP1625" s="559"/>
      <c r="AQ1625" s="559"/>
      <c r="AR1625" s="559"/>
      <c r="AS1625" s="559"/>
    </row>
    <row r="1626" spans="1:45" s="6" customFormat="1" ht="30" hidden="1" customHeight="1" x14ac:dyDescent="0.25">
      <c r="A1626" s="2010" t="str">
        <f>IF(L1628=0,"",MAX($A$16:A1625)+1)</f>
        <v/>
      </c>
      <c r="B1626" s="2075" t="s">
        <v>143</v>
      </c>
      <c r="C1626" s="124" t="s">
        <v>187</v>
      </c>
      <c r="D1626" s="1115" t="s">
        <v>10</v>
      </c>
      <c r="E1626" s="1107">
        <v>44414</v>
      </c>
      <c r="F1626" s="71">
        <f>$L$7-E1626</f>
        <v>1872</v>
      </c>
      <c r="G1626" s="1423">
        <v>0</v>
      </c>
      <c r="H1626" s="12"/>
      <c r="I1626" s="12"/>
      <c r="J1626" s="1368"/>
      <c r="K1626" s="12"/>
      <c r="L1626" s="1533">
        <f t="shared" ref="L1626:L1635" si="1015">+G1626+H1626+I1626-J1626-K1626</f>
        <v>0</v>
      </c>
      <c r="M1626" s="147"/>
      <c r="N1626" s="248"/>
      <c r="O1626" s="147"/>
      <c r="P1626" s="857"/>
      <c r="Q1626" s="795"/>
      <c r="R1626" s="785">
        <f>IFERROR(VLOOKUP($Q1626,'391'!$S:$Z,8,0),"")</f>
        <v>0</v>
      </c>
      <c r="S1626" s="786"/>
      <c r="T1626" s="787"/>
      <c r="U1626" s="787"/>
      <c r="V1626" s="787"/>
      <c r="W1626" s="785">
        <f>IFERROR(VLOOKUP($Q1626,'391'!$S:$AG,15,0),0)</f>
        <v>0</v>
      </c>
      <c r="X1626" s="1090">
        <f t="shared" si="1003"/>
        <v>0</v>
      </c>
      <c r="Y1626" s="787"/>
      <c r="Z1626" s="791"/>
      <c r="AA1626" s="787"/>
      <c r="AB1626" s="787"/>
      <c r="AC1626" s="679"/>
      <c r="AD1626" s="679"/>
      <c r="AE1626" s="679"/>
      <c r="AF1626" s="679"/>
      <c r="AG1626" s="679"/>
      <c r="AH1626" s="679"/>
      <c r="AI1626" s="682"/>
      <c r="AJ1626" s="682"/>
      <c r="AK1626" s="682"/>
      <c r="AL1626" s="682"/>
      <c r="AM1626" s="682"/>
      <c r="AN1626" s="682"/>
      <c r="AO1626" s="682"/>
      <c r="AP1626" s="682"/>
      <c r="AQ1626" s="682"/>
      <c r="AR1626" s="682"/>
      <c r="AS1626" s="682"/>
    </row>
    <row r="1627" spans="1:45" s="406" customFormat="1" ht="30" hidden="1" customHeight="1" x14ac:dyDescent="0.25">
      <c r="A1627" s="2002"/>
      <c r="B1627" s="2192"/>
      <c r="C1627" s="43" t="s">
        <v>46</v>
      </c>
      <c r="D1627" s="1115" t="s">
        <v>10</v>
      </c>
      <c r="E1627" s="1107">
        <v>44414</v>
      </c>
      <c r="F1627" s="71">
        <f>$L$7-E1627</f>
        <v>1872</v>
      </c>
      <c r="G1627" s="37">
        <v>0</v>
      </c>
      <c r="H1627" s="37"/>
      <c r="I1627" s="37"/>
      <c r="J1627" s="1385"/>
      <c r="K1627" s="37"/>
      <c r="L1627" s="1533">
        <f t="shared" si="1015"/>
        <v>0</v>
      </c>
      <c r="M1627" s="40"/>
      <c r="N1627" s="84"/>
      <c r="O1627" s="40"/>
      <c r="P1627" s="857"/>
      <c r="Q1627" s="795"/>
      <c r="R1627" s="785">
        <f>IFERROR(VLOOKUP($Q1627,'391'!$S:$Z,8,0),"")</f>
        <v>0</v>
      </c>
      <c r="S1627" s="786"/>
      <c r="T1627" s="787"/>
      <c r="U1627" s="787"/>
      <c r="V1627" s="787"/>
      <c r="W1627" s="785">
        <f>IFERROR(VLOOKUP($Q1627,'391'!$S:$AG,15,0),0)</f>
        <v>0</v>
      </c>
      <c r="X1627" s="1090">
        <f t="shared" si="1003"/>
        <v>0</v>
      </c>
      <c r="Y1627" s="787"/>
      <c r="Z1627" s="791"/>
      <c r="AA1627" s="787"/>
      <c r="AB1627" s="787"/>
      <c r="AC1627" s="687"/>
      <c r="AD1627" s="679"/>
      <c r="AE1627" s="679"/>
      <c r="AF1627" s="679"/>
      <c r="AG1627" s="679"/>
      <c r="AH1627" s="679"/>
      <c r="AI1627" s="682"/>
      <c r="AJ1627" s="682"/>
      <c r="AK1627" s="682"/>
      <c r="AL1627" s="682"/>
      <c r="AM1627" s="682"/>
      <c r="AN1627" s="682"/>
      <c r="AO1627" s="682"/>
      <c r="AP1627" s="682"/>
      <c r="AQ1627" s="682"/>
      <c r="AR1627" s="682"/>
      <c r="AS1627" s="682"/>
    </row>
    <row r="1628" spans="1:45" s="344" customFormat="1" ht="30" hidden="1" customHeight="1" x14ac:dyDescent="0.25">
      <c r="A1628" s="2003" t="s">
        <v>144</v>
      </c>
      <c r="B1628" s="2004"/>
      <c r="C1628" s="185"/>
      <c r="D1628" s="1029"/>
      <c r="E1628" s="1029"/>
      <c r="F1628" s="896"/>
      <c r="G1628" s="1424">
        <v>0</v>
      </c>
      <c r="H1628" s="1425">
        <f>SUM(H1626:H1627)</f>
        <v>0</v>
      </c>
      <c r="I1628" s="1425">
        <f>SUM(I1626:I1627)</f>
        <v>0</v>
      </c>
      <c r="J1628" s="1426">
        <f>SUM(J1626:J1627)</f>
        <v>0</v>
      </c>
      <c r="K1628" s="1425"/>
      <c r="L1628" s="1533">
        <f t="shared" si="1015"/>
        <v>0</v>
      </c>
      <c r="M1628" s="889"/>
      <c r="N1628" s="366"/>
      <c r="O1628" s="889"/>
      <c r="P1628" s="857"/>
      <c r="Q1628" s="795"/>
      <c r="R1628" s="785">
        <f>IFERROR(VLOOKUP($Q1628,'391'!$S:$Z,8,0),"")</f>
        <v>0</v>
      </c>
      <c r="S1628" s="786"/>
      <c r="T1628" s="787"/>
      <c r="U1628" s="787"/>
      <c r="V1628" s="787"/>
      <c r="W1628" s="785">
        <f>IFERROR(VLOOKUP($Q1628,'391'!$S:$AG,15,0),0)</f>
        <v>0</v>
      </c>
      <c r="X1628" s="1090">
        <f t="shared" si="1003"/>
        <v>0</v>
      </c>
      <c r="Y1628" s="787"/>
      <c r="Z1628" s="791"/>
      <c r="AA1628" s="787"/>
      <c r="AB1628" s="787"/>
      <c r="AC1628" s="679"/>
      <c r="AD1628" s="687"/>
      <c r="AE1628" s="687"/>
      <c r="AF1628" s="687"/>
      <c r="AG1628" s="687"/>
      <c r="AH1628" s="687"/>
      <c r="AI1628" s="709"/>
      <c r="AJ1628" s="709"/>
      <c r="AK1628" s="709"/>
      <c r="AL1628" s="709"/>
      <c r="AM1628" s="709"/>
      <c r="AN1628" s="709"/>
      <c r="AO1628" s="709"/>
      <c r="AP1628" s="709"/>
      <c r="AQ1628" s="709"/>
      <c r="AR1628" s="709"/>
      <c r="AS1628" s="709"/>
    </row>
    <row r="1629" spans="1:45" s="6" customFormat="1" ht="30" hidden="1" customHeight="1" x14ac:dyDescent="0.25">
      <c r="A1629" s="2002">
        <f>IF(L1636=0,"",MAX($A$16:A1628)+1)</f>
        <v>116</v>
      </c>
      <c r="B1629" s="390" t="s">
        <v>1581</v>
      </c>
      <c r="C1629" s="239"/>
      <c r="D1629" s="866" t="s">
        <v>10</v>
      </c>
      <c r="E1629" s="1124">
        <v>45787</v>
      </c>
      <c r="F1629" s="71">
        <f t="shared" ref="F1629:F1632" si="1016">$L$7-E1629</f>
        <v>499</v>
      </c>
      <c r="G1629" s="1423">
        <v>0</v>
      </c>
      <c r="H1629" s="64"/>
      <c r="I1629" s="11"/>
      <c r="J1629" s="1378"/>
      <c r="K1629" s="64">
        <f>IFERROR(SUMIF(INTAKE!$A:$A,$T1629,INTAKE!$P:$P),0)</f>
        <v>0</v>
      </c>
      <c r="L1629" s="1702">
        <f t="shared" si="1015"/>
        <v>0</v>
      </c>
      <c r="M1629" s="147"/>
      <c r="N1629" s="248"/>
      <c r="O1629" s="147"/>
      <c r="P1629" s="748"/>
      <c r="Q1629" s="795"/>
      <c r="R1629" s="785">
        <f>IFERROR(VLOOKUP($Q1629,'391'!$S:$Z,8,0),"")</f>
        <v>0</v>
      </c>
      <c r="S1629" s="786"/>
      <c r="T1629" s="787" t="str">
        <f t="shared" ref="T1629:T1635" si="1017">$Q$1636&amp;C1629&amp;E1629</f>
        <v>Premix 10V45787</v>
      </c>
      <c r="U1629" s="787"/>
      <c r="V1629" s="787"/>
      <c r="W1629" s="785">
        <f>IFERROR(VLOOKUP($Q1629,'391'!$S:$AG,15,0),0)</f>
        <v>0</v>
      </c>
      <c r="X1629" s="1090">
        <f t="shared" si="1003"/>
        <v>0</v>
      </c>
      <c r="Y1629" s="787"/>
      <c r="Z1629" s="791"/>
      <c r="AA1629" s="787"/>
      <c r="AB1629" s="787"/>
      <c r="AC1629" s="679"/>
      <c r="AD1629" s="679"/>
      <c r="AE1629" s="679"/>
      <c r="AF1629" s="679"/>
      <c r="AG1629" s="679"/>
      <c r="AH1629" s="679"/>
      <c r="AI1629" s="682"/>
      <c r="AJ1629" s="682"/>
      <c r="AK1629" s="682"/>
      <c r="AL1629" s="682"/>
      <c r="AM1629" s="682"/>
      <c r="AN1629" s="682"/>
      <c r="AO1629" s="682"/>
      <c r="AP1629" s="682"/>
      <c r="AQ1629" s="682"/>
      <c r="AR1629" s="682"/>
      <c r="AS1629" s="682"/>
    </row>
    <row r="1630" spans="1:45" s="6" customFormat="1" ht="30" customHeight="1" x14ac:dyDescent="0.25">
      <c r="A1630" s="2002"/>
      <c r="B1630" s="390" t="s">
        <v>2200</v>
      </c>
      <c r="C1630" s="239" t="s">
        <v>1963</v>
      </c>
      <c r="D1630" s="866" t="s">
        <v>10</v>
      </c>
      <c r="E1630" s="1124">
        <v>46275</v>
      </c>
      <c r="F1630" s="71">
        <f t="shared" si="1016"/>
        <v>11</v>
      </c>
      <c r="G1630" s="1423">
        <v>900</v>
      </c>
      <c r="H1630" s="64"/>
      <c r="I1630" s="11"/>
      <c r="J1630" s="1378"/>
      <c r="K1630" s="64">
        <f>IFERROR(SUMIF(INTAKE!$A:$A,$T1630,INTAKE!$P:$P),0)</f>
        <v>900</v>
      </c>
      <c r="L1630" s="1702">
        <f t="shared" si="1015"/>
        <v>0</v>
      </c>
      <c r="M1630" s="101"/>
      <c r="N1630" s="249"/>
      <c r="O1630" s="101"/>
      <c r="P1630" s="750"/>
      <c r="Q1630" s="795"/>
      <c r="R1630" s="785">
        <f>IFERROR(VLOOKUP($Q1630,'391'!$S:$Z,8,0),"")</f>
        <v>0</v>
      </c>
      <c r="S1630" s="786"/>
      <c r="T1630" s="787" t="str">
        <f t="shared" si="1017"/>
        <v>Premix 10VX5.246275</v>
      </c>
      <c r="U1630" s="787"/>
      <c r="V1630" s="787"/>
      <c r="W1630" s="785">
        <f>IFERROR(VLOOKUP($Q1630,'391'!$S:$AG,15,0),0)</f>
        <v>0</v>
      </c>
      <c r="X1630" s="1090">
        <f t="shared" si="1003"/>
        <v>900</v>
      </c>
      <c r="Y1630" s="787"/>
      <c r="Z1630" s="791"/>
      <c r="AA1630" s="787"/>
      <c r="AB1630" s="787"/>
      <c r="AC1630" s="679"/>
      <c r="AD1630" s="679"/>
      <c r="AE1630" s="679"/>
      <c r="AF1630" s="679"/>
      <c r="AG1630" s="679"/>
      <c r="AH1630" s="679"/>
      <c r="AI1630" s="682"/>
      <c r="AJ1630" s="682"/>
      <c r="AK1630" s="682"/>
      <c r="AL1630" s="682"/>
      <c r="AM1630" s="682"/>
      <c r="AN1630" s="682"/>
      <c r="AO1630" s="682"/>
      <c r="AP1630" s="682"/>
      <c r="AQ1630" s="682"/>
      <c r="AR1630" s="682"/>
      <c r="AS1630" s="682"/>
    </row>
    <row r="1631" spans="1:45" s="6" customFormat="1" ht="30" customHeight="1" x14ac:dyDescent="0.25">
      <c r="A1631" s="2002"/>
      <c r="B1631" s="390" t="s">
        <v>2234</v>
      </c>
      <c r="C1631" s="239" t="s">
        <v>1963</v>
      </c>
      <c r="D1631" s="866" t="s">
        <v>10</v>
      </c>
      <c r="E1631" s="1124">
        <v>46283</v>
      </c>
      <c r="F1631" s="71">
        <f t="shared" ref="F1631" si="1018">$L$7-E1631</f>
        <v>3</v>
      </c>
      <c r="G1631" s="1423">
        <v>450</v>
      </c>
      <c r="H1631" s="64"/>
      <c r="I1631" s="11"/>
      <c r="J1631" s="1378"/>
      <c r="K1631" s="64">
        <f>IFERROR(SUMIF(INTAKE!$A:$A,$T1631,INTAKE!$P:$P),0)</f>
        <v>0</v>
      </c>
      <c r="L1631" s="1702">
        <f t="shared" si="1015"/>
        <v>450</v>
      </c>
      <c r="M1631" s="101"/>
      <c r="N1631" s="249"/>
      <c r="O1631" s="101"/>
      <c r="P1631" s="750"/>
      <c r="Q1631" s="795"/>
      <c r="R1631" s="785">
        <f>IFERROR(VLOOKUP($Q1631,'391'!$S:$Z,8,0),"")</f>
        <v>0</v>
      </c>
      <c r="S1631" s="786"/>
      <c r="T1631" s="787" t="str">
        <f t="shared" si="1017"/>
        <v>Premix 10VX5.246283</v>
      </c>
      <c r="U1631" s="787"/>
      <c r="V1631" s="787"/>
      <c r="W1631" s="785">
        <f>IFERROR(VLOOKUP($Q1631,'391'!$S:$AG,15,0),0)</f>
        <v>0</v>
      </c>
      <c r="X1631" s="1090">
        <f t="shared" si="1003"/>
        <v>450</v>
      </c>
      <c r="Y1631" s="787"/>
      <c r="Z1631" s="791"/>
      <c r="AA1631" s="787"/>
      <c r="AB1631" s="787"/>
      <c r="AC1631" s="679"/>
      <c r="AD1631" s="679"/>
      <c r="AE1631" s="679"/>
      <c r="AF1631" s="679"/>
      <c r="AG1631" s="679"/>
      <c r="AH1631" s="679"/>
      <c r="AI1631" s="682"/>
      <c r="AJ1631" s="682"/>
      <c r="AK1631" s="682"/>
      <c r="AL1631" s="682"/>
      <c r="AM1631" s="682"/>
      <c r="AN1631" s="682"/>
      <c r="AO1631" s="682"/>
      <c r="AP1631" s="682"/>
      <c r="AQ1631" s="682"/>
      <c r="AR1631" s="682"/>
      <c r="AS1631" s="682"/>
    </row>
    <row r="1632" spans="1:45" s="406" customFormat="1" ht="30" hidden="1" customHeight="1" x14ac:dyDescent="0.25">
      <c r="A1632" s="2002"/>
      <c r="B1632" s="390" t="s">
        <v>1960</v>
      </c>
      <c r="C1632" s="239"/>
      <c r="D1632" s="866" t="s">
        <v>10</v>
      </c>
      <c r="E1632" s="1124">
        <v>46270</v>
      </c>
      <c r="F1632" s="71">
        <f t="shared" si="1016"/>
        <v>16</v>
      </c>
      <c r="G1632" s="1423">
        <v>0</v>
      </c>
      <c r="H1632" s="64"/>
      <c r="I1632" s="11"/>
      <c r="J1632" s="1378"/>
      <c r="K1632" s="64">
        <f>IFERROR(SUMIF(INTAKE!$A:$A,$T1632,INTAKE!$P:$P),0)</f>
        <v>0</v>
      </c>
      <c r="L1632" s="1702">
        <f t="shared" si="1015"/>
        <v>0</v>
      </c>
      <c r="M1632" s="40"/>
      <c r="N1632" s="40"/>
      <c r="O1632" s="40"/>
      <c r="P1632" s="736"/>
      <c r="Q1632" s="795"/>
      <c r="R1632" s="785">
        <f>IFERROR(VLOOKUP($Q1632,'391'!$S:$Z,8,0),"")</f>
        <v>0</v>
      </c>
      <c r="S1632" s="786"/>
      <c r="T1632" s="787" t="str">
        <f t="shared" si="1017"/>
        <v>Premix 10V46270</v>
      </c>
      <c r="U1632" s="787"/>
      <c r="V1632" s="787"/>
      <c r="W1632" s="785">
        <f>IFERROR(VLOOKUP($Q1632,'391'!$S:$AG,15,0),0)</f>
        <v>0</v>
      </c>
      <c r="X1632" s="1090">
        <f t="shared" si="1003"/>
        <v>0</v>
      </c>
      <c r="Y1632" s="787"/>
      <c r="Z1632" s="791"/>
      <c r="AA1632" s="787"/>
      <c r="AB1632" s="787"/>
      <c r="AC1632" s="679"/>
      <c r="AD1632" s="679"/>
      <c r="AE1632" s="679"/>
      <c r="AF1632" s="679"/>
      <c r="AG1632" s="679"/>
      <c r="AH1632" s="679"/>
      <c r="AI1632" s="682"/>
      <c r="AJ1632" s="682"/>
      <c r="AK1632" s="682"/>
      <c r="AL1632" s="682"/>
      <c r="AM1632" s="682"/>
      <c r="AN1632" s="682"/>
      <c r="AO1632" s="682"/>
      <c r="AP1632" s="682"/>
      <c r="AQ1632" s="682"/>
      <c r="AR1632" s="682"/>
      <c r="AS1632" s="682"/>
    </row>
    <row r="1633" spans="1:45" s="6" customFormat="1" ht="30" hidden="1" customHeight="1" x14ac:dyDescent="0.25">
      <c r="A1633" s="2002"/>
      <c r="B1633" s="390" t="s">
        <v>1873</v>
      </c>
      <c r="C1633" s="239"/>
      <c r="D1633" s="866" t="s">
        <v>10</v>
      </c>
      <c r="E1633" s="1124">
        <v>46227</v>
      </c>
      <c r="F1633" s="71">
        <f t="shared" ref="F1633:F1635" si="1019">$L$7-E1633</f>
        <v>59</v>
      </c>
      <c r="G1633" s="1423">
        <v>0</v>
      </c>
      <c r="H1633" s="64"/>
      <c r="I1633" s="11"/>
      <c r="J1633" s="1378"/>
      <c r="K1633" s="64">
        <f>IFERROR(SUMIF(INTAKE!$A:$A,$T1633,INTAKE!$P:$P),0)</f>
        <v>0</v>
      </c>
      <c r="L1633" s="1533">
        <f t="shared" si="1015"/>
        <v>0</v>
      </c>
      <c r="M1633" s="23"/>
      <c r="N1633" s="40"/>
      <c r="O1633" s="40"/>
      <c r="P1633" s="736"/>
      <c r="Q1633" s="795"/>
      <c r="R1633" s="785">
        <f>IFERROR(VLOOKUP($Q1633,'391'!$S:$Z,8,0),"")</f>
        <v>0</v>
      </c>
      <c r="S1633" s="786"/>
      <c r="T1633" s="787" t="str">
        <f t="shared" si="1017"/>
        <v>Premix 10V46227</v>
      </c>
      <c r="U1633" s="787"/>
      <c r="V1633" s="787"/>
      <c r="W1633" s="785">
        <f>IFERROR(VLOOKUP($Q1633,'391'!$S:$AG,15,0),0)</f>
        <v>0</v>
      </c>
      <c r="X1633" s="1090">
        <f t="shared" si="1003"/>
        <v>0</v>
      </c>
      <c r="Y1633" s="787"/>
      <c r="Z1633" s="791"/>
      <c r="AA1633" s="787"/>
      <c r="AB1633" s="787"/>
      <c r="AC1633" s="679"/>
      <c r="AD1633" s="679"/>
      <c r="AE1633" s="679"/>
      <c r="AF1633" s="679"/>
      <c r="AG1633" s="679"/>
      <c r="AH1633" s="679"/>
      <c r="AI1633" s="682"/>
      <c r="AJ1633" s="682"/>
      <c r="AK1633" s="682"/>
      <c r="AL1633" s="682"/>
      <c r="AM1633" s="682"/>
      <c r="AN1633" s="682"/>
      <c r="AO1633" s="682"/>
      <c r="AP1633" s="682"/>
      <c r="AQ1633" s="682"/>
      <c r="AR1633" s="682"/>
      <c r="AS1633" s="682"/>
    </row>
    <row r="1634" spans="1:45" s="6" customFormat="1" ht="30" hidden="1" customHeight="1" x14ac:dyDescent="0.25">
      <c r="A1634" s="2002"/>
      <c r="B1634" s="390" t="s">
        <v>1247</v>
      </c>
      <c r="C1634" s="239"/>
      <c r="D1634" s="866" t="s">
        <v>10</v>
      </c>
      <c r="E1634" s="1124">
        <v>44942</v>
      </c>
      <c r="F1634" s="71">
        <f t="shared" si="1019"/>
        <v>1344</v>
      </c>
      <c r="G1634" s="1423">
        <v>0</v>
      </c>
      <c r="H1634" s="64"/>
      <c r="I1634" s="1423"/>
      <c r="J1634" s="1378"/>
      <c r="K1634" s="64">
        <f>IFERROR(SUMIF(INTAKE!$A:$A,$T1634,INTAKE!$P:$P),0)</f>
        <v>0</v>
      </c>
      <c r="L1634" s="1533">
        <f t="shared" si="1015"/>
        <v>0</v>
      </c>
      <c r="M1634" s="23"/>
      <c r="N1634" s="40"/>
      <c r="O1634" s="40"/>
      <c r="P1634" s="736"/>
      <c r="Q1634" s="795"/>
      <c r="R1634" s="785">
        <f>IFERROR(VLOOKUP($Q1634,'391'!$S:$Z,8,0),"")</f>
        <v>0</v>
      </c>
      <c r="S1634" s="786"/>
      <c r="T1634" s="787" t="str">
        <f t="shared" si="1017"/>
        <v>Premix 10V44942</v>
      </c>
      <c r="U1634" s="787"/>
      <c r="V1634" s="787"/>
      <c r="W1634" s="785">
        <f>IFERROR(VLOOKUP($Q1634,'391'!$S:$AG,15,0),0)</f>
        <v>0</v>
      </c>
      <c r="X1634" s="1090">
        <f t="shared" si="1003"/>
        <v>0</v>
      </c>
      <c r="Y1634" s="787"/>
      <c r="Z1634" s="791"/>
      <c r="AA1634" s="787"/>
      <c r="AB1634" s="787"/>
      <c r="AC1634" s="679"/>
      <c r="AD1634" s="679"/>
      <c r="AE1634" s="679"/>
      <c r="AF1634" s="679"/>
      <c r="AG1634" s="679"/>
      <c r="AH1634" s="679"/>
      <c r="AI1634" s="682"/>
      <c r="AJ1634" s="682"/>
      <c r="AK1634" s="682"/>
      <c r="AL1634" s="682"/>
      <c r="AM1634" s="682"/>
      <c r="AN1634" s="682"/>
      <c r="AO1634" s="682"/>
      <c r="AP1634" s="682"/>
      <c r="AQ1634" s="682"/>
      <c r="AR1634" s="682"/>
      <c r="AS1634" s="682"/>
    </row>
    <row r="1635" spans="1:45" s="406" customFormat="1" ht="30" customHeight="1" x14ac:dyDescent="0.25">
      <c r="A1635" s="2002"/>
      <c r="B1635" s="1015" t="s">
        <v>2200</v>
      </c>
      <c r="C1635" s="159" t="s">
        <v>46</v>
      </c>
      <c r="D1635" s="884" t="s">
        <v>10</v>
      </c>
      <c r="E1635" s="1125">
        <v>46275</v>
      </c>
      <c r="F1635" s="71">
        <f t="shared" si="1019"/>
        <v>11</v>
      </c>
      <c r="G1635" s="1428">
        <v>405.08000000000015</v>
      </c>
      <c r="H1635" s="1214"/>
      <c r="I1635" s="1214">
        <f>+SUM(K1629:K1634)</f>
        <v>900</v>
      </c>
      <c r="J1635" s="1385">
        <f>+usage!I226</f>
        <v>294.44</v>
      </c>
      <c r="K1635" s="64">
        <f>IFERROR(SUMIF(INTAKE!$A:$A,$T1635,INTAKE!$P:$P),0)</f>
        <v>0</v>
      </c>
      <c r="L1635" s="1533">
        <f t="shared" si="1015"/>
        <v>1010.6400000000001</v>
      </c>
      <c r="M1635" s="35"/>
      <c r="N1635" s="87"/>
      <c r="O1635" s="35"/>
      <c r="P1635" s="751"/>
      <c r="Q1635" s="795"/>
      <c r="R1635" s="785">
        <f>IFERROR(VLOOKUP($Q1635,'391'!$S:$Z,8,0),"")</f>
        <v>0</v>
      </c>
      <c r="S1635" s="786"/>
      <c r="T1635" s="787" t="str">
        <f t="shared" si="1017"/>
        <v>Premix 10VFeedmill46275</v>
      </c>
      <c r="U1635" s="787"/>
      <c r="V1635" s="787"/>
      <c r="W1635" s="785">
        <f>IFERROR(VLOOKUP($Q1635,'391'!$S:$AG,15,0),0)</f>
        <v>0</v>
      </c>
      <c r="X1635" s="1090">
        <f t="shared" si="1003"/>
        <v>405.08000000000015</v>
      </c>
      <c r="Y1635" s="787"/>
      <c r="Z1635" s="791"/>
      <c r="AA1635" s="787"/>
      <c r="AB1635" s="787"/>
      <c r="AC1635" s="687"/>
      <c r="AD1635" s="679"/>
      <c r="AE1635" s="679"/>
      <c r="AF1635" s="679"/>
      <c r="AG1635" s="679"/>
      <c r="AH1635" s="679"/>
      <c r="AI1635" s="682"/>
      <c r="AJ1635" s="682"/>
      <c r="AK1635" s="682"/>
      <c r="AL1635" s="682"/>
      <c r="AM1635" s="682"/>
      <c r="AN1635" s="682"/>
      <c r="AO1635" s="682"/>
      <c r="AP1635" s="682"/>
      <c r="AQ1635" s="682"/>
      <c r="AR1635" s="682"/>
      <c r="AS1635" s="682"/>
    </row>
    <row r="1636" spans="1:45" s="344" customFormat="1" ht="30" customHeight="1" x14ac:dyDescent="0.25">
      <c r="A1636" s="2003" t="s">
        <v>150</v>
      </c>
      <c r="B1636" s="2004"/>
      <c r="C1636" s="125"/>
      <c r="D1636" s="1027"/>
      <c r="E1636" s="1027"/>
      <c r="F1636" s="896"/>
      <c r="G1636" s="1422">
        <v>1755.0800000000002</v>
      </c>
      <c r="H1636" s="1422">
        <f t="shared" ref="H1636:L1636" si="1020">SUM(H1629:H1635)</f>
        <v>0</v>
      </c>
      <c r="I1636" s="1422">
        <f>SUM(I1629:I1635)</f>
        <v>900</v>
      </c>
      <c r="J1636" s="1422">
        <f t="shared" si="1020"/>
        <v>294.44</v>
      </c>
      <c r="K1636" s="1422">
        <f t="shared" si="1020"/>
        <v>900</v>
      </c>
      <c r="L1636" s="1422">
        <f t="shared" si="1020"/>
        <v>1460.64</v>
      </c>
      <c r="M1636" s="889">
        <f>IFERROR(R1636/$S$2,"")</f>
        <v>138.61333333333334</v>
      </c>
      <c r="N1636" s="366">
        <f>(L1636/M1636)</f>
        <v>10.537514428626395</v>
      </c>
      <c r="O1636" s="889">
        <f>IFERROR(SUMIF(ETM!$A:$A,$Q1636,ETM!$E:$E),"")</f>
        <v>141.16666666666666</v>
      </c>
      <c r="P1636" s="880">
        <f>IFERROR(L1636/O1636,0)</f>
        <v>10.346918536009447</v>
      </c>
      <c r="Q1636" s="814" t="s">
        <v>627</v>
      </c>
      <c r="R1636" s="785">
        <f>IFERROR(VLOOKUP($Q1636,'391'!$S:$Z,8,0),"")</f>
        <v>831.68000000000006</v>
      </c>
      <c r="S1636" s="786"/>
      <c r="T1636" s="787"/>
      <c r="U1636" s="787"/>
      <c r="V1636" s="787"/>
      <c r="W1636" s="785">
        <f>IFERROR(VLOOKUP($Q1636,'391'!$S:$AG,15,0),0)</f>
        <v>1755.08</v>
      </c>
      <c r="X1636" s="1090">
        <f t="shared" si="1003"/>
        <v>0</v>
      </c>
      <c r="Y1636" s="787"/>
      <c r="Z1636" s="791"/>
      <c r="AA1636" s="787"/>
      <c r="AB1636" s="787"/>
      <c r="AC1636" s="687"/>
      <c r="AD1636" s="687"/>
      <c r="AE1636" s="687"/>
      <c r="AF1636" s="687"/>
      <c r="AG1636" s="687"/>
      <c r="AH1636" s="687"/>
      <c r="AI1636" s="709"/>
      <c r="AJ1636" s="709"/>
      <c r="AK1636" s="709"/>
      <c r="AL1636" s="709"/>
      <c r="AM1636" s="709"/>
      <c r="AN1636" s="709"/>
      <c r="AO1636" s="709"/>
      <c r="AP1636" s="709"/>
      <c r="AQ1636" s="709"/>
      <c r="AR1636" s="709"/>
      <c r="AS1636" s="709"/>
    </row>
    <row r="1637" spans="1:45" s="344" customFormat="1" ht="30" hidden="1" customHeight="1" x14ac:dyDescent="0.25">
      <c r="A1637" s="2002" t="str">
        <f>IF(L1643=0,"",MAX($A$16:A1636)+1)</f>
        <v/>
      </c>
      <c r="B1637" s="2009" t="s">
        <v>67</v>
      </c>
      <c r="C1637" s="150" t="s">
        <v>147</v>
      </c>
      <c r="D1637" s="1111" t="s">
        <v>10</v>
      </c>
      <c r="E1637" s="1116">
        <v>43083</v>
      </c>
      <c r="F1637" s="71">
        <f t="shared" ref="F1637:F1642" si="1021">$L$7-E1637</f>
        <v>3203</v>
      </c>
      <c r="G1637" s="12">
        <v>0</v>
      </c>
      <c r="H1637" s="56"/>
      <c r="I1637" s="63"/>
      <c r="J1637" s="1378"/>
      <c r="K1637" s="63"/>
      <c r="L1637" s="1533">
        <f t="shared" ref="L1637:L1665" si="1022">+G1637+H1637+I1637-J1637-K1637</f>
        <v>0</v>
      </c>
      <c r="M1637" s="147"/>
      <c r="N1637" s="248"/>
      <c r="O1637" s="147"/>
      <c r="P1637" s="857"/>
      <c r="Q1637" s="795"/>
      <c r="R1637" s="785">
        <f>IFERROR(VLOOKUP($Q1637,'391'!$S:$Z,8,0),"")</f>
        <v>0</v>
      </c>
      <c r="S1637" s="786"/>
      <c r="T1637" s="787"/>
      <c r="U1637" s="787"/>
      <c r="V1637" s="787"/>
      <c r="W1637" s="785">
        <f>IFERROR(VLOOKUP($Q1637,'391'!$S:$AG,15,0),0)</f>
        <v>0</v>
      </c>
      <c r="X1637" s="1090">
        <f t="shared" si="1003"/>
        <v>0</v>
      </c>
      <c r="Y1637" s="787"/>
      <c r="Z1637" s="791"/>
      <c r="AA1637" s="787"/>
      <c r="AB1637" s="787"/>
      <c r="AC1637" s="687"/>
      <c r="AD1637" s="687"/>
      <c r="AE1637" s="687"/>
      <c r="AF1637" s="687"/>
      <c r="AG1637" s="687"/>
      <c r="AH1637" s="687"/>
      <c r="AI1637" s="709"/>
      <c r="AJ1637" s="709"/>
      <c r="AK1637" s="709"/>
      <c r="AL1637" s="709"/>
      <c r="AM1637" s="709"/>
      <c r="AN1637" s="709"/>
      <c r="AO1637" s="709"/>
      <c r="AP1637" s="709"/>
      <c r="AQ1637" s="709"/>
      <c r="AR1637" s="709"/>
      <c r="AS1637" s="709"/>
    </row>
    <row r="1638" spans="1:45" s="344" customFormat="1" ht="30" hidden="1" customHeight="1" x14ac:dyDescent="0.25">
      <c r="A1638" s="2002"/>
      <c r="B1638" s="2009"/>
      <c r="C1638" s="150" t="s">
        <v>147</v>
      </c>
      <c r="D1638" s="866" t="s">
        <v>10</v>
      </c>
      <c r="E1638" s="1116">
        <v>43084</v>
      </c>
      <c r="F1638" s="71">
        <f t="shared" si="1021"/>
        <v>3202</v>
      </c>
      <c r="G1638" s="12">
        <v>0</v>
      </c>
      <c r="H1638" s="11"/>
      <c r="I1638" s="11"/>
      <c r="J1638" s="1388"/>
      <c r="K1638" s="11"/>
      <c r="L1638" s="1533">
        <f t="shared" si="1022"/>
        <v>0</v>
      </c>
      <c r="M1638" s="101"/>
      <c r="N1638" s="249"/>
      <c r="O1638" s="101"/>
      <c r="P1638" s="857"/>
      <c r="Q1638" s="795"/>
      <c r="R1638" s="785">
        <f>IFERROR(VLOOKUP($Q1638,'391'!$S:$Z,8,0),"")</f>
        <v>0</v>
      </c>
      <c r="S1638" s="786"/>
      <c r="T1638" s="787"/>
      <c r="U1638" s="787"/>
      <c r="V1638" s="787"/>
      <c r="W1638" s="785">
        <f>IFERROR(VLOOKUP($Q1638,'391'!$S:$AG,15,0),0)</f>
        <v>0</v>
      </c>
      <c r="X1638" s="1090">
        <f t="shared" si="1003"/>
        <v>0</v>
      </c>
      <c r="Y1638" s="787"/>
      <c r="Z1638" s="791"/>
      <c r="AA1638" s="787"/>
      <c r="AB1638" s="787"/>
      <c r="AC1638" s="687"/>
      <c r="AD1638" s="687"/>
      <c r="AE1638" s="687"/>
      <c r="AF1638" s="687"/>
      <c r="AG1638" s="687"/>
      <c r="AH1638" s="687"/>
      <c r="AI1638" s="709"/>
      <c r="AJ1638" s="709"/>
      <c r="AK1638" s="709"/>
      <c r="AL1638" s="709"/>
      <c r="AM1638" s="709"/>
      <c r="AN1638" s="709"/>
      <c r="AO1638" s="709"/>
      <c r="AP1638" s="709"/>
      <c r="AQ1638" s="709"/>
      <c r="AR1638" s="709"/>
      <c r="AS1638" s="709"/>
    </row>
    <row r="1639" spans="1:45" s="344" customFormat="1" ht="30" hidden="1" customHeight="1" x14ac:dyDescent="0.25">
      <c r="A1639" s="2002"/>
      <c r="B1639" s="2009"/>
      <c r="C1639" s="150" t="s">
        <v>147</v>
      </c>
      <c r="D1639" s="866" t="s">
        <v>10</v>
      </c>
      <c r="E1639" s="1116">
        <v>43085</v>
      </c>
      <c r="F1639" s="71">
        <f t="shared" si="1021"/>
        <v>3201</v>
      </c>
      <c r="G1639" s="12">
        <v>0</v>
      </c>
      <c r="H1639" s="56"/>
      <c r="I1639" s="63"/>
      <c r="J1639" s="1378"/>
      <c r="K1639" s="63"/>
      <c r="L1639" s="1533">
        <f t="shared" si="1022"/>
        <v>0</v>
      </c>
      <c r="M1639" s="101"/>
      <c r="N1639" s="249"/>
      <c r="O1639" s="101"/>
      <c r="P1639" s="857"/>
      <c r="Q1639" s="795"/>
      <c r="R1639" s="785">
        <f>IFERROR(VLOOKUP($Q1639,'391'!$S:$Z,8,0),"")</f>
        <v>0</v>
      </c>
      <c r="S1639" s="786"/>
      <c r="T1639" s="787"/>
      <c r="U1639" s="787"/>
      <c r="V1639" s="787"/>
      <c r="W1639" s="785">
        <f>IFERROR(VLOOKUP($Q1639,'391'!$S:$AG,15,0),0)</f>
        <v>0</v>
      </c>
      <c r="X1639" s="1090">
        <f t="shared" si="1003"/>
        <v>0</v>
      </c>
      <c r="Y1639" s="787"/>
      <c r="Z1639" s="791"/>
      <c r="AA1639" s="787"/>
      <c r="AB1639" s="787"/>
      <c r="AC1639" s="687"/>
      <c r="AD1639" s="687"/>
      <c r="AE1639" s="687"/>
      <c r="AF1639" s="687"/>
      <c r="AG1639" s="687"/>
      <c r="AH1639" s="687"/>
      <c r="AI1639" s="709"/>
      <c r="AJ1639" s="709"/>
      <c r="AK1639" s="709"/>
      <c r="AL1639" s="709"/>
      <c r="AM1639" s="709"/>
      <c r="AN1639" s="709"/>
      <c r="AO1639" s="709"/>
      <c r="AP1639" s="709"/>
      <c r="AQ1639" s="709"/>
      <c r="AR1639" s="709"/>
      <c r="AS1639" s="709"/>
    </row>
    <row r="1640" spans="1:45" s="344" customFormat="1" ht="30" hidden="1" customHeight="1" x14ac:dyDescent="0.25">
      <c r="A1640" s="2002"/>
      <c r="B1640" s="2009"/>
      <c r="C1640" s="155" t="s">
        <v>46</v>
      </c>
      <c r="D1640" s="866" t="s">
        <v>10</v>
      </c>
      <c r="E1640" s="1116">
        <v>43086</v>
      </c>
      <c r="F1640" s="71">
        <f t="shared" si="1021"/>
        <v>3200</v>
      </c>
      <c r="G1640" s="56">
        <v>0</v>
      </c>
      <c r="H1640" s="56"/>
      <c r="I1640" s="56"/>
      <c r="J1640" s="1369"/>
      <c r="K1640" s="56"/>
      <c r="L1640" s="1533">
        <f t="shared" si="1022"/>
        <v>0</v>
      </c>
      <c r="M1640" s="101"/>
      <c r="N1640" s="249"/>
      <c r="O1640" s="101"/>
      <c r="P1640" s="857"/>
      <c r="Q1640" s="795"/>
      <c r="R1640" s="785">
        <f>IFERROR(VLOOKUP($Q1640,'391'!$S:$Z,8,0),"")</f>
        <v>0</v>
      </c>
      <c r="S1640" s="786"/>
      <c r="T1640" s="787"/>
      <c r="U1640" s="787"/>
      <c r="V1640" s="787"/>
      <c r="W1640" s="785">
        <f>IFERROR(VLOOKUP($Q1640,'391'!$S:$AG,15,0),0)</f>
        <v>0</v>
      </c>
      <c r="X1640" s="1090">
        <f t="shared" si="1003"/>
        <v>0</v>
      </c>
      <c r="Y1640" s="787"/>
      <c r="Z1640" s="791"/>
      <c r="AA1640" s="787"/>
      <c r="AB1640" s="787"/>
      <c r="AC1640" s="687"/>
      <c r="AD1640" s="687"/>
      <c r="AE1640" s="687"/>
      <c r="AF1640" s="687"/>
      <c r="AG1640" s="687"/>
      <c r="AH1640" s="687"/>
      <c r="AI1640" s="709"/>
      <c r="AJ1640" s="709"/>
      <c r="AK1640" s="709"/>
      <c r="AL1640" s="709"/>
      <c r="AM1640" s="709"/>
      <c r="AN1640" s="709"/>
      <c r="AO1640" s="709"/>
      <c r="AP1640" s="709"/>
      <c r="AQ1640" s="709"/>
      <c r="AR1640" s="709"/>
      <c r="AS1640" s="709"/>
    </row>
    <row r="1641" spans="1:45" s="344" customFormat="1" ht="30" hidden="1" customHeight="1" x14ac:dyDescent="0.25">
      <c r="A1641" s="2002"/>
      <c r="B1641" s="2009"/>
      <c r="C1641" s="157"/>
      <c r="D1641" s="866" t="s">
        <v>10</v>
      </c>
      <c r="E1641" s="1116">
        <v>43087</v>
      </c>
      <c r="F1641" s="71">
        <f t="shared" si="1021"/>
        <v>3199</v>
      </c>
      <c r="G1641" s="56">
        <v>0</v>
      </c>
      <c r="H1641" s="56"/>
      <c r="I1641" s="56"/>
      <c r="J1641" s="1369"/>
      <c r="K1641" s="56"/>
      <c r="L1641" s="1533">
        <f t="shared" si="1022"/>
        <v>0</v>
      </c>
      <c r="M1641" s="101"/>
      <c r="N1641" s="249"/>
      <c r="O1641" s="101"/>
      <c r="P1641" s="857"/>
      <c r="Q1641" s="795"/>
      <c r="R1641" s="785">
        <f>IFERROR(VLOOKUP($Q1641,'391'!$S:$Z,8,0),"")</f>
        <v>0</v>
      </c>
      <c r="S1641" s="786"/>
      <c r="T1641" s="787"/>
      <c r="U1641" s="787"/>
      <c r="V1641" s="787"/>
      <c r="W1641" s="785">
        <f>IFERROR(VLOOKUP($Q1641,'391'!$S:$AG,15,0),0)</f>
        <v>0</v>
      </c>
      <c r="X1641" s="1090">
        <f t="shared" si="1003"/>
        <v>0</v>
      </c>
      <c r="Y1641" s="787"/>
      <c r="Z1641" s="791"/>
      <c r="AA1641" s="787"/>
      <c r="AB1641" s="787"/>
      <c r="AC1641" s="687"/>
      <c r="AD1641" s="687"/>
      <c r="AE1641" s="687"/>
      <c r="AF1641" s="687"/>
      <c r="AG1641" s="687"/>
      <c r="AH1641" s="687"/>
      <c r="AI1641" s="709"/>
      <c r="AJ1641" s="709"/>
      <c r="AK1641" s="709"/>
      <c r="AL1641" s="709"/>
      <c r="AM1641" s="709"/>
      <c r="AN1641" s="709"/>
      <c r="AO1641" s="709"/>
      <c r="AP1641" s="709"/>
      <c r="AQ1641" s="709"/>
      <c r="AR1641" s="709"/>
      <c r="AS1641" s="709"/>
    </row>
    <row r="1642" spans="1:45" s="421" customFormat="1" ht="30" hidden="1" customHeight="1" x14ac:dyDescent="0.25">
      <c r="A1642" s="2002"/>
      <c r="B1642" s="2190"/>
      <c r="C1642" s="156"/>
      <c r="D1642" s="1112" t="s">
        <v>10</v>
      </c>
      <c r="E1642" s="1116">
        <v>43088</v>
      </c>
      <c r="F1642" s="71">
        <f t="shared" si="1021"/>
        <v>3198</v>
      </c>
      <c r="G1642" s="37">
        <v>0</v>
      </c>
      <c r="H1642" s="37"/>
      <c r="I1642" s="37"/>
      <c r="J1642" s="1385"/>
      <c r="K1642" s="37"/>
      <c r="L1642" s="1533">
        <f t="shared" si="1022"/>
        <v>0</v>
      </c>
      <c r="M1642" s="40"/>
      <c r="N1642" s="84"/>
      <c r="O1642" s="40"/>
      <c r="P1642" s="857"/>
      <c r="Q1642" s="795"/>
      <c r="R1642" s="785">
        <f>IFERROR(VLOOKUP($Q1642,'391'!$S:$Z,8,0),"")</f>
        <v>0</v>
      </c>
      <c r="S1642" s="786"/>
      <c r="T1642" s="787"/>
      <c r="U1642" s="787"/>
      <c r="V1642" s="787"/>
      <c r="W1642" s="785">
        <f>IFERROR(VLOOKUP($Q1642,'391'!$S:$AG,15,0),0)</f>
        <v>0</v>
      </c>
      <c r="X1642" s="1090">
        <f t="shared" si="1003"/>
        <v>0</v>
      </c>
      <c r="Y1642" s="787"/>
      <c r="Z1642" s="791"/>
      <c r="AA1642" s="787"/>
      <c r="AB1642" s="787"/>
      <c r="AC1642" s="550"/>
      <c r="AD1642" s="687"/>
      <c r="AE1642" s="687"/>
      <c r="AF1642" s="687"/>
      <c r="AG1642" s="687"/>
      <c r="AH1642" s="687"/>
      <c r="AI1642" s="709"/>
      <c r="AJ1642" s="709"/>
      <c r="AK1642" s="709"/>
      <c r="AL1642" s="709"/>
      <c r="AM1642" s="709"/>
      <c r="AN1642" s="709"/>
      <c r="AO1642" s="709"/>
      <c r="AP1642" s="709"/>
      <c r="AQ1642" s="709"/>
      <c r="AR1642" s="709"/>
      <c r="AS1642" s="709"/>
    </row>
    <row r="1643" spans="1:45" s="420" customFormat="1" ht="30" hidden="1" customHeight="1" x14ac:dyDescent="0.25">
      <c r="A1643" s="2003" t="s">
        <v>24</v>
      </c>
      <c r="B1643" s="2004"/>
      <c r="C1643" s="125"/>
      <c r="D1643" s="1027"/>
      <c r="E1643" s="1027"/>
      <c r="F1643" s="896"/>
      <c r="G1643" s="1429">
        <v>0</v>
      </c>
      <c r="H1643" s="1425">
        <f>SUM(H1637:H1642)</f>
        <v>0</v>
      </c>
      <c r="I1643" s="1425">
        <f>SUM(I1637:I1642)</f>
        <v>0</v>
      </c>
      <c r="J1643" s="1426">
        <f>SUM(J1637:J1642)</f>
        <v>0</v>
      </c>
      <c r="K1643" s="1425"/>
      <c r="L1643" s="1533">
        <f t="shared" si="1022"/>
        <v>0</v>
      </c>
      <c r="M1643" s="889"/>
      <c r="N1643" s="854"/>
      <c r="O1643" s="889"/>
      <c r="P1643" s="857"/>
      <c r="Q1643" s="795"/>
      <c r="R1643" s="785">
        <f>IFERROR(VLOOKUP($Q1643,'391'!$S:$Z,8,0),"")</f>
        <v>0</v>
      </c>
      <c r="S1643" s="786"/>
      <c r="T1643" s="787"/>
      <c r="U1643" s="787"/>
      <c r="V1643" s="787"/>
      <c r="W1643" s="785">
        <f>IFERROR(VLOOKUP($Q1643,'391'!$S:$AG,15,0),0)</f>
        <v>0</v>
      </c>
      <c r="X1643" s="1090">
        <f t="shared" si="1003"/>
        <v>0</v>
      </c>
      <c r="Y1643" s="787"/>
      <c r="Z1643" s="791"/>
      <c r="AA1643" s="787"/>
      <c r="AB1643" s="787"/>
      <c r="AC1643" s="679"/>
      <c r="AD1643" s="550"/>
      <c r="AE1643" s="550"/>
      <c r="AF1643" s="550"/>
      <c r="AG1643" s="550"/>
      <c r="AH1643" s="550"/>
      <c r="AI1643" s="559"/>
      <c r="AJ1643" s="559"/>
      <c r="AK1643" s="559"/>
      <c r="AL1643" s="559"/>
      <c r="AM1643" s="559"/>
      <c r="AN1643" s="559"/>
      <c r="AO1643" s="559"/>
      <c r="AP1643" s="559"/>
      <c r="AQ1643" s="559"/>
      <c r="AR1643" s="559"/>
      <c r="AS1643" s="559"/>
    </row>
    <row r="1644" spans="1:45" s="6" customFormat="1" ht="30" hidden="1" customHeight="1" x14ac:dyDescent="0.25">
      <c r="A1644" s="2002" t="str">
        <f>IF(L1647=0,"",MAX($A$16:A1643)+1)</f>
        <v/>
      </c>
      <c r="B1644" s="2075" t="s">
        <v>182</v>
      </c>
      <c r="C1644" s="150" t="s">
        <v>141</v>
      </c>
      <c r="D1644" s="1111" t="s">
        <v>10</v>
      </c>
      <c r="E1644" s="1116">
        <v>43088</v>
      </c>
      <c r="F1644" s="71">
        <f>$L$7-E1644</f>
        <v>3198</v>
      </c>
      <c r="G1644" s="11">
        <v>0</v>
      </c>
      <c r="H1644" s="11"/>
      <c r="I1644" s="11"/>
      <c r="J1644" s="1388"/>
      <c r="K1644" s="11"/>
      <c r="L1644" s="1533">
        <f t="shared" si="1022"/>
        <v>0</v>
      </c>
      <c r="M1644" s="22"/>
      <c r="N1644" s="920"/>
      <c r="O1644" s="22"/>
      <c r="P1644" s="857"/>
      <c r="Q1644" s="795"/>
      <c r="R1644" s="785">
        <f>IFERROR(VLOOKUP($Q1644,'391'!$S:$Z,8,0),"")</f>
        <v>0</v>
      </c>
      <c r="S1644" s="786"/>
      <c r="T1644" s="787"/>
      <c r="U1644" s="787"/>
      <c r="V1644" s="787"/>
      <c r="W1644" s="785">
        <f>IFERROR(VLOOKUP($Q1644,'391'!$S:$AG,15,0),0)</f>
        <v>0</v>
      </c>
      <c r="X1644" s="1090">
        <f t="shared" si="1003"/>
        <v>0</v>
      </c>
      <c r="Y1644" s="787"/>
      <c r="Z1644" s="791"/>
      <c r="AA1644" s="787"/>
      <c r="AB1644" s="787"/>
      <c r="AC1644" s="679"/>
      <c r="AD1644" s="679"/>
      <c r="AE1644" s="679"/>
      <c r="AF1644" s="679"/>
      <c r="AG1644" s="679"/>
      <c r="AH1644" s="679"/>
      <c r="AI1644" s="682"/>
      <c r="AJ1644" s="682"/>
      <c r="AK1644" s="682"/>
      <c r="AL1644" s="682"/>
      <c r="AM1644" s="682"/>
      <c r="AN1644" s="682"/>
      <c r="AO1644" s="682"/>
      <c r="AP1644" s="682"/>
      <c r="AQ1644" s="682"/>
      <c r="AR1644" s="682"/>
      <c r="AS1644" s="682"/>
    </row>
    <row r="1645" spans="1:45" s="6" customFormat="1" ht="30" hidden="1" customHeight="1" x14ac:dyDescent="0.25">
      <c r="A1645" s="2002"/>
      <c r="B1645" s="2076"/>
      <c r="C1645" s="154" t="s">
        <v>46</v>
      </c>
      <c r="D1645" s="1110"/>
      <c r="E1645" s="1116">
        <v>43089</v>
      </c>
      <c r="F1645" s="71">
        <f>$L$7-E1645</f>
        <v>3197</v>
      </c>
      <c r="G1645" s="56">
        <v>0</v>
      </c>
      <c r="H1645" s="56"/>
      <c r="I1645" s="56"/>
      <c r="J1645" s="1369"/>
      <c r="K1645" s="12"/>
      <c r="L1645" s="1533">
        <f t="shared" si="1022"/>
        <v>0</v>
      </c>
      <c r="M1645" s="22"/>
      <c r="N1645" s="920"/>
      <c r="O1645" s="22"/>
      <c r="P1645" s="857"/>
      <c r="Q1645" s="795"/>
      <c r="R1645" s="785">
        <f>IFERROR(VLOOKUP($Q1645,'391'!$S:$Z,8,0),"")</f>
        <v>0</v>
      </c>
      <c r="S1645" s="786"/>
      <c r="T1645" s="787"/>
      <c r="U1645" s="787"/>
      <c r="V1645" s="787"/>
      <c r="W1645" s="785">
        <f>IFERROR(VLOOKUP($Q1645,'391'!$S:$AG,15,0),0)</f>
        <v>0</v>
      </c>
      <c r="X1645" s="1090">
        <f t="shared" si="1003"/>
        <v>0</v>
      </c>
      <c r="Y1645" s="787"/>
      <c r="Z1645" s="791"/>
      <c r="AA1645" s="787"/>
      <c r="AB1645" s="787"/>
      <c r="AC1645" s="679"/>
      <c r="AD1645" s="679"/>
      <c r="AE1645" s="679"/>
      <c r="AF1645" s="679"/>
      <c r="AG1645" s="679"/>
      <c r="AH1645" s="679"/>
      <c r="AI1645" s="682"/>
      <c r="AJ1645" s="682"/>
      <c r="AK1645" s="682"/>
      <c r="AL1645" s="682"/>
      <c r="AM1645" s="682"/>
      <c r="AN1645" s="682"/>
      <c r="AO1645" s="682"/>
      <c r="AP1645" s="682"/>
      <c r="AQ1645" s="682"/>
      <c r="AR1645" s="682"/>
      <c r="AS1645" s="682"/>
    </row>
    <row r="1646" spans="1:45" s="6" customFormat="1" ht="30" hidden="1" customHeight="1" x14ac:dyDescent="0.25">
      <c r="A1646" s="2002"/>
      <c r="B1646" s="2192"/>
      <c r="C1646" s="154" t="s">
        <v>46</v>
      </c>
      <c r="D1646" s="1108"/>
      <c r="E1646" s="1116">
        <v>43090</v>
      </c>
      <c r="F1646" s="71">
        <f>$L$7-E1646</f>
        <v>3196</v>
      </c>
      <c r="G1646" s="56">
        <v>0</v>
      </c>
      <c r="H1646" s="56"/>
      <c r="I1646" s="56"/>
      <c r="J1646" s="1369"/>
      <c r="K1646" s="12"/>
      <c r="L1646" s="1533">
        <f t="shared" si="1022"/>
        <v>0</v>
      </c>
      <c r="M1646" s="22"/>
      <c r="N1646" s="920"/>
      <c r="O1646" s="22"/>
      <c r="P1646" s="857"/>
      <c r="Q1646" s="795"/>
      <c r="R1646" s="785">
        <f>IFERROR(VLOOKUP($Q1646,'391'!$S:$Z,8,0),"")</f>
        <v>0</v>
      </c>
      <c r="S1646" s="786"/>
      <c r="T1646" s="787"/>
      <c r="U1646" s="787"/>
      <c r="V1646" s="787"/>
      <c r="W1646" s="785">
        <f>IFERROR(VLOOKUP($Q1646,'391'!$S:$AG,15,0),0)</f>
        <v>0</v>
      </c>
      <c r="X1646" s="1090">
        <f t="shared" si="1003"/>
        <v>0</v>
      </c>
      <c r="Y1646" s="787"/>
      <c r="Z1646" s="791"/>
      <c r="AA1646" s="787"/>
      <c r="AB1646" s="787"/>
      <c r="AC1646" s="550"/>
      <c r="AD1646" s="679"/>
      <c r="AE1646" s="679"/>
      <c r="AF1646" s="679"/>
      <c r="AG1646" s="679"/>
      <c r="AH1646" s="679"/>
      <c r="AI1646" s="682"/>
      <c r="AJ1646" s="682"/>
      <c r="AK1646" s="682"/>
      <c r="AL1646" s="682"/>
      <c r="AM1646" s="682"/>
      <c r="AN1646" s="682"/>
      <c r="AO1646" s="682"/>
      <c r="AP1646" s="682"/>
      <c r="AQ1646" s="682"/>
      <c r="AR1646" s="682"/>
      <c r="AS1646" s="682"/>
    </row>
    <row r="1647" spans="1:45" s="420" customFormat="1" ht="30" hidden="1" customHeight="1" x14ac:dyDescent="0.25">
      <c r="A1647" s="2003" t="s">
        <v>172</v>
      </c>
      <c r="B1647" s="2004"/>
      <c r="C1647" s="125"/>
      <c r="D1647" s="1027"/>
      <c r="E1647" s="1027"/>
      <c r="F1647" s="896"/>
      <c r="G1647" s="1430">
        <v>0</v>
      </c>
      <c r="H1647" s="1431">
        <f>SUM(H1644:H1646)</f>
        <v>0</v>
      </c>
      <c r="I1647" s="1431">
        <f>SUM(I1644:I1646)</f>
        <v>0</v>
      </c>
      <c r="J1647" s="1432">
        <f>SUM(J1644:J1646)</f>
        <v>0</v>
      </c>
      <c r="K1647" s="1431"/>
      <c r="L1647" s="1533">
        <f t="shared" si="1022"/>
        <v>0</v>
      </c>
      <c r="M1647" s="889"/>
      <c r="N1647" s="854"/>
      <c r="O1647" s="889"/>
      <c r="P1647" s="857"/>
      <c r="Q1647" s="795"/>
      <c r="R1647" s="785">
        <f>IFERROR(VLOOKUP($Q1647,'391'!$S:$Z,8,0),"")</f>
        <v>0</v>
      </c>
      <c r="S1647" s="786"/>
      <c r="T1647" s="787"/>
      <c r="U1647" s="787"/>
      <c r="V1647" s="787"/>
      <c r="W1647" s="785">
        <f>IFERROR(VLOOKUP($Q1647,'391'!$S:$AG,15,0),0)</f>
        <v>0</v>
      </c>
      <c r="X1647" s="1090">
        <f t="shared" si="1003"/>
        <v>0</v>
      </c>
      <c r="Y1647" s="787"/>
      <c r="Z1647" s="791"/>
      <c r="AA1647" s="787"/>
      <c r="AB1647" s="787"/>
      <c r="AC1647" s="679"/>
      <c r="AD1647" s="550"/>
      <c r="AE1647" s="550"/>
      <c r="AF1647" s="550"/>
      <c r="AG1647" s="550"/>
      <c r="AH1647" s="550"/>
      <c r="AI1647" s="559"/>
      <c r="AJ1647" s="559"/>
      <c r="AK1647" s="559"/>
      <c r="AL1647" s="559"/>
      <c r="AM1647" s="559"/>
      <c r="AN1647" s="559"/>
      <c r="AO1647" s="559"/>
      <c r="AP1647" s="559"/>
      <c r="AQ1647" s="559"/>
      <c r="AR1647" s="559"/>
      <c r="AS1647" s="559"/>
    </row>
    <row r="1648" spans="1:45" s="6" customFormat="1" ht="30" hidden="1" customHeight="1" x14ac:dyDescent="0.25">
      <c r="A1648" s="2002"/>
      <c r="B1648" s="390" t="s">
        <v>960</v>
      </c>
      <c r="C1648" s="150"/>
      <c r="D1648" s="866" t="s">
        <v>10</v>
      </c>
      <c r="E1648" s="1116">
        <v>44379</v>
      </c>
      <c r="F1648" s="71">
        <f t="shared" ref="F1648:F1654" si="1023">$L$7-E1648</f>
        <v>1907</v>
      </c>
      <c r="G1648" s="11">
        <v>0</v>
      </c>
      <c r="H1648" s="11"/>
      <c r="I1648" s="64"/>
      <c r="J1648" s="1366"/>
      <c r="K1648" s="11">
        <f>IFERROR(VLOOKUP(T1648,INTAKE!$A:$R,16,0),0)</f>
        <v>0</v>
      </c>
      <c r="L1648" s="1533">
        <f t="shared" si="1022"/>
        <v>0</v>
      </c>
      <c r="M1648" s="101"/>
      <c r="N1648" s="101"/>
      <c r="O1648" s="101"/>
      <c r="P1648" s="738"/>
      <c r="Q1648" s="795"/>
      <c r="R1648" s="785">
        <f>IFERROR(VLOOKUP($Q1648,'391'!$S:$Z,8,0),"")</f>
        <v>0</v>
      </c>
      <c r="S1648" s="786"/>
      <c r="T1648" s="787" t="str">
        <f t="shared" ref="T1648:T1654" si="1024">$Q$1655&amp;C1648&amp;E1648</f>
        <v>Premix 34V44379</v>
      </c>
      <c r="U1648" s="787"/>
      <c r="V1648" s="787"/>
      <c r="W1648" s="785">
        <f>IFERROR(VLOOKUP($Q1648,'391'!$S:$AG,15,0),0)</f>
        <v>0</v>
      </c>
      <c r="X1648" s="1090">
        <f t="shared" si="1003"/>
        <v>0</v>
      </c>
      <c r="Y1648" s="787"/>
      <c r="Z1648" s="791"/>
      <c r="AA1648" s="787"/>
      <c r="AB1648" s="787"/>
      <c r="AC1648" s="683"/>
      <c r="AD1648" s="679"/>
      <c r="AE1648" s="679"/>
      <c r="AF1648" s="679"/>
      <c r="AG1648" s="679"/>
      <c r="AH1648" s="679"/>
      <c r="AI1648" s="682"/>
      <c r="AJ1648" s="682"/>
      <c r="AK1648" s="682"/>
      <c r="AL1648" s="682"/>
      <c r="AM1648" s="682"/>
      <c r="AN1648" s="682"/>
      <c r="AO1648" s="682"/>
      <c r="AP1648" s="682"/>
      <c r="AQ1648" s="682"/>
      <c r="AR1648" s="682"/>
      <c r="AS1648" s="682"/>
    </row>
    <row r="1649" spans="1:45" s="6" customFormat="1" ht="30" hidden="1" customHeight="1" x14ac:dyDescent="0.25">
      <c r="A1649" s="2002"/>
      <c r="B1649" s="390" t="s">
        <v>961</v>
      </c>
      <c r="C1649" s="150" t="s">
        <v>191</v>
      </c>
      <c r="D1649" s="866" t="s">
        <v>10</v>
      </c>
      <c r="E1649" s="1116">
        <v>44386</v>
      </c>
      <c r="F1649" s="71">
        <f t="shared" si="1023"/>
        <v>1900</v>
      </c>
      <c r="G1649" s="11">
        <v>0</v>
      </c>
      <c r="H1649" s="11"/>
      <c r="I1649" s="64"/>
      <c r="J1649" s="1366"/>
      <c r="K1649" s="64">
        <f>IFERROR(SUMIF(INTAKE!$A:$A,$T1649,INTAKE!$P:$P),0)</f>
        <v>0</v>
      </c>
      <c r="L1649" s="1533">
        <f t="shared" si="1022"/>
        <v>0</v>
      </c>
      <c r="M1649" s="379"/>
      <c r="N1649" s="379"/>
      <c r="O1649" s="379"/>
      <c r="P1649" s="736"/>
      <c r="Q1649" s="795"/>
      <c r="R1649" s="785">
        <f>IFERROR(VLOOKUP($Q1649,'391'!$S:$Z,8,0),"")</f>
        <v>0</v>
      </c>
      <c r="S1649" s="786"/>
      <c r="T1649" s="787" t="str">
        <f t="shared" si="1024"/>
        <v>Premix 34VX2.144386</v>
      </c>
      <c r="U1649" s="787"/>
      <c r="V1649" s="787"/>
      <c r="W1649" s="785">
        <f>IFERROR(VLOOKUP($Q1649,'391'!$S:$AG,15,0),0)</f>
        <v>0</v>
      </c>
      <c r="X1649" s="1090">
        <f t="shared" si="1003"/>
        <v>0</v>
      </c>
      <c r="Y1649" s="787"/>
      <c r="Z1649" s="791"/>
      <c r="AA1649" s="787"/>
      <c r="AB1649" s="787"/>
      <c r="AC1649" s="679"/>
      <c r="AD1649" s="679"/>
      <c r="AE1649" s="679"/>
      <c r="AF1649" s="679"/>
      <c r="AG1649" s="679"/>
      <c r="AH1649" s="679"/>
      <c r="AI1649" s="682"/>
      <c r="AJ1649" s="682"/>
      <c r="AK1649" s="682"/>
      <c r="AL1649" s="682"/>
      <c r="AM1649" s="682"/>
      <c r="AN1649" s="682"/>
      <c r="AO1649" s="682"/>
      <c r="AP1649" s="682"/>
      <c r="AQ1649" s="682"/>
      <c r="AR1649" s="682"/>
      <c r="AS1649" s="682"/>
    </row>
    <row r="1650" spans="1:45" s="6" customFormat="1" ht="30" hidden="1" customHeight="1" x14ac:dyDescent="0.25">
      <c r="A1650" s="2002"/>
      <c r="B1650" s="390" t="s">
        <v>961</v>
      </c>
      <c r="C1650" s="150"/>
      <c r="D1650" s="866" t="s">
        <v>10</v>
      </c>
      <c r="E1650" s="1116">
        <v>44386</v>
      </c>
      <c r="F1650" s="71">
        <f t="shared" si="1023"/>
        <v>1900</v>
      </c>
      <c r="G1650" s="11">
        <v>0</v>
      </c>
      <c r="H1650" s="11"/>
      <c r="I1650" s="64"/>
      <c r="J1650" s="1366"/>
      <c r="K1650" s="64">
        <f>IFERROR(SUMIF(INTAKE!$A:$A,$T1650,INTAKE!$P:$P),0)</f>
        <v>0</v>
      </c>
      <c r="L1650" s="1533">
        <f t="shared" si="1022"/>
        <v>0</v>
      </c>
      <c r="M1650" s="379"/>
      <c r="N1650" s="379"/>
      <c r="O1650" s="379"/>
      <c r="P1650" s="738"/>
      <c r="Q1650" s="795"/>
      <c r="R1650" s="785">
        <f>IFERROR(VLOOKUP($Q1650,'391'!$S:$Z,8,0),"")</f>
        <v>0</v>
      </c>
      <c r="S1650" s="786"/>
      <c r="T1650" s="787" t="str">
        <f t="shared" si="1024"/>
        <v>Premix 34V44386</v>
      </c>
      <c r="U1650" s="787"/>
      <c r="V1650" s="787"/>
      <c r="W1650" s="785">
        <f>IFERROR(VLOOKUP($Q1650,'391'!$S:$AG,15,0),0)</f>
        <v>0</v>
      </c>
      <c r="X1650" s="1090">
        <f t="shared" si="1003"/>
        <v>0</v>
      </c>
      <c r="Y1650" s="787"/>
      <c r="Z1650" s="791"/>
      <c r="AA1650" s="787"/>
      <c r="AB1650" s="787"/>
      <c r="AC1650" s="679"/>
      <c r="AD1650" s="679"/>
      <c r="AE1650" s="679"/>
      <c r="AF1650" s="679"/>
      <c r="AG1650" s="679"/>
      <c r="AH1650" s="679"/>
      <c r="AI1650" s="682"/>
      <c r="AJ1650" s="682"/>
      <c r="AK1650" s="682"/>
      <c r="AL1650" s="682"/>
      <c r="AM1650" s="682"/>
      <c r="AN1650" s="682"/>
      <c r="AO1650" s="682"/>
      <c r="AP1650" s="682"/>
      <c r="AQ1650" s="682"/>
      <c r="AR1650" s="682"/>
      <c r="AS1650" s="682"/>
    </row>
    <row r="1651" spans="1:45" s="6" customFormat="1" ht="30" hidden="1" customHeight="1" x14ac:dyDescent="0.25">
      <c r="A1651" s="2002"/>
      <c r="B1651" s="390" t="s">
        <v>925</v>
      </c>
      <c r="C1651" s="150"/>
      <c r="D1651" s="866" t="s">
        <v>10</v>
      </c>
      <c r="E1651" s="1116">
        <v>44309</v>
      </c>
      <c r="F1651" s="71">
        <f t="shared" si="1023"/>
        <v>1977</v>
      </c>
      <c r="G1651" s="11">
        <v>0</v>
      </c>
      <c r="H1651" s="11"/>
      <c r="I1651" s="64"/>
      <c r="J1651" s="1366"/>
      <c r="K1651" s="64">
        <f>IFERROR(SUMIF(INTAKE!$A:$A,$T1651,INTAKE!$P:$P),0)</f>
        <v>0</v>
      </c>
      <c r="L1651" s="1533">
        <f t="shared" si="1022"/>
        <v>0</v>
      </c>
      <c r="M1651" s="23"/>
      <c r="N1651" s="23"/>
      <c r="O1651" s="23"/>
      <c r="P1651" s="736"/>
      <c r="Q1651" s="795"/>
      <c r="R1651" s="785">
        <f>IFERROR(VLOOKUP($Q1651,'391'!$S:$Z,8,0),"")</f>
        <v>0</v>
      </c>
      <c r="S1651" s="786"/>
      <c r="T1651" s="787" t="str">
        <f t="shared" si="1024"/>
        <v>Premix 34V44309</v>
      </c>
      <c r="U1651" s="787"/>
      <c r="V1651" s="787"/>
      <c r="W1651" s="785">
        <f>IFERROR(VLOOKUP($Q1651,'391'!$S:$AG,15,0),0)</f>
        <v>0</v>
      </c>
      <c r="X1651" s="1090">
        <f t="shared" si="1003"/>
        <v>0</v>
      </c>
      <c r="Y1651" s="787"/>
      <c r="Z1651" s="791"/>
      <c r="AA1651" s="787"/>
      <c r="AB1651" s="787"/>
      <c r="AC1651" s="679"/>
      <c r="AD1651" s="679"/>
      <c r="AE1651" s="679"/>
      <c r="AF1651" s="679"/>
      <c r="AG1651" s="679"/>
      <c r="AH1651" s="679"/>
      <c r="AI1651" s="682"/>
      <c r="AJ1651" s="682"/>
      <c r="AK1651" s="682"/>
      <c r="AL1651" s="682"/>
      <c r="AM1651" s="682"/>
      <c r="AN1651" s="682"/>
      <c r="AO1651" s="682"/>
      <c r="AP1651" s="682"/>
      <c r="AQ1651" s="682"/>
      <c r="AR1651" s="682"/>
      <c r="AS1651" s="682"/>
    </row>
    <row r="1652" spans="1:45" s="6" customFormat="1" ht="30" hidden="1" customHeight="1" x14ac:dyDescent="0.25">
      <c r="A1652" s="2002"/>
      <c r="B1652" s="390" t="s">
        <v>362</v>
      </c>
      <c r="C1652" s="150"/>
      <c r="D1652" s="866" t="s">
        <v>10</v>
      </c>
      <c r="E1652" s="1116">
        <v>43141</v>
      </c>
      <c r="F1652" s="71">
        <f t="shared" si="1023"/>
        <v>3145</v>
      </c>
      <c r="G1652" s="11">
        <v>0</v>
      </c>
      <c r="H1652" s="11"/>
      <c r="I1652" s="64"/>
      <c r="J1652" s="1366"/>
      <c r="K1652" s="64">
        <f>IFERROR(SUMIF(INTAKE!$A:$A,$T1652,INTAKE!$P:$P),0)</f>
        <v>0</v>
      </c>
      <c r="L1652" s="1533">
        <f t="shared" si="1022"/>
        <v>0</v>
      </c>
      <c r="M1652" s="23"/>
      <c r="N1652" s="23"/>
      <c r="O1652" s="23"/>
      <c r="P1652" s="736"/>
      <c r="Q1652" s="795"/>
      <c r="R1652" s="785">
        <f>IFERROR(VLOOKUP($Q1652,'391'!$S:$Z,8,0),"")</f>
        <v>0</v>
      </c>
      <c r="S1652" s="786"/>
      <c r="T1652" s="787" t="str">
        <f t="shared" si="1024"/>
        <v>Premix 34V43141</v>
      </c>
      <c r="U1652" s="787"/>
      <c r="V1652" s="787"/>
      <c r="W1652" s="785">
        <f>IFERROR(VLOOKUP($Q1652,'391'!$S:$AG,15,0),0)</f>
        <v>0</v>
      </c>
      <c r="X1652" s="1090">
        <f t="shared" si="1003"/>
        <v>0</v>
      </c>
      <c r="Y1652" s="787"/>
      <c r="Z1652" s="791"/>
      <c r="AA1652" s="787"/>
      <c r="AB1652" s="787"/>
      <c r="AC1652" s="679"/>
      <c r="AD1652" s="679"/>
      <c r="AE1652" s="679"/>
      <c r="AF1652" s="679"/>
      <c r="AG1652" s="679"/>
      <c r="AH1652" s="679"/>
      <c r="AI1652" s="682"/>
      <c r="AJ1652" s="682"/>
      <c r="AK1652" s="682"/>
      <c r="AL1652" s="682"/>
      <c r="AM1652" s="682"/>
      <c r="AN1652" s="682"/>
      <c r="AO1652" s="682"/>
      <c r="AP1652" s="682"/>
      <c r="AQ1652" s="682"/>
      <c r="AR1652" s="682"/>
      <c r="AS1652" s="682"/>
    </row>
    <row r="1653" spans="1:45" s="6" customFormat="1" ht="30" hidden="1" customHeight="1" x14ac:dyDescent="0.25">
      <c r="A1653" s="2002"/>
      <c r="B1653" s="390" t="s">
        <v>363</v>
      </c>
      <c r="C1653" s="150"/>
      <c r="D1653" s="866" t="s">
        <v>10</v>
      </c>
      <c r="E1653" s="1116">
        <v>43144</v>
      </c>
      <c r="F1653" s="71">
        <f t="shared" si="1023"/>
        <v>3142</v>
      </c>
      <c r="G1653" s="11">
        <v>0</v>
      </c>
      <c r="H1653" s="11"/>
      <c r="I1653" s="64"/>
      <c r="J1653" s="1366"/>
      <c r="K1653" s="64">
        <f>IFERROR(SUMIF(INTAKE!$A:$A,$T1653,INTAKE!$P:$P),0)</f>
        <v>0</v>
      </c>
      <c r="L1653" s="1533">
        <f t="shared" si="1022"/>
        <v>0</v>
      </c>
      <c r="M1653" s="23"/>
      <c r="N1653" s="23"/>
      <c r="O1653" s="23"/>
      <c r="P1653" s="736"/>
      <c r="Q1653" s="795"/>
      <c r="R1653" s="785">
        <f>IFERROR(VLOOKUP($Q1653,'391'!$S:$Z,8,0),"")</f>
        <v>0</v>
      </c>
      <c r="S1653" s="786"/>
      <c r="T1653" s="787" t="str">
        <f t="shared" si="1024"/>
        <v>Premix 34V43144</v>
      </c>
      <c r="U1653" s="787"/>
      <c r="V1653" s="787"/>
      <c r="W1653" s="785">
        <f>IFERROR(VLOOKUP($Q1653,'391'!$S:$AG,15,0),0)</f>
        <v>0</v>
      </c>
      <c r="X1653" s="1090">
        <f t="shared" si="1003"/>
        <v>0</v>
      </c>
      <c r="Y1653" s="787"/>
      <c r="Z1653" s="791"/>
      <c r="AA1653" s="787"/>
      <c r="AB1653" s="787"/>
      <c r="AC1653" s="679"/>
      <c r="AD1653" s="679"/>
      <c r="AE1653" s="679"/>
      <c r="AF1653" s="679"/>
      <c r="AG1653" s="679"/>
      <c r="AH1653" s="679"/>
      <c r="AI1653" s="682"/>
      <c r="AJ1653" s="682"/>
      <c r="AK1653" s="682"/>
      <c r="AL1653" s="682"/>
      <c r="AM1653" s="682"/>
      <c r="AN1653" s="682"/>
      <c r="AO1653" s="682"/>
      <c r="AP1653" s="682"/>
      <c r="AQ1653" s="682"/>
      <c r="AR1653" s="682"/>
      <c r="AS1653" s="682"/>
    </row>
    <row r="1654" spans="1:45" s="406" customFormat="1" ht="30" hidden="1" customHeight="1" x14ac:dyDescent="0.25">
      <c r="A1654" s="2002"/>
      <c r="B1654" s="1016" t="s">
        <v>961</v>
      </c>
      <c r="C1654" s="144" t="s">
        <v>46</v>
      </c>
      <c r="D1654" s="884" t="s">
        <v>10</v>
      </c>
      <c r="E1654" s="1114">
        <v>44386</v>
      </c>
      <c r="F1654" s="71">
        <f t="shared" si="1023"/>
        <v>1900</v>
      </c>
      <c r="G1654" s="37">
        <v>0</v>
      </c>
      <c r="H1654" s="37"/>
      <c r="I1654" s="37">
        <f>+SUM(K1648:K1651)</f>
        <v>0</v>
      </c>
      <c r="J1654" s="1385">
        <f>+usage!I229</f>
        <v>0</v>
      </c>
      <c r="K1654" s="64">
        <f>IFERROR(SUMIF(INTAKE!$A:$A,$T1654,INTAKE!$P:$P),0)</f>
        <v>0</v>
      </c>
      <c r="L1654" s="1533">
        <f t="shared" si="1022"/>
        <v>0</v>
      </c>
      <c r="M1654" s="40"/>
      <c r="N1654" s="40"/>
      <c r="O1654" s="40"/>
      <c r="P1654" s="736"/>
      <c r="Q1654" s="795"/>
      <c r="R1654" s="785">
        <f>IFERROR(VLOOKUP($Q1654,'391'!$S:$Z,8,0),"")</f>
        <v>0</v>
      </c>
      <c r="S1654" s="786"/>
      <c r="T1654" s="787" t="str">
        <f t="shared" si="1024"/>
        <v>Premix 34VFeedmill44386</v>
      </c>
      <c r="U1654" s="787"/>
      <c r="V1654" s="787"/>
      <c r="W1654" s="785">
        <f>IFERROR(VLOOKUP($Q1654,'391'!$S:$AG,15,0),0)</f>
        <v>0</v>
      </c>
      <c r="X1654" s="1090">
        <f t="shared" si="1003"/>
        <v>0</v>
      </c>
      <c r="Y1654" s="787"/>
      <c r="Z1654" s="791"/>
      <c r="AA1654" s="787"/>
      <c r="AB1654" s="787"/>
      <c r="AC1654" s="679"/>
      <c r="AD1654" s="679"/>
      <c r="AE1654" s="679"/>
      <c r="AF1654" s="679"/>
      <c r="AG1654" s="679"/>
      <c r="AH1654" s="679"/>
      <c r="AI1654" s="682"/>
      <c r="AJ1654" s="682"/>
      <c r="AK1654" s="682"/>
      <c r="AL1654" s="682"/>
      <c r="AM1654" s="682"/>
      <c r="AN1654" s="682"/>
      <c r="AO1654" s="682"/>
      <c r="AP1654" s="682"/>
      <c r="AQ1654" s="682"/>
      <c r="AR1654" s="682"/>
      <c r="AS1654" s="682"/>
    </row>
    <row r="1655" spans="1:45" s="420" customFormat="1" ht="30" hidden="1" customHeight="1" x14ac:dyDescent="0.25">
      <c r="A1655" s="2003" t="s">
        <v>140</v>
      </c>
      <c r="B1655" s="2004"/>
      <c r="C1655" s="125"/>
      <c r="D1655" s="1030"/>
      <c r="E1655" s="1031"/>
      <c r="F1655" s="1032"/>
      <c r="G1655" s="1422">
        <v>0</v>
      </c>
      <c r="H1655" s="1422">
        <f t="shared" ref="H1655:I1655" si="1025">SUM(H1648:H1654)</f>
        <v>0</v>
      </c>
      <c r="I1655" s="1422">
        <f t="shared" si="1025"/>
        <v>0</v>
      </c>
      <c r="J1655" s="1422">
        <f t="shared" ref="J1655:K1655" si="1026">SUM(J1648:J1654)</f>
        <v>0</v>
      </c>
      <c r="K1655" s="1422">
        <f t="shared" si="1026"/>
        <v>0</v>
      </c>
      <c r="L1655" s="1533">
        <f t="shared" si="1022"/>
        <v>0</v>
      </c>
      <c r="M1655" s="889" t="str">
        <f>IFERROR(R1655/$S$2,"")</f>
        <v/>
      </c>
      <c r="N1655" s="366">
        <f>IFERROR(L1655/M1655,0)</f>
        <v>0</v>
      </c>
      <c r="O1655" s="889">
        <f>IFERROR(SUMIF(ETM!$A:$A,$Q1655,ETM!$E:$E),"")</f>
        <v>0</v>
      </c>
      <c r="P1655" s="880">
        <f>IFERROR(L1655/O1655,0)</f>
        <v>0</v>
      </c>
      <c r="Q1655" s="814" t="s">
        <v>629</v>
      </c>
      <c r="R1655" s="785" t="str">
        <f>IFERROR(VLOOKUP($Q1655,'391'!$S:$Z,8,0),"")</f>
        <v/>
      </c>
      <c r="S1655" s="786"/>
      <c r="T1655" s="787"/>
      <c r="U1655" s="787"/>
      <c r="V1655" s="787"/>
      <c r="W1655" s="785">
        <f>IFERROR(VLOOKUP($Q1655,'391'!$S:$AG,15,0),0)</f>
        <v>0</v>
      </c>
      <c r="X1655" s="1090">
        <f t="shared" si="1003"/>
        <v>0</v>
      </c>
      <c r="Y1655" s="787"/>
      <c r="Z1655" s="791"/>
      <c r="AA1655" s="787"/>
      <c r="AB1655" s="787"/>
      <c r="AC1655" s="679"/>
      <c r="AD1655" s="550"/>
      <c r="AE1655" s="550"/>
      <c r="AF1655" s="550"/>
      <c r="AG1655" s="550"/>
      <c r="AH1655" s="550"/>
      <c r="AI1655" s="559"/>
      <c r="AJ1655" s="559"/>
      <c r="AK1655" s="559"/>
      <c r="AL1655" s="559"/>
      <c r="AM1655" s="559"/>
      <c r="AN1655" s="559"/>
      <c r="AO1655" s="559"/>
      <c r="AP1655" s="559"/>
      <c r="AQ1655" s="559"/>
      <c r="AR1655" s="559"/>
      <c r="AS1655" s="559"/>
    </row>
    <row r="1656" spans="1:45" s="344" customFormat="1" ht="30" hidden="1" customHeight="1" x14ac:dyDescent="0.25">
      <c r="A1656" s="2187" t="str">
        <f>IF(L1658=0,"",MAX($A$16:A1655)+1)</f>
        <v/>
      </c>
      <c r="B1656" s="2207" t="s">
        <v>100</v>
      </c>
      <c r="C1656" s="196" t="s">
        <v>186</v>
      </c>
      <c r="D1656" s="866" t="s">
        <v>10</v>
      </c>
      <c r="E1656" s="1109">
        <v>43144</v>
      </c>
      <c r="F1656" s="71">
        <f>$L$7-E1656</f>
        <v>3142</v>
      </c>
      <c r="G1656" s="1433">
        <v>0</v>
      </c>
      <c r="H1656" s="11"/>
      <c r="I1656" s="11"/>
      <c r="J1656" s="1388"/>
      <c r="K1656" s="11"/>
      <c r="L1656" s="1533">
        <f t="shared" si="1022"/>
        <v>0</v>
      </c>
      <c r="M1656" s="147"/>
      <c r="N1656" s="248"/>
      <c r="O1656" s="147"/>
      <c r="P1656" s="857"/>
      <c r="Q1656" s="795"/>
      <c r="R1656" s="785">
        <f>IFERROR(VLOOKUP($Q1656,'391'!$S:$Z,8,0),"")</f>
        <v>0</v>
      </c>
      <c r="S1656" s="786"/>
      <c r="T1656" s="787"/>
      <c r="U1656" s="787"/>
      <c r="V1656" s="787"/>
      <c r="W1656" s="785">
        <f>IFERROR(VLOOKUP($Q1656,'391'!$S:$AG,15,0),0)</f>
        <v>0</v>
      </c>
      <c r="X1656" s="1090">
        <f t="shared" si="1003"/>
        <v>0</v>
      </c>
      <c r="Y1656" s="787"/>
      <c r="Z1656" s="791"/>
      <c r="AA1656" s="787"/>
      <c r="AB1656" s="787"/>
      <c r="AC1656" s="550"/>
      <c r="AD1656" s="687"/>
      <c r="AE1656" s="687"/>
      <c r="AF1656" s="687"/>
      <c r="AG1656" s="687"/>
      <c r="AH1656" s="687"/>
      <c r="AI1656" s="709"/>
      <c r="AJ1656" s="709"/>
      <c r="AK1656" s="709"/>
      <c r="AL1656" s="709"/>
      <c r="AM1656" s="709"/>
      <c r="AN1656" s="709"/>
      <c r="AO1656" s="709"/>
      <c r="AP1656" s="709"/>
      <c r="AQ1656" s="709"/>
      <c r="AR1656" s="709"/>
      <c r="AS1656" s="709"/>
    </row>
    <row r="1657" spans="1:45" s="421" customFormat="1" ht="30" hidden="1" customHeight="1" x14ac:dyDescent="0.25">
      <c r="A1657" s="2193"/>
      <c r="B1657" s="2208"/>
      <c r="C1657" s="60" t="s">
        <v>46</v>
      </c>
      <c r="D1657" s="866" t="s">
        <v>10</v>
      </c>
      <c r="E1657" s="1109">
        <v>43144</v>
      </c>
      <c r="F1657" s="71">
        <f>$L$7-E1657</f>
        <v>3142</v>
      </c>
      <c r="G1657" s="1434">
        <v>0</v>
      </c>
      <c r="H1657" s="37"/>
      <c r="I1657" s="37"/>
      <c r="J1657" s="1385"/>
      <c r="K1657" s="37"/>
      <c r="L1657" s="1533">
        <f t="shared" si="1022"/>
        <v>0</v>
      </c>
      <c r="M1657" s="40"/>
      <c r="N1657" s="84"/>
      <c r="O1657" s="40"/>
      <c r="P1657" s="857"/>
      <c r="Q1657" s="795"/>
      <c r="R1657" s="785">
        <f>IFERROR(VLOOKUP($Q1657,'391'!$S:$Z,8,0),"")</f>
        <v>0</v>
      </c>
      <c r="S1657" s="786"/>
      <c r="T1657" s="787"/>
      <c r="U1657" s="787"/>
      <c r="V1657" s="787"/>
      <c r="W1657" s="785">
        <f>IFERROR(VLOOKUP($Q1657,'391'!$S:$AG,15,0),0)</f>
        <v>0</v>
      </c>
      <c r="X1657" s="1090">
        <f t="shared" si="1003"/>
        <v>0</v>
      </c>
      <c r="Y1657" s="787"/>
      <c r="Z1657" s="791"/>
      <c r="AA1657" s="787"/>
      <c r="AB1657" s="787"/>
      <c r="AC1657" s="679"/>
      <c r="AD1657" s="687"/>
      <c r="AE1657" s="687"/>
      <c r="AF1657" s="687"/>
      <c r="AG1657" s="687"/>
      <c r="AH1657" s="687"/>
      <c r="AI1657" s="709"/>
      <c r="AJ1657" s="709"/>
      <c r="AK1657" s="709"/>
      <c r="AL1657" s="709"/>
      <c r="AM1657" s="709"/>
      <c r="AN1657" s="709"/>
      <c r="AO1657" s="709"/>
      <c r="AP1657" s="709"/>
      <c r="AQ1657" s="709"/>
      <c r="AR1657" s="709"/>
      <c r="AS1657" s="709"/>
    </row>
    <row r="1658" spans="1:45" s="420" customFormat="1" ht="30" hidden="1" customHeight="1" x14ac:dyDescent="0.25">
      <c r="A1658" s="2003" t="s">
        <v>69</v>
      </c>
      <c r="B1658" s="2004"/>
      <c r="C1658" s="125"/>
      <c r="D1658" s="1027"/>
      <c r="E1658" s="1027"/>
      <c r="F1658" s="896"/>
      <c r="G1658" s="1424">
        <v>0</v>
      </c>
      <c r="H1658" s="1425">
        <f>SUM(H1656:H1657)</f>
        <v>0</v>
      </c>
      <c r="I1658" s="1425">
        <f>SUM(I1656:I1657)</f>
        <v>0</v>
      </c>
      <c r="J1658" s="1426">
        <f>SUM(J1656:J1657)</f>
        <v>0</v>
      </c>
      <c r="K1658" s="1425"/>
      <c r="L1658" s="1533">
        <f t="shared" si="1022"/>
        <v>0</v>
      </c>
      <c r="M1658" s="889"/>
      <c r="N1658" s="854"/>
      <c r="O1658" s="889"/>
      <c r="P1658" s="857"/>
      <c r="Q1658" s="795"/>
      <c r="R1658" s="785">
        <f>IFERROR(VLOOKUP($Q1658,'391'!$S:$Z,8,0),"")</f>
        <v>0</v>
      </c>
      <c r="S1658" s="786"/>
      <c r="T1658" s="787"/>
      <c r="U1658" s="787"/>
      <c r="V1658" s="787"/>
      <c r="W1658" s="785">
        <f>IFERROR(VLOOKUP($Q1658,'391'!$S:$AG,15,0),0)</f>
        <v>0</v>
      </c>
      <c r="X1658" s="1090">
        <f t="shared" si="1003"/>
        <v>0</v>
      </c>
      <c r="Y1658" s="787"/>
      <c r="Z1658" s="791"/>
      <c r="AA1658" s="787"/>
      <c r="AB1658" s="787"/>
      <c r="AC1658" s="679"/>
      <c r="AD1658" s="550"/>
      <c r="AE1658" s="550"/>
      <c r="AF1658" s="550"/>
      <c r="AG1658" s="550"/>
      <c r="AH1658" s="550"/>
      <c r="AI1658" s="559"/>
      <c r="AJ1658" s="559"/>
      <c r="AK1658" s="559"/>
      <c r="AL1658" s="559"/>
      <c r="AM1658" s="559"/>
      <c r="AN1658" s="559"/>
      <c r="AO1658" s="559"/>
      <c r="AP1658" s="559"/>
      <c r="AQ1658" s="559"/>
      <c r="AR1658" s="559"/>
      <c r="AS1658" s="559"/>
    </row>
    <row r="1659" spans="1:45" s="6" customFormat="1" ht="30" customHeight="1" x14ac:dyDescent="0.25">
      <c r="A1659" s="2010">
        <f>IF(L1666=0,"",MAX($A$16:A1658)+1)</f>
        <v>117</v>
      </c>
      <c r="B1659" s="396" t="s">
        <v>1927</v>
      </c>
      <c r="C1659" s="186" t="s">
        <v>191</v>
      </c>
      <c r="D1659" s="866" t="s">
        <v>10</v>
      </c>
      <c r="E1659" s="1126">
        <v>46254</v>
      </c>
      <c r="F1659" s="71">
        <f t="shared" ref="F1659" si="1027">$L$7-E1659</f>
        <v>32</v>
      </c>
      <c r="G1659" s="12">
        <v>60</v>
      </c>
      <c r="H1659" s="12"/>
      <c r="I1659" s="12"/>
      <c r="J1659" s="1369"/>
      <c r="K1659" s="64">
        <f>IFERROR(SUMIF(INTAKE!$A:$A,$T1659,INTAKE!$P:$P),0)</f>
        <v>0</v>
      </c>
      <c r="L1659" s="1702">
        <f t="shared" si="1022"/>
        <v>60</v>
      </c>
      <c r="M1659" s="147"/>
      <c r="N1659" s="248"/>
      <c r="O1659" s="147"/>
      <c r="P1659" s="748"/>
      <c r="Q1659" s="795"/>
      <c r="R1659" s="785">
        <f>IFERROR(VLOOKUP($Q1659,'391'!$S:$Z,8,0),"")</f>
        <v>0</v>
      </c>
      <c r="S1659" s="786"/>
      <c r="T1659" s="787" t="str">
        <f t="shared" ref="T1659:T1665" si="1028">$Q$1666&amp;C1659&amp;E1659</f>
        <v>Premix 21VX2.146254</v>
      </c>
      <c r="U1659" s="787"/>
      <c r="V1659" s="787"/>
      <c r="W1659" s="785">
        <f>IFERROR(VLOOKUP($Q1659,'391'!$S:$AG,15,0),0)</f>
        <v>0</v>
      </c>
      <c r="X1659" s="1090">
        <f t="shared" si="1003"/>
        <v>60</v>
      </c>
      <c r="Y1659" s="787"/>
      <c r="Z1659" s="791"/>
      <c r="AA1659" s="787"/>
      <c r="AB1659" s="787"/>
      <c r="AC1659" s="550"/>
      <c r="AD1659" s="679"/>
      <c r="AE1659" s="679"/>
      <c r="AF1659" s="679"/>
      <c r="AG1659" s="679"/>
      <c r="AH1659" s="679"/>
      <c r="AI1659" s="682"/>
      <c r="AJ1659" s="682"/>
      <c r="AK1659" s="682"/>
      <c r="AL1659" s="682"/>
      <c r="AM1659" s="682"/>
      <c r="AN1659" s="682"/>
      <c r="AO1659" s="682"/>
      <c r="AP1659" s="682"/>
      <c r="AQ1659" s="682"/>
      <c r="AR1659" s="682"/>
      <c r="AS1659" s="682"/>
    </row>
    <row r="1660" spans="1:45" s="6" customFormat="1" ht="32.25" customHeight="1" x14ac:dyDescent="0.25">
      <c r="A1660" s="2002"/>
      <c r="B1660" s="396" t="s">
        <v>340</v>
      </c>
      <c r="C1660" s="186" t="s">
        <v>191</v>
      </c>
      <c r="D1660" s="866" t="s">
        <v>10</v>
      </c>
      <c r="E1660" s="1126">
        <v>46270</v>
      </c>
      <c r="F1660" s="71">
        <f t="shared" ref="F1660" si="1029">$L$7-E1660</f>
        <v>16</v>
      </c>
      <c r="G1660" s="12">
        <v>150</v>
      </c>
      <c r="H1660" s="12"/>
      <c r="I1660" s="12"/>
      <c r="J1660" s="1369"/>
      <c r="K1660" s="64">
        <f>IFERROR(SUMIF(INTAKE!$A:$A,$T1660,INTAKE!$P:$P),0)</f>
        <v>0</v>
      </c>
      <c r="L1660" s="1702">
        <f t="shared" si="1022"/>
        <v>150</v>
      </c>
      <c r="M1660" s="101"/>
      <c r="N1660" s="249"/>
      <c r="O1660" s="101"/>
      <c r="P1660" s="750"/>
      <c r="Q1660" s="795"/>
      <c r="R1660" s="785">
        <f>IFERROR(VLOOKUP($Q1660,'391'!$S:$Z,8,0),"")</f>
        <v>0</v>
      </c>
      <c r="S1660" s="786"/>
      <c r="T1660" s="787" t="str">
        <f t="shared" si="1028"/>
        <v>Premix 21VX2.146270</v>
      </c>
      <c r="U1660" s="787"/>
      <c r="V1660" s="787"/>
      <c r="W1660" s="785">
        <f>IFERROR(VLOOKUP($Q1660,'391'!$S:$AG,15,0),0)</f>
        <v>0</v>
      </c>
      <c r="X1660" s="1090">
        <f t="shared" si="1003"/>
        <v>150</v>
      </c>
      <c r="Y1660" s="787"/>
      <c r="Z1660" s="791"/>
      <c r="AA1660" s="787"/>
      <c r="AB1660" s="787"/>
      <c r="AC1660" s="679"/>
      <c r="AD1660" s="679"/>
      <c r="AE1660" s="679"/>
      <c r="AF1660" s="679"/>
      <c r="AG1660" s="679"/>
      <c r="AH1660" s="679"/>
      <c r="AI1660" s="682"/>
      <c r="AJ1660" s="682"/>
      <c r="AK1660" s="682"/>
      <c r="AL1660" s="682"/>
      <c r="AM1660" s="682"/>
      <c r="AN1660" s="682"/>
      <c r="AO1660" s="682"/>
      <c r="AP1660" s="682"/>
      <c r="AQ1660" s="682"/>
      <c r="AR1660" s="682"/>
      <c r="AS1660" s="682"/>
    </row>
    <row r="1661" spans="1:45" s="6" customFormat="1" ht="32.25" customHeight="1" x14ac:dyDescent="0.25">
      <c r="A1661" s="2002"/>
      <c r="B1661" s="396" t="s">
        <v>2235</v>
      </c>
      <c r="C1661" s="186" t="s">
        <v>191</v>
      </c>
      <c r="D1661" s="866" t="s">
        <v>10</v>
      </c>
      <c r="E1661" s="1126">
        <v>46283</v>
      </c>
      <c r="F1661" s="71">
        <f t="shared" ref="F1661" si="1030">$L$7-E1661</f>
        <v>3</v>
      </c>
      <c r="G1661" s="12">
        <v>300</v>
      </c>
      <c r="H1661" s="12"/>
      <c r="I1661" s="12"/>
      <c r="J1661" s="1369"/>
      <c r="K1661" s="64">
        <f>IFERROR(SUMIF(INTAKE!$A:$A,$T1661,INTAKE!$P:$P),0)</f>
        <v>0</v>
      </c>
      <c r="L1661" s="1702">
        <f t="shared" si="1022"/>
        <v>300</v>
      </c>
      <c r="M1661" s="101"/>
      <c r="N1661" s="249"/>
      <c r="O1661" s="101"/>
      <c r="P1661" s="750"/>
      <c r="Q1661" s="795"/>
      <c r="R1661" s="785">
        <f>IFERROR(VLOOKUP($Q1661,'391'!$S:$Z,8,0),"")</f>
        <v>0</v>
      </c>
      <c r="S1661" s="786"/>
      <c r="T1661" s="787" t="str">
        <f t="shared" si="1028"/>
        <v>Premix 21VX2.146283</v>
      </c>
      <c r="U1661" s="787"/>
      <c r="V1661" s="787"/>
      <c r="W1661" s="785">
        <f>IFERROR(VLOOKUP($Q1661,'391'!$S:$AG,15,0),0)</f>
        <v>0</v>
      </c>
      <c r="X1661" s="1090">
        <f t="shared" si="1003"/>
        <v>300</v>
      </c>
      <c r="Y1661" s="787"/>
      <c r="Z1661" s="791"/>
      <c r="AA1661" s="787"/>
      <c r="AB1661" s="787"/>
      <c r="AC1661" s="679"/>
      <c r="AD1661" s="679"/>
      <c r="AE1661" s="679"/>
      <c r="AF1661" s="679"/>
      <c r="AG1661" s="679"/>
      <c r="AH1661" s="679"/>
      <c r="AI1661" s="682"/>
      <c r="AJ1661" s="682"/>
      <c r="AK1661" s="682"/>
      <c r="AL1661" s="682"/>
      <c r="AM1661" s="682"/>
      <c r="AN1661" s="682"/>
      <c r="AO1661" s="682"/>
      <c r="AP1661" s="682"/>
      <c r="AQ1661" s="682"/>
      <c r="AR1661" s="682"/>
      <c r="AS1661" s="682"/>
    </row>
    <row r="1662" spans="1:45" s="6" customFormat="1" ht="32.25" hidden="1" customHeight="1" x14ac:dyDescent="0.25">
      <c r="A1662" s="2002"/>
      <c r="B1662" s="396" t="s">
        <v>1833</v>
      </c>
      <c r="C1662" s="186"/>
      <c r="D1662" s="866" t="s">
        <v>10</v>
      </c>
      <c r="E1662" s="1126">
        <v>46185</v>
      </c>
      <c r="F1662" s="71">
        <f t="shared" ref="F1662:F1665" si="1031">$L$7-E1662</f>
        <v>101</v>
      </c>
      <c r="G1662" s="12">
        <v>0</v>
      </c>
      <c r="H1662" s="12"/>
      <c r="I1662" s="12"/>
      <c r="J1662" s="1369"/>
      <c r="K1662" s="64">
        <f>IFERROR(SUMIF(INTAKE!$A:$A,$T1662,INTAKE!$P:$P),0)</f>
        <v>0</v>
      </c>
      <c r="L1662" s="1702">
        <f t="shared" si="1022"/>
        <v>0</v>
      </c>
      <c r="M1662" s="101"/>
      <c r="N1662" s="249"/>
      <c r="O1662" s="101"/>
      <c r="P1662" s="750"/>
      <c r="Q1662" s="795"/>
      <c r="R1662" s="785">
        <f>IFERROR(VLOOKUP($Q1662,'391'!$S:$Z,8,0),"")</f>
        <v>0</v>
      </c>
      <c r="S1662" s="786"/>
      <c r="T1662" s="787" t="str">
        <f t="shared" si="1028"/>
        <v>Premix 21V46185</v>
      </c>
      <c r="U1662" s="787"/>
      <c r="V1662" s="787"/>
      <c r="W1662" s="785">
        <f>IFERROR(VLOOKUP($Q1662,'391'!$S:$AG,15,0),0)</f>
        <v>0</v>
      </c>
      <c r="X1662" s="1090">
        <f t="shared" si="1003"/>
        <v>0</v>
      </c>
      <c r="Y1662" s="787"/>
      <c r="Z1662" s="791"/>
      <c r="AA1662" s="787"/>
      <c r="AB1662" s="787"/>
      <c r="AC1662" s="550"/>
      <c r="AD1662" s="679"/>
      <c r="AE1662" s="679"/>
      <c r="AF1662" s="679"/>
      <c r="AG1662" s="679"/>
      <c r="AH1662" s="679"/>
      <c r="AI1662" s="682"/>
      <c r="AJ1662" s="682"/>
      <c r="AK1662" s="682"/>
      <c r="AL1662" s="682"/>
      <c r="AM1662" s="682"/>
      <c r="AN1662" s="682"/>
      <c r="AO1662" s="682"/>
      <c r="AP1662" s="682"/>
      <c r="AQ1662" s="682"/>
      <c r="AR1662" s="682"/>
      <c r="AS1662" s="682"/>
    </row>
    <row r="1663" spans="1:45" s="6" customFormat="1" ht="32.25" hidden="1" customHeight="1" x14ac:dyDescent="0.25">
      <c r="A1663" s="2002"/>
      <c r="B1663" s="396" t="s">
        <v>939</v>
      </c>
      <c r="C1663" s="186"/>
      <c r="D1663" s="866" t="s">
        <v>10</v>
      </c>
      <c r="E1663" s="1126">
        <v>44330</v>
      </c>
      <c r="F1663" s="71">
        <f t="shared" si="1031"/>
        <v>1956</v>
      </c>
      <c r="G1663" s="12">
        <v>0</v>
      </c>
      <c r="H1663" s="12"/>
      <c r="I1663" s="12"/>
      <c r="J1663" s="1368"/>
      <c r="K1663" s="64">
        <f>IFERROR(SUMIF(INTAKE!$A:$A,$T1663,INTAKE!$P:$P),0)</f>
        <v>0</v>
      </c>
      <c r="L1663" s="1533">
        <f t="shared" si="1022"/>
        <v>0</v>
      </c>
      <c r="M1663" s="101"/>
      <c r="N1663" s="249"/>
      <c r="O1663" s="101"/>
      <c r="P1663" s="750"/>
      <c r="Q1663" s="795"/>
      <c r="R1663" s="785">
        <f>IFERROR(VLOOKUP($Q1663,'391'!$S:$Z,8,0),"")</f>
        <v>0</v>
      </c>
      <c r="S1663" s="786"/>
      <c r="T1663" s="787" t="str">
        <f t="shared" si="1028"/>
        <v>Premix 21V44330</v>
      </c>
      <c r="U1663" s="787"/>
      <c r="V1663" s="787"/>
      <c r="W1663" s="785">
        <f>IFERROR(VLOOKUP($Q1663,'391'!$S:$AG,15,0),0)</f>
        <v>0</v>
      </c>
      <c r="X1663" s="1090">
        <f t="shared" si="1003"/>
        <v>0</v>
      </c>
      <c r="Y1663" s="787"/>
      <c r="Z1663" s="791"/>
      <c r="AA1663" s="787"/>
      <c r="AB1663" s="787"/>
      <c r="AC1663" s="679"/>
      <c r="AD1663" s="679"/>
      <c r="AE1663" s="679"/>
      <c r="AF1663" s="679"/>
      <c r="AG1663" s="679"/>
      <c r="AH1663" s="679"/>
      <c r="AI1663" s="682"/>
      <c r="AJ1663" s="682"/>
      <c r="AK1663" s="682"/>
      <c r="AL1663" s="682"/>
      <c r="AM1663" s="682"/>
      <c r="AN1663" s="682"/>
      <c r="AO1663" s="682"/>
      <c r="AP1663" s="682"/>
      <c r="AQ1663" s="682"/>
      <c r="AR1663" s="682"/>
      <c r="AS1663" s="682"/>
    </row>
    <row r="1664" spans="1:45" s="6" customFormat="1" ht="32.25" hidden="1" customHeight="1" x14ac:dyDescent="0.25">
      <c r="A1664" s="2002"/>
      <c r="B1664" s="396" t="s">
        <v>340</v>
      </c>
      <c r="C1664" s="186"/>
      <c r="D1664" s="866" t="s">
        <v>10</v>
      </c>
      <c r="E1664" s="1126">
        <v>42959</v>
      </c>
      <c r="F1664" s="71">
        <f t="shared" si="1031"/>
        <v>3327</v>
      </c>
      <c r="G1664" s="12">
        <v>0</v>
      </c>
      <c r="H1664" s="12"/>
      <c r="I1664" s="12"/>
      <c r="J1664" s="1368"/>
      <c r="K1664" s="64">
        <f>IFERROR(SUMIF(INTAKE!$A:$A,$T1664,INTAKE!$P:$P),0)</f>
        <v>0</v>
      </c>
      <c r="L1664" s="1533">
        <f t="shared" si="1022"/>
        <v>0</v>
      </c>
      <c r="M1664" s="101"/>
      <c r="N1664" s="249"/>
      <c r="O1664" s="101"/>
      <c r="P1664" s="750"/>
      <c r="Q1664" s="795"/>
      <c r="R1664" s="785">
        <f>IFERROR(VLOOKUP($Q1664,'391'!$S:$Z,8,0),"")</f>
        <v>0</v>
      </c>
      <c r="S1664" s="786"/>
      <c r="T1664" s="787" t="str">
        <f t="shared" si="1028"/>
        <v>Premix 21V42959</v>
      </c>
      <c r="U1664" s="787"/>
      <c r="V1664" s="787"/>
      <c r="W1664" s="785">
        <f>IFERROR(VLOOKUP($Q1664,'391'!$S:$AG,15,0),0)</f>
        <v>0</v>
      </c>
      <c r="X1664" s="1090">
        <f t="shared" si="1003"/>
        <v>0</v>
      </c>
      <c r="Y1664" s="787"/>
      <c r="Z1664" s="791"/>
      <c r="AA1664" s="787"/>
      <c r="AB1664" s="787"/>
      <c r="AC1664" s="679"/>
      <c r="AD1664" s="679"/>
      <c r="AE1664" s="679"/>
      <c r="AF1664" s="679"/>
      <c r="AG1664" s="679"/>
      <c r="AH1664" s="679"/>
      <c r="AI1664" s="682"/>
      <c r="AJ1664" s="682"/>
      <c r="AK1664" s="682"/>
      <c r="AL1664" s="682"/>
      <c r="AM1664" s="682"/>
      <c r="AN1664" s="682"/>
      <c r="AO1664" s="682"/>
      <c r="AP1664" s="682"/>
      <c r="AQ1664" s="682"/>
      <c r="AR1664" s="682"/>
      <c r="AS1664" s="682"/>
    </row>
    <row r="1665" spans="1:45" s="406" customFormat="1" ht="32.25" customHeight="1" x14ac:dyDescent="0.25">
      <c r="A1665" s="2011"/>
      <c r="B1665" s="1017" t="s">
        <v>1927</v>
      </c>
      <c r="C1665" s="849" t="s">
        <v>46</v>
      </c>
      <c r="D1665" s="884" t="s">
        <v>10</v>
      </c>
      <c r="E1665" s="1123">
        <v>46254</v>
      </c>
      <c r="F1665" s="71">
        <f t="shared" si="1031"/>
        <v>32</v>
      </c>
      <c r="G1665" s="56">
        <v>133.09999999999997</v>
      </c>
      <c r="H1665" s="37"/>
      <c r="I1665" s="37">
        <f>+SUM(K1659:K1664)</f>
        <v>0</v>
      </c>
      <c r="J1665" s="1385">
        <f>+usage!I227</f>
        <v>0</v>
      </c>
      <c r="K1665" s="64">
        <f>IFERROR(SUMIF(INTAKE!$A:$A,$T1665,INTAKE!$P:$P),0)</f>
        <v>0</v>
      </c>
      <c r="L1665" s="1533">
        <f t="shared" si="1022"/>
        <v>133.09999999999997</v>
      </c>
      <c r="M1665" s="40"/>
      <c r="N1665" s="84"/>
      <c r="O1665" s="40"/>
      <c r="P1665" s="756"/>
      <c r="Q1665" s="795"/>
      <c r="R1665" s="785">
        <f>IFERROR(VLOOKUP($Q1665,'391'!$S:$Z,8,0),"")</f>
        <v>0</v>
      </c>
      <c r="S1665" s="786"/>
      <c r="T1665" s="787" t="str">
        <f t="shared" si="1028"/>
        <v>Premix 21VFeedmill46254</v>
      </c>
      <c r="U1665" s="787"/>
      <c r="V1665" s="787"/>
      <c r="W1665" s="785">
        <f>IFERROR(VLOOKUP($Q1665,'391'!$S:$AG,15,0),0)</f>
        <v>0</v>
      </c>
      <c r="X1665" s="1090">
        <f t="shared" si="1003"/>
        <v>133.09999999999997</v>
      </c>
      <c r="Y1665" s="787"/>
      <c r="Z1665" s="791"/>
      <c r="AA1665" s="787"/>
      <c r="AB1665" s="787"/>
      <c r="AC1665" s="679"/>
      <c r="AD1665" s="679"/>
      <c r="AE1665" s="679"/>
      <c r="AF1665" s="679"/>
      <c r="AG1665" s="679"/>
      <c r="AH1665" s="679"/>
      <c r="AI1665" s="682"/>
      <c r="AJ1665" s="682"/>
      <c r="AK1665" s="682"/>
      <c r="AL1665" s="682"/>
      <c r="AM1665" s="682"/>
      <c r="AN1665" s="682"/>
      <c r="AO1665" s="682"/>
      <c r="AP1665" s="682"/>
      <c r="AQ1665" s="682"/>
      <c r="AR1665" s="682"/>
      <c r="AS1665" s="682"/>
    </row>
    <row r="1666" spans="1:45" s="420" customFormat="1" ht="30" customHeight="1" x14ac:dyDescent="0.25">
      <c r="A1666" s="2003" t="s">
        <v>57</v>
      </c>
      <c r="B1666" s="2004"/>
      <c r="C1666" s="1033"/>
      <c r="D1666" s="1034"/>
      <c r="E1666" s="1127"/>
      <c r="F1666" s="1034"/>
      <c r="G1666" s="1422">
        <v>643.09999999999991</v>
      </c>
      <c r="H1666" s="1422">
        <f t="shared" ref="H1666:I1666" si="1032">SUM(H1659:H1665)</f>
        <v>0</v>
      </c>
      <c r="I1666" s="1422">
        <f t="shared" si="1032"/>
        <v>0</v>
      </c>
      <c r="J1666" s="1422">
        <f t="shared" ref="J1666:L1666" si="1033">SUM(J1659:J1665)</f>
        <v>0</v>
      </c>
      <c r="K1666" s="1422">
        <f t="shared" si="1033"/>
        <v>0</v>
      </c>
      <c r="L1666" s="1422">
        <f t="shared" si="1033"/>
        <v>643.09999999999991</v>
      </c>
      <c r="M1666" s="889">
        <f>IFERROR(R1666/$S$2,"")</f>
        <v>15.923333333333334</v>
      </c>
      <c r="N1666" s="854">
        <f>(L1666/M1666)</f>
        <v>40.387272346661078</v>
      </c>
      <c r="O1666" s="889">
        <f>IFERROR(SUMIF(ETM!$A:$A,$Q1666,ETM!$E:$E),"")</f>
        <v>26.333333333333332</v>
      </c>
      <c r="P1666" s="880">
        <f>IFERROR(L1666/O1666,0)</f>
        <v>24.42151898734177</v>
      </c>
      <c r="Q1666" s="814" t="s">
        <v>628</v>
      </c>
      <c r="R1666" s="785">
        <f>IFERROR(VLOOKUP($Q1666,'391'!$S:$Z,8,0),"")</f>
        <v>95.54</v>
      </c>
      <c r="S1666" s="786"/>
      <c r="T1666" s="787"/>
      <c r="U1666" s="787"/>
      <c r="V1666" s="787"/>
      <c r="W1666" s="785">
        <f>IFERROR(VLOOKUP($Q1666,'391'!$S:$AG,15,0),0)</f>
        <v>643.1</v>
      </c>
      <c r="X1666" s="1090">
        <f t="shared" si="1003"/>
        <v>0</v>
      </c>
      <c r="Y1666" s="787"/>
      <c r="Z1666" s="791"/>
      <c r="AA1666" s="787"/>
      <c r="AB1666" s="787"/>
      <c r="AC1666" s="550"/>
      <c r="AD1666" s="550"/>
      <c r="AE1666" s="550"/>
      <c r="AF1666" s="550"/>
      <c r="AG1666" s="550"/>
      <c r="AH1666" s="550"/>
      <c r="AI1666" s="559"/>
      <c r="AJ1666" s="559"/>
      <c r="AK1666" s="559"/>
      <c r="AL1666" s="559"/>
      <c r="AM1666" s="559"/>
      <c r="AN1666" s="559"/>
      <c r="AO1666" s="559"/>
      <c r="AP1666" s="559"/>
      <c r="AQ1666" s="559"/>
      <c r="AR1666" s="559"/>
      <c r="AS1666" s="559"/>
    </row>
    <row r="1667" spans="1:45" s="6" customFormat="1" ht="30" hidden="1" customHeight="1" x14ac:dyDescent="0.25">
      <c r="A1667" s="2209">
        <f>IF(L1674=0,"",MAX($A$16:A1666)+1)</f>
        <v>118</v>
      </c>
      <c r="B1667" s="390" t="s">
        <v>1344</v>
      </c>
      <c r="C1667" s="186"/>
      <c r="D1667" s="866" t="s">
        <v>10</v>
      </c>
      <c r="E1667" s="1126">
        <v>45177</v>
      </c>
      <c r="F1667" s="71">
        <f t="shared" ref="F1667:F1673" si="1034">$L$7-E1667</f>
        <v>1109</v>
      </c>
      <c r="G1667" s="12">
        <v>0</v>
      </c>
      <c r="H1667" s="11"/>
      <c r="I1667" s="11"/>
      <c r="J1667" s="1388"/>
      <c r="K1667" s="64">
        <f>IFERROR(SUMIF(INTAKE!$A:$A,$T1667,INTAKE!$P:$P),0)</f>
        <v>0</v>
      </c>
      <c r="L1667" s="1533">
        <f t="shared" ref="L1667:L1673" si="1035">+G1667+H1667+I1667-J1667-K1667</f>
        <v>0</v>
      </c>
      <c r="M1667" s="101"/>
      <c r="N1667" s="249"/>
      <c r="O1667" s="101"/>
      <c r="P1667" s="857"/>
      <c r="Q1667" s="795"/>
      <c r="R1667" s="785">
        <f>IFERROR(VLOOKUP($Q1667,'391'!$S:$Z,8,0),"")</f>
        <v>0</v>
      </c>
      <c r="S1667" s="786"/>
      <c r="T1667" s="787" t="str">
        <f t="shared" ref="T1667:T1673" si="1036">$Q$1674&amp;C1667&amp;E1667</f>
        <v>Premix 25V45177</v>
      </c>
      <c r="U1667" s="787"/>
      <c r="V1667" s="787"/>
      <c r="W1667" s="785">
        <f>IFERROR(VLOOKUP($Q1667,'391'!$S:$AG,15,0),0)</f>
        <v>0</v>
      </c>
      <c r="X1667" s="1090">
        <f t="shared" si="1003"/>
        <v>0</v>
      </c>
      <c r="Y1667" s="787"/>
      <c r="Z1667" s="791"/>
      <c r="AA1667" s="787"/>
      <c r="AB1667" s="787"/>
      <c r="AC1667" s="679"/>
      <c r="AD1667" s="679"/>
      <c r="AE1667" s="679"/>
      <c r="AF1667" s="679"/>
      <c r="AG1667" s="679"/>
      <c r="AH1667" s="679"/>
      <c r="AI1667" s="682"/>
      <c r="AJ1667" s="682"/>
      <c r="AK1667" s="682"/>
      <c r="AL1667" s="682"/>
      <c r="AM1667" s="682"/>
      <c r="AN1667" s="682"/>
      <c r="AO1667" s="682"/>
      <c r="AP1667" s="682"/>
      <c r="AQ1667" s="682"/>
      <c r="AR1667" s="682"/>
      <c r="AS1667" s="682"/>
    </row>
    <row r="1668" spans="1:45" s="6" customFormat="1" ht="30" hidden="1" customHeight="1" x14ac:dyDescent="0.25">
      <c r="A1668" s="2000"/>
      <c r="B1668" s="390" t="s">
        <v>1501</v>
      </c>
      <c r="C1668" s="186"/>
      <c r="D1668" s="866" t="s">
        <v>10</v>
      </c>
      <c r="E1668" s="1126">
        <v>45562</v>
      </c>
      <c r="F1668" s="71">
        <f t="shared" si="1034"/>
        <v>724</v>
      </c>
      <c r="G1668" s="12">
        <v>0</v>
      </c>
      <c r="H1668" s="11"/>
      <c r="I1668" s="11"/>
      <c r="J1668" s="1388"/>
      <c r="K1668" s="64">
        <f>IFERROR(SUMIF(INTAKE!$A:$A,$T1668,INTAKE!$P:$P),0)</f>
        <v>0</v>
      </c>
      <c r="L1668" s="1702">
        <f t="shared" si="1035"/>
        <v>0</v>
      </c>
      <c r="M1668" s="101"/>
      <c r="N1668" s="249"/>
      <c r="O1668" s="101"/>
      <c r="P1668" s="857"/>
      <c r="Q1668" s="795"/>
      <c r="R1668" s="785">
        <f>IFERROR(VLOOKUP($Q1668,'391'!$S:$Z,8,0),"")</f>
        <v>0</v>
      </c>
      <c r="S1668" s="786"/>
      <c r="T1668" s="787" t="str">
        <f t="shared" si="1036"/>
        <v>Premix 25V45562</v>
      </c>
      <c r="U1668" s="787"/>
      <c r="V1668" s="787"/>
      <c r="W1668" s="785">
        <f>IFERROR(VLOOKUP($Q1668,'391'!$S:$AG,15,0),0)</f>
        <v>0</v>
      </c>
      <c r="X1668" s="1090">
        <f t="shared" si="1003"/>
        <v>0</v>
      </c>
      <c r="Y1668" s="787"/>
      <c r="Z1668" s="791"/>
      <c r="AA1668" s="787"/>
      <c r="AB1668" s="787"/>
      <c r="AC1668" s="679"/>
      <c r="AD1668" s="679"/>
      <c r="AE1668" s="679"/>
      <c r="AF1668" s="679"/>
      <c r="AG1668" s="679"/>
      <c r="AH1668" s="679"/>
      <c r="AI1668" s="682"/>
      <c r="AJ1668" s="682"/>
      <c r="AK1668" s="682"/>
      <c r="AL1668" s="682"/>
      <c r="AM1668" s="682"/>
      <c r="AN1668" s="682"/>
      <c r="AO1668" s="682"/>
      <c r="AP1668" s="682"/>
      <c r="AQ1668" s="682"/>
      <c r="AR1668" s="682"/>
      <c r="AS1668" s="682"/>
    </row>
    <row r="1669" spans="1:45" s="6" customFormat="1" ht="30" customHeight="1" x14ac:dyDescent="0.25">
      <c r="A1669" s="2000"/>
      <c r="B1669" s="390" t="s">
        <v>1916</v>
      </c>
      <c r="C1669" s="186" t="s">
        <v>1863</v>
      </c>
      <c r="D1669" s="866" t="s">
        <v>10</v>
      </c>
      <c r="E1669" s="1126">
        <v>46247</v>
      </c>
      <c r="F1669" s="71">
        <f t="shared" si="1034"/>
        <v>39</v>
      </c>
      <c r="G1669" s="12">
        <v>0</v>
      </c>
      <c r="H1669" s="56"/>
      <c r="I1669" s="12"/>
      <c r="J1669" s="1369"/>
      <c r="K1669" s="64">
        <f>IFERROR(SUMIF(INTAKE!$A:$A,$T1669,INTAKE!$P:$P),0)</f>
        <v>0</v>
      </c>
      <c r="L1669" s="1702">
        <f t="shared" si="1035"/>
        <v>0</v>
      </c>
      <c r="M1669" s="147"/>
      <c r="N1669" s="248"/>
      <c r="O1669" s="147"/>
      <c r="P1669" s="748"/>
      <c r="Q1669" s="795"/>
      <c r="R1669" s="785">
        <f>IFERROR(VLOOKUP($Q1669,'391'!$S:$Z,8,0),"")</f>
        <v>0</v>
      </c>
      <c r="S1669" s="786"/>
      <c r="T1669" s="787" t="str">
        <f t="shared" si="1036"/>
        <v>Premix 25VX8.146247</v>
      </c>
      <c r="U1669" s="787"/>
      <c r="V1669" s="787"/>
      <c r="W1669" s="785">
        <f>IFERROR(VLOOKUP($Q1669,'391'!$S:$AG,15,0),0)</f>
        <v>0</v>
      </c>
      <c r="X1669" s="1090">
        <f t="shared" si="1003"/>
        <v>0</v>
      </c>
      <c r="Y1669" s="787"/>
      <c r="Z1669" s="791"/>
      <c r="AA1669" s="787"/>
      <c r="AB1669" s="787"/>
      <c r="AC1669" s="679"/>
      <c r="AD1669" s="679"/>
      <c r="AE1669" s="679"/>
      <c r="AF1669" s="679"/>
      <c r="AG1669" s="679"/>
      <c r="AH1669" s="679"/>
      <c r="AI1669" s="682"/>
      <c r="AJ1669" s="682"/>
      <c r="AK1669" s="682"/>
      <c r="AL1669" s="682"/>
      <c r="AM1669" s="682"/>
      <c r="AN1669" s="682"/>
      <c r="AO1669" s="682"/>
      <c r="AP1669" s="682"/>
      <c r="AQ1669" s="682"/>
      <c r="AR1669" s="682"/>
      <c r="AS1669" s="682"/>
    </row>
    <row r="1670" spans="1:45" s="6" customFormat="1" ht="30" customHeight="1" x14ac:dyDescent="0.25">
      <c r="A1670" s="2000"/>
      <c r="B1670" s="390" t="s">
        <v>1928</v>
      </c>
      <c r="C1670" s="186" t="s">
        <v>1863</v>
      </c>
      <c r="D1670" s="866" t="s">
        <v>10</v>
      </c>
      <c r="E1670" s="1126">
        <v>46254</v>
      </c>
      <c r="F1670" s="71">
        <f t="shared" ref="F1670" si="1037">$L$7-E1670</f>
        <v>32</v>
      </c>
      <c r="G1670" s="12">
        <v>60</v>
      </c>
      <c r="H1670" s="56"/>
      <c r="I1670" s="12"/>
      <c r="J1670" s="1369"/>
      <c r="K1670" s="64">
        <f>IFERROR(SUMIF(INTAKE!$A:$A,$T1670,INTAKE!$P:$P),0)</f>
        <v>60</v>
      </c>
      <c r="L1670" s="1702">
        <f t="shared" si="1035"/>
        <v>0</v>
      </c>
      <c r="M1670" s="101"/>
      <c r="N1670" s="249"/>
      <c r="O1670" s="101"/>
      <c r="P1670" s="750"/>
      <c r="Q1670" s="795"/>
      <c r="R1670" s="785">
        <f>IFERROR(VLOOKUP($Q1670,'391'!$S:$Z,8,0),"")</f>
        <v>0</v>
      </c>
      <c r="S1670" s="786"/>
      <c r="T1670" s="787" t="str">
        <f t="shared" si="1036"/>
        <v>Premix 25VX8.146254</v>
      </c>
      <c r="U1670" s="787"/>
      <c r="V1670" s="787"/>
      <c r="W1670" s="785">
        <f>IFERROR(VLOOKUP($Q1670,'391'!$S:$AG,15,0),0)</f>
        <v>0</v>
      </c>
      <c r="X1670" s="1090">
        <f t="shared" si="1003"/>
        <v>60</v>
      </c>
      <c r="Y1670" s="787"/>
      <c r="Z1670" s="791"/>
      <c r="AA1670" s="787"/>
      <c r="AB1670" s="787"/>
      <c r="AC1670" s="679"/>
      <c r="AD1670" s="679"/>
      <c r="AE1670" s="679"/>
      <c r="AF1670" s="679"/>
      <c r="AG1670" s="679"/>
      <c r="AH1670" s="679"/>
      <c r="AI1670" s="682"/>
      <c r="AJ1670" s="682"/>
      <c r="AK1670" s="682"/>
      <c r="AL1670" s="682"/>
      <c r="AM1670" s="682"/>
      <c r="AN1670" s="682"/>
      <c r="AO1670" s="682"/>
      <c r="AP1670" s="682"/>
      <c r="AQ1670" s="682"/>
      <c r="AR1670" s="682"/>
      <c r="AS1670" s="682"/>
    </row>
    <row r="1671" spans="1:45" s="6" customFormat="1" ht="30" customHeight="1" x14ac:dyDescent="0.25">
      <c r="A1671" s="2000"/>
      <c r="B1671" s="390" t="s">
        <v>2201</v>
      </c>
      <c r="C1671" s="186" t="s">
        <v>1863</v>
      </c>
      <c r="D1671" s="866" t="s">
        <v>10</v>
      </c>
      <c r="E1671" s="1126">
        <v>46275</v>
      </c>
      <c r="F1671" s="71">
        <f t="shared" ref="F1671" si="1038">$L$7-E1671</f>
        <v>11</v>
      </c>
      <c r="G1671" s="12">
        <v>30</v>
      </c>
      <c r="H1671" s="56"/>
      <c r="I1671" s="12"/>
      <c r="J1671" s="1369"/>
      <c r="K1671" s="64">
        <f>IFERROR(SUMIF(INTAKE!$A:$A,$T1671,INTAKE!$P:$P),0)</f>
        <v>0</v>
      </c>
      <c r="L1671" s="1702">
        <f t="shared" si="1035"/>
        <v>30</v>
      </c>
      <c r="M1671" s="101"/>
      <c r="N1671" s="249"/>
      <c r="O1671" s="101"/>
      <c r="P1671" s="750"/>
      <c r="Q1671" s="795"/>
      <c r="R1671" s="785">
        <f>IFERROR(VLOOKUP($Q1671,'391'!$S:$Z,8,0),"")</f>
        <v>0</v>
      </c>
      <c r="S1671" s="786"/>
      <c r="T1671" s="787" t="str">
        <f t="shared" si="1036"/>
        <v>Premix 25VX8.146275</v>
      </c>
      <c r="U1671" s="787"/>
      <c r="V1671" s="787"/>
      <c r="W1671" s="785">
        <f>IFERROR(VLOOKUP($Q1671,'391'!$S:$AG,15,0),0)</f>
        <v>0</v>
      </c>
      <c r="X1671" s="1090">
        <f t="shared" si="1003"/>
        <v>30</v>
      </c>
      <c r="Y1671" s="787"/>
      <c r="Z1671" s="791"/>
      <c r="AA1671" s="787"/>
      <c r="AB1671" s="787"/>
      <c r="AC1671" s="679"/>
      <c r="AD1671" s="679"/>
      <c r="AE1671" s="679"/>
      <c r="AF1671" s="679"/>
      <c r="AG1671" s="679"/>
      <c r="AH1671" s="679"/>
      <c r="AI1671" s="682"/>
      <c r="AJ1671" s="682"/>
      <c r="AK1671" s="682"/>
      <c r="AL1671" s="682"/>
      <c r="AM1671" s="682"/>
      <c r="AN1671" s="682"/>
      <c r="AO1671" s="682"/>
      <c r="AP1671" s="682"/>
      <c r="AQ1671" s="682"/>
      <c r="AR1671" s="682"/>
      <c r="AS1671" s="682"/>
    </row>
    <row r="1672" spans="1:45" s="6" customFormat="1" ht="30" customHeight="1" x14ac:dyDescent="0.25">
      <c r="A1672" s="2000"/>
      <c r="B1672" s="390" t="s">
        <v>2236</v>
      </c>
      <c r="C1672" s="186" t="s">
        <v>1863</v>
      </c>
      <c r="D1672" s="866" t="s">
        <v>10</v>
      </c>
      <c r="E1672" s="1126">
        <v>46283</v>
      </c>
      <c r="F1672" s="71">
        <f t="shared" si="1034"/>
        <v>3</v>
      </c>
      <c r="G1672" s="12">
        <v>30</v>
      </c>
      <c r="H1672" s="56"/>
      <c r="I1672" s="12"/>
      <c r="J1672" s="1369"/>
      <c r="K1672" s="64">
        <f>IFERROR(SUMIF(INTAKE!$A:$A,$T1672,INTAKE!$P:$P),0)</f>
        <v>0</v>
      </c>
      <c r="L1672" s="1702">
        <f t="shared" si="1035"/>
        <v>30</v>
      </c>
      <c r="M1672" s="101"/>
      <c r="N1672" s="249"/>
      <c r="O1672" s="101"/>
      <c r="P1672" s="750"/>
      <c r="Q1672" s="795"/>
      <c r="R1672" s="785">
        <f>IFERROR(VLOOKUP($Q1672,'391'!$S:$Z,8,0),"")</f>
        <v>0</v>
      </c>
      <c r="S1672" s="786"/>
      <c r="T1672" s="787" t="str">
        <f t="shared" si="1036"/>
        <v>Premix 25VX8.146283</v>
      </c>
      <c r="U1672" s="787"/>
      <c r="V1672" s="787"/>
      <c r="W1672" s="785">
        <f>IFERROR(VLOOKUP($Q1672,'391'!$S:$AG,15,0),0)</f>
        <v>0</v>
      </c>
      <c r="X1672" s="1090">
        <f t="shared" si="1003"/>
        <v>30</v>
      </c>
      <c r="Y1672" s="787"/>
      <c r="Z1672" s="791"/>
      <c r="AA1672" s="787"/>
      <c r="AB1672" s="787"/>
      <c r="AC1672" s="679"/>
      <c r="AD1672" s="679"/>
      <c r="AE1672" s="679"/>
      <c r="AF1672" s="679"/>
      <c r="AG1672" s="679"/>
      <c r="AH1672" s="679"/>
      <c r="AI1672" s="682"/>
      <c r="AJ1672" s="682"/>
      <c r="AK1672" s="682"/>
      <c r="AL1672" s="682"/>
      <c r="AM1672" s="682"/>
      <c r="AN1672" s="682"/>
      <c r="AO1672" s="682"/>
      <c r="AP1672" s="682"/>
      <c r="AQ1672" s="682"/>
      <c r="AR1672" s="682"/>
      <c r="AS1672" s="682"/>
    </row>
    <row r="1673" spans="1:45" s="406" customFormat="1" ht="30" customHeight="1" x14ac:dyDescent="0.25">
      <c r="A1673" s="2210"/>
      <c r="B1673" s="1016" t="s">
        <v>1928</v>
      </c>
      <c r="C1673" s="144" t="s">
        <v>46</v>
      </c>
      <c r="D1673" s="884" t="s">
        <v>10</v>
      </c>
      <c r="E1673" s="1123">
        <v>46254</v>
      </c>
      <c r="F1673" s="71">
        <f t="shared" si="1034"/>
        <v>32</v>
      </c>
      <c r="G1673" s="37">
        <v>28.659999999999904</v>
      </c>
      <c r="H1673" s="37"/>
      <c r="I1673" s="37">
        <f>+SUM(K1667:K1672)</f>
        <v>60</v>
      </c>
      <c r="J1673" s="1385">
        <f>+usage!I228</f>
        <v>16.62</v>
      </c>
      <c r="K1673" s="64">
        <f>IFERROR(SUMIF(INTAKE!$A:$A,$T1673,INTAKE!$P:$P),0)</f>
        <v>0</v>
      </c>
      <c r="L1673" s="1533">
        <f t="shared" si="1035"/>
        <v>72.039999999999907</v>
      </c>
      <c r="M1673" s="40"/>
      <c r="N1673" s="84"/>
      <c r="O1673" s="40"/>
      <c r="P1673" s="756"/>
      <c r="Q1673" s="795"/>
      <c r="R1673" s="785">
        <f>IFERROR(VLOOKUP($Q1673,'391'!$S:$Z,8,0),"")</f>
        <v>0</v>
      </c>
      <c r="S1673" s="786"/>
      <c r="T1673" s="787" t="str">
        <f t="shared" si="1036"/>
        <v>Premix 25VFeedmill46254</v>
      </c>
      <c r="U1673" s="787"/>
      <c r="V1673" s="787"/>
      <c r="W1673" s="785">
        <f>IFERROR(VLOOKUP($Q1673,'391'!$S:$AG,15,0),0)</f>
        <v>0</v>
      </c>
      <c r="X1673" s="1090">
        <f t="shared" si="1003"/>
        <v>28.659999999999904</v>
      </c>
      <c r="Y1673" s="787"/>
      <c r="Z1673" s="791"/>
      <c r="AA1673" s="787"/>
      <c r="AB1673" s="787"/>
      <c r="AC1673" s="679"/>
      <c r="AD1673" s="679"/>
      <c r="AE1673" s="679"/>
      <c r="AF1673" s="679"/>
      <c r="AG1673" s="679"/>
      <c r="AH1673" s="679"/>
      <c r="AI1673" s="682"/>
      <c r="AJ1673" s="682"/>
      <c r="AK1673" s="682"/>
      <c r="AL1673" s="682"/>
      <c r="AM1673" s="682"/>
      <c r="AN1673" s="682"/>
      <c r="AO1673" s="682"/>
      <c r="AP1673" s="682"/>
      <c r="AQ1673" s="682"/>
      <c r="AR1673" s="682"/>
      <c r="AS1673" s="682"/>
    </row>
    <row r="1674" spans="1:45" s="420" customFormat="1" ht="30" customHeight="1" x14ac:dyDescent="0.25">
      <c r="A1674" s="2003" t="s">
        <v>74</v>
      </c>
      <c r="B1674" s="2004"/>
      <c r="C1674" s="1033"/>
      <c r="D1674" s="1034"/>
      <c r="E1674" s="1127"/>
      <c r="F1674" s="1034"/>
      <c r="G1674" s="1422">
        <v>148.65999999999991</v>
      </c>
      <c r="H1674" s="1422">
        <f t="shared" ref="H1674:I1674" si="1039">SUM(H1667:H1673)</f>
        <v>0</v>
      </c>
      <c r="I1674" s="1422">
        <f t="shared" si="1039"/>
        <v>60</v>
      </c>
      <c r="J1674" s="1422">
        <f t="shared" ref="J1674:L1674" si="1040">SUM(J1667:J1673)</f>
        <v>16.62</v>
      </c>
      <c r="K1674" s="1422">
        <f t="shared" si="1040"/>
        <v>60</v>
      </c>
      <c r="L1674" s="1422">
        <f t="shared" si="1040"/>
        <v>132.03999999999991</v>
      </c>
      <c r="M1674" s="889">
        <f>IFERROR(R1674/$S$2,"")</f>
        <v>16.61</v>
      </c>
      <c r="N1674" s="854">
        <f>IFERROR(L1674/M1674,0)</f>
        <v>7.9494280553883145</v>
      </c>
      <c r="O1674" s="889">
        <f>IFERROR(SUMIF(ETM!$A:$A,$Q1674,ETM!$E:$E),"")</f>
        <v>10.166666666666666</v>
      </c>
      <c r="P1674" s="880">
        <f>IFERROR(L1674/O1674,0)</f>
        <v>12.987540983606548</v>
      </c>
      <c r="Q1674" s="814" t="s">
        <v>641</v>
      </c>
      <c r="R1674" s="785">
        <f>IFERROR(VLOOKUP($Q1674,'391'!$S:$Z,8,0),"")</f>
        <v>99.66</v>
      </c>
      <c r="S1674" s="786"/>
      <c r="T1674" s="787"/>
      <c r="U1674" s="787"/>
      <c r="V1674" s="787"/>
      <c r="W1674" s="785">
        <f>IFERROR(VLOOKUP($Q1674,'391'!$S:$AG,15,0),0)</f>
        <v>148.66</v>
      </c>
      <c r="X1674" s="1090">
        <f t="shared" ref="X1674:X1733" si="1041">G1674-W1674</f>
        <v>0</v>
      </c>
      <c r="Y1674" s="787"/>
      <c r="Z1674" s="791"/>
      <c r="AA1674" s="787"/>
      <c r="AB1674" s="787"/>
      <c r="AC1674" s="550"/>
      <c r="AD1674" s="550"/>
      <c r="AE1674" s="550"/>
      <c r="AF1674" s="550"/>
      <c r="AG1674" s="550"/>
      <c r="AH1674" s="550"/>
      <c r="AI1674" s="559"/>
      <c r="AJ1674" s="559"/>
      <c r="AK1674" s="559"/>
      <c r="AL1674" s="559"/>
      <c r="AM1674" s="559"/>
      <c r="AN1674" s="559"/>
      <c r="AO1674" s="559"/>
      <c r="AP1674" s="559"/>
      <c r="AQ1674" s="559"/>
      <c r="AR1674" s="559"/>
      <c r="AS1674" s="559"/>
    </row>
    <row r="1675" spans="1:45" s="6" customFormat="1" ht="30" hidden="1" customHeight="1" x14ac:dyDescent="0.25">
      <c r="A1675" s="2005" t="str">
        <f>IF(L1682=0,"",MAX($A$16:A1674)+1)</f>
        <v/>
      </c>
      <c r="B1675" s="392" t="s">
        <v>956</v>
      </c>
      <c r="C1675" s="249" t="s">
        <v>226</v>
      </c>
      <c r="D1675" s="866" t="s">
        <v>10</v>
      </c>
      <c r="E1675" s="1128">
        <v>44379</v>
      </c>
      <c r="F1675" s="71">
        <f t="shared" ref="F1675:F1681" si="1042">$L$7-E1675</f>
        <v>1907</v>
      </c>
      <c r="G1675" s="11">
        <v>0</v>
      </c>
      <c r="H1675" s="11"/>
      <c r="I1675" s="11"/>
      <c r="J1675" s="1388"/>
      <c r="K1675" s="64">
        <f>IFERROR(SUMIF(INTAKE!$A:$A,$T1675,INTAKE!$P:$P),0)</f>
        <v>0</v>
      </c>
      <c r="L1675" s="1533">
        <f t="shared" ref="L1675:L1690" si="1043">+G1675+H1675+I1675-J1675-K1675</f>
        <v>0</v>
      </c>
      <c r="M1675" s="147"/>
      <c r="N1675" s="248"/>
      <c r="O1675" s="147"/>
      <c r="P1675" s="748"/>
      <c r="Q1675" s="795"/>
      <c r="R1675" s="785">
        <f>IFERROR(VLOOKUP($Q1675,'391'!$S:$Z,8,0),"")</f>
        <v>0</v>
      </c>
      <c r="S1675" s="786"/>
      <c r="T1675" s="787" t="str">
        <f t="shared" ref="T1675:T1681" si="1044">$Q$1682&amp;C1675&amp;E1675</f>
        <v>Premix 31VX4.144379</v>
      </c>
      <c r="U1675" s="787"/>
      <c r="V1675" s="787"/>
      <c r="W1675" s="785">
        <f>IFERROR(VLOOKUP($Q1675,'391'!$S:$AG,15,0),0)</f>
        <v>0</v>
      </c>
      <c r="X1675" s="1090">
        <f t="shared" si="1041"/>
        <v>0</v>
      </c>
      <c r="Y1675" s="787"/>
      <c r="Z1675" s="791"/>
      <c r="AA1675" s="787"/>
      <c r="AB1675" s="787"/>
      <c r="AC1675" s="679"/>
      <c r="AD1675" s="679"/>
      <c r="AE1675" s="679"/>
      <c r="AF1675" s="679"/>
      <c r="AG1675" s="679"/>
      <c r="AH1675" s="679"/>
      <c r="AI1675" s="682"/>
      <c r="AJ1675" s="682"/>
      <c r="AK1675" s="682"/>
      <c r="AL1675" s="682"/>
      <c r="AM1675" s="682"/>
      <c r="AN1675" s="682"/>
      <c r="AO1675" s="682"/>
      <c r="AP1675" s="682"/>
      <c r="AQ1675" s="682"/>
      <c r="AR1675" s="682"/>
      <c r="AS1675" s="682"/>
    </row>
    <row r="1676" spans="1:45" s="6" customFormat="1" ht="30" hidden="1" customHeight="1" x14ac:dyDescent="0.25">
      <c r="A1676" s="2006"/>
      <c r="B1676" s="392" t="s">
        <v>558</v>
      </c>
      <c r="C1676" s="249"/>
      <c r="D1676" s="866" t="s">
        <v>10</v>
      </c>
      <c r="E1676" s="1124">
        <v>43950</v>
      </c>
      <c r="F1676" s="71">
        <f t="shared" si="1042"/>
        <v>2336</v>
      </c>
      <c r="G1676" s="11">
        <v>0</v>
      </c>
      <c r="H1676" s="11"/>
      <c r="I1676" s="11"/>
      <c r="J1676" s="1388"/>
      <c r="K1676" s="64">
        <f>IFERROR(SUMIF(INTAKE!$A:$A,$T1676,INTAKE!$P:$P),0)</f>
        <v>0</v>
      </c>
      <c r="L1676" s="1533">
        <f t="shared" si="1043"/>
        <v>0</v>
      </c>
      <c r="M1676" s="101"/>
      <c r="N1676" s="249"/>
      <c r="O1676" s="101"/>
      <c r="P1676" s="750"/>
      <c r="Q1676" s="795"/>
      <c r="R1676" s="785">
        <f>IFERROR(VLOOKUP($Q1676,'391'!$S:$Z,8,0),"")</f>
        <v>0</v>
      </c>
      <c r="S1676" s="786"/>
      <c r="T1676" s="787" t="str">
        <f t="shared" si="1044"/>
        <v>Premix 31V43950</v>
      </c>
      <c r="U1676" s="787"/>
      <c r="V1676" s="787"/>
      <c r="W1676" s="785">
        <f>IFERROR(VLOOKUP($Q1676,'391'!$S:$AG,15,0),0)</f>
        <v>0</v>
      </c>
      <c r="X1676" s="1090">
        <f t="shared" si="1041"/>
        <v>0</v>
      </c>
      <c r="Y1676" s="787"/>
      <c r="Z1676" s="791"/>
      <c r="AA1676" s="787"/>
      <c r="AB1676" s="787"/>
      <c r="AC1676" s="679"/>
      <c r="AD1676" s="679"/>
      <c r="AE1676" s="679"/>
      <c r="AF1676" s="679"/>
      <c r="AG1676" s="679"/>
      <c r="AH1676" s="679"/>
      <c r="AI1676" s="682"/>
      <c r="AJ1676" s="682"/>
      <c r="AK1676" s="682"/>
      <c r="AL1676" s="682"/>
      <c r="AM1676" s="682"/>
      <c r="AN1676" s="682"/>
      <c r="AO1676" s="682"/>
      <c r="AP1676" s="682"/>
      <c r="AQ1676" s="682"/>
      <c r="AR1676" s="682"/>
      <c r="AS1676" s="682"/>
    </row>
    <row r="1677" spans="1:45" s="6" customFormat="1" ht="30" hidden="1" customHeight="1" x14ac:dyDescent="0.25">
      <c r="A1677" s="2006"/>
      <c r="B1677" s="392" t="s">
        <v>554</v>
      </c>
      <c r="C1677" s="249"/>
      <c r="D1677" s="866" t="s">
        <v>10</v>
      </c>
      <c r="E1677" s="1124">
        <v>43931</v>
      </c>
      <c r="F1677" s="71">
        <f t="shared" si="1042"/>
        <v>2355</v>
      </c>
      <c r="G1677" s="11">
        <v>0</v>
      </c>
      <c r="H1677" s="11"/>
      <c r="I1677" s="11"/>
      <c r="J1677" s="1388"/>
      <c r="K1677" s="64">
        <f>IFERROR(SUMIF(INTAKE!$A:$A,$T1677,INTAKE!$P:$P),0)</f>
        <v>0</v>
      </c>
      <c r="L1677" s="1533">
        <f t="shared" si="1043"/>
        <v>0</v>
      </c>
      <c r="M1677" s="101"/>
      <c r="N1677" s="249"/>
      <c r="O1677" s="101"/>
      <c r="P1677" s="750"/>
      <c r="Q1677" s="795"/>
      <c r="R1677" s="785">
        <f>IFERROR(VLOOKUP($Q1677,'391'!$S:$Z,8,0),"")</f>
        <v>0</v>
      </c>
      <c r="S1677" s="786"/>
      <c r="T1677" s="787" t="str">
        <f t="shared" si="1044"/>
        <v>Premix 31V43931</v>
      </c>
      <c r="U1677" s="787"/>
      <c r="V1677" s="787"/>
      <c r="W1677" s="785">
        <f>IFERROR(VLOOKUP($Q1677,'391'!$S:$AG,15,0),0)</f>
        <v>0</v>
      </c>
      <c r="X1677" s="1090">
        <f t="shared" si="1041"/>
        <v>0</v>
      </c>
      <c r="Y1677" s="787"/>
      <c r="Z1677" s="791"/>
      <c r="AA1677" s="787"/>
      <c r="AB1677" s="787"/>
      <c r="AC1677" s="679"/>
      <c r="AD1677" s="679"/>
      <c r="AE1677" s="679"/>
      <c r="AF1677" s="679"/>
      <c r="AG1677" s="679"/>
      <c r="AH1677" s="679"/>
      <c r="AI1677" s="682"/>
      <c r="AJ1677" s="682"/>
      <c r="AK1677" s="682"/>
      <c r="AL1677" s="682"/>
      <c r="AM1677" s="682"/>
      <c r="AN1677" s="682"/>
      <c r="AO1677" s="682"/>
      <c r="AP1677" s="682"/>
      <c r="AQ1677" s="682"/>
      <c r="AR1677" s="682"/>
      <c r="AS1677" s="682"/>
    </row>
    <row r="1678" spans="1:45" s="6" customFormat="1" ht="30" hidden="1" customHeight="1" x14ac:dyDescent="0.25">
      <c r="A1678" s="2006"/>
      <c r="B1678" s="392" t="s">
        <v>338</v>
      </c>
      <c r="C1678" s="249"/>
      <c r="D1678" s="866" t="s">
        <v>10</v>
      </c>
      <c r="E1678" s="1124">
        <v>42942</v>
      </c>
      <c r="F1678" s="71">
        <f t="shared" si="1042"/>
        <v>3344</v>
      </c>
      <c r="G1678" s="11">
        <v>0</v>
      </c>
      <c r="H1678" s="11"/>
      <c r="I1678" s="11"/>
      <c r="J1678" s="1388"/>
      <c r="K1678" s="64">
        <f>IFERROR(SUMIF(INTAKE!$A:$A,$T1678,INTAKE!$P:$P),0)</f>
        <v>0</v>
      </c>
      <c r="L1678" s="1533">
        <f t="shared" si="1043"/>
        <v>0</v>
      </c>
      <c r="M1678" s="101"/>
      <c r="N1678" s="249"/>
      <c r="O1678" s="101"/>
      <c r="P1678" s="750"/>
      <c r="Q1678" s="795"/>
      <c r="R1678" s="785">
        <f>IFERROR(VLOOKUP($Q1678,'391'!$S:$Z,8,0),"")</f>
        <v>0</v>
      </c>
      <c r="S1678" s="786"/>
      <c r="T1678" s="787" t="str">
        <f t="shared" si="1044"/>
        <v>Premix 31V42942</v>
      </c>
      <c r="U1678" s="787"/>
      <c r="V1678" s="787"/>
      <c r="W1678" s="785">
        <f>IFERROR(VLOOKUP($Q1678,'391'!$S:$AG,15,0),0)</f>
        <v>0</v>
      </c>
      <c r="X1678" s="1090">
        <f t="shared" si="1041"/>
        <v>0</v>
      </c>
      <c r="Y1678" s="787"/>
      <c r="Z1678" s="791"/>
      <c r="AA1678" s="787"/>
      <c r="AB1678" s="787"/>
      <c r="AC1678" s="679"/>
      <c r="AD1678" s="679"/>
      <c r="AE1678" s="679"/>
      <c r="AF1678" s="679"/>
      <c r="AG1678" s="679"/>
      <c r="AH1678" s="679"/>
      <c r="AI1678" s="682"/>
      <c r="AJ1678" s="682"/>
      <c r="AK1678" s="682"/>
      <c r="AL1678" s="682"/>
      <c r="AM1678" s="682"/>
      <c r="AN1678" s="682"/>
      <c r="AO1678" s="682"/>
      <c r="AP1678" s="682"/>
      <c r="AQ1678" s="682"/>
      <c r="AR1678" s="682"/>
      <c r="AS1678" s="682"/>
    </row>
    <row r="1679" spans="1:45" s="6" customFormat="1" ht="30" hidden="1" customHeight="1" x14ac:dyDescent="0.25">
      <c r="A1679" s="2006"/>
      <c r="B1679" s="392" t="s">
        <v>341</v>
      </c>
      <c r="C1679" s="249"/>
      <c r="D1679" s="866" t="s">
        <v>10</v>
      </c>
      <c r="E1679" s="1124">
        <v>42943</v>
      </c>
      <c r="F1679" s="71">
        <f t="shared" si="1042"/>
        <v>3343</v>
      </c>
      <c r="G1679" s="11">
        <v>0</v>
      </c>
      <c r="H1679" s="11"/>
      <c r="I1679" s="11"/>
      <c r="J1679" s="1388"/>
      <c r="K1679" s="64">
        <f>IFERROR(SUMIF(INTAKE!$A:$A,$T1679,INTAKE!$P:$P),0)</f>
        <v>0</v>
      </c>
      <c r="L1679" s="1533">
        <f t="shared" si="1043"/>
        <v>0</v>
      </c>
      <c r="M1679" s="101"/>
      <c r="N1679" s="920"/>
      <c r="O1679" s="1451"/>
      <c r="P1679" s="1477"/>
      <c r="Q1679" s="795"/>
      <c r="R1679" s="785">
        <f>IFERROR(VLOOKUP($Q1679,'391'!$S:$Z,8,0),"")</f>
        <v>0</v>
      </c>
      <c r="S1679" s="786"/>
      <c r="T1679" s="787" t="str">
        <f t="shared" si="1044"/>
        <v>Premix 31V42943</v>
      </c>
      <c r="U1679" s="787"/>
      <c r="V1679" s="787"/>
      <c r="W1679" s="785">
        <f>IFERROR(VLOOKUP($Q1679,'391'!$S:$AG,15,0),0)</f>
        <v>0</v>
      </c>
      <c r="X1679" s="1090">
        <f t="shared" si="1041"/>
        <v>0</v>
      </c>
      <c r="Y1679" s="787"/>
      <c r="Z1679" s="791"/>
      <c r="AA1679" s="787"/>
      <c r="AB1679" s="787"/>
      <c r="AC1679" s="679"/>
      <c r="AD1679" s="679"/>
      <c r="AE1679" s="679"/>
      <c r="AF1679" s="679"/>
      <c r="AG1679" s="679"/>
      <c r="AH1679" s="679"/>
      <c r="AI1679" s="682"/>
      <c r="AJ1679" s="682"/>
      <c r="AK1679" s="682"/>
      <c r="AL1679" s="682"/>
      <c r="AM1679" s="682"/>
      <c r="AN1679" s="682"/>
      <c r="AO1679" s="682"/>
      <c r="AP1679" s="682"/>
      <c r="AQ1679" s="682"/>
      <c r="AR1679" s="682"/>
      <c r="AS1679" s="682"/>
    </row>
    <row r="1680" spans="1:45" s="6" customFormat="1" ht="30" hidden="1" customHeight="1" x14ac:dyDescent="0.25">
      <c r="A1680" s="2006"/>
      <c r="B1680" s="392" t="s">
        <v>338</v>
      </c>
      <c r="C1680" s="187"/>
      <c r="D1680" s="866" t="s">
        <v>10</v>
      </c>
      <c r="E1680" s="1129"/>
      <c r="F1680" s="71">
        <f t="shared" si="1042"/>
        <v>46286</v>
      </c>
      <c r="G1680" s="974">
        <v>0</v>
      </c>
      <c r="H1680" s="11"/>
      <c r="I1680" s="58"/>
      <c r="J1680" s="58"/>
      <c r="K1680" s="64">
        <f>IFERROR(SUMIF(INTAKE!$A:$A,$T1680,INTAKE!$P:$P),0)</f>
        <v>0</v>
      </c>
      <c r="L1680" s="1533">
        <f t="shared" si="1043"/>
        <v>0</v>
      </c>
      <c r="M1680" s="101"/>
      <c r="N1680" s="920"/>
      <c r="O1680" s="1451"/>
      <c r="P1680" s="1477"/>
      <c r="Q1680" s="795"/>
      <c r="R1680" s="785">
        <f>IFERROR(VLOOKUP($Q1680,'391'!$S:$Z,8,0),"")</f>
        <v>0</v>
      </c>
      <c r="S1680" s="786"/>
      <c r="T1680" s="787" t="str">
        <f t="shared" si="1044"/>
        <v>Premix 31V</v>
      </c>
      <c r="U1680" s="787"/>
      <c r="V1680" s="787"/>
      <c r="W1680" s="785">
        <f>IFERROR(VLOOKUP($Q1680,'391'!$S:$AG,15,0),0)</f>
        <v>0</v>
      </c>
      <c r="X1680" s="1090">
        <f t="shared" si="1041"/>
        <v>0</v>
      </c>
      <c r="Y1680" s="787"/>
      <c r="Z1680" s="791"/>
      <c r="AA1680" s="787"/>
      <c r="AB1680" s="787"/>
      <c r="AC1680" s="679"/>
      <c r="AD1680" s="679"/>
      <c r="AE1680" s="679"/>
      <c r="AF1680" s="679"/>
      <c r="AG1680" s="679"/>
      <c r="AH1680" s="679"/>
      <c r="AI1680" s="682"/>
      <c r="AJ1680" s="682"/>
      <c r="AK1680" s="682"/>
      <c r="AL1680" s="682"/>
      <c r="AM1680" s="682"/>
      <c r="AN1680" s="682"/>
      <c r="AO1680" s="682"/>
      <c r="AP1680" s="682"/>
      <c r="AQ1680" s="682"/>
      <c r="AR1680" s="682"/>
      <c r="AS1680" s="682"/>
    </row>
    <row r="1681" spans="1:45" s="406" customFormat="1" ht="30" hidden="1" customHeight="1" x14ac:dyDescent="0.25">
      <c r="A1681" s="2007"/>
      <c r="B1681" s="1016" t="s">
        <v>956</v>
      </c>
      <c r="C1681" s="144" t="s">
        <v>46</v>
      </c>
      <c r="D1681" s="884" t="s">
        <v>10</v>
      </c>
      <c r="E1681" s="1123">
        <v>44379</v>
      </c>
      <c r="F1681" s="71">
        <f t="shared" si="1042"/>
        <v>1907</v>
      </c>
      <c r="G1681" s="37">
        <v>0</v>
      </c>
      <c r="H1681" s="37"/>
      <c r="I1681" s="37">
        <f>+SUM(K1675:K1677)</f>
        <v>0</v>
      </c>
      <c r="J1681" s="1385">
        <f>+usage!I230</f>
        <v>0</v>
      </c>
      <c r="K1681" s="64">
        <f>IFERROR(SUMIF(INTAKE!$A:$A,$T1681,INTAKE!$P:$P),0)</f>
        <v>0</v>
      </c>
      <c r="L1681" s="1533">
        <f t="shared" si="1043"/>
        <v>0</v>
      </c>
      <c r="M1681" s="35"/>
      <c r="N1681" s="84"/>
      <c r="O1681" s="40"/>
      <c r="P1681" s="756"/>
      <c r="Q1681" s="795"/>
      <c r="R1681" s="785">
        <f>IFERROR(VLOOKUP($Q1681,'391'!$S:$Z,8,0),"")</f>
        <v>0</v>
      </c>
      <c r="S1681" s="786"/>
      <c r="T1681" s="787" t="str">
        <f t="shared" si="1044"/>
        <v>Premix 31VFeedmill44379</v>
      </c>
      <c r="U1681" s="787"/>
      <c r="V1681" s="787"/>
      <c r="W1681" s="785">
        <f>IFERROR(VLOOKUP($Q1681,'391'!$S:$AG,15,0),0)</f>
        <v>0</v>
      </c>
      <c r="X1681" s="1090">
        <f t="shared" si="1041"/>
        <v>0</v>
      </c>
      <c r="Y1681" s="787"/>
      <c r="Z1681" s="791"/>
      <c r="AA1681" s="787"/>
      <c r="AB1681" s="787"/>
      <c r="AC1681" s="679"/>
      <c r="AD1681" s="679"/>
      <c r="AE1681" s="679"/>
      <c r="AF1681" s="679"/>
      <c r="AG1681" s="679"/>
      <c r="AH1681" s="679"/>
      <c r="AI1681" s="682"/>
      <c r="AJ1681" s="682"/>
      <c r="AK1681" s="682"/>
      <c r="AL1681" s="682"/>
      <c r="AM1681" s="682"/>
      <c r="AN1681" s="682"/>
      <c r="AO1681" s="682"/>
      <c r="AP1681" s="682"/>
      <c r="AQ1681" s="682"/>
      <c r="AR1681" s="682"/>
      <c r="AS1681" s="682"/>
    </row>
    <row r="1682" spans="1:45" s="420" customFormat="1" ht="30" hidden="1" customHeight="1" x14ac:dyDescent="0.25">
      <c r="A1682" s="2003" t="s">
        <v>136</v>
      </c>
      <c r="B1682" s="2004"/>
      <c r="C1682" s="1033"/>
      <c r="D1682" s="1034"/>
      <c r="E1682" s="1127"/>
      <c r="F1682" s="1034"/>
      <c r="G1682" s="1328">
        <v>0</v>
      </c>
      <c r="H1682" s="1328">
        <f t="shared" ref="H1682:K1682" si="1045">SUM(H1675:H1681)</f>
        <v>0</v>
      </c>
      <c r="I1682" s="1328">
        <f t="shared" si="1045"/>
        <v>0</v>
      </c>
      <c r="J1682" s="1328">
        <f t="shared" si="1045"/>
        <v>0</v>
      </c>
      <c r="K1682" s="1328">
        <f t="shared" si="1045"/>
        <v>0</v>
      </c>
      <c r="L1682" s="1533">
        <f t="shared" si="1043"/>
        <v>0</v>
      </c>
      <c r="M1682" s="889" t="str">
        <f>IFERROR(R1682/$S$2,"")</f>
        <v/>
      </c>
      <c r="N1682" s="854">
        <f>IFERROR(L1682/M1682,0)</f>
        <v>0</v>
      </c>
      <c r="O1682" s="889">
        <f>IFERROR(SUMIF(ETM!$A:$A,$Q1682,ETM!$E:$E),"")</f>
        <v>0</v>
      </c>
      <c r="P1682" s="880">
        <f>IFERROR(L1682/O1682,0)</f>
        <v>0</v>
      </c>
      <c r="Q1682" s="814" t="s">
        <v>642</v>
      </c>
      <c r="R1682" s="785" t="str">
        <f>IFERROR(VLOOKUP($Q1682,'391'!$S:$Z,8,0),"")</f>
        <v/>
      </c>
      <c r="S1682" s="786"/>
      <c r="T1682" s="787"/>
      <c r="U1682" s="787"/>
      <c r="V1682" s="787"/>
      <c r="W1682" s="785">
        <f>IFERROR(VLOOKUP($Q1682,'391'!$S:$AG,15,0),0)</f>
        <v>0</v>
      </c>
      <c r="X1682" s="1090">
        <f t="shared" si="1041"/>
        <v>0</v>
      </c>
      <c r="Y1682" s="787"/>
      <c r="Z1682" s="791"/>
      <c r="AA1682" s="787"/>
      <c r="AB1682" s="787"/>
      <c r="AC1682" s="550"/>
      <c r="AD1682" s="550"/>
      <c r="AE1682" s="550"/>
      <c r="AF1682" s="550"/>
      <c r="AG1682" s="550"/>
      <c r="AH1682" s="550"/>
      <c r="AI1682" s="559"/>
      <c r="AJ1682" s="559"/>
      <c r="AK1682" s="559"/>
      <c r="AL1682" s="559"/>
      <c r="AM1682" s="559"/>
      <c r="AN1682" s="559"/>
      <c r="AO1682" s="559"/>
      <c r="AP1682" s="559"/>
      <c r="AQ1682" s="559"/>
      <c r="AR1682" s="559"/>
      <c r="AS1682" s="559"/>
    </row>
    <row r="1683" spans="1:45" s="344" customFormat="1" ht="30" hidden="1" customHeight="1" x14ac:dyDescent="0.25">
      <c r="A1683" s="2005">
        <f>IF(L1691=0,"",MAX($A$16:A1682)+1)</f>
        <v>119</v>
      </c>
      <c r="B1683" s="391" t="s">
        <v>1703</v>
      </c>
      <c r="C1683" s="249"/>
      <c r="D1683" s="866" t="s">
        <v>10</v>
      </c>
      <c r="E1683" s="1126">
        <v>45996</v>
      </c>
      <c r="F1683" s="71">
        <f t="shared" ref="F1683:F1685" si="1046">$L$7-E1683</f>
        <v>290</v>
      </c>
      <c r="G1683" s="1435">
        <v>0</v>
      </c>
      <c r="H1683" s="11"/>
      <c r="I1683" s="11"/>
      <c r="J1683" s="1388"/>
      <c r="K1683" s="64">
        <f>IFERROR(SUMIF(INTAKE!$A:$A,$T1683,INTAKE!$P:$P),0)</f>
        <v>0</v>
      </c>
      <c r="L1683" s="1702">
        <f t="shared" si="1043"/>
        <v>0</v>
      </c>
      <c r="M1683" s="66"/>
      <c r="N1683" s="66"/>
      <c r="O1683" s="66"/>
      <c r="P1683" s="744"/>
      <c r="Q1683" s="795"/>
      <c r="R1683" s="785">
        <f>IFERROR(VLOOKUP($Q1683,'391'!$S:$Z,8,0),"")</f>
        <v>0</v>
      </c>
      <c r="S1683" s="786"/>
      <c r="T1683" s="787" t="str">
        <f t="shared" ref="T1683:T1690" si="1047">$Q$1691&amp;C1683&amp;E1683</f>
        <v>Premix 48V45996</v>
      </c>
      <c r="U1683" s="787"/>
      <c r="V1683" s="787"/>
      <c r="W1683" s="785">
        <f>IFERROR(VLOOKUP($Q1683,'391'!$S:$AG,15,0),0)</f>
        <v>0</v>
      </c>
      <c r="X1683" s="1090">
        <f t="shared" si="1041"/>
        <v>0</v>
      </c>
      <c r="Y1683" s="787"/>
      <c r="Z1683" s="791"/>
      <c r="AA1683" s="787"/>
      <c r="AB1683" s="787"/>
      <c r="AC1683" s="687"/>
      <c r="AD1683" s="687"/>
      <c r="AE1683" s="687"/>
      <c r="AF1683" s="687"/>
      <c r="AG1683" s="687"/>
      <c r="AH1683" s="687"/>
      <c r="AI1683" s="709"/>
      <c r="AJ1683" s="709"/>
      <c r="AK1683" s="709"/>
      <c r="AL1683" s="709"/>
      <c r="AM1683" s="709"/>
      <c r="AN1683" s="709"/>
      <c r="AO1683" s="709"/>
      <c r="AP1683" s="709"/>
      <c r="AQ1683" s="709"/>
      <c r="AR1683" s="709"/>
      <c r="AS1683" s="709"/>
    </row>
    <row r="1684" spans="1:45" s="344" customFormat="1" ht="30" customHeight="1" x14ac:dyDescent="0.25">
      <c r="A1684" s="2006"/>
      <c r="B1684" s="391" t="s">
        <v>344</v>
      </c>
      <c r="C1684" s="249" t="s">
        <v>188</v>
      </c>
      <c r="D1684" s="866" t="s">
        <v>10</v>
      </c>
      <c r="E1684" s="1126">
        <v>46275</v>
      </c>
      <c r="F1684" s="71">
        <f t="shared" ref="F1684" si="1048">$L$7-E1684</f>
        <v>11</v>
      </c>
      <c r="G1684" s="1435">
        <v>0</v>
      </c>
      <c r="H1684" s="11"/>
      <c r="I1684" s="11"/>
      <c r="J1684" s="1388"/>
      <c r="K1684" s="64">
        <f>IFERROR(SUMIF(INTAKE!$A:$A,$T1684,INTAKE!$P:$P),0)</f>
        <v>0</v>
      </c>
      <c r="L1684" s="1702">
        <f t="shared" si="1043"/>
        <v>0</v>
      </c>
      <c r="M1684" s="101"/>
      <c r="N1684" s="101"/>
      <c r="O1684" s="101"/>
      <c r="P1684" s="738"/>
      <c r="Q1684" s="795"/>
      <c r="R1684" s="785">
        <f>IFERROR(VLOOKUP($Q1684,'391'!$S:$Z,8,0),"")</f>
        <v>0</v>
      </c>
      <c r="S1684" s="786"/>
      <c r="T1684" s="787" t="str">
        <f t="shared" si="1047"/>
        <v>Premix 48VX1.246275</v>
      </c>
      <c r="U1684" s="787"/>
      <c r="V1684" s="787"/>
      <c r="W1684" s="785">
        <f>IFERROR(VLOOKUP($Q1684,'391'!$S:$AG,15,0),0)</f>
        <v>0</v>
      </c>
      <c r="X1684" s="1090">
        <f t="shared" si="1041"/>
        <v>0</v>
      </c>
      <c r="Y1684" s="787"/>
      <c r="Z1684" s="791"/>
      <c r="AA1684" s="787"/>
      <c r="AB1684" s="787"/>
      <c r="AC1684" s="687"/>
      <c r="AD1684" s="687"/>
      <c r="AE1684" s="687"/>
      <c r="AF1684" s="687"/>
      <c r="AG1684" s="687"/>
      <c r="AH1684" s="687"/>
      <c r="AI1684" s="709"/>
      <c r="AJ1684" s="709"/>
      <c r="AK1684" s="709"/>
      <c r="AL1684" s="709"/>
      <c r="AM1684" s="709"/>
      <c r="AN1684" s="709"/>
      <c r="AO1684" s="709"/>
      <c r="AP1684" s="709"/>
      <c r="AQ1684" s="709"/>
      <c r="AR1684" s="709"/>
      <c r="AS1684" s="709"/>
    </row>
    <row r="1685" spans="1:45" s="344" customFormat="1" ht="30" customHeight="1" x14ac:dyDescent="0.25">
      <c r="A1685" s="2006"/>
      <c r="B1685" s="391" t="s">
        <v>2237</v>
      </c>
      <c r="C1685" s="249" t="s">
        <v>188</v>
      </c>
      <c r="D1685" s="866" t="s">
        <v>10</v>
      </c>
      <c r="E1685" s="1126">
        <v>46283</v>
      </c>
      <c r="F1685" s="71">
        <f t="shared" si="1046"/>
        <v>3</v>
      </c>
      <c r="G1685" s="1435">
        <v>450</v>
      </c>
      <c r="H1685" s="11"/>
      <c r="I1685" s="11"/>
      <c r="J1685" s="1388"/>
      <c r="K1685" s="64">
        <f>IFERROR(SUMIF(INTAKE!$A:$A,$T1685,INTAKE!$P:$P),0)</f>
        <v>0</v>
      </c>
      <c r="L1685" s="1702">
        <f t="shared" si="1043"/>
        <v>450</v>
      </c>
      <c r="M1685" s="101"/>
      <c r="N1685" s="101"/>
      <c r="O1685" s="101"/>
      <c r="P1685" s="738"/>
      <c r="Q1685" s="795"/>
      <c r="R1685" s="785">
        <f>IFERROR(VLOOKUP($Q1685,'391'!$S:$Z,8,0),"")</f>
        <v>0</v>
      </c>
      <c r="S1685" s="786"/>
      <c r="T1685" s="787" t="str">
        <f t="shared" si="1047"/>
        <v>Premix 48VX1.246283</v>
      </c>
      <c r="U1685" s="787"/>
      <c r="V1685" s="787"/>
      <c r="W1685" s="785">
        <f>IFERROR(VLOOKUP($Q1685,'391'!$S:$AG,15,0),0)</f>
        <v>0</v>
      </c>
      <c r="X1685" s="1090">
        <f t="shared" si="1041"/>
        <v>450</v>
      </c>
      <c r="Y1685" s="787"/>
      <c r="Z1685" s="791"/>
      <c r="AA1685" s="787"/>
      <c r="AB1685" s="787"/>
      <c r="AC1685" s="687"/>
      <c r="AD1685" s="687"/>
      <c r="AE1685" s="687"/>
      <c r="AF1685" s="687"/>
      <c r="AG1685" s="687"/>
      <c r="AH1685" s="687"/>
      <c r="AI1685" s="709"/>
      <c r="AJ1685" s="709"/>
      <c r="AK1685" s="709"/>
      <c r="AL1685" s="709"/>
      <c r="AM1685" s="709"/>
      <c r="AN1685" s="709"/>
      <c r="AO1685" s="709"/>
      <c r="AP1685" s="709"/>
      <c r="AQ1685" s="709"/>
      <c r="AR1685" s="709"/>
      <c r="AS1685" s="709"/>
    </row>
    <row r="1686" spans="1:45" s="344" customFormat="1" ht="30" hidden="1" customHeight="1" x14ac:dyDescent="0.25">
      <c r="A1686" s="2006"/>
      <c r="B1686" s="391" t="s">
        <v>344</v>
      </c>
      <c r="C1686" s="249"/>
      <c r="D1686" s="866" t="s">
        <v>10</v>
      </c>
      <c r="E1686" s="1126">
        <v>46275</v>
      </c>
      <c r="F1686" s="71">
        <f t="shared" ref="F1686:F1690" si="1049">$L$7-E1686</f>
        <v>11</v>
      </c>
      <c r="G1686" s="1435">
        <v>0</v>
      </c>
      <c r="H1686" s="11"/>
      <c r="I1686" s="11"/>
      <c r="J1686" s="1388"/>
      <c r="K1686" s="64">
        <f>IFERROR(SUMIF(INTAKE!$A:$A,$T1686,INTAKE!$P:$P),0)</f>
        <v>0</v>
      </c>
      <c r="L1686" s="1702">
        <f t="shared" si="1043"/>
        <v>0</v>
      </c>
      <c r="M1686" s="101"/>
      <c r="N1686" s="101"/>
      <c r="O1686" s="101"/>
      <c r="P1686" s="738"/>
      <c r="Q1686" s="795"/>
      <c r="R1686" s="785">
        <f>IFERROR(VLOOKUP($Q1686,'391'!$S:$Z,8,0),"")</f>
        <v>0</v>
      </c>
      <c r="S1686" s="786"/>
      <c r="T1686" s="787" t="str">
        <f t="shared" si="1047"/>
        <v>Premix 48V46275</v>
      </c>
      <c r="U1686" s="787"/>
      <c r="V1686" s="787"/>
      <c r="W1686" s="785">
        <f>IFERROR(VLOOKUP($Q1686,'391'!$S:$AG,15,0),0)</f>
        <v>0</v>
      </c>
      <c r="X1686" s="1090">
        <f t="shared" si="1041"/>
        <v>0</v>
      </c>
      <c r="Y1686" s="787"/>
      <c r="Z1686" s="791"/>
      <c r="AA1686" s="787"/>
      <c r="AB1686" s="787"/>
      <c r="AC1686" s="687"/>
      <c r="AD1686" s="687"/>
      <c r="AE1686" s="687"/>
      <c r="AF1686" s="687"/>
      <c r="AG1686" s="687"/>
      <c r="AH1686" s="687"/>
      <c r="AI1686" s="709"/>
      <c r="AJ1686" s="709"/>
      <c r="AK1686" s="709"/>
      <c r="AL1686" s="709"/>
      <c r="AM1686" s="709"/>
      <c r="AN1686" s="709"/>
      <c r="AO1686" s="709"/>
      <c r="AP1686" s="709"/>
      <c r="AQ1686" s="709"/>
      <c r="AR1686" s="709"/>
      <c r="AS1686" s="709"/>
    </row>
    <row r="1687" spans="1:45" s="344" customFormat="1" ht="30" hidden="1" customHeight="1" x14ac:dyDescent="0.25">
      <c r="A1687" s="2006"/>
      <c r="B1687" s="391" t="s">
        <v>1747</v>
      </c>
      <c r="C1687" s="249"/>
      <c r="D1687" s="866" t="s">
        <v>10</v>
      </c>
      <c r="E1687" s="1126">
        <v>46059</v>
      </c>
      <c r="F1687" s="71">
        <f t="shared" si="1049"/>
        <v>227</v>
      </c>
      <c r="G1687" s="1435">
        <v>0</v>
      </c>
      <c r="H1687" s="11"/>
      <c r="I1687" s="11"/>
      <c r="J1687" s="1388"/>
      <c r="K1687" s="64">
        <f>IFERROR(SUMIF(INTAKE!$A:$A,$T1687,INTAKE!$P:$P),0)</f>
        <v>0</v>
      </c>
      <c r="L1687" s="1533">
        <f t="shared" si="1043"/>
        <v>0</v>
      </c>
      <c r="M1687" s="101"/>
      <c r="N1687" s="101"/>
      <c r="O1687" s="101"/>
      <c r="P1687" s="738"/>
      <c r="Q1687" s="795"/>
      <c r="R1687" s="785">
        <f>IFERROR(VLOOKUP($Q1687,'391'!$S:$Z,8,0),"")</f>
        <v>0</v>
      </c>
      <c r="S1687" s="786"/>
      <c r="T1687" s="787" t="str">
        <f t="shared" si="1047"/>
        <v>Premix 48V46059</v>
      </c>
      <c r="U1687" s="787"/>
      <c r="V1687" s="787"/>
      <c r="W1687" s="785">
        <f>IFERROR(VLOOKUP($Q1687,'391'!$S:$AG,15,0),0)</f>
        <v>0</v>
      </c>
      <c r="X1687" s="1090">
        <f t="shared" si="1041"/>
        <v>0</v>
      </c>
      <c r="Y1687" s="787"/>
      <c r="Z1687" s="791"/>
      <c r="AA1687" s="787"/>
      <c r="AB1687" s="787"/>
      <c r="AC1687" s="687"/>
      <c r="AD1687" s="687"/>
      <c r="AE1687" s="687"/>
      <c r="AF1687" s="687"/>
      <c r="AG1687" s="687"/>
      <c r="AH1687" s="687"/>
      <c r="AI1687" s="709"/>
      <c r="AJ1687" s="709"/>
      <c r="AK1687" s="709"/>
      <c r="AL1687" s="709"/>
      <c r="AM1687" s="709"/>
      <c r="AN1687" s="709"/>
      <c r="AO1687" s="709"/>
      <c r="AP1687" s="709"/>
      <c r="AQ1687" s="709"/>
      <c r="AR1687" s="709"/>
      <c r="AS1687" s="709"/>
    </row>
    <row r="1688" spans="1:45" s="344" customFormat="1" ht="30" hidden="1" customHeight="1" x14ac:dyDescent="0.25">
      <c r="A1688" s="2006"/>
      <c r="B1688" s="391" t="s">
        <v>344</v>
      </c>
      <c r="C1688" s="249"/>
      <c r="D1688" s="866" t="s">
        <v>10</v>
      </c>
      <c r="E1688" s="1126">
        <v>42971</v>
      </c>
      <c r="F1688" s="71">
        <f t="shared" si="1049"/>
        <v>3315</v>
      </c>
      <c r="G1688" s="1435">
        <v>0</v>
      </c>
      <c r="H1688" s="11"/>
      <c r="I1688" s="11"/>
      <c r="J1688" s="1388"/>
      <c r="K1688" s="64">
        <f>IFERROR(SUMIF(INTAKE!$A:$A,$T1688,INTAKE!$P:$P),0)</f>
        <v>0</v>
      </c>
      <c r="L1688" s="1533">
        <f t="shared" si="1043"/>
        <v>0</v>
      </c>
      <c r="M1688" s="101"/>
      <c r="N1688" s="101"/>
      <c r="O1688" s="101"/>
      <c r="P1688" s="738"/>
      <c r="Q1688" s="795"/>
      <c r="R1688" s="785">
        <f>IFERROR(VLOOKUP($Q1688,'391'!$S:$Z,8,0),"")</f>
        <v>0</v>
      </c>
      <c r="S1688" s="786"/>
      <c r="T1688" s="787" t="str">
        <f t="shared" si="1047"/>
        <v>Premix 48V42971</v>
      </c>
      <c r="U1688" s="787"/>
      <c r="V1688" s="787"/>
      <c r="W1688" s="785">
        <f>IFERROR(VLOOKUP($Q1688,'391'!$S:$AG,15,0),0)</f>
        <v>0</v>
      </c>
      <c r="X1688" s="1090">
        <f t="shared" si="1041"/>
        <v>0</v>
      </c>
      <c r="Y1688" s="787"/>
      <c r="Z1688" s="791"/>
      <c r="AA1688" s="787"/>
      <c r="AB1688" s="787"/>
      <c r="AC1688" s="687"/>
      <c r="AD1688" s="687"/>
      <c r="AE1688" s="687"/>
      <c r="AF1688" s="687"/>
      <c r="AG1688" s="687"/>
      <c r="AH1688" s="687"/>
      <c r="AI1688" s="709"/>
      <c r="AJ1688" s="709"/>
      <c r="AK1688" s="709"/>
      <c r="AL1688" s="709"/>
      <c r="AM1688" s="709"/>
      <c r="AN1688" s="709"/>
      <c r="AO1688" s="709"/>
      <c r="AP1688" s="709"/>
      <c r="AQ1688" s="709"/>
      <c r="AR1688" s="709"/>
      <c r="AS1688" s="709"/>
    </row>
    <row r="1689" spans="1:45" s="344" customFormat="1" ht="30" hidden="1" customHeight="1" x14ac:dyDescent="0.25">
      <c r="A1689" s="2006"/>
      <c r="B1689" s="391" t="s">
        <v>345</v>
      </c>
      <c r="C1689" s="249"/>
      <c r="D1689" s="866" t="s">
        <v>10</v>
      </c>
      <c r="E1689" s="1126">
        <v>42978</v>
      </c>
      <c r="F1689" s="71">
        <f t="shared" si="1049"/>
        <v>3308</v>
      </c>
      <c r="G1689" s="1435">
        <v>0</v>
      </c>
      <c r="H1689" s="11"/>
      <c r="I1689" s="11"/>
      <c r="J1689" s="1388"/>
      <c r="K1689" s="64">
        <f>IFERROR(SUMIF(INTAKE!$A:$A,$T1689,INTAKE!$P:$P),0)</f>
        <v>0</v>
      </c>
      <c r="L1689" s="1533">
        <f t="shared" si="1043"/>
        <v>0</v>
      </c>
      <c r="M1689" s="101"/>
      <c r="N1689" s="101"/>
      <c r="O1689" s="101"/>
      <c r="P1689" s="738"/>
      <c r="Q1689" s="795"/>
      <c r="R1689" s="785">
        <f>IFERROR(VLOOKUP($Q1689,'391'!$S:$Z,8,0),"")</f>
        <v>0</v>
      </c>
      <c r="S1689" s="786"/>
      <c r="T1689" s="787" t="str">
        <f t="shared" si="1047"/>
        <v>Premix 48V42978</v>
      </c>
      <c r="U1689" s="787"/>
      <c r="V1689" s="787"/>
      <c r="W1689" s="785">
        <f>IFERROR(VLOOKUP($Q1689,'391'!$S:$AG,15,0),0)</f>
        <v>0</v>
      </c>
      <c r="X1689" s="1090">
        <f t="shared" si="1041"/>
        <v>0</v>
      </c>
      <c r="Y1689" s="787"/>
      <c r="Z1689" s="791"/>
      <c r="AA1689" s="787"/>
      <c r="AB1689" s="787"/>
      <c r="AC1689" s="687"/>
      <c r="AD1689" s="687"/>
      <c r="AE1689" s="687"/>
      <c r="AF1689" s="687"/>
      <c r="AG1689" s="687"/>
      <c r="AH1689" s="687"/>
      <c r="AI1689" s="709"/>
      <c r="AJ1689" s="709"/>
      <c r="AK1689" s="709"/>
      <c r="AL1689" s="709"/>
      <c r="AM1689" s="709"/>
      <c r="AN1689" s="709"/>
      <c r="AO1689" s="709"/>
      <c r="AP1689" s="709"/>
      <c r="AQ1689" s="709"/>
      <c r="AR1689" s="709"/>
      <c r="AS1689" s="709"/>
    </row>
    <row r="1690" spans="1:45" s="421" customFormat="1" ht="30" customHeight="1" x14ac:dyDescent="0.25">
      <c r="A1690" s="2007"/>
      <c r="B1690" s="1018" t="s">
        <v>1961</v>
      </c>
      <c r="C1690" s="87" t="s">
        <v>46</v>
      </c>
      <c r="D1690" s="884" t="s">
        <v>10</v>
      </c>
      <c r="E1690" s="1123">
        <v>46270</v>
      </c>
      <c r="F1690" s="71">
        <f t="shared" si="1049"/>
        <v>16</v>
      </c>
      <c r="G1690" s="1434">
        <v>517.30000000000007</v>
      </c>
      <c r="H1690" s="37"/>
      <c r="I1690" s="37">
        <f>+SUM(K1683:K1686)</f>
        <v>0</v>
      </c>
      <c r="J1690" s="1385">
        <f>+usage!I231</f>
        <v>16.8</v>
      </c>
      <c r="K1690" s="64">
        <f>IFERROR(SUMIF(INTAKE!$A:$A,$T1690,INTAKE!$P:$P),0)</f>
        <v>0</v>
      </c>
      <c r="L1690" s="1533">
        <f t="shared" si="1043"/>
        <v>500.50000000000006</v>
      </c>
      <c r="M1690" s="35"/>
      <c r="N1690" s="35"/>
      <c r="O1690" s="35"/>
      <c r="P1690" s="740"/>
      <c r="Q1690" s="795"/>
      <c r="R1690" s="785">
        <f>IFERROR(VLOOKUP($Q1690,'391'!$S:$Z,8,0),"")</f>
        <v>0</v>
      </c>
      <c r="S1690" s="786"/>
      <c r="T1690" s="787" t="str">
        <f t="shared" si="1047"/>
        <v>Premix 48VFeedmill46270</v>
      </c>
      <c r="U1690" s="787"/>
      <c r="V1690" s="787"/>
      <c r="W1690" s="785">
        <f>IFERROR(VLOOKUP($Q1690,'391'!$S:$AG,15,0),0)</f>
        <v>0</v>
      </c>
      <c r="X1690" s="1090">
        <f t="shared" si="1041"/>
        <v>517.30000000000007</v>
      </c>
      <c r="Y1690" s="787"/>
      <c r="Z1690" s="791"/>
      <c r="AA1690" s="787"/>
      <c r="AB1690" s="787"/>
      <c r="AC1690" s="687"/>
      <c r="AD1690" s="687"/>
      <c r="AE1690" s="687"/>
      <c r="AF1690" s="687"/>
      <c r="AG1690" s="687"/>
      <c r="AH1690" s="687"/>
      <c r="AI1690" s="709"/>
      <c r="AJ1690" s="709"/>
      <c r="AK1690" s="709"/>
      <c r="AL1690" s="709"/>
      <c r="AM1690" s="709"/>
      <c r="AN1690" s="709"/>
      <c r="AO1690" s="709"/>
      <c r="AP1690" s="709"/>
      <c r="AQ1690" s="709"/>
      <c r="AR1690" s="709"/>
      <c r="AS1690" s="709"/>
    </row>
    <row r="1691" spans="1:45" s="420" customFormat="1" ht="30" customHeight="1" x14ac:dyDescent="0.25">
      <c r="A1691" s="2003" t="s">
        <v>70</v>
      </c>
      <c r="B1691" s="2004"/>
      <c r="C1691" s="125"/>
      <c r="D1691" s="1027"/>
      <c r="E1691" s="1027"/>
      <c r="F1691" s="896"/>
      <c r="G1691" s="1328">
        <v>967.30000000000007</v>
      </c>
      <c r="H1691" s="1328">
        <f t="shared" ref="H1691:L1691" si="1050">SUM(H1683:H1690)</f>
        <v>0</v>
      </c>
      <c r="I1691" s="1328">
        <f t="shared" si="1050"/>
        <v>0</v>
      </c>
      <c r="J1691" s="1328">
        <f t="shared" si="1050"/>
        <v>16.8</v>
      </c>
      <c r="K1691" s="1328">
        <f t="shared" si="1050"/>
        <v>0</v>
      </c>
      <c r="L1691" s="1328">
        <f t="shared" si="1050"/>
        <v>950.5</v>
      </c>
      <c r="M1691" s="1036">
        <f>IFERROR(R1691/$S$2,"")</f>
        <v>67.42</v>
      </c>
      <c r="N1691" s="854">
        <f>(L1691/M1691)</f>
        <v>14.098190447938297</v>
      </c>
      <c r="O1691" s="889">
        <f>IFERROR(SUMIF(ETM!$A:$A,$Q1691,ETM!$E:$E),"")</f>
        <v>65.333333333333343</v>
      </c>
      <c r="P1691" s="880">
        <f>IFERROR(L1691/O1691,0)</f>
        <v>14.5484693877551</v>
      </c>
      <c r="Q1691" s="814" t="s">
        <v>643</v>
      </c>
      <c r="R1691" s="785">
        <f>IFERROR(VLOOKUP($Q1691,'391'!$S:$Z,8,0),"")</f>
        <v>404.52</v>
      </c>
      <c r="S1691" s="786"/>
      <c r="T1691" s="787"/>
      <c r="U1691" s="787"/>
      <c r="V1691" s="787"/>
      <c r="W1691" s="785">
        <f>IFERROR(VLOOKUP($Q1691,'391'!$S:$AG,15,0),0)</f>
        <v>967.30000000000007</v>
      </c>
      <c r="X1691" s="1090">
        <f t="shared" si="1041"/>
        <v>0</v>
      </c>
      <c r="Y1691" s="787"/>
      <c r="Z1691" s="791"/>
      <c r="AA1691" s="787"/>
      <c r="AB1691" s="787"/>
      <c r="AC1691" s="550"/>
      <c r="AD1691" s="550"/>
      <c r="AE1691" s="550"/>
      <c r="AF1691" s="550"/>
      <c r="AG1691" s="550"/>
      <c r="AH1691" s="550"/>
      <c r="AI1691" s="559"/>
      <c r="AJ1691" s="559"/>
      <c r="AK1691" s="559"/>
      <c r="AL1691" s="559"/>
      <c r="AM1691" s="559"/>
      <c r="AN1691" s="559"/>
      <c r="AO1691" s="559"/>
      <c r="AP1691" s="559"/>
      <c r="AQ1691" s="559"/>
      <c r="AR1691" s="559"/>
      <c r="AS1691" s="559"/>
    </row>
    <row r="1692" spans="1:45" s="6" customFormat="1" ht="30" hidden="1" customHeight="1" x14ac:dyDescent="0.25">
      <c r="A1692" s="2188" t="str">
        <f>IF(L1701=0,"",MAX($A$16:A1691)+1)</f>
        <v/>
      </c>
      <c r="B1692" s="2009" t="s">
        <v>68</v>
      </c>
      <c r="C1692" s="150" t="s">
        <v>149</v>
      </c>
      <c r="D1692" s="1111" t="s">
        <v>10</v>
      </c>
      <c r="E1692" s="1035">
        <v>42971</v>
      </c>
      <c r="F1692" s="71">
        <f t="shared" ref="F1692:F1700" si="1051">$L$7-E1692</f>
        <v>3315</v>
      </c>
      <c r="G1692" s="1433">
        <v>0</v>
      </c>
      <c r="H1692" s="958"/>
      <c r="I1692" s="63"/>
      <c r="J1692" s="1436"/>
      <c r="K1692" s="958"/>
      <c r="L1692" s="1533">
        <f t="shared" ref="L1692:L1712" si="1052">+G1692+H1692+I1692-J1692-K1692</f>
        <v>0</v>
      </c>
      <c r="M1692" s="66"/>
      <c r="N1692" s="920"/>
      <c r="O1692" s="66"/>
      <c r="P1692" s="857"/>
      <c r="Q1692" s="795"/>
      <c r="R1692" s="785">
        <f>IFERROR(VLOOKUP($Q1692,'391'!$S:$Z,8,0),"")</f>
        <v>0</v>
      </c>
      <c r="S1692" s="786"/>
      <c r="T1692" s="787"/>
      <c r="U1692" s="787"/>
      <c r="V1692" s="787"/>
      <c r="W1692" s="785">
        <f>IFERROR(VLOOKUP($Q1692,'391'!$S:$AG,15,0),0)</f>
        <v>0</v>
      </c>
      <c r="X1692" s="1090">
        <f t="shared" si="1041"/>
        <v>0</v>
      </c>
      <c r="Y1692" s="787"/>
      <c r="Z1692" s="791"/>
      <c r="AA1692" s="787"/>
      <c r="AB1692" s="787"/>
      <c r="AC1692" s="679"/>
      <c r="AD1692" s="679"/>
      <c r="AE1692" s="679"/>
      <c r="AF1692" s="679"/>
      <c r="AG1692" s="679"/>
      <c r="AH1692" s="679"/>
      <c r="AI1692" s="682"/>
      <c r="AJ1692" s="682"/>
      <c r="AK1692" s="682"/>
      <c r="AL1692" s="682"/>
      <c r="AM1692" s="682"/>
      <c r="AN1692" s="682"/>
      <c r="AO1692" s="682"/>
      <c r="AP1692" s="682"/>
      <c r="AQ1692" s="682"/>
      <c r="AR1692" s="682"/>
      <c r="AS1692" s="682"/>
    </row>
    <row r="1693" spans="1:45" s="6" customFormat="1" ht="30" hidden="1" customHeight="1" x14ac:dyDescent="0.25">
      <c r="A1693" s="2188"/>
      <c r="B1693" s="2009"/>
      <c r="C1693" s="150" t="s">
        <v>149</v>
      </c>
      <c r="D1693" s="866" t="s">
        <v>10</v>
      </c>
      <c r="E1693" s="1035">
        <v>42972</v>
      </c>
      <c r="F1693" s="71">
        <f t="shared" si="1051"/>
        <v>3314</v>
      </c>
      <c r="G1693" s="1433">
        <v>0</v>
      </c>
      <c r="H1693" s="12"/>
      <c r="I1693" s="63"/>
      <c r="J1693" s="1366"/>
      <c r="K1693" s="958"/>
      <c r="L1693" s="1533">
        <f t="shared" si="1052"/>
        <v>0</v>
      </c>
      <c r="M1693" s="101"/>
      <c r="N1693" s="249"/>
      <c r="O1693" s="101"/>
      <c r="P1693" s="857"/>
      <c r="Q1693" s="795"/>
      <c r="R1693" s="785">
        <f>IFERROR(VLOOKUP($Q1693,'391'!$S:$Z,8,0),"")</f>
        <v>0</v>
      </c>
      <c r="S1693" s="786"/>
      <c r="T1693" s="787"/>
      <c r="U1693" s="787"/>
      <c r="V1693" s="787"/>
      <c r="W1693" s="785">
        <f>IFERROR(VLOOKUP($Q1693,'391'!$S:$AG,15,0),0)</f>
        <v>0</v>
      </c>
      <c r="X1693" s="1090">
        <f t="shared" si="1041"/>
        <v>0</v>
      </c>
      <c r="Y1693" s="787"/>
      <c r="Z1693" s="791"/>
      <c r="AA1693" s="787"/>
      <c r="AB1693" s="787"/>
      <c r="AC1693" s="679"/>
      <c r="AD1693" s="679"/>
      <c r="AE1693" s="679"/>
      <c r="AF1693" s="679"/>
      <c r="AG1693" s="679"/>
      <c r="AH1693" s="679"/>
      <c r="AI1693" s="682"/>
      <c r="AJ1693" s="682"/>
      <c r="AK1693" s="682"/>
      <c r="AL1693" s="682"/>
      <c r="AM1693" s="682"/>
      <c r="AN1693" s="682"/>
      <c r="AO1693" s="682"/>
      <c r="AP1693" s="682"/>
      <c r="AQ1693" s="682"/>
      <c r="AR1693" s="682"/>
      <c r="AS1693" s="682"/>
    </row>
    <row r="1694" spans="1:45" s="6" customFormat="1" ht="30" hidden="1" customHeight="1" x14ac:dyDescent="0.25">
      <c r="A1694" s="2188"/>
      <c r="B1694" s="2009"/>
      <c r="C1694" s="150" t="s">
        <v>149</v>
      </c>
      <c r="D1694" s="866" t="s">
        <v>10</v>
      </c>
      <c r="E1694" s="1035">
        <v>42973</v>
      </c>
      <c r="F1694" s="71">
        <f t="shared" si="1051"/>
        <v>3313</v>
      </c>
      <c r="G1694" s="1433">
        <v>0</v>
      </c>
      <c r="H1694" s="58"/>
      <c r="I1694" s="11"/>
      <c r="J1694" s="1365"/>
      <c r="K1694" s="58"/>
      <c r="L1694" s="1533">
        <f t="shared" si="1052"/>
        <v>0</v>
      </c>
      <c r="M1694" s="147"/>
      <c r="N1694" s="248"/>
      <c r="O1694" s="147"/>
      <c r="P1694" s="857"/>
      <c r="Q1694" s="795"/>
      <c r="R1694" s="785">
        <f>IFERROR(VLOOKUP($Q1694,'391'!$S:$Z,8,0),"")</f>
        <v>0</v>
      </c>
      <c r="S1694" s="786"/>
      <c r="T1694" s="787"/>
      <c r="U1694" s="787"/>
      <c r="V1694" s="787"/>
      <c r="W1694" s="785">
        <f>IFERROR(VLOOKUP($Q1694,'391'!$S:$AG,15,0),0)</f>
        <v>0</v>
      </c>
      <c r="X1694" s="1090">
        <f t="shared" si="1041"/>
        <v>0</v>
      </c>
      <c r="Y1694" s="787"/>
      <c r="Z1694" s="791"/>
      <c r="AA1694" s="787"/>
      <c r="AB1694" s="787"/>
      <c r="AC1694" s="679"/>
      <c r="AD1694" s="679"/>
      <c r="AE1694" s="679"/>
      <c r="AF1694" s="679"/>
      <c r="AG1694" s="679"/>
      <c r="AH1694" s="679"/>
      <c r="AI1694" s="682"/>
      <c r="AJ1694" s="682"/>
      <c r="AK1694" s="682"/>
      <c r="AL1694" s="682"/>
      <c r="AM1694" s="682"/>
      <c r="AN1694" s="682"/>
      <c r="AO1694" s="682"/>
      <c r="AP1694" s="682"/>
      <c r="AQ1694" s="682"/>
      <c r="AR1694" s="682"/>
      <c r="AS1694" s="682"/>
    </row>
    <row r="1695" spans="1:45" s="6" customFormat="1" ht="30" hidden="1" customHeight="1" x14ac:dyDescent="0.25">
      <c r="A1695" s="2188"/>
      <c r="B1695" s="2009"/>
      <c r="C1695" s="150" t="s">
        <v>149</v>
      </c>
      <c r="D1695" s="866" t="s">
        <v>10</v>
      </c>
      <c r="E1695" s="1035">
        <v>42974</v>
      </c>
      <c r="F1695" s="71">
        <f t="shared" si="1051"/>
        <v>3312</v>
      </c>
      <c r="G1695" s="1433">
        <v>0</v>
      </c>
      <c r="H1695" s="58"/>
      <c r="I1695" s="11"/>
      <c r="J1695" s="1365"/>
      <c r="K1695" s="58"/>
      <c r="L1695" s="1533">
        <f t="shared" si="1052"/>
        <v>0</v>
      </c>
      <c r="M1695" s="101"/>
      <c r="N1695" s="249"/>
      <c r="O1695" s="101"/>
      <c r="P1695" s="857"/>
      <c r="Q1695" s="795"/>
      <c r="R1695" s="785">
        <f>IFERROR(VLOOKUP($Q1695,'391'!$S:$Z,8,0),"")</f>
        <v>0</v>
      </c>
      <c r="S1695" s="786"/>
      <c r="T1695" s="787"/>
      <c r="U1695" s="787"/>
      <c r="V1695" s="787"/>
      <c r="W1695" s="785">
        <f>IFERROR(VLOOKUP($Q1695,'391'!$S:$AG,15,0),0)</f>
        <v>0</v>
      </c>
      <c r="X1695" s="1090">
        <f t="shared" si="1041"/>
        <v>0</v>
      </c>
      <c r="Y1695" s="787"/>
      <c r="Z1695" s="791"/>
      <c r="AA1695" s="787"/>
      <c r="AB1695" s="787"/>
      <c r="AC1695" s="679"/>
      <c r="AD1695" s="679"/>
      <c r="AE1695" s="679"/>
      <c r="AF1695" s="679"/>
      <c r="AG1695" s="679"/>
      <c r="AH1695" s="679"/>
      <c r="AI1695" s="682"/>
      <c r="AJ1695" s="682"/>
      <c r="AK1695" s="682"/>
      <c r="AL1695" s="682"/>
      <c r="AM1695" s="682"/>
      <c r="AN1695" s="682"/>
      <c r="AO1695" s="682"/>
      <c r="AP1695" s="682"/>
      <c r="AQ1695" s="682"/>
      <c r="AR1695" s="682"/>
      <c r="AS1695" s="682"/>
    </row>
    <row r="1696" spans="1:45" s="6" customFormat="1" ht="30" hidden="1" customHeight="1" x14ac:dyDescent="0.25">
      <c r="A1696" s="2188"/>
      <c r="B1696" s="2009"/>
      <c r="C1696" s="150" t="s">
        <v>149</v>
      </c>
      <c r="D1696" s="866" t="s">
        <v>10</v>
      </c>
      <c r="E1696" s="1035">
        <v>42975</v>
      </c>
      <c r="F1696" s="71">
        <f t="shared" si="1051"/>
        <v>3311</v>
      </c>
      <c r="G1696" s="1433">
        <v>0</v>
      </c>
      <c r="H1696" s="11"/>
      <c r="I1696" s="11"/>
      <c r="J1696" s="1365"/>
      <c r="K1696" s="58"/>
      <c r="L1696" s="1533">
        <f t="shared" si="1052"/>
        <v>0</v>
      </c>
      <c r="M1696" s="101"/>
      <c r="N1696" s="249"/>
      <c r="O1696" s="101"/>
      <c r="P1696" s="857"/>
      <c r="Q1696" s="795"/>
      <c r="R1696" s="785">
        <f>IFERROR(VLOOKUP($Q1696,'391'!$S:$Z,8,0),"")</f>
        <v>0</v>
      </c>
      <c r="S1696" s="786"/>
      <c r="T1696" s="787"/>
      <c r="U1696" s="787"/>
      <c r="V1696" s="787"/>
      <c r="W1696" s="785">
        <f>IFERROR(VLOOKUP($Q1696,'391'!$S:$AG,15,0),0)</f>
        <v>0</v>
      </c>
      <c r="X1696" s="1090">
        <f t="shared" si="1041"/>
        <v>0</v>
      </c>
      <c r="Y1696" s="787"/>
      <c r="Z1696" s="791"/>
      <c r="AA1696" s="787"/>
      <c r="AB1696" s="787"/>
      <c r="AC1696" s="679"/>
      <c r="AD1696" s="679"/>
      <c r="AE1696" s="679"/>
      <c r="AF1696" s="679"/>
      <c r="AG1696" s="679"/>
      <c r="AH1696" s="679"/>
      <c r="AI1696" s="682"/>
      <c r="AJ1696" s="682"/>
      <c r="AK1696" s="682"/>
      <c r="AL1696" s="682"/>
      <c r="AM1696" s="682"/>
      <c r="AN1696" s="682"/>
      <c r="AO1696" s="682"/>
      <c r="AP1696" s="682"/>
      <c r="AQ1696" s="682"/>
      <c r="AR1696" s="682"/>
      <c r="AS1696" s="682"/>
    </row>
    <row r="1697" spans="1:45" s="6" customFormat="1" ht="30" hidden="1" customHeight="1" x14ac:dyDescent="0.25">
      <c r="A1697" s="2188"/>
      <c r="B1697" s="2009"/>
      <c r="C1697" s="150" t="s">
        <v>149</v>
      </c>
      <c r="D1697" s="866" t="s">
        <v>10</v>
      </c>
      <c r="E1697" s="1035">
        <v>42976</v>
      </c>
      <c r="F1697" s="71">
        <f t="shared" si="1051"/>
        <v>3310</v>
      </c>
      <c r="G1697" s="1437">
        <v>0</v>
      </c>
      <c r="H1697" s="58"/>
      <c r="I1697" s="58"/>
      <c r="J1697" s="1365"/>
      <c r="K1697" s="58"/>
      <c r="L1697" s="1533">
        <f t="shared" si="1052"/>
        <v>0</v>
      </c>
      <c r="M1697" s="101"/>
      <c r="N1697" s="249"/>
      <c r="O1697" s="101"/>
      <c r="P1697" s="857"/>
      <c r="Q1697" s="795"/>
      <c r="R1697" s="785">
        <f>IFERROR(VLOOKUP($Q1697,'391'!$S:$Z,8,0),"")</f>
        <v>0</v>
      </c>
      <c r="S1697" s="786"/>
      <c r="T1697" s="787"/>
      <c r="U1697" s="787"/>
      <c r="V1697" s="787"/>
      <c r="W1697" s="785">
        <f>IFERROR(VLOOKUP($Q1697,'391'!$S:$AG,15,0),0)</f>
        <v>0</v>
      </c>
      <c r="X1697" s="1090">
        <f t="shared" si="1041"/>
        <v>0</v>
      </c>
      <c r="Y1697" s="787"/>
      <c r="Z1697" s="791"/>
      <c r="AA1697" s="787"/>
      <c r="AB1697" s="787"/>
      <c r="AC1697" s="679"/>
      <c r="AD1697" s="679"/>
      <c r="AE1697" s="679"/>
      <c r="AF1697" s="679"/>
      <c r="AG1697" s="679"/>
      <c r="AH1697" s="679"/>
      <c r="AI1697" s="682"/>
      <c r="AJ1697" s="682"/>
      <c r="AK1697" s="682"/>
      <c r="AL1697" s="682"/>
      <c r="AM1697" s="682"/>
      <c r="AN1697" s="682"/>
      <c r="AO1697" s="682"/>
      <c r="AP1697" s="682"/>
      <c r="AQ1697" s="682"/>
      <c r="AR1697" s="682"/>
      <c r="AS1697" s="682"/>
    </row>
    <row r="1698" spans="1:45" s="6" customFormat="1" ht="30" hidden="1" customHeight="1" x14ac:dyDescent="0.25">
      <c r="A1698" s="2188"/>
      <c r="B1698" s="2009"/>
      <c r="C1698" s="150" t="s">
        <v>149</v>
      </c>
      <c r="D1698" s="866" t="s">
        <v>10</v>
      </c>
      <c r="E1698" s="1035">
        <v>42977</v>
      </c>
      <c r="F1698" s="71">
        <f t="shared" si="1051"/>
        <v>3309</v>
      </c>
      <c r="G1698" s="1435">
        <v>0</v>
      </c>
      <c r="H1698" s="12"/>
      <c r="I1698" s="12"/>
      <c r="J1698" s="1368"/>
      <c r="K1698" s="12"/>
      <c r="L1698" s="1533">
        <f t="shared" si="1052"/>
        <v>0</v>
      </c>
      <c r="M1698" s="23"/>
      <c r="N1698" s="920"/>
      <c r="O1698" s="23"/>
      <c r="P1698" s="857"/>
      <c r="Q1698" s="795"/>
      <c r="R1698" s="785">
        <f>IFERROR(VLOOKUP($Q1698,'391'!$S:$Z,8,0),"")</f>
        <v>0</v>
      </c>
      <c r="S1698" s="786"/>
      <c r="T1698" s="787"/>
      <c r="U1698" s="787"/>
      <c r="V1698" s="787"/>
      <c r="W1698" s="785">
        <f>IFERROR(VLOOKUP($Q1698,'391'!$S:$AG,15,0),0)</f>
        <v>0</v>
      </c>
      <c r="X1698" s="1090">
        <f t="shared" si="1041"/>
        <v>0</v>
      </c>
      <c r="Y1698" s="787"/>
      <c r="Z1698" s="791"/>
      <c r="AA1698" s="787"/>
      <c r="AB1698" s="787"/>
      <c r="AC1698" s="679"/>
      <c r="AD1698" s="679"/>
      <c r="AE1698" s="679"/>
      <c r="AF1698" s="679"/>
      <c r="AG1698" s="679"/>
      <c r="AH1698" s="679"/>
      <c r="AI1698" s="682"/>
      <c r="AJ1698" s="682"/>
      <c r="AK1698" s="682"/>
      <c r="AL1698" s="682"/>
      <c r="AM1698" s="682"/>
      <c r="AN1698" s="682"/>
      <c r="AO1698" s="682"/>
      <c r="AP1698" s="682"/>
      <c r="AQ1698" s="682"/>
      <c r="AR1698" s="682"/>
      <c r="AS1698" s="682"/>
    </row>
    <row r="1699" spans="1:45" s="6" customFormat="1" ht="30" hidden="1" customHeight="1" x14ac:dyDescent="0.25">
      <c r="A1699" s="2188"/>
      <c r="B1699" s="2009"/>
      <c r="C1699" s="149" t="s">
        <v>46</v>
      </c>
      <c r="D1699" s="866" t="s">
        <v>10</v>
      </c>
      <c r="E1699" s="1035">
        <v>42978</v>
      </c>
      <c r="F1699" s="71">
        <f t="shared" si="1051"/>
        <v>3308</v>
      </c>
      <c r="G1699" s="1324">
        <v>0</v>
      </c>
      <c r="H1699" s="56"/>
      <c r="I1699" s="56"/>
      <c r="J1699" s="1437"/>
      <c r="K1699" s="56"/>
      <c r="L1699" s="1533">
        <f t="shared" si="1052"/>
        <v>0</v>
      </c>
      <c r="M1699" s="23"/>
      <c r="N1699" s="920"/>
      <c r="O1699" s="23"/>
      <c r="P1699" s="857"/>
      <c r="Q1699" s="795"/>
      <c r="R1699" s="785">
        <f>IFERROR(VLOOKUP($Q1699,'391'!$S:$Z,8,0),"")</f>
        <v>0</v>
      </c>
      <c r="S1699" s="786"/>
      <c r="T1699" s="787"/>
      <c r="U1699" s="787"/>
      <c r="V1699" s="787"/>
      <c r="W1699" s="785">
        <f>IFERROR(VLOOKUP($Q1699,'391'!$S:$AG,15,0),0)</f>
        <v>0</v>
      </c>
      <c r="X1699" s="1090">
        <f t="shared" si="1041"/>
        <v>0</v>
      </c>
      <c r="Y1699" s="787"/>
      <c r="Z1699" s="791"/>
      <c r="AA1699" s="787"/>
      <c r="AB1699" s="787"/>
      <c r="AC1699" s="679"/>
      <c r="AD1699" s="679"/>
      <c r="AE1699" s="679"/>
      <c r="AF1699" s="679"/>
      <c r="AG1699" s="679"/>
      <c r="AH1699" s="679"/>
      <c r="AI1699" s="682"/>
      <c r="AJ1699" s="682"/>
      <c r="AK1699" s="682"/>
      <c r="AL1699" s="682"/>
      <c r="AM1699" s="682"/>
      <c r="AN1699" s="682"/>
      <c r="AO1699" s="682"/>
      <c r="AP1699" s="682"/>
      <c r="AQ1699" s="682"/>
      <c r="AR1699" s="682"/>
      <c r="AS1699" s="682"/>
    </row>
    <row r="1700" spans="1:45" s="406" customFormat="1" ht="30" hidden="1" customHeight="1" x14ac:dyDescent="0.25">
      <c r="A1700" s="2193"/>
      <c r="B1700" s="2190"/>
      <c r="C1700" s="144" t="s">
        <v>46</v>
      </c>
      <c r="D1700" s="884" t="s">
        <v>10</v>
      </c>
      <c r="E1700" s="1035">
        <v>42979</v>
      </c>
      <c r="F1700" s="71">
        <f t="shared" si="1051"/>
        <v>3307</v>
      </c>
      <c r="G1700" s="1434">
        <v>0</v>
      </c>
      <c r="H1700" s="37"/>
      <c r="I1700" s="37"/>
      <c r="J1700" s="1428"/>
      <c r="K1700" s="37"/>
      <c r="L1700" s="1533">
        <f t="shared" si="1052"/>
        <v>0</v>
      </c>
      <c r="M1700" s="35"/>
      <c r="N1700" s="87"/>
      <c r="O1700" s="35"/>
      <c r="P1700" s="857"/>
      <c r="Q1700" s="795"/>
      <c r="R1700" s="785">
        <f>IFERROR(VLOOKUP($Q1700,'391'!$S:$Z,8,0),"")</f>
        <v>0</v>
      </c>
      <c r="S1700" s="786"/>
      <c r="T1700" s="787"/>
      <c r="U1700" s="787"/>
      <c r="V1700" s="787"/>
      <c r="W1700" s="785">
        <f>IFERROR(VLOOKUP($Q1700,'391'!$S:$AG,15,0),0)</f>
        <v>0</v>
      </c>
      <c r="X1700" s="1090">
        <f t="shared" si="1041"/>
        <v>0</v>
      </c>
      <c r="Y1700" s="787"/>
      <c r="Z1700" s="791"/>
      <c r="AA1700" s="787"/>
      <c r="AB1700" s="787"/>
      <c r="AC1700" s="679"/>
      <c r="AD1700" s="679"/>
      <c r="AE1700" s="679"/>
      <c r="AF1700" s="679"/>
      <c r="AG1700" s="679"/>
      <c r="AH1700" s="679"/>
      <c r="AI1700" s="682"/>
      <c r="AJ1700" s="682"/>
      <c r="AK1700" s="682"/>
      <c r="AL1700" s="682"/>
      <c r="AM1700" s="682"/>
      <c r="AN1700" s="682"/>
      <c r="AO1700" s="682"/>
      <c r="AP1700" s="682"/>
      <c r="AQ1700" s="682"/>
      <c r="AR1700" s="682"/>
      <c r="AS1700" s="682"/>
    </row>
    <row r="1701" spans="1:45" s="420" customFormat="1" ht="30" hidden="1" customHeight="1" x14ac:dyDescent="0.25">
      <c r="A1701" s="2003" t="s">
        <v>40</v>
      </c>
      <c r="B1701" s="2004"/>
      <c r="C1701" s="125"/>
      <c r="D1701" s="1029"/>
      <c r="E1701" s="1029"/>
      <c r="F1701" s="1037"/>
      <c r="G1701" s="1422">
        <v>0</v>
      </c>
      <c r="H1701" s="1422">
        <f>SUM(H1692:H1700)</f>
        <v>0</v>
      </c>
      <c r="I1701" s="1422">
        <f>SUM(I1692:I1700)</f>
        <v>0</v>
      </c>
      <c r="J1701" s="1422">
        <f>SUM(J1692:J1700)</f>
        <v>0</v>
      </c>
      <c r="K1701" s="1422"/>
      <c r="L1701" s="1533">
        <f t="shared" si="1052"/>
        <v>0</v>
      </c>
      <c r="M1701" s="889">
        <v>0</v>
      </c>
      <c r="N1701" s="854" t="e">
        <f>(L1701/M1701)/1000</f>
        <v>#DIV/0!</v>
      </c>
      <c r="O1701" s="889"/>
      <c r="P1701" s="857" t="e">
        <f>(L1701/O1701)/1000</f>
        <v>#DIV/0!</v>
      </c>
      <c r="Q1701" s="795"/>
      <c r="R1701" s="785">
        <f>IFERROR(VLOOKUP($Q1701,'391'!$S:$Z,8,0),"")</f>
        <v>0</v>
      </c>
      <c r="S1701" s="786"/>
      <c r="T1701" s="787"/>
      <c r="U1701" s="787"/>
      <c r="V1701" s="787"/>
      <c r="W1701" s="785">
        <f>IFERROR(VLOOKUP($Q1701,'391'!$S:$AG,15,0),0)</f>
        <v>0</v>
      </c>
      <c r="X1701" s="1090">
        <f t="shared" si="1041"/>
        <v>0</v>
      </c>
      <c r="Y1701" s="787"/>
      <c r="Z1701" s="791"/>
      <c r="AA1701" s="787"/>
      <c r="AB1701" s="787"/>
      <c r="AC1701" s="550"/>
      <c r="AD1701" s="550"/>
      <c r="AE1701" s="550"/>
      <c r="AF1701" s="550"/>
      <c r="AG1701" s="550"/>
      <c r="AH1701" s="550"/>
      <c r="AI1701" s="559"/>
      <c r="AJ1701" s="559"/>
      <c r="AK1701" s="559"/>
      <c r="AL1701" s="559"/>
      <c r="AM1701" s="559"/>
      <c r="AN1701" s="559"/>
      <c r="AO1701" s="559"/>
      <c r="AP1701" s="559"/>
      <c r="AQ1701" s="559"/>
      <c r="AR1701" s="559"/>
      <c r="AS1701" s="559"/>
    </row>
    <row r="1702" spans="1:45" s="422" customFormat="1" ht="30" customHeight="1" x14ac:dyDescent="0.25">
      <c r="A1702" s="2187">
        <f>IF(L1713=0,"",MAX($A$16:A1701)+1)</f>
        <v>120</v>
      </c>
      <c r="B1702" s="390" t="s">
        <v>1962</v>
      </c>
      <c r="C1702" s="1180" t="s">
        <v>1964</v>
      </c>
      <c r="D1702" s="866" t="s">
        <v>10</v>
      </c>
      <c r="E1702" s="1126">
        <v>46270</v>
      </c>
      <c r="F1702" s="71">
        <f t="shared" ref="F1702:F1707" si="1053">$L$7-E1702</f>
        <v>16</v>
      </c>
      <c r="G1702" s="1435">
        <v>0</v>
      </c>
      <c r="H1702" s="58"/>
      <c r="I1702" s="64"/>
      <c r="J1702" s="1365"/>
      <c r="K1702" s="64">
        <f>IFERROR(SUMIF(INTAKE!$A:$A,$T1702,INTAKE!$P:$P),0)</f>
        <v>0</v>
      </c>
      <c r="L1702" s="1702">
        <f t="shared" si="1052"/>
        <v>0</v>
      </c>
      <c r="M1702" s="50"/>
      <c r="N1702" s="50"/>
      <c r="O1702" s="50"/>
      <c r="P1702" s="744"/>
      <c r="Q1702" s="795"/>
      <c r="R1702" s="785">
        <f>IFERROR(VLOOKUP($Q1702,'391'!$S:$Z,8,0),"")</f>
        <v>0</v>
      </c>
      <c r="S1702" s="786"/>
      <c r="T1702" s="787" t="str">
        <f t="shared" ref="T1702:T1712" si="1054">$Q$1713&amp;C1702&amp;E1702</f>
        <v>Premix 51VV4.346270</v>
      </c>
      <c r="U1702" s="787"/>
      <c r="V1702" s="787"/>
      <c r="W1702" s="785">
        <f>IFERROR(VLOOKUP($Q1702,'391'!$S:$AG,15,0),0)</f>
        <v>0</v>
      </c>
      <c r="X1702" s="1090">
        <f t="shared" si="1041"/>
        <v>0</v>
      </c>
      <c r="Y1702" s="787"/>
      <c r="Z1702" s="791"/>
      <c r="AA1702" s="787"/>
      <c r="AB1702" s="787"/>
      <c r="AC1702" s="687"/>
      <c r="AD1702" s="687"/>
      <c r="AE1702" s="687"/>
      <c r="AF1702" s="687"/>
      <c r="AG1702" s="687"/>
      <c r="AH1702" s="687"/>
      <c r="AI1702" s="709"/>
      <c r="AJ1702" s="709"/>
      <c r="AK1702" s="709"/>
      <c r="AL1702" s="709"/>
      <c r="AM1702" s="709"/>
      <c r="AN1702" s="709"/>
      <c r="AO1702" s="709"/>
      <c r="AP1702" s="709"/>
      <c r="AQ1702" s="709"/>
      <c r="AR1702" s="709"/>
      <c r="AS1702" s="709"/>
    </row>
    <row r="1703" spans="1:45" s="422" customFormat="1" ht="30" customHeight="1" x14ac:dyDescent="0.25">
      <c r="A1703" s="2188"/>
      <c r="B1703" s="390" t="s">
        <v>1962</v>
      </c>
      <c r="C1703" s="1180" t="s">
        <v>1830</v>
      </c>
      <c r="D1703" s="866" t="s">
        <v>10</v>
      </c>
      <c r="E1703" s="1126">
        <v>46270</v>
      </c>
      <c r="F1703" s="71">
        <f t="shared" ref="F1703:F1706" si="1055">$L$7-E1703</f>
        <v>16</v>
      </c>
      <c r="G1703" s="1435">
        <v>0</v>
      </c>
      <c r="H1703" s="58"/>
      <c r="I1703" s="64"/>
      <c r="J1703" s="1365"/>
      <c r="K1703" s="64">
        <f>IFERROR(SUMIF(INTAKE!$A:$A,$T1703,INTAKE!$P:$P),0)</f>
        <v>0</v>
      </c>
      <c r="L1703" s="1702">
        <f t="shared" si="1052"/>
        <v>0</v>
      </c>
      <c r="M1703" s="48"/>
      <c r="N1703" s="48"/>
      <c r="O1703" s="48"/>
      <c r="P1703" s="738"/>
      <c r="Q1703" s="795"/>
      <c r="R1703" s="785">
        <f>IFERROR(VLOOKUP($Q1703,'391'!$S:$Z,8,0),"")</f>
        <v>0</v>
      </c>
      <c r="S1703" s="786"/>
      <c r="T1703" s="787" t="str">
        <f t="shared" si="1054"/>
        <v>Premix 51VV9.246270</v>
      </c>
      <c r="U1703" s="787"/>
      <c r="V1703" s="787"/>
      <c r="W1703" s="785">
        <f>IFERROR(VLOOKUP($Q1703,'391'!$S:$AG,15,0),0)</f>
        <v>0</v>
      </c>
      <c r="X1703" s="1090">
        <f t="shared" si="1041"/>
        <v>0</v>
      </c>
      <c r="Y1703" s="787"/>
      <c r="Z1703" s="791"/>
      <c r="AA1703" s="787"/>
      <c r="AB1703" s="787"/>
      <c r="AC1703" s="687"/>
      <c r="AD1703" s="687"/>
      <c r="AE1703" s="687"/>
      <c r="AF1703" s="687"/>
      <c r="AG1703" s="687"/>
      <c r="AH1703" s="687"/>
      <c r="AI1703" s="709"/>
      <c r="AJ1703" s="709"/>
      <c r="AK1703" s="709"/>
      <c r="AL1703" s="709"/>
      <c r="AM1703" s="709"/>
      <c r="AN1703" s="709"/>
      <c r="AO1703" s="709"/>
      <c r="AP1703" s="709"/>
      <c r="AQ1703" s="709"/>
      <c r="AR1703" s="709"/>
      <c r="AS1703" s="709"/>
    </row>
    <row r="1704" spans="1:45" s="422" customFormat="1" ht="30" customHeight="1" x14ac:dyDescent="0.25">
      <c r="A1704" s="2188"/>
      <c r="B1704" s="390" t="s">
        <v>2203</v>
      </c>
      <c r="C1704" s="1180" t="s">
        <v>149</v>
      </c>
      <c r="D1704" s="866" t="s">
        <v>10</v>
      </c>
      <c r="E1704" s="1126">
        <v>46275</v>
      </c>
      <c r="F1704" s="71">
        <f t="shared" si="1055"/>
        <v>11</v>
      </c>
      <c r="G1704" s="1435">
        <v>1500</v>
      </c>
      <c r="H1704" s="58"/>
      <c r="I1704" s="64"/>
      <c r="J1704" s="1365"/>
      <c r="K1704" s="64">
        <f>IFERROR(SUMIF(INTAKE!$A:$A,$T1704,INTAKE!$P:$P),0)</f>
        <v>0</v>
      </c>
      <c r="L1704" s="1702">
        <f t="shared" si="1052"/>
        <v>1500</v>
      </c>
      <c r="M1704" s="48"/>
      <c r="N1704" s="48"/>
      <c r="O1704" s="48"/>
      <c r="P1704" s="738"/>
      <c r="Q1704" s="795"/>
      <c r="R1704" s="785">
        <f>IFERROR(VLOOKUP($Q1704,'391'!$S:$Z,8,0),"")</f>
        <v>0</v>
      </c>
      <c r="S1704" s="786"/>
      <c r="T1704" s="787" t="str">
        <f t="shared" si="1054"/>
        <v>Premix 51VY4.246275</v>
      </c>
      <c r="U1704" s="787"/>
      <c r="V1704" s="787"/>
      <c r="W1704" s="785">
        <f>IFERROR(VLOOKUP($Q1704,'391'!$S:$AG,15,0),0)</f>
        <v>0</v>
      </c>
      <c r="X1704" s="1090">
        <f t="shared" si="1041"/>
        <v>1500</v>
      </c>
      <c r="Y1704" s="787"/>
      <c r="Z1704" s="791"/>
      <c r="AA1704" s="787"/>
      <c r="AB1704" s="787"/>
      <c r="AC1704" s="687"/>
      <c r="AD1704" s="687"/>
      <c r="AE1704" s="687"/>
      <c r="AF1704" s="687"/>
      <c r="AG1704" s="687"/>
      <c r="AH1704" s="687"/>
      <c r="AI1704" s="709"/>
      <c r="AJ1704" s="709"/>
      <c r="AK1704" s="709"/>
      <c r="AL1704" s="709"/>
      <c r="AM1704" s="709"/>
      <c r="AN1704" s="709"/>
      <c r="AO1704" s="709"/>
      <c r="AP1704" s="709"/>
      <c r="AQ1704" s="709"/>
      <c r="AR1704" s="709"/>
      <c r="AS1704" s="709"/>
    </row>
    <row r="1705" spans="1:45" s="422" customFormat="1" ht="30" customHeight="1" x14ac:dyDescent="0.25">
      <c r="A1705" s="2188"/>
      <c r="B1705" s="390" t="s">
        <v>2203</v>
      </c>
      <c r="C1705" s="1180" t="s">
        <v>1913</v>
      </c>
      <c r="D1705" s="866" t="s">
        <v>10</v>
      </c>
      <c r="E1705" s="1126">
        <v>46275</v>
      </c>
      <c r="F1705" s="71">
        <f t="shared" si="1055"/>
        <v>11</v>
      </c>
      <c r="G1705" s="1435">
        <v>1050</v>
      </c>
      <c r="H1705" s="58"/>
      <c r="I1705" s="64"/>
      <c r="J1705" s="1365"/>
      <c r="K1705" s="64">
        <f>IFERROR(SUMIF(INTAKE!$A:$A,$T1705,INTAKE!$P:$P),0)</f>
        <v>0</v>
      </c>
      <c r="L1705" s="1702">
        <f>+G1705+H1705+I1705-J1705-K1705</f>
        <v>1050</v>
      </c>
      <c r="M1705" s="48"/>
      <c r="N1705" s="48"/>
      <c r="O1705" s="48"/>
      <c r="P1705" s="738"/>
      <c r="Q1705" s="795"/>
      <c r="R1705" s="785">
        <f>IFERROR(VLOOKUP($Q1705,'391'!$S:$Z,8,0),"")</f>
        <v>0</v>
      </c>
      <c r="S1705" s="786"/>
      <c r="T1705" s="787" t="str">
        <f t="shared" si="1054"/>
        <v>Premix 51VV8.346275</v>
      </c>
      <c r="U1705" s="787"/>
      <c r="V1705" s="787"/>
      <c r="W1705" s="785">
        <f>IFERROR(VLOOKUP($Q1705,'391'!$S:$AG,15,0),0)</f>
        <v>0</v>
      </c>
      <c r="X1705" s="1090">
        <f t="shared" si="1041"/>
        <v>1050</v>
      </c>
      <c r="Y1705" s="787"/>
      <c r="Z1705" s="791"/>
      <c r="AA1705" s="787"/>
      <c r="AB1705" s="787"/>
      <c r="AC1705" s="687"/>
      <c r="AD1705" s="687"/>
      <c r="AE1705" s="687"/>
      <c r="AF1705" s="687"/>
      <c r="AG1705" s="687"/>
      <c r="AH1705" s="687"/>
      <c r="AI1705" s="709"/>
      <c r="AJ1705" s="709"/>
      <c r="AK1705" s="709"/>
      <c r="AL1705" s="709"/>
      <c r="AM1705" s="709"/>
      <c r="AN1705" s="709"/>
      <c r="AO1705" s="709"/>
      <c r="AP1705" s="709"/>
      <c r="AQ1705" s="709"/>
      <c r="AR1705" s="709"/>
      <c r="AS1705" s="709"/>
    </row>
    <row r="1706" spans="1:45" s="422" customFormat="1" ht="30" customHeight="1" x14ac:dyDescent="0.25">
      <c r="A1706" s="2188"/>
      <c r="B1706" s="390" t="s">
        <v>2203</v>
      </c>
      <c r="C1706" s="1180" t="s">
        <v>2202</v>
      </c>
      <c r="D1706" s="866" t="s">
        <v>10</v>
      </c>
      <c r="E1706" s="1126">
        <v>46275</v>
      </c>
      <c r="F1706" s="71">
        <f t="shared" si="1055"/>
        <v>11</v>
      </c>
      <c r="G1706" s="1435">
        <v>1050</v>
      </c>
      <c r="H1706" s="58"/>
      <c r="I1706" s="64"/>
      <c r="J1706" s="1365"/>
      <c r="K1706" s="64">
        <f>IFERROR(SUMIF(INTAKE!$A:$A,$T1706,INTAKE!$P:$P),0)</f>
        <v>0</v>
      </c>
      <c r="L1706" s="1702">
        <f>+G1706+H1706+I1706-J1706-K1706</f>
        <v>1050</v>
      </c>
      <c r="M1706" s="48"/>
      <c r="N1706" s="48"/>
      <c r="O1706" s="48"/>
      <c r="P1706" s="738"/>
      <c r="Q1706" s="795"/>
      <c r="R1706" s="785">
        <f>IFERROR(VLOOKUP($Q1706,'391'!$S:$Z,8,0),"")</f>
        <v>0</v>
      </c>
      <c r="S1706" s="786"/>
      <c r="T1706" s="787" t="str">
        <f t="shared" si="1054"/>
        <v>Premix 51VV9.346275</v>
      </c>
      <c r="U1706" s="787"/>
      <c r="V1706" s="787"/>
      <c r="W1706" s="785">
        <f>IFERROR(VLOOKUP($Q1706,'391'!$S:$AG,15,0),0)</f>
        <v>0</v>
      </c>
      <c r="X1706" s="1090">
        <f t="shared" si="1041"/>
        <v>1050</v>
      </c>
      <c r="Y1706" s="787"/>
      <c r="Z1706" s="791"/>
      <c r="AA1706" s="787"/>
      <c r="AB1706" s="787"/>
      <c r="AC1706" s="687"/>
      <c r="AD1706" s="687"/>
      <c r="AE1706" s="687"/>
      <c r="AF1706" s="687"/>
      <c r="AG1706" s="687"/>
      <c r="AH1706" s="687"/>
      <c r="AI1706" s="709"/>
      <c r="AJ1706" s="709"/>
      <c r="AK1706" s="709"/>
      <c r="AL1706" s="709"/>
      <c r="AM1706" s="709"/>
      <c r="AN1706" s="709"/>
      <c r="AO1706" s="709"/>
      <c r="AP1706" s="709"/>
      <c r="AQ1706" s="709"/>
      <c r="AR1706" s="709"/>
      <c r="AS1706" s="709"/>
    </row>
    <row r="1707" spans="1:45" s="422" customFormat="1" ht="30" hidden="1" customHeight="1" x14ac:dyDescent="0.25">
      <c r="A1707" s="2188"/>
      <c r="B1707" s="390" t="s">
        <v>2203</v>
      </c>
      <c r="C1707" s="1180"/>
      <c r="D1707" s="866" t="s">
        <v>10</v>
      </c>
      <c r="E1707" s="1126">
        <v>46275</v>
      </c>
      <c r="F1707" s="71">
        <f t="shared" si="1053"/>
        <v>11</v>
      </c>
      <c r="G1707" s="1435">
        <v>0</v>
      </c>
      <c r="H1707" s="58"/>
      <c r="I1707" s="64"/>
      <c r="J1707" s="1365"/>
      <c r="K1707" s="64">
        <f>IFERROR(SUMIF(INTAKE!$A:$A,$T1707,INTAKE!$P:$P),0)</f>
        <v>0</v>
      </c>
      <c r="L1707" s="1702">
        <f>+G1707+H1707+I1707-J1707-K1707</f>
        <v>0</v>
      </c>
      <c r="M1707" s="604"/>
      <c r="N1707" s="605"/>
      <c r="O1707" s="605"/>
      <c r="P1707" s="746"/>
      <c r="Q1707" s="795"/>
      <c r="R1707" s="785">
        <f>IFERROR(VLOOKUP($Q1707,'391'!$S:$Z,8,0),"")</f>
        <v>0</v>
      </c>
      <c r="S1707" s="786"/>
      <c r="T1707" s="787" t="str">
        <f t="shared" si="1054"/>
        <v>Premix 51V46275</v>
      </c>
      <c r="U1707" s="787"/>
      <c r="V1707" s="787"/>
      <c r="W1707" s="785">
        <f>IFERROR(VLOOKUP($Q1707,'391'!$S:$AG,15,0),0)</f>
        <v>0</v>
      </c>
      <c r="X1707" s="1090">
        <f t="shared" si="1041"/>
        <v>0</v>
      </c>
      <c r="Y1707" s="787"/>
      <c r="Z1707" s="791"/>
      <c r="AA1707" s="787"/>
      <c r="AB1707" s="787"/>
      <c r="AC1707" s="687"/>
      <c r="AD1707" s="687"/>
      <c r="AE1707" s="687"/>
      <c r="AF1707" s="687"/>
      <c r="AG1707" s="687"/>
      <c r="AH1707" s="687"/>
      <c r="AI1707" s="709"/>
      <c r="AJ1707" s="709"/>
      <c r="AK1707" s="709"/>
      <c r="AL1707" s="709"/>
      <c r="AM1707" s="709"/>
      <c r="AN1707" s="709"/>
      <c r="AO1707" s="709"/>
      <c r="AP1707" s="709"/>
      <c r="AQ1707" s="709"/>
      <c r="AR1707" s="709"/>
      <c r="AS1707" s="709"/>
    </row>
    <row r="1708" spans="1:45" s="422" customFormat="1" ht="30" hidden="1" customHeight="1" x14ac:dyDescent="0.25">
      <c r="A1708" s="2188"/>
      <c r="B1708" s="390" t="s">
        <v>2203</v>
      </c>
      <c r="C1708" s="1180"/>
      <c r="D1708" s="866" t="s">
        <v>10</v>
      </c>
      <c r="E1708" s="1126">
        <v>46275</v>
      </c>
      <c r="F1708" s="71">
        <f t="shared" ref="F1708" si="1056">$L$7-E1708</f>
        <v>11</v>
      </c>
      <c r="G1708" s="1435">
        <v>0</v>
      </c>
      <c r="H1708" s="58"/>
      <c r="I1708" s="64"/>
      <c r="J1708" s="1365"/>
      <c r="K1708" s="64">
        <f>IFERROR(SUMIF(INTAKE!$A:$A,$T1708,INTAKE!$P:$P),0)</f>
        <v>0</v>
      </c>
      <c r="L1708" s="1702">
        <f>+G1708+H1708+I1708-J1708-K1708</f>
        <v>0</v>
      </c>
      <c r="M1708" s="46"/>
      <c r="N1708" s="46"/>
      <c r="O1708" s="46"/>
      <c r="P1708" s="734"/>
      <c r="Q1708" s="795"/>
      <c r="R1708" s="785">
        <f>IFERROR(VLOOKUP($Q1708,'391'!$S:$Z,8,0),"")</f>
        <v>0</v>
      </c>
      <c r="S1708" s="786"/>
      <c r="T1708" s="787" t="str">
        <f t="shared" si="1054"/>
        <v>Premix 51V46275</v>
      </c>
      <c r="U1708" s="787"/>
      <c r="V1708" s="787"/>
      <c r="W1708" s="785">
        <f>IFERROR(VLOOKUP($Q1708,'391'!$S:$AG,15,0),0)</f>
        <v>0</v>
      </c>
      <c r="X1708" s="1090">
        <f t="shared" si="1041"/>
        <v>0</v>
      </c>
      <c r="Y1708" s="787"/>
      <c r="Z1708" s="791"/>
      <c r="AA1708" s="787"/>
      <c r="AB1708" s="787"/>
      <c r="AC1708" s="687"/>
      <c r="AD1708" s="687"/>
      <c r="AE1708" s="687"/>
      <c r="AF1708" s="687"/>
      <c r="AG1708" s="687"/>
      <c r="AH1708" s="687"/>
      <c r="AI1708" s="709"/>
      <c r="AJ1708" s="709"/>
      <c r="AK1708" s="709"/>
      <c r="AL1708" s="709"/>
      <c r="AM1708" s="709"/>
      <c r="AN1708" s="709"/>
      <c r="AO1708" s="709"/>
      <c r="AP1708" s="709"/>
      <c r="AQ1708" s="709"/>
      <c r="AR1708" s="709"/>
      <c r="AS1708" s="709"/>
    </row>
    <row r="1709" spans="1:45" s="422" customFormat="1" ht="30" hidden="1" customHeight="1" x14ac:dyDescent="0.25">
      <c r="A1709" s="2188"/>
      <c r="B1709" s="390" t="s">
        <v>1821</v>
      </c>
      <c r="C1709" s="1180"/>
      <c r="D1709" s="866" t="s">
        <v>10</v>
      </c>
      <c r="E1709" s="1126">
        <v>46150</v>
      </c>
      <c r="F1709" s="71">
        <f t="shared" ref="F1709" si="1057">$L$7-E1709</f>
        <v>136</v>
      </c>
      <c r="G1709" s="1435">
        <v>0</v>
      </c>
      <c r="H1709" s="58"/>
      <c r="I1709" s="64"/>
      <c r="J1709" s="1365"/>
      <c r="K1709" s="64">
        <f>IFERROR(SUMIF(INTAKE!$A:$A,$T1709,INTAKE!$P:$P),0)</f>
        <v>0</v>
      </c>
      <c r="L1709" s="1702">
        <f>+G1709+H1709+I1709-J1709-K1709</f>
        <v>0</v>
      </c>
      <c r="M1709" s="45"/>
      <c r="N1709" s="45"/>
      <c r="O1709" s="45"/>
      <c r="P1709" s="736"/>
      <c r="Q1709" s="795"/>
      <c r="R1709" s="785">
        <f>IFERROR(VLOOKUP($Q1709,'391'!$S:$Z,8,0),"")</f>
        <v>0</v>
      </c>
      <c r="S1709" s="786"/>
      <c r="T1709" s="787" t="str">
        <f t="shared" si="1054"/>
        <v>Premix 51V46150</v>
      </c>
      <c r="U1709" s="787"/>
      <c r="V1709" s="787"/>
      <c r="W1709" s="785">
        <f>IFERROR(VLOOKUP($Q1709,'391'!$S:$AG,15,0),0)</f>
        <v>0</v>
      </c>
      <c r="X1709" s="1090">
        <f t="shared" si="1041"/>
        <v>0</v>
      </c>
      <c r="Y1709" s="787"/>
      <c r="Z1709" s="791"/>
      <c r="AA1709" s="787"/>
      <c r="AB1709" s="787"/>
      <c r="AC1709" s="687"/>
      <c r="AD1709" s="687"/>
      <c r="AE1709" s="687"/>
      <c r="AF1709" s="687"/>
      <c r="AG1709" s="687"/>
      <c r="AH1709" s="687"/>
      <c r="AI1709" s="709"/>
      <c r="AJ1709" s="709"/>
      <c r="AK1709" s="709"/>
      <c r="AL1709" s="709"/>
      <c r="AM1709" s="709"/>
      <c r="AN1709" s="709"/>
      <c r="AO1709" s="709"/>
      <c r="AP1709" s="709"/>
      <c r="AQ1709" s="709"/>
      <c r="AR1709" s="709"/>
      <c r="AS1709" s="709"/>
    </row>
    <row r="1710" spans="1:45" s="422" customFormat="1" ht="30" hidden="1" customHeight="1" x14ac:dyDescent="0.25">
      <c r="A1710" s="2188"/>
      <c r="B1710" s="390" t="s">
        <v>1821</v>
      </c>
      <c r="C1710" s="1180"/>
      <c r="D1710" s="866" t="s">
        <v>10</v>
      </c>
      <c r="E1710" s="1126">
        <v>46150</v>
      </c>
      <c r="F1710" s="71">
        <f t="shared" ref="F1710" si="1058">$L$7-E1710</f>
        <v>136</v>
      </c>
      <c r="G1710" s="1435">
        <v>0</v>
      </c>
      <c r="H1710" s="58"/>
      <c r="I1710" s="64"/>
      <c r="J1710" s="1365"/>
      <c r="K1710" s="64">
        <f>IFERROR(SUMIF(INTAKE!$A:$A,$T1710,INTAKE!$P:$P),0)</f>
        <v>0</v>
      </c>
      <c r="L1710" s="1702">
        <f t="shared" si="1052"/>
        <v>0</v>
      </c>
      <c r="M1710" s="604"/>
      <c r="N1710" s="605"/>
      <c r="O1710" s="605"/>
      <c r="P1710" s="746"/>
      <c r="Q1710" s="795"/>
      <c r="R1710" s="785">
        <f>IFERROR(VLOOKUP($Q1710,'391'!$S:$Z,8,0),"")</f>
        <v>0</v>
      </c>
      <c r="S1710" s="786"/>
      <c r="T1710" s="787" t="str">
        <f t="shared" si="1054"/>
        <v>Premix 51V46150</v>
      </c>
      <c r="U1710" s="787"/>
      <c r="V1710" s="787"/>
      <c r="W1710" s="785">
        <f>IFERROR(VLOOKUP($Q1710,'391'!$S:$AG,15,0),0)</f>
        <v>0</v>
      </c>
      <c r="X1710" s="1090">
        <f t="shared" si="1041"/>
        <v>0</v>
      </c>
      <c r="Y1710" s="787"/>
      <c r="Z1710" s="791"/>
      <c r="AA1710" s="787"/>
      <c r="AB1710" s="787"/>
      <c r="AC1710" s="687"/>
      <c r="AD1710" s="687"/>
      <c r="AE1710" s="687"/>
      <c r="AF1710" s="687"/>
      <c r="AG1710" s="687"/>
      <c r="AH1710" s="687"/>
      <c r="AI1710" s="709"/>
      <c r="AJ1710" s="709"/>
      <c r="AK1710" s="709"/>
      <c r="AL1710" s="709"/>
      <c r="AM1710" s="709"/>
      <c r="AN1710" s="709"/>
      <c r="AO1710" s="709"/>
      <c r="AP1710" s="709"/>
      <c r="AQ1710" s="709"/>
      <c r="AR1710" s="709"/>
      <c r="AS1710" s="709"/>
    </row>
    <row r="1711" spans="1:45" s="422" customFormat="1" ht="30" hidden="1" customHeight="1" x14ac:dyDescent="0.25">
      <c r="A1711" s="2188"/>
      <c r="B1711" s="390" t="s">
        <v>1543</v>
      </c>
      <c r="C1711" s="1180"/>
      <c r="D1711" s="866" t="s">
        <v>10</v>
      </c>
      <c r="E1711" s="1126">
        <v>45695</v>
      </c>
      <c r="F1711" s="71">
        <f t="shared" ref="F1711:F1712" si="1059">$L$7-E1711</f>
        <v>591</v>
      </c>
      <c r="G1711" s="1435">
        <v>0</v>
      </c>
      <c r="H1711" s="58"/>
      <c r="I1711" s="64"/>
      <c r="J1711" s="1365"/>
      <c r="K1711" s="64">
        <f>IFERROR(SUMIF(INTAKE!$A:$A,$T1711,INTAKE!$P:$P),0)</f>
        <v>0</v>
      </c>
      <c r="L1711" s="1702">
        <f t="shared" si="1052"/>
        <v>0</v>
      </c>
      <c r="M1711" s="1770"/>
      <c r="N1711" s="1770"/>
      <c r="O1711" s="1770"/>
      <c r="P1711" s="1771"/>
      <c r="Q1711" s="795"/>
      <c r="R1711" s="785">
        <f>IFERROR(VLOOKUP($Q1711,'391'!$S:$Z,8,0),"")</f>
        <v>0</v>
      </c>
      <c r="S1711" s="786"/>
      <c r="T1711" s="787" t="str">
        <f t="shared" si="1054"/>
        <v>Premix 51V45695</v>
      </c>
      <c r="U1711" s="787"/>
      <c r="V1711" s="787"/>
      <c r="W1711" s="785">
        <f>IFERROR(VLOOKUP($Q1711,'391'!$S:$AG,15,0),0)</f>
        <v>0</v>
      </c>
      <c r="X1711" s="1090">
        <f t="shared" si="1041"/>
        <v>0</v>
      </c>
      <c r="Y1711" s="787"/>
      <c r="Z1711" s="791"/>
      <c r="AA1711" s="787"/>
      <c r="AB1711" s="787"/>
      <c r="AC1711" s="687"/>
      <c r="AD1711" s="687"/>
      <c r="AE1711" s="687"/>
      <c r="AF1711" s="687"/>
      <c r="AG1711" s="687"/>
      <c r="AH1711" s="687"/>
      <c r="AI1711" s="709"/>
      <c r="AJ1711" s="709"/>
      <c r="AK1711" s="709"/>
      <c r="AL1711" s="709"/>
      <c r="AM1711" s="709"/>
      <c r="AN1711" s="709"/>
      <c r="AO1711" s="709"/>
      <c r="AP1711" s="709"/>
      <c r="AQ1711" s="709"/>
      <c r="AR1711" s="709"/>
      <c r="AS1711" s="709"/>
    </row>
    <row r="1712" spans="1:45" s="421" customFormat="1" ht="30" customHeight="1" x14ac:dyDescent="0.25">
      <c r="A1712" s="2188"/>
      <c r="B1712" s="395" t="s">
        <v>1962</v>
      </c>
      <c r="C1712" s="84" t="s">
        <v>46</v>
      </c>
      <c r="D1712" s="884" t="s">
        <v>10</v>
      </c>
      <c r="E1712" s="1123">
        <v>46270</v>
      </c>
      <c r="F1712" s="71">
        <f t="shared" si="1059"/>
        <v>16</v>
      </c>
      <c r="G1712" s="1434">
        <v>1190.7400000000005</v>
      </c>
      <c r="H1712" s="37"/>
      <c r="I1712" s="37">
        <f>+SUM(K1702:K1707)</f>
        <v>0</v>
      </c>
      <c r="J1712" s="1385">
        <f>+usage!I236</f>
        <v>119.34</v>
      </c>
      <c r="K1712" s="64">
        <f>IFERROR(SUMIF(INTAKE!$A:$A,$T1712,INTAKE!$P:$P),0)</f>
        <v>0</v>
      </c>
      <c r="L1712" s="1533">
        <f t="shared" si="1052"/>
        <v>1071.4000000000005</v>
      </c>
      <c r="M1712" s="53"/>
      <c r="N1712" s="53"/>
      <c r="O1712" s="53"/>
      <c r="P1712" s="735"/>
      <c r="Q1712" s="795"/>
      <c r="R1712" s="785">
        <f>IFERROR(VLOOKUP($Q1712,'391'!$S:$Z,8,0),"")</f>
        <v>0</v>
      </c>
      <c r="S1712" s="786"/>
      <c r="T1712" s="787" t="str">
        <f t="shared" si="1054"/>
        <v>Premix 51VFeedmill46270</v>
      </c>
      <c r="U1712" s="787"/>
      <c r="V1712" s="787"/>
      <c r="W1712" s="785">
        <f>IFERROR(VLOOKUP($Q1712,'391'!$S:$AG,15,0),0)</f>
        <v>0</v>
      </c>
      <c r="X1712" s="1090">
        <f t="shared" si="1041"/>
        <v>1190.7400000000005</v>
      </c>
      <c r="Y1712" s="787"/>
      <c r="Z1712" s="791"/>
      <c r="AA1712" s="787"/>
      <c r="AB1712" s="787"/>
      <c r="AC1712" s="687"/>
      <c r="AD1712" s="687"/>
      <c r="AE1712" s="687"/>
      <c r="AF1712" s="687"/>
      <c r="AG1712" s="687"/>
      <c r="AH1712" s="687"/>
      <c r="AI1712" s="709"/>
      <c r="AJ1712" s="709"/>
      <c r="AK1712" s="709"/>
      <c r="AL1712" s="709"/>
      <c r="AM1712" s="709"/>
      <c r="AN1712" s="709"/>
      <c r="AO1712" s="709"/>
      <c r="AP1712" s="709"/>
      <c r="AQ1712" s="709"/>
      <c r="AR1712" s="709"/>
      <c r="AS1712" s="709"/>
    </row>
    <row r="1713" spans="1:45" s="420" customFormat="1" ht="30" customHeight="1" x14ac:dyDescent="0.25">
      <c r="A1713" s="2003" t="s">
        <v>54</v>
      </c>
      <c r="B1713" s="2004"/>
      <c r="C1713" s="2087"/>
      <c r="D1713" s="2087"/>
      <c r="E1713" s="2087"/>
      <c r="F1713" s="2087"/>
      <c r="G1713" s="1422">
        <v>4790.7400000000007</v>
      </c>
      <c r="H1713" s="1422">
        <f t="shared" ref="H1713:L1713" si="1060">SUM(H1702:H1712)</f>
        <v>0</v>
      </c>
      <c r="I1713" s="1422">
        <f t="shared" si="1060"/>
        <v>0</v>
      </c>
      <c r="J1713" s="1422">
        <f t="shared" si="1060"/>
        <v>119.34</v>
      </c>
      <c r="K1713" s="1422">
        <f t="shared" si="1060"/>
        <v>0</v>
      </c>
      <c r="L1713" s="1422">
        <f t="shared" si="1060"/>
        <v>4671.4000000000005</v>
      </c>
      <c r="M1713" s="889">
        <f>IFERROR(R1713/$S$2,"")</f>
        <v>320.75666666666666</v>
      </c>
      <c r="N1713" s="854">
        <f>(L1713/M1713)</f>
        <v>14.563687946210525</v>
      </c>
      <c r="O1713" s="889">
        <f>IFERROR(SUMIF(ETM!$A:$A,$Q1713,ETM!$E:$E),"")</f>
        <v>295.83333333333331</v>
      </c>
      <c r="P1713" s="880">
        <f>IFERROR(L1713/O1713,0)</f>
        <v>15.790647887323946</v>
      </c>
      <c r="Q1713" s="814" t="s">
        <v>644</v>
      </c>
      <c r="R1713" s="785">
        <f>IFERROR(VLOOKUP($Q1713,'391'!$S:$Z,8,0),"")</f>
        <v>1924.54</v>
      </c>
      <c r="S1713" s="786"/>
      <c r="T1713" s="787"/>
      <c r="U1713" s="787"/>
      <c r="V1713" s="787"/>
      <c r="W1713" s="785">
        <f>IFERROR(VLOOKUP($Q1713,'391'!$S:$AG,15,0),0)</f>
        <v>4790.74</v>
      </c>
      <c r="X1713" s="1090">
        <f t="shared" si="1041"/>
        <v>0</v>
      </c>
      <c r="Y1713" s="787"/>
      <c r="Z1713" s="791"/>
      <c r="AA1713" s="787"/>
      <c r="AB1713" s="787"/>
      <c r="AC1713" s="550"/>
      <c r="AD1713" s="550"/>
      <c r="AE1713" s="550"/>
      <c r="AF1713" s="550"/>
      <c r="AG1713" s="550"/>
      <c r="AH1713" s="550"/>
      <c r="AI1713" s="559"/>
      <c r="AJ1713" s="559"/>
      <c r="AK1713" s="559"/>
      <c r="AL1713" s="559"/>
      <c r="AM1713" s="559"/>
      <c r="AN1713" s="559"/>
      <c r="AO1713" s="559"/>
      <c r="AP1713" s="559"/>
      <c r="AQ1713" s="559"/>
      <c r="AR1713" s="559"/>
      <c r="AS1713" s="559"/>
    </row>
    <row r="1714" spans="1:45" s="6" customFormat="1" ht="30" hidden="1" customHeight="1" x14ac:dyDescent="0.25">
      <c r="A1714" s="2010" t="str">
        <f>IF(L1722=0,"",MAX($A$16:A1713)+1)</f>
        <v/>
      </c>
      <c r="B1714" s="2008" t="s">
        <v>160</v>
      </c>
      <c r="C1714" s="237" t="s">
        <v>271</v>
      </c>
      <c r="D1714" s="1111" t="s">
        <v>10</v>
      </c>
      <c r="E1714" s="1126">
        <v>44203</v>
      </c>
      <c r="F1714" s="71">
        <f t="shared" ref="F1714:F1721" si="1061">$L$7-E1714</f>
        <v>2083</v>
      </c>
      <c r="G1714" s="1427">
        <v>0</v>
      </c>
      <c r="H1714" s="12"/>
      <c r="I1714" s="12"/>
      <c r="J1714" s="1368"/>
      <c r="K1714" s="12"/>
      <c r="L1714" s="1533">
        <f t="shared" ref="L1714:L1733" si="1062">+G1714+H1714+I1714-J1714-K1714</f>
        <v>0</v>
      </c>
      <c r="M1714" s="66"/>
      <c r="N1714" s="920"/>
      <c r="O1714" s="66"/>
      <c r="P1714" s="857"/>
      <c r="Q1714" s="795"/>
      <c r="R1714" s="785">
        <f>IFERROR(VLOOKUP($Q1714,'391'!$S:$Z,8,0),"")</f>
        <v>0</v>
      </c>
      <c r="S1714" s="786"/>
      <c r="T1714" s="787"/>
      <c r="U1714" s="787"/>
      <c r="V1714" s="787"/>
      <c r="W1714" s="785">
        <f>IFERROR(VLOOKUP($Q1714,'391'!$S:$AG,15,0),0)</f>
        <v>0</v>
      </c>
      <c r="X1714" s="1090">
        <f t="shared" si="1041"/>
        <v>0</v>
      </c>
      <c r="Y1714" s="787"/>
      <c r="Z1714" s="791"/>
      <c r="AA1714" s="787"/>
      <c r="AB1714" s="787"/>
      <c r="AC1714" s="679"/>
      <c r="AD1714" s="679"/>
      <c r="AE1714" s="679"/>
      <c r="AF1714" s="679"/>
      <c r="AG1714" s="679"/>
      <c r="AH1714" s="679"/>
      <c r="AI1714" s="682"/>
      <c r="AJ1714" s="682"/>
      <c r="AK1714" s="682"/>
      <c r="AL1714" s="682"/>
      <c r="AM1714" s="682"/>
      <c r="AN1714" s="682"/>
      <c r="AO1714" s="682"/>
      <c r="AP1714" s="682"/>
      <c r="AQ1714" s="682"/>
      <c r="AR1714" s="682"/>
      <c r="AS1714" s="682"/>
    </row>
    <row r="1715" spans="1:45" s="6" customFormat="1" ht="30" hidden="1" customHeight="1" x14ac:dyDescent="0.25">
      <c r="A1715" s="2002"/>
      <c r="B1715" s="2009"/>
      <c r="C1715" s="237" t="s">
        <v>271</v>
      </c>
      <c r="D1715" s="866" t="s">
        <v>10</v>
      </c>
      <c r="E1715" s="1126">
        <v>44204</v>
      </c>
      <c r="F1715" s="71">
        <f t="shared" si="1061"/>
        <v>2082</v>
      </c>
      <c r="G1715" s="1427">
        <v>0</v>
      </c>
      <c r="H1715" s="12"/>
      <c r="I1715" s="12"/>
      <c r="J1715" s="1368"/>
      <c r="K1715" s="12"/>
      <c r="L1715" s="1533">
        <f t="shared" si="1062"/>
        <v>0</v>
      </c>
      <c r="M1715" s="147"/>
      <c r="N1715" s="248"/>
      <c r="O1715" s="147"/>
      <c r="P1715" s="857"/>
      <c r="Q1715" s="795"/>
      <c r="R1715" s="785">
        <f>IFERROR(VLOOKUP($Q1715,'391'!$S:$Z,8,0),"")</f>
        <v>0</v>
      </c>
      <c r="S1715" s="786"/>
      <c r="T1715" s="787"/>
      <c r="U1715" s="787"/>
      <c r="V1715" s="787"/>
      <c r="W1715" s="785">
        <f>IFERROR(VLOOKUP($Q1715,'391'!$S:$AG,15,0),0)</f>
        <v>0</v>
      </c>
      <c r="X1715" s="1090">
        <f t="shared" si="1041"/>
        <v>0</v>
      </c>
      <c r="Y1715" s="787"/>
      <c r="Z1715" s="791"/>
      <c r="AA1715" s="787"/>
      <c r="AB1715" s="787"/>
      <c r="AC1715" s="679"/>
      <c r="AD1715" s="679"/>
      <c r="AE1715" s="679"/>
      <c r="AF1715" s="679"/>
      <c r="AG1715" s="679"/>
      <c r="AH1715" s="679"/>
      <c r="AI1715" s="682"/>
      <c r="AJ1715" s="682"/>
      <c r="AK1715" s="682"/>
      <c r="AL1715" s="682"/>
      <c r="AM1715" s="682"/>
      <c r="AN1715" s="682"/>
      <c r="AO1715" s="682"/>
      <c r="AP1715" s="682"/>
      <c r="AQ1715" s="682"/>
      <c r="AR1715" s="682"/>
      <c r="AS1715" s="682"/>
    </row>
    <row r="1716" spans="1:45" s="6" customFormat="1" ht="30" hidden="1" customHeight="1" x14ac:dyDescent="0.25">
      <c r="A1716" s="2002"/>
      <c r="B1716" s="2009"/>
      <c r="C1716" s="237" t="s">
        <v>236</v>
      </c>
      <c r="D1716" s="866" t="s">
        <v>10</v>
      </c>
      <c r="E1716" s="1126">
        <v>44205</v>
      </c>
      <c r="F1716" s="71">
        <f t="shared" si="1061"/>
        <v>2081</v>
      </c>
      <c r="G1716" s="1427">
        <v>0</v>
      </c>
      <c r="H1716" s="12"/>
      <c r="I1716" s="12"/>
      <c r="J1716" s="1368"/>
      <c r="K1716" s="12"/>
      <c r="L1716" s="1533">
        <f t="shared" si="1062"/>
        <v>0</v>
      </c>
      <c r="M1716" s="101"/>
      <c r="N1716" s="249"/>
      <c r="O1716" s="101"/>
      <c r="P1716" s="857"/>
      <c r="Q1716" s="795"/>
      <c r="R1716" s="785">
        <f>IFERROR(VLOOKUP($Q1716,'391'!$S:$Z,8,0),"")</f>
        <v>0</v>
      </c>
      <c r="S1716" s="786"/>
      <c r="T1716" s="787"/>
      <c r="U1716" s="787"/>
      <c r="V1716" s="787"/>
      <c r="W1716" s="785">
        <f>IFERROR(VLOOKUP($Q1716,'391'!$S:$AG,15,0),0)</f>
        <v>0</v>
      </c>
      <c r="X1716" s="1090">
        <f t="shared" si="1041"/>
        <v>0</v>
      </c>
      <c r="Y1716" s="787"/>
      <c r="Z1716" s="791"/>
      <c r="AA1716" s="787"/>
      <c r="AB1716" s="787"/>
      <c r="AC1716" s="679"/>
      <c r="AD1716" s="679"/>
      <c r="AE1716" s="679"/>
      <c r="AF1716" s="679"/>
      <c r="AG1716" s="679"/>
      <c r="AH1716" s="679"/>
      <c r="AI1716" s="682"/>
      <c r="AJ1716" s="682"/>
      <c r="AK1716" s="682"/>
      <c r="AL1716" s="682"/>
      <c r="AM1716" s="682"/>
      <c r="AN1716" s="682"/>
      <c r="AO1716" s="682"/>
      <c r="AP1716" s="682"/>
      <c r="AQ1716" s="682"/>
      <c r="AR1716" s="682"/>
      <c r="AS1716" s="682"/>
    </row>
    <row r="1717" spans="1:45" s="6" customFormat="1" ht="30" hidden="1" customHeight="1" x14ac:dyDescent="0.25">
      <c r="A1717" s="2002"/>
      <c r="B1717" s="2009"/>
      <c r="C1717" s="237" t="s">
        <v>142</v>
      </c>
      <c r="D1717" s="866" t="s">
        <v>10</v>
      </c>
      <c r="E1717" s="1126">
        <v>44206</v>
      </c>
      <c r="F1717" s="71">
        <f t="shared" si="1061"/>
        <v>2080</v>
      </c>
      <c r="G1717" s="1427">
        <v>0</v>
      </c>
      <c r="H1717" s="12"/>
      <c r="I1717" s="12"/>
      <c r="J1717" s="1368"/>
      <c r="K1717" s="12"/>
      <c r="L1717" s="1533">
        <f t="shared" si="1062"/>
        <v>0</v>
      </c>
      <c r="M1717" s="101"/>
      <c r="N1717" s="249"/>
      <c r="O1717" s="101"/>
      <c r="P1717" s="857"/>
      <c r="Q1717" s="795"/>
      <c r="R1717" s="785">
        <f>IFERROR(VLOOKUP($Q1717,'391'!$S:$Z,8,0),"")</f>
        <v>0</v>
      </c>
      <c r="S1717" s="786"/>
      <c r="T1717" s="787"/>
      <c r="U1717" s="787"/>
      <c r="V1717" s="787"/>
      <c r="W1717" s="785">
        <f>IFERROR(VLOOKUP($Q1717,'391'!$S:$AG,15,0),0)</f>
        <v>0</v>
      </c>
      <c r="X1717" s="1090">
        <f t="shared" si="1041"/>
        <v>0</v>
      </c>
      <c r="Y1717" s="787"/>
      <c r="Z1717" s="791"/>
      <c r="AA1717" s="787"/>
      <c r="AB1717" s="787"/>
      <c r="AC1717" s="679"/>
      <c r="AD1717" s="679"/>
      <c r="AE1717" s="679"/>
      <c r="AF1717" s="679"/>
      <c r="AG1717" s="679"/>
      <c r="AH1717" s="679"/>
      <c r="AI1717" s="682"/>
      <c r="AJ1717" s="682"/>
      <c r="AK1717" s="682"/>
      <c r="AL1717" s="682"/>
      <c r="AM1717" s="682"/>
      <c r="AN1717" s="682"/>
      <c r="AO1717" s="682"/>
      <c r="AP1717" s="682"/>
      <c r="AQ1717" s="682"/>
      <c r="AR1717" s="682"/>
      <c r="AS1717" s="682"/>
    </row>
    <row r="1718" spans="1:45" s="6" customFormat="1" ht="30" hidden="1" customHeight="1" x14ac:dyDescent="0.25">
      <c r="A1718" s="2002"/>
      <c r="B1718" s="2009"/>
      <c r="C1718" s="237" t="s">
        <v>142</v>
      </c>
      <c r="D1718" s="866" t="s">
        <v>10</v>
      </c>
      <c r="E1718" s="1126">
        <v>44207</v>
      </c>
      <c r="F1718" s="71">
        <f t="shared" si="1061"/>
        <v>2079</v>
      </c>
      <c r="G1718" s="1435">
        <v>0</v>
      </c>
      <c r="H1718" s="12"/>
      <c r="I1718" s="12"/>
      <c r="J1718" s="1368"/>
      <c r="K1718" s="12"/>
      <c r="L1718" s="1533">
        <f t="shared" si="1062"/>
        <v>0</v>
      </c>
      <c r="M1718" s="101"/>
      <c r="N1718" s="249"/>
      <c r="O1718" s="101"/>
      <c r="P1718" s="857"/>
      <c r="Q1718" s="795"/>
      <c r="R1718" s="785">
        <f>IFERROR(VLOOKUP($Q1718,'391'!$S:$Z,8,0),"")</f>
        <v>0</v>
      </c>
      <c r="S1718" s="786"/>
      <c r="T1718" s="787"/>
      <c r="U1718" s="787"/>
      <c r="V1718" s="787"/>
      <c r="W1718" s="785">
        <f>IFERROR(VLOOKUP($Q1718,'391'!$S:$AG,15,0),0)</f>
        <v>0</v>
      </c>
      <c r="X1718" s="1090">
        <f t="shared" si="1041"/>
        <v>0</v>
      </c>
      <c r="Y1718" s="787"/>
      <c r="Z1718" s="791"/>
      <c r="AA1718" s="787"/>
      <c r="AB1718" s="787"/>
      <c r="AC1718" s="679"/>
      <c r="AD1718" s="679"/>
      <c r="AE1718" s="679"/>
      <c r="AF1718" s="679"/>
      <c r="AG1718" s="679"/>
      <c r="AH1718" s="679"/>
      <c r="AI1718" s="682"/>
      <c r="AJ1718" s="682"/>
      <c r="AK1718" s="682"/>
      <c r="AL1718" s="682"/>
      <c r="AM1718" s="682"/>
      <c r="AN1718" s="682"/>
      <c r="AO1718" s="682"/>
      <c r="AP1718" s="682"/>
      <c r="AQ1718" s="682"/>
      <c r="AR1718" s="682"/>
      <c r="AS1718" s="682"/>
    </row>
    <row r="1719" spans="1:45" s="6" customFormat="1" ht="30" hidden="1" customHeight="1" x14ac:dyDescent="0.25">
      <c r="A1719" s="2002"/>
      <c r="B1719" s="2009"/>
      <c r="C1719" s="237" t="s">
        <v>236</v>
      </c>
      <c r="D1719" s="866" t="s">
        <v>10</v>
      </c>
      <c r="E1719" s="1126">
        <v>44208</v>
      </c>
      <c r="F1719" s="71">
        <f t="shared" si="1061"/>
        <v>2078</v>
      </c>
      <c r="G1719" s="1427">
        <v>0</v>
      </c>
      <c r="H1719" s="1438"/>
      <c r="I1719" s="12"/>
      <c r="J1719" s="1368"/>
      <c r="K1719" s="12"/>
      <c r="L1719" s="1533">
        <f t="shared" si="1062"/>
        <v>0</v>
      </c>
      <c r="M1719" s="101"/>
      <c r="N1719" s="249"/>
      <c r="O1719" s="101"/>
      <c r="P1719" s="857"/>
      <c r="Q1719" s="795"/>
      <c r="R1719" s="785">
        <f>IFERROR(VLOOKUP($Q1719,'391'!$S:$Z,8,0),"")</f>
        <v>0</v>
      </c>
      <c r="S1719" s="786"/>
      <c r="T1719" s="787"/>
      <c r="U1719" s="787"/>
      <c r="V1719" s="787"/>
      <c r="W1719" s="785">
        <f>IFERROR(VLOOKUP($Q1719,'391'!$S:$AG,15,0),0)</f>
        <v>0</v>
      </c>
      <c r="X1719" s="1090">
        <f t="shared" si="1041"/>
        <v>0</v>
      </c>
      <c r="Y1719" s="787"/>
      <c r="Z1719" s="791"/>
      <c r="AA1719" s="787"/>
      <c r="AB1719" s="787"/>
      <c r="AC1719" s="679"/>
      <c r="AD1719" s="679"/>
      <c r="AE1719" s="679"/>
      <c r="AF1719" s="679"/>
      <c r="AG1719" s="679"/>
      <c r="AH1719" s="679"/>
      <c r="AI1719" s="682"/>
      <c r="AJ1719" s="682"/>
      <c r="AK1719" s="682"/>
      <c r="AL1719" s="682"/>
      <c r="AM1719" s="682"/>
      <c r="AN1719" s="682"/>
      <c r="AO1719" s="682"/>
      <c r="AP1719" s="682"/>
      <c r="AQ1719" s="682"/>
      <c r="AR1719" s="682"/>
      <c r="AS1719" s="682"/>
    </row>
    <row r="1720" spans="1:45" s="6" customFormat="1" ht="30" hidden="1" customHeight="1" x14ac:dyDescent="0.25">
      <c r="A1720" s="2002"/>
      <c r="B1720" s="2009"/>
      <c r="C1720" s="237" t="s">
        <v>245</v>
      </c>
      <c r="D1720" s="866" t="s">
        <v>10</v>
      </c>
      <c r="E1720" s="1126">
        <v>44209</v>
      </c>
      <c r="F1720" s="71">
        <f t="shared" si="1061"/>
        <v>2077</v>
      </c>
      <c r="G1720" s="1435">
        <v>0</v>
      </c>
      <c r="H1720" s="1438"/>
      <c r="I1720" s="12"/>
      <c r="J1720" s="1397"/>
      <c r="K1720" s="958"/>
      <c r="L1720" s="1533">
        <f t="shared" si="1062"/>
        <v>0</v>
      </c>
      <c r="M1720" s="101"/>
      <c r="N1720" s="249"/>
      <c r="O1720" s="101"/>
      <c r="P1720" s="857"/>
      <c r="Q1720" s="795"/>
      <c r="R1720" s="785">
        <f>IFERROR(VLOOKUP($Q1720,'391'!$S:$Z,8,0),"")</f>
        <v>0</v>
      </c>
      <c r="S1720" s="786"/>
      <c r="T1720" s="787"/>
      <c r="U1720" s="787"/>
      <c r="V1720" s="787"/>
      <c r="W1720" s="785">
        <f>IFERROR(VLOOKUP($Q1720,'391'!$S:$AG,15,0),0)</f>
        <v>0</v>
      </c>
      <c r="X1720" s="1090">
        <f t="shared" si="1041"/>
        <v>0</v>
      </c>
      <c r="Y1720" s="787"/>
      <c r="Z1720" s="791"/>
      <c r="AA1720" s="787"/>
      <c r="AB1720" s="787"/>
      <c r="AC1720" s="679"/>
      <c r="AD1720" s="679"/>
      <c r="AE1720" s="679"/>
      <c r="AF1720" s="679"/>
      <c r="AG1720" s="679"/>
      <c r="AH1720" s="679"/>
      <c r="AI1720" s="682"/>
      <c r="AJ1720" s="682"/>
      <c r="AK1720" s="682"/>
      <c r="AL1720" s="682"/>
      <c r="AM1720" s="682"/>
      <c r="AN1720" s="682"/>
      <c r="AO1720" s="682"/>
      <c r="AP1720" s="682"/>
      <c r="AQ1720" s="682"/>
      <c r="AR1720" s="682"/>
      <c r="AS1720" s="682"/>
    </row>
    <row r="1721" spans="1:45" s="6" customFormat="1" ht="30" hidden="1" customHeight="1" x14ac:dyDescent="0.25">
      <c r="A1721" s="2011"/>
      <c r="B1721" s="2190"/>
      <c r="C1721" s="144" t="s">
        <v>46</v>
      </c>
      <c r="D1721" s="884" t="s">
        <v>10</v>
      </c>
      <c r="E1721" s="1126">
        <v>44210</v>
      </c>
      <c r="F1721" s="71">
        <f t="shared" si="1061"/>
        <v>2076</v>
      </c>
      <c r="G1721" s="1434">
        <v>0</v>
      </c>
      <c r="H1721" s="1438"/>
      <c r="I1721" s="958"/>
      <c r="J1721" s="1397"/>
      <c r="K1721" s="958"/>
      <c r="L1721" s="1533">
        <f t="shared" si="1062"/>
        <v>0</v>
      </c>
      <c r="M1721" s="24"/>
      <c r="N1721" s="920"/>
      <c r="O1721" s="24"/>
      <c r="P1721" s="857"/>
      <c r="Q1721" s="795"/>
      <c r="R1721" s="785">
        <f>IFERROR(VLOOKUP($Q1721,'391'!$S:$Z,8,0),"")</f>
        <v>0</v>
      </c>
      <c r="S1721" s="786"/>
      <c r="T1721" s="787"/>
      <c r="U1721" s="787"/>
      <c r="V1721" s="787"/>
      <c r="W1721" s="785">
        <f>IFERROR(VLOOKUP($Q1721,'391'!$S:$AG,15,0),0)</f>
        <v>0</v>
      </c>
      <c r="X1721" s="1090">
        <f t="shared" si="1041"/>
        <v>0</v>
      </c>
      <c r="Y1721" s="787"/>
      <c r="Z1721" s="791"/>
      <c r="AA1721" s="787"/>
      <c r="AB1721" s="787"/>
      <c r="AC1721" s="679"/>
      <c r="AD1721" s="679"/>
      <c r="AE1721" s="679"/>
      <c r="AF1721" s="679"/>
      <c r="AG1721" s="679"/>
      <c r="AH1721" s="679"/>
      <c r="AI1721" s="682"/>
      <c r="AJ1721" s="682"/>
      <c r="AK1721" s="682"/>
      <c r="AL1721" s="682"/>
      <c r="AM1721" s="682"/>
      <c r="AN1721" s="682"/>
      <c r="AO1721" s="682"/>
      <c r="AP1721" s="682"/>
      <c r="AQ1721" s="682"/>
      <c r="AR1721" s="682"/>
      <c r="AS1721" s="682"/>
    </row>
    <row r="1722" spans="1:45" s="420" customFormat="1" ht="30" hidden="1" customHeight="1" x14ac:dyDescent="0.25">
      <c r="A1722" s="2003" t="s">
        <v>161</v>
      </c>
      <c r="B1722" s="2004"/>
      <c r="C1722" s="2086"/>
      <c r="D1722" s="2087"/>
      <c r="E1722" s="2087"/>
      <c r="F1722" s="2087"/>
      <c r="G1722" s="1328">
        <v>0</v>
      </c>
      <c r="H1722" s="1353">
        <f>+SUM(H1714:H1721)</f>
        <v>0</v>
      </c>
      <c r="I1722" s="1353">
        <f>+SUM(I1714:I1721)</f>
        <v>0</v>
      </c>
      <c r="J1722" s="1353">
        <f>+SUM(J1714:J1721)</f>
        <v>0</v>
      </c>
      <c r="K1722" s="1353"/>
      <c r="L1722" s="1533">
        <f t="shared" si="1062"/>
        <v>0</v>
      </c>
      <c r="M1722" s="889">
        <v>0</v>
      </c>
      <c r="N1722" s="366" t="e">
        <f>(L1722/M1722)/1000</f>
        <v>#DIV/0!</v>
      </c>
      <c r="O1722" s="889">
        <v>0</v>
      </c>
      <c r="P1722" s="857" t="e">
        <f>(L1722/O1722)/1000</f>
        <v>#DIV/0!</v>
      </c>
      <c r="Q1722" s="795"/>
      <c r="R1722" s="785">
        <f>IFERROR(VLOOKUP($Q1722,'391'!$S:$Z,8,0),"")</f>
        <v>0</v>
      </c>
      <c r="S1722" s="786"/>
      <c r="T1722" s="787"/>
      <c r="U1722" s="787"/>
      <c r="V1722" s="787"/>
      <c r="W1722" s="785">
        <f>IFERROR(VLOOKUP($Q1722,'391'!$S:$AG,15,0),0)</f>
        <v>0</v>
      </c>
      <c r="X1722" s="1090">
        <f t="shared" si="1041"/>
        <v>0</v>
      </c>
      <c r="Y1722" s="787"/>
      <c r="Z1722" s="791"/>
      <c r="AA1722" s="787"/>
      <c r="AB1722" s="787"/>
      <c r="AC1722" s="550"/>
      <c r="AD1722" s="550"/>
      <c r="AE1722" s="550"/>
      <c r="AF1722" s="550"/>
      <c r="AG1722" s="550"/>
      <c r="AH1722" s="550"/>
      <c r="AI1722" s="559"/>
      <c r="AJ1722" s="559"/>
      <c r="AK1722" s="559"/>
      <c r="AL1722" s="559"/>
      <c r="AM1722" s="559"/>
      <c r="AN1722" s="559"/>
      <c r="AO1722" s="559"/>
      <c r="AP1722" s="559"/>
      <c r="AQ1722" s="559"/>
      <c r="AR1722" s="559"/>
      <c r="AS1722" s="559"/>
    </row>
    <row r="1723" spans="1:45" s="6" customFormat="1" ht="30" hidden="1" customHeight="1" x14ac:dyDescent="0.25">
      <c r="A1723" s="2001">
        <f>IF(L1734=0,"",MAX($A$16:A1722)+1)</f>
        <v>121</v>
      </c>
      <c r="B1723" s="390" t="s">
        <v>1578</v>
      </c>
      <c r="C1723" s="190"/>
      <c r="D1723" s="866" t="s">
        <v>10</v>
      </c>
      <c r="E1723" s="1119">
        <v>45780</v>
      </c>
      <c r="F1723" s="71">
        <f t="shared" ref="F1723:F1728" si="1063">$L$7-E1723</f>
        <v>506</v>
      </c>
      <c r="G1723" s="63">
        <v>0</v>
      </c>
      <c r="H1723" s="63"/>
      <c r="I1723" s="1348"/>
      <c r="J1723" s="1365"/>
      <c r="K1723" s="64">
        <f>IFERROR(SUMIF(INTAKE!$A:$A,$T1723,INTAKE!$P:$P),0)</f>
        <v>0</v>
      </c>
      <c r="L1723" s="1702">
        <f t="shared" si="1062"/>
        <v>0</v>
      </c>
      <c r="M1723" s="147"/>
      <c r="N1723" s="248"/>
      <c r="O1723" s="147"/>
      <c r="P1723" s="748"/>
      <c r="Q1723" s="795"/>
      <c r="R1723" s="785">
        <f>IFERROR(VLOOKUP($Q1723,'391'!$S:$Z,8,0),"")</f>
        <v>0</v>
      </c>
      <c r="S1723" s="786"/>
      <c r="T1723" s="787" t="str">
        <f t="shared" ref="T1723:T1733" si="1064">$Q$1734&amp;C1723&amp;E1723</f>
        <v>Premix 52V45780</v>
      </c>
      <c r="U1723" s="787"/>
      <c r="V1723" s="787"/>
      <c r="W1723" s="785">
        <f>IFERROR(VLOOKUP($Q1723,'391'!$S:$AG,15,0),0)</f>
        <v>0</v>
      </c>
      <c r="X1723" s="1090">
        <f t="shared" si="1041"/>
        <v>0</v>
      </c>
      <c r="Y1723" s="787"/>
      <c r="Z1723" s="791"/>
      <c r="AA1723" s="787"/>
      <c r="AB1723" s="787"/>
      <c r="AC1723" s="679"/>
      <c r="AD1723" s="679"/>
      <c r="AE1723" s="679"/>
      <c r="AF1723" s="679"/>
      <c r="AG1723" s="679"/>
      <c r="AH1723" s="679"/>
      <c r="AI1723" s="682"/>
      <c r="AJ1723" s="682"/>
      <c r="AK1723" s="682"/>
      <c r="AL1723" s="682"/>
      <c r="AM1723" s="682"/>
      <c r="AN1723" s="682"/>
      <c r="AO1723" s="682"/>
      <c r="AP1723" s="682"/>
      <c r="AQ1723" s="682"/>
      <c r="AR1723" s="682"/>
      <c r="AS1723" s="682"/>
    </row>
    <row r="1724" spans="1:45" s="6" customFormat="1" ht="30" customHeight="1" x14ac:dyDescent="0.25">
      <c r="A1724" s="2189"/>
      <c r="B1724" s="390" t="s">
        <v>1967</v>
      </c>
      <c r="C1724" s="190" t="s">
        <v>271</v>
      </c>
      <c r="D1724" s="866" t="s">
        <v>10</v>
      </c>
      <c r="E1724" s="1119">
        <v>46270</v>
      </c>
      <c r="F1724" s="71">
        <f t="shared" ref="F1724:F1727" si="1065">$L$7-E1724</f>
        <v>16</v>
      </c>
      <c r="G1724" s="63">
        <v>0</v>
      </c>
      <c r="H1724" s="63"/>
      <c r="I1724" s="1348"/>
      <c r="J1724" s="1365"/>
      <c r="K1724" s="64">
        <f>IFERROR(SUMIF(INTAKE!$A:$A,$T1724,INTAKE!$P:$P),0)</f>
        <v>0</v>
      </c>
      <c r="L1724" s="1702">
        <f t="shared" si="1062"/>
        <v>0</v>
      </c>
      <c r="M1724" s="147"/>
      <c r="N1724" s="248"/>
      <c r="O1724" s="147"/>
      <c r="P1724" s="748"/>
      <c r="Q1724" s="795"/>
      <c r="R1724" s="785">
        <f>IFERROR(VLOOKUP($Q1724,'391'!$S:$Z,8,0),"")</f>
        <v>0</v>
      </c>
      <c r="S1724" s="786"/>
      <c r="T1724" s="787" t="str">
        <f t="shared" si="1064"/>
        <v>Premix 52VY5.346270</v>
      </c>
      <c r="U1724" s="787"/>
      <c r="V1724" s="787"/>
      <c r="W1724" s="785">
        <f>IFERROR(VLOOKUP($Q1724,'391'!$S:$AG,15,0),0)</f>
        <v>0</v>
      </c>
      <c r="X1724" s="1090">
        <f t="shared" si="1041"/>
        <v>0</v>
      </c>
      <c r="Y1724" s="787"/>
      <c r="Z1724" s="791"/>
      <c r="AA1724" s="787"/>
      <c r="AB1724" s="787"/>
      <c r="AC1724" s="679"/>
      <c r="AD1724" s="679"/>
      <c r="AE1724" s="679"/>
      <c r="AF1724" s="679"/>
      <c r="AG1724" s="679"/>
      <c r="AH1724" s="679"/>
      <c r="AI1724" s="682"/>
      <c r="AJ1724" s="682"/>
      <c r="AK1724" s="682"/>
      <c r="AL1724" s="682"/>
      <c r="AM1724" s="682"/>
      <c r="AN1724" s="682"/>
      <c r="AO1724" s="682"/>
      <c r="AP1724" s="682"/>
      <c r="AQ1724" s="682"/>
      <c r="AR1724" s="682"/>
      <c r="AS1724" s="682"/>
    </row>
    <row r="1725" spans="1:45" s="6" customFormat="1" ht="30" customHeight="1" x14ac:dyDescent="0.25">
      <c r="A1725" s="2002"/>
      <c r="B1725" s="390" t="s">
        <v>1967</v>
      </c>
      <c r="C1725" s="190" t="s">
        <v>236</v>
      </c>
      <c r="D1725" s="866" t="s">
        <v>10</v>
      </c>
      <c r="E1725" s="1119">
        <v>46270</v>
      </c>
      <c r="F1725" s="71">
        <f t="shared" si="1065"/>
        <v>16</v>
      </c>
      <c r="G1725" s="63">
        <v>1050</v>
      </c>
      <c r="H1725" s="63"/>
      <c r="I1725" s="1348"/>
      <c r="J1725" s="1365"/>
      <c r="K1725" s="64">
        <f>IFERROR(SUMIF(INTAKE!$A:$A,$T1725,INTAKE!$P:$P),0)</f>
        <v>0</v>
      </c>
      <c r="L1725" s="1702">
        <f t="shared" si="1062"/>
        <v>1050</v>
      </c>
      <c r="M1725" s="101"/>
      <c r="N1725" s="249"/>
      <c r="O1725" s="101"/>
      <c r="P1725" s="750"/>
      <c r="Q1725" s="795"/>
      <c r="R1725" s="785">
        <f>IFERROR(VLOOKUP($Q1725,'391'!$S:$Z,8,0),"")</f>
        <v>0</v>
      </c>
      <c r="S1725" s="786"/>
      <c r="T1725" s="787" t="str">
        <f t="shared" si="1064"/>
        <v>Premix 52VY6.346270</v>
      </c>
      <c r="U1725" s="787"/>
      <c r="V1725" s="787"/>
      <c r="W1725" s="785">
        <f>IFERROR(VLOOKUP($Q1725,'391'!$S:$AG,15,0),0)</f>
        <v>0</v>
      </c>
      <c r="X1725" s="1090">
        <f t="shared" si="1041"/>
        <v>1050</v>
      </c>
      <c r="Y1725" s="787"/>
      <c r="Z1725" s="791"/>
      <c r="AA1725" s="787"/>
      <c r="AB1725" s="787"/>
      <c r="AC1725" s="679"/>
      <c r="AD1725" s="679"/>
      <c r="AE1725" s="679"/>
      <c r="AF1725" s="679"/>
      <c r="AG1725" s="679"/>
      <c r="AH1725" s="679"/>
      <c r="AI1725" s="682"/>
      <c r="AJ1725" s="682"/>
      <c r="AK1725" s="682"/>
      <c r="AL1725" s="682"/>
      <c r="AM1725" s="682"/>
      <c r="AN1725" s="682"/>
      <c r="AO1725" s="682"/>
      <c r="AP1725" s="682"/>
      <c r="AQ1725" s="682"/>
      <c r="AR1725" s="682"/>
      <c r="AS1725" s="682"/>
    </row>
    <row r="1726" spans="1:45" s="6" customFormat="1" ht="30" customHeight="1" x14ac:dyDescent="0.25">
      <c r="A1726" s="2002"/>
      <c r="B1726" s="390" t="s">
        <v>2206</v>
      </c>
      <c r="C1726" s="190" t="s">
        <v>141</v>
      </c>
      <c r="D1726" s="866" t="s">
        <v>10</v>
      </c>
      <c r="E1726" s="1119">
        <v>46275</v>
      </c>
      <c r="F1726" s="71">
        <f t="shared" si="1065"/>
        <v>11</v>
      </c>
      <c r="G1726" s="63">
        <v>1050</v>
      </c>
      <c r="H1726" s="63"/>
      <c r="I1726" s="1348"/>
      <c r="J1726" s="1365"/>
      <c r="K1726" s="64">
        <f>IFERROR(SUMIF(INTAKE!$A:$A,$T1726,INTAKE!$P:$P),0)</f>
        <v>0</v>
      </c>
      <c r="L1726" s="1702">
        <f t="shared" si="1062"/>
        <v>1050</v>
      </c>
      <c r="M1726" s="101"/>
      <c r="N1726" s="249"/>
      <c r="O1726" s="101"/>
      <c r="P1726" s="750"/>
      <c r="Q1726" s="795"/>
      <c r="R1726" s="785">
        <f>IFERROR(VLOOKUP($Q1726,'391'!$S:$Z,8,0),"")</f>
        <v>0</v>
      </c>
      <c r="S1726" s="786"/>
      <c r="T1726" s="787" t="str">
        <f t="shared" si="1064"/>
        <v>Premix 52VY6.246275</v>
      </c>
      <c r="U1726" s="787"/>
      <c r="V1726" s="787"/>
      <c r="W1726" s="785">
        <f>IFERROR(VLOOKUP($Q1726,'391'!$S:$AG,15,0),0)</f>
        <v>0</v>
      </c>
      <c r="X1726" s="1090">
        <f t="shared" si="1041"/>
        <v>1050</v>
      </c>
      <c r="Y1726" s="787"/>
      <c r="Z1726" s="791"/>
      <c r="AA1726" s="787"/>
      <c r="AB1726" s="787"/>
      <c r="AC1726" s="679"/>
      <c r="AD1726" s="679"/>
      <c r="AE1726" s="679"/>
      <c r="AF1726" s="679"/>
      <c r="AG1726" s="679"/>
      <c r="AH1726" s="679"/>
      <c r="AI1726" s="682"/>
      <c r="AJ1726" s="682"/>
      <c r="AK1726" s="682"/>
      <c r="AL1726" s="682"/>
      <c r="AM1726" s="682"/>
      <c r="AN1726" s="682"/>
      <c r="AO1726" s="682"/>
      <c r="AP1726" s="682"/>
      <c r="AQ1726" s="682"/>
      <c r="AR1726" s="682"/>
      <c r="AS1726" s="682"/>
    </row>
    <row r="1727" spans="1:45" s="6" customFormat="1" ht="30" customHeight="1" x14ac:dyDescent="0.25">
      <c r="A1727" s="2002"/>
      <c r="B1727" s="390" t="s">
        <v>2206</v>
      </c>
      <c r="C1727" s="190" t="s">
        <v>1838</v>
      </c>
      <c r="D1727" s="866" t="s">
        <v>10</v>
      </c>
      <c r="E1727" s="1119">
        <v>46275</v>
      </c>
      <c r="F1727" s="71">
        <f t="shared" si="1065"/>
        <v>11</v>
      </c>
      <c r="G1727" s="63">
        <v>450</v>
      </c>
      <c r="H1727" s="63"/>
      <c r="I1727" s="1348"/>
      <c r="J1727" s="1365"/>
      <c r="K1727" s="64">
        <f>IFERROR(SUMIF(INTAKE!$A:$A,$T1727,INTAKE!$P:$P),0)</f>
        <v>0</v>
      </c>
      <c r="L1727" s="1702">
        <f t="shared" si="1062"/>
        <v>450</v>
      </c>
      <c r="M1727" s="101"/>
      <c r="N1727" s="249"/>
      <c r="O1727" s="101"/>
      <c r="P1727" s="750"/>
      <c r="Q1727" s="795"/>
      <c r="R1727" s="785">
        <f>IFERROR(VLOOKUP($Q1727,'391'!$S:$Z,8,0),"")</f>
        <v>0</v>
      </c>
      <c r="S1727" s="786"/>
      <c r="T1727" s="787" t="str">
        <f t="shared" si="1064"/>
        <v>Premix 52VY5.246275</v>
      </c>
      <c r="U1727" s="787"/>
      <c r="V1727" s="787"/>
      <c r="W1727" s="785">
        <f>IFERROR(VLOOKUP($Q1727,'391'!$S:$AG,15,0),0)</f>
        <v>0</v>
      </c>
      <c r="X1727" s="1090">
        <f t="shared" si="1041"/>
        <v>450</v>
      </c>
      <c r="Y1727" s="787"/>
      <c r="Z1727" s="791"/>
      <c r="AA1727" s="787"/>
      <c r="AB1727" s="787"/>
      <c r="AC1727" s="679"/>
      <c r="AD1727" s="679"/>
      <c r="AE1727" s="679"/>
      <c r="AF1727" s="679"/>
      <c r="AG1727" s="679"/>
      <c r="AH1727" s="679"/>
      <c r="AI1727" s="682"/>
      <c r="AJ1727" s="682"/>
      <c r="AK1727" s="682"/>
      <c r="AL1727" s="682"/>
      <c r="AM1727" s="682"/>
      <c r="AN1727" s="682"/>
      <c r="AO1727" s="682"/>
      <c r="AP1727" s="682"/>
      <c r="AQ1727" s="682"/>
      <c r="AR1727" s="682"/>
      <c r="AS1727" s="682"/>
    </row>
    <row r="1728" spans="1:45" s="6" customFormat="1" ht="30" customHeight="1" x14ac:dyDescent="0.25">
      <c r="A1728" s="2002"/>
      <c r="B1728" s="390" t="s">
        <v>2238</v>
      </c>
      <c r="C1728" s="190" t="s">
        <v>1838</v>
      </c>
      <c r="D1728" s="866" t="s">
        <v>10</v>
      </c>
      <c r="E1728" s="1119">
        <v>46283</v>
      </c>
      <c r="F1728" s="71">
        <f t="shared" si="1063"/>
        <v>3</v>
      </c>
      <c r="G1728" s="63">
        <v>600</v>
      </c>
      <c r="H1728" s="63"/>
      <c r="I1728" s="1348"/>
      <c r="J1728" s="1365"/>
      <c r="K1728" s="64">
        <f>IFERROR(SUMIF(INTAKE!$A:$A,$T1728,INTAKE!$P:$P),0)</f>
        <v>0</v>
      </c>
      <c r="L1728" s="1702">
        <f t="shared" si="1062"/>
        <v>600</v>
      </c>
      <c r="M1728" s="101"/>
      <c r="N1728" s="249"/>
      <c r="O1728" s="101"/>
      <c r="P1728" s="750"/>
      <c r="Q1728" s="795"/>
      <c r="R1728" s="785">
        <f>IFERROR(VLOOKUP($Q1728,'391'!$S:$Z,8,0),"")</f>
        <v>0</v>
      </c>
      <c r="S1728" s="786"/>
      <c r="T1728" s="787" t="str">
        <f t="shared" si="1064"/>
        <v>Premix 52VY5.246283</v>
      </c>
      <c r="U1728" s="787"/>
      <c r="V1728" s="787"/>
      <c r="W1728" s="785">
        <f>IFERROR(VLOOKUP($Q1728,'391'!$S:$AG,15,0),0)</f>
        <v>0</v>
      </c>
      <c r="X1728" s="1090">
        <f t="shared" si="1041"/>
        <v>600</v>
      </c>
      <c r="Y1728" s="787"/>
      <c r="Z1728" s="791"/>
      <c r="AA1728" s="787"/>
      <c r="AB1728" s="787"/>
      <c r="AC1728" s="679"/>
      <c r="AD1728" s="679"/>
      <c r="AE1728" s="679"/>
      <c r="AF1728" s="679"/>
      <c r="AG1728" s="679"/>
      <c r="AH1728" s="679"/>
      <c r="AI1728" s="682"/>
      <c r="AJ1728" s="682"/>
      <c r="AK1728" s="682"/>
      <c r="AL1728" s="682"/>
      <c r="AM1728" s="682"/>
      <c r="AN1728" s="682"/>
      <c r="AO1728" s="682"/>
      <c r="AP1728" s="682"/>
      <c r="AQ1728" s="682"/>
      <c r="AR1728" s="682"/>
      <c r="AS1728" s="682"/>
    </row>
    <row r="1729" spans="1:45" s="411" customFormat="1" ht="30" hidden="1" customHeight="1" x14ac:dyDescent="0.25">
      <c r="A1729" s="2002"/>
      <c r="B1729" s="390" t="s">
        <v>1875</v>
      </c>
      <c r="C1729" s="190"/>
      <c r="D1729" s="866" t="s">
        <v>10</v>
      </c>
      <c r="E1729" s="1119">
        <v>46227</v>
      </c>
      <c r="F1729" s="71">
        <f t="shared" ref="F1729" si="1066">$L$7-E1729</f>
        <v>59</v>
      </c>
      <c r="G1729" s="63">
        <v>0</v>
      </c>
      <c r="H1729" s="63"/>
      <c r="I1729" s="1348"/>
      <c r="J1729" s="1365"/>
      <c r="K1729" s="64">
        <f>IFERROR(SUMIF(INTAKE!$A:$A,$T1729,INTAKE!$P:$P),0)</f>
        <v>0</v>
      </c>
      <c r="L1729" s="1702">
        <f t="shared" si="1062"/>
        <v>0</v>
      </c>
      <c r="M1729" s="48"/>
      <c r="N1729" s="163"/>
      <c r="O1729" s="48"/>
      <c r="P1729" s="750"/>
      <c r="Q1729" s="795"/>
      <c r="R1729" s="785">
        <f>IFERROR(VLOOKUP($Q1729,'391'!$S:$Z,8,0),"")</f>
        <v>0</v>
      </c>
      <c r="S1729" s="786"/>
      <c r="T1729" s="787" t="str">
        <f t="shared" si="1064"/>
        <v>Premix 52V46227</v>
      </c>
      <c r="U1729" s="787"/>
      <c r="V1729" s="787"/>
      <c r="W1729" s="785">
        <f>IFERROR(VLOOKUP($Q1729,'391'!$S:$AG,15,0),0)</f>
        <v>0</v>
      </c>
      <c r="X1729" s="1090">
        <f t="shared" si="1041"/>
        <v>0</v>
      </c>
      <c r="Y1729" s="787"/>
      <c r="Z1729" s="791"/>
      <c r="AA1729" s="787"/>
      <c r="AB1729" s="787"/>
      <c r="AC1729" s="679"/>
      <c r="AD1729" s="679"/>
      <c r="AE1729" s="679"/>
      <c r="AF1729" s="679"/>
      <c r="AG1729" s="679"/>
      <c r="AH1729" s="679"/>
      <c r="AI1729" s="682"/>
      <c r="AJ1729" s="682"/>
      <c r="AK1729" s="682"/>
      <c r="AL1729" s="682"/>
      <c r="AM1729" s="682"/>
      <c r="AN1729" s="682"/>
      <c r="AO1729" s="682"/>
      <c r="AP1729" s="682"/>
      <c r="AQ1729" s="682"/>
      <c r="AR1729" s="682"/>
      <c r="AS1729" s="682"/>
    </row>
    <row r="1730" spans="1:45" s="411" customFormat="1" ht="30" hidden="1" customHeight="1" x14ac:dyDescent="0.25">
      <c r="A1730" s="2002"/>
      <c r="B1730" s="390" t="s">
        <v>1875</v>
      </c>
      <c r="C1730" s="190"/>
      <c r="D1730" s="866" t="s">
        <v>10</v>
      </c>
      <c r="E1730" s="1119">
        <v>46227</v>
      </c>
      <c r="F1730" s="71">
        <f t="shared" ref="F1730" si="1067">$L$7-E1730</f>
        <v>59</v>
      </c>
      <c r="G1730" s="63">
        <v>0</v>
      </c>
      <c r="H1730" s="63"/>
      <c r="I1730" s="1348"/>
      <c r="J1730" s="1365"/>
      <c r="K1730" s="64">
        <f>IFERROR(SUMIF(INTAKE!$A:$A,$T1730,INTAKE!$P:$P),0)</f>
        <v>0</v>
      </c>
      <c r="L1730" s="1702">
        <f t="shared" si="1062"/>
        <v>0</v>
      </c>
      <c r="M1730" s="48"/>
      <c r="N1730" s="163"/>
      <c r="O1730" s="48"/>
      <c r="P1730" s="750"/>
      <c r="Q1730" s="795"/>
      <c r="R1730" s="785">
        <f>IFERROR(VLOOKUP($Q1730,'391'!$S:$Z,8,0),"")</f>
        <v>0</v>
      </c>
      <c r="S1730" s="786"/>
      <c r="T1730" s="787" t="str">
        <f t="shared" si="1064"/>
        <v>Premix 52V46227</v>
      </c>
      <c r="U1730" s="787"/>
      <c r="V1730" s="787"/>
      <c r="W1730" s="785">
        <f>IFERROR(VLOOKUP($Q1730,'391'!$S:$AG,15,0),0)</f>
        <v>0</v>
      </c>
      <c r="X1730" s="1090">
        <f t="shared" si="1041"/>
        <v>0</v>
      </c>
      <c r="Y1730" s="787"/>
      <c r="Z1730" s="791"/>
      <c r="AA1730" s="787"/>
      <c r="AB1730" s="787"/>
      <c r="AC1730" s="679"/>
      <c r="AD1730" s="679"/>
      <c r="AE1730" s="679"/>
      <c r="AF1730" s="679"/>
      <c r="AG1730" s="679"/>
      <c r="AH1730" s="679"/>
      <c r="AI1730" s="682"/>
      <c r="AJ1730" s="682"/>
      <c r="AK1730" s="682"/>
      <c r="AL1730" s="682"/>
      <c r="AM1730" s="682"/>
      <c r="AN1730" s="682"/>
      <c r="AO1730" s="682"/>
      <c r="AP1730" s="682"/>
      <c r="AQ1730" s="682"/>
      <c r="AR1730" s="682"/>
      <c r="AS1730" s="682"/>
    </row>
    <row r="1731" spans="1:45" s="411" customFormat="1" ht="30" hidden="1" customHeight="1" x14ac:dyDescent="0.25">
      <c r="A1731" s="2002"/>
      <c r="B1731" s="390" t="s">
        <v>1508</v>
      </c>
      <c r="C1731" s="190"/>
      <c r="D1731" s="866" t="s">
        <v>10</v>
      </c>
      <c r="E1731" s="1119">
        <v>45576</v>
      </c>
      <c r="F1731" s="71">
        <f t="shared" ref="F1731:F1732" si="1068">$L$7-E1731</f>
        <v>710</v>
      </c>
      <c r="G1731" s="63">
        <v>0</v>
      </c>
      <c r="H1731" s="63"/>
      <c r="I1731" s="1348"/>
      <c r="J1731" s="1365"/>
      <c r="K1731" s="64">
        <f>IFERROR(SUMIF(INTAKE!$A:$A,$T1731,INTAKE!$P:$P),0)</f>
        <v>0</v>
      </c>
      <c r="L1731" s="1702">
        <f t="shared" si="1062"/>
        <v>0</v>
      </c>
      <c r="M1731" s="48"/>
      <c r="N1731" s="163"/>
      <c r="O1731" s="48"/>
      <c r="P1731" s="750"/>
      <c r="Q1731" s="795"/>
      <c r="R1731" s="785">
        <f>IFERROR(VLOOKUP($Q1731,'391'!$S:$Z,8,0),"")</f>
        <v>0</v>
      </c>
      <c r="S1731" s="786"/>
      <c r="T1731" s="787" t="str">
        <f t="shared" si="1064"/>
        <v>Premix 52V45576</v>
      </c>
      <c r="U1731" s="787"/>
      <c r="V1731" s="787"/>
      <c r="W1731" s="785">
        <f>IFERROR(VLOOKUP($Q1731,'391'!$S:$AG,15,0),0)</f>
        <v>0</v>
      </c>
      <c r="X1731" s="1090">
        <f t="shared" si="1041"/>
        <v>0</v>
      </c>
      <c r="Y1731" s="787"/>
      <c r="Z1731" s="791"/>
      <c r="AA1731" s="787"/>
      <c r="AB1731" s="787"/>
      <c r="AC1731" s="679"/>
      <c r="AD1731" s="679"/>
      <c r="AE1731" s="679"/>
      <c r="AF1731" s="679"/>
      <c r="AG1731" s="679"/>
      <c r="AH1731" s="679"/>
      <c r="AI1731" s="682"/>
      <c r="AJ1731" s="682"/>
      <c r="AK1731" s="682"/>
      <c r="AL1731" s="682"/>
      <c r="AM1731" s="682"/>
      <c r="AN1731" s="682"/>
      <c r="AO1731" s="682"/>
      <c r="AP1731" s="682"/>
      <c r="AQ1731" s="682"/>
      <c r="AR1731" s="682"/>
      <c r="AS1731" s="682"/>
    </row>
    <row r="1732" spans="1:45" s="411" customFormat="1" ht="30" hidden="1" customHeight="1" x14ac:dyDescent="0.25">
      <c r="A1732" s="2002"/>
      <c r="B1732" s="390" t="s">
        <v>1396</v>
      </c>
      <c r="C1732" s="190"/>
      <c r="D1732" s="866" t="s">
        <v>10</v>
      </c>
      <c r="E1732" s="1119">
        <v>45323</v>
      </c>
      <c r="F1732" s="71">
        <f t="shared" si="1068"/>
        <v>963</v>
      </c>
      <c r="G1732" s="63">
        <v>0</v>
      </c>
      <c r="H1732" s="63"/>
      <c r="I1732" s="1348"/>
      <c r="J1732" s="1365"/>
      <c r="K1732" s="64">
        <f>IFERROR(SUMIF(INTAKE!$A:$A,$T1732,INTAKE!$P:$P),0)</f>
        <v>0</v>
      </c>
      <c r="L1732" s="1533">
        <f t="shared" si="1062"/>
        <v>0</v>
      </c>
      <c r="M1732" s="48"/>
      <c r="N1732" s="163"/>
      <c r="O1732" s="48"/>
      <c r="P1732" s="750"/>
      <c r="Q1732" s="795"/>
      <c r="R1732" s="785">
        <f>IFERROR(VLOOKUP($Q1732,'391'!$S:$Z,8,0),"")</f>
        <v>0</v>
      </c>
      <c r="S1732" s="786"/>
      <c r="T1732" s="787" t="str">
        <f t="shared" si="1064"/>
        <v>Premix 52V45323</v>
      </c>
      <c r="U1732" s="787"/>
      <c r="V1732" s="787"/>
      <c r="W1732" s="785">
        <f>IFERROR(VLOOKUP($Q1732,'391'!$S:$AG,15,0),0)</f>
        <v>0</v>
      </c>
      <c r="X1732" s="1090">
        <f t="shared" si="1041"/>
        <v>0</v>
      </c>
      <c r="Y1732" s="787"/>
      <c r="Z1732" s="791"/>
      <c r="AA1732" s="787"/>
      <c r="AB1732" s="787"/>
      <c r="AC1732" s="679"/>
      <c r="AD1732" s="679"/>
      <c r="AE1732" s="679"/>
      <c r="AF1732" s="679"/>
      <c r="AG1732" s="679"/>
      <c r="AH1732" s="679"/>
      <c r="AI1732" s="682"/>
      <c r="AJ1732" s="682"/>
      <c r="AK1732" s="682"/>
      <c r="AL1732" s="682"/>
      <c r="AM1732" s="682"/>
      <c r="AN1732" s="682"/>
      <c r="AO1732" s="682"/>
      <c r="AP1732" s="682"/>
      <c r="AQ1732" s="682"/>
      <c r="AR1732" s="682"/>
      <c r="AS1732" s="682"/>
    </row>
    <row r="1733" spans="1:45" s="6" customFormat="1" ht="30" customHeight="1" x14ac:dyDescent="0.25">
      <c r="A1733" s="2002"/>
      <c r="B1733" s="1014" t="s">
        <v>1967</v>
      </c>
      <c r="C1733" s="151" t="s">
        <v>46</v>
      </c>
      <c r="D1733" s="884" t="s">
        <v>10</v>
      </c>
      <c r="E1733" s="1118">
        <v>46270</v>
      </c>
      <c r="F1733" s="71">
        <f t="shared" ref="F1733" si="1069">$L$7-E1733</f>
        <v>16</v>
      </c>
      <c r="G1733" s="56">
        <v>988.7800000000002</v>
      </c>
      <c r="H1733" s="12"/>
      <c r="I1733" s="58">
        <f>+SUM(K1723:K1729)</f>
        <v>0</v>
      </c>
      <c r="J1733" s="1385">
        <f>+usage!I238</f>
        <v>255.7</v>
      </c>
      <c r="K1733" s="64">
        <f>IFERROR(SUMIF(INTAKE!$A:$A,$T1733,INTAKE!$P:$P),0)</f>
        <v>0</v>
      </c>
      <c r="L1733" s="1533">
        <f t="shared" si="1062"/>
        <v>733.08000000000015</v>
      </c>
      <c r="M1733" s="23"/>
      <c r="N1733" s="1460"/>
      <c r="O1733" s="1453"/>
      <c r="P1733" s="1480"/>
      <c r="Q1733" s="795"/>
      <c r="R1733" s="785">
        <f>IFERROR(VLOOKUP($Q1733,'391'!$S:$Z,8,0),"")</f>
        <v>0</v>
      </c>
      <c r="S1733" s="786"/>
      <c r="T1733" s="787" t="str">
        <f t="shared" si="1064"/>
        <v>Premix 52VFeedmill46270</v>
      </c>
      <c r="U1733" s="787"/>
      <c r="V1733" s="787"/>
      <c r="W1733" s="785">
        <f>IFERROR(VLOOKUP($Q1733,'391'!$S:$AG,15,0),0)</f>
        <v>0</v>
      </c>
      <c r="X1733" s="1090">
        <f t="shared" si="1041"/>
        <v>988.7800000000002</v>
      </c>
      <c r="Y1733" s="787"/>
      <c r="Z1733" s="791"/>
      <c r="AA1733" s="787"/>
      <c r="AB1733" s="787"/>
      <c r="AC1733" s="679"/>
      <c r="AD1733" s="679"/>
      <c r="AE1733" s="679"/>
      <c r="AF1733" s="679"/>
      <c r="AG1733" s="679"/>
      <c r="AH1733" s="679"/>
      <c r="AI1733" s="682"/>
      <c r="AJ1733" s="682"/>
      <c r="AK1733" s="682"/>
      <c r="AL1733" s="682"/>
      <c r="AM1733" s="682"/>
      <c r="AN1733" s="682"/>
      <c r="AO1733" s="682"/>
      <c r="AP1733" s="682"/>
      <c r="AQ1733" s="682"/>
      <c r="AR1733" s="682"/>
      <c r="AS1733" s="682"/>
    </row>
    <row r="1734" spans="1:45" s="420" customFormat="1" ht="30" customHeight="1" x14ac:dyDescent="0.25">
      <c r="A1734" s="2003" t="s">
        <v>26</v>
      </c>
      <c r="B1734" s="2004"/>
      <c r="C1734" s="125"/>
      <c r="D1734" s="1027"/>
      <c r="E1734" s="1027"/>
      <c r="F1734" s="896"/>
      <c r="G1734" s="1328">
        <v>4138.7800000000007</v>
      </c>
      <c r="H1734" s="1328">
        <f>+SUM(H1723:H1733)</f>
        <v>0</v>
      </c>
      <c r="I1734" s="1328">
        <f>+SUM(I1723:I1733)</f>
        <v>0</v>
      </c>
      <c r="J1734" s="1328">
        <f>+SUM(J1723:J1733)</f>
        <v>255.7</v>
      </c>
      <c r="K1734" s="1328">
        <f>+SUM(K1723:K1733)</f>
        <v>0</v>
      </c>
      <c r="L1734" s="1328">
        <f>+SUM(L1723:L1733)</f>
        <v>3883.08</v>
      </c>
      <c r="M1734" s="889">
        <f>IFERROR(R1734/$S$2,"")</f>
        <v>244.18333333333337</v>
      </c>
      <c r="N1734" s="366">
        <f>(L1734/M1734)</f>
        <v>15.902313835233088</v>
      </c>
      <c r="O1734" s="889">
        <f>IFERROR(SUMIF(ETM!$A:$A,$Q1734,ETM!$E:$E),"")</f>
        <v>267.83333333333331</v>
      </c>
      <c r="P1734" s="855">
        <f>IFERROR(L1734/O1734,0)</f>
        <v>14.498120721841943</v>
      </c>
      <c r="Q1734" s="814" t="s">
        <v>646</v>
      </c>
      <c r="R1734" s="785">
        <f>IFERROR(VLOOKUP($Q1734,'391'!$S:$Z,8,0),"")</f>
        <v>1465.1000000000001</v>
      </c>
      <c r="S1734" s="786"/>
      <c r="T1734" s="787"/>
      <c r="U1734" s="787"/>
      <c r="V1734" s="787"/>
      <c r="W1734" s="785">
        <f>IFERROR(VLOOKUP($Q1734,'391'!$S:$AG,15,0),0)</f>
        <v>4138.78</v>
      </c>
      <c r="X1734" s="1090">
        <f t="shared" ref="X1734:X1797" si="1070">G1734-W1734</f>
        <v>0</v>
      </c>
      <c r="Y1734" s="787"/>
      <c r="Z1734" s="791"/>
      <c r="AA1734" s="787"/>
      <c r="AB1734" s="787"/>
      <c r="AC1734" s="550"/>
      <c r="AD1734" s="550"/>
      <c r="AE1734" s="550"/>
      <c r="AF1734" s="550"/>
      <c r="AG1734" s="550"/>
      <c r="AH1734" s="550"/>
      <c r="AI1734" s="559"/>
      <c r="AJ1734" s="559"/>
      <c r="AK1734" s="559"/>
      <c r="AL1734" s="559"/>
      <c r="AM1734" s="559"/>
      <c r="AN1734" s="559"/>
      <c r="AO1734" s="559"/>
      <c r="AP1734" s="559"/>
      <c r="AQ1734" s="559"/>
      <c r="AR1734" s="559"/>
      <c r="AS1734" s="559"/>
    </row>
    <row r="1735" spans="1:45" s="6" customFormat="1" ht="30" hidden="1" customHeight="1" x14ac:dyDescent="0.25">
      <c r="A1735" s="2010" t="str">
        <f>IF(L1741=0,"",MAX($A$16:A1734)+1)</f>
        <v/>
      </c>
      <c r="B1735" s="2008" t="s">
        <v>215</v>
      </c>
      <c r="C1735" s="164" t="s">
        <v>249</v>
      </c>
      <c r="D1735" s="1111" t="s">
        <v>10</v>
      </c>
      <c r="E1735" s="1119">
        <v>44421</v>
      </c>
      <c r="F1735" s="71">
        <f t="shared" ref="F1735:F1740" si="1071">$L$7-E1735</f>
        <v>1865</v>
      </c>
      <c r="G1735" s="63">
        <v>0</v>
      </c>
      <c r="H1735" s="63"/>
      <c r="I1735" s="63"/>
      <c r="J1735" s="1369"/>
      <c r="K1735" s="56"/>
      <c r="L1735" s="1533">
        <f t="shared" ref="L1735:L1765" si="1072">+G1735+H1735+I1735-J1735-K1735</f>
        <v>0</v>
      </c>
      <c r="M1735" s="147"/>
      <c r="N1735" s="248"/>
      <c r="O1735" s="147"/>
      <c r="P1735" s="857"/>
      <c r="Q1735" s="795"/>
      <c r="R1735" s="785">
        <f>IFERROR(VLOOKUP($Q1735,'391'!$S:$Z,8,0),"")</f>
        <v>0</v>
      </c>
      <c r="S1735" s="786"/>
      <c r="T1735" s="787"/>
      <c r="U1735" s="787"/>
      <c r="V1735" s="787"/>
      <c r="W1735" s="785">
        <f>IFERROR(VLOOKUP($Q1735,'391'!$S:$AG,15,0),0)</f>
        <v>0</v>
      </c>
      <c r="X1735" s="1090">
        <f t="shared" si="1070"/>
        <v>0</v>
      </c>
      <c r="Y1735" s="787"/>
      <c r="Z1735" s="791"/>
      <c r="AA1735" s="787"/>
      <c r="AB1735" s="787"/>
      <c r="AC1735" s="679"/>
      <c r="AD1735" s="679"/>
      <c r="AE1735" s="679"/>
      <c r="AF1735" s="679"/>
      <c r="AG1735" s="679"/>
      <c r="AH1735" s="679"/>
      <c r="AI1735" s="682"/>
      <c r="AJ1735" s="682"/>
      <c r="AK1735" s="682"/>
      <c r="AL1735" s="682"/>
      <c r="AM1735" s="682"/>
      <c r="AN1735" s="682"/>
      <c r="AO1735" s="682"/>
      <c r="AP1735" s="682"/>
      <c r="AQ1735" s="682"/>
      <c r="AR1735" s="682"/>
      <c r="AS1735" s="682"/>
    </row>
    <row r="1736" spans="1:45" s="6" customFormat="1" ht="30" hidden="1" customHeight="1" x14ac:dyDescent="0.25">
      <c r="A1736" s="2002"/>
      <c r="B1736" s="2009"/>
      <c r="C1736" s="164" t="s">
        <v>249</v>
      </c>
      <c r="D1736" s="866" t="s">
        <v>10</v>
      </c>
      <c r="E1736" s="1119">
        <v>44422</v>
      </c>
      <c r="F1736" s="71">
        <f t="shared" si="1071"/>
        <v>1864</v>
      </c>
      <c r="G1736" s="63">
        <v>0</v>
      </c>
      <c r="H1736" s="63"/>
      <c r="I1736" s="63"/>
      <c r="J1736" s="1369"/>
      <c r="K1736" s="56"/>
      <c r="L1736" s="1533">
        <f t="shared" si="1072"/>
        <v>0</v>
      </c>
      <c r="M1736" s="101"/>
      <c r="N1736" s="249"/>
      <c r="O1736" s="101"/>
      <c r="P1736" s="857"/>
      <c r="Q1736" s="795"/>
      <c r="R1736" s="785">
        <f>IFERROR(VLOOKUP($Q1736,'391'!$S:$Z,8,0),"")</f>
        <v>0</v>
      </c>
      <c r="S1736" s="786"/>
      <c r="T1736" s="787"/>
      <c r="U1736" s="787"/>
      <c r="V1736" s="787"/>
      <c r="W1736" s="785">
        <f>IFERROR(VLOOKUP($Q1736,'391'!$S:$AG,15,0),0)</f>
        <v>0</v>
      </c>
      <c r="X1736" s="1090">
        <f t="shared" si="1070"/>
        <v>0</v>
      </c>
      <c r="Y1736" s="787"/>
      <c r="Z1736" s="791"/>
      <c r="AA1736" s="787"/>
      <c r="AB1736" s="787"/>
      <c r="AC1736" s="679"/>
      <c r="AD1736" s="679"/>
      <c r="AE1736" s="679"/>
      <c r="AF1736" s="679"/>
      <c r="AG1736" s="679"/>
      <c r="AH1736" s="679"/>
      <c r="AI1736" s="682"/>
      <c r="AJ1736" s="682"/>
      <c r="AK1736" s="682"/>
      <c r="AL1736" s="682"/>
      <c r="AM1736" s="682"/>
      <c r="AN1736" s="682"/>
      <c r="AO1736" s="682"/>
      <c r="AP1736" s="682"/>
      <c r="AQ1736" s="682"/>
      <c r="AR1736" s="682"/>
      <c r="AS1736" s="682"/>
    </row>
    <row r="1737" spans="1:45" s="6" customFormat="1" ht="30" hidden="1" customHeight="1" x14ac:dyDescent="0.25">
      <c r="A1737" s="2002"/>
      <c r="B1737" s="2009"/>
      <c r="C1737" s="164" t="s">
        <v>249</v>
      </c>
      <c r="D1737" s="866" t="s">
        <v>10</v>
      </c>
      <c r="E1737" s="1119">
        <v>44423</v>
      </c>
      <c r="F1737" s="71">
        <f t="shared" si="1071"/>
        <v>1863</v>
      </c>
      <c r="G1737" s="63">
        <v>0</v>
      </c>
      <c r="H1737" s="63"/>
      <c r="I1737" s="63"/>
      <c r="J1737" s="1369"/>
      <c r="K1737" s="56"/>
      <c r="L1737" s="1533">
        <f t="shared" si="1072"/>
        <v>0</v>
      </c>
      <c r="M1737" s="101"/>
      <c r="N1737" s="249"/>
      <c r="O1737" s="101"/>
      <c r="P1737" s="857"/>
      <c r="Q1737" s="795"/>
      <c r="R1737" s="785">
        <f>IFERROR(VLOOKUP($Q1737,'391'!$S:$Z,8,0),"")</f>
        <v>0</v>
      </c>
      <c r="S1737" s="786"/>
      <c r="T1737" s="787"/>
      <c r="U1737" s="787"/>
      <c r="V1737" s="787"/>
      <c r="W1737" s="785">
        <f>IFERROR(VLOOKUP($Q1737,'391'!$S:$AG,15,0),0)</f>
        <v>0</v>
      </c>
      <c r="X1737" s="1090">
        <f t="shared" si="1070"/>
        <v>0</v>
      </c>
      <c r="Y1737" s="787"/>
      <c r="Z1737" s="791"/>
      <c r="AA1737" s="787"/>
      <c r="AB1737" s="787"/>
      <c r="AC1737" s="679"/>
      <c r="AD1737" s="679"/>
      <c r="AE1737" s="679"/>
      <c r="AF1737" s="679"/>
      <c r="AG1737" s="679"/>
      <c r="AH1737" s="679"/>
      <c r="AI1737" s="682"/>
      <c r="AJ1737" s="682"/>
      <c r="AK1737" s="682"/>
      <c r="AL1737" s="682"/>
      <c r="AM1737" s="682"/>
      <c r="AN1737" s="682"/>
      <c r="AO1737" s="682"/>
      <c r="AP1737" s="682"/>
      <c r="AQ1737" s="682"/>
      <c r="AR1737" s="682"/>
      <c r="AS1737" s="682"/>
    </row>
    <row r="1738" spans="1:45" s="6" customFormat="1" ht="30" hidden="1" customHeight="1" x14ac:dyDescent="0.25">
      <c r="A1738" s="2002"/>
      <c r="B1738" s="2009"/>
      <c r="C1738" s="164" t="s">
        <v>249</v>
      </c>
      <c r="D1738" s="866" t="s">
        <v>10</v>
      </c>
      <c r="E1738" s="1119">
        <v>44424</v>
      </c>
      <c r="F1738" s="71">
        <f t="shared" si="1071"/>
        <v>1862</v>
      </c>
      <c r="G1738" s="63">
        <v>0</v>
      </c>
      <c r="H1738" s="63"/>
      <c r="I1738" s="63"/>
      <c r="J1738" s="1369"/>
      <c r="K1738" s="56"/>
      <c r="L1738" s="1533">
        <f t="shared" si="1072"/>
        <v>0</v>
      </c>
      <c r="M1738" s="101"/>
      <c r="N1738" s="249"/>
      <c r="O1738" s="101"/>
      <c r="P1738" s="857"/>
      <c r="Q1738" s="795"/>
      <c r="R1738" s="785">
        <f>IFERROR(VLOOKUP($Q1738,'391'!$S:$Z,8,0),"")</f>
        <v>0</v>
      </c>
      <c r="S1738" s="786"/>
      <c r="T1738" s="787"/>
      <c r="U1738" s="787"/>
      <c r="V1738" s="787"/>
      <c r="W1738" s="785">
        <f>IFERROR(VLOOKUP($Q1738,'391'!$S:$AG,15,0),0)</f>
        <v>0</v>
      </c>
      <c r="X1738" s="1090">
        <f t="shared" si="1070"/>
        <v>0</v>
      </c>
      <c r="Y1738" s="787"/>
      <c r="Z1738" s="791"/>
      <c r="AA1738" s="787"/>
      <c r="AB1738" s="787"/>
      <c r="AC1738" s="679"/>
      <c r="AD1738" s="679"/>
      <c r="AE1738" s="679"/>
      <c r="AF1738" s="679"/>
      <c r="AG1738" s="679"/>
      <c r="AH1738" s="679"/>
      <c r="AI1738" s="682"/>
      <c r="AJ1738" s="682"/>
      <c r="AK1738" s="682"/>
      <c r="AL1738" s="682"/>
      <c r="AM1738" s="682"/>
      <c r="AN1738" s="682"/>
      <c r="AO1738" s="682"/>
      <c r="AP1738" s="682"/>
      <c r="AQ1738" s="682"/>
      <c r="AR1738" s="682"/>
      <c r="AS1738" s="682"/>
    </row>
    <row r="1739" spans="1:45" s="6" customFormat="1" ht="30" hidden="1" customHeight="1" x14ac:dyDescent="0.25">
      <c r="A1739" s="2002"/>
      <c r="B1739" s="2009"/>
      <c r="C1739" s="164" t="s">
        <v>243</v>
      </c>
      <c r="D1739" s="866" t="s">
        <v>10</v>
      </c>
      <c r="E1739" s="1119">
        <v>44425</v>
      </c>
      <c r="F1739" s="71">
        <f t="shared" si="1071"/>
        <v>1861</v>
      </c>
      <c r="G1739" s="63">
        <v>0</v>
      </c>
      <c r="H1739" s="63"/>
      <c r="I1739" s="63"/>
      <c r="J1739" s="1369"/>
      <c r="K1739" s="56"/>
      <c r="L1739" s="1533">
        <f t="shared" si="1072"/>
        <v>0</v>
      </c>
      <c r="M1739" s="23"/>
      <c r="N1739" s="920"/>
      <c r="O1739" s="23"/>
      <c r="P1739" s="857"/>
      <c r="Q1739" s="795"/>
      <c r="R1739" s="785">
        <f>IFERROR(VLOOKUP($Q1739,'391'!$S:$Z,8,0),"")</f>
        <v>0</v>
      </c>
      <c r="S1739" s="786"/>
      <c r="T1739" s="787"/>
      <c r="U1739" s="787"/>
      <c r="V1739" s="787"/>
      <c r="W1739" s="785">
        <f>IFERROR(VLOOKUP($Q1739,'391'!$S:$AG,15,0),0)</f>
        <v>0</v>
      </c>
      <c r="X1739" s="1090">
        <f t="shared" si="1070"/>
        <v>0</v>
      </c>
      <c r="Y1739" s="787"/>
      <c r="Z1739" s="791"/>
      <c r="AA1739" s="787"/>
      <c r="AB1739" s="787"/>
      <c r="AC1739" s="679"/>
      <c r="AD1739" s="679"/>
      <c r="AE1739" s="679"/>
      <c r="AF1739" s="679"/>
      <c r="AG1739" s="679"/>
      <c r="AH1739" s="679"/>
      <c r="AI1739" s="682"/>
      <c r="AJ1739" s="682"/>
      <c r="AK1739" s="682"/>
      <c r="AL1739" s="682"/>
      <c r="AM1739" s="682"/>
      <c r="AN1739" s="682"/>
      <c r="AO1739" s="682"/>
      <c r="AP1739" s="682"/>
      <c r="AQ1739" s="682"/>
      <c r="AR1739" s="682"/>
      <c r="AS1739" s="682"/>
    </row>
    <row r="1740" spans="1:45" s="406" customFormat="1" ht="30" hidden="1" customHeight="1" x14ac:dyDescent="0.25">
      <c r="A1740" s="2011"/>
      <c r="B1740" s="2190"/>
      <c r="C1740" s="144" t="s">
        <v>46</v>
      </c>
      <c r="D1740" s="884" t="s">
        <v>10</v>
      </c>
      <c r="E1740" s="1119">
        <v>44426</v>
      </c>
      <c r="F1740" s="71">
        <f t="shared" si="1071"/>
        <v>1860</v>
      </c>
      <c r="G1740" s="56">
        <v>0</v>
      </c>
      <c r="H1740" s="37"/>
      <c r="I1740" s="37"/>
      <c r="J1740" s="1385"/>
      <c r="K1740" s="37"/>
      <c r="L1740" s="1533">
        <f t="shared" si="1072"/>
        <v>0</v>
      </c>
      <c r="M1740" s="40"/>
      <c r="N1740" s="84"/>
      <c r="O1740" s="40"/>
      <c r="P1740" s="857"/>
      <c r="Q1740" s="795"/>
      <c r="R1740" s="785">
        <f>IFERROR(VLOOKUP($Q1740,'391'!$S:$Z,8,0),"")</f>
        <v>0</v>
      </c>
      <c r="S1740" s="786"/>
      <c r="T1740" s="787"/>
      <c r="U1740" s="787"/>
      <c r="V1740" s="787"/>
      <c r="W1740" s="785">
        <f>IFERROR(VLOOKUP($Q1740,'391'!$S:$AG,15,0),0)</f>
        <v>0</v>
      </c>
      <c r="X1740" s="1090">
        <f t="shared" si="1070"/>
        <v>0</v>
      </c>
      <c r="Y1740" s="787"/>
      <c r="Z1740" s="791"/>
      <c r="AA1740" s="787"/>
      <c r="AB1740" s="787"/>
      <c r="AC1740" s="679"/>
      <c r="AD1740" s="679"/>
      <c r="AE1740" s="679"/>
      <c r="AF1740" s="679"/>
      <c r="AG1740" s="679"/>
      <c r="AH1740" s="679"/>
      <c r="AI1740" s="682"/>
      <c r="AJ1740" s="682"/>
      <c r="AK1740" s="682"/>
      <c r="AL1740" s="682"/>
      <c r="AM1740" s="682"/>
      <c r="AN1740" s="682"/>
      <c r="AO1740" s="682"/>
      <c r="AP1740" s="682"/>
      <c r="AQ1740" s="682"/>
      <c r="AR1740" s="682"/>
      <c r="AS1740" s="682"/>
    </row>
    <row r="1741" spans="1:45" s="420" customFormat="1" ht="30" hidden="1" customHeight="1" x14ac:dyDescent="0.25">
      <c r="A1741" s="2003" t="s">
        <v>216</v>
      </c>
      <c r="B1741" s="2004"/>
      <c r="C1741" s="125"/>
      <c r="D1741" s="1027"/>
      <c r="E1741" s="1027"/>
      <c r="F1741" s="896"/>
      <c r="G1741" s="1328">
        <v>0</v>
      </c>
      <c r="H1741" s="1328">
        <f t="shared" ref="H1741:K1741" si="1073">+SUM(H1735:H1740)</f>
        <v>0</v>
      </c>
      <c r="I1741" s="1328">
        <f t="shared" si="1073"/>
        <v>0</v>
      </c>
      <c r="J1741" s="1328">
        <f t="shared" si="1073"/>
        <v>0</v>
      </c>
      <c r="K1741" s="1328">
        <f t="shared" si="1073"/>
        <v>0</v>
      </c>
      <c r="L1741" s="1533">
        <f t="shared" si="1072"/>
        <v>0</v>
      </c>
      <c r="M1741" s="889"/>
      <c r="N1741" s="366" t="e">
        <f>(L1741/M1741)</f>
        <v>#DIV/0!</v>
      </c>
      <c r="O1741" s="889"/>
      <c r="P1741" s="855">
        <f>IFERROR(L1741/O1741,0)</f>
        <v>0</v>
      </c>
      <c r="Q1741" s="795"/>
      <c r="R1741" s="785">
        <f>IFERROR(VLOOKUP($Q1741,'391'!$S:$Z,8,0),"")</f>
        <v>0</v>
      </c>
      <c r="S1741" s="786"/>
      <c r="T1741" s="787"/>
      <c r="U1741" s="787"/>
      <c r="V1741" s="787"/>
      <c r="W1741" s="785">
        <f>IFERROR(VLOOKUP($Q1741,'391'!$S:$AG,15,0),0)</f>
        <v>0</v>
      </c>
      <c r="X1741" s="1090">
        <f t="shared" si="1070"/>
        <v>0</v>
      </c>
      <c r="Y1741" s="787"/>
      <c r="Z1741" s="791"/>
      <c r="AA1741" s="787"/>
      <c r="AB1741" s="787"/>
      <c r="AC1741" s="550"/>
      <c r="AD1741" s="550"/>
      <c r="AE1741" s="550"/>
      <c r="AF1741" s="550"/>
      <c r="AG1741" s="550"/>
      <c r="AH1741" s="550"/>
      <c r="AI1741" s="559"/>
      <c r="AJ1741" s="559"/>
      <c r="AK1741" s="559"/>
      <c r="AL1741" s="559"/>
      <c r="AM1741" s="559"/>
      <c r="AN1741" s="559"/>
      <c r="AO1741" s="559"/>
      <c r="AP1741" s="559"/>
      <c r="AQ1741" s="559"/>
      <c r="AR1741" s="559"/>
      <c r="AS1741" s="559"/>
    </row>
    <row r="1742" spans="1:45" s="6" customFormat="1" ht="30" hidden="1" customHeight="1" x14ac:dyDescent="0.25">
      <c r="A1742" s="2010" t="str">
        <f>IF(L1750=0,"",MAX($A$16:A1741)+1)</f>
        <v/>
      </c>
      <c r="B1742" s="2008" t="s">
        <v>162</v>
      </c>
      <c r="C1742" s="190" t="s">
        <v>272</v>
      </c>
      <c r="D1742" s="1111" t="s">
        <v>10</v>
      </c>
      <c r="E1742" s="1119">
        <v>44425</v>
      </c>
      <c r="F1742" s="71">
        <f t="shared" ref="F1742:F1749" si="1074">$L$7-E1742</f>
        <v>1861</v>
      </c>
      <c r="G1742" s="12">
        <v>0</v>
      </c>
      <c r="H1742" s="12"/>
      <c r="I1742" s="12"/>
      <c r="J1742" s="1368"/>
      <c r="K1742" s="12"/>
      <c r="L1742" s="1533">
        <f t="shared" si="1072"/>
        <v>0</v>
      </c>
      <c r="M1742" s="147"/>
      <c r="N1742" s="248"/>
      <c r="O1742" s="147"/>
      <c r="P1742" s="857"/>
      <c r="Q1742" s="795"/>
      <c r="R1742" s="785">
        <f>IFERROR(VLOOKUP($Q1742,'391'!$S:$Z,8,0),"")</f>
        <v>0</v>
      </c>
      <c r="S1742" s="786"/>
      <c r="T1742" s="787"/>
      <c r="U1742" s="787"/>
      <c r="V1742" s="787"/>
      <c r="W1742" s="785">
        <f>IFERROR(VLOOKUP($Q1742,'391'!$S:$AG,15,0),0)</f>
        <v>0</v>
      </c>
      <c r="X1742" s="1090">
        <f t="shared" si="1070"/>
        <v>0</v>
      </c>
      <c r="Y1742" s="787"/>
      <c r="Z1742" s="791"/>
      <c r="AA1742" s="787"/>
      <c r="AB1742" s="787"/>
      <c r="AC1742" s="679"/>
      <c r="AD1742" s="679"/>
      <c r="AE1742" s="679"/>
      <c r="AF1742" s="679"/>
      <c r="AG1742" s="679"/>
      <c r="AH1742" s="679"/>
      <c r="AI1742" s="682"/>
      <c r="AJ1742" s="682"/>
      <c r="AK1742" s="682"/>
      <c r="AL1742" s="682"/>
      <c r="AM1742" s="682"/>
      <c r="AN1742" s="682"/>
      <c r="AO1742" s="682"/>
      <c r="AP1742" s="682"/>
      <c r="AQ1742" s="682"/>
      <c r="AR1742" s="682"/>
      <c r="AS1742" s="682"/>
    </row>
    <row r="1743" spans="1:45" s="6" customFormat="1" ht="30" hidden="1" customHeight="1" x14ac:dyDescent="0.25">
      <c r="A1743" s="2002"/>
      <c r="B1743" s="2009"/>
      <c r="C1743" s="190" t="s">
        <v>272</v>
      </c>
      <c r="D1743" s="866" t="s">
        <v>10</v>
      </c>
      <c r="E1743" s="1119">
        <v>44425</v>
      </c>
      <c r="F1743" s="71">
        <f t="shared" si="1074"/>
        <v>1861</v>
      </c>
      <c r="G1743" s="12">
        <v>0</v>
      </c>
      <c r="H1743" s="12"/>
      <c r="I1743" s="12"/>
      <c r="J1743" s="1368"/>
      <c r="K1743" s="12"/>
      <c r="L1743" s="1533">
        <f t="shared" si="1072"/>
        <v>0</v>
      </c>
      <c r="M1743" s="101"/>
      <c r="N1743" s="249"/>
      <c r="O1743" s="101"/>
      <c r="P1743" s="857"/>
      <c r="Q1743" s="795"/>
      <c r="R1743" s="785">
        <f>IFERROR(VLOOKUP($Q1743,'391'!$S:$Z,8,0),"")</f>
        <v>0</v>
      </c>
      <c r="S1743" s="786"/>
      <c r="T1743" s="787"/>
      <c r="U1743" s="787"/>
      <c r="V1743" s="787"/>
      <c r="W1743" s="785">
        <f>IFERROR(VLOOKUP($Q1743,'391'!$S:$AG,15,0),0)</f>
        <v>0</v>
      </c>
      <c r="X1743" s="1090">
        <f t="shared" si="1070"/>
        <v>0</v>
      </c>
      <c r="Y1743" s="787"/>
      <c r="Z1743" s="791"/>
      <c r="AA1743" s="787"/>
      <c r="AB1743" s="787"/>
      <c r="AC1743" s="679"/>
      <c r="AD1743" s="679"/>
      <c r="AE1743" s="679"/>
      <c r="AF1743" s="679"/>
      <c r="AG1743" s="679"/>
      <c r="AH1743" s="679"/>
      <c r="AI1743" s="682"/>
      <c r="AJ1743" s="682"/>
      <c r="AK1743" s="682"/>
      <c r="AL1743" s="682"/>
      <c r="AM1743" s="682"/>
      <c r="AN1743" s="682"/>
      <c r="AO1743" s="682"/>
      <c r="AP1743" s="682"/>
      <c r="AQ1743" s="682"/>
      <c r="AR1743" s="682"/>
      <c r="AS1743" s="682"/>
    </row>
    <row r="1744" spans="1:45" s="6" customFormat="1" ht="30" hidden="1" customHeight="1" x14ac:dyDescent="0.25">
      <c r="A1744" s="2002"/>
      <c r="B1744" s="2009"/>
      <c r="C1744" s="190" t="s">
        <v>272</v>
      </c>
      <c r="D1744" s="866" t="s">
        <v>10</v>
      </c>
      <c r="E1744" s="1119">
        <v>44425</v>
      </c>
      <c r="F1744" s="71">
        <f t="shared" si="1074"/>
        <v>1861</v>
      </c>
      <c r="G1744" s="12">
        <v>0</v>
      </c>
      <c r="H1744" s="12"/>
      <c r="I1744" s="12"/>
      <c r="J1744" s="1368"/>
      <c r="K1744" s="12"/>
      <c r="L1744" s="1533">
        <f t="shared" si="1072"/>
        <v>0</v>
      </c>
      <c r="M1744" s="101"/>
      <c r="N1744" s="249"/>
      <c r="O1744" s="101"/>
      <c r="P1744" s="857"/>
      <c r="Q1744" s="795"/>
      <c r="R1744" s="785">
        <f>IFERROR(VLOOKUP($Q1744,'391'!$S:$Z,8,0),"")</f>
        <v>0</v>
      </c>
      <c r="S1744" s="786"/>
      <c r="T1744" s="787"/>
      <c r="U1744" s="787"/>
      <c r="V1744" s="787"/>
      <c r="W1744" s="785">
        <f>IFERROR(VLOOKUP($Q1744,'391'!$S:$AG,15,0),0)</f>
        <v>0</v>
      </c>
      <c r="X1744" s="1090">
        <f t="shared" si="1070"/>
        <v>0</v>
      </c>
      <c r="Y1744" s="787"/>
      <c r="Z1744" s="791"/>
      <c r="AA1744" s="787"/>
      <c r="AB1744" s="787"/>
      <c r="AC1744" s="679"/>
      <c r="AD1744" s="679"/>
      <c r="AE1744" s="679"/>
      <c r="AF1744" s="679"/>
      <c r="AG1744" s="679"/>
      <c r="AH1744" s="679"/>
      <c r="AI1744" s="682"/>
      <c r="AJ1744" s="682"/>
      <c r="AK1744" s="682"/>
      <c r="AL1744" s="682"/>
      <c r="AM1744" s="682"/>
      <c r="AN1744" s="682"/>
      <c r="AO1744" s="682"/>
      <c r="AP1744" s="682"/>
      <c r="AQ1744" s="682"/>
      <c r="AR1744" s="682"/>
      <c r="AS1744" s="682"/>
    </row>
    <row r="1745" spans="1:45" s="6" customFormat="1" ht="30" hidden="1" customHeight="1" x14ac:dyDescent="0.25">
      <c r="A1745" s="2002"/>
      <c r="B1745" s="2009"/>
      <c r="C1745" s="190" t="s">
        <v>272</v>
      </c>
      <c r="D1745" s="866" t="s">
        <v>10</v>
      </c>
      <c r="E1745" s="1119">
        <v>44425</v>
      </c>
      <c r="F1745" s="71">
        <f t="shared" si="1074"/>
        <v>1861</v>
      </c>
      <c r="G1745" s="12">
        <v>0</v>
      </c>
      <c r="H1745" s="12"/>
      <c r="I1745" s="12"/>
      <c r="J1745" s="1368"/>
      <c r="K1745" s="12"/>
      <c r="L1745" s="1533">
        <f t="shared" si="1072"/>
        <v>0</v>
      </c>
      <c r="M1745" s="101"/>
      <c r="N1745" s="249"/>
      <c r="O1745" s="101"/>
      <c r="P1745" s="857"/>
      <c r="Q1745" s="795"/>
      <c r="R1745" s="785">
        <f>IFERROR(VLOOKUP($Q1745,'391'!$S:$Z,8,0),"")</f>
        <v>0</v>
      </c>
      <c r="S1745" s="786"/>
      <c r="T1745" s="787"/>
      <c r="U1745" s="787"/>
      <c r="V1745" s="787"/>
      <c r="W1745" s="785">
        <f>IFERROR(VLOOKUP($Q1745,'391'!$S:$AG,15,0),0)</f>
        <v>0</v>
      </c>
      <c r="X1745" s="1090">
        <f t="shared" si="1070"/>
        <v>0</v>
      </c>
      <c r="Y1745" s="787"/>
      <c r="Z1745" s="791"/>
      <c r="AA1745" s="787"/>
      <c r="AB1745" s="787"/>
      <c r="AC1745" s="679"/>
      <c r="AD1745" s="679"/>
      <c r="AE1745" s="679"/>
      <c r="AF1745" s="679"/>
      <c r="AG1745" s="679"/>
      <c r="AH1745" s="679"/>
      <c r="AI1745" s="682"/>
      <c r="AJ1745" s="682"/>
      <c r="AK1745" s="682"/>
      <c r="AL1745" s="682"/>
      <c r="AM1745" s="682"/>
      <c r="AN1745" s="682"/>
      <c r="AO1745" s="682"/>
      <c r="AP1745" s="682"/>
      <c r="AQ1745" s="682"/>
      <c r="AR1745" s="682"/>
      <c r="AS1745" s="682"/>
    </row>
    <row r="1746" spans="1:45" s="6" customFormat="1" ht="30" hidden="1" customHeight="1" x14ac:dyDescent="0.25">
      <c r="A1746" s="2002"/>
      <c r="B1746" s="2009"/>
      <c r="C1746" s="190" t="s">
        <v>258</v>
      </c>
      <c r="D1746" s="866" t="s">
        <v>10</v>
      </c>
      <c r="E1746" s="1119">
        <v>44425</v>
      </c>
      <c r="F1746" s="71">
        <f t="shared" si="1074"/>
        <v>1861</v>
      </c>
      <c r="G1746" s="12">
        <v>0</v>
      </c>
      <c r="H1746" s="12"/>
      <c r="I1746" s="12"/>
      <c r="J1746" s="1368"/>
      <c r="K1746" s="12"/>
      <c r="L1746" s="1533">
        <f t="shared" si="1072"/>
        <v>0</v>
      </c>
      <c r="M1746" s="101"/>
      <c r="N1746" s="249"/>
      <c r="O1746" s="101"/>
      <c r="P1746" s="857"/>
      <c r="Q1746" s="795"/>
      <c r="R1746" s="785">
        <f>IFERROR(VLOOKUP($Q1746,'391'!$S:$Z,8,0),"")</f>
        <v>0</v>
      </c>
      <c r="S1746" s="786"/>
      <c r="T1746" s="787"/>
      <c r="U1746" s="787"/>
      <c r="V1746" s="787"/>
      <c r="W1746" s="785">
        <f>IFERROR(VLOOKUP($Q1746,'391'!$S:$AG,15,0),0)</f>
        <v>0</v>
      </c>
      <c r="X1746" s="1090">
        <f t="shared" si="1070"/>
        <v>0</v>
      </c>
      <c r="Y1746" s="787"/>
      <c r="Z1746" s="791"/>
      <c r="AA1746" s="787"/>
      <c r="AB1746" s="787"/>
      <c r="AC1746" s="679"/>
      <c r="AD1746" s="679"/>
      <c r="AE1746" s="679"/>
      <c r="AF1746" s="679"/>
      <c r="AG1746" s="679"/>
      <c r="AH1746" s="679"/>
      <c r="AI1746" s="682"/>
      <c r="AJ1746" s="682"/>
      <c r="AK1746" s="682"/>
      <c r="AL1746" s="682"/>
      <c r="AM1746" s="682"/>
      <c r="AN1746" s="682"/>
      <c r="AO1746" s="682"/>
      <c r="AP1746" s="682"/>
      <c r="AQ1746" s="682"/>
      <c r="AR1746" s="682"/>
      <c r="AS1746" s="682"/>
    </row>
    <row r="1747" spans="1:45" s="6" customFormat="1" ht="30" hidden="1" customHeight="1" x14ac:dyDescent="0.25">
      <c r="A1747" s="2002"/>
      <c r="B1747" s="2009"/>
      <c r="C1747" s="190" t="s">
        <v>258</v>
      </c>
      <c r="D1747" s="866" t="s">
        <v>10</v>
      </c>
      <c r="E1747" s="1119">
        <v>44425</v>
      </c>
      <c r="F1747" s="71">
        <f t="shared" si="1074"/>
        <v>1861</v>
      </c>
      <c r="G1747" s="12">
        <v>0</v>
      </c>
      <c r="H1747" s="12"/>
      <c r="I1747" s="12"/>
      <c r="J1747" s="1368"/>
      <c r="K1747" s="12"/>
      <c r="L1747" s="1533">
        <f t="shared" si="1072"/>
        <v>0</v>
      </c>
      <c r="M1747" s="101"/>
      <c r="N1747" s="249"/>
      <c r="O1747" s="101"/>
      <c r="P1747" s="857"/>
      <c r="Q1747" s="795"/>
      <c r="R1747" s="785">
        <f>IFERROR(VLOOKUP($Q1747,'391'!$S:$Z,8,0),"")</f>
        <v>0</v>
      </c>
      <c r="S1747" s="786"/>
      <c r="T1747" s="787"/>
      <c r="U1747" s="787"/>
      <c r="V1747" s="787"/>
      <c r="W1747" s="785">
        <f>IFERROR(VLOOKUP($Q1747,'391'!$S:$AG,15,0),0)</f>
        <v>0</v>
      </c>
      <c r="X1747" s="1090">
        <f t="shared" si="1070"/>
        <v>0</v>
      </c>
      <c r="Y1747" s="787"/>
      <c r="Z1747" s="791"/>
      <c r="AA1747" s="787"/>
      <c r="AB1747" s="787"/>
      <c r="AC1747" s="679"/>
      <c r="AD1747" s="679"/>
      <c r="AE1747" s="679"/>
      <c r="AF1747" s="679"/>
      <c r="AG1747" s="679"/>
      <c r="AH1747" s="679"/>
      <c r="AI1747" s="682"/>
      <c r="AJ1747" s="682"/>
      <c r="AK1747" s="682"/>
      <c r="AL1747" s="682"/>
      <c r="AM1747" s="682"/>
      <c r="AN1747" s="682"/>
      <c r="AO1747" s="682"/>
      <c r="AP1747" s="682"/>
      <c r="AQ1747" s="682"/>
      <c r="AR1747" s="682"/>
      <c r="AS1747" s="682"/>
    </row>
    <row r="1748" spans="1:45" s="6" customFormat="1" ht="30" hidden="1" customHeight="1" x14ac:dyDescent="0.25">
      <c r="A1748" s="2002"/>
      <c r="B1748" s="2009"/>
      <c r="C1748" s="262" t="s">
        <v>46</v>
      </c>
      <c r="D1748" s="866" t="s">
        <v>10</v>
      </c>
      <c r="E1748" s="1119">
        <v>44425</v>
      </c>
      <c r="F1748" s="71">
        <f t="shared" si="1074"/>
        <v>1861</v>
      </c>
      <c r="G1748" s="958">
        <v>0</v>
      </c>
      <c r="H1748" s="64"/>
      <c r="I1748" s="58"/>
      <c r="J1748" s="1365"/>
      <c r="K1748" s="64"/>
      <c r="L1748" s="1533">
        <f t="shared" si="1072"/>
        <v>0</v>
      </c>
      <c r="M1748" s="23"/>
      <c r="N1748" s="920"/>
      <c r="O1748" s="23"/>
      <c r="P1748" s="857"/>
      <c r="Q1748" s="795"/>
      <c r="R1748" s="785">
        <f>IFERROR(VLOOKUP($Q1748,'391'!$S:$Z,8,0),"")</f>
        <v>0</v>
      </c>
      <c r="S1748" s="786"/>
      <c r="T1748" s="787"/>
      <c r="U1748" s="787"/>
      <c r="V1748" s="787"/>
      <c r="W1748" s="785">
        <f>IFERROR(VLOOKUP($Q1748,'391'!$S:$AG,15,0),0)</f>
        <v>0</v>
      </c>
      <c r="X1748" s="1090">
        <f t="shared" si="1070"/>
        <v>0</v>
      </c>
      <c r="Y1748" s="787"/>
      <c r="Z1748" s="791"/>
      <c r="AA1748" s="787"/>
      <c r="AB1748" s="787"/>
      <c r="AC1748" s="679"/>
      <c r="AD1748" s="679"/>
      <c r="AE1748" s="679"/>
      <c r="AF1748" s="679"/>
      <c r="AG1748" s="679"/>
      <c r="AH1748" s="679"/>
      <c r="AI1748" s="682"/>
      <c r="AJ1748" s="682"/>
      <c r="AK1748" s="682"/>
      <c r="AL1748" s="682"/>
      <c r="AM1748" s="682"/>
      <c r="AN1748" s="682"/>
      <c r="AO1748" s="682"/>
      <c r="AP1748" s="682"/>
      <c r="AQ1748" s="682"/>
      <c r="AR1748" s="682"/>
      <c r="AS1748" s="682"/>
    </row>
    <row r="1749" spans="1:45" s="6" customFormat="1" ht="30" hidden="1" customHeight="1" x14ac:dyDescent="0.25">
      <c r="A1749" s="2002"/>
      <c r="B1749" s="2009"/>
      <c r="C1749" s="261" t="s">
        <v>46</v>
      </c>
      <c r="D1749" s="1112" t="s">
        <v>10</v>
      </c>
      <c r="E1749" s="1119">
        <v>44425</v>
      </c>
      <c r="F1749" s="71">
        <f t="shared" si="1074"/>
        <v>1861</v>
      </c>
      <c r="G1749" s="958">
        <v>0</v>
      </c>
      <c r="H1749" s="64"/>
      <c r="I1749" s="58"/>
      <c r="J1749" s="1365"/>
      <c r="K1749" s="64"/>
      <c r="L1749" s="1533">
        <f t="shared" si="1072"/>
        <v>0</v>
      </c>
      <c r="M1749" s="23"/>
      <c r="N1749" s="920"/>
      <c r="O1749" s="23"/>
      <c r="P1749" s="857"/>
      <c r="Q1749" s="795"/>
      <c r="R1749" s="785">
        <f>IFERROR(VLOOKUP($Q1749,'391'!$S:$Z,8,0),"")</f>
        <v>0</v>
      </c>
      <c r="S1749" s="786"/>
      <c r="T1749" s="787"/>
      <c r="U1749" s="787"/>
      <c r="V1749" s="787"/>
      <c r="W1749" s="785">
        <f>IFERROR(VLOOKUP($Q1749,'391'!$S:$AG,15,0),0)</f>
        <v>0</v>
      </c>
      <c r="X1749" s="1090">
        <f t="shared" si="1070"/>
        <v>0</v>
      </c>
      <c r="Y1749" s="787"/>
      <c r="Z1749" s="791"/>
      <c r="AA1749" s="787"/>
      <c r="AB1749" s="787"/>
      <c r="AC1749" s="679"/>
      <c r="AD1749" s="679"/>
      <c r="AE1749" s="679"/>
      <c r="AF1749" s="679"/>
      <c r="AG1749" s="679"/>
      <c r="AH1749" s="679"/>
      <c r="AI1749" s="682"/>
      <c r="AJ1749" s="682"/>
      <c r="AK1749" s="682"/>
      <c r="AL1749" s="682"/>
      <c r="AM1749" s="682"/>
      <c r="AN1749" s="682"/>
      <c r="AO1749" s="682"/>
      <c r="AP1749" s="682"/>
      <c r="AQ1749" s="682"/>
      <c r="AR1749" s="682"/>
      <c r="AS1749" s="682"/>
    </row>
    <row r="1750" spans="1:45" s="420" customFormat="1" ht="30" hidden="1" customHeight="1" x14ac:dyDescent="0.25">
      <c r="A1750" s="2003" t="s">
        <v>163</v>
      </c>
      <c r="B1750" s="2004"/>
      <c r="C1750" s="125"/>
      <c r="D1750" s="1027"/>
      <c r="E1750" s="1027"/>
      <c r="F1750" s="896"/>
      <c r="G1750" s="1422">
        <v>0</v>
      </c>
      <c r="H1750" s="1422">
        <f>SUM(H1742:H1749)</f>
        <v>0</v>
      </c>
      <c r="I1750" s="1422">
        <f>SUM(I1742:I1749)</f>
        <v>0</v>
      </c>
      <c r="J1750" s="1422">
        <f>SUM(J1742:J1749)</f>
        <v>0</v>
      </c>
      <c r="K1750" s="1422"/>
      <c r="L1750" s="1533">
        <f t="shared" si="1072"/>
        <v>0</v>
      </c>
      <c r="M1750" s="889">
        <v>0</v>
      </c>
      <c r="N1750" s="366" t="e">
        <f>(L1750/M1750)/1000</f>
        <v>#DIV/0!</v>
      </c>
      <c r="O1750" s="889">
        <v>0</v>
      </c>
      <c r="P1750" s="857" t="e">
        <f>(L1750/O1750)/1000</f>
        <v>#DIV/0!</v>
      </c>
      <c r="Q1750" s="795"/>
      <c r="R1750" s="785">
        <f>IFERROR(VLOOKUP($Q1750,'391'!$S:$Z,8,0),"")</f>
        <v>0</v>
      </c>
      <c r="S1750" s="786"/>
      <c r="T1750" s="787"/>
      <c r="U1750" s="787"/>
      <c r="V1750" s="787"/>
      <c r="W1750" s="785">
        <f>IFERROR(VLOOKUP($Q1750,'391'!$S:$AG,15,0),0)</f>
        <v>0</v>
      </c>
      <c r="X1750" s="1090">
        <f t="shared" si="1070"/>
        <v>0</v>
      </c>
      <c r="Y1750" s="787"/>
      <c r="Z1750" s="791"/>
      <c r="AA1750" s="787"/>
      <c r="AB1750" s="787"/>
      <c r="AC1750" s="550"/>
      <c r="AD1750" s="550"/>
      <c r="AE1750" s="550"/>
      <c r="AF1750" s="550"/>
      <c r="AG1750" s="550"/>
      <c r="AH1750" s="550"/>
      <c r="AI1750" s="559"/>
      <c r="AJ1750" s="559"/>
      <c r="AK1750" s="559"/>
      <c r="AL1750" s="559"/>
      <c r="AM1750" s="559"/>
      <c r="AN1750" s="559"/>
      <c r="AO1750" s="559"/>
      <c r="AP1750" s="559"/>
      <c r="AQ1750" s="559"/>
      <c r="AR1750" s="559"/>
      <c r="AS1750" s="559"/>
    </row>
    <row r="1751" spans="1:45" s="6" customFormat="1" ht="30" hidden="1" customHeight="1" x14ac:dyDescent="0.25">
      <c r="A1751" s="2010" t="str">
        <f>IF(L1760=0,"",MAX($A$16:A1750)+1)</f>
        <v/>
      </c>
      <c r="B1751" s="2008" t="s">
        <v>164</v>
      </c>
      <c r="C1751" s="164" t="s">
        <v>259</v>
      </c>
      <c r="D1751" s="1111" t="s">
        <v>10</v>
      </c>
      <c r="E1751" s="1119">
        <v>44425</v>
      </c>
      <c r="F1751" s="71">
        <f t="shared" ref="F1751:F1759" si="1075">$L$7-E1751</f>
        <v>1861</v>
      </c>
      <c r="G1751" s="12">
        <v>0</v>
      </c>
      <c r="H1751" s="12"/>
      <c r="I1751" s="12"/>
      <c r="J1751" s="1368"/>
      <c r="K1751" s="12"/>
      <c r="L1751" s="1533">
        <f t="shared" si="1072"/>
        <v>0</v>
      </c>
      <c r="M1751" s="147"/>
      <c r="N1751" s="248"/>
      <c r="O1751" s="147"/>
      <c r="P1751" s="857"/>
      <c r="Q1751" s="795"/>
      <c r="R1751" s="785">
        <f>IFERROR(VLOOKUP($Q1751,'391'!$S:$Z,8,0),"")</f>
        <v>0</v>
      </c>
      <c r="S1751" s="786"/>
      <c r="T1751" s="787"/>
      <c r="U1751" s="787"/>
      <c r="V1751" s="787"/>
      <c r="W1751" s="785">
        <f>IFERROR(VLOOKUP($Q1751,'391'!$S:$AG,15,0),0)</f>
        <v>0</v>
      </c>
      <c r="X1751" s="1090">
        <f t="shared" si="1070"/>
        <v>0</v>
      </c>
      <c r="Y1751" s="787"/>
      <c r="Z1751" s="791"/>
      <c r="AA1751" s="787"/>
      <c r="AB1751" s="787"/>
      <c r="AC1751" s="679"/>
      <c r="AD1751" s="679"/>
      <c r="AE1751" s="679"/>
      <c r="AF1751" s="679"/>
      <c r="AG1751" s="679"/>
      <c r="AH1751" s="679"/>
      <c r="AI1751" s="682"/>
      <c r="AJ1751" s="682"/>
      <c r="AK1751" s="682"/>
      <c r="AL1751" s="682"/>
      <c r="AM1751" s="682"/>
      <c r="AN1751" s="682"/>
      <c r="AO1751" s="682"/>
      <c r="AP1751" s="682"/>
      <c r="AQ1751" s="682"/>
      <c r="AR1751" s="682"/>
      <c r="AS1751" s="682"/>
    </row>
    <row r="1752" spans="1:45" s="6" customFormat="1" ht="30" hidden="1" customHeight="1" x14ac:dyDescent="0.25">
      <c r="A1752" s="2002"/>
      <c r="B1752" s="2009"/>
      <c r="C1752" s="164" t="s">
        <v>259</v>
      </c>
      <c r="D1752" s="866" t="s">
        <v>10</v>
      </c>
      <c r="E1752" s="1119">
        <v>44425</v>
      </c>
      <c r="F1752" s="71">
        <f t="shared" si="1075"/>
        <v>1861</v>
      </c>
      <c r="G1752" s="12">
        <v>0</v>
      </c>
      <c r="H1752" s="12"/>
      <c r="I1752" s="12"/>
      <c r="J1752" s="1368"/>
      <c r="K1752" s="12"/>
      <c r="L1752" s="1533">
        <f t="shared" si="1072"/>
        <v>0</v>
      </c>
      <c r="M1752" s="101"/>
      <c r="N1752" s="249"/>
      <c r="O1752" s="101"/>
      <c r="P1752" s="857"/>
      <c r="Q1752" s="795"/>
      <c r="R1752" s="785">
        <f>IFERROR(VLOOKUP($Q1752,'391'!$S:$Z,8,0),"")</f>
        <v>0</v>
      </c>
      <c r="S1752" s="786"/>
      <c r="T1752" s="787"/>
      <c r="U1752" s="787"/>
      <c r="V1752" s="787"/>
      <c r="W1752" s="785">
        <f>IFERROR(VLOOKUP($Q1752,'391'!$S:$AG,15,0),0)</f>
        <v>0</v>
      </c>
      <c r="X1752" s="1090">
        <f t="shared" si="1070"/>
        <v>0</v>
      </c>
      <c r="Y1752" s="787"/>
      <c r="Z1752" s="791"/>
      <c r="AA1752" s="787"/>
      <c r="AB1752" s="787"/>
      <c r="AC1752" s="679"/>
      <c r="AD1752" s="679"/>
      <c r="AE1752" s="679"/>
      <c r="AF1752" s="679"/>
      <c r="AG1752" s="679"/>
      <c r="AH1752" s="679"/>
      <c r="AI1752" s="682"/>
      <c r="AJ1752" s="682"/>
      <c r="AK1752" s="682"/>
      <c r="AL1752" s="682"/>
      <c r="AM1752" s="682"/>
      <c r="AN1752" s="682"/>
      <c r="AO1752" s="682"/>
      <c r="AP1752" s="682"/>
      <c r="AQ1752" s="682"/>
      <c r="AR1752" s="682"/>
      <c r="AS1752" s="682"/>
    </row>
    <row r="1753" spans="1:45" s="6" customFormat="1" ht="30" hidden="1" customHeight="1" x14ac:dyDescent="0.25">
      <c r="A1753" s="2002"/>
      <c r="B1753" s="2009"/>
      <c r="C1753" s="164" t="s">
        <v>259</v>
      </c>
      <c r="D1753" s="866" t="s">
        <v>10</v>
      </c>
      <c r="E1753" s="1119">
        <v>44425</v>
      </c>
      <c r="F1753" s="71">
        <f t="shared" si="1075"/>
        <v>1861</v>
      </c>
      <c r="G1753" s="12">
        <v>0</v>
      </c>
      <c r="H1753" s="12"/>
      <c r="I1753" s="12"/>
      <c r="J1753" s="1368"/>
      <c r="K1753" s="12"/>
      <c r="L1753" s="1533">
        <f t="shared" si="1072"/>
        <v>0</v>
      </c>
      <c r="M1753" s="101"/>
      <c r="N1753" s="249"/>
      <c r="O1753" s="101"/>
      <c r="P1753" s="857"/>
      <c r="Q1753" s="795"/>
      <c r="R1753" s="785">
        <f>IFERROR(VLOOKUP($Q1753,'391'!$S:$Z,8,0),"")</f>
        <v>0</v>
      </c>
      <c r="S1753" s="786"/>
      <c r="T1753" s="787"/>
      <c r="U1753" s="787"/>
      <c r="V1753" s="787"/>
      <c r="W1753" s="785">
        <f>IFERROR(VLOOKUP($Q1753,'391'!$S:$AG,15,0),0)</f>
        <v>0</v>
      </c>
      <c r="X1753" s="1090">
        <f t="shared" si="1070"/>
        <v>0</v>
      </c>
      <c r="Y1753" s="787"/>
      <c r="Z1753" s="791"/>
      <c r="AA1753" s="787"/>
      <c r="AB1753" s="787"/>
      <c r="AC1753" s="679"/>
      <c r="AD1753" s="679"/>
      <c r="AE1753" s="679"/>
      <c r="AF1753" s="679"/>
      <c r="AG1753" s="679"/>
      <c r="AH1753" s="679"/>
      <c r="AI1753" s="682"/>
      <c r="AJ1753" s="682"/>
      <c r="AK1753" s="682"/>
      <c r="AL1753" s="682"/>
      <c r="AM1753" s="682"/>
      <c r="AN1753" s="682"/>
      <c r="AO1753" s="682"/>
      <c r="AP1753" s="682"/>
      <c r="AQ1753" s="682"/>
      <c r="AR1753" s="682"/>
      <c r="AS1753" s="682"/>
    </row>
    <row r="1754" spans="1:45" s="6" customFormat="1" ht="30" hidden="1" customHeight="1" x14ac:dyDescent="0.25">
      <c r="A1754" s="2002"/>
      <c r="B1754" s="2009"/>
      <c r="C1754" s="164" t="s">
        <v>259</v>
      </c>
      <c r="D1754" s="866" t="s">
        <v>10</v>
      </c>
      <c r="E1754" s="1119">
        <v>44425</v>
      </c>
      <c r="F1754" s="71">
        <f t="shared" si="1075"/>
        <v>1861</v>
      </c>
      <c r="G1754" s="12">
        <v>0</v>
      </c>
      <c r="H1754" s="12"/>
      <c r="I1754" s="12"/>
      <c r="J1754" s="1368"/>
      <c r="K1754" s="12"/>
      <c r="L1754" s="1533">
        <f t="shared" si="1072"/>
        <v>0</v>
      </c>
      <c r="M1754" s="101"/>
      <c r="N1754" s="249"/>
      <c r="O1754" s="101"/>
      <c r="P1754" s="857"/>
      <c r="Q1754" s="795"/>
      <c r="R1754" s="785">
        <f>IFERROR(VLOOKUP($Q1754,'391'!$S:$Z,8,0),"")</f>
        <v>0</v>
      </c>
      <c r="S1754" s="786"/>
      <c r="T1754" s="787"/>
      <c r="U1754" s="787"/>
      <c r="V1754" s="787"/>
      <c r="W1754" s="785">
        <f>IFERROR(VLOOKUP($Q1754,'391'!$S:$AG,15,0),0)</f>
        <v>0</v>
      </c>
      <c r="X1754" s="1090">
        <f t="shared" si="1070"/>
        <v>0</v>
      </c>
      <c r="Y1754" s="787"/>
      <c r="Z1754" s="791"/>
      <c r="AA1754" s="787"/>
      <c r="AB1754" s="787"/>
      <c r="AC1754" s="679"/>
      <c r="AD1754" s="679"/>
      <c r="AE1754" s="679"/>
      <c r="AF1754" s="679"/>
      <c r="AG1754" s="679"/>
      <c r="AH1754" s="679"/>
      <c r="AI1754" s="682"/>
      <c r="AJ1754" s="682"/>
      <c r="AK1754" s="682"/>
      <c r="AL1754" s="682"/>
      <c r="AM1754" s="682"/>
      <c r="AN1754" s="682"/>
      <c r="AO1754" s="682"/>
      <c r="AP1754" s="682"/>
      <c r="AQ1754" s="682"/>
      <c r="AR1754" s="682"/>
      <c r="AS1754" s="682"/>
    </row>
    <row r="1755" spans="1:45" s="6" customFormat="1" ht="30" hidden="1" customHeight="1" x14ac:dyDescent="0.25">
      <c r="A1755" s="2002"/>
      <c r="B1755" s="2009"/>
      <c r="C1755" s="164" t="s">
        <v>250</v>
      </c>
      <c r="D1755" s="866" t="s">
        <v>10</v>
      </c>
      <c r="E1755" s="1119">
        <v>44425</v>
      </c>
      <c r="F1755" s="71">
        <f t="shared" si="1075"/>
        <v>1861</v>
      </c>
      <c r="G1755" s="12">
        <v>0</v>
      </c>
      <c r="H1755" s="12"/>
      <c r="I1755" s="12"/>
      <c r="J1755" s="1368"/>
      <c r="K1755" s="12"/>
      <c r="L1755" s="1533">
        <f t="shared" si="1072"/>
        <v>0</v>
      </c>
      <c r="M1755" s="101"/>
      <c r="N1755" s="249"/>
      <c r="O1755" s="101"/>
      <c r="P1755" s="857"/>
      <c r="Q1755" s="795"/>
      <c r="R1755" s="785">
        <f>IFERROR(VLOOKUP($Q1755,'391'!$S:$Z,8,0),"")</f>
        <v>0</v>
      </c>
      <c r="S1755" s="786"/>
      <c r="T1755" s="787"/>
      <c r="U1755" s="787"/>
      <c r="V1755" s="787"/>
      <c r="W1755" s="785">
        <f>IFERROR(VLOOKUP($Q1755,'391'!$S:$AG,15,0),0)</f>
        <v>0</v>
      </c>
      <c r="X1755" s="1090">
        <f t="shared" si="1070"/>
        <v>0</v>
      </c>
      <c r="Y1755" s="787"/>
      <c r="Z1755" s="791"/>
      <c r="AA1755" s="787"/>
      <c r="AB1755" s="787"/>
      <c r="AC1755" s="679"/>
      <c r="AD1755" s="679"/>
      <c r="AE1755" s="679"/>
      <c r="AF1755" s="679"/>
      <c r="AG1755" s="679"/>
      <c r="AH1755" s="679"/>
      <c r="AI1755" s="682"/>
      <c r="AJ1755" s="682"/>
      <c r="AK1755" s="682"/>
      <c r="AL1755" s="682"/>
      <c r="AM1755" s="682"/>
      <c r="AN1755" s="682"/>
      <c r="AO1755" s="682"/>
      <c r="AP1755" s="682"/>
      <c r="AQ1755" s="682"/>
      <c r="AR1755" s="682"/>
      <c r="AS1755" s="682"/>
    </row>
    <row r="1756" spans="1:45" s="6" customFormat="1" ht="30" hidden="1" customHeight="1" x14ac:dyDescent="0.25">
      <c r="A1756" s="2002"/>
      <c r="B1756" s="2009"/>
      <c r="C1756" s="164" t="s">
        <v>250</v>
      </c>
      <c r="D1756" s="866" t="s">
        <v>10</v>
      </c>
      <c r="E1756" s="1119">
        <v>44425</v>
      </c>
      <c r="F1756" s="71">
        <f t="shared" si="1075"/>
        <v>1861</v>
      </c>
      <c r="G1756" s="12">
        <v>0</v>
      </c>
      <c r="H1756" s="12"/>
      <c r="I1756" s="12"/>
      <c r="J1756" s="1368"/>
      <c r="K1756" s="12"/>
      <c r="L1756" s="1533">
        <f t="shared" si="1072"/>
        <v>0</v>
      </c>
      <c r="M1756" s="101"/>
      <c r="N1756" s="249"/>
      <c r="O1756" s="101"/>
      <c r="P1756" s="857"/>
      <c r="Q1756" s="795"/>
      <c r="R1756" s="785">
        <f>IFERROR(VLOOKUP($Q1756,'391'!$S:$Z,8,0),"")</f>
        <v>0</v>
      </c>
      <c r="S1756" s="786"/>
      <c r="T1756" s="787"/>
      <c r="U1756" s="787"/>
      <c r="V1756" s="787"/>
      <c r="W1756" s="785">
        <f>IFERROR(VLOOKUP($Q1756,'391'!$S:$AG,15,0),0)</f>
        <v>0</v>
      </c>
      <c r="X1756" s="1090">
        <f t="shared" si="1070"/>
        <v>0</v>
      </c>
      <c r="Y1756" s="787"/>
      <c r="Z1756" s="791"/>
      <c r="AA1756" s="787"/>
      <c r="AB1756" s="787"/>
      <c r="AC1756" s="679"/>
      <c r="AD1756" s="679"/>
      <c r="AE1756" s="679"/>
      <c r="AF1756" s="679"/>
      <c r="AG1756" s="679"/>
      <c r="AH1756" s="679"/>
      <c r="AI1756" s="682"/>
      <c r="AJ1756" s="682"/>
      <c r="AK1756" s="682"/>
      <c r="AL1756" s="682"/>
      <c r="AM1756" s="682"/>
      <c r="AN1756" s="682"/>
      <c r="AO1756" s="682"/>
      <c r="AP1756" s="682"/>
      <c r="AQ1756" s="682"/>
      <c r="AR1756" s="682"/>
      <c r="AS1756" s="682"/>
    </row>
    <row r="1757" spans="1:45" s="6" customFormat="1" ht="30" hidden="1" customHeight="1" x14ac:dyDescent="0.25">
      <c r="A1757" s="2002"/>
      <c r="B1757" s="2009"/>
      <c r="C1757" s="164" t="s">
        <v>250</v>
      </c>
      <c r="D1757" s="866" t="s">
        <v>10</v>
      </c>
      <c r="E1757" s="1119">
        <v>44425</v>
      </c>
      <c r="F1757" s="71">
        <f t="shared" si="1075"/>
        <v>1861</v>
      </c>
      <c r="G1757" s="12">
        <v>0</v>
      </c>
      <c r="H1757" s="12"/>
      <c r="I1757" s="12"/>
      <c r="J1757" s="1368"/>
      <c r="K1757" s="12"/>
      <c r="L1757" s="1533">
        <f t="shared" si="1072"/>
        <v>0</v>
      </c>
      <c r="M1757" s="101"/>
      <c r="N1757" s="249"/>
      <c r="O1757" s="101"/>
      <c r="P1757" s="857"/>
      <c r="Q1757" s="795"/>
      <c r="R1757" s="785">
        <f>IFERROR(VLOOKUP($Q1757,'391'!$S:$Z,8,0),"")</f>
        <v>0</v>
      </c>
      <c r="S1757" s="786"/>
      <c r="T1757" s="787"/>
      <c r="U1757" s="787"/>
      <c r="V1757" s="787"/>
      <c r="W1757" s="785">
        <f>IFERROR(VLOOKUP($Q1757,'391'!$S:$AG,15,0),0)</f>
        <v>0</v>
      </c>
      <c r="X1757" s="1090">
        <f t="shared" si="1070"/>
        <v>0</v>
      </c>
      <c r="Y1757" s="787"/>
      <c r="Z1757" s="791"/>
      <c r="AA1757" s="787"/>
      <c r="AB1757" s="787"/>
      <c r="AC1757" s="679"/>
      <c r="AD1757" s="679"/>
      <c r="AE1757" s="679"/>
      <c r="AF1757" s="679"/>
      <c r="AG1757" s="679"/>
      <c r="AH1757" s="679"/>
      <c r="AI1757" s="682"/>
      <c r="AJ1757" s="682"/>
      <c r="AK1757" s="682"/>
      <c r="AL1757" s="682"/>
      <c r="AM1757" s="682"/>
      <c r="AN1757" s="682"/>
      <c r="AO1757" s="682"/>
      <c r="AP1757" s="682"/>
      <c r="AQ1757" s="682"/>
      <c r="AR1757" s="682"/>
      <c r="AS1757" s="682"/>
    </row>
    <row r="1758" spans="1:45" s="6" customFormat="1" ht="30" hidden="1" customHeight="1" x14ac:dyDescent="0.25">
      <c r="A1758" s="2002"/>
      <c r="B1758" s="2009"/>
      <c r="C1758" s="123" t="s">
        <v>46</v>
      </c>
      <c r="D1758" s="866" t="s">
        <v>10</v>
      </c>
      <c r="E1758" s="1119">
        <v>44425</v>
      </c>
      <c r="F1758" s="71">
        <f t="shared" si="1075"/>
        <v>1861</v>
      </c>
      <c r="G1758" s="958">
        <v>0</v>
      </c>
      <c r="H1758" s="958"/>
      <c r="I1758" s="958"/>
      <c r="J1758" s="1397"/>
      <c r="K1758" s="958"/>
      <c r="L1758" s="1533">
        <f t="shared" si="1072"/>
        <v>0</v>
      </c>
      <c r="M1758" s="101"/>
      <c r="N1758" s="249"/>
      <c r="O1758" s="101"/>
      <c r="P1758" s="857"/>
      <c r="Q1758" s="795"/>
      <c r="R1758" s="785">
        <f>IFERROR(VLOOKUP($Q1758,'391'!$S:$Z,8,0),"")</f>
        <v>0</v>
      </c>
      <c r="S1758" s="786"/>
      <c r="T1758" s="787"/>
      <c r="U1758" s="787"/>
      <c r="V1758" s="787"/>
      <c r="W1758" s="785">
        <f>IFERROR(VLOOKUP($Q1758,'391'!$S:$AG,15,0),0)</f>
        <v>0</v>
      </c>
      <c r="X1758" s="1090">
        <f t="shared" si="1070"/>
        <v>0</v>
      </c>
      <c r="Y1758" s="787"/>
      <c r="Z1758" s="791"/>
      <c r="AA1758" s="787"/>
      <c r="AB1758" s="787"/>
      <c r="AC1758" s="679"/>
      <c r="AD1758" s="679"/>
      <c r="AE1758" s="679"/>
      <c r="AF1758" s="679"/>
      <c r="AG1758" s="679"/>
      <c r="AH1758" s="679"/>
      <c r="AI1758" s="682"/>
      <c r="AJ1758" s="682"/>
      <c r="AK1758" s="682"/>
      <c r="AL1758" s="682"/>
      <c r="AM1758" s="682"/>
      <c r="AN1758" s="682"/>
      <c r="AO1758" s="682"/>
      <c r="AP1758" s="682"/>
      <c r="AQ1758" s="682"/>
      <c r="AR1758" s="682"/>
      <c r="AS1758" s="682"/>
    </row>
    <row r="1759" spans="1:45" s="406" customFormat="1" ht="30" hidden="1" customHeight="1" x14ac:dyDescent="0.25">
      <c r="A1759" s="2002"/>
      <c r="B1759" s="2009"/>
      <c r="C1759" s="123" t="s">
        <v>46</v>
      </c>
      <c r="D1759" s="1112" t="s">
        <v>10</v>
      </c>
      <c r="E1759" s="1119">
        <v>44425</v>
      </c>
      <c r="F1759" s="71">
        <f t="shared" si="1075"/>
        <v>1861</v>
      </c>
      <c r="G1759" s="56">
        <v>0</v>
      </c>
      <c r="H1759" s="37"/>
      <c r="I1759" s="37"/>
      <c r="J1759" s="1385"/>
      <c r="K1759" s="37"/>
      <c r="L1759" s="1533">
        <f t="shared" si="1072"/>
        <v>0</v>
      </c>
      <c r="M1759" s="40"/>
      <c r="N1759" s="84"/>
      <c r="O1759" s="40"/>
      <c r="P1759" s="857"/>
      <c r="Q1759" s="795"/>
      <c r="R1759" s="785">
        <f>IFERROR(VLOOKUP($Q1759,'391'!$S:$Z,8,0),"")</f>
        <v>0</v>
      </c>
      <c r="S1759" s="786"/>
      <c r="T1759" s="787"/>
      <c r="U1759" s="787"/>
      <c r="V1759" s="787"/>
      <c r="W1759" s="785">
        <f>IFERROR(VLOOKUP($Q1759,'391'!$S:$AG,15,0),0)</f>
        <v>0</v>
      </c>
      <c r="X1759" s="1090">
        <f t="shared" si="1070"/>
        <v>0</v>
      </c>
      <c r="Y1759" s="787"/>
      <c r="Z1759" s="791"/>
      <c r="AA1759" s="787"/>
      <c r="AB1759" s="787"/>
      <c r="AC1759" s="679"/>
      <c r="AD1759" s="679"/>
      <c r="AE1759" s="679"/>
      <c r="AF1759" s="679"/>
      <c r="AG1759" s="679"/>
      <c r="AH1759" s="679"/>
      <c r="AI1759" s="682"/>
      <c r="AJ1759" s="682"/>
      <c r="AK1759" s="682"/>
      <c r="AL1759" s="682"/>
      <c r="AM1759" s="682"/>
      <c r="AN1759" s="682"/>
      <c r="AO1759" s="682"/>
      <c r="AP1759" s="682"/>
      <c r="AQ1759" s="682"/>
      <c r="AR1759" s="682"/>
      <c r="AS1759" s="682"/>
    </row>
    <row r="1760" spans="1:45" s="420" customFormat="1" ht="30" hidden="1" customHeight="1" x14ac:dyDescent="0.25">
      <c r="A1760" s="2003" t="s">
        <v>165</v>
      </c>
      <c r="B1760" s="2004"/>
      <c r="C1760" s="125"/>
      <c r="D1760" s="1027"/>
      <c r="E1760" s="1027"/>
      <c r="F1760" s="896"/>
      <c r="G1760" s="1422">
        <v>0</v>
      </c>
      <c r="H1760" s="1422">
        <f>SUM(H1751:H1759)</f>
        <v>0</v>
      </c>
      <c r="I1760" s="1422">
        <f>SUM(I1751:I1759)</f>
        <v>0</v>
      </c>
      <c r="J1760" s="1422">
        <f>SUM(J1751:J1759)</f>
        <v>0</v>
      </c>
      <c r="K1760" s="1422"/>
      <c r="L1760" s="1533">
        <f t="shared" si="1072"/>
        <v>0</v>
      </c>
      <c r="M1760" s="889">
        <v>0</v>
      </c>
      <c r="N1760" s="366" t="e">
        <f>(L1760/M1760)/1000</f>
        <v>#DIV/0!</v>
      </c>
      <c r="O1760" s="889"/>
      <c r="P1760" s="857" t="e">
        <f>(L1760/O1760)/1000</f>
        <v>#DIV/0!</v>
      </c>
      <c r="Q1760" s="795"/>
      <c r="R1760" s="785">
        <f>IFERROR(VLOOKUP($Q1760,'391'!$S:$Z,8,0),"")</f>
        <v>0</v>
      </c>
      <c r="S1760" s="786"/>
      <c r="T1760" s="787"/>
      <c r="U1760" s="787"/>
      <c r="V1760" s="787"/>
      <c r="W1760" s="785">
        <f>IFERROR(VLOOKUP($Q1760,'391'!$S:$AG,15,0),0)</f>
        <v>0</v>
      </c>
      <c r="X1760" s="1090">
        <f t="shared" si="1070"/>
        <v>0</v>
      </c>
      <c r="Y1760" s="787"/>
      <c r="Z1760" s="791"/>
      <c r="AA1760" s="787"/>
      <c r="AB1760" s="787"/>
      <c r="AC1760" s="550"/>
      <c r="AD1760" s="550"/>
      <c r="AE1760" s="550"/>
      <c r="AF1760" s="550"/>
      <c r="AG1760" s="550"/>
      <c r="AH1760" s="550"/>
      <c r="AI1760" s="559"/>
      <c r="AJ1760" s="559"/>
      <c r="AK1760" s="559"/>
      <c r="AL1760" s="559"/>
      <c r="AM1760" s="559"/>
      <c r="AN1760" s="559"/>
      <c r="AO1760" s="559"/>
      <c r="AP1760" s="559"/>
      <c r="AQ1760" s="559"/>
      <c r="AR1760" s="559"/>
      <c r="AS1760" s="559"/>
    </row>
    <row r="1761" spans="1:45" s="6" customFormat="1" ht="30" customHeight="1" x14ac:dyDescent="0.25">
      <c r="A1761" s="2001">
        <f>IF(L1766=0,"",MAX($A$16:A1760)+1)</f>
        <v>122</v>
      </c>
      <c r="B1761" s="390" t="s">
        <v>2208</v>
      </c>
      <c r="C1761" s="246" t="s">
        <v>1952</v>
      </c>
      <c r="D1761" s="866" t="s">
        <v>10</v>
      </c>
      <c r="E1761" s="1124">
        <v>46275</v>
      </c>
      <c r="F1761" s="71">
        <f>$L$7-E1761</f>
        <v>11</v>
      </c>
      <c r="G1761" s="12">
        <v>30</v>
      </c>
      <c r="H1761" s="12"/>
      <c r="I1761" s="12"/>
      <c r="J1761" s="1368"/>
      <c r="K1761" s="64">
        <f>IFERROR(SUMIF(INTAKE!$A:$A,$T1761,INTAKE!$P:$P),0)</f>
        <v>0</v>
      </c>
      <c r="L1761" s="1702">
        <f t="shared" si="1072"/>
        <v>30</v>
      </c>
      <c r="M1761" s="66"/>
      <c r="N1761" s="66"/>
      <c r="O1761" s="66"/>
      <c r="P1761" s="744"/>
      <c r="Q1761" s="795"/>
      <c r="R1761" s="785">
        <f>IFERROR(VLOOKUP($Q1761,'391'!$S:$Z,8,0),"")</f>
        <v>0</v>
      </c>
      <c r="S1761" s="786"/>
      <c r="T1761" s="787" t="str">
        <f>$Q$1766&amp;C1761&amp;E1761</f>
        <v>Premix 62VV1.246275</v>
      </c>
      <c r="U1761" s="787"/>
      <c r="V1761" s="787"/>
      <c r="W1761" s="785">
        <f>IFERROR(VLOOKUP($Q1761,'391'!$S:$AG,15,0),0)</f>
        <v>0</v>
      </c>
      <c r="X1761" s="1090">
        <f t="shared" si="1070"/>
        <v>30</v>
      </c>
      <c r="Y1761" s="787"/>
      <c r="Z1761" s="791"/>
      <c r="AA1761" s="787"/>
      <c r="AB1761" s="787"/>
      <c r="AC1761" s="679"/>
      <c r="AD1761" s="679"/>
      <c r="AE1761" s="679"/>
      <c r="AF1761" s="679"/>
      <c r="AG1761" s="679"/>
      <c r="AH1761" s="679"/>
      <c r="AI1761" s="682"/>
      <c r="AJ1761" s="682"/>
      <c r="AK1761" s="682"/>
      <c r="AL1761" s="682"/>
      <c r="AM1761" s="682"/>
      <c r="AN1761" s="682"/>
      <c r="AO1761" s="682"/>
      <c r="AP1761" s="682"/>
      <c r="AQ1761" s="682"/>
      <c r="AR1761" s="682"/>
      <c r="AS1761" s="682"/>
    </row>
    <row r="1762" spans="1:45" s="6" customFormat="1" ht="30" customHeight="1" x14ac:dyDescent="0.25">
      <c r="A1762" s="2002"/>
      <c r="B1762" s="390" t="s">
        <v>2239</v>
      </c>
      <c r="C1762" s="246" t="s">
        <v>1952</v>
      </c>
      <c r="D1762" s="866" t="s">
        <v>10</v>
      </c>
      <c r="E1762" s="1124">
        <v>46283</v>
      </c>
      <c r="F1762" s="71">
        <f>$L$7-E1762</f>
        <v>3</v>
      </c>
      <c r="G1762" s="12">
        <v>90</v>
      </c>
      <c r="H1762" s="12"/>
      <c r="I1762" s="12"/>
      <c r="J1762" s="1368"/>
      <c r="K1762" s="64">
        <f>IFERROR(SUMIF(INTAKE!$A:$A,$T1762,INTAKE!$P:$P),0)</f>
        <v>0</v>
      </c>
      <c r="L1762" s="1702">
        <f t="shared" si="1072"/>
        <v>90</v>
      </c>
      <c r="M1762" s="101"/>
      <c r="N1762" s="101"/>
      <c r="O1762" s="101"/>
      <c r="P1762" s="738"/>
      <c r="Q1762" s="795"/>
      <c r="R1762" s="785">
        <f>IFERROR(VLOOKUP($Q1762,'391'!$S:$Z,8,0),"")</f>
        <v>0</v>
      </c>
      <c r="S1762" s="786"/>
      <c r="T1762" s="787" t="str">
        <f>$Q$1766&amp;C1762&amp;E1762</f>
        <v>Premix 62VV1.246283</v>
      </c>
      <c r="U1762" s="787"/>
      <c r="V1762" s="787"/>
      <c r="W1762" s="785">
        <f>IFERROR(VLOOKUP($Q1762,'391'!$S:$AG,15,0),0)</f>
        <v>0</v>
      </c>
      <c r="X1762" s="1090">
        <f t="shared" si="1070"/>
        <v>90</v>
      </c>
      <c r="Y1762" s="787"/>
      <c r="Z1762" s="791"/>
      <c r="AA1762" s="787"/>
      <c r="AB1762" s="787"/>
      <c r="AC1762" s="679"/>
      <c r="AD1762" s="679"/>
      <c r="AE1762" s="679"/>
      <c r="AF1762" s="679"/>
      <c r="AG1762" s="679"/>
      <c r="AH1762" s="679"/>
      <c r="AI1762" s="682"/>
      <c r="AJ1762" s="682"/>
      <c r="AK1762" s="682"/>
      <c r="AL1762" s="682"/>
      <c r="AM1762" s="682"/>
      <c r="AN1762" s="682"/>
      <c r="AO1762" s="682"/>
      <c r="AP1762" s="682"/>
      <c r="AQ1762" s="682"/>
      <c r="AR1762" s="682"/>
      <c r="AS1762" s="682"/>
    </row>
    <row r="1763" spans="1:45" s="6" customFormat="1" ht="30" hidden="1" customHeight="1" x14ac:dyDescent="0.25">
      <c r="A1763" s="2002"/>
      <c r="B1763" s="390" t="s">
        <v>1854</v>
      </c>
      <c r="C1763" s="246"/>
      <c r="D1763" s="866" t="s">
        <v>10</v>
      </c>
      <c r="E1763" s="1124">
        <v>46213</v>
      </c>
      <c r="F1763" s="71">
        <f>$L$7-E1763</f>
        <v>73</v>
      </c>
      <c r="G1763" s="12">
        <v>0</v>
      </c>
      <c r="H1763" s="12"/>
      <c r="I1763" s="12"/>
      <c r="J1763" s="1368"/>
      <c r="K1763" s="64">
        <f>IFERROR(SUMIF(INTAKE!$A:$A,$T1763,INTAKE!$P:$P),0)</f>
        <v>0</v>
      </c>
      <c r="L1763" s="1702">
        <f t="shared" si="1072"/>
        <v>0</v>
      </c>
      <c r="M1763" s="101"/>
      <c r="N1763" s="101"/>
      <c r="O1763" s="101"/>
      <c r="P1763" s="738"/>
      <c r="Q1763" s="795"/>
      <c r="R1763" s="785">
        <f>IFERROR(VLOOKUP($Q1763,'391'!$S:$Z,8,0),"")</f>
        <v>0</v>
      </c>
      <c r="S1763" s="786"/>
      <c r="T1763" s="787" t="str">
        <f>$Q$1766&amp;C1763&amp;E1763</f>
        <v>Premix 62V46213</v>
      </c>
      <c r="U1763" s="787"/>
      <c r="V1763" s="787"/>
      <c r="W1763" s="785">
        <f>IFERROR(VLOOKUP($Q1763,'391'!$S:$AG,15,0),0)</f>
        <v>0</v>
      </c>
      <c r="X1763" s="1090">
        <f t="shared" si="1070"/>
        <v>0</v>
      </c>
      <c r="Y1763" s="787"/>
      <c r="Z1763" s="791"/>
      <c r="AA1763" s="787"/>
      <c r="AB1763" s="787"/>
      <c r="AC1763" s="679"/>
      <c r="AD1763" s="679"/>
      <c r="AE1763" s="679"/>
      <c r="AF1763" s="679"/>
      <c r="AG1763" s="679"/>
      <c r="AH1763" s="679"/>
      <c r="AI1763" s="682"/>
      <c r="AJ1763" s="682"/>
      <c r="AK1763" s="682"/>
      <c r="AL1763" s="682"/>
      <c r="AM1763" s="682"/>
      <c r="AN1763" s="682"/>
      <c r="AO1763" s="682"/>
      <c r="AP1763" s="682"/>
      <c r="AQ1763" s="682"/>
      <c r="AR1763" s="682"/>
      <c r="AS1763" s="682"/>
    </row>
    <row r="1764" spans="1:45" s="6" customFormat="1" ht="30" hidden="1" customHeight="1" x14ac:dyDescent="0.25">
      <c r="A1764" s="2002"/>
      <c r="B1764" s="390" t="s">
        <v>1113</v>
      </c>
      <c r="C1764" s="246"/>
      <c r="D1764" s="866" t="s">
        <v>10</v>
      </c>
      <c r="E1764" s="1124">
        <v>44547</v>
      </c>
      <c r="F1764" s="71">
        <f>$L$7-E1764</f>
        <v>1739</v>
      </c>
      <c r="G1764" s="12">
        <v>0</v>
      </c>
      <c r="H1764" s="12"/>
      <c r="I1764" s="12"/>
      <c r="J1764" s="1368"/>
      <c r="K1764" s="64">
        <f>IFERROR(SUMIF(INTAKE!$A:$A,$T1764,INTAKE!$P:$P),0)</f>
        <v>0</v>
      </c>
      <c r="L1764" s="1533">
        <f t="shared" si="1072"/>
        <v>0</v>
      </c>
      <c r="M1764" s="101"/>
      <c r="N1764" s="101"/>
      <c r="O1764" s="101"/>
      <c r="P1764" s="738"/>
      <c r="Q1764" s="795"/>
      <c r="R1764" s="785">
        <f>IFERROR(VLOOKUP($Q1764,'391'!$S:$Z,8,0),"")</f>
        <v>0</v>
      </c>
      <c r="S1764" s="786"/>
      <c r="T1764" s="787" t="str">
        <f>$Q$1766&amp;C1764&amp;E1764</f>
        <v>Premix 62V44547</v>
      </c>
      <c r="U1764" s="787"/>
      <c r="V1764" s="787"/>
      <c r="W1764" s="785">
        <f>IFERROR(VLOOKUP($Q1764,'391'!$S:$AG,15,0),0)</f>
        <v>0</v>
      </c>
      <c r="X1764" s="1090">
        <f t="shared" si="1070"/>
        <v>0</v>
      </c>
      <c r="Y1764" s="787"/>
      <c r="Z1764" s="791"/>
      <c r="AA1764" s="787"/>
      <c r="AB1764" s="787"/>
      <c r="AC1764" s="679"/>
      <c r="AD1764" s="679"/>
      <c r="AE1764" s="679"/>
      <c r="AF1764" s="679"/>
      <c r="AG1764" s="679"/>
      <c r="AH1764" s="679"/>
      <c r="AI1764" s="682"/>
      <c r="AJ1764" s="682"/>
      <c r="AK1764" s="682"/>
      <c r="AL1764" s="682"/>
      <c r="AM1764" s="682"/>
      <c r="AN1764" s="682"/>
      <c r="AO1764" s="682"/>
      <c r="AP1764" s="682"/>
      <c r="AQ1764" s="682"/>
      <c r="AR1764" s="682"/>
      <c r="AS1764" s="682"/>
    </row>
    <row r="1765" spans="1:45" s="406" customFormat="1" ht="30" customHeight="1" x14ac:dyDescent="0.25">
      <c r="A1765" s="2002"/>
      <c r="B1765" s="1019" t="s">
        <v>1113</v>
      </c>
      <c r="C1765" s="119" t="s">
        <v>46</v>
      </c>
      <c r="D1765" s="884" t="s">
        <v>10</v>
      </c>
      <c r="E1765" s="1130">
        <v>46270</v>
      </c>
      <c r="F1765" s="71">
        <f>$L$7-E1765</f>
        <v>16</v>
      </c>
      <c r="G1765" s="37">
        <v>11.099999999999998</v>
      </c>
      <c r="H1765" s="37"/>
      <c r="I1765" s="37">
        <f>+SUM(K1761:K1764)</f>
        <v>0</v>
      </c>
      <c r="J1765" s="1385">
        <f>+usage!I240</f>
        <v>0</v>
      </c>
      <c r="K1765" s="64">
        <f>IFERROR(SUMIF(INTAKE!$A:$A,$T1765,INTAKE!$P:$P),0)</f>
        <v>0</v>
      </c>
      <c r="L1765" s="1533">
        <f t="shared" si="1072"/>
        <v>11.099999999999998</v>
      </c>
      <c r="M1765" s="35"/>
      <c r="N1765" s="35"/>
      <c r="O1765" s="35"/>
      <c r="P1765" s="740"/>
      <c r="Q1765" s="795"/>
      <c r="R1765" s="785">
        <f>IFERROR(VLOOKUP($Q1765,'391'!$S:$Z,8,0),"")</f>
        <v>0</v>
      </c>
      <c r="S1765" s="786"/>
      <c r="T1765" s="787" t="str">
        <f>$Q$1766&amp;C1765&amp;E1765</f>
        <v>Premix 62VFeedmill46270</v>
      </c>
      <c r="U1765" s="787"/>
      <c r="V1765" s="787"/>
      <c r="W1765" s="785">
        <f>IFERROR(VLOOKUP($Q1765,'391'!$S:$AG,15,0),0)</f>
        <v>0</v>
      </c>
      <c r="X1765" s="1090">
        <f t="shared" si="1070"/>
        <v>11.099999999999998</v>
      </c>
      <c r="Y1765" s="787"/>
      <c r="Z1765" s="791"/>
      <c r="AA1765" s="787"/>
      <c r="AB1765" s="787"/>
      <c r="AC1765" s="679"/>
      <c r="AD1765" s="679"/>
      <c r="AE1765" s="679"/>
      <c r="AF1765" s="679"/>
      <c r="AG1765" s="679"/>
      <c r="AH1765" s="679"/>
      <c r="AI1765" s="682"/>
      <c r="AJ1765" s="682"/>
      <c r="AK1765" s="682"/>
      <c r="AL1765" s="682"/>
      <c r="AM1765" s="682"/>
      <c r="AN1765" s="682"/>
      <c r="AO1765" s="682"/>
      <c r="AP1765" s="682"/>
      <c r="AQ1765" s="682"/>
      <c r="AR1765" s="682"/>
      <c r="AS1765" s="682"/>
    </row>
    <row r="1766" spans="1:45" s="420" customFormat="1" ht="30" customHeight="1" x14ac:dyDescent="0.25">
      <c r="A1766" s="2003" t="s">
        <v>27</v>
      </c>
      <c r="B1766" s="2004"/>
      <c r="C1766" s="125"/>
      <c r="D1766" s="1027"/>
      <c r="E1766" s="1027"/>
      <c r="F1766" s="896"/>
      <c r="G1766" s="1328">
        <v>131.1</v>
      </c>
      <c r="H1766" s="1328">
        <f>+SUM(H1761:H1765)</f>
        <v>0</v>
      </c>
      <c r="I1766" s="1328">
        <f t="shared" ref="I1766" si="1076">SUM(I1761:I1765)</f>
        <v>0</v>
      </c>
      <c r="J1766" s="1328">
        <f t="shared" ref="J1766:L1766" si="1077">SUM(J1761:J1765)</f>
        <v>0</v>
      </c>
      <c r="K1766" s="1328">
        <f t="shared" si="1077"/>
        <v>0</v>
      </c>
      <c r="L1766" s="1328">
        <f t="shared" si="1077"/>
        <v>131.1</v>
      </c>
      <c r="M1766" s="889">
        <f>IFERROR(R1766/$S$2,"")</f>
        <v>0</v>
      </c>
      <c r="N1766" s="366">
        <f>IFERROR(L1766/M1766,0)</f>
        <v>0</v>
      </c>
      <c r="O1766" s="889">
        <f>IFERROR(SUMIF(ETM!$A:$A,$Q1766,ETM!$E:$E),"")</f>
        <v>1</v>
      </c>
      <c r="P1766" s="880">
        <f>IFERROR(L1766/O1766,0)</f>
        <v>131.1</v>
      </c>
      <c r="Q1766" s="814" t="s">
        <v>648</v>
      </c>
      <c r="R1766" s="785">
        <f>IFERROR(VLOOKUP($Q1766,'391'!$S:$Z,8,0),"")</f>
        <v>0</v>
      </c>
      <c r="S1766" s="786"/>
      <c r="T1766" s="787"/>
      <c r="U1766" s="787"/>
      <c r="V1766" s="787"/>
      <c r="W1766" s="785">
        <f>IFERROR(VLOOKUP($Q1766,'391'!$S:$AG,15,0),0)</f>
        <v>131.1</v>
      </c>
      <c r="X1766" s="1090">
        <f t="shared" si="1070"/>
        <v>0</v>
      </c>
      <c r="Y1766" s="787"/>
      <c r="Z1766" s="791"/>
      <c r="AA1766" s="787"/>
      <c r="AB1766" s="787"/>
      <c r="AC1766" s="550"/>
      <c r="AD1766" s="550"/>
      <c r="AE1766" s="550"/>
      <c r="AF1766" s="550"/>
      <c r="AG1766" s="550"/>
      <c r="AH1766" s="550"/>
      <c r="AI1766" s="559"/>
      <c r="AJ1766" s="559"/>
      <c r="AK1766" s="559"/>
      <c r="AL1766" s="559"/>
      <c r="AM1766" s="559"/>
      <c r="AN1766" s="559"/>
      <c r="AO1766" s="559"/>
      <c r="AP1766" s="559"/>
      <c r="AQ1766" s="559"/>
      <c r="AR1766" s="559"/>
      <c r="AS1766" s="559"/>
    </row>
    <row r="1767" spans="1:45" s="6" customFormat="1" ht="30" hidden="1" customHeight="1" x14ac:dyDescent="0.25">
      <c r="A1767" s="2001">
        <f>IF(L1773=0,"",MAX($A$16:A1766)+1)</f>
        <v>123</v>
      </c>
      <c r="B1767" s="390" t="s">
        <v>1194</v>
      </c>
      <c r="C1767" s="348"/>
      <c r="D1767" s="866" t="s">
        <v>10</v>
      </c>
      <c r="E1767" s="1120">
        <v>44805</v>
      </c>
      <c r="F1767" s="71">
        <f t="shared" ref="F1767:F1772" si="1078">$L$7-E1767</f>
        <v>1481</v>
      </c>
      <c r="G1767" s="12">
        <v>0</v>
      </c>
      <c r="H1767" s="12"/>
      <c r="I1767" s="12"/>
      <c r="J1767" s="1388"/>
      <c r="K1767" s="64"/>
      <c r="L1767" s="1533">
        <f t="shared" ref="L1767:L1772" si="1079">+G1767+H1767+I1767-J1767-K1767</f>
        <v>0</v>
      </c>
      <c r="M1767" s="1452"/>
      <c r="N1767" s="1468"/>
      <c r="O1767" s="1452"/>
      <c r="P1767" s="1479"/>
      <c r="Q1767" s="795"/>
      <c r="R1767" s="785">
        <f>IFERROR(VLOOKUP($Q1767,'391'!$S:$Z,8,0),"")</f>
        <v>0</v>
      </c>
      <c r="S1767" s="786"/>
      <c r="T1767" s="787" t="str">
        <f t="shared" ref="T1767:T1772" si="1080">$Q$1773&amp;C1767&amp;E1767</f>
        <v>Premix 62PV44805</v>
      </c>
      <c r="U1767" s="787"/>
      <c r="V1767" s="787"/>
      <c r="W1767" s="785">
        <f>IFERROR(VLOOKUP($Q1767,'391'!$S:$AG,15,0),0)</f>
        <v>0</v>
      </c>
      <c r="X1767" s="1090">
        <f t="shared" si="1070"/>
        <v>0</v>
      </c>
      <c r="Y1767" s="787"/>
      <c r="Z1767" s="791"/>
      <c r="AA1767" s="787"/>
      <c r="AB1767" s="787"/>
      <c r="AC1767" s="679"/>
      <c r="AD1767" s="679"/>
      <c r="AE1767" s="679"/>
      <c r="AF1767" s="679"/>
      <c r="AG1767" s="679"/>
      <c r="AH1767" s="679"/>
      <c r="AI1767" s="682"/>
      <c r="AJ1767" s="682"/>
      <c r="AK1767" s="682"/>
      <c r="AL1767" s="682"/>
      <c r="AM1767" s="682"/>
      <c r="AN1767" s="682"/>
      <c r="AO1767" s="682"/>
      <c r="AP1767" s="682"/>
      <c r="AQ1767" s="682"/>
      <c r="AR1767" s="682"/>
      <c r="AS1767" s="682"/>
    </row>
    <row r="1768" spans="1:45" s="6" customFormat="1" ht="30" customHeight="1" x14ac:dyDescent="0.25">
      <c r="A1768" s="2002"/>
      <c r="B1768" s="390" t="s">
        <v>1968</v>
      </c>
      <c r="C1768" s="348" t="s">
        <v>233</v>
      </c>
      <c r="D1768" s="866" t="s">
        <v>10</v>
      </c>
      <c r="E1768" s="1120">
        <v>46270</v>
      </c>
      <c r="F1768" s="71">
        <f t="shared" ref="F1768" si="1081">$L$7-E1768</f>
        <v>16</v>
      </c>
      <c r="G1768" s="12">
        <v>90</v>
      </c>
      <c r="H1768" s="12"/>
      <c r="I1768" s="12"/>
      <c r="J1768" s="1388"/>
      <c r="K1768" s="64">
        <f>IFERROR(SUMIF(INTAKE!$A:$A,$T1768,INTAKE!$P:$P),0)</f>
        <v>90</v>
      </c>
      <c r="L1768" s="1702">
        <f t="shared" si="1079"/>
        <v>0</v>
      </c>
      <c r="M1768" s="101"/>
      <c r="N1768" s="1460"/>
      <c r="O1768" s="101"/>
      <c r="P1768" s="738"/>
      <c r="Q1768" s="795"/>
      <c r="R1768" s="785">
        <f>IFERROR(VLOOKUP($Q1768,'391'!$S:$Z,8,0),"")</f>
        <v>0</v>
      </c>
      <c r="S1768" s="786"/>
      <c r="T1768" s="787" t="str">
        <f t="shared" si="1080"/>
        <v>Premix 62PVX5.146270</v>
      </c>
      <c r="U1768" s="787"/>
      <c r="V1768" s="787"/>
      <c r="W1768" s="785">
        <f>IFERROR(VLOOKUP($Q1768,'391'!$S:$AG,15,0),0)</f>
        <v>0</v>
      </c>
      <c r="X1768" s="1090">
        <f t="shared" si="1070"/>
        <v>90</v>
      </c>
      <c r="Y1768" s="787"/>
      <c r="Z1768" s="791"/>
      <c r="AA1768" s="787"/>
      <c r="AB1768" s="787"/>
      <c r="AC1768" s="679"/>
      <c r="AD1768" s="679"/>
      <c r="AE1768" s="679"/>
      <c r="AF1768" s="679"/>
      <c r="AG1768" s="679"/>
      <c r="AH1768" s="679"/>
      <c r="AI1768" s="682"/>
      <c r="AJ1768" s="682"/>
      <c r="AK1768" s="682"/>
      <c r="AL1768" s="682"/>
      <c r="AM1768" s="682"/>
      <c r="AN1768" s="682"/>
      <c r="AO1768" s="682"/>
      <c r="AP1768" s="682"/>
      <c r="AQ1768" s="682"/>
      <c r="AR1768" s="682"/>
      <c r="AS1768" s="682"/>
    </row>
    <row r="1769" spans="1:45" s="6" customFormat="1" ht="30" customHeight="1" x14ac:dyDescent="0.25">
      <c r="A1769" s="2002"/>
      <c r="B1769" s="390" t="s">
        <v>2207</v>
      </c>
      <c r="C1769" s="348" t="s">
        <v>233</v>
      </c>
      <c r="D1769" s="866" t="s">
        <v>10</v>
      </c>
      <c r="E1769" s="1120">
        <v>46275</v>
      </c>
      <c r="F1769" s="71">
        <f t="shared" si="1078"/>
        <v>11</v>
      </c>
      <c r="G1769" s="12">
        <v>180</v>
      </c>
      <c r="H1769" s="12"/>
      <c r="I1769" s="12"/>
      <c r="J1769" s="1388"/>
      <c r="K1769" s="64">
        <f>IFERROR(SUMIF(INTAKE!$A:$A,$T1769,INTAKE!$P:$P),0)</f>
        <v>0</v>
      </c>
      <c r="L1769" s="1702">
        <f t="shared" si="1079"/>
        <v>180</v>
      </c>
      <c r="M1769" s="101"/>
      <c r="N1769" s="1460"/>
      <c r="O1769" s="101"/>
      <c r="P1769" s="738"/>
      <c r="Q1769" s="795"/>
      <c r="R1769" s="785">
        <f>IFERROR(VLOOKUP($Q1769,'391'!$S:$Z,8,0),"")</f>
        <v>0</v>
      </c>
      <c r="S1769" s="786"/>
      <c r="T1769" s="787" t="str">
        <f t="shared" si="1080"/>
        <v>Premix 62PVX5.146275</v>
      </c>
      <c r="U1769" s="787"/>
      <c r="V1769" s="787"/>
      <c r="W1769" s="785">
        <f>IFERROR(VLOOKUP($Q1769,'391'!$S:$AG,15,0),0)</f>
        <v>0</v>
      </c>
      <c r="X1769" s="1090">
        <f t="shared" si="1070"/>
        <v>180</v>
      </c>
      <c r="Y1769" s="787"/>
      <c r="Z1769" s="791"/>
      <c r="AA1769" s="787"/>
      <c r="AB1769" s="787"/>
      <c r="AC1769" s="679"/>
      <c r="AD1769" s="679"/>
      <c r="AE1769" s="679"/>
      <c r="AF1769" s="679"/>
      <c r="AG1769" s="679"/>
      <c r="AH1769" s="679"/>
      <c r="AI1769" s="682"/>
      <c r="AJ1769" s="682"/>
      <c r="AK1769" s="682"/>
      <c r="AL1769" s="682"/>
      <c r="AM1769" s="682"/>
      <c r="AN1769" s="682"/>
      <c r="AO1769" s="682"/>
      <c r="AP1769" s="682"/>
      <c r="AQ1769" s="682"/>
      <c r="AR1769" s="682"/>
      <c r="AS1769" s="682"/>
    </row>
    <row r="1770" spans="1:45" s="6" customFormat="1" ht="30" customHeight="1" x14ac:dyDescent="0.25">
      <c r="A1770" s="2002"/>
      <c r="B1770" s="390" t="s">
        <v>2240</v>
      </c>
      <c r="C1770" s="348" t="s">
        <v>233</v>
      </c>
      <c r="D1770" s="866" t="s">
        <v>10</v>
      </c>
      <c r="E1770" s="1120">
        <v>46283</v>
      </c>
      <c r="F1770" s="71">
        <f t="shared" ref="F1770" si="1082">$L$7-E1770</f>
        <v>3</v>
      </c>
      <c r="G1770" s="12">
        <v>60</v>
      </c>
      <c r="H1770" s="12"/>
      <c r="I1770" s="12"/>
      <c r="J1770" s="1388"/>
      <c r="K1770" s="64">
        <f>IFERROR(SUMIF(INTAKE!$A:$A,$T1770,INTAKE!$P:$P),0)</f>
        <v>0</v>
      </c>
      <c r="L1770" s="1702">
        <f t="shared" si="1079"/>
        <v>60</v>
      </c>
      <c r="M1770" s="101"/>
      <c r="N1770" s="1460"/>
      <c r="O1770" s="101"/>
      <c r="P1770" s="738"/>
      <c r="Q1770" s="795"/>
      <c r="R1770" s="785">
        <f>IFERROR(VLOOKUP($Q1770,'391'!$S:$Z,8,0),"")</f>
        <v>0</v>
      </c>
      <c r="S1770" s="786"/>
      <c r="T1770" s="787" t="str">
        <f t="shared" si="1080"/>
        <v>Premix 62PVX5.146283</v>
      </c>
      <c r="U1770" s="787"/>
      <c r="V1770" s="787"/>
      <c r="W1770" s="785">
        <f>IFERROR(VLOOKUP($Q1770,'391'!$S:$AG,15,0),0)</f>
        <v>0</v>
      </c>
      <c r="X1770" s="1090">
        <f t="shared" si="1070"/>
        <v>60</v>
      </c>
      <c r="Y1770" s="787"/>
      <c r="Z1770" s="791"/>
      <c r="AA1770" s="787"/>
      <c r="AB1770" s="787"/>
      <c r="AC1770" s="679"/>
      <c r="AD1770" s="679"/>
      <c r="AE1770" s="679"/>
      <c r="AF1770" s="679"/>
      <c r="AG1770" s="679"/>
      <c r="AH1770" s="679"/>
      <c r="AI1770" s="682"/>
      <c r="AJ1770" s="682"/>
      <c r="AK1770" s="682"/>
      <c r="AL1770" s="682"/>
      <c r="AM1770" s="682"/>
      <c r="AN1770" s="682"/>
      <c r="AO1770" s="682"/>
      <c r="AP1770" s="682"/>
      <c r="AQ1770" s="682"/>
      <c r="AR1770" s="682"/>
      <c r="AS1770" s="682"/>
    </row>
    <row r="1771" spans="1:45" s="6" customFormat="1" ht="30" hidden="1" customHeight="1" x14ac:dyDescent="0.25">
      <c r="A1771" s="2002"/>
      <c r="B1771" s="390" t="s">
        <v>1541</v>
      </c>
      <c r="C1771" s="348"/>
      <c r="D1771" s="866" t="s">
        <v>10</v>
      </c>
      <c r="E1771" s="1120">
        <v>45680</v>
      </c>
      <c r="F1771" s="71">
        <f t="shared" si="1078"/>
        <v>606</v>
      </c>
      <c r="G1771" s="12">
        <v>0</v>
      </c>
      <c r="H1771" s="12"/>
      <c r="I1771" s="12"/>
      <c r="J1771" s="1388"/>
      <c r="K1771" s="64">
        <f>IFERROR(SUMIF(INTAKE!$A:$A,$T1771,INTAKE!$P:$P),0)</f>
        <v>0</v>
      </c>
      <c r="L1771" s="1702">
        <f t="shared" si="1079"/>
        <v>0</v>
      </c>
      <c r="M1771" s="101"/>
      <c r="N1771" s="1460"/>
      <c r="O1771" s="101"/>
      <c r="P1771" s="738"/>
      <c r="Q1771" s="795"/>
      <c r="R1771" s="785">
        <f>IFERROR(VLOOKUP($Q1771,'391'!$S:$Z,8,0),"")</f>
        <v>0</v>
      </c>
      <c r="S1771" s="786"/>
      <c r="T1771" s="787" t="str">
        <f t="shared" si="1080"/>
        <v>Premix 62PV45680</v>
      </c>
      <c r="U1771" s="787"/>
      <c r="V1771" s="787"/>
      <c r="W1771" s="785">
        <f>IFERROR(VLOOKUP($Q1771,'391'!$S:$AG,15,0),0)</f>
        <v>0</v>
      </c>
      <c r="X1771" s="1090">
        <f t="shared" si="1070"/>
        <v>0</v>
      </c>
      <c r="Y1771" s="787"/>
      <c r="Z1771" s="791"/>
      <c r="AA1771" s="787"/>
      <c r="AB1771" s="787"/>
      <c r="AC1771" s="679"/>
      <c r="AD1771" s="679"/>
      <c r="AE1771" s="679"/>
      <c r="AF1771" s="679"/>
      <c r="AG1771" s="679"/>
      <c r="AH1771" s="679"/>
      <c r="AI1771" s="682"/>
      <c r="AJ1771" s="682"/>
      <c r="AK1771" s="682"/>
      <c r="AL1771" s="682"/>
      <c r="AM1771" s="682"/>
      <c r="AN1771" s="682"/>
      <c r="AO1771" s="682"/>
      <c r="AP1771" s="682"/>
      <c r="AQ1771" s="682"/>
      <c r="AR1771" s="682"/>
      <c r="AS1771" s="682"/>
    </row>
    <row r="1772" spans="1:45" s="6" customFormat="1" ht="30" customHeight="1" x14ac:dyDescent="0.25">
      <c r="A1772" s="2002"/>
      <c r="B1772" s="1020" t="s">
        <v>1968</v>
      </c>
      <c r="C1772" s="123" t="s">
        <v>46</v>
      </c>
      <c r="D1772" s="884" t="s">
        <v>10</v>
      </c>
      <c r="E1772" s="1117">
        <v>46270</v>
      </c>
      <c r="F1772" s="71">
        <f t="shared" si="1078"/>
        <v>16</v>
      </c>
      <c r="G1772" s="56">
        <v>55.119999999999976</v>
      </c>
      <c r="H1772" s="56"/>
      <c r="I1772" s="12">
        <f>+SUM(K1767:K1770)</f>
        <v>90</v>
      </c>
      <c r="J1772" s="1369">
        <f>+usage!I241</f>
        <v>62.45</v>
      </c>
      <c r="K1772" s="64">
        <f>IFERROR(SUMIF(INTAKE!$A:$A,$T1772,INTAKE!$P:$P),0)</f>
        <v>0</v>
      </c>
      <c r="L1772" s="1533">
        <f t="shared" si="1079"/>
        <v>82.669999999999973</v>
      </c>
      <c r="M1772" s="23"/>
      <c r="N1772" s="920"/>
      <c r="O1772" s="23"/>
      <c r="P1772" s="736"/>
      <c r="Q1772" s="795"/>
      <c r="R1772" s="785">
        <f>IFERROR(VLOOKUP($Q1772,'391'!$S:$Z,8,0),"")</f>
        <v>0</v>
      </c>
      <c r="S1772" s="786"/>
      <c r="T1772" s="787" t="str">
        <f t="shared" si="1080"/>
        <v>Premix 62PVFeedmill46270</v>
      </c>
      <c r="U1772" s="787"/>
      <c r="V1772" s="787"/>
      <c r="W1772" s="785">
        <f>IFERROR(VLOOKUP($Q1772,'391'!$S:$AG,15,0),0)</f>
        <v>0</v>
      </c>
      <c r="X1772" s="1090">
        <f t="shared" si="1070"/>
        <v>55.119999999999976</v>
      </c>
      <c r="Y1772" s="787"/>
      <c r="Z1772" s="791"/>
      <c r="AA1772" s="787"/>
      <c r="AB1772" s="787"/>
      <c r="AC1772" s="679"/>
      <c r="AD1772" s="679"/>
      <c r="AE1772" s="679"/>
      <c r="AF1772" s="679"/>
      <c r="AG1772" s="679"/>
      <c r="AH1772" s="679"/>
      <c r="AI1772" s="682"/>
      <c r="AJ1772" s="682"/>
      <c r="AK1772" s="682"/>
      <c r="AL1772" s="682"/>
      <c r="AM1772" s="682"/>
      <c r="AN1772" s="682"/>
      <c r="AO1772" s="682"/>
      <c r="AP1772" s="682"/>
      <c r="AQ1772" s="682"/>
      <c r="AR1772" s="682"/>
      <c r="AS1772" s="682"/>
    </row>
    <row r="1773" spans="1:45" s="420" customFormat="1" ht="30" customHeight="1" x14ac:dyDescent="0.25">
      <c r="A1773" s="2003" t="s">
        <v>125</v>
      </c>
      <c r="B1773" s="2004"/>
      <c r="C1773" s="125"/>
      <c r="D1773" s="1027"/>
      <c r="E1773" s="1027"/>
      <c r="F1773" s="896"/>
      <c r="G1773" s="1328">
        <v>385.12</v>
      </c>
      <c r="H1773" s="1328">
        <f>SUM(H1767:H1772)</f>
        <v>0</v>
      </c>
      <c r="I1773" s="1328">
        <f t="shared" ref="I1773" si="1083">SUM(I1767:I1772)</f>
        <v>90</v>
      </c>
      <c r="J1773" s="1328">
        <f t="shared" ref="J1773:L1773" si="1084">SUM(J1767:J1772)</f>
        <v>62.45</v>
      </c>
      <c r="K1773" s="1328">
        <f t="shared" si="1084"/>
        <v>90</v>
      </c>
      <c r="L1773" s="1328">
        <f t="shared" si="1084"/>
        <v>322.66999999999996</v>
      </c>
      <c r="M1773" s="889">
        <f>IFERROR(R1773/$S$2,"")</f>
        <v>35.369999999999997</v>
      </c>
      <c r="N1773" s="854">
        <f>(L1773/M1773)</f>
        <v>9.1227028555272831</v>
      </c>
      <c r="O1773" s="889">
        <f>IFERROR(SUMIF(ETM!$A:$A,$Q1773,ETM!$E:$E),"")</f>
        <v>21</v>
      </c>
      <c r="P1773" s="855">
        <f>IFERROR(L1773/O1773,0)</f>
        <v>15.365238095238093</v>
      </c>
      <c r="Q1773" s="814" t="s">
        <v>647</v>
      </c>
      <c r="R1773" s="785">
        <f>IFERROR(VLOOKUP($Q1773,'391'!$S:$Z,8,0),"")</f>
        <v>212.22</v>
      </c>
      <c r="S1773" s="786"/>
      <c r="T1773" s="787"/>
      <c r="U1773" s="787"/>
      <c r="V1773" s="787"/>
      <c r="W1773" s="785">
        <f>IFERROR(VLOOKUP($Q1773,'391'!$S:$AG,15,0),0)</f>
        <v>385.12</v>
      </c>
      <c r="X1773" s="1090">
        <f t="shared" si="1070"/>
        <v>0</v>
      </c>
      <c r="Y1773" s="787"/>
      <c r="Z1773" s="791"/>
      <c r="AA1773" s="787"/>
      <c r="AB1773" s="787"/>
      <c r="AC1773" s="550"/>
      <c r="AD1773" s="550"/>
      <c r="AE1773" s="550"/>
      <c r="AF1773" s="550"/>
      <c r="AG1773" s="550"/>
      <c r="AH1773" s="550"/>
      <c r="AI1773" s="559"/>
      <c r="AJ1773" s="559"/>
      <c r="AK1773" s="559"/>
      <c r="AL1773" s="559"/>
      <c r="AM1773" s="559"/>
      <c r="AN1773" s="559"/>
      <c r="AO1773" s="559"/>
      <c r="AP1773" s="559"/>
      <c r="AQ1773" s="559"/>
      <c r="AR1773" s="559"/>
      <c r="AS1773" s="559"/>
    </row>
    <row r="1774" spans="1:45" s="6" customFormat="1" ht="30" hidden="1" customHeight="1" x14ac:dyDescent="0.25">
      <c r="A1774" s="2010" t="str">
        <f>IF(L1780=0,"",MAX($A$16:A1773)+1)</f>
        <v/>
      </c>
      <c r="B1774" s="2008" t="s">
        <v>168</v>
      </c>
      <c r="C1774" s="246" t="s">
        <v>233</v>
      </c>
      <c r="D1774" s="1111" t="s">
        <v>10</v>
      </c>
      <c r="E1774" s="1120">
        <v>43090</v>
      </c>
      <c r="F1774" s="71">
        <f t="shared" ref="F1774:F1779" si="1085">$L$7-E1774</f>
        <v>3196</v>
      </c>
      <c r="G1774" s="12">
        <v>0</v>
      </c>
      <c r="H1774" s="1315"/>
      <c r="I1774" s="1315"/>
      <c r="J1774" s="1439"/>
      <c r="K1774" s="1315"/>
      <c r="L1774" s="1533">
        <f t="shared" ref="L1774:L1786" si="1086">+G1774+H1774+I1774-J1774-K1774</f>
        <v>0</v>
      </c>
      <c r="M1774" s="66"/>
      <c r="N1774" s="920"/>
      <c r="O1774" s="66"/>
      <c r="P1774" s="857"/>
      <c r="Q1774" s="795"/>
      <c r="R1774" s="785">
        <f>IFERROR(VLOOKUP($Q1774,'391'!$S:$Z,8,0),"")</f>
        <v>0</v>
      </c>
      <c r="S1774" s="786"/>
      <c r="T1774" s="787"/>
      <c r="U1774" s="787"/>
      <c r="V1774" s="787"/>
      <c r="W1774" s="785">
        <f>IFERROR(VLOOKUP($Q1774,'391'!$S:$AG,15,0),0)</f>
        <v>0</v>
      </c>
      <c r="X1774" s="1090">
        <f t="shared" si="1070"/>
        <v>0</v>
      </c>
      <c r="Y1774" s="787"/>
      <c r="Z1774" s="791"/>
      <c r="AA1774" s="787"/>
      <c r="AB1774" s="787"/>
      <c r="AC1774" s="679"/>
      <c r="AD1774" s="679"/>
      <c r="AE1774" s="679"/>
      <c r="AF1774" s="679"/>
      <c r="AG1774" s="679"/>
      <c r="AH1774" s="679"/>
      <c r="AI1774" s="682"/>
      <c r="AJ1774" s="682"/>
      <c r="AK1774" s="682"/>
      <c r="AL1774" s="682"/>
      <c r="AM1774" s="682"/>
      <c r="AN1774" s="682"/>
      <c r="AO1774" s="682"/>
      <c r="AP1774" s="682"/>
      <c r="AQ1774" s="682"/>
      <c r="AR1774" s="682"/>
      <c r="AS1774" s="682"/>
    </row>
    <row r="1775" spans="1:45" s="6" customFormat="1" ht="30" hidden="1" customHeight="1" x14ac:dyDescent="0.25">
      <c r="A1775" s="2002"/>
      <c r="B1775" s="2009"/>
      <c r="C1775" s="246" t="s">
        <v>233</v>
      </c>
      <c r="D1775" s="866" t="s">
        <v>10</v>
      </c>
      <c r="E1775" s="1120">
        <v>43091</v>
      </c>
      <c r="F1775" s="71">
        <f t="shared" si="1085"/>
        <v>3195</v>
      </c>
      <c r="G1775" s="12">
        <v>0</v>
      </c>
      <c r="H1775" s="1362"/>
      <c r="I1775" s="1362"/>
      <c r="J1775" s="1440"/>
      <c r="K1775" s="1362"/>
      <c r="L1775" s="1533">
        <f t="shared" si="1086"/>
        <v>0</v>
      </c>
      <c r="M1775" s="147"/>
      <c r="N1775" s="248"/>
      <c r="O1775" s="147"/>
      <c r="P1775" s="857"/>
      <c r="Q1775" s="795"/>
      <c r="R1775" s="785">
        <f>IFERROR(VLOOKUP($Q1775,'391'!$S:$Z,8,0),"")</f>
        <v>0</v>
      </c>
      <c r="S1775" s="786"/>
      <c r="T1775" s="787"/>
      <c r="U1775" s="787"/>
      <c r="V1775" s="787"/>
      <c r="W1775" s="785">
        <f>IFERROR(VLOOKUP($Q1775,'391'!$S:$AG,15,0),0)</f>
        <v>0</v>
      </c>
      <c r="X1775" s="1090">
        <f t="shared" si="1070"/>
        <v>0</v>
      </c>
      <c r="Y1775" s="787"/>
      <c r="Z1775" s="791"/>
      <c r="AA1775" s="787"/>
      <c r="AB1775" s="787"/>
      <c r="AC1775" s="679"/>
      <c r="AD1775" s="679"/>
      <c r="AE1775" s="679"/>
      <c r="AF1775" s="679"/>
      <c r="AG1775" s="679"/>
      <c r="AH1775" s="679"/>
      <c r="AI1775" s="682"/>
      <c r="AJ1775" s="682"/>
      <c r="AK1775" s="682"/>
      <c r="AL1775" s="682"/>
      <c r="AM1775" s="682"/>
      <c r="AN1775" s="682"/>
      <c r="AO1775" s="682"/>
      <c r="AP1775" s="682"/>
      <c r="AQ1775" s="682"/>
      <c r="AR1775" s="682"/>
      <c r="AS1775" s="682"/>
    </row>
    <row r="1776" spans="1:45" s="6" customFormat="1" ht="30" hidden="1" customHeight="1" x14ac:dyDescent="0.25">
      <c r="A1776" s="2002"/>
      <c r="B1776" s="2009"/>
      <c r="C1776" s="246" t="s">
        <v>233</v>
      </c>
      <c r="D1776" s="866" t="s">
        <v>10</v>
      </c>
      <c r="E1776" s="1120">
        <v>43092</v>
      </c>
      <c r="F1776" s="71">
        <f t="shared" si="1085"/>
        <v>3194</v>
      </c>
      <c r="G1776" s="12">
        <v>0</v>
      </c>
      <c r="H1776" s="12"/>
      <c r="I1776" s="12"/>
      <c r="J1776" s="1368"/>
      <c r="K1776" s="12"/>
      <c r="L1776" s="1533">
        <f t="shared" si="1086"/>
        <v>0</v>
      </c>
      <c r="M1776" s="101"/>
      <c r="N1776" s="249"/>
      <c r="O1776" s="101"/>
      <c r="P1776" s="857"/>
      <c r="Q1776" s="795"/>
      <c r="R1776" s="785">
        <f>IFERROR(VLOOKUP($Q1776,'391'!$S:$Z,8,0),"")</f>
        <v>0</v>
      </c>
      <c r="S1776" s="786"/>
      <c r="T1776" s="787"/>
      <c r="U1776" s="787"/>
      <c r="V1776" s="787"/>
      <c r="W1776" s="785">
        <f>IFERROR(VLOOKUP($Q1776,'391'!$S:$AG,15,0),0)</f>
        <v>0</v>
      </c>
      <c r="X1776" s="1090">
        <f t="shared" si="1070"/>
        <v>0</v>
      </c>
      <c r="Y1776" s="787"/>
      <c r="Z1776" s="791"/>
      <c r="AA1776" s="787"/>
      <c r="AB1776" s="787"/>
      <c r="AC1776" s="679"/>
      <c r="AD1776" s="679"/>
      <c r="AE1776" s="679"/>
      <c r="AF1776" s="679"/>
      <c r="AG1776" s="679"/>
      <c r="AH1776" s="679"/>
      <c r="AI1776" s="682"/>
      <c r="AJ1776" s="682"/>
      <c r="AK1776" s="682"/>
      <c r="AL1776" s="682"/>
      <c r="AM1776" s="682"/>
      <c r="AN1776" s="682"/>
      <c r="AO1776" s="682"/>
      <c r="AP1776" s="682"/>
      <c r="AQ1776" s="682"/>
      <c r="AR1776" s="682"/>
      <c r="AS1776" s="682"/>
    </row>
    <row r="1777" spans="1:45" s="6" customFormat="1" ht="30" hidden="1" customHeight="1" x14ac:dyDescent="0.25">
      <c r="A1777" s="2002"/>
      <c r="B1777" s="2009"/>
      <c r="C1777" s="246" t="s">
        <v>233</v>
      </c>
      <c r="D1777" s="866" t="s">
        <v>10</v>
      </c>
      <c r="E1777" s="1120">
        <v>43093</v>
      </c>
      <c r="F1777" s="71">
        <f t="shared" si="1085"/>
        <v>3193</v>
      </c>
      <c r="G1777" s="12">
        <v>0</v>
      </c>
      <c r="H1777" s="12"/>
      <c r="I1777" s="12"/>
      <c r="J1777" s="1368"/>
      <c r="K1777" s="12"/>
      <c r="L1777" s="1533">
        <f t="shared" si="1086"/>
        <v>0</v>
      </c>
      <c r="M1777" s="101"/>
      <c r="N1777" s="249"/>
      <c r="O1777" s="101"/>
      <c r="P1777" s="857"/>
      <c r="Q1777" s="795"/>
      <c r="R1777" s="785">
        <f>IFERROR(VLOOKUP($Q1777,'391'!$S:$Z,8,0),"")</f>
        <v>0</v>
      </c>
      <c r="S1777" s="786"/>
      <c r="T1777" s="787"/>
      <c r="U1777" s="787"/>
      <c r="V1777" s="787"/>
      <c r="W1777" s="785">
        <f>IFERROR(VLOOKUP($Q1777,'391'!$S:$AG,15,0),0)</f>
        <v>0</v>
      </c>
      <c r="X1777" s="1090">
        <f t="shared" si="1070"/>
        <v>0</v>
      </c>
      <c r="Y1777" s="787"/>
      <c r="Z1777" s="791"/>
      <c r="AA1777" s="787"/>
      <c r="AB1777" s="787"/>
      <c r="AC1777" s="679"/>
      <c r="AD1777" s="679"/>
      <c r="AE1777" s="679"/>
      <c r="AF1777" s="679"/>
      <c r="AG1777" s="679"/>
      <c r="AH1777" s="679"/>
      <c r="AI1777" s="682"/>
      <c r="AJ1777" s="682"/>
      <c r="AK1777" s="682"/>
      <c r="AL1777" s="682"/>
      <c r="AM1777" s="682"/>
      <c r="AN1777" s="682"/>
      <c r="AO1777" s="682"/>
      <c r="AP1777" s="682"/>
      <c r="AQ1777" s="682"/>
      <c r="AR1777" s="682"/>
      <c r="AS1777" s="682"/>
    </row>
    <row r="1778" spans="1:45" s="6" customFormat="1" ht="30" hidden="1" customHeight="1" x14ac:dyDescent="0.25">
      <c r="A1778" s="2002"/>
      <c r="B1778" s="2009"/>
      <c r="C1778" s="104" t="s">
        <v>233</v>
      </c>
      <c r="D1778" s="866" t="s">
        <v>10</v>
      </c>
      <c r="E1778" s="1120">
        <v>43094</v>
      </c>
      <c r="F1778" s="71">
        <f t="shared" si="1085"/>
        <v>3192</v>
      </c>
      <c r="G1778" s="12">
        <v>0</v>
      </c>
      <c r="H1778" s="12"/>
      <c r="I1778" s="12"/>
      <c r="J1778" s="1368"/>
      <c r="K1778" s="12"/>
      <c r="L1778" s="1533">
        <f t="shared" si="1086"/>
        <v>0</v>
      </c>
      <c r="M1778" s="23"/>
      <c r="N1778" s="920"/>
      <c r="O1778" s="23"/>
      <c r="P1778" s="857"/>
      <c r="Q1778" s="795"/>
      <c r="R1778" s="785">
        <f>IFERROR(VLOOKUP($Q1778,'391'!$S:$Z,8,0),"")</f>
        <v>0</v>
      </c>
      <c r="S1778" s="786"/>
      <c r="T1778" s="787"/>
      <c r="U1778" s="787"/>
      <c r="V1778" s="787"/>
      <c r="W1778" s="785">
        <f>IFERROR(VLOOKUP($Q1778,'391'!$S:$AG,15,0),0)</f>
        <v>0</v>
      </c>
      <c r="X1778" s="1090">
        <f t="shared" si="1070"/>
        <v>0</v>
      </c>
      <c r="Y1778" s="787"/>
      <c r="Z1778" s="791"/>
      <c r="AA1778" s="787"/>
      <c r="AB1778" s="787"/>
      <c r="AC1778" s="679"/>
      <c r="AD1778" s="679"/>
      <c r="AE1778" s="679"/>
      <c r="AF1778" s="679"/>
      <c r="AG1778" s="679"/>
      <c r="AH1778" s="679"/>
      <c r="AI1778" s="682"/>
      <c r="AJ1778" s="682"/>
      <c r="AK1778" s="682"/>
      <c r="AL1778" s="682"/>
      <c r="AM1778" s="682"/>
      <c r="AN1778" s="682"/>
      <c r="AO1778" s="682"/>
      <c r="AP1778" s="682"/>
      <c r="AQ1778" s="682"/>
      <c r="AR1778" s="682"/>
      <c r="AS1778" s="682"/>
    </row>
    <row r="1779" spans="1:45" s="406" customFormat="1" ht="30" hidden="1" customHeight="1" x14ac:dyDescent="0.25">
      <c r="A1779" s="2002"/>
      <c r="B1779" s="2009"/>
      <c r="C1779" s="123" t="s">
        <v>46</v>
      </c>
      <c r="D1779" s="884" t="s">
        <v>10</v>
      </c>
      <c r="E1779" s="1120">
        <v>43097</v>
      </c>
      <c r="F1779" s="71">
        <f t="shared" si="1085"/>
        <v>3189</v>
      </c>
      <c r="G1779" s="56">
        <v>0</v>
      </c>
      <c r="H1779" s="56"/>
      <c r="I1779" s="56"/>
      <c r="J1779" s="1369"/>
      <c r="K1779" s="56"/>
      <c r="L1779" s="1533">
        <f t="shared" si="1086"/>
        <v>0</v>
      </c>
      <c r="M1779" s="40"/>
      <c r="N1779" s="84"/>
      <c r="O1779" s="40"/>
      <c r="P1779" s="857"/>
      <c r="Q1779" s="795"/>
      <c r="R1779" s="785">
        <f>IFERROR(VLOOKUP($Q1779,'391'!$S:$Z,8,0),"")</f>
        <v>0</v>
      </c>
      <c r="S1779" s="786"/>
      <c r="T1779" s="787"/>
      <c r="U1779" s="787"/>
      <c r="V1779" s="787"/>
      <c r="W1779" s="785">
        <f>IFERROR(VLOOKUP($Q1779,'391'!$S:$AG,15,0),0)</f>
        <v>0</v>
      </c>
      <c r="X1779" s="1090">
        <f t="shared" si="1070"/>
        <v>0</v>
      </c>
      <c r="Y1779" s="787"/>
      <c r="Z1779" s="791"/>
      <c r="AA1779" s="787"/>
      <c r="AB1779" s="787"/>
      <c r="AC1779" s="679"/>
      <c r="AD1779" s="679"/>
      <c r="AE1779" s="679"/>
      <c r="AF1779" s="679"/>
      <c r="AG1779" s="679"/>
      <c r="AH1779" s="679"/>
      <c r="AI1779" s="682"/>
      <c r="AJ1779" s="682"/>
      <c r="AK1779" s="682"/>
      <c r="AL1779" s="682"/>
      <c r="AM1779" s="682"/>
      <c r="AN1779" s="682"/>
      <c r="AO1779" s="682"/>
      <c r="AP1779" s="682"/>
      <c r="AQ1779" s="682"/>
      <c r="AR1779" s="682"/>
      <c r="AS1779" s="682"/>
    </row>
    <row r="1780" spans="1:45" s="420" customFormat="1" ht="30" hidden="1" customHeight="1" x14ac:dyDescent="0.25">
      <c r="A1780" s="2003" t="s">
        <v>169</v>
      </c>
      <c r="B1780" s="2004"/>
      <c r="C1780" s="125"/>
      <c r="D1780" s="1027"/>
      <c r="E1780" s="1027"/>
      <c r="F1780" s="896"/>
      <c r="G1780" s="1422">
        <v>0</v>
      </c>
      <c r="H1780" s="1422">
        <f>SUM(H1774:H1779)</f>
        <v>0</v>
      </c>
      <c r="I1780" s="1422">
        <f>SUM(I1774:I1779)</f>
        <v>0</v>
      </c>
      <c r="J1780" s="1422">
        <f>SUM(J1774:J1779)</f>
        <v>0</v>
      </c>
      <c r="K1780" s="1422"/>
      <c r="L1780" s="1533">
        <f t="shared" si="1086"/>
        <v>0</v>
      </c>
      <c r="M1780" s="889"/>
      <c r="N1780" s="366" t="e">
        <f>(L1780/M1780)/1000</f>
        <v>#DIV/0!</v>
      </c>
      <c r="O1780" s="889"/>
      <c r="P1780" s="857" t="e">
        <f>(L1780/O1780)/1000</f>
        <v>#DIV/0!</v>
      </c>
      <c r="Q1780" s="795"/>
      <c r="R1780" s="785">
        <f>IFERROR(VLOOKUP($Q1780,'391'!$S:$Z,8,0),"")</f>
        <v>0</v>
      </c>
      <c r="S1780" s="786"/>
      <c r="T1780" s="787"/>
      <c r="U1780" s="787"/>
      <c r="V1780" s="787"/>
      <c r="W1780" s="785">
        <f>IFERROR(VLOOKUP($Q1780,'391'!$S:$AG,15,0),0)</f>
        <v>0</v>
      </c>
      <c r="X1780" s="1090">
        <f t="shared" si="1070"/>
        <v>0</v>
      </c>
      <c r="Y1780" s="787"/>
      <c r="Z1780" s="791"/>
      <c r="AA1780" s="787"/>
      <c r="AB1780" s="787"/>
      <c r="AC1780" s="550"/>
      <c r="AD1780" s="550"/>
      <c r="AE1780" s="550"/>
      <c r="AF1780" s="550"/>
      <c r="AG1780" s="550"/>
      <c r="AH1780" s="550"/>
      <c r="AI1780" s="559"/>
      <c r="AJ1780" s="559"/>
      <c r="AK1780" s="559"/>
      <c r="AL1780" s="559"/>
      <c r="AM1780" s="559"/>
      <c r="AN1780" s="559"/>
      <c r="AO1780" s="559"/>
      <c r="AP1780" s="559"/>
      <c r="AQ1780" s="559"/>
      <c r="AR1780" s="559"/>
      <c r="AS1780" s="559"/>
    </row>
    <row r="1781" spans="1:45" s="6" customFormat="1" ht="30" customHeight="1" x14ac:dyDescent="0.25">
      <c r="A1781" s="2189">
        <f>IF(L1787=0,"",MAX($A$16:A1780)+1)</f>
        <v>124</v>
      </c>
      <c r="B1781" s="507" t="s">
        <v>1969</v>
      </c>
      <c r="C1781" s="240" t="s">
        <v>243</v>
      </c>
      <c r="D1781" s="866" t="s">
        <v>10</v>
      </c>
      <c r="E1781" s="1121">
        <v>46270</v>
      </c>
      <c r="F1781" s="71">
        <f t="shared" ref="F1781" si="1087">$L$7-E1781</f>
        <v>16</v>
      </c>
      <c r="G1781" s="12">
        <v>390</v>
      </c>
      <c r="H1781" s="58"/>
      <c r="I1781" s="11"/>
      <c r="J1781" s="1388"/>
      <c r="K1781" s="64">
        <f>IFERROR(SUMIF(INTAKE!$A:$A,$T1781,INTAKE!$P:$P),0)</f>
        <v>90</v>
      </c>
      <c r="L1781" s="1702">
        <f t="shared" si="1086"/>
        <v>300</v>
      </c>
      <c r="M1781" s="101"/>
      <c r="N1781" s="249"/>
      <c r="O1781" s="101"/>
      <c r="P1781" s="750"/>
      <c r="Q1781" s="795"/>
      <c r="R1781" s="785">
        <f>IFERROR(VLOOKUP($Q1781,'391'!$S:$Z,8,0),"")</f>
        <v>0</v>
      </c>
      <c r="S1781" s="786"/>
      <c r="T1781" s="787" t="str">
        <f t="shared" ref="T1781:T1786" si="1088">$Q$1787&amp;C1781&amp;E1781</f>
        <v>Premix 66VX1.146270</v>
      </c>
      <c r="U1781" s="787"/>
      <c r="V1781" s="787"/>
      <c r="W1781" s="785">
        <f>IFERROR(VLOOKUP($Q1781,'391'!$S:$AG,15,0),0)</f>
        <v>0</v>
      </c>
      <c r="X1781" s="1090">
        <f t="shared" si="1070"/>
        <v>390</v>
      </c>
      <c r="Y1781" s="787"/>
      <c r="Z1781" s="791"/>
      <c r="AA1781" s="787"/>
      <c r="AB1781" s="787"/>
      <c r="AC1781" s="679"/>
      <c r="AD1781" s="679"/>
      <c r="AE1781" s="679"/>
      <c r="AF1781" s="679"/>
      <c r="AG1781" s="679"/>
      <c r="AH1781" s="679"/>
      <c r="AI1781" s="682"/>
      <c r="AJ1781" s="682"/>
      <c r="AK1781" s="682"/>
      <c r="AL1781" s="682"/>
      <c r="AM1781" s="682"/>
      <c r="AN1781" s="682"/>
      <c r="AO1781" s="682"/>
      <c r="AP1781" s="682"/>
      <c r="AQ1781" s="682"/>
      <c r="AR1781" s="682"/>
      <c r="AS1781" s="682"/>
    </row>
    <row r="1782" spans="1:45" s="6" customFormat="1" ht="30" customHeight="1" x14ac:dyDescent="0.25">
      <c r="A1782" s="2002"/>
      <c r="B1782" s="507" t="s">
        <v>2209</v>
      </c>
      <c r="C1782" s="240" t="s">
        <v>243</v>
      </c>
      <c r="D1782" s="866" t="s">
        <v>10</v>
      </c>
      <c r="E1782" s="1121">
        <v>46275</v>
      </c>
      <c r="F1782" s="71">
        <f t="shared" ref="F1782" si="1089">$L$7-E1782</f>
        <v>11</v>
      </c>
      <c r="G1782" s="12">
        <v>360</v>
      </c>
      <c r="H1782" s="58"/>
      <c r="I1782" s="11"/>
      <c r="J1782" s="1388"/>
      <c r="K1782" s="64">
        <f>IFERROR(SUMIF(INTAKE!$A:$A,$T1782,INTAKE!$P:$P),0)</f>
        <v>0</v>
      </c>
      <c r="L1782" s="1702">
        <f t="shared" si="1086"/>
        <v>360</v>
      </c>
      <c r="M1782" s="101"/>
      <c r="N1782" s="249"/>
      <c r="O1782" s="101"/>
      <c r="P1782" s="750"/>
      <c r="Q1782" s="795"/>
      <c r="R1782" s="785">
        <f>IFERROR(VLOOKUP($Q1782,'391'!$S:$Z,8,0),"")</f>
        <v>0</v>
      </c>
      <c r="S1782" s="786"/>
      <c r="T1782" s="787" t="str">
        <f t="shared" si="1088"/>
        <v>Premix 66VX1.146275</v>
      </c>
      <c r="U1782" s="787"/>
      <c r="V1782" s="787"/>
      <c r="W1782" s="785">
        <f>IFERROR(VLOOKUP($Q1782,'391'!$S:$AG,15,0),0)</f>
        <v>0</v>
      </c>
      <c r="X1782" s="1090">
        <f t="shared" si="1070"/>
        <v>360</v>
      </c>
      <c r="Y1782" s="787"/>
      <c r="Z1782" s="791"/>
      <c r="AA1782" s="787"/>
      <c r="AB1782" s="787"/>
      <c r="AC1782" s="679"/>
      <c r="AD1782" s="679"/>
      <c r="AE1782" s="679"/>
      <c r="AF1782" s="679"/>
      <c r="AG1782" s="679"/>
      <c r="AH1782" s="679"/>
      <c r="AI1782" s="682"/>
      <c r="AJ1782" s="682"/>
      <c r="AK1782" s="682"/>
      <c r="AL1782" s="682"/>
      <c r="AM1782" s="682"/>
      <c r="AN1782" s="682"/>
      <c r="AO1782" s="682"/>
      <c r="AP1782" s="682"/>
      <c r="AQ1782" s="682"/>
      <c r="AR1782" s="682"/>
      <c r="AS1782" s="682"/>
    </row>
    <row r="1783" spans="1:45" s="6" customFormat="1" ht="30" customHeight="1" x14ac:dyDescent="0.25">
      <c r="A1783" s="2002"/>
      <c r="B1783" s="507" t="s">
        <v>2241</v>
      </c>
      <c r="C1783" s="240" t="s">
        <v>243</v>
      </c>
      <c r="D1783" s="866" t="s">
        <v>10</v>
      </c>
      <c r="E1783" s="1121">
        <v>46283</v>
      </c>
      <c r="F1783" s="71">
        <f t="shared" ref="F1783" si="1090">$L$7-E1783</f>
        <v>3</v>
      </c>
      <c r="G1783" s="12">
        <v>270</v>
      </c>
      <c r="H1783" s="58"/>
      <c r="I1783" s="11"/>
      <c r="J1783" s="1388"/>
      <c r="K1783" s="64">
        <f>IFERROR(SUMIF(INTAKE!$A:$A,$T1783,INTAKE!$P:$P),0)</f>
        <v>0</v>
      </c>
      <c r="L1783" s="1702">
        <f t="shared" si="1086"/>
        <v>270</v>
      </c>
      <c r="M1783" s="101"/>
      <c r="N1783" s="249"/>
      <c r="O1783" s="101"/>
      <c r="P1783" s="750"/>
      <c r="Q1783" s="795"/>
      <c r="R1783" s="785">
        <f>IFERROR(VLOOKUP($Q1783,'391'!$S:$Z,8,0),"")</f>
        <v>0</v>
      </c>
      <c r="S1783" s="786"/>
      <c r="T1783" s="787" t="str">
        <f t="shared" si="1088"/>
        <v>Premix 66VX1.146283</v>
      </c>
      <c r="U1783" s="787"/>
      <c r="V1783" s="787"/>
      <c r="W1783" s="785">
        <f>IFERROR(VLOOKUP($Q1783,'391'!$S:$AG,15,0),0)</f>
        <v>0</v>
      </c>
      <c r="X1783" s="1090">
        <f t="shared" si="1070"/>
        <v>270</v>
      </c>
      <c r="Y1783" s="787"/>
      <c r="Z1783" s="791"/>
      <c r="AA1783" s="787"/>
      <c r="AB1783" s="787"/>
      <c r="AC1783" s="679"/>
      <c r="AD1783" s="679"/>
      <c r="AE1783" s="679"/>
      <c r="AF1783" s="679"/>
      <c r="AG1783" s="679"/>
      <c r="AH1783" s="679"/>
      <c r="AI1783" s="682"/>
      <c r="AJ1783" s="682"/>
      <c r="AK1783" s="682"/>
      <c r="AL1783" s="682"/>
      <c r="AM1783" s="682"/>
      <c r="AN1783" s="682"/>
      <c r="AO1783" s="682"/>
      <c r="AP1783" s="682"/>
      <c r="AQ1783" s="682"/>
      <c r="AR1783" s="682"/>
      <c r="AS1783" s="682"/>
    </row>
    <row r="1784" spans="1:45" s="6" customFormat="1" ht="30" hidden="1" customHeight="1" x14ac:dyDescent="0.25">
      <c r="A1784" s="2002"/>
      <c r="B1784" s="507" t="s">
        <v>1918</v>
      </c>
      <c r="C1784" s="240"/>
      <c r="D1784" s="866" t="s">
        <v>10</v>
      </c>
      <c r="E1784" s="1121">
        <v>46247</v>
      </c>
      <c r="F1784" s="71">
        <f t="shared" ref="F1784" si="1091">$L$7-E1784</f>
        <v>39</v>
      </c>
      <c r="G1784" s="12">
        <v>0</v>
      </c>
      <c r="H1784" s="58"/>
      <c r="I1784" s="11"/>
      <c r="J1784" s="1388"/>
      <c r="K1784" s="64">
        <f>IFERROR(SUMIF(INTAKE!$A:$A,$T1784,INTAKE!$P:$P),0)</f>
        <v>0</v>
      </c>
      <c r="L1784" s="1702">
        <f t="shared" si="1086"/>
        <v>0</v>
      </c>
      <c r="M1784" s="101"/>
      <c r="N1784" s="249"/>
      <c r="O1784" s="101"/>
      <c r="P1784" s="750"/>
      <c r="Q1784" s="795"/>
      <c r="R1784" s="785">
        <f>IFERROR(VLOOKUP($Q1784,'391'!$S:$Z,8,0),"")</f>
        <v>0</v>
      </c>
      <c r="S1784" s="786"/>
      <c r="T1784" s="787" t="str">
        <f t="shared" si="1088"/>
        <v>Premix 66V46247</v>
      </c>
      <c r="U1784" s="787"/>
      <c r="V1784" s="787"/>
      <c r="W1784" s="785">
        <f>IFERROR(VLOOKUP($Q1784,'391'!$S:$AG,15,0),0)</f>
        <v>0</v>
      </c>
      <c r="X1784" s="1090">
        <f t="shared" si="1070"/>
        <v>0</v>
      </c>
      <c r="Y1784" s="787"/>
      <c r="Z1784" s="791"/>
      <c r="AA1784" s="787"/>
      <c r="AB1784" s="787"/>
      <c r="AC1784" s="679"/>
      <c r="AD1784" s="679"/>
      <c r="AE1784" s="679"/>
      <c r="AF1784" s="679"/>
      <c r="AG1784" s="679"/>
      <c r="AH1784" s="679"/>
      <c r="AI1784" s="682"/>
      <c r="AJ1784" s="682"/>
      <c r="AK1784" s="682"/>
      <c r="AL1784" s="682"/>
      <c r="AM1784" s="682"/>
      <c r="AN1784" s="682"/>
      <c r="AO1784" s="682"/>
      <c r="AP1784" s="682"/>
      <c r="AQ1784" s="682"/>
      <c r="AR1784" s="682"/>
      <c r="AS1784" s="682"/>
    </row>
    <row r="1785" spans="1:45" s="6" customFormat="1" ht="30" hidden="1" customHeight="1" x14ac:dyDescent="0.25">
      <c r="A1785" s="2002"/>
      <c r="B1785" s="507" t="s">
        <v>1561</v>
      </c>
      <c r="C1785" s="240"/>
      <c r="D1785" s="866" t="s">
        <v>10</v>
      </c>
      <c r="E1785" s="1121">
        <v>45716</v>
      </c>
      <c r="F1785" s="71">
        <f t="shared" ref="F1785:F1786" si="1092">$L$7-E1785</f>
        <v>570</v>
      </c>
      <c r="G1785" s="12">
        <v>0</v>
      </c>
      <c r="H1785" s="58"/>
      <c r="I1785" s="11"/>
      <c r="J1785" s="1388"/>
      <c r="K1785" s="64">
        <f>IFERROR(SUMIF(INTAKE!$A:$A,$T1785,INTAKE!$P:$P),0)</f>
        <v>0</v>
      </c>
      <c r="L1785" s="1533">
        <f t="shared" si="1086"/>
        <v>0</v>
      </c>
      <c r="M1785" s="101"/>
      <c r="N1785" s="249"/>
      <c r="O1785" s="101"/>
      <c r="P1785" s="750"/>
      <c r="Q1785" s="795"/>
      <c r="R1785" s="785">
        <f>IFERROR(VLOOKUP($Q1785,'391'!$S:$Z,8,0),"")</f>
        <v>0</v>
      </c>
      <c r="S1785" s="786"/>
      <c r="T1785" s="787" t="str">
        <f t="shared" si="1088"/>
        <v>Premix 66V45716</v>
      </c>
      <c r="U1785" s="787"/>
      <c r="V1785" s="787"/>
      <c r="W1785" s="785">
        <f>IFERROR(VLOOKUP($Q1785,'391'!$S:$AG,15,0),0)</f>
        <v>0</v>
      </c>
      <c r="X1785" s="1090">
        <f t="shared" si="1070"/>
        <v>0</v>
      </c>
      <c r="Y1785" s="787"/>
      <c r="Z1785" s="791"/>
      <c r="AA1785" s="787"/>
      <c r="AB1785" s="787"/>
      <c r="AC1785" s="679"/>
      <c r="AD1785" s="679"/>
      <c r="AE1785" s="679"/>
      <c r="AF1785" s="679"/>
      <c r="AG1785" s="679"/>
      <c r="AH1785" s="679"/>
      <c r="AI1785" s="682"/>
      <c r="AJ1785" s="682"/>
      <c r="AK1785" s="682"/>
      <c r="AL1785" s="682"/>
      <c r="AM1785" s="682"/>
      <c r="AN1785" s="682"/>
      <c r="AO1785" s="682"/>
      <c r="AP1785" s="682"/>
      <c r="AQ1785" s="682"/>
      <c r="AR1785" s="682"/>
      <c r="AS1785" s="682"/>
    </row>
    <row r="1786" spans="1:45" s="406" customFormat="1" ht="30" customHeight="1" x14ac:dyDescent="0.25">
      <c r="A1786" s="2011"/>
      <c r="B1786" s="1020" t="s">
        <v>1969</v>
      </c>
      <c r="C1786" s="123" t="s">
        <v>46</v>
      </c>
      <c r="D1786" s="884" t="s">
        <v>10</v>
      </c>
      <c r="E1786" s="1114">
        <v>46270</v>
      </c>
      <c r="F1786" s="71">
        <f t="shared" si="1092"/>
        <v>16</v>
      </c>
      <c r="G1786" s="56">
        <v>40.179999999999893</v>
      </c>
      <c r="H1786" s="37"/>
      <c r="I1786" s="37">
        <f>+SUM(K1781:K1785)</f>
        <v>90</v>
      </c>
      <c r="J1786" s="1385">
        <f>+usage!I239</f>
        <v>62.49</v>
      </c>
      <c r="K1786" s="64">
        <f>IFERROR(SUMIF(INTAKE!$A:$A,$T1786,INTAKE!$P:$P),0)</f>
        <v>0</v>
      </c>
      <c r="L1786" s="1533">
        <f t="shared" si="1086"/>
        <v>67.689999999999884</v>
      </c>
      <c r="M1786" s="35"/>
      <c r="N1786" s="87"/>
      <c r="O1786" s="35"/>
      <c r="P1786" s="751"/>
      <c r="Q1786" s="795"/>
      <c r="R1786" s="785">
        <f>IFERROR(VLOOKUP($Q1786,'391'!$S:$Z,8,0),"")</f>
        <v>0</v>
      </c>
      <c r="S1786" s="786"/>
      <c r="T1786" s="787" t="str">
        <f t="shared" si="1088"/>
        <v>Premix 66VFeedmill46270</v>
      </c>
      <c r="U1786" s="787"/>
      <c r="V1786" s="787"/>
      <c r="W1786" s="785">
        <f>IFERROR(VLOOKUP($Q1786,'391'!$S:$AG,15,0),0)</f>
        <v>0</v>
      </c>
      <c r="X1786" s="1090">
        <f t="shared" si="1070"/>
        <v>40.179999999999893</v>
      </c>
      <c r="Y1786" s="787"/>
      <c r="Z1786" s="791"/>
      <c r="AA1786" s="787"/>
      <c r="AB1786" s="787"/>
      <c r="AC1786" s="679"/>
      <c r="AD1786" s="679"/>
      <c r="AE1786" s="679"/>
      <c r="AF1786" s="679"/>
      <c r="AG1786" s="679"/>
      <c r="AH1786" s="679"/>
      <c r="AI1786" s="682"/>
      <c r="AJ1786" s="682"/>
      <c r="AK1786" s="682"/>
      <c r="AL1786" s="682"/>
      <c r="AM1786" s="682"/>
      <c r="AN1786" s="682"/>
      <c r="AO1786" s="682"/>
      <c r="AP1786" s="682"/>
      <c r="AQ1786" s="682"/>
      <c r="AR1786" s="682"/>
      <c r="AS1786" s="682"/>
    </row>
    <row r="1787" spans="1:45" s="420" customFormat="1" ht="30" customHeight="1" x14ac:dyDescent="0.25">
      <c r="A1787" s="2003" t="s">
        <v>28</v>
      </c>
      <c r="B1787" s="2004"/>
      <c r="C1787" s="854"/>
      <c r="D1787" s="2088"/>
      <c r="E1787" s="2089"/>
      <c r="F1787" s="1032"/>
      <c r="G1787" s="1328">
        <v>1060.1799999999998</v>
      </c>
      <c r="H1787" s="1328">
        <f t="shared" ref="H1787:I1787" si="1093">SUM(H1781:H1786)</f>
        <v>0</v>
      </c>
      <c r="I1787" s="1328">
        <f t="shared" si="1093"/>
        <v>90</v>
      </c>
      <c r="J1787" s="1328">
        <f t="shared" ref="J1787:L1787" si="1094">SUM(J1781:J1786)</f>
        <v>62.49</v>
      </c>
      <c r="K1787" s="1328">
        <f t="shared" si="1094"/>
        <v>90</v>
      </c>
      <c r="L1787" s="1328">
        <f t="shared" si="1094"/>
        <v>997.68999999999983</v>
      </c>
      <c r="M1787" s="889">
        <f>IFERROR(R1787/$S$2,"")</f>
        <v>53.59</v>
      </c>
      <c r="N1787" s="366">
        <f>(L1787/M1787)</f>
        <v>18.61709274118305</v>
      </c>
      <c r="O1787" s="889">
        <f>IFERROR(SUMIF(ETM!$A:$A,$Q1787,ETM!$E:$E),"")</f>
        <v>53</v>
      </c>
      <c r="P1787" s="880">
        <f>IFERROR(L1787/O1787,0)</f>
        <v>18.824339622641507</v>
      </c>
      <c r="Q1787" s="814" t="s">
        <v>649</v>
      </c>
      <c r="R1787" s="785">
        <f>IFERROR(VLOOKUP($Q1787,'391'!$S:$Z,8,0),"")</f>
        <v>321.54000000000002</v>
      </c>
      <c r="S1787" s="786"/>
      <c r="T1787" s="787"/>
      <c r="U1787" s="787"/>
      <c r="V1787" s="787"/>
      <c r="W1787" s="785">
        <f>IFERROR(VLOOKUP($Q1787,'391'!$S:$AG,15,0),0)</f>
        <v>1060.18</v>
      </c>
      <c r="X1787" s="1090">
        <f t="shared" si="1070"/>
        <v>0</v>
      </c>
      <c r="Y1787" s="787"/>
      <c r="Z1787" s="791"/>
      <c r="AA1787" s="787"/>
      <c r="AB1787" s="787"/>
      <c r="AC1787" s="550"/>
      <c r="AD1787" s="550"/>
      <c r="AE1787" s="550"/>
      <c r="AF1787" s="550"/>
      <c r="AG1787" s="550"/>
      <c r="AH1787" s="550"/>
      <c r="AI1787" s="559"/>
      <c r="AJ1787" s="559"/>
      <c r="AK1787" s="559"/>
      <c r="AL1787" s="559"/>
      <c r="AM1787" s="559"/>
      <c r="AN1787" s="559"/>
      <c r="AO1787" s="559"/>
      <c r="AP1787" s="559"/>
      <c r="AQ1787" s="559"/>
      <c r="AR1787" s="559"/>
      <c r="AS1787" s="559"/>
    </row>
    <row r="1788" spans="1:45" s="344" customFormat="1" ht="30" hidden="1" customHeight="1" x14ac:dyDescent="0.25">
      <c r="A1788" s="2005">
        <f>IF(L1794=0,"",MAX($A$16:A1787)+1)</f>
        <v>125</v>
      </c>
      <c r="B1788" s="391" t="s">
        <v>1214</v>
      </c>
      <c r="C1788" s="249"/>
      <c r="D1788" s="866" t="s">
        <v>10</v>
      </c>
      <c r="E1788" s="1126">
        <v>44847</v>
      </c>
      <c r="F1788" s="71">
        <f t="shared" ref="F1788:F1793" si="1095">$L$7-E1788</f>
        <v>1439</v>
      </c>
      <c r="G1788" s="1435">
        <v>0</v>
      </c>
      <c r="H1788" s="63"/>
      <c r="I1788" s="63"/>
      <c r="J1788" s="1378"/>
      <c r="K1788" s="64">
        <f>IFERROR(SUMIF(INTAKE!$A:$A,$T1788,INTAKE!$P:$P),0)</f>
        <v>0</v>
      </c>
      <c r="L1788" s="1533">
        <f t="shared" ref="L1788:L1793" si="1096">+G1788+H1788+I1788-J1788-K1788</f>
        <v>0</v>
      </c>
      <c r="M1788" s="1452"/>
      <c r="N1788" s="1468"/>
      <c r="O1788" s="1452"/>
      <c r="P1788" s="1479"/>
      <c r="Q1788" s="795"/>
      <c r="R1788" s="785">
        <f>IFERROR(VLOOKUP($Q1788,'391'!$S:$Z,8,0),"")</f>
        <v>0</v>
      </c>
      <c r="S1788" s="786"/>
      <c r="T1788" s="787" t="str">
        <f t="shared" ref="T1788:T1793" si="1097">$Q$1794&amp;C1788&amp;E1788</f>
        <v>Premix 67V44847</v>
      </c>
      <c r="U1788" s="787"/>
      <c r="V1788" s="787"/>
      <c r="W1788" s="785">
        <f>IFERROR(VLOOKUP($Q1788,'391'!$S:$AG,15,0),0)</f>
        <v>0</v>
      </c>
      <c r="X1788" s="1090">
        <f t="shared" si="1070"/>
        <v>0</v>
      </c>
      <c r="Y1788" s="787"/>
      <c r="Z1788" s="791"/>
      <c r="AA1788" s="787"/>
      <c r="AB1788" s="787"/>
      <c r="AC1788" s="687"/>
      <c r="AD1788" s="687"/>
      <c r="AE1788" s="687"/>
      <c r="AF1788" s="687"/>
      <c r="AG1788" s="687"/>
      <c r="AH1788" s="687"/>
      <c r="AI1788" s="709"/>
      <c r="AJ1788" s="709"/>
      <c r="AK1788" s="709"/>
      <c r="AL1788" s="709"/>
      <c r="AM1788" s="709"/>
      <c r="AN1788" s="709"/>
      <c r="AO1788" s="709"/>
      <c r="AP1788" s="709"/>
      <c r="AQ1788" s="709"/>
      <c r="AR1788" s="709"/>
      <c r="AS1788" s="709"/>
    </row>
    <row r="1789" spans="1:45" s="344" customFormat="1" ht="30" hidden="1" customHeight="1" x14ac:dyDescent="0.25">
      <c r="A1789" s="2006"/>
      <c r="B1789" s="391" t="s">
        <v>1886</v>
      </c>
      <c r="C1789" s="249"/>
      <c r="D1789" s="866" t="s">
        <v>10</v>
      </c>
      <c r="E1789" s="1126">
        <v>46233</v>
      </c>
      <c r="F1789" s="71">
        <f t="shared" ref="F1789:F1790" si="1098">$L$7-E1789</f>
        <v>53</v>
      </c>
      <c r="G1789" s="1435">
        <v>0</v>
      </c>
      <c r="H1789" s="63"/>
      <c r="I1789" s="63"/>
      <c r="J1789" s="1378"/>
      <c r="K1789" s="64">
        <f>IFERROR(SUMIF(INTAKE!$A:$A,$T1789,INTAKE!$P:$P),0)</f>
        <v>0</v>
      </c>
      <c r="L1789" s="1702">
        <f t="shared" si="1096"/>
        <v>0</v>
      </c>
      <c r="M1789" s="1453"/>
      <c r="N1789" s="1460"/>
      <c r="O1789" s="1453"/>
      <c r="P1789" s="1480"/>
      <c r="Q1789" s="795"/>
      <c r="R1789" s="785">
        <f>IFERROR(VLOOKUP($Q1789,'391'!$S:$Z,8,0),"")</f>
        <v>0</v>
      </c>
      <c r="S1789" s="786"/>
      <c r="T1789" s="787" t="str">
        <f t="shared" si="1097"/>
        <v>Premix 67V46233</v>
      </c>
      <c r="U1789" s="787"/>
      <c r="V1789" s="787"/>
      <c r="W1789" s="785">
        <f>IFERROR(VLOOKUP($Q1789,'391'!$S:$AG,15,0),0)</f>
        <v>0</v>
      </c>
      <c r="X1789" s="1090">
        <f t="shared" si="1070"/>
        <v>0</v>
      </c>
      <c r="Y1789" s="787"/>
      <c r="Z1789" s="791"/>
      <c r="AA1789" s="787"/>
      <c r="AB1789" s="787"/>
      <c r="AC1789" s="687"/>
      <c r="AD1789" s="687"/>
      <c r="AE1789" s="687"/>
      <c r="AF1789" s="687"/>
      <c r="AG1789" s="687"/>
      <c r="AH1789" s="687"/>
      <c r="AI1789" s="709"/>
      <c r="AJ1789" s="709"/>
      <c r="AK1789" s="709"/>
      <c r="AL1789" s="709"/>
      <c r="AM1789" s="709"/>
      <c r="AN1789" s="709"/>
      <c r="AO1789" s="709"/>
      <c r="AP1789" s="709"/>
      <c r="AQ1789" s="709"/>
      <c r="AR1789" s="709"/>
      <c r="AS1789" s="709"/>
    </row>
    <row r="1790" spans="1:45" s="344" customFormat="1" ht="30" customHeight="1" x14ac:dyDescent="0.25">
      <c r="A1790" s="2006"/>
      <c r="B1790" s="391" t="s">
        <v>2210</v>
      </c>
      <c r="C1790" s="249" t="s">
        <v>248</v>
      </c>
      <c r="D1790" s="866" t="s">
        <v>10</v>
      </c>
      <c r="E1790" s="1126">
        <v>46275</v>
      </c>
      <c r="F1790" s="71">
        <f t="shared" si="1098"/>
        <v>11</v>
      </c>
      <c r="G1790" s="1435">
        <v>60</v>
      </c>
      <c r="H1790" s="63"/>
      <c r="I1790" s="63"/>
      <c r="J1790" s="1378"/>
      <c r="K1790" s="64">
        <f>IFERROR(SUMIF(INTAKE!$A:$A,$T1790,INTAKE!$P:$P),0)</f>
        <v>0</v>
      </c>
      <c r="L1790" s="1702">
        <f t="shared" si="1096"/>
        <v>60</v>
      </c>
      <c r="M1790" s="101"/>
      <c r="N1790" s="249"/>
      <c r="O1790" s="101"/>
      <c r="P1790" s="738"/>
      <c r="Q1790" s="795"/>
      <c r="R1790" s="785">
        <f>IFERROR(VLOOKUP($Q1790,'391'!$S:$Z,8,0),"")</f>
        <v>0</v>
      </c>
      <c r="S1790" s="786"/>
      <c r="T1790" s="787" t="str">
        <f t="shared" si="1097"/>
        <v>Premix 67VY4.146275</v>
      </c>
      <c r="U1790" s="787"/>
      <c r="V1790" s="787"/>
      <c r="W1790" s="785">
        <f>IFERROR(VLOOKUP($Q1790,'391'!$S:$AG,15,0),0)</f>
        <v>0</v>
      </c>
      <c r="X1790" s="1090">
        <f t="shared" si="1070"/>
        <v>60</v>
      </c>
      <c r="Y1790" s="787"/>
      <c r="Z1790" s="791"/>
      <c r="AA1790" s="787"/>
      <c r="AB1790" s="787"/>
      <c r="AC1790" s="687"/>
      <c r="AD1790" s="687"/>
      <c r="AE1790" s="687"/>
      <c r="AF1790" s="687"/>
      <c r="AG1790" s="687"/>
      <c r="AH1790" s="687"/>
      <c r="AI1790" s="709"/>
      <c r="AJ1790" s="709"/>
      <c r="AK1790" s="709"/>
      <c r="AL1790" s="709"/>
      <c r="AM1790" s="709"/>
      <c r="AN1790" s="709"/>
      <c r="AO1790" s="709"/>
      <c r="AP1790" s="709"/>
      <c r="AQ1790" s="709"/>
      <c r="AR1790" s="709"/>
      <c r="AS1790" s="709"/>
    </row>
    <row r="1791" spans="1:45" s="344" customFormat="1" ht="30" customHeight="1" x14ac:dyDescent="0.25">
      <c r="A1791" s="2006"/>
      <c r="B1791" s="391" t="s">
        <v>2242</v>
      </c>
      <c r="C1791" s="249" t="s">
        <v>248</v>
      </c>
      <c r="D1791" s="866" t="s">
        <v>10</v>
      </c>
      <c r="E1791" s="1126">
        <v>46283</v>
      </c>
      <c r="F1791" s="71">
        <f t="shared" ref="F1791" si="1099">$L$7-E1791</f>
        <v>3</v>
      </c>
      <c r="G1791" s="1435">
        <v>30</v>
      </c>
      <c r="H1791" s="63"/>
      <c r="I1791" s="63"/>
      <c r="J1791" s="1378"/>
      <c r="K1791" s="64">
        <f>IFERROR(SUMIF(INTAKE!$A:$A,$T1791,INTAKE!$P:$P),0)</f>
        <v>0</v>
      </c>
      <c r="L1791" s="1702">
        <f t="shared" si="1096"/>
        <v>30</v>
      </c>
      <c r="M1791" s="101"/>
      <c r="N1791" s="249"/>
      <c r="O1791" s="101"/>
      <c r="P1791" s="738"/>
      <c r="Q1791" s="795"/>
      <c r="R1791" s="785">
        <f>IFERROR(VLOOKUP($Q1791,'391'!$S:$Z,8,0),"")</f>
        <v>0</v>
      </c>
      <c r="S1791" s="786"/>
      <c r="T1791" s="787" t="str">
        <f t="shared" si="1097"/>
        <v>Premix 67VY4.146283</v>
      </c>
      <c r="U1791" s="787"/>
      <c r="V1791" s="787"/>
      <c r="W1791" s="785">
        <f>IFERROR(VLOOKUP($Q1791,'391'!$S:$AG,15,0),0)</f>
        <v>0</v>
      </c>
      <c r="X1791" s="1090">
        <f t="shared" si="1070"/>
        <v>30</v>
      </c>
      <c r="Y1791" s="787"/>
      <c r="Z1791" s="791"/>
      <c r="AA1791" s="787"/>
      <c r="AB1791" s="787"/>
      <c r="AC1791" s="687"/>
      <c r="AD1791" s="687"/>
      <c r="AE1791" s="687"/>
      <c r="AF1791" s="687"/>
      <c r="AG1791" s="687"/>
      <c r="AH1791" s="687"/>
      <c r="AI1791" s="709"/>
      <c r="AJ1791" s="709"/>
      <c r="AK1791" s="709"/>
      <c r="AL1791" s="709"/>
      <c r="AM1791" s="709"/>
      <c r="AN1791" s="709"/>
      <c r="AO1791" s="709"/>
      <c r="AP1791" s="709"/>
      <c r="AQ1791" s="709"/>
      <c r="AR1791" s="709"/>
      <c r="AS1791" s="709"/>
    </row>
    <row r="1792" spans="1:45" s="344" customFormat="1" ht="30" hidden="1" customHeight="1" x14ac:dyDescent="0.25">
      <c r="A1792" s="2006"/>
      <c r="B1792" s="391" t="s">
        <v>1528</v>
      </c>
      <c r="C1792" s="249"/>
      <c r="D1792" s="866" t="s">
        <v>10</v>
      </c>
      <c r="E1792" s="1126">
        <v>45626</v>
      </c>
      <c r="F1792" s="71">
        <f t="shared" si="1095"/>
        <v>660</v>
      </c>
      <c r="G1792" s="1435">
        <v>0</v>
      </c>
      <c r="H1792" s="63"/>
      <c r="I1792" s="63"/>
      <c r="J1792" s="1378"/>
      <c r="K1792" s="64">
        <f>IFERROR(SUMIF(INTAKE!$A:$A,$T1792,INTAKE!$P:$P),0)</f>
        <v>0</v>
      </c>
      <c r="L1792" s="1533">
        <f t="shared" si="1096"/>
        <v>0</v>
      </c>
      <c r="M1792" s="101"/>
      <c r="N1792" s="249"/>
      <c r="O1792" s="101"/>
      <c r="P1792" s="738"/>
      <c r="Q1792" s="795"/>
      <c r="R1792" s="785">
        <f>IFERROR(VLOOKUP($Q1792,'391'!$S:$Z,8,0),"")</f>
        <v>0</v>
      </c>
      <c r="S1792" s="786"/>
      <c r="T1792" s="787" t="str">
        <f t="shared" si="1097"/>
        <v>Premix 67V45626</v>
      </c>
      <c r="U1792" s="787"/>
      <c r="V1792" s="787"/>
      <c r="W1792" s="785">
        <f>IFERROR(VLOOKUP($Q1792,'391'!$S:$AG,15,0),0)</f>
        <v>0</v>
      </c>
      <c r="X1792" s="1090">
        <f t="shared" si="1070"/>
        <v>0</v>
      </c>
      <c r="Y1792" s="787"/>
      <c r="Z1792" s="791"/>
      <c r="AA1792" s="787"/>
      <c r="AB1792" s="787"/>
      <c r="AC1792" s="687"/>
      <c r="AD1792" s="687"/>
      <c r="AE1792" s="687"/>
      <c r="AF1792" s="687"/>
      <c r="AG1792" s="687"/>
      <c r="AH1792" s="687"/>
      <c r="AI1792" s="709"/>
      <c r="AJ1792" s="709"/>
      <c r="AK1792" s="709"/>
      <c r="AL1792" s="709"/>
      <c r="AM1792" s="709"/>
      <c r="AN1792" s="709"/>
      <c r="AO1792" s="709"/>
      <c r="AP1792" s="709"/>
      <c r="AQ1792" s="709"/>
      <c r="AR1792" s="709"/>
      <c r="AS1792" s="709"/>
    </row>
    <row r="1793" spans="1:45" s="344" customFormat="1" ht="30" customHeight="1" x14ac:dyDescent="0.25">
      <c r="A1793" s="2006"/>
      <c r="B1793" s="1021" t="s">
        <v>1940</v>
      </c>
      <c r="C1793" s="848" t="s">
        <v>46</v>
      </c>
      <c r="D1793" s="884" t="s">
        <v>10</v>
      </c>
      <c r="E1793" s="1123">
        <v>46262</v>
      </c>
      <c r="F1793" s="71">
        <f t="shared" si="1095"/>
        <v>24</v>
      </c>
      <c r="G1793" s="1324">
        <v>45.97999999999999</v>
      </c>
      <c r="H1793" s="56"/>
      <c r="I1793" s="56">
        <f>+SUM(K1788:K1792)</f>
        <v>0</v>
      </c>
      <c r="J1793" s="1369">
        <f>+usage!I242</f>
        <v>0</v>
      </c>
      <c r="K1793" s="64">
        <f>IFERROR(SUMIF(INTAKE!$A:$A,$T1793,INTAKE!$P:$P),0)</f>
        <v>0</v>
      </c>
      <c r="L1793" s="1533">
        <f t="shared" si="1096"/>
        <v>45.97999999999999</v>
      </c>
      <c r="M1793" s="24"/>
      <c r="N1793" s="920"/>
      <c r="O1793" s="24"/>
      <c r="P1793" s="740"/>
      <c r="Q1793" s="795"/>
      <c r="R1793" s="785">
        <f>IFERROR(VLOOKUP($Q1793,'391'!$S:$Z,8,0),"")</f>
        <v>0</v>
      </c>
      <c r="S1793" s="786"/>
      <c r="T1793" s="787" t="str">
        <f t="shared" si="1097"/>
        <v>Premix 67VFeedmill46262</v>
      </c>
      <c r="U1793" s="787"/>
      <c r="V1793" s="787"/>
      <c r="W1793" s="785">
        <f>IFERROR(VLOOKUP($Q1793,'391'!$S:$AG,15,0),0)</f>
        <v>0</v>
      </c>
      <c r="X1793" s="1090">
        <f t="shared" si="1070"/>
        <v>45.97999999999999</v>
      </c>
      <c r="Y1793" s="787"/>
      <c r="Z1793" s="791"/>
      <c r="AA1793" s="787"/>
      <c r="AB1793" s="787"/>
      <c r="AC1793" s="687"/>
      <c r="AD1793" s="687"/>
      <c r="AE1793" s="687"/>
      <c r="AF1793" s="687"/>
      <c r="AG1793" s="687"/>
      <c r="AH1793" s="687"/>
      <c r="AI1793" s="709"/>
      <c r="AJ1793" s="709"/>
      <c r="AK1793" s="709"/>
      <c r="AL1793" s="709"/>
      <c r="AM1793" s="709"/>
      <c r="AN1793" s="709"/>
      <c r="AO1793" s="709"/>
      <c r="AP1793" s="709"/>
      <c r="AQ1793" s="709"/>
      <c r="AR1793" s="709"/>
      <c r="AS1793" s="709"/>
    </row>
    <row r="1794" spans="1:45" s="420" customFormat="1" ht="30" customHeight="1" x14ac:dyDescent="0.25">
      <c r="A1794" s="2003" t="s">
        <v>58</v>
      </c>
      <c r="B1794" s="2004"/>
      <c r="C1794" s="125"/>
      <c r="D1794" s="1027"/>
      <c r="E1794" s="1131"/>
      <c r="F1794" s="896"/>
      <c r="G1794" s="1422">
        <v>135.97999999999999</v>
      </c>
      <c r="H1794" s="1422">
        <f t="shared" ref="H1794:I1794" si="1100">SUM(H1788:H1793)</f>
        <v>0</v>
      </c>
      <c r="I1794" s="1422">
        <f t="shared" si="1100"/>
        <v>0</v>
      </c>
      <c r="J1794" s="1422">
        <f t="shared" ref="J1794:L1794" si="1101">SUM(J1788:J1793)</f>
        <v>0</v>
      </c>
      <c r="K1794" s="1422">
        <f t="shared" si="1101"/>
        <v>0</v>
      </c>
      <c r="L1794" s="1422">
        <f t="shared" si="1101"/>
        <v>135.97999999999999</v>
      </c>
      <c r="M1794" s="889">
        <f>IFERROR(R1794/$S$2,"")</f>
        <v>5.6116666666666672</v>
      </c>
      <c r="N1794" s="366">
        <f>IFERROR(L1794/M1794,0)</f>
        <v>24.231660231660229</v>
      </c>
      <c r="O1794" s="889">
        <f>IFERROR(SUMIF(ETM!$A:$A,$Q1794,ETM!$E:$E),"")</f>
        <v>6.666666666666667</v>
      </c>
      <c r="P1794" s="880">
        <f>IFERROR(L1794/O1794,0)</f>
        <v>20.396999999999998</v>
      </c>
      <c r="Q1794" s="814" t="s">
        <v>651</v>
      </c>
      <c r="R1794" s="785">
        <f>IFERROR(VLOOKUP($Q1794,'391'!$S:$Z,8,0),"")</f>
        <v>33.67</v>
      </c>
      <c r="S1794" s="786"/>
      <c r="T1794" s="787"/>
      <c r="U1794" s="787"/>
      <c r="V1794" s="787"/>
      <c r="W1794" s="785">
        <f>IFERROR(VLOOKUP($Q1794,'391'!$S:$AG,15,0),0)</f>
        <v>135.97999999999999</v>
      </c>
      <c r="X1794" s="1090">
        <f t="shared" si="1070"/>
        <v>0</v>
      </c>
      <c r="Y1794" s="787"/>
      <c r="Z1794" s="791"/>
      <c r="AA1794" s="787"/>
      <c r="AB1794" s="787"/>
      <c r="AC1794" s="550"/>
      <c r="AD1794" s="550"/>
      <c r="AE1794" s="550"/>
      <c r="AF1794" s="550"/>
      <c r="AG1794" s="550"/>
      <c r="AH1794" s="550"/>
      <c r="AI1794" s="559"/>
      <c r="AJ1794" s="559"/>
      <c r="AK1794" s="559"/>
      <c r="AL1794" s="559"/>
      <c r="AM1794" s="559"/>
      <c r="AN1794" s="559"/>
      <c r="AO1794" s="559"/>
      <c r="AP1794" s="559"/>
      <c r="AQ1794" s="559"/>
      <c r="AR1794" s="559"/>
      <c r="AS1794" s="559"/>
    </row>
    <row r="1795" spans="1:45" s="6" customFormat="1" ht="30" customHeight="1" x14ac:dyDescent="0.25">
      <c r="A1795" s="2001">
        <f>IF(L1804=0,"",MAX($A$16:A1794)+1)</f>
        <v>126</v>
      </c>
      <c r="B1795" s="390" t="s">
        <v>1966</v>
      </c>
      <c r="C1795" s="246" t="s">
        <v>258</v>
      </c>
      <c r="D1795" s="866" t="s">
        <v>10</v>
      </c>
      <c r="E1795" s="1122">
        <v>46270</v>
      </c>
      <c r="F1795" s="71">
        <f t="shared" ref="F1795:F1798" si="1102">$L$7-E1795</f>
        <v>16</v>
      </c>
      <c r="G1795" s="12">
        <v>0</v>
      </c>
      <c r="H1795" s="12"/>
      <c r="I1795" s="12"/>
      <c r="J1795" s="1368"/>
      <c r="K1795" s="64">
        <f>IFERROR(SUMIF(INTAKE!$A:$A,$T1795,INTAKE!$P:$P),0)</f>
        <v>0</v>
      </c>
      <c r="L1795" s="1702">
        <f t="shared" ref="L1795:L1803" si="1103">+G1795+H1795+I1795-J1795-K1795</f>
        <v>0</v>
      </c>
      <c r="M1795" s="66"/>
      <c r="N1795" s="66"/>
      <c r="O1795" s="66"/>
      <c r="P1795" s="744"/>
      <c r="Q1795" s="795"/>
      <c r="R1795" s="785">
        <f>IFERROR(VLOOKUP($Q1795,'391'!$S:$Z,8,0),"")</f>
        <v>0</v>
      </c>
      <c r="S1795" s="786"/>
      <c r="T1795" s="787" t="str">
        <f t="shared" ref="T1795:T1803" si="1104">$Q$1804&amp;C1795&amp;E1795</f>
        <v>Premix 52SVY4.346270</v>
      </c>
      <c r="U1795" s="787"/>
      <c r="V1795" s="787"/>
      <c r="W1795" s="785">
        <f>IFERROR(VLOOKUP($Q1795,'391'!$S:$AG,15,0),0)</f>
        <v>0</v>
      </c>
      <c r="X1795" s="1090">
        <f t="shared" si="1070"/>
        <v>0</v>
      </c>
      <c r="Y1795" s="787"/>
      <c r="Z1795" s="791"/>
      <c r="AA1795" s="787"/>
      <c r="AB1795" s="787"/>
      <c r="AC1795" s="679"/>
      <c r="AD1795" s="679"/>
      <c r="AE1795" s="679"/>
      <c r="AF1795" s="679"/>
      <c r="AG1795" s="679"/>
      <c r="AH1795" s="679"/>
      <c r="AI1795" s="682"/>
      <c r="AJ1795" s="682"/>
      <c r="AK1795" s="682"/>
      <c r="AL1795" s="682"/>
      <c r="AM1795" s="682"/>
      <c r="AN1795" s="682"/>
      <c r="AO1795" s="682"/>
      <c r="AP1795" s="682"/>
      <c r="AQ1795" s="682"/>
      <c r="AR1795" s="682"/>
      <c r="AS1795" s="682"/>
    </row>
    <row r="1796" spans="1:45" s="6" customFormat="1" ht="30" customHeight="1" x14ac:dyDescent="0.25">
      <c r="A1796" s="2002"/>
      <c r="B1796" s="390" t="s">
        <v>2205</v>
      </c>
      <c r="C1796" s="246" t="s">
        <v>1938</v>
      </c>
      <c r="D1796" s="866" t="s">
        <v>10</v>
      </c>
      <c r="E1796" s="1122">
        <v>46275</v>
      </c>
      <c r="F1796" s="71">
        <f t="shared" ref="F1796:F1797" si="1105">$L$7-E1796</f>
        <v>11</v>
      </c>
      <c r="G1796" s="12">
        <v>1050</v>
      </c>
      <c r="H1796" s="12"/>
      <c r="I1796" s="12"/>
      <c r="J1796" s="1368"/>
      <c r="K1796" s="64">
        <f>IFERROR(SUMIF(INTAKE!$A:$A,$T1796,INTAKE!$P:$P),0)</f>
        <v>0</v>
      </c>
      <c r="L1796" s="1702">
        <f t="shared" si="1103"/>
        <v>1050</v>
      </c>
      <c r="M1796" s="101"/>
      <c r="N1796" s="101"/>
      <c r="O1796" s="101"/>
      <c r="P1796" s="738"/>
      <c r="Q1796" s="795"/>
      <c r="R1796" s="785">
        <f>IFERROR(VLOOKUP($Q1796,'391'!$S:$Z,8,0),"")</f>
        <v>0</v>
      </c>
      <c r="S1796" s="786"/>
      <c r="T1796" s="787" t="str">
        <f t="shared" si="1104"/>
        <v>Premix 52SVY1.346275</v>
      </c>
      <c r="U1796" s="787"/>
      <c r="V1796" s="787"/>
      <c r="W1796" s="785">
        <f>IFERROR(VLOOKUP($Q1796,'391'!$S:$AG,15,0),0)</f>
        <v>0</v>
      </c>
      <c r="X1796" s="1090">
        <f t="shared" si="1070"/>
        <v>1050</v>
      </c>
      <c r="Y1796" s="787"/>
      <c r="Z1796" s="791"/>
      <c r="AA1796" s="787"/>
      <c r="AB1796" s="787"/>
      <c r="AC1796" s="679"/>
      <c r="AD1796" s="679"/>
      <c r="AE1796" s="679"/>
      <c r="AF1796" s="679"/>
      <c r="AG1796" s="679"/>
      <c r="AH1796" s="679"/>
      <c r="AI1796" s="682"/>
      <c r="AJ1796" s="682"/>
      <c r="AK1796" s="682"/>
      <c r="AL1796" s="682"/>
      <c r="AM1796" s="682"/>
      <c r="AN1796" s="682"/>
      <c r="AO1796" s="682"/>
      <c r="AP1796" s="682"/>
      <c r="AQ1796" s="682"/>
      <c r="AR1796" s="682"/>
      <c r="AS1796" s="682"/>
    </row>
    <row r="1797" spans="1:45" s="6" customFormat="1" ht="30" customHeight="1" x14ac:dyDescent="0.25">
      <c r="A1797" s="2002"/>
      <c r="B1797" s="390" t="s">
        <v>2205</v>
      </c>
      <c r="C1797" s="246" t="s">
        <v>513</v>
      </c>
      <c r="D1797" s="866" t="s">
        <v>10</v>
      </c>
      <c r="E1797" s="1122">
        <v>46275</v>
      </c>
      <c r="F1797" s="71">
        <f t="shared" si="1105"/>
        <v>11</v>
      </c>
      <c r="G1797" s="12">
        <v>1050</v>
      </c>
      <c r="H1797" s="12"/>
      <c r="I1797" s="12"/>
      <c r="J1797" s="1368"/>
      <c r="K1797" s="64">
        <f>IFERROR(SUMIF(INTAKE!$A:$A,$T1797,INTAKE!$P:$P),0)</f>
        <v>0</v>
      </c>
      <c r="L1797" s="1702">
        <f t="shared" si="1103"/>
        <v>1050</v>
      </c>
      <c r="M1797" s="101"/>
      <c r="N1797" s="101"/>
      <c r="O1797" s="101"/>
      <c r="P1797" s="738"/>
      <c r="Q1797" s="795"/>
      <c r="R1797" s="785">
        <f>IFERROR(VLOOKUP($Q1797,'391'!$S:$Z,8,0),"")</f>
        <v>0</v>
      </c>
      <c r="S1797" s="786"/>
      <c r="T1797" s="787" t="str">
        <f t="shared" si="1104"/>
        <v>Premix 52SVY3.346275</v>
      </c>
      <c r="U1797" s="787"/>
      <c r="V1797" s="787"/>
      <c r="W1797" s="785">
        <f>IFERROR(VLOOKUP($Q1797,'391'!$S:$AG,15,0),0)</f>
        <v>0</v>
      </c>
      <c r="X1797" s="1090">
        <f t="shared" si="1070"/>
        <v>1050</v>
      </c>
      <c r="Y1797" s="787"/>
      <c r="Z1797" s="791"/>
      <c r="AA1797" s="787"/>
      <c r="AB1797" s="787"/>
      <c r="AC1797" s="679"/>
      <c r="AD1797" s="679"/>
      <c r="AE1797" s="679"/>
      <c r="AF1797" s="679"/>
      <c r="AG1797" s="679"/>
      <c r="AH1797" s="679"/>
      <c r="AI1797" s="682"/>
      <c r="AJ1797" s="682"/>
      <c r="AK1797" s="682"/>
      <c r="AL1797" s="682"/>
      <c r="AM1797" s="682"/>
      <c r="AN1797" s="682"/>
      <c r="AO1797" s="682"/>
      <c r="AP1797" s="682"/>
      <c r="AQ1797" s="682"/>
      <c r="AR1797" s="682"/>
      <c r="AS1797" s="682"/>
    </row>
    <row r="1798" spans="1:45" s="6" customFormat="1" ht="28.5" customHeight="1" x14ac:dyDescent="0.25">
      <c r="A1798" s="2002"/>
      <c r="B1798" s="390" t="s">
        <v>2243</v>
      </c>
      <c r="C1798" s="246" t="s">
        <v>272</v>
      </c>
      <c r="D1798" s="866" t="s">
        <v>10</v>
      </c>
      <c r="E1798" s="1122">
        <v>46283</v>
      </c>
      <c r="F1798" s="71">
        <f t="shared" si="1102"/>
        <v>3</v>
      </c>
      <c r="G1798" s="12">
        <v>1050</v>
      </c>
      <c r="H1798" s="12"/>
      <c r="I1798" s="12"/>
      <c r="J1798" s="1368"/>
      <c r="K1798" s="64">
        <f>IFERROR(SUMIF(INTAKE!$A:$A,$T1798,INTAKE!$P:$P),0)</f>
        <v>0</v>
      </c>
      <c r="L1798" s="1702">
        <f t="shared" si="1103"/>
        <v>1050</v>
      </c>
      <c r="M1798" s="101"/>
      <c r="N1798" s="101"/>
      <c r="O1798" s="101"/>
      <c r="P1798" s="738"/>
      <c r="Q1798" s="795"/>
      <c r="R1798" s="785">
        <f>IFERROR(VLOOKUP($Q1798,'391'!$S:$Z,8,0),"")</f>
        <v>0</v>
      </c>
      <c r="S1798" s="786"/>
      <c r="T1798" s="787" t="str">
        <f t="shared" si="1104"/>
        <v>Premix 52SVY2.346283</v>
      </c>
      <c r="U1798" s="787"/>
      <c r="V1798" s="787"/>
      <c r="W1798" s="785">
        <f>IFERROR(VLOOKUP($Q1798,'391'!$S:$AG,15,0),0)</f>
        <v>0</v>
      </c>
      <c r="X1798" s="1090">
        <f t="shared" ref="X1798:X1862" si="1106">G1798-W1798</f>
        <v>1050</v>
      </c>
      <c r="Y1798" s="787"/>
      <c r="Z1798" s="791"/>
      <c r="AA1798" s="787"/>
      <c r="AB1798" s="787"/>
      <c r="AC1798" s="679"/>
      <c r="AD1798" s="679"/>
      <c r="AE1798" s="679"/>
      <c r="AF1798" s="679"/>
      <c r="AG1798" s="679"/>
      <c r="AH1798" s="679"/>
      <c r="AI1798" s="682"/>
      <c r="AJ1798" s="682"/>
      <c r="AK1798" s="682"/>
      <c r="AL1798" s="682"/>
      <c r="AM1798" s="682"/>
      <c r="AN1798" s="682"/>
      <c r="AO1798" s="682"/>
      <c r="AP1798" s="682"/>
      <c r="AQ1798" s="682"/>
      <c r="AR1798" s="682"/>
      <c r="AS1798" s="682"/>
    </row>
    <row r="1799" spans="1:45" s="6" customFormat="1" ht="30" hidden="1" customHeight="1" x14ac:dyDescent="0.25">
      <c r="A1799" s="2002"/>
      <c r="B1799" s="390" t="s">
        <v>2205</v>
      </c>
      <c r="C1799" s="246"/>
      <c r="D1799" s="866" t="s">
        <v>10</v>
      </c>
      <c r="E1799" s="1122">
        <v>46275</v>
      </c>
      <c r="F1799" s="71">
        <f t="shared" ref="F1799" si="1107">$L$7-E1799</f>
        <v>11</v>
      </c>
      <c r="G1799" s="12">
        <v>0</v>
      </c>
      <c r="H1799" s="12"/>
      <c r="I1799" s="12"/>
      <c r="J1799" s="1368"/>
      <c r="K1799" s="64">
        <f>IFERROR(SUMIF(INTAKE!$A:$A,$T1799,INTAKE!$P:$P),0)</f>
        <v>0</v>
      </c>
      <c r="L1799" s="1702">
        <f t="shared" si="1103"/>
        <v>0</v>
      </c>
      <c r="M1799" s="101"/>
      <c r="N1799" s="101"/>
      <c r="O1799" s="101"/>
      <c r="P1799" s="738"/>
      <c r="Q1799" s="795"/>
      <c r="R1799" s="785">
        <f>IFERROR(VLOOKUP($Q1799,'391'!$S:$Z,8,0),"")</f>
        <v>0</v>
      </c>
      <c r="S1799" s="786"/>
      <c r="T1799" s="787" t="str">
        <f t="shared" si="1104"/>
        <v>Premix 52SV46275</v>
      </c>
      <c r="U1799" s="787"/>
      <c r="V1799" s="787"/>
      <c r="W1799" s="785">
        <f>IFERROR(VLOOKUP($Q1799,'391'!$S:$AG,15,0),0)</f>
        <v>0</v>
      </c>
      <c r="X1799" s="1090">
        <f t="shared" si="1106"/>
        <v>0</v>
      </c>
      <c r="Y1799" s="787"/>
      <c r="Z1799" s="791"/>
      <c r="AA1799" s="787"/>
      <c r="AB1799" s="787"/>
      <c r="AC1799" s="679"/>
      <c r="AD1799" s="679"/>
      <c r="AE1799" s="679"/>
      <c r="AF1799" s="679"/>
      <c r="AG1799" s="679"/>
      <c r="AH1799" s="679"/>
      <c r="AI1799" s="682"/>
      <c r="AJ1799" s="682"/>
      <c r="AK1799" s="682"/>
      <c r="AL1799" s="682"/>
      <c r="AM1799" s="682"/>
      <c r="AN1799" s="682"/>
      <c r="AO1799" s="682"/>
      <c r="AP1799" s="682"/>
      <c r="AQ1799" s="682"/>
      <c r="AR1799" s="682"/>
      <c r="AS1799" s="682"/>
    </row>
    <row r="1800" spans="1:45" s="6" customFormat="1" ht="30" hidden="1" customHeight="1" x14ac:dyDescent="0.25">
      <c r="A1800" s="2002"/>
      <c r="B1800" s="390" t="s">
        <v>1874</v>
      </c>
      <c r="C1800" s="246"/>
      <c r="D1800" s="866" t="s">
        <v>10</v>
      </c>
      <c r="E1800" s="1122">
        <v>46227</v>
      </c>
      <c r="F1800" s="71">
        <f t="shared" ref="F1800" si="1108">$L$7-E1800</f>
        <v>59</v>
      </c>
      <c r="G1800" s="12">
        <v>0</v>
      </c>
      <c r="H1800" s="12"/>
      <c r="I1800" s="12"/>
      <c r="J1800" s="1368"/>
      <c r="K1800" s="64">
        <f>IFERROR(SUMIF(INTAKE!$A:$A,$T1800,INTAKE!$P:$P),0)</f>
        <v>0</v>
      </c>
      <c r="L1800" s="1702">
        <f t="shared" si="1103"/>
        <v>0</v>
      </c>
      <c r="M1800" s="101"/>
      <c r="N1800" s="101"/>
      <c r="O1800" s="101"/>
      <c r="P1800" s="738"/>
      <c r="Q1800" s="795"/>
      <c r="R1800" s="785">
        <f>IFERROR(VLOOKUP($Q1800,'391'!$S:$Z,8,0),"")</f>
        <v>0</v>
      </c>
      <c r="S1800" s="786"/>
      <c r="T1800" s="787" t="str">
        <f t="shared" si="1104"/>
        <v>Premix 52SV46227</v>
      </c>
      <c r="U1800" s="787"/>
      <c r="V1800" s="787"/>
      <c r="W1800" s="785">
        <f>IFERROR(VLOOKUP($Q1800,'391'!$S:$AG,15,0),0)</f>
        <v>0</v>
      </c>
      <c r="X1800" s="1090">
        <f t="shared" si="1106"/>
        <v>0</v>
      </c>
      <c r="Y1800" s="787"/>
      <c r="Z1800" s="791"/>
      <c r="AA1800" s="787"/>
      <c r="AB1800" s="787"/>
      <c r="AC1800" s="679"/>
      <c r="AD1800" s="679"/>
      <c r="AE1800" s="679"/>
      <c r="AF1800" s="679"/>
      <c r="AG1800" s="679"/>
      <c r="AH1800" s="679"/>
      <c r="AI1800" s="682"/>
      <c r="AJ1800" s="682"/>
      <c r="AK1800" s="682"/>
      <c r="AL1800" s="682"/>
      <c r="AM1800" s="682"/>
      <c r="AN1800" s="682"/>
      <c r="AO1800" s="682"/>
      <c r="AP1800" s="682"/>
      <c r="AQ1800" s="682"/>
      <c r="AR1800" s="682"/>
      <c r="AS1800" s="682"/>
    </row>
    <row r="1801" spans="1:45" s="6" customFormat="1" ht="30" hidden="1" customHeight="1" x14ac:dyDescent="0.25">
      <c r="A1801" s="2002"/>
      <c r="B1801" s="390" t="s">
        <v>1810</v>
      </c>
      <c r="C1801" s="246"/>
      <c r="D1801" s="866" t="s">
        <v>10</v>
      </c>
      <c r="E1801" s="1122">
        <v>46135</v>
      </c>
      <c r="F1801" s="71">
        <f t="shared" ref="F1801" si="1109">$L$7-E1801</f>
        <v>151</v>
      </c>
      <c r="G1801" s="12">
        <v>0</v>
      </c>
      <c r="H1801" s="12"/>
      <c r="I1801" s="12"/>
      <c r="J1801" s="1368"/>
      <c r="K1801" s="64">
        <f>IFERROR(SUMIF(INTAKE!$A:$A,$T1801,INTAKE!$P:$P),0)</f>
        <v>0</v>
      </c>
      <c r="L1801" s="1702">
        <f t="shared" si="1103"/>
        <v>0</v>
      </c>
      <c r="M1801" s="101"/>
      <c r="N1801" s="101"/>
      <c r="O1801" s="101"/>
      <c r="P1801" s="738"/>
      <c r="Q1801" s="795"/>
      <c r="R1801" s="785">
        <f>IFERROR(VLOOKUP($Q1801,'391'!$S:$Z,8,0),"")</f>
        <v>0</v>
      </c>
      <c r="S1801" s="786"/>
      <c r="T1801" s="787" t="str">
        <f t="shared" si="1104"/>
        <v>Premix 52SV46135</v>
      </c>
      <c r="U1801" s="787"/>
      <c r="V1801" s="787"/>
      <c r="W1801" s="785">
        <f>IFERROR(VLOOKUP($Q1801,'391'!$S:$AG,15,0),0)</f>
        <v>0</v>
      </c>
      <c r="X1801" s="1090">
        <f t="shared" si="1106"/>
        <v>0</v>
      </c>
      <c r="Y1801" s="787"/>
      <c r="Z1801" s="791"/>
      <c r="AA1801" s="787"/>
      <c r="AB1801" s="787"/>
      <c r="AC1801" s="679"/>
      <c r="AD1801" s="679"/>
      <c r="AE1801" s="679"/>
      <c r="AF1801" s="679"/>
      <c r="AG1801" s="679"/>
      <c r="AH1801" s="679"/>
      <c r="AI1801" s="682"/>
      <c r="AJ1801" s="682"/>
      <c r="AK1801" s="682"/>
      <c r="AL1801" s="682"/>
      <c r="AM1801" s="682"/>
      <c r="AN1801" s="682"/>
      <c r="AO1801" s="682"/>
      <c r="AP1801" s="682"/>
      <c r="AQ1801" s="682"/>
      <c r="AR1801" s="682"/>
      <c r="AS1801" s="682"/>
    </row>
    <row r="1802" spans="1:45" s="6" customFormat="1" ht="30" hidden="1" customHeight="1" x14ac:dyDescent="0.25">
      <c r="A1802" s="2002"/>
      <c r="B1802" s="390" t="s">
        <v>1544</v>
      </c>
      <c r="C1802" s="246"/>
      <c r="D1802" s="866" t="s">
        <v>10</v>
      </c>
      <c r="E1802" s="1122">
        <v>45695</v>
      </c>
      <c r="F1802" s="71">
        <f t="shared" ref="F1802:F1803" si="1110">$L$7-E1802</f>
        <v>591</v>
      </c>
      <c r="G1802" s="12">
        <v>0</v>
      </c>
      <c r="H1802" s="12"/>
      <c r="I1802" s="12"/>
      <c r="J1802" s="1368"/>
      <c r="K1802" s="64">
        <f>IFERROR(SUMIF(INTAKE!$A:$A,$T1802,INTAKE!$P:$P),0)</f>
        <v>0</v>
      </c>
      <c r="L1802" s="1533">
        <f t="shared" si="1103"/>
        <v>0</v>
      </c>
      <c r="M1802" s="101"/>
      <c r="N1802" s="101"/>
      <c r="O1802" s="101"/>
      <c r="P1802" s="738"/>
      <c r="Q1802" s="795"/>
      <c r="R1802" s="785">
        <f>IFERROR(VLOOKUP($Q1802,'391'!$S:$Z,8,0),"")</f>
        <v>0</v>
      </c>
      <c r="S1802" s="786"/>
      <c r="T1802" s="787" t="str">
        <f t="shared" si="1104"/>
        <v>Premix 52SV45695</v>
      </c>
      <c r="U1802" s="787"/>
      <c r="V1802" s="787"/>
      <c r="W1802" s="785">
        <f>IFERROR(VLOOKUP($Q1802,'391'!$S:$AG,15,0),0)</f>
        <v>0</v>
      </c>
      <c r="X1802" s="1090">
        <f t="shared" si="1106"/>
        <v>0</v>
      </c>
      <c r="Y1802" s="787"/>
      <c r="Z1802" s="791"/>
      <c r="AA1802" s="787"/>
      <c r="AB1802" s="787"/>
      <c r="AC1802" s="679"/>
      <c r="AD1802" s="679"/>
      <c r="AE1802" s="679"/>
      <c r="AF1802" s="679"/>
      <c r="AG1802" s="679"/>
      <c r="AH1802" s="679"/>
      <c r="AI1802" s="682"/>
      <c r="AJ1802" s="682"/>
      <c r="AK1802" s="682"/>
      <c r="AL1802" s="682"/>
      <c r="AM1802" s="682"/>
      <c r="AN1802" s="682"/>
      <c r="AO1802" s="682"/>
      <c r="AP1802" s="682"/>
      <c r="AQ1802" s="682"/>
      <c r="AR1802" s="682"/>
      <c r="AS1802" s="682"/>
    </row>
    <row r="1803" spans="1:45" s="6" customFormat="1" ht="30" customHeight="1" x14ac:dyDescent="0.25">
      <c r="A1803" s="2002"/>
      <c r="B1803" s="1020" t="s">
        <v>1966</v>
      </c>
      <c r="C1803" s="123" t="s">
        <v>46</v>
      </c>
      <c r="D1803" s="884" t="s">
        <v>10</v>
      </c>
      <c r="E1803" s="1132">
        <v>46270</v>
      </c>
      <c r="F1803" s="71">
        <f t="shared" si="1110"/>
        <v>16</v>
      </c>
      <c r="G1803" s="56">
        <v>975.17999999999984</v>
      </c>
      <c r="H1803" s="12"/>
      <c r="I1803" s="56">
        <f>+SUM(K1795:K1799)</f>
        <v>0</v>
      </c>
      <c r="J1803" s="1365">
        <f>+usage!I237</f>
        <v>208.26</v>
      </c>
      <c r="K1803" s="64">
        <f>IFERROR(SUMIF(INTAKE!$A:$A,$T1803,INTAKE!$P:$P),0)</f>
        <v>0</v>
      </c>
      <c r="L1803" s="1533">
        <f t="shared" si="1103"/>
        <v>766.91999999999985</v>
      </c>
      <c r="M1803" s="101"/>
      <c r="N1803" s="101"/>
      <c r="O1803" s="101"/>
      <c r="P1803" s="738"/>
      <c r="Q1803" s="795"/>
      <c r="R1803" s="785">
        <f>IFERROR(VLOOKUP($Q1803,'391'!$S:$Z,8,0),"")</f>
        <v>0</v>
      </c>
      <c r="S1803" s="786"/>
      <c r="T1803" s="787" t="str">
        <f t="shared" si="1104"/>
        <v>Premix 52SVFeedmill46270</v>
      </c>
      <c r="U1803" s="787"/>
      <c r="V1803" s="787"/>
      <c r="W1803" s="785">
        <f>IFERROR(VLOOKUP($Q1803,'391'!$S:$AG,15,0),0)</f>
        <v>0</v>
      </c>
      <c r="X1803" s="1090">
        <f t="shared" si="1106"/>
        <v>975.17999999999984</v>
      </c>
      <c r="Y1803" s="787"/>
      <c r="Z1803" s="791"/>
      <c r="AA1803" s="787"/>
      <c r="AB1803" s="787"/>
      <c r="AC1803" s="679"/>
      <c r="AD1803" s="679"/>
      <c r="AE1803" s="679"/>
      <c r="AF1803" s="679"/>
      <c r="AG1803" s="679"/>
      <c r="AH1803" s="679"/>
      <c r="AI1803" s="682"/>
      <c r="AJ1803" s="682"/>
      <c r="AK1803" s="682"/>
      <c r="AL1803" s="682"/>
      <c r="AM1803" s="682"/>
      <c r="AN1803" s="682"/>
      <c r="AO1803" s="682"/>
      <c r="AP1803" s="682"/>
      <c r="AQ1803" s="682"/>
      <c r="AR1803" s="682"/>
      <c r="AS1803" s="682"/>
    </row>
    <row r="1804" spans="1:45" s="420" customFormat="1" ht="30" customHeight="1" x14ac:dyDescent="0.25">
      <c r="A1804" s="2003" t="s">
        <v>25</v>
      </c>
      <c r="B1804" s="2004"/>
      <c r="C1804" s="125"/>
      <c r="D1804" s="1027"/>
      <c r="E1804" s="1131"/>
      <c r="F1804" s="896"/>
      <c r="G1804" s="1422">
        <v>4125.18</v>
      </c>
      <c r="H1804" s="1422">
        <f t="shared" ref="H1804:I1804" si="1111">SUM(H1795:H1803)</f>
        <v>0</v>
      </c>
      <c r="I1804" s="1422">
        <f t="shared" si="1111"/>
        <v>0</v>
      </c>
      <c r="J1804" s="1422">
        <f t="shared" ref="J1804:L1804" si="1112">SUM(J1795:J1803)</f>
        <v>208.26</v>
      </c>
      <c r="K1804" s="1422">
        <f t="shared" si="1112"/>
        <v>0</v>
      </c>
      <c r="L1804" s="1422">
        <f t="shared" si="1112"/>
        <v>3916.92</v>
      </c>
      <c r="M1804" s="889">
        <f>IFERROR(R1804/$S$2,"")</f>
        <v>313.70666666666665</v>
      </c>
      <c r="N1804" s="366">
        <f>(L1804/M1804)</f>
        <v>12.485931655899355</v>
      </c>
      <c r="O1804" s="889">
        <f>IFERROR(SUMIF(ETM!$A:$A,$Q1804,ETM!$E:$E),"")</f>
        <v>305.66666666666669</v>
      </c>
      <c r="P1804" s="855">
        <f>IFERROR(L1804/O1804,0)</f>
        <v>12.814351145038167</v>
      </c>
      <c r="Q1804" s="814" t="s">
        <v>645</v>
      </c>
      <c r="R1804" s="785">
        <f>IFERROR(VLOOKUP($Q1804,'391'!$S:$Z,8,0),"")</f>
        <v>1882.24</v>
      </c>
      <c r="S1804" s="786"/>
      <c r="T1804" s="787"/>
      <c r="U1804" s="787"/>
      <c r="V1804" s="787"/>
      <c r="W1804" s="785">
        <f>IFERROR(VLOOKUP($Q1804,'391'!$S:$AG,15,0),0)</f>
        <v>4125.18</v>
      </c>
      <c r="X1804" s="1090">
        <f t="shared" si="1106"/>
        <v>0</v>
      </c>
      <c r="Y1804" s="787"/>
      <c r="Z1804" s="791"/>
      <c r="AA1804" s="787"/>
      <c r="AB1804" s="787"/>
      <c r="AC1804" s="550"/>
      <c r="AD1804" s="550"/>
      <c r="AE1804" s="550"/>
      <c r="AF1804" s="550"/>
      <c r="AG1804" s="550"/>
      <c r="AH1804" s="550"/>
      <c r="AI1804" s="559"/>
      <c r="AJ1804" s="559"/>
      <c r="AK1804" s="559"/>
      <c r="AL1804" s="559"/>
      <c r="AM1804" s="559"/>
      <c r="AN1804" s="559"/>
      <c r="AO1804" s="559"/>
      <c r="AP1804" s="559"/>
      <c r="AQ1804" s="559"/>
      <c r="AR1804" s="559"/>
      <c r="AS1804" s="559"/>
    </row>
    <row r="1805" spans="1:45" s="6" customFormat="1" ht="30" hidden="1" customHeight="1" x14ac:dyDescent="0.25">
      <c r="A1805" s="2010" t="str">
        <f>IF(L1814=0,"",MAX($A$16:A1804)+1)</f>
        <v/>
      </c>
      <c r="B1805" s="2012" t="s">
        <v>154</v>
      </c>
      <c r="C1805" s="249" t="s">
        <v>244</v>
      </c>
      <c r="D1805" s="1111" t="s">
        <v>10</v>
      </c>
      <c r="E1805" s="1122">
        <v>44421</v>
      </c>
      <c r="F1805" s="71">
        <f t="shared" ref="F1805:F1813" si="1113">$L$7-E1805</f>
        <v>1865</v>
      </c>
      <c r="G1805" s="1433">
        <v>0</v>
      </c>
      <c r="H1805" s="12"/>
      <c r="I1805" s="12"/>
      <c r="J1805" s="1368"/>
      <c r="K1805" s="1422"/>
      <c r="L1805" s="1533">
        <f t="shared" ref="L1805:L1821" si="1114">+G1805+H1805+I1805-J1805-K1805</f>
        <v>0</v>
      </c>
      <c r="M1805" s="66"/>
      <c r="N1805" s="920"/>
      <c r="O1805" s="66"/>
      <c r="P1805" s="857"/>
      <c r="Q1805" s="795"/>
      <c r="R1805" s="785">
        <f>IFERROR(VLOOKUP($Q1805,'391'!$S:$Z,8,0),"")</f>
        <v>0</v>
      </c>
      <c r="S1805" s="786"/>
      <c r="T1805" s="787"/>
      <c r="U1805" s="787"/>
      <c r="V1805" s="787"/>
      <c r="W1805" s="785">
        <f>IFERROR(VLOOKUP($Q1805,'391'!$S:$AG,15,0),0)</f>
        <v>0</v>
      </c>
      <c r="X1805" s="1090">
        <f t="shared" si="1106"/>
        <v>0</v>
      </c>
      <c r="Y1805" s="787"/>
      <c r="Z1805" s="791"/>
      <c r="AA1805" s="787"/>
      <c r="AB1805" s="787"/>
      <c r="AC1805" s="679"/>
      <c r="AD1805" s="679"/>
      <c r="AE1805" s="679"/>
      <c r="AF1805" s="679"/>
      <c r="AG1805" s="679"/>
      <c r="AH1805" s="679"/>
      <c r="AI1805" s="682"/>
      <c r="AJ1805" s="682"/>
      <c r="AK1805" s="682"/>
      <c r="AL1805" s="682"/>
      <c r="AM1805" s="682"/>
      <c r="AN1805" s="682"/>
      <c r="AO1805" s="682"/>
      <c r="AP1805" s="682"/>
      <c r="AQ1805" s="682"/>
      <c r="AR1805" s="682"/>
      <c r="AS1805" s="682"/>
    </row>
    <row r="1806" spans="1:45" s="6" customFormat="1" ht="30" hidden="1" customHeight="1" x14ac:dyDescent="0.25">
      <c r="A1806" s="2002"/>
      <c r="B1806" s="2013"/>
      <c r="C1806" s="249" t="s">
        <v>244</v>
      </c>
      <c r="D1806" s="866" t="s">
        <v>10</v>
      </c>
      <c r="E1806" s="1122">
        <v>44421</v>
      </c>
      <c r="F1806" s="71">
        <f t="shared" si="1113"/>
        <v>1865</v>
      </c>
      <c r="G1806" s="1433">
        <v>0</v>
      </c>
      <c r="H1806" s="12"/>
      <c r="I1806" s="12"/>
      <c r="J1806" s="1368"/>
      <c r="K1806" s="1422"/>
      <c r="L1806" s="1533">
        <f t="shared" si="1114"/>
        <v>0</v>
      </c>
      <c r="M1806" s="101"/>
      <c r="N1806" s="249"/>
      <c r="O1806" s="101"/>
      <c r="P1806" s="857"/>
      <c r="Q1806" s="795"/>
      <c r="R1806" s="785">
        <f>IFERROR(VLOOKUP($Q1806,'391'!$S:$Z,8,0),"")</f>
        <v>0</v>
      </c>
      <c r="S1806" s="786"/>
      <c r="T1806" s="787"/>
      <c r="U1806" s="787"/>
      <c r="V1806" s="787"/>
      <c r="W1806" s="785">
        <f>IFERROR(VLOOKUP($Q1806,'391'!$S:$AG,15,0),0)</f>
        <v>0</v>
      </c>
      <c r="X1806" s="1090">
        <f t="shared" si="1106"/>
        <v>0</v>
      </c>
      <c r="Y1806" s="787"/>
      <c r="Z1806" s="791"/>
      <c r="AA1806" s="787"/>
      <c r="AB1806" s="787"/>
      <c r="AC1806" s="679"/>
      <c r="AD1806" s="679"/>
      <c r="AE1806" s="679"/>
      <c r="AF1806" s="679"/>
      <c r="AG1806" s="679"/>
      <c r="AH1806" s="679"/>
      <c r="AI1806" s="682"/>
      <c r="AJ1806" s="682"/>
      <c r="AK1806" s="682"/>
      <c r="AL1806" s="682"/>
      <c r="AM1806" s="682"/>
      <c r="AN1806" s="682"/>
      <c r="AO1806" s="682"/>
      <c r="AP1806" s="682"/>
      <c r="AQ1806" s="682"/>
      <c r="AR1806" s="682"/>
      <c r="AS1806" s="682"/>
    </row>
    <row r="1807" spans="1:45" s="6" customFormat="1" ht="30" hidden="1" customHeight="1" x14ac:dyDescent="0.25">
      <c r="A1807" s="2002"/>
      <c r="B1807" s="2013"/>
      <c r="C1807" s="249" t="s">
        <v>148</v>
      </c>
      <c r="D1807" s="866" t="s">
        <v>10</v>
      </c>
      <c r="E1807" s="1122">
        <v>44421</v>
      </c>
      <c r="F1807" s="71">
        <f t="shared" si="1113"/>
        <v>1865</v>
      </c>
      <c r="G1807" s="1433">
        <v>0</v>
      </c>
      <c r="H1807" s="12"/>
      <c r="I1807" s="12"/>
      <c r="J1807" s="1368"/>
      <c r="K1807" s="1422"/>
      <c r="L1807" s="1533">
        <f t="shared" si="1114"/>
        <v>0</v>
      </c>
      <c r="M1807" s="101"/>
      <c r="N1807" s="249"/>
      <c r="O1807" s="101"/>
      <c r="P1807" s="857"/>
      <c r="Q1807" s="795"/>
      <c r="R1807" s="785">
        <f>IFERROR(VLOOKUP($Q1807,'391'!$S:$Z,8,0),"")</f>
        <v>0</v>
      </c>
      <c r="S1807" s="786"/>
      <c r="T1807" s="787"/>
      <c r="U1807" s="787"/>
      <c r="V1807" s="787"/>
      <c r="W1807" s="785">
        <f>IFERROR(VLOOKUP($Q1807,'391'!$S:$AG,15,0),0)</f>
        <v>0</v>
      </c>
      <c r="X1807" s="1090">
        <f t="shared" si="1106"/>
        <v>0</v>
      </c>
      <c r="Y1807" s="787"/>
      <c r="Z1807" s="791"/>
      <c r="AA1807" s="787"/>
      <c r="AB1807" s="787"/>
      <c r="AC1807" s="679"/>
      <c r="AD1807" s="679"/>
      <c r="AE1807" s="679"/>
      <c r="AF1807" s="679"/>
      <c r="AG1807" s="679"/>
      <c r="AH1807" s="679"/>
      <c r="AI1807" s="682"/>
      <c r="AJ1807" s="682"/>
      <c r="AK1807" s="682"/>
      <c r="AL1807" s="682"/>
      <c r="AM1807" s="682"/>
      <c r="AN1807" s="682"/>
      <c r="AO1807" s="682"/>
      <c r="AP1807" s="682"/>
      <c r="AQ1807" s="682"/>
      <c r="AR1807" s="682"/>
      <c r="AS1807" s="682"/>
    </row>
    <row r="1808" spans="1:45" s="6" customFormat="1" ht="30" hidden="1" customHeight="1" x14ac:dyDescent="0.25">
      <c r="A1808" s="2002"/>
      <c r="B1808" s="2013"/>
      <c r="C1808" s="249" t="s">
        <v>148</v>
      </c>
      <c r="D1808" s="866" t="s">
        <v>10</v>
      </c>
      <c r="E1808" s="1122">
        <v>44421</v>
      </c>
      <c r="F1808" s="71">
        <f t="shared" si="1113"/>
        <v>1865</v>
      </c>
      <c r="G1808" s="1433">
        <v>0</v>
      </c>
      <c r="H1808" s="12"/>
      <c r="I1808" s="12"/>
      <c r="J1808" s="1368"/>
      <c r="K1808" s="1422"/>
      <c r="L1808" s="1533">
        <f t="shared" si="1114"/>
        <v>0</v>
      </c>
      <c r="M1808" s="101"/>
      <c r="N1808" s="249"/>
      <c r="O1808" s="101"/>
      <c r="P1808" s="857"/>
      <c r="Q1808" s="795"/>
      <c r="R1808" s="785">
        <f>IFERROR(VLOOKUP($Q1808,'391'!$S:$Z,8,0),"")</f>
        <v>0</v>
      </c>
      <c r="S1808" s="786"/>
      <c r="T1808" s="787"/>
      <c r="U1808" s="787"/>
      <c r="V1808" s="787"/>
      <c r="W1808" s="785">
        <f>IFERROR(VLOOKUP($Q1808,'391'!$S:$AG,15,0),0)</f>
        <v>0</v>
      </c>
      <c r="X1808" s="1090">
        <f t="shared" si="1106"/>
        <v>0</v>
      </c>
      <c r="Y1808" s="787"/>
      <c r="Z1808" s="791"/>
      <c r="AA1808" s="787"/>
      <c r="AB1808" s="787"/>
      <c r="AC1808" s="679"/>
      <c r="AD1808" s="679"/>
      <c r="AE1808" s="679"/>
      <c r="AF1808" s="679"/>
      <c r="AG1808" s="679"/>
      <c r="AH1808" s="679"/>
      <c r="AI1808" s="682"/>
      <c r="AJ1808" s="682"/>
      <c r="AK1808" s="682"/>
      <c r="AL1808" s="682"/>
      <c r="AM1808" s="682"/>
      <c r="AN1808" s="682"/>
      <c r="AO1808" s="682"/>
      <c r="AP1808" s="682"/>
      <c r="AQ1808" s="682"/>
      <c r="AR1808" s="682"/>
      <c r="AS1808" s="682"/>
    </row>
    <row r="1809" spans="1:45" s="6" customFormat="1" ht="30" hidden="1" customHeight="1" x14ac:dyDescent="0.25">
      <c r="A1809" s="2002"/>
      <c r="B1809" s="2013"/>
      <c r="C1809" s="249" t="s">
        <v>244</v>
      </c>
      <c r="D1809" s="866" t="s">
        <v>10</v>
      </c>
      <c r="E1809" s="1122">
        <v>44421</v>
      </c>
      <c r="F1809" s="71">
        <f t="shared" si="1113"/>
        <v>1865</v>
      </c>
      <c r="G1809" s="1433">
        <v>0</v>
      </c>
      <c r="H1809" s="12"/>
      <c r="I1809" s="12"/>
      <c r="J1809" s="1368"/>
      <c r="K1809" s="1422"/>
      <c r="L1809" s="1533">
        <f t="shared" si="1114"/>
        <v>0</v>
      </c>
      <c r="M1809" s="101"/>
      <c r="N1809" s="249"/>
      <c r="O1809" s="101"/>
      <c r="P1809" s="857"/>
      <c r="Q1809" s="795"/>
      <c r="R1809" s="785">
        <f>IFERROR(VLOOKUP($Q1809,'391'!$S:$Z,8,0),"")</f>
        <v>0</v>
      </c>
      <c r="S1809" s="786"/>
      <c r="T1809" s="787"/>
      <c r="U1809" s="787"/>
      <c r="V1809" s="787"/>
      <c r="W1809" s="785">
        <f>IFERROR(VLOOKUP($Q1809,'391'!$S:$AG,15,0),0)</f>
        <v>0</v>
      </c>
      <c r="X1809" s="1090">
        <f t="shared" si="1106"/>
        <v>0</v>
      </c>
      <c r="Y1809" s="787"/>
      <c r="Z1809" s="791"/>
      <c r="AA1809" s="787"/>
      <c r="AB1809" s="787"/>
      <c r="AC1809" s="679"/>
      <c r="AD1809" s="679"/>
      <c r="AE1809" s="679"/>
      <c r="AF1809" s="679"/>
      <c r="AG1809" s="679"/>
      <c r="AH1809" s="679"/>
      <c r="AI1809" s="682"/>
      <c r="AJ1809" s="682"/>
      <c r="AK1809" s="682"/>
      <c r="AL1809" s="682"/>
      <c r="AM1809" s="682"/>
      <c r="AN1809" s="682"/>
      <c r="AO1809" s="682"/>
      <c r="AP1809" s="682"/>
      <c r="AQ1809" s="682"/>
      <c r="AR1809" s="682"/>
      <c r="AS1809" s="682"/>
    </row>
    <row r="1810" spans="1:45" s="6" customFormat="1" ht="30" hidden="1" customHeight="1" x14ac:dyDescent="0.25">
      <c r="A1810" s="2002"/>
      <c r="B1810" s="2013"/>
      <c r="C1810" s="249" t="s">
        <v>244</v>
      </c>
      <c r="D1810" s="866" t="s">
        <v>10</v>
      </c>
      <c r="E1810" s="1122">
        <v>44421</v>
      </c>
      <c r="F1810" s="71">
        <f t="shared" si="1113"/>
        <v>1865</v>
      </c>
      <c r="G1810" s="1433">
        <v>0</v>
      </c>
      <c r="H1810" s="12"/>
      <c r="I1810" s="12"/>
      <c r="J1810" s="1397"/>
      <c r="K1810" s="1422"/>
      <c r="L1810" s="1533">
        <f t="shared" si="1114"/>
        <v>0</v>
      </c>
      <c r="M1810" s="101"/>
      <c r="N1810" s="249"/>
      <c r="O1810" s="101"/>
      <c r="P1810" s="857"/>
      <c r="Q1810" s="795"/>
      <c r="R1810" s="785">
        <f>IFERROR(VLOOKUP($Q1810,'391'!$S:$Z,8,0),"")</f>
        <v>0</v>
      </c>
      <c r="S1810" s="786"/>
      <c r="T1810" s="787"/>
      <c r="U1810" s="787"/>
      <c r="V1810" s="787"/>
      <c r="W1810" s="785">
        <f>IFERROR(VLOOKUP($Q1810,'391'!$S:$AG,15,0),0)</f>
        <v>0</v>
      </c>
      <c r="X1810" s="1090">
        <f t="shared" si="1106"/>
        <v>0</v>
      </c>
      <c r="Y1810" s="787"/>
      <c r="Z1810" s="791"/>
      <c r="AA1810" s="787"/>
      <c r="AB1810" s="787"/>
      <c r="AC1810" s="679"/>
      <c r="AD1810" s="679"/>
      <c r="AE1810" s="679"/>
      <c r="AF1810" s="679"/>
      <c r="AG1810" s="679"/>
      <c r="AH1810" s="679"/>
      <c r="AI1810" s="682"/>
      <c r="AJ1810" s="682"/>
      <c r="AK1810" s="682"/>
      <c r="AL1810" s="682"/>
      <c r="AM1810" s="682"/>
      <c r="AN1810" s="682"/>
      <c r="AO1810" s="682"/>
      <c r="AP1810" s="682"/>
      <c r="AQ1810" s="682"/>
      <c r="AR1810" s="682"/>
      <c r="AS1810" s="682"/>
    </row>
    <row r="1811" spans="1:45" s="6" customFormat="1" ht="30" hidden="1" customHeight="1" x14ac:dyDescent="0.25">
      <c r="A1811" s="2002"/>
      <c r="B1811" s="2013"/>
      <c r="C1811" s="249" t="s">
        <v>244</v>
      </c>
      <c r="D1811" s="866" t="s">
        <v>10</v>
      </c>
      <c r="E1811" s="1122">
        <v>44421</v>
      </c>
      <c r="F1811" s="71">
        <f t="shared" si="1113"/>
        <v>1865</v>
      </c>
      <c r="G1811" s="1441">
        <v>0</v>
      </c>
      <c r="H1811" s="12"/>
      <c r="I1811" s="958"/>
      <c r="J1811" s="1397"/>
      <c r="K1811" s="1422"/>
      <c r="L1811" s="1533">
        <f t="shared" si="1114"/>
        <v>0</v>
      </c>
      <c r="M1811" s="101"/>
      <c r="N1811" s="249"/>
      <c r="O1811" s="101"/>
      <c r="P1811" s="857"/>
      <c r="Q1811" s="795"/>
      <c r="R1811" s="785">
        <f>IFERROR(VLOOKUP($Q1811,'391'!$S:$Z,8,0),"")</f>
        <v>0</v>
      </c>
      <c r="S1811" s="786"/>
      <c r="T1811" s="787"/>
      <c r="U1811" s="787"/>
      <c r="V1811" s="787"/>
      <c r="W1811" s="785">
        <f>IFERROR(VLOOKUP($Q1811,'391'!$S:$AG,15,0),0)</f>
        <v>0</v>
      </c>
      <c r="X1811" s="1090">
        <f t="shared" si="1106"/>
        <v>0</v>
      </c>
      <c r="Y1811" s="787"/>
      <c r="Z1811" s="791"/>
      <c r="AA1811" s="787"/>
      <c r="AB1811" s="787"/>
      <c r="AC1811" s="679"/>
      <c r="AD1811" s="679"/>
      <c r="AE1811" s="679"/>
      <c r="AF1811" s="679"/>
      <c r="AG1811" s="679"/>
      <c r="AH1811" s="679"/>
      <c r="AI1811" s="682"/>
      <c r="AJ1811" s="682"/>
      <c r="AK1811" s="682"/>
      <c r="AL1811" s="682"/>
      <c r="AM1811" s="682"/>
      <c r="AN1811" s="682"/>
      <c r="AO1811" s="682"/>
      <c r="AP1811" s="682"/>
      <c r="AQ1811" s="682"/>
      <c r="AR1811" s="682"/>
      <c r="AS1811" s="682"/>
    </row>
    <row r="1812" spans="1:45" s="6" customFormat="1" ht="30" hidden="1" customHeight="1" x14ac:dyDescent="0.25">
      <c r="A1812" s="2002"/>
      <c r="B1812" s="2013"/>
      <c r="C1812" s="149" t="s">
        <v>46</v>
      </c>
      <c r="D1812" s="866" t="s">
        <v>10</v>
      </c>
      <c r="E1812" s="1122">
        <v>44421</v>
      </c>
      <c r="F1812" s="71">
        <f t="shared" si="1113"/>
        <v>1865</v>
      </c>
      <c r="G1812" s="1441">
        <v>0</v>
      </c>
      <c r="H1812" s="12"/>
      <c r="I1812" s="958"/>
      <c r="J1812" s="1397"/>
      <c r="K1812" s="1422"/>
      <c r="L1812" s="1533">
        <f t="shared" si="1114"/>
        <v>0</v>
      </c>
      <c r="M1812" s="22"/>
      <c r="N1812" s="920"/>
      <c r="O1812" s="22"/>
      <c r="P1812" s="857"/>
      <c r="Q1812" s="795"/>
      <c r="R1812" s="785">
        <f>IFERROR(VLOOKUP($Q1812,'391'!$S:$Z,8,0),"")</f>
        <v>0</v>
      </c>
      <c r="S1812" s="786"/>
      <c r="T1812" s="787"/>
      <c r="U1812" s="787"/>
      <c r="V1812" s="787"/>
      <c r="W1812" s="785">
        <f>IFERROR(VLOOKUP($Q1812,'391'!$S:$AG,15,0),0)</f>
        <v>0</v>
      </c>
      <c r="X1812" s="1090">
        <f t="shared" si="1106"/>
        <v>0</v>
      </c>
      <c r="Y1812" s="787"/>
      <c r="Z1812" s="791"/>
      <c r="AA1812" s="787"/>
      <c r="AB1812" s="787"/>
      <c r="AC1812" s="679"/>
      <c r="AD1812" s="679"/>
      <c r="AE1812" s="679"/>
      <c r="AF1812" s="679"/>
      <c r="AG1812" s="679"/>
      <c r="AH1812" s="679"/>
      <c r="AI1812" s="682"/>
      <c r="AJ1812" s="682"/>
      <c r="AK1812" s="682"/>
      <c r="AL1812" s="682"/>
      <c r="AM1812" s="682"/>
      <c r="AN1812" s="682"/>
      <c r="AO1812" s="682"/>
      <c r="AP1812" s="682"/>
      <c r="AQ1812" s="682"/>
      <c r="AR1812" s="682"/>
      <c r="AS1812" s="682"/>
    </row>
    <row r="1813" spans="1:45" s="6" customFormat="1" ht="30" hidden="1" customHeight="1" x14ac:dyDescent="0.25">
      <c r="A1813" s="2011"/>
      <c r="B1813" s="2014"/>
      <c r="C1813" s="144" t="s">
        <v>46</v>
      </c>
      <c r="D1813" s="1112" t="s">
        <v>10</v>
      </c>
      <c r="E1813" s="1122">
        <v>44421</v>
      </c>
      <c r="F1813" s="71">
        <f t="shared" si="1113"/>
        <v>1865</v>
      </c>
      <c r="G1813" s="37">
        <v>0</v>
      </c>
      <c r="H1813" s="1415"/>
      <c r="I1813" s="1308"/>
      <c r="J1813" s="1417"/>
      <c r="K1813" s="1422"/>
      <c r="L1813" s="1533">
        <f t="shared" si="1114"/>
        <v>0</v>
      </c>
      <c r="M1813" s="22"/>
      <c r="N1813" s="920"/>
      <c r="O1813" s="22"/>
      <c r="P1813" s="857"/>
      <c r="Q1813" s="795"/>
      <c r="R1813" s="785">
        <f>IFERROR(VLOOKUP($Q1813,'391'!$S:$Z,8,0),"")</f>
        <v>0</v>
      </c>
      <c r="S1813" s="786"/>
      <c r="T1813" s="787"/>
      <c r="U1813" s="787"/>
      <c r="V1813" s="787"/>
      <c r="W1813" s="785">
        <f>IFERROR(VLOOKUP($Q1813,'391'!$S:$AG,15,0),0)</f>
        <v>0</v>
      </c>
      <c r="X1813" s="1090">
        <f t="shared" si="1106"/>
        <v>0</v>
      </c>
      <c r="Y1813" s="787"/>
      <c r="Z1813" s="791"/>
      <c r="AA1813" s="787"/>
      <c r="AB1813" s="787"/>
      <c r="AC1813" s="679"/>
      <c r="AD1813" s="679"/>
      <c r="AE1813" s="679"/>
      <c r="AF1813" s="679"/>
      <c r="AG1813" s="679"/>
      <c r="AH1813" s="679"/>
      <c r="AI1813" s="682"/>
      <c r="AJ1813" s="682"/>
      <c r="AK1813" s="682"/>
      <c r="AL1813" s="682"/>
      <c r="AM1813" s="682"/>
      <c r="AN1813" s="682"/>
      <c r="AO1813" s="682"/>
      <c r="AP1813" s="682"/>
      <c r="AQ1813" s="682"/>
      <c r="AR1813" s="682"/>
      <c r="AS1813" s="682"/>
    </row>
    <row r="1814" spans="1:45" s="420" customFormat="1" ht="30" hidden="1" customHeight="1" x14ac:dyDescent="0.25">
      <c r="A1814" s="2003" t="s">
        <v>153</v>
      </c>
      <c r="B1814" s="2004"/>
      <c r="C1814" s="125"/>
      <c r="D1814" s="1027"/>
      <c r="E1814" s="1131"/>
      <c r="F1814" s="896"/>
      <c r="G1814" s="1422">
        <v>0</v>
      </c>
      <c r="H1814" s="1422">
        <f>SUM(H1805:H1813)</f>
        <v>0</v>
      </c>
      <c r="I1814" s="1422">
        <f>SUM(I1805:I1813)</f>
        <v>0</v>
      </c>
      <c r="J1814" s="1422">
        <f>SUM(J1805:J1813)</f>
        <v>0</v>
      </c>
      <c r="K1814" s="1422"/>
      <c r="L1814" s="1533">
        <f t="shared" si="1114"/>
        <v>0</v>
      </c>
      <c r="M1814" s="889">
        <v>0</v>
      </c>
      <c r="N1814" s="366" t="e">
        <f>(L1814/M1814)/1000</f>
        <v>#DIV/0!</v>
      </c>
      <c r="O1814" s="889"/>
      <c r="P1814" s="857" t="e">
        <f>(L1814/O1814)/1000</f>
        <v>#DIV/0!</v>
      </c>
      <c r="Q1814" s="795"/>
      <c r="R1814" s="785">
        <f>IFERROR(VLOOKUP($Q1814,'391'!$S:$Z,8,0),"")</f>
        <v>0</v>
      </c>
      <c r="S1814" s="786"/>
      <c r="T1814" s="787"/>
      <c r="U1814" s="787"/>
      <c r="V1814" s="787"/>
      <c r="W1814" s="785">
        <f>IFERROR(VLOOKUP($Q1814,'391'!$S:$AG,15,0),0)</f>
        <v>0</v>
      </c>
      <c r="X1814" s="1090">
        <f t="shared" si="1106"/>
        <v>0</v>
      </c>
      <c r="Y1814" s="787"/>
      <c r="Z1814" s="791"/>
      <c r="AA1814" s="787"/>
      <c r="AB1814" s="787"/>
      <c r="AC1814" s="550"/>
      <c r="AD1814" s="550"/>
      <c r="AE1814" s="550"/>
      <c r="AF1814" s="550"/>
      <c r="AG1814" s="550"/>
      <c r="AH1814" s="550"/>
      <c r="AI1814" s="559"/>
      <c r="AJ1814" s="559"/>
      <c r="AK1814" s="559"/>
      <c r="AL1814" s="559"/>
      <c r="AM1814" s="559"/>
      <c r="AN1814" s="559"/>
      <c r="AO1814" s="559"/>
      <c r="AP1814" s="559"/>
      <c r="AQ1814" s="559"/>
      <c r="AR1814" s="559"/>
      <c r="AS1814" s="559"/>
    </row>
    <row r="1815" spans="1:45" s="6" customFormat="1" ht="30" hidden="1" customHeight="1" x14ac:dyDescent="0.25">
      <c r="A1815" s="2001">
        <f>IF(L1823=0,"",MAX($A$16:A1814)+1)</f>
        <v>127</v>
      </c>
      <c r="B1815" s="390" t="s">
        <v>1256</v>
      </c>
      <c r="C1815" s="186"/>
      <c r="D1815" s="866" t="s">
        <v>10</v>
      </c>
      <c r="E1815" s="1124">
        <v>44960</v>
      </c>
      <c r="F1815" s="71">
        <f t="shared" ref="F1815:F1822" si="1115">$L$7-E1815</f>
        <v>1326</v>
      </c>
      <c r="G1815" s="12">
        <v>0</v>
      </c>
      <c r="H1815" s="12"/>
      <c r="I1815" s="12"/>
      <c r="J1815" s="1368"/>
      <c r="K1815" s="1422"/>
      <c r="L1815" s="1533">
        <f t="shared" si="1114"/>
        <v>0</v>
      </c>
      <c r="M1815" s="66"/>
      <c r="N1815" s="66"/>
      <c r="O1815" s="66"/>
      <c r="P1815" s="744"/>
      <c r="Q1815" s="795"/>
      <c r="R1815" s="785">
        <f>IFERROR(VLOOKUP($Q1815,'391'!$S:$Z,8,0),"")</f>
        <v>0</v>
      </c>
      <c r="S1815" s="786"/>
      <c r="T1815" s="787" t="str">
        <f t="shared" ref="T1815:T1822" si="1116">$Q$1823&amp;C1815&amp;E1815</f>
        <v>Premix 67SV44960</v>
      </c>
      <c r="U1815" s="787"/>
      <c r="V1815" s="787"/>
      <c r="W1815" s="785">
        <f>IFERROR(VLOOKUP($Q1815,'391'!$S:$AG,15,0),0)</f>
        <v>0</v>
      </c>
      <c r="X1815" s="1090">
        <f t="shared" si="1106"/>
        <v>0</v>
      </c>
      <c r="Y1815" s="787"/>
      <c r="Z1815" s="791"/>
      <c r="AA1815" s="787"/>
      <c r="AB1815" s="787"/>
      <c r="AC1815" s="679"/>
      <c r="AD1815" s="679"/>
      <c r="AE1815" s="679"/>
      <c r="AF1815" s="679"/>
      <c r="AG1815" s="679"/>
      <c r="AH1815" s="679"/>
      <c r="AI1815" s="682"/>
      <c r="AJ1815" s="682"/>
      <c r="AK1815" s="682"/>
      <c r="AL1815" s="682"/>
      <c r="AM1815" s="682"/>
      <c r="AN1815" s="682"/>
      <c r="AO1815" s="682"/>
      <c r="AP1815" s="682"/>
      <c r="AQ1815" s="682"/>
      <c r="AR1815" s="682"/>
      <c r="AS1815" s="682"/>
    </row>
    <row r="1816" spans="1:45" s="6" customFormat="1" ht="30" hidden="1" customHeight="1" x14ac:dyDescent="0.25">
      <c r="A1816" s="2002"/>
      <c r="B1816" s="390" t="s">
        <v>1339</v>
      </c>
      <c r="C1816" s="246"/>
      <c r="D1816" s="866" t="s">
        <v>10</v>
      </c>
      <c r="E1816" s="1124">
        <v>45169</v>
      </c>
      <c r="F1816" s="71">
        <f t="shared" si="1115"/>
        <v>1117</v>
      </c>
      <c r="G1816" s="12">
        <v>0</v>
      </c>
      <c r="H1816" s="12"/>
      <c r="I1816" s="12"/>
      <c r="J1816" s="1368"/>
      <c r="K1816" s="1422"/>
      <c r="L1816" s="1533">
        <f t="shared" si="1114"/>
        <v>0</v>
      </c>
      <c r="M1816" s="101"/>
      <c r="N1816" s="101"/>
      <c r="O1816" s="101"/>
      <c r="P1816" s="738"/>
      <c r="Q1816" s="795"/>
      <c r="R1816" s="785">
        <f>IFERROR(VLOOKUP($Q1816,'391'!$S:$Z,8,0),"")</f>
        <v>0</v>
      </c>
      <c r="S1816" s="786"/>
      <c r="T1816" s="787" t="str">
        <f t="shared" si="1116"/>
        <v>Premix 67SV45169</v>
      </c>
      <c r="U1816" s="787"/>
      <c r="V1816" s="787"/>
      <c r="W1816" s="785">
        <f>IFERROR(VLOOKUP($Q1816,'391'!$S:$AG,15,0),0)</f>
        <v>0</v>
      </c>
      <c r="X1816" s="1090">
        <f t="shared" si="1106"/>
        <v>0</v>
      </c>
      <c r="Y1816" s="787"/>
      <c r="Z1816" s="791"/>
      <c r="AA1816" s="787"/>
      <c r="AB1816" s="787"/>
      <c r="AC1816" s="679"/>
      <c r="AD1816" s="679"/>
      <c r="AE1816" s="679"/>
      <c r="AF1816" s="679"/>
      <c r="AG1816" s="679"/>
      <c r="AH1816" s="679"/>
      <c r="AI1816" s="682"/>
      <c r="AJ1816" s="682"/>
      <c r="AK1816" s="682"/>
      <c r="AL1816" s="682"/>
      <c r="AM1816" s="682"/>
      <c r="AN1816" s="682"/>
      <c r="AO1816" s="682"/>
      <c r="AP1816" s="682"/>
      <c r="AQ1816" s="682"/>
      <c r="AR1816" s="682"/>
      <c r="AS1816" s="682"/>
    </row>
    <row r="1817" spans="1:45" s="6" customFormat="1" ht="30" customHeight="1" x14ac:dyDescent="0.25">
      <c r="A1817" s="2002"/>
      <c r="B1817" s="390" t="s">
        <v>1970</v>
      </c>
      <c r="C1817" s="186" t="s">
        <v>142</v>
      </c>
      <c r="D1817" s="866" t="s">
        <v>10</v>
      </c>
      <c r="E1817" s="1124">
        <v>46270</v>
      </c>
      <c r="F1817" s="71">
        <f t="shared" si="1115"/>
        <v>16</v>
      </c>
      <c r="G1817" s="12">
        <v>1050</v>
      </c>
      <c r="H1817" s="12"/>
      <c r="I1817" s="12"/>
      <c r="J1817" s="1368"/>
      <c r="K1817" s="64">
        <f>IFERROR(SUMIF(INTAKE!$A:$A,$T1817,INTAKE!$P:$P),0)</f>
        <v>0</v>
      </c>
      <c r="L1817" s="1702">
        <f t="shared" si="1114"/>
        <v>1050</v>
      </c>
      <c r="M1817" s="101"/>
      <c r="N1817" s="101"/>
      <c r="O1817" s="101"/>
      <c r="P1817" s="738"/>
      <c r="Q1817" s="795"/>
      <c r="R1817" s="785">
        <f>IFERROR(VLOOKUP($Q1817,'391'!$S:$Z,8,0),"")</f>
        <v>0</v>
      </c>
      <c r="S1817" s="786"/>
      <c r="T1817" s="787" t="str">
        <f t="shared" si="1116"/>
        <v>Premix 67SVY7.346270</v>
      </c>
      <c r="U1817" s="787"/>
      <c r="V1817" s="787"/>
      <c r="W1817" s="785">
        <f>IFERROR(VLOOKUP($Q1817,'391'!$S:$AG,15,0),0)</f>
        <v>0</v>
      </c>
      <c r="X1817" s="1090">
        <f t="shared" si="1106"/>
        <v>1050</v>
      </c>
      <c r="Y1817" s="787"/>
      <c r="Z1817" s="791"/>
      <c r="AA1817" s="787"/>
      <c r="AB1817" s="787"/>
      <c r="AC1817" s="679"/>
      <c r="AD1817" s="679"/>
      <c r="AE1817" s="679"/>
      <c r="AF1817" s="679"/>
      <c r="AG1817" s="679"/>
      <c r="AH1817" s="679"/>
      <c r="AI1817" s="682"/>
      <c r="AJ1817" s="682"/>
      <c r="AK1817" s="682"/>
      <c r="AL1817" s="682"/>
      <c r="AM1817" s="682"/>
      <c r="AN1817" s="682"/>
      <c r="AO1817" s="682"/>
      <c r="AP1817" s="682"/>
      <c r="AQ1817" s="682"/>
      <c r="AR1817" s="682"/>
      <c r="AS1817" s="682"/>
    </row>
    <row r="1818" spans="1:45" s="6" customFormat="1" ht="30" customHeight="1" x14ac:dyDescent="0.25">
      <c r="A1818" s="2002"/>
      <c r="B1818" s="390" t="s">
        <v>1339</v>
      </c>
      <c r="C1818" s="186" t="s">
        <v>147</v>
      </c>
      <c r="D1818" s="866" t="s">
        <v>10</v>
      </c>
      <c r="E1818" s="1124">
        <v>46275</v>
      </c>
      <c r="F1818" s="71">
        <f t="shared" si="1115"/>
        <v>11</v>
      </c>
      <c r="G1818" s="12">
        <v>600</v>
      </c>
      <c r="H1818" s="12"/>
      <c r="I1818" s="12"/>
      <c r="J1818" s="1368"/>
      <c r="K1818" s="64">
        <f>IFERROR(SUMIF(INTAKE!$A:$A,$T1818,INTAKE!$P:$P),0)</f>
        <v>0</v>
      </c>
      <c r="L1818" s="1702">
        <f t="shared" si="1114"/>
        <v>600</v>
      </c>
      <c r="M1818" s="101"/>
      <c r="N1818" s="101"/>
      <c r="O1818" s="101"/>
      <c r="P1818" s="738"/>
      <c r="Q1818" s="795"/>
      <c r="R1818" s="785">
        <f>IFERROR(VLOOKUP($Q1818,'391'!$S:$Z,8,0),"")</f>
        <v>0</v>
      </c>
      <c r="S1818" s="786"/>
      <c r="T1818" s="787" t="str">
        <f t="shared" si="1116"/>
        <v>Premix 67SVY7.246275</v>
      </c>
      <c r="U1818" s="787"/>
      <c r="V1818" s="787"/>
      <c r="W1818" s="785">
        <f>IFERROR(VLOOKUP($Q1818,'391'!$S:$AG,15,0),0)</f>
        <v>0</v>
      </c>
      <c r="X1818" s="1090">
        <f t="shared" si="1106"/>
        <v>600</v>
      </c>
      <c r="Y1818" s="787"/>
      <c r="Z1818" s="791"/>
      <c r="AA1818" s="787"/>
      <c r="AB1818" s="787"/>
      <c r="AC1818" s="679"/>
      <c r="AD1818" s="679"/>
      <c r="AE1818" s="679"/>
      <c r="AF1818" s="679"/>
      <c r="AG1818" s="679"/>
      <c r="AH1818" s="679"/>
      <c r="AI1818" s="682"/>
      <c r="AJ1818" s="682"/>
      <c r="AK1818" s="682"/>
      <c r="AL1818" s="682"/>
      <c r="AM1818" s="682"/>
      <c r="AN1818" s="682"/>
      <c r="AO1818" s="682"/>
      <c r="AP1818" s="682"/>
      <c r="AQ1818" s="682"/>
      <c r="AR1818" s="682"/>
      <c r="AS1818" s="682"/>
    </row>
    <row r="1819" spans="1:45" s="6" customFormat="1" ht="30" customHeight="1" x14ac:dyDescent="0.25">
      <c r="A1819" s="2002"/>
      <c r="B1819" s="390" t="s">
        <v>2244</v>
      </c>
      <c r="C1819" s="186" t="s">
        <v>147</v>
      </c>
      <c r="D1819" s="866" t="s">
        <v>10</v>
      </c>
      <c r="E1819" s="1124">
        <v>46283</v>
      </c>
      <c r="F1819" s="71">
        <f t="shared" ref="F1819" si="1117">$L$7-E1819</f>
        <v>3</v>
      </c>
      <c r="G1819" s="12">
        <v>600</v>
      </c>
      <c r="H1819" s="12"/>
      <c r="I1819" s="12"/>
      <c r="J1819" s="1368"/>
      <c r="K1819" s="64">
        <f>IFERROR(SUMIF(INTAKE!$A:$A,$T1819,INTAKE!$P:$P),0)</f>
        <v>0</v>
      </c>
      <c r="L1819" s="1702">
        <f t="shared" si="1114"/>
        <v>600</v>
      </c>
      <c r="M1819" s="101"/>
      <c r="N1819" s="101"/>
      <c r="O1819" s="101"/>
      <c r="P1819" s="738"/>
      <c r="Q1819" s="795"/>
      <c r="R1819" s="785">
        <f>IFERROR(VLOOKUP($Q1819,'391'!$S:$Z,8,0),"")</f>
        <v>0</v>
      </c>
      <c r="S1819" s="786"/>
      <c r="T1819" s="787" t="str">
        <f t="shared" si="1116"/>
        <v>Premix 67SVY7.246283</v>
      </c>
      <c r="U1819" s="787"/>
      <c r="V1819" s="787"/>
      <c r="W1819" s="785">
        <f>IFERROR(VLOOKUP($Q1819,'391'!$S:$AG,15,0),0)</f>
        <v>0</v>
      </c>
      <c r="X1819" s="1090">
        <f t="shared" si="1106"/>
        <v>600</v>
      </c>
      <c r="Y1819" s="787"/>
      <c r="Z1819" s="791"/>
      <c r="AA1819" s="787"/>
      <c r="AB1819" s="787"/>
      <c r="AC1819" s="679"/>
      <c r="AD1819" s="679"/>
      <c r="AE1819" s="679"/>
      <c r="AF1819" s="679"/>
      <c r="AG1819" s="679"/>
      <c r="AH1819" s="679"/>
      <c r="AI1819" s="682"/>
      <c r="AJ1819" s="682"/>
      <c r="AK1819" s="682"/>
      <c r="AL1819" s="682"/>
      <c r="AM1819" s="682"/>
      <c r="AN1819" s="682"/>
      <c r="AO1819" s="682"/>
      <c r="AP1819" s="682"/>
      <c r="AQ1819" s="682"/>
      <c r="AR1819" s="682"/>
      <c r="AS1819" s="682"/>
    </row>
    <row r="1820" spans="1:45" s="6" customFormat="1" ht="30" hidden="1" customHeight="1" x14ac:dyDescent="0.25">
      <c r="A1820" s="2002"/>
      <c r="B1820" s="390" t="s">
        <v>1822</v>
      </c>
      <c r="C1820" s="186"/>
      <c r="D1820" s="866" t="s">
        <v>10</v>
      </c>
      <c r="E1820" s="1124">
        <v>46150</v>
      </c>
      <c r="F1820" s="71">
        <f t="shared" ref="F1820" si="1118">$L$7-E1820</f>
        <v>136</v>
      </c>
      <c r="G1820" s="12">
        <v>0</v>
      </c>
      <c r="H1820" s="12"/>
      <c r="I1820" s="12"/>
      <c r="J1820" s="1368"/>
      <c r="K1820" s="64">
        <f>IFERROR(SUMIF(INTAKE!$A:$A,$T1820,INTAKE!$P:$P),0)</f>
        <v>0</v>
      </c>
      <c r="L1820" s="1702">
        <f t="shared" si="1114"/>
        <v>0</v>
      </c>
      <c r="M1820" s="23"/>
      <c r="N1820" s="23"/>
      <c r="O1820" s="23"/>
      <c r="P1820" s="736"/>
      <c r="Q1820" s="795"/>
      <c r="R1820" s="785">
        <f>IFERROR(VLOOKUP($Q1820,'391'!$S:$Z,8,0),"")</f>
        <v>0</v>
      </c>
      <c r="S1820" s="786"/>
      <c r="T1820" s="787" t="str">
        <f t="shared" si="1116"/>
        <v>Premix 67SV46150</v>
      </c>
      <c r="U1820" s="787"/>
      <c r="V1820" s="787"/>
      <c r="W1820" s="785">
        <f>IFERROR(VLOOKUP($Q1820,'391'!$S:$AG,15,0),0)</f>
        <v>0</v>
      </c>
      <c r="X1820" s="1090">
        <f t="shared" si="1106"/>
        <v>0</v>
      </c>
      <c r="Y1820" s="787"/>
      <c r="Z1820" s="791"/>
      <c r="AA1820" s="787"/>
      <c r="AB1820" s="787"/>
      <c r="AC1820" s="679"/>
      <c r="AD1820" s="679"/>
      <c r="AE1820" s="679"/>
      <c r="AF1820" s="679"/>
      <c r="AG1820" s="679"/>
      <c r="AH1820" s="679"/>
      <c r="AI1820" s="682"/>
      <c r="AJ1820" s="682"/>
      <c r="AK1820" s="682"/>
      <c r="AL1820" s="682"/>
      <c r="AM1820" s="682"/>
      <c r="AN1820" s="682"/>
      <c r="AO1820" s="682"/>
      <c r="AP1820" s="682"/>
      <c r="AQ1820" s="682"/>
      <c r="AR1820" s="682"/>
      <c r="AS1820" s="682"/>
    </row>
    <row r="1821" spans="1:45" s="6" customFormat="1" ht="30" hidden="1" customHeight="1" x14ac:dyDescent="0.25">
      <c r="A1821" s="2002"/>
      <c r="B1821" s="390" t="s">
        <v>1545</v>
      </c>
      <c r="C1821" s="186"/>
      <c r="D1821" s="866" t="s">
        <v>10</v>
      </c>
      <c r="E1821" s="1124">
        <v>45695</v>
      </c>
      <c r="F1821" s="71">
        <f t="shared" si="1115"/>
        <v>591</v>
      </c>
      <c r="G1821" s="12">
        <v>0</v>
      </c>
      <c r="H1821" s="12"/>
      <c r="I1821" s="12"/>
      <c r="J1821" s="1368"/>
      <c r="K1821" s="64">
        <f>IFERROR(SUMIF(INTAKE!$A:$A,$T1821,INTAKE!$P:$P),0)</f>
        <v>0</v>
      </c>
      <c r="L1821" s="1702">
        <f t="shared" si="1114"/>
        <v>0</v>
      </c>
      <c r="M1821" s="23"/>
      <c r="N1821" s="23"/>
      <c r="O1821" s="23"/>
      <c r="P1821" s="736"/>
      <c r="Q1821" s="795"/>
      <c r="R1821" s="785">
        <f>IFERROR(VLOOKUP($Q1821,'391'!$S:$Z,8,0),"")</f>
        <v>0</v>
      </c>
      <c r="S1821" s="786"/>
      <c r="T1821" s="787" t="str">
        <f t="shared" si="1116"/>
        <v>Premix 67SV45695</v>
      </c>
      <c r="U1821" s="787"/>
      <c r="V1821" s="787"/>
      <c r="W1821" s="785">
        <f>IFERROR(VLOOKUP($Q1821,'391'!$S:$AG,15,0),0)</f>
        <v>0</v>
      </c>
      <c r="X1821" s="1090">
        <f t="shared" si="1106"/>
        <v>0</v>
      </c>
      <c r="Y1821" s="787"/>
      <c r="Z1821" s="791"/>
      <c r="AA1821" s="787"/>
      <c r="AB1821" s="787"/>
      <c r="AC1821" s="679"/>
      <c r="AD1821" s="679"/>
      <c r="AE1821" s="679"/>
      <c r="AF1821" s="679"/>
      <c r="AG1821" s="679"/>
      <c r="AH1821" s="679"/>
      <c r="AI1821" s="682"/>
      <c r="AJ1821" s="682"/>
      <c r="AK1821" s="682"/>
      <c r="AL1821" s="682"/>
      <c r="AM1821" s="682"/>
      <c r="AN1821" s="682"/>
      <c r="AO1821" s="682"/>
      <c r="AP1821" s="682"/>
      <c r="AQ1821" s="682"/>
      <c r="AR1821" s="682"/>
      <c r="AS1821" s="682"/>
    </row>
    <row r="1822" spans="1:45" s="406" customFormat="1" ht="30" customHeight="1" x14ac:dyDescent="0.25">
      <c r="A1822" s="2002"/>
      <c r="B1822" s="1016" t="s">
        <v>1970</v>
      </c>
      <c r="C1822" s="144" t="s">
        <v>46</v>
      </c>
      <c r="D1822" s="884" t="s">
        <v>10</v>
      </c>
      <c r="E1822" s="1125">
        <v>46270</v>
      </c>
      <c r="F1822" s="71">
        <f t="shared" si="1115"/>
        <v>16</v>
      </c>
      <c r="G1822" s="207">
        <v>319.08000000000015</v>
      </c>
      <c r="H1822" s="1308"/>
      <c r="I1822" s="1308">
        <f>+SUM(K1815:K1821)</f>
        <v>0</v>
      </c>
      <c r="J1822" s="1417">
        <f>+usage!I243</f>
        <v>124.58</v>
      </c>
      <c r="K1822" s="64">
        <f>IFERROR(SUMIF(INTAKE!$A:$A,$T1822,INTAKE!$P:$P),0)</f>
        <v>0</v>
      </c>
      <c r="L1822" s="1533">
        <f>+G1822+H1822+I1822-J1822-K1822</f>
        <v>194.50000000000017</v>
      </c>
      <c r="M1822" s="35"/>
      <c r="N1822" s="35"/>
      <c r="O1822" s="35"/>
      <c r="P1822" s="740"/>
      <c r="Q1822" s="795"/>
      <c r="R1822" s="785">
        <f>IFERROR(VLOOKUP($Q1822,'391'!$S:$Z,8,0),"")</f>
        <v>0</v>
      </c>
      <c r="S1822" s="786"/>
      <c r="T1822" s="787" t="str">
        <f t="shared" si="1116"/>
        <v>Premix 67SVFeedmill46270</v>
      </c>
      <c r="U1822" s="787"/>
      <c r="V1822" s="787"/>
      <c r="W1822" s="785">
        <f>IFERROR(VLOOKUP($Q1822,'391'!$S:$AG,15,0),0)</f>
        <v>0</v>
      </c>
      <c r="X1822" s="1090">
        <f t="shared" si="1106"/>
        <v>319.08000000000015</v>
      </c>
      <c r="Y1822" s="787"/>
      <c r="Z1822" s="791"/>
      <c r="AA1822" s="787"/>
      <c r="AB1822" s="787"/>
      <c r="AC1822" s="679"/>
      <c r="AD1822" s="679"/>
      <c r="AE1822" s="679"/>
      <c r="AF1822" s="679"/>
      <c r="AG1822" s="679"/>
      <c r="AH1822" s="679"/>
      <c r="AI1822" s="682"/>
      <c r="AJ1822" s="682"/>
      <c r="AK1822" s="682"/>
      <c r="AL1822" s="682"/>
      <c r="AM1822" s="682"/>
      <c r="AN1822" s="682"/>
      <c r="AO1822" s="682"/>
      <c r="AP1822" s="682"/>
      <c r="AQ1822" s="682"/>
      <c r="AR1822" s="682"/>
      <c r="AS1822" s="682"/>
    </row>
    <row r="1823" spans="1:45" s="420" customFormat="1" ht="30" customHeight="1" x14ac:dyDescent="0.25">
      <c r="A1823" s="2003" t="s">
        <v>29</v>
      </c>
      <c r="B1823" s="2004"/>
      <c r="C1823" s="125"/>
      <c r="D1823" s="1027"/>
      <c r="E1823" s="1131"/>
      <c r="F1823" s="896"/>
      <c r="G1823" s="1422">
        <v>2569.08</v>
      </c>
      <c r="H1823" s="1422">
        <f t="shared" ref="H1823:L1823" si="1119">SUM(H1815:H1822)</f>
        <v>0</v>
      </c>
      <c r="I1823" s="1422">
        <f t="shared" si="1119"/>
        <v>0</v>
      </c>
      <c r="J1823" s="1422">
        <f t="shared" si="1119"/>
        <v>124.58</v>
      </c>
      <c r="K1823" s="1422">
        <f>SUM(K1815:K1822)</f>
        <v>0</v>
      </c>
      <c r="L1823" s="1422">
        <f t="shared" si="1119"/>
        <v>2444.5</v>
      </c>
      <c r="M1823" s="889">
        <f>IFERROR(R1823/$S$2,"")</f>
        <v>90.083333333333329</v>
      </c>
      <c r="N1823" s="366">
        <f>(L1823/M1823)</f>
        <v>27.135985198889919</v>
      </c>
      <c r="O1823" s="889">
        <f>IFERROR(SUMIF(ETM!$A:$A,$Q1823,ETM!$E:$E),"")</f>
        <v>101.5</v>
      </c>
      <c r="P1823" s="880">
        <f>IFERROR(L1823/O1823,0)</f>
        <v>24.08374384236453</v>
      </c>
      <c r="Q1823" s="814" t="s">
        <v>650</v>
      </c>
      <c r="R1823" s="785">
        <f>IFERROR(VLOOKUP($Q1823,'391'!$S:$Z,8,0),"")</f>
        <v>540.5</v>
      </c>
      <c r="S1823" s="786"/>
      <c r="T1823" s="787"/>
      <c r="U1823" s="787"/>
      <c r="V1823" s="787"/>
      <c r="W1823" s="785">
        <f>IFERROR(VLOOKUP($Q1823,'391'!$S:$AG,15,0),0)</f>
        <v>2569.08</v>
      </c>
      <c r="X1823" s="1090">
        <f t="shared" si="1106"/>
        <v>0</v>
      </c>
      <c r="Y1823" s="787"/>
      <c r="Z1823" s="791"/>
      <c r="AA1823" s="787"/>
      <c r="AB1823" s="787"/>
      <c r="AC1823" s="550"/>
      <c r="AD1823" s="550"/>
      <c r="AE1823" s="550"/>
      <c r="AF1823" s="550"/>
      <c r="AG1823" s="550"/>
      <c r="AH1823" s="550"/>
      <c r="AI1823" s="559"/>
      <c r="AJ1823" s="559"/>
      <c r="AK1823" s="559"/>
      <c r="AL1823" s="559"/>
      <c r="AM1823" s="559"/>
      <c r="AN1823" s="559"/>
      <c r="AO1823" s="559"/>
      <c r="AP1823" s="559"/>
      <c r="AQ1823" s="559"/>
      <c r="AR1823" s="559"/>
      <c r="AS1823" s="559"/>
    </row>
    <row r="1824" spans="1:45" s="6" customFormat="1" ht="30" hidden="1" customHeight="1" x14ac:dyDescent="0.25">
      <c r="A1824" s="2010" t="str">
        <f>IF(L1832=0,"",MAX($A$16:A1823)+1)</f>
        <v/>
      </c>
      <c r="B1824" s="2008" t="s">
        <v>166</v>
      </c>
      <c r="C1824" s="246" t="s">
        <v>232</v>
      </c>
      <c r="D1824" s="1111" t="s">
        <v>10</v>
      </c>
      <c r="E1824" s="1124">
        <v>43826</v>
      </c>
      <c r="F1824" s="71">
        <f t="shared" ref="F1824:F1831" si="1120">$L$7-E1824</f>
        <v>2460</v>
      </c>
      <c r="G1824" s="12">
        <v>0</v>
      </c>
      <c r="H1824" s="12"/>
      <c r="I1824" s="12"/>
      <c r="J1824" s="1368"/>
      <c r="K1824" s="12"/>
      <c r="L1824" s="1533">
        <f t="shared" ref="L1824:L1839" si="1121">+G1824+H1824+I1824-J1824-K1824</f>
        <v>0</v>
      </c>
      <c r="M1824" s="147"/>
      <c r="N1824" s="248"/>
      <c r="O1824" s="147"/>
      <c r="P1824" s="857"/>
      <c r="Q1824" s="795"/>
      <c r="R1824" s="785">
        <f>IFERROR(VLOOKUP($Q1824,'391'!$S:$Z,8,0),"")</f>
        <v>0</v>
      </c>
      <c r="S1824" s="786"/>
      <c r="T1824" s="787"/>
      <c r="U1824" s="787"/>
      <c r="V1824" s="787"/>
      <c r="W1824" s="785">
        <f>IFERROR(VLOOKUP($Q1824,'391'!$S:$AG,15,0),0)</f>
        <v>0</v>
      </c>
      <c r="X1824" s="1090">
        <f t="shared" si="1106"/>
        <v>0</v>
      </c>
      <c r="Y1824" s="787"/>
      <c r="Z1824" s="791"/>
      <c r="AA1824" s="787"/>
      <c r="AB1824" s="787"/>
      <c r="AC1824" s="679"/>
      <c r="AD1824" s="679"/>
      <c r="AE1824" s="679"/>
      <c r="AF1824" s="679"/>
      <c r="AG1824" s="679"/>
      <c r="AH1824" s="679"/>
      <c r="AI1824" s="682"/>
      <c r="AJ1824" s="682"/>
      <c r="AK1824" s="682"/>
      <c r="AL1824" s="682"/>
      <c r="AM1824" s="682"/>
      <c r="AN1824" s="682"/>
      <c r="AO1824" s="682"/>
      <c r="AP1824" s="682"/>
      <c r="AQ1824" s="682"/>
      <c r="AR1824" s="682"/>
      <c r="AS1824" s="682"/>
    </row>
    <row r="1825" spans="1:45" s="6" customFormat="1" ht="30" hidden="1" customHeight="1" x14ac:dyDescent="0.25">
      <c r="A1825" s="2002"/>
      <c r="B1825" s="2009"/>
      <c r="C1825" s="246" t="s">
        <v>232</v>
      </c>
      <c r="D1825" s="866" t="s">
        <v>10</v>
      </c>
      <c r="E1825" s="1124">
        <v>43827</v>
      </c>
      <c r="F1825" s="71">
        <f t="shared" si="1120"/>
        <v>2459</v>
      </c>
      <c r="G1825" s="12">
        <v>0</v>
      </c>
      <c r="H1825" s="12"/>
      <c r="I1825" s="12"/>
      <c r="J1825" s="1368"/>
      <c r="K1825" s="12"/>
      <c r="L1825" s="1533">
        <f t="shared" si="1121"/>
        <v>0</v>
      </c>
      <c r="M1825" s="101"/>
      <c r="N1825" s="249"/>
      <c r="O1825" s="101"/>
      <c r="P1825" s="857"/>
      <c r="Q1825" s="795"/>
      <c r="R1825" s="785">
        <f>IFERROR(VLOOKUP($Q1825,'391'!$S:$Z,8,0),"")</f>
        <v>0</v>
      </c>
      <c r="S1825" s="786"/>
      <c r="T1825" s="787"/>
      <c r="U1825" s="787"/>
      <c r="V1825" s="787"/>
      <c r="W1825" s="785">
        <f>IFERROR(VLOOKUP($Q1825,'391'!$S:$AG,15,0),0)</f>
        <v>0</v>
      </c>
      <c r="X1825" s="1090">
        <f t="shared" si="1106"/>
        <v>0</v>
      </c>
      <c r="Y1825" s="787"/>
      <c r="Z1825" s="791"/>
      <c r="AA1825" s="787"/>
      <c r="AB1825" s="787"/>
      <c r="AC1825" s="679"/>
      <c r="AD1825" s="679"/>
      <c r="AE1825" s="679"/>
      <c r="AF1825" s="679"/>
      <c r="AG1825" s="679"/>
      <c r="AH1825" s="679"/>
      <c r="AI1825" s="682"/>
      <c r="AJ1825" s="682"/>
      <c r="AK1825" s="682"/>
      <c r="AL1825" s="682"/>
      <c r="AM1825" s="682"/>
      <c r="AN1825" s="682"/>
      <c r="AO1825" s="682"/>
      <c r="AP1825" s="682"/>
      <c r="AQ1825" s="682"/>
      <c r="AR1825" s="682"/>
      <c r="AS1825" s="682"/>
    </row>
    <row r="1826" spans="1:45" s="6" customFormat="1" ht="30" hidden="1" customHeight="1" x14ac:dyDescent="0.25">
      <c r="A1826" s="2002"/>
      <c r="B1826" s="2009"/>
      <c r="C1826" s="246" t="s">
        <v>232</v>
      </c>
      <c r="D1826" s="866" t="s">
        <v>10</v>
      </c>
      <c r="E1826" s="1124">
        <v>43828</v>
      </c>
      <c r="F1826" s="71">
        <f t="shared" si="1120"/>
        <v>2458</v>
      </c>
      <c r="G1826" s="12">
        <v>0</v>
      </c>
      <c r="H1826" s="12"/>
      <c r="I1826" s="12"/>
      <c r="J1826" s="1368"/>
      <c r="K1826" s="12"/>
      <c r="L1826" s="1533">
        <f t="shared" si="1121"/>
        <v>0</v>
      </c>
      <c r="M1826" s="101"/>
      <c r="N1826" s="249"/>
      <c r="O1826" s="101"/>
      <c r="P1826" s="857"/>
      <c r="Q1826" s="795"/>
      <c r="R1826" s="785">
        <f>IFERROR(VLOOKUP($Q1826,'391'!$S:$Z,8,0),"")</f>
        <v>0</v>
      </c>
      <c r="S1826" s="786"/>
      <c r="T1826" s="787"/>
      <c r="U1826" s="787"/>
      <c r="V1826" s="787"/>
      <c r="W1826" s="785">
        <f>IFERROR(VLOOKUP($Q1826,'391'!$S:$AG,15,0),0)</f>
        <v>0</v>
      </c>
      <c r="X1826" s="1090">
        <f t="shared" si="1106"/>
        <v>0</v>
      </c>
      <c r="Y1826" s="787"/>
      <c r="Z1826" s="791"/>
      <c r="AA1826" s="787"/>
      <c r="AB1826" s="787"/>
      <c r="AC1826" s="679"/>
      <c r="AD1826" s="679"/>
      <c r="AE1826" s="679"/>
      <c r="AF1826" s="679"/>
      <c r="AG1826" s="679"/>
      <c r="AH1826" s="679"/>
      <c r="AI1826" s="682"/>
      <c r="AJ1826" s="682"/>
      <c r="AK1826" s="682"/>
      <c r="AL1826" s="682"/>
      <c r="AM1826" s="682"/>
      <c r="AN1826" s="682"/>
      <c r="AO1826" s="682"/>
      <c r="AP1826" s="682"/>
      <c r="AQ1826" s="682"/>
      <c r="AR1826" s="682"/>
      <c r="AS1826" s="682"/>
    </row>
    <row r="1827" spans="1:45" s="6" customFormat="1" ht="30" hidden="1" customHeight="1" x14ac:dyDescent="0.25">
      <c r="A1827" s="2002"/>
      <c r="B1827" s="2009"/>
      <c r="C1827" s="246" t="s">
        <v>253</v>
      </c>
      <c r="D1827" s="866" t="s">
        <v>10</v>
      </c>
      <c r="E1827" s="1124">
        <v>43829</v>
      </c>
      <c r="F1827" s="71">
        <f t="shared" si="1120"/>
        <v>2457</v>
      </c>
      <c r="G1827" s="12">
        <v>0</v>
      </c>
      <c r="H1827" s="12"/>
      <c r="I1827" s="12"/>
      <c r="J1827" s="1369"/>
      <c r="K1827" s="56"/>
      <c r="L1827" s="1533">
        <f t="shared" si="1121"/>
        <v>0</v>
      </c>
      <c r="M1827" s="101"/>
      <c r="N1827" s="249"/>
      <c r="O1827" s="101"/>
      <c r="P1827" s="857"/>
      <c r="Q1827" s="795"/>
      <c r="R1827" s="785">
        <f>IFERROR(VLOOKUP($Q1827,'391'!$S:$Z,8,0),"")</f>
        <v>0</v>
      </c>
      <c r="S1827" s="786"/>
      <c r="T1827" s="787"/>
      <c r="U1827" s="787"/>
      <c r="V1827" s="787"/>
      <c r="W1827" s="785">
        <f>IFERROR(VLOOKUP($Q1827,'391'!$S:$AG,15,0),0)</f>
        <v>0</v>
      </c>
      <c r="X1827" s="1090">
        <f t="shared" si="1106"/>
        <v>0</v>
      </c>
      <c r="Y1827" s="787"/>
      <c r="Z1827" s="791"/>
      <c r="AA1827" s="787"/>
      <c r="AB1827" s="787"/>
      <c r="AC1827" s="679"/>
      <c r="AD1827" s="679"/>
      <c r="AE1827" s="679"/>
      <c r="AF1827" s="679"/>
      <c r="AG1827" s="679"/>
      <c r="AH1827" s="679"/>
      <c r="AI1827" s="682"/>
      <c r="AJ1827" s="682"/>
      <c r="AK1827" s="682"/>
      <c r="AL1827" s="682"/>
      <c r="AM1827" s="682"/>
      <c r="AN1827" s="682"/>
      <c r="AO1827" s="682"/>
      <c r="AP1827" s="682"/>
      <c r="AQ1827" s="682"/>
      <c r="AR1827" s="682"/>
      <c r="AS1827" s="682"/>
    </row>
    <row r="1828" spans="1:45" s="6" customFormat="1" ht="30" hidden="1" customHeight="1" x14ac:dyDescent="0.25">
      <c r="A1828" s="2002"/>
      <c r="B1828" s="2009"/>
      <c r="C1828" s="246" t="s">
        <v>232</v>
      </c>
      <c r="D1828" s="866" t="s">
        <v>10</v>
      </c>
      <c r="E1828" s="1124">
        <v>43830</v>
      </c>
      <c r="F1828" s="71">
        <f t="shared" si="1120"/>
        <v>2456</v>
      </c>
      <c r="G1828" s="12">
        <v>0</v>
      </c>
      <c r="H1828" s="12"/>
      <c r="I1828" s="12"/>
      <c r="J1828" s="1368"/>
      <c r="K1828" s="12"/>
      <c r="L1828" s="1533">
        <f t="shared" si="1121"/>
        <v>0</v>
      </c>
      <c r="M1828" s="101"/>
      <c r="N1828" s="249"/>
      <c r="O1828" s="101"/>
      <c r="P1828" s="857"/>
      <c r="Q1828" s="795"/>
      <c r="R1828" s="785">
        <f>IFERROR(VLOOKUP($Q1828,'391'!$S:$Z,8,0),"")</f>
        <v>0</v>
      </c>
      <c r="S1828" s="786"/>
      <c r="T1828" s="787"/>
      <c r="U1828" s="787"/>
      <c r="V1828" s="787"/>
      <c r="W1828" s="785">
        <f>IFERROR(VLOOKUP($Q1828,'391'!$S:$AG,15,0),0)</f>
        <v>0</v>
      </c>
      <c r="X1828" s="1090">
        <f t="shared" si="1106"/>
        <v>0</v>
      </c>
      <c r="Y1828" s="787"/>
      <c r="Z1828" s="791"/>
      <c r="AA1828" s="787"/>
      <c r="AB1828" s="787"/>
      <c r="AC1828" s="679"/>
      <c r="AD1828" s="679"/>
      <c r="AE1828" s="679"/>
      <c r="AF1828" s="679"/>
      <c r="AG1828" s="679"/>
      <c r="AH1828" s="679"/>
      <c r="AI1828" s="682"/>
      <c r="AJ1828" s="682"/>
      <c r="AK1828" s="682"/>
      <c r="AL1828" s="682"/>
      <c r="AM1828" s="682"/>
      <c r="AN1828" s="682"/>
      <c r="AO1828" s="682"/>
      <c r="AP1828" s="682"/>
      <c r="AQ1828" s="682"/>
      <c r="AR1828" s="682"/>
      <c r="AS1828" s="682"/>
    </row>
    <row r="1829" spans="1:45" s="6" customFormat="1" ht="30" hidden="1" customHeight="1" x14ac:dyDescent="0.25">
      <c r="A1829" s="2002"/>
      <c r="B1829" s="2009"/>
      <c r="C1829" s="246" t="s">
        <v>232</v>
      </c>
      <c r="D1829" s="866" t="s">
        <v>10</v>
      </c>
      <c r="E1829" s="1124">
        <v>43831</v>
      </c>
      <c r="F1829" s="71">
        <f t="shared" si="1120"/>
        <v>2455</v>
      </c>
      <c r="G1829" s="12">
        <v>0</v>
      </c>
      <c r="H1829" s="12"/>
      <c r="I1829" s="12"/>
      <c r="J1829" s="1368"/>
      <c r="K1829" s="12"/>
      <c r="L1829" s="1533">
        <f t="shared" si="1121"/>
        <v>0</v>
      </c>
      <c r="M1829" s="101"/>
      <c r="N1829" s="249"/>
      <c r="O1829" s="101"/>
      <c r="P1829" s="857"/>
      <c r="Q1829" s="795"/>
      <c r="R1829" s="785">
        <f>IFERROR(VLOOKUP($Q1829,'391'!$S:$Z,8,0),"")</f>
        <v>0</v>
      </c>
      <c r="S1829" s="786"/>
      <c r="T1829" s="787"/>
      <c r="U1829" s="787"/>
      <c r="V1829" s="787"/>
      <c r="W1829" s="785">
        <f>IFERROR(VLOOKUP($Q1829,'391'!$S:$AG,15,0),0)</f>
        <v>0</v>
      </c>
      <c r="X1829" s="1090">
        <f t="shared" si="1106"/>
        <v>0</v>
      </c>
      <c r="Y1829" s="787"/>
      <c r="Z1829" s="791"/>
      <c r="AA1829" s="787"/>
      <c r="AB1829" s="787"/>
      <c r="AC1829" s="679"/>
      <c r="AD1829" s="679"/>
      <c r="AE1829" s="679"/>
      <c r="AF1829" s="679"/>
      <c r="AG1829" s="679"/>
      <c r="AH1829" s="679"/>
      <c r="AI1829" s="682"/>
      <c r="AJ1829" s="682"/>
      <c r="AK1829" s="682"/>
      <c r="AL1829" s="682"/>
      <c r="AM1829" s="682"/>
      <c r="AN1829" s="682"/>
      <c r="AO1829" s="682"/>
      <c r="AP1829" s="682"/>
      <c r="AQ1829" s="682"/>
      <c r="AR1829" s="682"/>
      <c r="AS1829" s="682"/>
    </row>
    <row r="1830" spans="1:45" s="6" customFormat="1" ht="30" hidden="1" customHeight="1" x14ac:dyDescent="0.25">
      <c r="A1830" s="2002"/>
      <c r="B1830" s="2009"/>
      <c r="C1830" s="123" t="s">
        <v>46</v>
      </c>
      <c r="D1830" s="866" t="s">
        <v>10</v>
      </c>
      <c r="E1830" s="1124">
        <v>43832</v>
      </c>
      <c r="F1830" s="71">
        <f t="shared" si="1120"/>
        <v>2454</v>
      </c>
      <c r="G1830" s="56">
        <v>0</v>
      </c>
      <c r="H1830" s="56"/>
      <c r="I1830" s="56"/>
      <c r="J1830" s="1369"/>
      <c r="K1830" s="56"/>
      <c r="L1830" s="1533">
        <f t="shared" si="1121"/>
        <v>0</v>
      </c>
      <c r="M1830" s="101"/>
      <c r="N1830" s="249"/>
      <c r="O1830" s="101"/>
      <c r="P1830" s="857"/>
      <c r="Q1830" s="795"/>
      <c r="R1830" s="785">
        <f>IFERROR(VLOOKUP($Q1830,'391'!$S:$Z,8,0),"")</f>
        <v>0</v>
      </c>
      <c r="S1830" s="786"/>
      <c r="T1830" s="787"/>
      <c r="U1830" s="787"/>
      <c r="V1830" s="787"/>
      <c r="W1830" s="785">
        <f>IFERROR(VLOOKUP($Q1830,'391'!$S:$AG,15,0),0)</f>
        <v>0</v>
      </c>
      <c r="X1830" s="1090">
        <f t="shared" si="1106"/>
        <v>0</v>
      </c>
      <c r="Y1830" s="787"/>
      <c r="Z1830" s="791"/>
      <c r="AA1830" s="787"/>
      <c r="AB1830" s="787"/>
      <c r="AC1830" s="679"/>
      <c r="AD1830" s="679"/>
      <c r="AE1830" s="679"/>
      <c r="AF1830" s="679"/>
      <c r="AG1830" s="679"/>
      <c r="AH1830" s="679"/>
      <c r="AI1830" s="682"/>
      <c r="AJ1830" s="682"/>
      <c r="AK1830" s="682"/>
      <c r="AL1830" s="682"/>
      <c r="AM1830" s="682"/>
      <c r="AN1830" s="682"/>
      <c r="AO1830" s="682"/>
      <c r="AP1830" s="682"/>
      <c r="AQ1830" s="682"/>
      <c r="AR1830" s="682"/>
      <c r="AS1830" s="682"/>
    </row>
    <row r="1831" spans="1:45" s="406" customFormat="1" ht="30" hidden="1" customHeight="1" x14ac:dyDescent="0.25">
      <c r="A1831" s="2002"/>
      <c r="B1831" s="2009"/>
      <c r="C1831" s="123" t="s">
        <v>46</v>
      </c>
      <c r="D1831" s="1112" t="s">
        <v>10</v>
      </c>
      <c r="E1831" s="1124">
        <v>43833</v>
      </c>
      <c r="F1831" s="71">
        <f t="shared" si="1120"/>
        <v>2453</v>
      </c>
      <c r="G1831" s="37">
        <v>0</v>
      </c>
      <c r="H1831" s="37"/>
      <c r="I1831" s="37"/>
      <c r="J1831" s="1385"/>
      <c r="K1831" s="37"/>
      <c r="L1831" s="1533">
        <f t="shared" si="1121"/>
        <v>0</v>
      </c>
      <c r="M1831" s="40"/>
      <c r="N1831" s="84"/>
      <c r="O1831" s="40"/>
      <c r="P1831" s="857"/>
      <c r="Q1831" s="795"/>
      <c r="R1831" s="785">
        <f>IFERROR(VLOOKUP($Q1831,'391'!$S:$Z,8,0),"")</f>
        <v>0</v>
      </c>
      <c r="S1831" s="786"/>
      <c r="T1831" s="787"/>
      <c r="U1831" s="787"/>
      <c r="V1831" s="787"/>
      <c r="W1831" s="785">
        <f>IFERROR(VLOOKUP($Q1831,'391'!$S:$AG,15,0),0)</f>
        <v>0</v>
      </c>
      <c r="X1831" s="1090">
        <f t="shared" si="1106"/>
        <v>0</v>
      </c>
      <c r="Y1831" s="787"/>
      <c r="Z1831" s="791"/>
      <c r="AA1831" s="787"/>
      <c r="AB1831" s="787"/>
      <c r="AC1831" s="679"/>
      <c r="AD1831" s="679"/>
      <c r="AE1831" s="679"/>
      <c r="AF1831" s="679"/>
      <c r="AG1831" s="679"/>
      <c r="AH1831" s="679"/>
      <c r="AI1831" s="682"/>
      <c r="AJ1831" s="682"/>
      <c r="AK1831" s="682"/>
      <c r="AL1831" s="682"/>
      <c r="AM1831" s="682"/>
      <c r="AN1831" s="682"/>
      <c r="AO1831" s="682"/>
      <c r="AP1831" s="682"/>
      <c r="AQ1831" s="682"/>
      <c r="AR1831" s="682"/>
      <c r="AS1831" s="682"/>
    </row>
    <row r="1832" spans="1:45" s="420" customFormat="1" ht="30" hidden="1" customHeight="1" x14ac:dyDescent="0.25">
      <c r="A1832" s="2003" t="s">
        <v>167</v>
      </c>
      <c r="B1832" s="2004"/>
      <c r="C1832" s="125"/>
      <c r="D1832" s="1027"/>
      <c r="E1832" s="1131"/>
      <c r="F1832" s="896"/>
      <c r="G1832" s="1422">
        <v>0</v>
      </c>
      <c r="H1832" s="1422">
        <f>SUM(H1824:H1831)</f>
        <v>0</v>
      </c>
      <c r="I1832" s="1422">
        <f>SUM(I1824:I1831)</f>
        <v>0</v>
      </c>
      <c r="J1832" s="1422">
        <f>SUM(J1824:J1831)</f>
        <v>0</v>
      </c>
      <c r="K1832" s="1422"/>
      <c r="L1832" s="1533">
        <f t="shared" si="1121"/>
        <v>0</v>
      </c>
      <c r="M1832" s="889"/>
      <c r="N1832" s="366" t="e">
        <f>(L1832/M1832)/1000</f>
        <v>#DIV/0!</v>
      </c>
      <c r="O1832" s="889"/>
      <c r="P1832" s="857" t="e">
        <f>(L1832/O1832)/1000</f>
        <v>#DIV/0!</v>
      </c>
      <c r="Q1832" s="795"/>
      <c r="R1832" s="785">
        <f>IFERROR(VLOOKUP($Q1832,'391'!$S:$Z,8,0),"")</f>
        <v>0</v>
      </c>
      <c r="S1832" s="786"/>
      <c r="T1832" s="787"/>
      <c r="U1832" s="787"/>
      <c r="V1832" s="787"/>
      <c r="W1832" s="785">
        <f>IFERROR(VLOOKUP($Q1832,'391'!$S:$AG,15,0),0)</f>
        <v>0</v>
      </c>
      <c r="X1832" s="1090">
        <f t="shared" si="1106"/>
        <v>0</v>
      </c>
      <c r="Y1832" s="787"/>
      <c r="Z1832" s="791"/>
      <c r="AA1832" s="787"/>
      <c r="AB1832" s="787"/>
      <c r="AC1832" s="550"/>
      <c r="AD1832" s="550"/>
      <c r="AE1832" s="550"/>
      <c r="AF1832" s="550"/>
      <c r="AG1832" s="550"/>
      <c r="AH1832" s="550"/>
      <c r="AI1832" s="559"/>
      <c r="AJ1832" s="559"/>
      <c r="AK1832" s="559"/>
      <c r="AL1832" s="559"/>
      <c r="AM1832" s="559"/>
      <c r="AN1832" s="559"/>
      <c r="AO1832" s="559"/>
      <c r="AP1832" s="559"/>
      <c r="AQ1832" s="559"/>
      <c r="AR1832" s="559"/>
      <c r="AS1832" s="559"/>
    </row>
    <row r="1833" spans="1:45" s="6" customFormat="1" ht="30" customHeight="1" x14ac:dyDescent="0.25">
      <c r="A1833" s="2001">
        <f>IF(L1840=0,"",MAX($A$16:A1832)+1)</f>
        <v>128</v>
      </c>
      <c r="B1833" s="507" t="s">
        <v>2195</v>
      </c>
      <c r="C1833" s="1759" t="s">
        <v>1832</v>
      </c>
      <c r="D1833" s="866" t="s">
        <v>10</v>
      </c>
      <c r="E1833" s="1124">
        <v>46275</v>
      </c>
      <c r="F1833" s="71">
        <f t="shared" ref="F1833" si="1122">$L$7-E1833</f>
        <v>11</v>
      </c>
      <c r="G1833" s="12">
        <v>240</v>
      </c>
      <c r="H1833" s="12"/>
      <c r="I1833" s="12"/>
      <c r="J1833" s="1388"/>
      <c r="K1833" s="64">
        <f>IFERROR(SUMIF(INTAKE!$A:$A,$T1833,INTAKE!$P:$P),0)</f>
        <v>0</v>
      </c>
      <c r="L1833" s="1702">
        <f t="shared" si="1121"/>
        <v>240</v>
      </c>
      <c r="M1833" s="147"/>
      <c r="N1833" s="248"/>
      <c r="O1833" s="147"/>
      <c r="P1833" s="748"/>
      <c r="Q1833" s="795"/>
      <c r="R1833" s="785">
        <f>IFERROR(VLOOKUP($Q1833,'391'!$S:$Z,8,0),"")</f>
        <v>0</v>
      </c>
      <c r="S1833" s="786"/>
      <c r="T1833" s="787" t="str">
        <f t="shared" ref="T1833:T1839" si="1123">$Q$1840&amp;C1833&amp;E1833</f>
        <v>Premix 572SX8.246275</v>
      </c>
      <c r="U1833" s="787"/>
      <c r="V1833" s="787"/>
      <c r="W1833" s="785">
        <f>IFERROR(VLOOKUP($Q1833,'391'!$S:$AG,15,0),0)</f>
        <v>0</v>
      </c>
      <c r="X1833" s="1090">
        <f t="shared" si="1106"/>
        <v>240</v>
      </c>
      <c r="Y1833" s="787"/>
      <c r="Z1833" s="791"/>
      <c r="AA1833" s="787"/>
      <c r="AB1833" s="787"/>
      <c r="AC1833" s="679"/>
      <c r="AD1833" s="679"/>
      <c r="AE1833" s="679"/>
      <c r="AF1833" s="679"/>
      <c r="AG1833" s="679"/>
      <c r="AH1833" s="679"/>
      <c r="AI1833" s="682"/>
      <c r="AJ1833" s="682"/>
      <c r="AK1833" s="682"/>
      <c r="AL1833" s="682"/>
      <c r="AM1833" s="682"/>
      <c r="AN1833" s="682"/>
      <c r="AO1833" s="682"/>
      <c r="AP1833" s="682"/>
      <c r="AQ1833" s="682"/>
      <c r="AR1833" s="682"/>
      <c r="AS1833" s="682"/>
    </row>
    <row r="1834" spans="1:45" s="6" customFormat="1" ht="30" customHeight="1" x14ac:dyDescent="0.25">
      <c r="A1834" s="2002"/>
      <c r="B1834" s="507" t="s">
        <v>2245</v>
      </c>
      <c r="C1834" s="1759" t="s">
        <v>1832</v>
      </c>
      <c r="D1834" s="866" t="s">
        <v>10</v>
      </c>
      <c r="E1834" s="1124">
        <v>46283</v>
      </c>
      <c r="F1834" s="71">
        <f t="shared" ref="F1834" si="1124">$L$7-E1834</f>
        <v>3</v>
      </c>
      <c r="G1834" s="12">
        <v>60</v>
      </c>
      <c r="H1834" s="12"/>
      <c r="I1834" s="12"/>
      <c r="J1834" s="1388"/>
      <c r="K1834" s="64">
        <f>IFERROR(SUMIF(INTAKE!$A:$A,$T1834,INTAKE!$P:$P),0)</f>
        <v>0</v>
      </c>
      <c r="L1834" s="1702">
        <f t="shared" si="1121"/>
        <v>60</v>
      </c>
      <c r="M1834" s="101"/>
      <c r="N1834" s="249"/>
      <c r="O1834" s="101"/>
      <c r="P1834" s="750"/>
      <c r="Q1834" s="795"/>
      <c r="R1834" s="785">
        <f>IFERROR(VLOOKUP($Q1834,'391'!$S:$Z,8,0),"")</f>
        <v>0</v>
      </c>
      <c r="S1834" s="786"/>
      <c r="T1834" s="787" t="str">
        <f t="shared" si="1123"/>
        <v>Premix 572SX8.246283</v>
      </c>
      <c r="U1834" s="787"/>
      <c r="V1834" s="787"/>
      <c r="W1834" s="785">
        <f>IFERROR(VLOOKUP($Q1834,'391'!$S:$AG,15,0),0)</f>
        <v>0</v>
      </c>
      <c r="X1834" s="1090">
        <f t="shared" si="1106"/>
        <v>60</v>
      </c>
      <c r="Y1834" s="787"/>
      <c r="Z1834" s="791"/>
      <c r="AA1834" s="787"/>
      <c r="AB1834" s="787"/>
      <c r="AC1834" s="679"/>
      <c r="AD1834" s="679"/>
      <c r="AE1834" s="679"/>
      <c r="AF1834" s="679"/>
      <c r="AG1834" s="679"/>
      <c r="AH1834" s="679"/>
      <c r="AI1834" s="682"/>
      <c r="AJ1834" s="682"/>
      <c r="AK1834" s="682"/>
      <c r="AL1834" s="682"/>
      <c r="AM1834" s="682"/>
      <c r="AN1834" s="682"/>
      <c r="AO1834" s="682"/>
      <c r="AP1834" s="682"/>
      <c r="AQ1834" s="682"/>
      <c r="AR1834" s="682"/>
      <c r="AS1834" s="682"/>
    </row>
    <row r="1835" spans="1:45" s="6" customFormat="1" ht="30" hidden="1" customHeight="1" x14ac:dyDescent="0.25">
      <c r="A1835" s="2002"/>
      <c r="B1835" s="507" t="s">
        <v>984</v>
      </c>
      <c r="C1835" s="1759"/>
      <c r="D1835" s="866" t="s">
        <v>10</v>
      </c>
      <c r="E1835" s="1124">
        <v>46262</v>
      </c>
      <c r="F1835" s="71">
        <f t="shared" ref="F1835" si="1125">$L$7-E1835</f>
        <v>24</v>
      </c>
      <c r="G1835" s="12">
        <v>0</v>
      </c>
      <c r="H1835" s="12"/>
      <c r="I1835" s="12"/>
      <c r="J1835" s="1388"/>
      <c r="K1835" s="64">
        <f>IFERROR(SUMIF(INTAKE!$A:$A,$T1835,INTAKE!$P:$P),0)</f>
        <v>0</v>
      </c>
      <c r="L1835" s="1702">
        <f t="shared" si="1121"/>
        <v>0</v>
      </c>
      <c r="M1835" s="101"/>
      <c r="N1835" s="249"/>
      <c r="O1835" s="101"/>
      <c r="P1835" s="750"/>
      <c r="Q1835" s="795"/>
      <c r="R1835" s="785">
        <f>IFERROR(VLOOKUP($Q1835,'391'!$S:$Z,8,0),"")</f>
        <v>0</v>
      </c>
      <c r="S1835" s="786"/>
      <c r="T1835" s="787" t="str">
        <f t="shared" si="1123"/>
        <v>Premix 572S46262</v>
      </c>
      <c r="U1835" s="787"/>
      <c r="V1835" s="787"/>
      <c r="W1835" s="785">
        <f>IFERROR(VLOOKUP($Q1835,'391'!$S:$AG,15,0),0)</f>
        <v>0</v>
      </c>
      <c r="X1835" s="1090">
        <f t="shared" si="1106"/>
        <v>0</v>
      </c>
      <c r="Y1835" s="787"/>
      <c r="Z1835" s="791"/>
      <c r="AA1835" s="787"/>
      <c r="AB1835" s="787"/>
      <c r="AC1835" s="679"/>
      <c r="AD1835" s="679"/>
      <c r="AE1835" s="679"/>
      <c r="AF1835" s="679"/>
      <c r="AG1835" s="679"/>
      <c r="AH1835" s="679"/>
      <c r="AI1835" s="682"/>
      <c r="AJ1835" s="682"/>
      <c r="AK1835" s="682"/>
      <c r="AL1835" s="682"/>
      <c r="AM1835" s="682"/>
      <c r="AN1835" s="682"/>
      <c r="AO1835" s="682"/>
      <c r="AP1835" s="682"/>
      <c r="AQ1835" s="682"/>
      <c r="AR1835" s="682"/>
      <c r="AS1835" s="682"/>
    </row>
    <row r="1836" spans="1:45" s="6" customFormat="1" ht="30" hidden="1" customHeight="1" x14ac:dyDescent="0.25">
      <c r="A1836" s="2002"/>
      <c r="B1836" s="507" t="s">
        <v>1783</v>
      </c>
      <c r="C1836" s="1759"/>
      <c r="D1836" s="866" t="s">
        <v>10</v>
      </c>
      <c r="E1836" s="1124">
        <v>46101</v>
      </c>
      <c r="F1836" s="71">
        <f t="shared" ref="F1836:F1839" si="1126">$L$7-E1836</f>
        <v>185</v>
      </c>
      <c r="G1836" s="12">
        <v>0</v>
      </c>
      <c r="H1836" s="12"/>
      <c r="I1836" s="12"/>
      <c r="J1836" s="1388"/>
      <c r="K1836" s="64">
        <f>IFERROR(SUMIF(INTAKE!$A:$A,$T1836,INTAKE!$P:$P),0)</f>
        <v>0</v>
      </c>
      <c r="L1836" s="1702">
        <f t="shared" si="1121"/>
        <v>0</v>
      </c>
      <c r="M1836" s="23"/>
      <c r="N1836" s="249"/>
      <c r="O1836" s="1451"/>
      <c r="P1836" s="1480"/>
      <c r="Q1836" s="795"/>
      <c r="R1836" s="785">
        <f>IFERROR(VLOOKUP($Q1836,'391'!$S:$Z,8,0),"")</f>
        <v>0</v>
      </c>
      <c r="S1836" s="786"/>
      <c r="T1836" s="787" t="str">
        <f t="shared" si="1123"/>
        <v>Premix 572S46101</v>
      </c>
      <c r="U1836" s="787"/>
      <c r="V1836" s="787"/>
      <c r="W1836" s="785">
        <f>IFERROR(VLOOKUP($Q1836,'391'!$S:$AG,15,0),0)</f>
        <v>0</v>
      </c>
      <c r="X1836" s="1090">
        <f t="shared" si="1106"/>
        <v>0</v>
      </c>
      <c r="Y1836" s="787"/>
      <c r="Z1836" s="791"/>
      <c r="AA1836" s="787"/>
      <c r="AB1836" s="787"/>
      <c r="AC1836" s="679"/>
      <c r="AD1836" s="679"/>
      <c r="AE1836" s="679"/>
      <c r="AF1836" s="679"/>
      <c r="AG1836" s="679"/>
      <c r="AH1836" s="679"/>
      <c r="AI1836" s="682"/>
      <c r="AJ1836" s="682"/>
      <c r="AK1836" s="682"/>
      <c r="AL1836" s="682"/>
      <c r="AM1836" s="682"/>
      <c r="AN1836" s="682"/>
      <c r="AO1836" s="682"/>
      <c r="AP1836" s="682"/>
      <c r="AQ1836" s="682"/>
      <c r="AR1836" s="682"/>
      <c r="AS1836" s="682"/>
    </row>
    <row r="1837" spans="1:45" s="6" customFormat="1" ht="30" hidden="1" customHeight="1" x14ac:dyDescent="0.25">
      <c r="A1837" s="2002"/>
      <c r="B1837" s="507" t="s">
        <v>984</v>
      </c>
      <c r="C1837" s="246"/>
      <c r="D1837" s="866" t="s">
        <v>10</v>
      </c>
      <c r="E1837" s="1124">
        <v>44440</v>
      </c>
      <c r="F1837" s="71">
        <f t="shared" si="1126"/>
        <v>1846</v>
      </c>
      <c r="G1837" s="12">
        <v>0</v>
      </c>
      <c r="H1837" s="12"/>
      <c r="I1837" s="12"/>
      <c r="J1837" s="1368"/>
      <c r="K1837" s="64">
        <f>IFERROR(SUMIF(INTAKE!$A:$A,$T1837,INTAKE!$P:$P),0)</f>
        <v>0</v>
      </c>
      <c r="L1837" s="1533">
        <f t="shared" si="1121"/>
        <v>0</v>
      </c>
      <c r="M1837" s="23"/>
      <c r="N1837" s="1460"/>
      <c r="O1837" s="1453"/>
      <c r="P1837" s="1480"/>
      <c r="Q1837" s="795"/>
      <c r="R1837" s="785">
        <f>IFERROR(VLOOKUP($Q1837,'391'!$S:$Z,8,0),"")</f>
        <v>0</v>
      </c>
      <c r="S1837" s="786"/>
      <c r="T1837" s="787" t="str">
        <f t="shared" si="1123"/>
        <v>Premix 572S44440</v>
      </c>
      <c r="U1837" s="787"/>
      <c r="V1837" s="787"/>
      <c r="W1837" s="785">
        <f>IFERROR(VLOOKUP($Q1837,'391'!$S:$AG,15,0),0)</f>
        <v>0</v>
      </c>
      <c r="X1837" s="1090">
        <f t="shared" si="1106"/>
        <v>0</v>
      </c>
      <c r="Y1837" s="787"/>
      <c r="Z1837" s="791"/>
      <c r="AA1837" s="787"/>
      <c r="AB1837" s="787"/>
      <c r="AC1837" s="679"/>
      <c r="AD1837" s="679"/>
      <c r="AE1837" s="679"/>
      <c r="AF1837" s="679"/>
      <c r="AG1837" s="679"/>
      <c r="AH1837" s="679"/>
      <c r="AI1837" s="682"/>
      <c r="AJ1837" s="682"/>
      <c r="AK1837" s="682"/>
      <c r="AL1837" s="682"/>
      <c r="AM1837" s="682"/>
      <c r="AN1837" s="682"/>
      <c r="AO1837" s="682"/>
      <c r="AP1837" s="682"/>
      <c r="AQ1837" s="682"/>
      <c r="AR1837" s="682"/>
      <c r="AS1837" s="682"/>
    </row>
    <row r="1838" spans="1:45" s="6" customFormat="1" ht="30" hidden="1" customHeight="1" x14ac:dyDescent="0.25">
      <c r="A1838" s="2002"/>
      <c r="B1838" s="507" t="s">
        <v>623</v>
      </c>
      <c r="C1838" s="246"/>
      <c r="D1838" s="866" t="s">
        <v>10</v>
      </c>
      <c r="E1838" s="1124">
        <v>44232</v>
      </c>
      <c r="F1838" s="71">
        <f t="shared" si="1126"/>
        <v>2054</v>
      </c>
      <c r="G1838" s="12">
        <v>0</v>
      </c>
      <c r="H1838" s="12"/>
      <c r="I1838" s="12"/>
      <c r="J1838" s="1368"/>
      <c r="K1838" s="64">
        <f>IFERROR(SUMIF(INTAKE!$A:$A,$T1838,INTAKE!$P:$P),0)</f>
        <v>0</v>
      </c>
      <c r="L1838" s="1533">
        <f t="shared" si="1121"/>
        <v>0</v>
      </c>
      <c r="M1838" s="23"/>
      <c r="N1838" s="1466"/>
      <c r="O1838" s="1456"/>
      <c r="P1838" s="1478"/>
      <c r="Q1838" s="795"/>
      <c r="R1838" s="785">
        <f>IFERROR(VLOOKUP($Q1838,'391'!$S:$Z,8,0),"")</f>
        <v>0</v>
      </c>
      <c r="S1838" s="786"/>
      <c r="T1838" s="787" t="str">
        <f t="shared" si="1123"/>
        <v>Premix 572S44232</v>
      </c>
      <c r="U1838" s="787"/>
      <c r="V1838" s="787"/>
      <c r="W1838" s="785">
        <f>IFERROR(VLOOKUP($Q1838,'391'!$S:$AG,15,0),0)</f>
        <v>0</v>
      </c>
      <c r="X1838" s="1090">
        <f t="shared" si="1106"/>
        <v>0</v>
      </c>
      <c r="Y1838" s="787"/>
      <c r="Z1838" s="791"/>
      <c r="AA1838" s="787"/>
      <c r="AB1838" s="787"/>
      <c r="AC1838" s="679"/>
      <c r="AD1838" s="679"/>
      <c r="AE1838" s="679"/>
      <c r="AF1838" s="679"/>
      <c r="AG1838" s="679"/>
      <c r="AH1838" s="679"/>
      <c r="AI1838" s="682"/>
      <c r="AJ1838" s="682"/>
      <c r="AK1838" s="682"/>
      <c r="AL1838" s="682"/>
      <c r="AM1838" s="682"/>
      <c r="AN1838" s="682"/>
      <c r="AO1838" s="682"/>
      <c r="AP1838" s="682"/>
      <c r="AQ1838" s="682"/>
      <c r="AR1838" s="682"/>
      <c r="AS1838" s="682"/>
    </row>
    <row r="1839" spans="1:45" s="406" customFormat="1" ht="30" customHeight="1" x14ac:dyDescent="0.25">
      <c r="A1839" s="2011"/>
      <c r="B1839" s="1022" t="s">
        <v>984</v>
      </c>
      <c r="C1839" s="148" t="s">
        <v>46</v>
      </c>
      <c r="D1839" s="884" t="s">
        <v>10</v>
      </c>
      <c r="E1839" s="1123">
        <v>46262</v>
      </c>
      <c r="F1839" s="71">
        <f t="shared" si="1126"/>
        <v>24</v>
      </c>
      <c r="G1839" s="56">
        <v>82.539999999999992</v>
      </c>
      <c r="H1839" s="56"/>
      <c r="I1839" s="56">
        <f>+SUM(K1833:K1838)</f>
        <v>0</v>
      </c>
      <c r="J1839" s="1369">
        <f>+usage!I246</f>
        <v>25.04</v>
      </c>
      <c r="K1839" s="64">
        <f>IFERROR(SUMIF(INTAKE!$A:$A,$T1839,INTAKE!$P:$P),0)</f>
        <v>0</v>
      </c>
      <c r="L1839" s="1533">
        <f t="shared" si="1121"/>
        <v>57.499999999999993</v>
      </c>
      <c r="M1839" s="40"/>
      <c r="N1839" s="87"/>
      <c r="O1839" s="35"/>
      <c r="P1839" s="751"/>
      <c r="Q1839" s="795"/>
      <c r="R1839" s="785">
        <f>IFERROR(VLOOKUP($Q1839,'391'!$S:$Z,8,0),"")</f>
        <v>0</v>
      </c>
      <c r="S1839" s="786"/>
      <c r="T1839" s="787" t="str">
        <f t="shared" si="1123"/>
        <v>Premix 572SFeedmill46262</v>
      </c>
      <c r="U1839" s="787"/>
      <c r="V1839" s="787"/>
      <c r="W1839" s="785">
        <f>IFERROR(VLOOKUP($Q1839,'391'!$S:$AG,15,0),0)</f>
        <v>0</v>
      </c>
      <c r="X1839" s="1090">
        <f t="shared" si="1106"/>
        <v>82.539999999999992</v>
      </c>
      <c r="Y1839" s="787"/>
      <c r="Z1839" s="791"/>
      <c r="AA1839" s="787"/>
      <c r="AB1839" s="787"/>
      <c r="AC1839" s="679"/>
      <c r="AD1839" s="679"/>
      <c r="AE1839" s="679"/>
      <c r="AF1839" s="679"/>
      <c r="AG1839" s="679"/>
      <c r="AH1839" s="679"/>
      <c r="AI1839" s="682"/>
      <c r="AJ1839" s="682"/>
      <c r="AK1839" s="682"/>
      <c r="AL1839" s="682"/>
      <c r="AM1839" s="682"/>
      <c r="AN1839" s="682"/>
      <c r="AO1839" s="682"/>
      <c r="AP1839" s="682"/>
      <c r="AQ1839" s="682"/>
      <c r="AR1839" s="682"/>
      <c r="AS1839" s="682"/>
    </row>
    <row r="1840" spans="1:45" s="420" customFormat="1" ht="30" customHeight="1" x14ac:dyDescent="0.25">
      <c r="A1840" s="2003" t="s">
        <v>48</v>
      </c>
      <c r="B1840" s="2004"/>
      <c r="C1840" s="1038"/>
      <c r="D1840" s="1034"/>
      <c r="E1840" s="1127"/>
      <c r="F1840" s="1034"/>
      <c r="G1840" s="1422">
        <v>382.53999999999996</v>
      </c>
      <c r="H1840" s="1422">
        <f t="shared" ref="H1840:L1840" si="1127">+SUM(H1833:H1839)</f>
        <v>0</v>
      </c>
      <c r="I1840" s="1422">
        <f t="shared" si="1127"/>
        <v>0</v>
      </c>
      <c r="J1840" s="1422">
        <f t="shared" si="1127"/>
        <v>25.04</v>
      </c>
      <c r="K1840" s="1422">
        <f t="shared" si="1127"/>
        <v>0</v>
      </c>
      <c r="L1840" s="1422">
        <f t="shared" si="1127"/>
        <v>357.5</v>
      </c>
      <c r="M1840" s="889">
        <f>IFERROR(R1840/$S$2,"")</f>
        <v>13.914999999999999</v>
      </c>
      <c r="N1840" s="854">
        <f>IFERROR(L1840/M1840,0)</f>
        <v>25.691699604743086</v>
      </c>
      <c r="O1840" s="889">
        <f>IFERROR(SUMIF(ETM!$A:$A,$Q1840,ETM!$E:$E),"")</f>
        <v>18.666666666666668</v>
      </c>
      <c r="P1840" s="880">
        <f>IFERROR(L1840/O1840,0)</f>
        <v>19.151785714285712</v>
      </c>
      <c r="Q1840" s="814" t="s">
        <v>636</v>
      </c>
      <c r="R1840" s="785">
        <f>IFERROR(VLOOKUP($Q1840,'391'!$S:$Z,8,0),"")</f>
        <v>83.49</v>
      </c>
      <c r="S1840" s="786"/>
      <c r="T1840" s="787"/>
      <c r="U1840" s="787"/>
      <c r="V1840" s="787"/>
      <c r="W1840" s="821">
        <f>IFERROR(VLOOKUP($Q1840,'391'!$S:$AG,15,0),0)</f>
        <v>382.54</v>
      </c>
      <c r="X1840" s="1090">
        <f t="shared" si="1106"/>
        <v>0</v>
      </c>
      <c r="Y1840" s="787"/>
      <c r="Z1840" s="791"/>
      <c r="AA1840" s="787"/>
      <c r="AB1840" s="787"/>
      <c r="AC1840" s="550"/>
      <c r="AD1840" s="550"/>
      <c r="AE1840" s="550"/>
      <c r="AF1840" s="550"/>
      <c r="AG1840" s="550"/>
      <c r="AH1840" s="550"/>
      <c r="AI1840" s="559"/>
      <c r="AJ1840" s="559"/>
      <c r="AK1840" s="559"/>
      <c r="AL1840" s="559"/>
      <c r="AM1840" s="559"/>
      <c r="AN1840" s="559"/>
      <c r="AO1840" s="559"/>
      <c r="AP1840" s="559"/>
      <c r="AQ1840" s="559"/>
      <c r="AR1840" s="559"/>
      <c r="AS1840" s="559"/>
    </row>
    <row r="1841" spans="1:45" s="420" customFormat="1" ht="30" customHeight="1" x14ac:dyDescent="0.25">
      <c r="A1841" s="2005">
        <f>IF(L1845=0,"",MAX($A$16:A1840)+1)</f>
        <v>129</v>
      </c>
      <c r="B1841" s="507" t="s">
        <v>2194</v>
      </c>
      <c r="C1841" s="246" t="s">
        <v>2193</v>
      </c>
      <c r="D1841" s="866" t="s">
        <v>10</v>
      </c>
      <c r="E1841" s="1124">
        <v>46275</v>
      </c>
      <c r="F1841" s="71">
        <f>$L$7-E1841</f>
        <v>11</v>
      </c>
      <c r="G1841" s="12">
        <v>30</v>
      </c>
      <c r="H1841" s="12"/>
      <c r="I1841" s="12"/>
      <c r="J1841" s="1368"/>
      <c r="K1841" s="64">
        <f>IFERROR(SUMIF(INTAKE!$A:$A,$T1841,INTAKE!$P:$P),0)</f>
        <v>0</v>
      </c>
      <c r="L1841" s="1702">
        <f>+G1841+H1841+I1841-J1841-K1841</f>
        <v>30</v>
      </c>
      <c r="M1841" s="23"/>
      <c r="N1841" s="130"/>
      <c r="O1841" s="130"/>
      <c r="P1841" s="760"/>
      <c r="Q1841" s="795"/>
      <c r="R1841" s="785">
        <f>IFERROR(VLOOKUP($Q1841,'391'!$S:$Z,8,0),"")</f>
        <v>0</v>
      </c>
      <c r="S1841" s="786"/>
      <c r="T1841" s="787" t="str">
        <f>$Q$1845&amp;C1841&amp;E1841</f>
        <v>Premix 572GY1.246275</v>
      </c>
      <c r="U1841" s="787"/>
      <c r="V1841" s="787"/>
      <c r="W1841" s="785">
        <f>IFERROR(VLOOKUP($Q1841,'391'!$S:$AG,15,0),0)</f>
        <v>0</v>
      </c>
      <c r="X1841" s="1090">
        <f t="shared" si="1106"/>
        <v>30</v>
      </c>
      <c r="Y1841" s="787"/>
      <c r="Z1841" s="791"/>
      <c r="AA1841" s="787"/>
      <c r="AB1841" s="787"/>
      <c r="AC1841" s="550"/>
      <c r="AD1841" s="550"/>
      <c r="AE1841" s="550"/>
      <c r="AF1841" s="550"/>
      <c r="AG1841" s="550"/>
      <c r="AH1841" s="550"/>
      <c r="AI1841" s="559"/>
      <c r="AJ1841" s="559"/>
      <c r="AK1841" s="559"/>
      <c r="AL1841" s="559"/>
      <c r="AM1841" s="559"/>
      <c r="AN1841" s="559"/>
      <c r="AO1841" s="559"/>
      <c r="AP1841" s="559"/>
      <c r="AQ1841" s="559"/>
      <c r="AR1841" s="559"/>
      <c r="AS1841" s="559"/>
    </row>
    <row r="1842" spans="1:45" s="420" customFormat="1" ht="30" hidden="1" customHeight="1" x14ac:dyDescent="0.25">
      <c r="A1842" s="2006"/>
      <c r="B1842" s="507" t="s">
        <v>1884</v>
      </c>
      <c r="C1842" s="246"/>
      <c r="D1842" s="866" t="s">
        <v>10</v>
      </c>
      <c r="E1842" s="1124">
        <v>46233</v>
      </c>
      <c r="F1842" s="71">
        <f>$L$7-E1842</f>
        <v>53</v>
      </c>
      <c r="G1842" s="12">
        <v>0</v>
      </c>
      <c r="H1842" s="12"/>
      <c r="I1842" s="12"/>
      <c r="J1842" s="1368"/>
      <c r="K1842" s="64">
        <f>IFERROR(SUMIF(INTAKE!$A:$A,$T1842,INTAKE!$P:$P),0)</f>
        <v>0</v>
      </c>
      <c r="L1842" s="1702">
        <f>+G1842+H1842+I1842-J1842-K1842</f>
        <v>0</v>
      </c>
      <c r="M1842" s="23"/>
      <c r="N1842" s="130"/>
      <c r="O1842" s="130"/>
      <c r="P1842" s="760"/>
      <c r="Q1842" s="795"/>
      <c r="R1842" s="785">
        <f>IFERROR(VLOOKUP($Q1842,'391'!$S:$Z,8,0),"")</f>
        <v>0</v>
      </c>
      <c r="S1842" s="786"/>
      <c r="T1842" s="787" t="str">
        <f>$Q$1845&amp;C1842&amp;E1842</f>
        <v>Premix 572G46233</v>
      </c>
      <c r="U1842" s="787"/>
      <c r="V1842" s="787"/>
      <c r="W1842" s="785">
        <f>IFERROR(VLOOKUP($Q1842,'391'!$S:$AG,15,0),0)</f>
        <v>0</v>
      </c>
      <c r="X1842" s="1090">
        <f t="shared" si="1106"/>
        <v>0</v>
      </c>
      <c r="Y1842" s="787"/>
      <c r="Z1842" s="791"/>
      <c r="AA1842" s="787"/>
      <c r="AB1842" s="787"/>
      <c r="AC1842" s="550"/>
      <c r="AD1842" s="550"/>
      <c r="AE1842" s="550"/>
      <c r="AF1842" s="550"/>
      <c r="AG1842" s="550"/>
      <c r="AH1842" s="550"/>
      <c r="AI1842" s="559"/>
      <c r="AJ1842" s="559"/>
      <c r="AK1842" s="559"/>
      <c r="AL1842" s="559"/>
      <c r="AM1842" s="559"/>
      <c r="AN1842" s="559"/>
      <c r="AO1842" s="559"/>
      <c r="AP1842" s="559"/>
      <c r="AQ1842" s="559"/>
      <c r="AR1842" s="559"/>
      <c r="AS1842" s="559"/>
    </row>
    <row r="1843" spans="1:45" s="420" customFormat="1" ht="30" hidden="1" customHeight="1" x14ac:dyDescent="0.25">
      <c r="A1843" s="2006"/>
      <c r="B1843" s="507" t="s">
        <v>1826</v>
      </c>
      <c r="C1843" s="246"/>
      <c r="D1843" s="866" t="s">
        <v>10</v>
      </c>
      <c r="E1843" s="1124">
        <v>46164</v>
      </c>
      <c r="F1843" s="71">
        <f>$L$7-E1843</f>
        <v>122</v>
      </c>
      <c r="G1843" s="12">
        <v>0</v>
      </c>
      <c r="H1843" s="12"/>
      <c r="I1843" s="12"/>
      <c r="J1843" s="1368"/>
      <c r="K1843" s="64">
        <f>IFERROR(SUMIF(INTAKE!$A:$A,$T1843,INTAKE!$P:$P),0)</f>
        <v>0</v>
      </c>
      <c r="L1843" s="1702">
        <f>+G1843+H1843+I1843-J1843-K1843</f>
        <v>0</v>
      </c>
      <c r="M1843" s="23"/>
      <c r="N1843" s="130"/>
      <c r="O1843" s="130"/>
      <c r="P1843" s="760"/>
      <c r="Q1843" s="795"/>
      <c r="R1843" s="785">
        <f>IFERROR(VLOOKUP($Q1843,'391'!$S:$Z,8,0),"")</f>
        <v>0</v>
      </c>
      <c r="S1843" s="786"/>
      <c r="T1843" s="787" t="str">
        <f>$Q$1845&amp;C1843&amp;E1843</f>
        <v>Premix 572G46164</v>
      </c>
      <c r="U1843" s="787"/>
      <c r="V1843" s="787"/>
      <c r="W1843" s="785">
        <f>IFERROR(VLOOKUP($Q1843,'391'!$S:$AG,15,0),0)</f>
        <v>0</v>
      </c>
      <c r="X1843" s="1090">
        <f t="shared" si="1106"/>
        <v>0</v>
      </c>
      <c r="Y1843" s="787"/>
      <c r="Z1843" s="791"/>
      <c r="AA1843" s="787"/>
      <c r="AB1843" s="787"/>
      <c r="AC1843" s="550"/>
      <c r="AD1843" s="550"/>
      <c r="AE1843" s="550"/>
      <c r="AF1843" s="550"/>
      <c r="AG1843" s="550"/>
      <c r="AH1843" s="550"/>
      <c r="AI1843" s="559"/>
      <c r="AJ1843" s="559"/>
      <c r="AK1843" s="559"/>
      <c r="AL1843" s="559"/>
      <c r="AM1843" s="559"/>
      <c r="AN1843" s="559"/>
      <c r="AO1843" s="559"/>
      <c r="AP1843" s="559"/>
      <c r="AQ1843" s="559"/>
      <c r="AR1843" s="559"/>
      <c r="AS1843" s="559"/>
    </row>
    <row r="1844" spans="1:45" s="420" customFormat="1" ht="30" customHeight="1" x14ac:dyDescent="0.25">
      <c r="A1844" s="2007"/>
      <c r="B1844" s="1022" t="s">
        <v>1884</v>
      </c>
      <c r="C1844" s="148" t="s">
        <v>46</v>
      </c>
      <c r="D1844" s="884" t="s">
        <v>10</v>
      </c>
      <c r="E1844" s="1123">
        <v>46233</v>
      </c>
      <c r="F1844" s="71">
        <f>$L$7-E1844</f>
        <v>53</v>
      </c>
      <c r="G1844" s="56">
        <v>9.6999999999999957</v>
      </c>
      <c r="H1844" s="56"/>
      <c r="I1844" s="56">
        <f>+SUM(K1841:K1843)</f>
        <v>0</v>
      </c>
      <c r="J1844" s="1369">
        <f>+usage!I248</f>
        <v>0</v>
      </c>
      <c r="K1844" s="64">
        <f>IFERROR(SUMIF(INTAKE!$A:$A,$T1844,INTAKE!$P:$P),0)</f>
        <v>0</v>
      </c>
      <c r="L1844" s="1533">
        <f>+G1844+H1844+I1844-J1844-K1844</f>
        <v>9.6999999999999957</v>
      </c>
      <c r="M1844" s="40"/>
      <c r="N1844" s="84"/>
      <c r="O1844" s="40"/>
      <c r="P1844" s="756"/>
      <c r="Q1844" s="795"/>
      <c r="R1844" s="785">
        <f>IFERROR(VLOOKUP($Q1844,'391'!$S:$Z,8,0),"")</f>
        <v>0</v>
      </c>
      <c r="S1844" s="786"/>
      <c r="T1844" s="787" t="str">
        <f>$Q$1845&amp;C1844&amp;E1844</f>
        <v>Premix 572GFeedmill46233</v>
      </c>
      <c r="U1844" s="787"/>
      <c r="V1844" s="787"/>
      <c r="W1844" s="785">
        <f>IFERROR(VLOOKUP($Q1844,'391'!$S:$AG,15,0),0)</f>
        <v>0</v>
      </c>
      <c r="X1844" s="1090">
        <f t="shared" si="1106"/>
        <v>9.6999999999999957</v>
      </c>
      <c r="Y1844" s="787"/>
      <c r="Z1844" s="791"/>
      <c r="AA1844" s="787"/>
      <c r="AB1844" s="787"/>
      <c r="AC1844" s="550"/>
      <c r="AD1844" s="550"/>
      <c r="AE1844" s="550"/>
      <c r="AF1844" s="550"/>
      <c r="AG1844" s="550"/>
      <c r="AH1844" s="550"/>
      <c r="AI1844" s="559"/>
      <c r="AJ1844" s="559"/>
      <c r="AK1844" s="559"/>
      <c r="AL1844" s="559"/>
      <c r="AM1844" s="559"/>
      <c r="AN1844" s="559"/>
      <c r="AO1844" s="559"/>
      <c r="AP1844" s="559"/>
      <c r="AQ1844" s="559"/>
      <c r="AR1844" s="559"/>
      <c r="AS1844" s="559"/>
    </row>
    <row r="1845" spans="1:45" s="420" customFormat="1" ht="30" customHeight="1" x14ac:dyDescent="0.25">
      <c r="A1845" s="2003" t="s">
        <v>354</v>
      </c>
      <c r="B1845" s="2004"/>
      <c r="C1845" s="1038"/>
      <c r="D1845" s="1034"/>
      <c r="E1845" s="1127"/>
      <c r="F1845" s="1034"/>
      <c r="G1845" s="1422">
        <v>39.699999999999996</v>
      </c>
      <c r="H1845" s="1422">
        <f>+SUM(H1841:H1844)</f>
        <v>0</v>
      </c>
      <c r="I1845" s="1422">
        <f t="shared" ref="I1845:L1845" si="1128">+SUM(I1841:I1844)</f>
        <v>0</v>
      </c>
      <c r="J1845" s="1422">
        <f t="shared" si="1128"/>
        <v>0</v>
      </c>
      <c r="K1845" s="1422">
        <f t="shared" si="1128"/>
        <v>0</v>
      </c>
      <c r="L1845" s="1422">
        <f t="shared" si="1128"/>
        <v>39.699999999999996</v>
      </c>
      <c r="M1845" s="889">
        <f>IFERROR(R1845/$S$2,"")</f>
        <v>5.6000000000000005</v>
      </c>
      <c r="N1845" s="854">
        <f>IFERROR(L1845/M1845,0)</f>
        <v>7.0892857142857126</v>
      </c>
      <c r="O1845" s="889">
        <f>IFERROR(SUMIF(ETM!$A:$A,$Q1845,ETM!$E:$E),"")</f>
        <v>0</v>
      </c>
      <c r="P1845" s="880">
        <f>IFERROR(L1845/O1845,0)</f>
        <v>0</v>
      </c>
      <c r="Q1845" s="814" t="s">
        <v>635</v>
      </c>
      <c r="R1845" s="785">
        <f>IFERROR(VLOOKUP($Q1845,'391'!$S:$Z,8,0),"")</f>
        <v>33.6</v>
      </c>
      <c r="S1845" s="786"/>
      <c r="T1845" s="787"/>
      <c r="U1845" s="787"/>
      <c r="V1845" s="787"/>
      <c r="W1845" s="785">
        <f>IFERROR(VLOOKUP($Q1845,'391'!$S:$AG,15,0),0)</f>
        <v>39.700000000000003</v>
      </c>
      <c r="X1845" s="1090">
        <f t="shared" si="1106"/>
        <v>0</v>
      </c>
      <c r="Y1845" s="787"/>
      <c r="Z1845" s="791"/>
      <c r="AA1845" s="787"/>
      <c r="AB1845" s="787"/>
      <c r="AC1845" s="550"/>
      <c r="AD1845" s="550"/>
      <c r="AE1845" s="550"/>
      <c r="AF1845" s="550"/>
      <c r="AG1845" s="550"/>
      <c r="AH1845" s="550"/>
      <c r="AI1845" s="559"/>
      <c r="AJ1845" s="559"/>
      <c r="AK1845" s="559"/>
      <c r="AL1845" s="559"/>
      <c r="AM1845" s="559"/>
      <c r="AN1845" s="559"/>
      <c r="AO1845" s="559"/>
      <c r="AP1845" s="559"/>
      <c r="AQ1845" s="559"/>
      <c r="AR1845" s="559"/>
      <c r="AS1845" s="559"/>
    </row>
    <row r="1846" spans="1:45" s="420" customFormat="1" ht="30" hidden="1" customHeight="1" x14ac:dyDescent="0.25">
      <c r="A1846" s="2005">
        <f>IF(L1851=0,"",MAX($A$16:A1845)+1)</f>
        <v>130</v>
      </c>
      <c r="B1846" s="507" t="s">
        <v>1958</v>
      </c>
      <c r="C1846" s="1759"/>
      <c r="D1846" s="866" t="s">
        <v>10</v>
      </c>
      <c r="E1846" s="1124">
        <v>46270</v>
      </c>
      <c r="F1846" s="71">
        <f>$L$7-E1846</f>
        <v>16</v>
      </c>
      <c r="G1846" s="12">
        <v>0</v>
      </c>
      <c r="H1846" s="12"/>
      <c r="I1846" s="12"/>
      <c r="J1846" s="1368"/>
      <c r="K1846" s="64">
        <f>IFERROR(SUMIF(INTAKE!$A:$A,$T1846,INTAKE!$P:$P),0)</f>
        <v>0</v>
      </c>
      <c r="L1846" s="1702">
        <f>+G1846+H1846+I1846-J1846-K1846</f>
        <v>0</v>
      </c>
      <c r="M1846" s="23"/>
      <c r="N1846" s="130"/>
      <c r="O1846" s="130"/>
      <c r="P1846" s="760"/>
      <c r="Q1846" s="795"/>
      <c r="R1846" s="785">
        <f>IFERROR(VLOOKUP($Q1846,'391'!$S:$Z,8,0),"")</f>
        <v>0</v>
      </c>
      <c r="S1846" s="786"/>
      <c r="T1846" s="787" t="str">
        <f>$Q$1851&amp;C1846&amp;E1846</f>
        <v>Premix 57146270</v>
      </c>
      <c r="U1846" s="787"/>
      <c r="V1846" s="787"/>
      <c r="W1846" s="785">
        <f>IFERROR(VLOOKUP($Q1846,'391'!$S:$AG,15,0),0)</f>
        <v>0</v>
      </c>
      <c r="X1846" s="1090">
        <f t="shared" si="1106"/>
        <v>0</v>
      </c>
      <c r="Y1846" s="787"/>
      <c r="Z1846" s="791"/>
      <c r="AA1846" s="787"/>
      <c r="AB1846" s="787"/>
      <c r="AC1846" s="550"/>
      <c r="AD1846" s="550"/>
      <c r="AE1846" s="550"/>
      <c r="AF1846" s="550"/>
      <c r="AG1846" s="550"/>
      <c r="AH1846" s="550"/>
      <c r="AI1846" s="559"/>
      <c r="AJ1846" s="559"/>
      <c r="AK1846" s="559"/>
      <c r="AL1846" s="559"/>
      <c r="AM1846" s="559"/>
      <c r="AN1846" s="559"/>
      <c r="AO1846" s="559"/>
      <c r="AP1846" s="559"/>
      <c r="AQ1846" s="559"/>
      <c r="AR1846" s="559"/>
      <c r="AS1846" s="559"/>
    </row>
    <row r="1847" spans="1:45" s="420" customFormat="1" ht="30" customHeight="1" x14ac:dyDescent="0.25">
      <c r="A1847" s="2006"/>
      <c r="B1847" s="507" t="s">
        <v>2246</v>
      </c>
      <c r="C1847" s="1759" t="s">
        <v>2230</v>
      </c>
      <c r="D1847" s="866" t="s">
        <v>10</v>
      </c>
      <c r="E1847" s="1124">
        <v>46283</v>
      </c>
      <c r="F1847" s="71">
        <f>$L$7-E1847</f>
        <v>3</v>
      </c>
      <c r="G1847" s="12">
        <v>90</v>
      </c>
      <c r="H1847" s="12"/>
      <c r="I1847" s="12"/>
      <c r="J1847" s="1368"/>
      <c r="K1847" s="64">
        <f>IFERROR(SUMIF(INTAKE!$A:$A,$T1847,INTAKE!$P:$P),0)</f>
        <v>30</v>
      </c>
      <c r="L1847" s="1702">
        <f>+G1847+H1847+I1847-J1847-K1847</f>
        <v>60</v>
      </c>
      <c r="M1847" s="23"/>
      <c r="N1847" s="130"/>
      <c r="O1847" s="130"/>
      <c r="P1847" s="760"/>
      <c r="Q1847" s="795"/>
      <c r="R1847" s="785">
        <f>IFERROR(VLOOKUP($Q1847,'391'!$S:$Z,8,0),"")</f>
        <v>0</v>
      </c>
      <c r="S1847" s="786"/>
      <c r="T1847" s="787" t="str">
        <f>$Q$1851&amp;C1847&amp;E1847</f>
        <v>Premix 571X6.146283</v>
      </c>
      <c r="U1847" s="787"/>
      <c r="V1847" s="787"/>
      <c r="W1847" s="785">
        <f>IFERROR(VLOOKUP($Q1847,'391'!$S:$AG,15,0),0)</f>
        <v>0</v>
      </c>
      <c r="X1847" s="1090">
        <f t="shared" si="1106"/>
        <v>90</v>
      </c>
      <c r="Y1847" s="787"/>
      <c r="Z1847" s="791"/>
      <c r="AA1847" s="787"/>
      <c r="AB1847" s="787"/>
      <c r="AC1847" s="550"/>
      <c r="AD1847" s="550"/>
      <c r="AE1847" s="550"/>
      <c r="AF1847" s="550"/>
      <c r="AG1847" s="550"/>
      <c r="AH1847" s="550"/>
      <c r="AI1847" s="559"/>
      <c r="AJ1847" s="559"/>
      <c r="AK1847" s="559"/>
      <c r="AL1847" s="559"/>
      <c r="AM1847" s="559"/>
      <c r="AN1847" s="559"/>
      <c r="AO1847" s="559"/>
      <c r="AP1847" s="559"/>
      <c r="AQ1847" s="559"/>
      <c r="AR1847" s="559"/>
      <c r="AS1847" s="559"/>
    </row>
    <row r="1848" spans="1:45" s="420" customFormat="1" ht="30" hidden="1" customHeight="1" x14ac:dyDescent="0.25">
      <c r="A1848" s="2006"/>
      <c r="B1848" s="507" t="s">
        <v>1795</v>
      </c>
      <c r="C1848" s="1759"/>
      <c r="D1848" s="866" t="s">
        <v>10</v>
      </c>
      <c r="E1848" s="1124">
        <v>46115</v>
      </c>
      <c r="F1848" s="71">
        <f>$L$7-E1848</f>
        <v>171</v>
      </c>
      <c r="G1848" s="12">
        <v>0</v>
      </c>
      <c r="H1848" s="12"/>
      <c r="I1848" s="12"/>
      <c r="J1848" s="1368"/>
      <c r="K1848" s="64">
        <f>IFERROR(SUMIF(INTAKE!$A:$A,$T1848,INTAKE!$P:$P),0)</f>
        <v>0</v>
      </c>
      <c r="L1848" s="1702">
        <f>+G1848+H1848+I1848-J1848-K1848</f>
        <v>0</v>
      </c>
      <c r="M1848" s="23"/>
      <c r="N1848" s="130"/>
      <c r="O1848" s="130"/>
      <c r="P1848" s="760"/>
      <c r="Q1848" s="795"/>
      <c r="R1848" s="785">
        <f>IFERROR(VLOOKUP($Q1848,'391'!$S:$Z,8,0),"")</f>
        <v>0</v>
      </c>
      <c r="S1848" s="786"/>
      <c r="T1848" s="787" t="str">
        <f>$Q$1851&amp;C1848&amp;E1848</f>
        <v>Premix 57146115</v>
      </c>
      <c r="U1848" s="787"/>
      <c r="V1848" s="787"/>
      <c r="W1848" s="785">
        <f>IFERROR(VLOOKUP($Q1848,'391'!$S:$AG,15,0),0)</f>
        <v>0</v>
      </c>
      <c r="X1848" s="1090">
        <f t="shared" si="1106"/>
        <v>0</v>
      </c>
      <c r="Y1848" s="787"/>
      <c r="Z1848" s="791"/>
      <c r="AA1848" s="787"/>
      <c r="AB1848" s="787"/>
      <c r="AC1848" s="550"/>
      <c r="AD1848" s="550"/>
      <c r="AE1848" s="550"/>
      <c r="AF1848" s="550"/>
      <c r="AG1848" s="550"/>
      <c r="AH1848" s="550"/>
      <c r="AI1848" s="559"/>
      <c r="AJ1848" s="559"/>
      <c r="AK1848" s="559"/>
      <c r="AL1848" s="559"/>
      <c r="AM1848" s="559"/>
      <c r="AN1848" s="559"/>
      <c r="AO1848" s="559"/>
      <c r="AP1848" s="559"/>
      <c r="AQ1848" s="559"/>
      <c r="AR1848" s="559"/>
      <c r="AS1848" s="559"/>
    </row>
    <row r="1849" spans="1:45" s="420" customFormat="1" ht="30" hidden="1" customHeight="1" x14ac:dyDescent="0.25">
      <c r="A1849" s="2006"/>
      <c r="B1849" s="507" t="s">
        <v>1795</v>
      </c>
      <c r="C1849" s="1759"/>
      <c r="D1849" s="866" t="s">
        <v>10</v>
      </c>
      <c r="E1849" s="1124">
        <v>46115</v>
      </c>
      <c r="F1849" s="71">
        <f>$L$7-E1849</f>
        <v>171</v>
      </c>
      <c r="G1849" s="12">
        <v>0</v>
      </c>
      <c r="H1849" s="12"/>
      <c r="I1849" s="12"/>
      <c r="J1849" s="1368"/>
      <c r="K1849" s="64">
        <f>IFERROR(SUMIF(INTAKE!$A:$A,$T1849,INTAKE!$P:$P),0)</f>
        <v>0</v>
      </c>
      <c r="L1849" s="1702">
        <f>+G1849+H1849+I1849-J1849-K1849</f>
        <v>0</v>
      </c>
      <c r="M1849" s="23"/>
      <c r="N1849" s="130"/>
      <c r="O1849" s="130"/>
      <c r="P1849" s="760"/>
      <c r="Q1849" s="795"/>
      <c r="R1849" s="785">
        <f>IFERROR(VLOOKUP($Q1849,'391'!$S:$Z,8,0),"")</f>
        <v>0</v>
      </c>
      <c r="S1849" s="786"/>
      <c r="T1849" s="787" t="str">
        <f>$Q$1851&amp;C1849&amp;E1849</f>
        <v>Premix 57146115</v>
      </c>
      <c r="U1849" s="787"/>
      <c r="V1849" s="787"/>
      <c r="W1849" s="785">
        <f>IFERROR(VLOOKUP($Q1849,'391'!$S:$AG,15,0),0)</f>
        <v>0</v>
      </c>
      <c r="X1849" s="1090">
        <f t="shared" ref="X1849" si="1129">G1849-W1849</f>
        <v>0</v>
      </c>
      <c r="Y1849" s="787"/>
      <c r="Z1849" s="791"/>
      <c r="AA1849" s="787"/>
      <c r="AB1849" s="787"/>
      <c r="AC1849" s="550"/>
      <c r="AD1849" s="550"/>
      <c r="AE1849" s="550"/>
      <c r="AF1849" s="550"/>
      <c r="AG1849" s="550"/>
      <c r="AH1849" s="550"/>
      <c r="AI1849" s="559"/>
      <c r="AJ1849" s="559"/>
      <c r="AK1849" s="559"/>
      <c r="AL1849" s="559"/>
      <c r="AM1849" s="559"/>
      <c r="AN1849" s="559"/>
      <c r="AO1849" s="559"/>
      <c r="AP1849" s="559"/>
      <c r="AQ1849" s="559"/>
      <c r="AR1849" s="559"/>
      <c r="AS1849" s="559"/>
    </row>
    <row r="1850" spans="1:45" s="420" customFormat="1" ht="30" customHeight="1" x14ac:dyDescent="0.25">
      <c r="A1850" s="2007"/>
      <c r="B1850" s="1022" t="s">
        <v>2192</v>
      </c>
      <c r="C1850" s="148" t="s">
        <v>46</v>
      </c>
      <c r="D1850" s="884" t="s">
        <v>10</v>
      </c>
      <c r="E1850" s="1123">
        <v>46275</v>
      </c>
      <c r="F1850" s="71">
        <f>$L$7-E1850</f>
        <v>11</v>
      </c>
      <c r="G1850" s="56">
        <v>42.3</v>
      </c>
      <c r="H1850" s="56"/>
      <c r="I1850" s="56">
        <f>SUM(K1846:K1848)</f>
        <v>30</v>
      </c>
      <c r="J1850" s="1369">
        <f>usage!I245</f>
        <v>67.2</v>
      </c>
      <c r="K1850" s="64">
        <f>IFERROR(SUMIF(INTAKE!$A:$A,$T1850,INTAKE!$P:$P),0)</f>
        <v>0</v>
      </c>
      <c r="L1850" s="1533">
        <f>+G1850+H1850+I1850-J1850-K1850</f>
        <v>5.0999999999999943</v>
      </c>
      <c r="M1850" s="40"/>
      <c r="N1850" s="84"/>
      <c r="O1850" s="40"/>
      <c r="P1850" s="756"/>
      <c r="Q1850" s="795"/>
      <c r="R1850" s="785">
        <f>IFERROR(VLOOKUP($Q1850,'391'!$S:$Z,8,0),"")</f>
        <v>0</v>
      </c>
      <c r="S1850" s="786"/>
      <c r="T1850" s="787" t="str">
        <f>$Q$1851&amp;C1850&amp;E1850</f>
        <v>Premix 571Feedmill46275</v>
      </c>
      <c r="U1850" s="787"/>
      <c r="V1850" s="787"/>
      <c r="W1850" s="785">
        <f>IFERROR(VLOOKUP($Q1850,'391'!$S:$AG,15,0),0)</f>
        <v>0</v>
      </c>
      <c r="X1850" s="1090">
        <f t="shared" si="1106"/>
        <v>42.3</v>
      </c>
      <c r="Y1850" s="787"/>
      <c r="Z1850" s="791"/>
      <c r="AA1850" s="787"/>
      <c r="AB1850" s="787"/>
      <c r="AC1850" s="550"/>
      <c r="AD1850" s="550"/>
      <c r="AE1850" s="550"/>
      <c r="AF1850" s="550"/>
      <c r="AG1850" s="550"/>
      <c r="AH1850" s="550"/>
      <c r="AI1850" s="559"/>
      <c r="AJ1850" s="559"/>
      <c r="AK1850" s="559"/>
      <c r="AL1850" s="559"/>
      <c r="AM1850" s="559"/>
      <c r="AN1850" s="559"/>
      <c r="AO1850" s="559"/>
      <c r="AP1850" s="559"/>
      <c r="AQ1850" s="559"/>
      <c r="AR1850" s="559"/>
      <c r="AS1850" s="559"/>
    </row>
    <row r="1851" spans="1:45" s="420" customFormat="1" ht="30" customHeight="1" x14ac:dyDescent="0.25">
      <c r="A1851" s="2003" t="s">
        <v>526</v>
      </c>
      <c r="B1851" s="2004"/>
      <c r="C1851" s="1038"/>
      <c r="D1851" s="1034"/>
      <c r="E1851" s="1127"/>
      <c r="F1851" s="1034"/>
      <c r="G1851" s="1422">
        <v>132.30000000000001</v>
      </c>
      <c r="H1851" s="1422">
        <f>+SUM(H1846:H1850)</f>
        <v>0</v>
      </c>
      <c r="I1851" s="1422">
        <f t="shared" ref="I1851:L1851" si="1130">+SUM(I1846:I1850)</f>
        <v>30</v>
      </c>
      <c r="J1851" s="1422">
        <f t="shared" si="1130"/>
        <v>67.2</v>
      </c>
      <c r="K1851" s="1422">
        <f t="shared" si="1130"/>
        <v>30</v>
      </c>
      <c r="L1851" s="1422">
        <f t="shared" si="1130"/>
        <v>65.099999999999994</v>
      </c>
      <c r="M1851" s="889">
        <f>IFERROR(R1851/$S$2,"")</f>
        <v>0</v>
      </c>
      <c r="N1851" s="854">
        <f>IFERROR(L1851/M1851,0)</f>
        <v>0</v>
      </c>
      <c r="O1851" s="889">
        <f>IFERROR(SUMIF(ETM!$A:$A,$Q1851,ETM!$E:$E),"")</f>
        <v>5.333333333333333</v>
      </c>
      <c r="P1851" s="880">
        <f>IFERROR(L1851/O1851,0)</f>
        <v>12.206249999999999</v>
      </c>
      <c r="Q1851" s="814" t="s">
        <v>634</v>
      </c>
      <c r="R1851" s="785">
        <f>IFERROR(VLOOKUP($Q1851,'391'!$S:$Z,8,0),"")</f>
        <v>0</v>
      </c>
      <c r="S1851" s="786"/>
      <c r="T1851" s="787"/>
      <c r="U1851" s="787"/>
      <c r="V1851" s="787"/>
      <c r="W1851" s="785">
        <f>IFERROR(VLOOKUP($Q1851,'391'!$S:$AG,15,0),0)</f>
        <v>132.30000000000001</v>
      </c>
      <c r="X1851" s="1090">
        <f t="shared" si="1106"/>
        <v>0</v>
      </c>
      <c r="Y1851" s="787"/>
      <c r="Z1851" s="791"/>
      <c r="AA1851" s="787"/>
      <c r="AB1851" s="787"/>
      <c r="AC1851" s="550"/>
      <c r="AD1851" s="550"/>
      <c r="AE1851" s="550"/>
      <c r="AF1851" s="550"/>
      <c r="AG1851" s="550"/>
      <c r="AH1851" s="550"/>
      <c r="AI1851" s="559"/>
      <c r="AJ1851" s="559"/>
      <c r="AK1851" s="559"/>
      <c r="AL1851" s="559"/>
      <c r="AM1851" s="559"/>
      <c r="AN1851" s="559"/>
      <c r="AO1851" s="559"/>
      <c r="AP1851" s="559"/>
      <c r="AQ1851" s="559"/>
      <c r="AR1851" s="559"/>
      <c r="AS1851" s="559"/>
    </row>
    <row r="1852" spans="1:45" s="6" customFormat="1" ht="30" hidden="1" customHeight="1" x14ac:dyDescent="0.25">
      <c r="A1852" s="1999">
        <f>IF(L1860=0,"",MAX($A$16:A1851)+1)</f>
        <v>131</v>
      </c>
      <c r="B1852" s="390" t="s">
        <v>1395</v>
      </c>
      <c r="C1852" s="150"/>
      <c r="D1852" s="866" t="s">
        <v>10</v>
      </c>
      <c r="E1852" s="1124">
        <v>45323</v>
      </c>
      <c r="F1852" s="71">
        <f t="shared" ref="F1852:F1859" si="1131">$L$7-E1852</f>
        <v>963</v>
      </c>
      <c r="G1852" s="11">
        <v>0</v>
      </c>
      <c r="H1852" s="11"/>
      <c r="I1852" s="11"/>
      <c r="J1852" s="1388"/>
      <c r="K1852" s="64">
        <f>IFERROR(SUMIF(INTAKE!$A:$A,$T1852,INTAKE!$P:$P),0)</f>
        <v>0</v>
      </c>
      <c r="L1852" s="1533">
        <f t="shared" ref="L1852:L1859" si="1132">+G1852+H1852+I1852-J1852-K1852</f>
        <v>0</v>
      </c>
      <c r="M1852" s="66">
        <v>0</v>
      </c>
      <c r="N1852" s="920"/>
      <c r="O1852" s="66"/>
      <c r="P1852" s="738"/>
      <c r="Q1852" s="795"/>
      <c r="R1852" s="785">
        <f>IFERROR(VLOOKUP($Q1852,'391'!$S:$Z,8,0),"")</f>
        <v>0</v>
      </c>
      <c r="S1852" s="786"/>
      <c r="T1852" s="787" t="str">
        <f t="shared" ref="T1852:T1859" si="1133">$Q$1860&amp;C1852&amp;E1852</f>
        <v>Premix 58245323</v>
      </c>
      <c r="U1852" s="787"/>
      <c r="V1852" s="787"/>
      <c r="W1852" s="785">
        <f>IFERROR(VLOOKUP($Q1852,'391'!$S:$AG,15,0),0)</f>
        <v>0</v>
      </c>
      <c r="X1852" s="1090">
        <f t="shared" si="1106"/>
        <v>0</v>
      </c>
      <c r="Y1852" s="787"/>
      <c r="Z1852" s="791"/>
      <c r="AA1852" s="787"/>
      <c r="AB1852" s="787"/>
      <c r="AC1852" s="679"/>
      <c r="AD1852" s="679"/>
      <c r="AE1852" s="679"/>
      <c r="AF1852" s="679"/>
      <c r="AG1852" s="679"/>
      <c r="AH1852" s="679"/>
      <c r="AI1852" s="682"/>
      <c r="AJ1852" s="682"/>
      <c r="AK1852" s="682"/>
      <c r="AL1852" s="682"/>
      <c r="AM1852" s="682"/>
      <c r="AN1852" s="682"/>
      <c r="AO1852" s="682"/>
      <c r="AP1852" s="682"/>
      <c r="AQ1852" s="682"/>
      <c r="AR1852" s="682"/>
      <c r="AS1852" s="682"/>
    </row>
    <row r="1853" spans="1:45" s="6" customFormat="1" ht="30" hidden="1" customHeight="1" x14ac:dyDescent="0.25">
      <c r="A1853" s="2000"/>
      <c r="B1853" s="390" t="s">
        <v>1399</v>
      </c>
      <c r="C1853" s="150"/>
      <c r="D1853" s="866" t="s">
        <v>10</v>
      </c>
      <c r="E1853" s="1124">
        <v>45339</v>
      </c>
      <c r="F1853" s="71">
        <f t="shared" si="1131"/>
        <v>947</v>
      </c>
      <c r="G1853" s="11">
        <v>0</v>
      </c>
      <c r="H1853" s="11"/>
      <c r="I1853" s="11"/>
      <c r="J1853" s="1365"/>
      <c r="K1853" s="64">
        <f>IFERROR(SUMIF(INTAKE!$A:$A,$T1853,INTAKE!$P:$P),0)</f>
        <v>0</v>
      </c>
      <c r="L1853" s="1533">
        <f t="shared" si="1132"/>
        <v>0</v>
      </c>
      <c r="M1853" s="101"/>
      <c r="N1853" s="249"/>
      <c r="O1853" s="101"/>
      <c r="P1853" s="738"/>
      <c r="Q1853" s="795"/>
      <c r="R1853" s="785">
        <f>IFERROR(VLOOKUP($Q1853,'391'!$S:$Z,8,0),"")</f>
        <v>0</v>
      </c>
      <c r="S1853" s="786"/>
      <c r="T1853" s="787" t="str">
        <f t="shared" si="1133"/>
        <v>Premix 58245339</v>
      </c>
      <c r="U1853" s="787"/>
      <c r="V1853" s="787"/>
      <c r="W1853" s="785">
        <f>IFERROR(VLOOKUP($Q1853,'391'!$S:$AG,15,0),0)</f>
        <v>0</v>
      </c>
      <c r="X1853" s="1090">
        <f t="shared" si="1106"/>
        <v>0</v>
      </c>
      <c r="Y1853" s="787"/>
      <c r="Z1853" s="791"/>
      <c r="AA1853" s="787"/>
      <c r="AB1853" s="787"/>
      <c r="AC1853" s="679"/>
      <c r="AD1853" s="679"/>
      <c r="AE1853" s="679"/>
      <c r="AF1853" s="679"/>
      <c r="AG1853" s="679"/>
      <c r="AH1853" s="679"/>
      <c r="AI1853" s="682"/>
      <c r="AJ1853" s="682"/>
      <c r="AK1853" s="682"/>
      <c r="AL1853" s="682"/>
      <c r="AM1853" s="682"/>
      <c r="AN1853" s="682"/>
      <c r="AO1853" s="682"/>
      <c r="AP1853" s="682"/>
      <c r="AQ1853" s="682"/>
      <c r="AR1853" s="682"/>
      <c r="AS1853" s="682"/>
    </row>
    <row r="1854" spans="1:45" s="6" customFormat="1" ht="29.1" customHeight="1" x14ac:dyDescent="0.25">
      <c r="A1854" s="2000"/>
      <c r="B1854" s="390" t="s">
        <v>1935</v>
      </c>
      <c r="C1854" s="150" t="s">
        <v>1741</v>
      </c>
      <c r="D1854" s="866" t="s">
        <v>10</v>
      </c>
      <c r="E1854" s="1124">
        <v>46262</v>
      </c>
      <c r="F1854" s="71">
        <f t="shared" si="1131"/>
        <v>24</v>
      </c>
      <c r="G1854" s="11">
        <v>60</v>
      </c>
      <c r="H1854" s="11"/>
      <c r="I1854" s="11"/>
      <c r="J1854" s="1388"/>
      <c r="K1854" s="64">
        <f>IFERROR(SUMIF(INTAKE!$A:$A,$T1854,INTAKE!$P:$P),0)</f>
        <v>0</v>
      </c>
      <c r="L1854" s="1702">
        <f t="shared" si="1132"/>
        <v>60</v>
      </c>
      <c r="M1854" s="101"/>
      <c r="N1854" s="101"/>
      <c r="O1854" s="101"/>
      <c r="P1854" s="738"/>
      <c r="Q1854" s="795"/>
      <c r="R1854" s="785">
        <f>IFERROR(VLOOKUP($Q1854,'391'!$S:$Z,8,0),"")</f>
        <v>0</v>
      </c>
      <c r="S1854" s="786"/>
      <c r="T1854" s="787" t="str">
        <f t="shared" si="1133"/>
        <v>Premix 582X7.146262</v>
      </c>
      <c r="U1854" s="787"/>
      <c r="V1854" s="787"/>
      <c r="W1854" s="785">
        <f>IFERROR(VLOOKUP($Q1854,'391'!$S:$AG,15,0),0)</f>
        <v>0</v>
      </c>
      <c r="X1854" s="1090">
        <f t="shared" si="1106"/>
        <v>60</v>
      </c>
      <c r="Y1854" s="787"/>
      <c r="Z1854" s="791"/>
      <c r="AA1854" s="787"/>
      <c r="AB1854" s="787"/>
      <c r="AC1854" s="679"/>
      <c r="AD1854" s="679"/>
      <c r="AE1854" s="679"/>
      <c r="AF1854" s="679"/>
      <c r="AG1854" s="679"/>
      <c r="AH1854" s="679"/>
      <c r="AI1854" s="682"/>
      <c r="AJ1854" s="682"/>
      <c r="AK1854" s="682"/>
      <c r="AL1854" s="682"/>
      <c r="AM1854" s="682"/>
      <c r="AN1854" s="682"/>
      <c r="AO1854" s="682"/>
      <c r="AP1854" s="682"/>
      <c r="AQ1854" s="682"/>
      <c r="AR1854" s="682"/>
      <c r="AS1854" s="682"/>
    </row>
    <row r="1855" spans="1:45" s="6" customFormat="1" ht="30" customHeight="1" x14ac:dyDescent="0.25">
      <c r="A1855" s="2000"/>
      <c r="B1855" s="390" t="s">
        <v>2196</v>
      </c>
      <c r="C1855" s="150" t="s">
        <v>1741</v>
      </c>
      <c r="D1855" s="866" t="s">
        <v>10</v>
      </c>
      <c r="E1855" s="1124">
        <v>46275</v>
      </c>
      <c r="F1855" s="71">
        <f t="shared" ref="F1855" si="1134">$L$7-E1855</f>
        <v>11</v>
      </c>
      <c r="G1855" s="11">
        <v>90</v>
      </c>
      <c r="H1855" s="11"/>
      <c r="I1855" s="11"/>
      <c r="J1855" s="1388"/>
      <c r="K1855" s="64">
        <f>IFERROR(SUMIF(INTAKE!$A:$A,$T1855,INTAKE!$P:$P),0)</f>
        <v>0</v>
      </c>
      <c r="L1855" s="1702">
        <f t="shared" si="1132"/>
        <v>90</v>
      </c>
      <c r="M1855" s="101"/>
      <c r="N1855" s="101"/>
      <c r="O1855" s="101"/>
      <c r="P1855" s="734"/>
      <c r="Q1855" s="795"/>
      <c r="R1855" s="785">
        <f>IFERROR(VLOOKUP($Q1855,'391'!$S:$Z,8,0),"")</f>
        <v>0</v>
      </c>
      <c r="S1855" s="786"/>
      <c r="T1855" s="787" t="str">
        <f t="shared" si="1133"/>
        <v>Premix 582X7.146275</v>
      </c>
      <c r="U1855" s="787"/>
      <c r="V1855" s="787"/>
      <c r="W1855" s="785">
        <f>IFERROR(VLOOKUP($Q1855,'391'!$S:$AG,15,0),0)</f>
        <v>0</v>
      </c>
      <c r="X1855" s="1090">
        <f t="shared" si="1106"/>
        <v>90</v>
      </c>
      <c r="Y1855" s="787"/>
      <c r="Z1855" s="791"/>
      <c r="AA1855" s="787"/>
      <c r="AB1855" s="787"/>
      <c r="AC1855" s="679"/>
      <c r="AD1855" s="679"/>
      <c r="AE1855" s="679"/>
      <c r="AF1855" s="679"/>
      <c r="AG1855" s="679"/>
      <c r="AH1855" s="679"/>
      <c r="AI1855" s="682"/>
      <c r="AJ1855" s="682"/>
      <c r="AK1855" s="682"/>
      <c r="AL1855" s="682"/>
      <c r="AM1855" s="682"/>
      <c r="AN1855" s="682"/>
      <c r="AO1855" s="682"/>
      <c r="AP1855" s="682"/>
      <c r="AQ1855" s="682"/>
      <c r="AR1855" s="682"/>
      <c r="AS1855" s="682"/>
    </row>
    <row r="1856" spans="1:45" s="6" customFormat="1" ht="30" hidden="1" customHeight="1" x14ac:dyDescent="0.25">
      <c r="A1856" s="2000"/>
      <c r="B1856" s="390" t="s">
        <v>1808</v>
      </c>
      <c r="C1856" s="150"/>
      <c r="D1856" s="866" t="s">
        <v>10</v>
      </c>
      <c r="E1856" s="1124">
        <v>46135</v>
      </c>
      <c r="F1856" s="71">
        <f t="shared" si="1131"/>
        <v>151</v>
      </c>
      <c r="G1856" s="11">
        <v>0</v>
      </c>
      <c r="H1856" s="11"/>
      <c r="I1856" s="11"/>
      <c r="J1856" s="1365"/>
      <c r="K1856" s="64">
        <f>IFERROR(SUMIF(INTAKE!$A:$A,$T1856,INTAKE!$P:$P),0)</f>
        <v>0</v>
      </c>
      <c r="L1856" s="1702">
        <f t="shared" si="1132"/>
        <v>0</v>
      </c>
      <c r="M1856" s="101"/>
      <c r="N1856" s="1460"/>
      <c r="O1856" s="101"/>
      <c r="P1856" s="738"/>
      <c r="Q1856" s="795"/>
      <c r="R1856" s="785">
        <f>IFERROR(VLOOKUP($Q1856,'391'!$S:$Z,8,0),"")</f>
        <v>0</v>
      </c>
      <c r="S1856" s="786"/>
      <c r="T1856" s="787" t="str">
        <f t="shared" si="1133"/>
        <v>Premix 58246135</v>
      </c>
      <c r="U1856" s="787"/>
      <c r="V1856" s="787"/>
      <c r="W1856" s="785">
        <f>IFERROR(VLOOKUP($Q1856,'391'!$S:$AG,15,0),0)</f>
        <v>0</v>
      </c>
      <c r="X1856" s="1090">
        <f t="shared" si="1106"/>
        <v>0</v>
      </c>
      <c r="Y1856" s="787"/>
      <c r="Z1856" s="791"/>
      <c r="AA1856" s="787"/>
      <c r="AB1856" s="787"/>
      <c r="AC1856" s="679"/>
      <c r="AD1856" s="679"/>
      <c r="AE1856" s="679"/>
      <c r="AF1856" s="679"/>
      <c r="AG1856" s="679"/>
      <c r="AH1856" s="679"/>
      <c r="AI1856" s="682"/>
      <c r="AJ1856" s="682"/>
      <c r="AK1856" s="682"/>
      <c r="AL1856" s="682"/>
      <c r="AM1856" s="682"/>
      <c r="AN1856" s="682"/>
      <c r="AO1856" s="682"/>
      <c r="AP1856" s="682"/>
      <c r="AQ1856" s="682"/>
      <c r="AR1856" s="682"/>
      <c r="AS1856" s="682"/>
    </row>
    <row r="1857" spans="1:45" s="6" customFormat="1" ht="30" hidden="1" customHeight="1" x14ac:dyDescent="0.25">
      <c r="A1857" s="2000"/>
      <c r="B1857" s="390" t="s">
        <v>1436</v>
      </c>
      <c r="C1857" s="150"/>
      <c r="D1857" s="866" t="s">
        <v>10</v>
      </c>
      <c r="E1857" s="1124">
        <v>45471</v>
      </c>
      <c r="F1857" s="71">
        <f t="shared" si="1131"/>
        <v>815</v>
      </c>
      <c r="G1857" s="11">
        <v>0</v>
      </c>
      <c r="H1857" s="11"/>
      <c r="I1857" s="11"/>
      <c r="J1857" s="1388"/>
      <c r="K1857" s="64">
        <f>IFERROR(SUMIF(INTAKE!$A:$A,$T1857,INTAKE!$P:$P),0)</f>
        <v>0</v>
      </c>
      <c r="L1857" s="1533">
        <f t="shared" si="1132"/>
        <v>0</v>
      </c>
      <c r="M1857" s="101"/>
      <c r="N1857" s="1460"/>
      <c r="O1857" s="101"/>
      <c r="P1857" s="738"/>
      <c r="Q1857" s="795"/>
      <c r="R1857" s="785">
        <f>IFERROR(VLOOKUP($Q1857,'391'!$S:$Z,8,0),"")</f>
        <v>0</v>
      </c>
      <c r="S1857" s="786"/>
      <c r="T1857" s="787" t="str">
        <f t="shared" si="1133"/>
        <v>Premix 58245471</v>
      </c>
      <c r="U1857" s="787"/>
      <c r="V1857" s="787"/>
      <c r="W1857" s="785">
        <f>IFERROR(VLOOKUP($Q1857,'391'!$S:$AG,15,0),0)</f>
        <v>0</v>
      </c>
      <c r="X1857" s="1090">
        <f t="shared" si="1106"/>
        <v>0</v>
      </c>
      <c r="Y1857" s="787"/>
      <c r="Z1857" s="791"/>
      <c r="AA1857" s="787"/>
      <c r="AB1857" s="787"/>
      <c r="AC1857" s="679"/>
      <c r="AD1857" s="679"/>
      <c r="AE1857" s="679"/>
      <c r="AF1857" s="679"/>
      <c r="AG1857" s="679"/>
      <c r="AH1857" s="679"/>
      <c r="AI1857" s="682"/>
      <c r="AJ1857" s="682"/>
      <c r="AK1857" s="682"/>
      <c r="AL1857" s="682"/>
      <c r="AM1857" s="682"/>
      <c r="AN1857" s="682"/>
      <c r="AO1857" s="682"/>
      <c r="AP1857" s="682"/>
      <c r="AQ1857" s="682"/>
      <c r="AR1857" s="682"/>
      <c r="AS1857" s="682"/>
    </row>
    <row r="1858" spans="1:45" s="6" customFormat="1" ht="30" hidden="1" customHeight="1" x14ac:dyDescent="0.25">
      <c r="A1858" s="2000"/>
      <c r="B1858" s="390" t="s">
        <v>472</v>
      </c>
      <c r="C1858" s="150"/>
      <c r="D1858" s="866" t="s">
        <v>10</v>
      </c>
      <c r="E1858" s="1124">
        <v>43412</v>
      </c>
      <c r="F1858" s="71">
        <f t="shared" si="1131"/>
        <v>2874</v>
      </c>
      <c r="G1858" s="11">
        <v>0</v>
      </c>
      <c r="H1858" s="11"/>
      <c r="I1858" s="11"/>
      <c r="J1858" s="1388"/>
      <c r="K1858" s="64">
        <f>IFERROR(SUMIF(INTAKE!$A:$A,$T1858,INTAKE!$P:$P),0)</f>
        <v>0</v>
      </c>
      <c r="L1858" s="1533">
        <f t="shared" si="1132"/>
        <v>0</v>
      </c>
      <c r="M1858" s="101"/>
      <c r="N1858" s="1460"/>
      <c r="O1858" s="101"/>
      <c r="P1858" s="738"/>
      <c r="Q1858" s="795"/>
      <c r="R1858" s="785">
        <f>IFERROR(VLOOKUP($Q1858,'391'!$S:$Z,8,0),"")</f>
        <v>0</v>
      </c>
      <c r="S1858" s="786"/>
      <c r="T1858" s="787" t="str">
        <f t="shared" si="1133"/>
        <v>Premix 58243412</v>
      </c>
      <c r="U1858" s="787"/>
      <c r="V1858" s="787"/>
      <c r="W1858" s="785">
        <f>IFERROR(VLOOKUP($Q1858,'391'!$S:$AG,15,0),0)</f>
        <v>0</v>
      </c>
      <c r="X1858" s="1090">
        <f t="shared" si="1106"/>
        <v>0</v>
      </c>
      <c r="Y1858" s="787"/>
      <c r="Z1858" s="791"/>
      <c r="AA1858" s="787"/>
      <c r="AB1858" s="787"/>
      <c r="AC1858" s="679"/>
      <c r="AD1858" s="679"/>
      <c r="AE1858" s="679"/>
      <c r="AF1858" s="679"/>
      <c r="AG1858" s="679"/>
      <c r="AH1858" s="679"/>
      <c r="AI1858" s="682"/>
      <c r="AJ1858" s="682"/>
      <c r="AK1858" s="682"/>
      <c r="AL1858" s="682"/>
      <c r="AM1858" s="682"/>
      <c r="AN1858" s="682"/>
      <c r="AO1858" s="682"/>
      <c r="AP1858" s="682"/>
      <c r="AQ1858" s="682"/>
      <c r="AR1858" s="682"/>
      <c r="AS1858" s="682"/>
    </row>
    <row r="1859" spans="1:45" s="6" customFormat="1" ht="30" customHeight="1" x14ac:dyDescent="0.25">
      <c r="A1859" s="2000"/>
      <c r="B1859" s="1023" t="s">
        <v>1926</v>
      </c>
      <c r="C1859" s="188" t="s">
        <v>46</v>
      </c>
      <c r="D1859" s="884" t="s">
        <v>10</v>
      </c>
      <c r="E1859" s="1125">
        <v>46254</v>
      </c>
      <c r="F1859" s="71">
        <f t="shared" si="1131"/>
        <v>32</v>
      </c>
      <c r="G1859" s="974">
        <v>82.63000000000001</v>
      </c>
      <c r="H1859" s="11"/>
      <c r="I1859" s="974">
        <f>+SUM(K1852:K1856)</f>
        <v>0</v>
      </c>
      <c r="J1859" s="1365">
        <f>+usage!I254</f>
        <v>0</v>
      </c>
      <c r="K1859" s="64">
        <f>IFERROR(SUMIF(INTAKE!$A:$A,$T1859,INTAKE!$P:$P),0)</f>
        <v>0</v>
      </c>
      <c r="L1859" s="1533">
        <f t="shared" si="1132"/>
        <v>82.63000000000001</v>
      </c>
      <c r="M1859" s="101"/>
      <c r="N1859" s="1474"/>
      <c r="O1859" s="24"/>
      <c r="P1859" s="740"/>
      <c r="Q1859" s="795"/>
      <c r="R1859" s="785">
        <f>IFERROR(VLOOKUP($Q1859,'391'!$S:$Z,8,0),"")</f>
        <v>0</v>
      </c>
      <c r="S1859" s="786"/>
      <c r="T1859" s="787" t="str">
        <f t="shared" si="1133"/>
        <v>Premix 582Feedmill46254</v>
      </c>
      <c r="U1859" s="787"/>
      <c r="V1859" s="787"/>
      <c r="W1859" s="785">
        <f>IFERROR(VLOOKUP($Q1859,'391'!$S:$AG,15,0),0)</f>
        <v>0</v>
      </c>
      <c r="X1859" s="1090">
        <f t="shared" si="1106"/>
        <v>82.63000000000001</v>
      </c>
      <c r="Y1859" s="787"/>
      <c r="Z1859" s="791"/>
      <c r="AA1859" s="787"/>
      <c r="AB1859" s="787"/>
      <c r="AC1859" s="679"/>
      <c r="AD1859" s="679"/>
      <c r="AE1859" s="679"/>
      <c r="AF1859" s="679"/>
      <c r="AG1859" s="679"/>
      <c r="AH1859" s="679"/>
      <c r="AI1859" s="682"/>
      <c r="AJ1859" s="682"/>
      <c r="AK1859" s="682"/>
      <c r="AL1859" s="682"/>
      <c r="AM1859" s="682"/>
      <c r="AN1859" s="682"/>
      <c r="AO1859" s="682"/>
      <c r="AP1859" s="682"/>
      <c r="AQ1859" s="682"/>
      <c r="AR1859" s="682"/>
      <c r="AS1859" s="682"/>
    </row>
    <row r="1860" spans="1:45" s="420" customFormat="1" ht="30" customHeight="1" x14ac:dyDescent="0.25">
      <c r="A1860" s="2003" t="s">
        <v>175</v>
      </c>
      <c r="B1860" s="2004"/>
      <c r="C1860" s="1038"/>
      <c r="D1860" s="1034"/>
      <c r="E1860" s="1127"/>
      <c r="F1860" s="1034"/>
      <c r="G1860" s="1328">
        <v>232.63</v>
      </c>
      <c r="H1860" s="1328">
        <f t="shared" ref="H1860:I1860" si="1135">SUM(H1852:H1859)</f>
        <v>0</v>
      </c>
      <c r="I1860" s="1328">
        <f t="shared" si="1135"/>
        <v>0</v>
      </c>
      <c r="J1860" s="1328">
        <f t="shared" ref="J1860:L1860" si="1136">SUM(J1852:J1859)</f>
        <v>0</v>
      </c>
      <c r="K1860" s="1328">
        <f t="shared" si="1136"/>
        <v>0</v>
      </c>
      <c r="L1860" s="1328">
        <f t="shared" si="1136"/>
        <v>232.63</v>
      </c>
      <c r="M1860" s="889">
        <f>IFERROR(R1860/$S$2,"")</f>
        <v>8.3000000000000007</v>
      </c>
      <c r="N1860" s="854">
        <f>IFERROR(L1860/M1860,0)</f>
        <v>28.027710843373491</v>
      </c>
      <c r="O1860" s="889">
        <f>IFERROR(SUMIF(ETM!$A:$A,$Q1860,ETM!$E:$E),"")</f>
        <v>11.999999999999998</v>
      </c>
      <c r="P1860" s="880">
        <f>IFERROR(L1860/O1860,0)</f>
        <v>19.385833333333334</v>
      </c>
      <c r="Q1860" s="814" t="s">
        <v>637</v>
      </c>
      <c r="R1860" s="785">
        <f>IFERROR(VLOOKUP($Q1860,'391'!$S:$Z,8,0),"")</f>
        <v>49.800000000000004</v>
      </c>
      <c r="S1860" s="786"/>
      <c r="T1860" s="787"/>
      <c r="U1860" s="787"/>
      <c r="V1860" s="787"/>
      <c r="W1860" s="785">
        <f>IFERROR(VLOOKUP($Q1860,'391'!$S:$AG,15,0),0)</f>
        <v>232.63</v>
      </c>
      <c r="X1860" s="1090">
        <f t="shared" si="1106"/>
        <v>0</v>
      </c>
      <c r="Y1860" s="787"/>
      <c r="Z1860" s="791"/>
      <c r="AA1860" s="787"/>
      <c r="AB1860" s="787"/>
      <c r="AC1860" s="550"/>
      <c r="AD1860" s="550"/>
      <c r="AE1860" s="550"/>
      <c r="AF1860" s="550"/>
      <c r="AG1860" s="550"/>
      <c r="AH1860" s="550"/>
      <c r="AI1860" s="559"/>
      <c r="AJ1860" s="559"/>
      <c r="AK1860" s="559"/>
      <c r="AL1860" s="559"/>
      <c r="AM1860" s="559"/>
      <c r="AN1860" s="559"/>
      <c r="AO1860" s="559"/>
      <c r="AP1860" s="559"/>
      <c r="AQ1860" s="559"/>
      <c r="AR1860" s="559"/>
      <c r="AS1860" s="559"/>
    </row>
    <row r="1861" spans="1:45" s="6" customFormat="1" ht="30" hidden="1" customHeight="1" x14ac:dyDescent="0.25">
      <c r="A1861" s="2001">
        <f>IF(L1868=0,"",MAX($A$16:A1860)+1)</f>
        <v>132</v>
      </c>
      <c r="B1861" s="390" t="s">
        <v>1160</v>
      </c>
      <c r="C1861" s="186"/>
      <c r="D1861" s="866" t="s">
        <v>10</v>
      </c>
      <c r="E1861" s="1135">
        <v>44666</v>
      </c>
      <c r="F1861" s="71">
        <f t="shared" ref="F1861:F1867" si="1137">$L$7-E1861</f>
        <v>1620</v>
      </c>
      <c r="G1861" s="11">
        <v>0</v>
      </c>
      <c r="H1861" s="11"/>
      <c r="I1861" s="11"/>
      <c r="J1861" s="1442"/>
      <c r="K1861" s="64">
        <f>IFERROR(SUMIF(INTAKE!$A:$A,$T1861,INTAKE!$P:$P),0)</f>
        <v>0</v>
      </c>
      <c r="L1861" s="1533">
        <f t="shared" ref="L1861:L1867" si="1138">+G1861+H1861+I1861-J1861-K1861</f>
        <v>0</v>
      </c>
      <c r="M1861" s="147"/>
      <c r="N1861" s="248"/>
      <c r="O1861" s="147"/>
      <c r="P1861" s="748"/>
      <c r="Q1861" s="795"/>
      <c r="R1861" s="785">
        <f>IFERROR(VLOOKUP($Q1861,'391'!$S:$Z,8,0),"")</f>
        <v>0</v>
      </c>
      <c r="S1861" s="786"/>
      <c r="T1861" s="787" t="str">
        <f t="shared" ref="T1861:T1867" si="1139">$Q$1868&amp;C1861&amp;E1861</f>
        <v>Premix MC-069744666</v>
      </c>
      <c r="U1861" s="787"/>
      <c r="V1861" s="787"/>
      <c r="W1861" s="785">
        <f>IFERROR(VLOOKUP($Q1861,'391'!$S:$AG,15,0),0)</f>
        <v>0</v>
      </c>
      <c r="X1861" s="1090">
        <f t="shared" si="1106"/>
        <v>0</v>
      </c>
      <c r="Y1861" s="787"/>
      <c r="Z1861" s="791"/>
      <c r="AA1861" s="787"/>
      <c r="AB1861" s="787"/>
      <c r="AC1861" s="679"/>
      <c r="AD1861" s="679"/>
      <c r="AE1861" s="679"/>
      <c r="AF1861" s="679"/>
      <c r="AG1861" s="679"/>
      <c r="AH1861" s="679"/>
      <c r="AI1861" s="682"/>
      <c r="AJ1861" s="682"/>
      <c r="AK1861" s="682"/>
      <c r="AL1861" s="682"/>
      <c r="AM1861" s="682"/>
      <c r="AN1861" s="682"/>
      <c r="AO1861" s="682"/>
      <c r="AP1861" s="682"/>
      <c r="AQ1861" s="682"/>
      <c r="AR1861" s="682"/>
      <c r="AS1861" s="682"/>
    </row>
    <row r="1862" spans="1:45" s="6" customFormat="1" ht="30" customHeight="1" x14ac:dyDescent="0.25">
      <c r="A1862" s="2002"/>
      <c r="B1862" s="390" t="s">
        <v>1959</v>
      </c>
      <c r="C1862" s="186" t="s">
        <v>226</v>
      </c>
      <c r="D1862" s="866" t="s">
        <v>10</v>
      </c>
      <c r="E1862" s="1135">
        <v>46270</v>
      </c>
      <c r="F1862" s="71">
        <f t="shared" ref="F1862:F1863" si="1140">$L$7-E1862</f>
        <v>16</v>
      </c>
      <c r="G1862" s="11">
        <v>120</v>
      </c>
      <c r="H1862" s="11"/>
      <c r="I1862" s="11"/>
      <c r="J1862" s="1442"/>
      <c r="K1862" s="1348">
        <f>IFERROR(SUMIF(INTAKE!$A:$A,$T1862,INTAKE!$P:$P),0)</f>
        <v>60</v>
      </c>
      <c r="L1862" s="1702">
        <f t="shared" si="1138"/>
        <v>60</v>
      </c>
      <c r="M1862" s="101"/>
      <c r="N1862" s="249"/>
      <c r="O1862" s="101"/>
      <c r="P1862" s="750"/>
      <c r="Q1862" s="795"/>
      <c r="R1862" s="785">
        <f>IFERROR(VLOOKUP($Q1862,'391'!$S:$Z,8,0),"")</f>
        <v>0</v>
      </c>
      <c r="S1862" s="786"/>
      <c r="T1862" s="787" t="str">
        <f t="shared" si="1139"/>
        <v>Premix MC-0697X4.146270</v>
      </c>
      <c r="U1862" s="787"/>
      <c r="V1862" s="787"/>
      <c r="W1862" s="785">
        <f>IFERROR(VLOOKUP($Q1862,'391'!$S:$AG,15,0),0)</f>
        <v>0</v>
      </c>
      <c r="X1862" s="1090">
        <f t="shared" si="1106"/>
        <v>120</v>
      </c>
      <c r="Y1862" s="787"/>
      <c r="Z1862" s="791"/>
      <c r="AA1862" s="787"/>
      <c r="AB1862" s="787"/>
      <c r="AC1862" s="679"/>
      <c r="AD1862" s="679"/>
      <c r="AE1862" s="679"/>
      <c r="AF1862" s="679"/>
      <c r="AG1862" s="679"/>
      <c r="AH1862" s="679"/>
      <c r="AI1862" s="682"/>
      <c r="AJ1862" s="682"/>
      <c r="AK1862" s="682"/>
      <c r="AL1862" s="682"/>
      <c r="AM1862" s="682"/>
      <c r="AN1862" s="682"/>
      <c r="AO1862" s="682"/>
      <c r="AP1862" s="682"/>
      <c r="AQ1862" s="682"/>
      <c r="AR1862" s="682"/>
      <c r="AS1862" s="682"/>
    </row>
    <row r="1863" spans="1:45" s="6" customFormat="1" ht="32.25" customHeight="1" x14ac:dyDescent="0.25">
      <c r="A1863" s="2002"/>
      <c r="B1863" s="390" t="s">
        <v>2197</v>
      </c>
      <c r="C1863" s="186" t="s">
        <v>226</v>
      </c>
      <c r="D1863" s="866" t="s">
        <v>10</v>
      </c>
      <c r="E1863" s="1135">
        <v>46275</v>
      </c>
      <c r="F1863" s="71">
        <f t="shared" si="1140"/>
        <v>11</v>
      </c>
      <c r="G1863" s="11">
        <v>630</v>
      </c>
      <c r="H1863" s="11"/>
      <c r="I1863" s="11"/>
      <c r="J1863" s="1442"/>
      <c r="K1863" s="64">
        <f>IFERROR(SUMIF(INTAKE!$A:$A,$T1863,INTAKE!$P:$P),0)</f>
        <v>0</v>
      </c>
      <c r="L1863" s="1702">
        <f t="shared" si="1138"/>
        <v>630</v>
      </c>
      <c r="M1863" s="101"/>
      <c r="N1863" s="249"/>
      <c r="O1863" s="101"/>
      <c r="P1863" s="750"/>
      <c r="Q1863" s="795"/>
      <c r="R1863" s="785">
        <f>IFERROR(VLOOKUP($Q1863,'391'!$S:$Z,8,0),"")</f>
        <v>0</v>
      </c>
      <c r="S1863" s="786"/>
      <c r="T1863" s="787" t="str">
        <f t="shared" si="1139"/>
        <v>Premix MC-0697X4.146275</v>
      </c>
      <c r="U1863" s="787"/>
      <c r="V1863" s="787"/>
      <c r="W1863" s="785">
        <f>IFERROR(VLOOKUP($Q1863,'391'!$S:$AG,15,0),0)</f>
        <v>0</v>
      </c>
      <c r="X1863" s="1090">
        <f t="shared" ref="X1863:X1933" si="1141">G1863-W1863</f>
        <v>630</v>
      </c>
      <c r="Y1863" s="787"/>
      <c r="Z1863" s="791"/>
      <c r="AA1863" s="787"/>
      <c r="AB1863" s="787"/>
      <c r="AC1863" s="679"/>
      <c r="AD1863" s="679"/>
      <c r="AE1863" s="679"/>
      <c r="AF1863" s="679"/>
      <c r="AG1863" s="679"/>
      <c r="AH1863" s="679"/>
      <c r="AI1863" s="682"/>
      <c r="AJ1863" s="682"/>
      <c r="AK1863" s="682"/>
      <c r="AL1863" s="682"/>
      <c r="AM1863" s="682"/>
      <c r="AN1863" s="682"/>
      <c r="AO1863" s="682"/>
      <c r="AP1863" s="682"/>
      <c r="AQ1863" s="682"/>
      <c r="AR1863" s="682"/>
      <c r="AS1863" s="682"/>
    </row>
    <row r="1864" spans="1:45" s="6" customFormat="1" ht="30" customHeight="1" x14ac:dyDescent="0.25">
      <c r="A1864" s="2002"/>
      <c r="B1864" s="390" t="s">
        <v>2247</v>
      </c>
      <c r="C1864" s="186" t="s">
        <v>226</v>
      </c>
      <c r="D1864" s="866" t="s">
        <v>10</v>
      </c>
      <c r="E1864" s="1135">
        <v>46283</v>
      </c>
      <c r="F1864" s="71">
        <f t="shared" ref="F1864" si="1142">$L$7-E1864</f>
        <v>3</v>
      </c>
      <c r="G1864" s="11">
        <v>510</v>
      </c>
      <c r="H1864" s="11"/>
      <c r="I1864" s="11"/>
      <c r="J1864" s="1442"/>
      <c r="K1864" s="64">
        <f>IFERROR(SUMIF(INTAKE!$A:$A,$T1864,INTAKE!$P:$P),0)</f>
        <v>0</v>
      </c>
      <c r="L1864" s="1702">
        <f t="shared" si="1138"/>
        <v>510</v>
      </c>
      <c r="M1864" s="101"/>
      <c r="N1864" s="249"/>
      <c r="O1864" s="101"/>
      <c r="P1864" s="750"/>
      <c r="Q1864" s="795"/>
      <c r="R1864" s="785">
        <f>IFERROR(VLOOKUP($Q1864,'391'!$S:$Z,8,0),"")</f>
        <v>0</v>
      </c>
      <c r="S1864" s="786"/>
      <c r="T1864" s="787" t="str">
        <f t="shared" si="1139"/>
        <v>Premix MC-0697X4.146283</v>
      </c>
      <c r="U1864" s="787"/>
      <c r="V1864" s="787"/>
      <c r="W1864" s="785">
        <f>IFERROR(VLOOKUP($Q1864,'391'!$S:$AG,15,0),0)</f>
        <v>0</v>
      </c>
      <c r="X1864" s="1090">
        <f t="shared" si="1141"/>
        <v>510</v>
      </c>
      <c r="Y1864" s="787"/>
      <c r="Z1864" s="791"/>
      <c r="AA1864" s="787"/>
      <c r="AB1864" s="787"/>
      <c r="AC1864" s="679"/>
      <c r="AD1864" s="679"/>
      <c r="AE1864" s="679"/>
      <c r="AF1864" s="679"/>
      <c r="AG1864" s="679"/>
      <c r="AH1864" s="679"/>
      <c r="AI1864" s="682"/>
      <c r="AJ1864" s="682"/>
      <c r="AK1864" s="682"/>
      <c r="AL1864" s="682"/>
      <c r="AM1864" s="682"/>
      <c r="AN1864" s="682"/>
      <c r="AO1864" s="682"/>
      <c r="AP1864" s="682"/>
      <c r="AQ1864" s="682"/>
      <c r="AR1864" s="682"/>
      <c r="AS1864" s="682"/>
    </row>
    <row r="1865" spans="1:45" s="6" customFormat="1" ht="30" hidden="1" customHeight="1" x14ac:dyDescent="0.25">
      <c r="A1865" s="2002"/>
      <c r="B1865" s="390" t="s">
        <v>1915</v>
      </c>
      <c r="C1865" s="186"/>
      <c r="D1865" s="866" t="s">
        <v>10</v>
      </c>
      <c r="E1865" s="1135">
        <v>46247</v>
      </c>
      <c r="F1865" s="71">
        <f t="shared" si="1137"/>
        <v>39</v>
      </c>
      <c r="G1865" s="11">
        <v>0</v>
      </c>
      <c r="H1865" s="11"/>
      <c r="I1865" s="11"/>
      <c r="J1865" s="1442"/>
      <c r="K1865" s="64">
        <f>IFERROR(SUMIF(INTAKE!$A:$A,$T1865,INTAKE!$P:$P),0)</f>
        <v>0</v>
      </c>
      <c r="L1865" s="1702">
        <f t="shared" si="1138"/>
        <v>0</v>
      </c>
      <c r="M1865" s="101"/>
      <c r="N1865" s="249"/>
      <c r="O1865" s="101"/>
      <c r="P1865" s="750"/>
      <c r="Q1865" s="795"/>
      <c r="R1865" s="785">
        <f>IFERROR(VLOOKUP($Q1865,'391'!$S:$Z,8,0),"")</f>
        <v>0</v>
      </c>
      <c r="S1865" s="786"/>
      <c r="T1865" s="787" t="str">
        <f t="shared" si="1139"/>
        <v>Premix MC-069746247</v>
      </c>
      <c r="U1865" s="787"/>
      <c r="V1865" s="787"/>
      <c r="W1865" s="785">
        <f>IFERROR(VLOOKUP($Q1865,'391'!$S:$AG,15,0),0)</f>
        <v>0</v>
      </c>
      <c r="X1865" s="1090">
        <f t="shared" si="1141"/>
        <v>0</v>
      </c>
      <c r="Y1865" s="787"/>
      <c r="Z1865" s="791"/>
      <c r="AA1865" s="787"/>
      <c r="AB1865" s="787"/>
      <c r="AC1865" s="679"/>
      <c r="AD1865" s="679"/>
      <c r="AE1865" s="679"/>
      <c r="AF1865" s="679"/>
      <c r="AG1865" s="679"/>
      <c r="AH1865" s="679"/>
      <c r="AI1865" s="682"/>
      <c r="AJ1865" s="682"/>
      <c r="AK1865" s="682"/>
      <c r="AL1865" s="682"/>
      <c r="AM1865" s="682"/>
      <c r="AN1865" s="682"/>
      <c r="AO1865" s="682"/>
      <c r="AP1865" s="682"/>
      <c r="AQ1865" s="682"/>
      <c r="AR1865" s="682"/>
      <c r="AS1865" s="682"/>
    </row>
    <row r="1866" spans="1:45" s="6" customFormat="1" ht="30" hidden="1" customHeight="1" x14ac:dyDescent="0.25">
      <c r="A1866" s="2002"/>
      <c r="B1866" s="390" t="s">
        <v>1735</v>
      </c>
      <c r="C1866" s="186"/>
      <c r="D1866" s="866" t="s">
        <v>10</v>
      </c>
      <c r="E1866" s="1135">
        <v>46038</v>
      </c>
      <c r="F1866" s="71">
        <f t="shared" si="1137"/>
        <v>248</v>
      </c>
      <c r="G1866" s="11">
        <v>0</v>
      </c>
      <c r="H1866" s="11"/>
      <c r="I1866" s="11"/>
      <c r="J1866" s="1442"/>
      <c r="K1866" s="64">
        <f>IFERROR(SUMIF(INTAKE!$A:$A,$T1866,INTAKE!$P:$P),0)</f>
        <v>0</v>
      </c>
      <c r="L1866" s="1533">
        <f t="shared" si="1138"/>
        <v>0</v>
      </c>
      <c r="M1866" s="101"/>
      <c r="N1866" s="249"/>
      <c r="O1866" s="101"/>
      <c r="P1866" s="750"/>
      <c r="Q1866" s="795"/>
      <c r="R1866" s="785">
        <f>IFERROR(VLOOKUP($Q1866,'391'!$S:$Z,8,0),"")</f>
        <v>0</v>
      </c>
      <c r="S1866" s="786"/>
      <c r="T1866" s="787" t="str">
        <f t="shared" si="1139"/>
        <v>Premix MC-069746038</v>
      </c>
      <c r="U1866" s="787"/>
      <c r="V1866" s="787"/>
      <c r="W1866" s="785">
        <f>IFERROR(VLOOKUP($Q1866,'391'!$S:$AG,15,0),0)</f>
        <v>0</v>
      </c>
      <c r="X1866" s="1090">
        <f t="shared" si="1141"/>
        <v>0</v>
      </c>
      <c r="Y1866" s="787"/>
      <c r="Z1866" s="791"/>
      <c r="AA1866" s="787"/>
      <c r="AB1866" s="787"/>
      <c r="AC1866" s="679"/>
      <c r="AD1866" s="679"/>
      <c r="AE1866" s="679"/>
      <c r="AF1866" s="679"/>
      <c r="AG1866" s="679"/>
      <c r="AH1866" s="679"/>
      <c r="AI1866" s="682"/>
      <c r="AJ1866" s="682"/>
      <c r="AK1866" s="682"/>
      <c r="AL1866" s="682"/>
      <c r="AM1866" s="682"/>
      <c r="AN1866" s="682"/>
      <c r="AO1866" s="682"/>
      <c r="AP1866" s="682"/>
      <c r="AQ1866" s="682"/>
      <c r="AR1866" s="682"/>
      <c r="AS1866" s="682"/>
    </row>
    <row r="1867" spans="1:45" s="6" customFormat="1" ht="30" customHeight="1" x14ac:dyDescent="0.25">
      <c r="A1867" s="2002"/>
      <c r="B1867" s="1014" t="s">
        <v>1936</v>
      </c>
      <c r="C1867" s="151" t="s">
        <v>46</v>
      </c>
      <c r="D1867" s="884" t="s">
        <v>10</v>
      </c>
      <c r="E1867" s="1132">
        <v>46262</v>
      </c>
      <c r="F1867" s="71">
        <f t="shared" si="1137"/>
        <v>24</v>
      </c>
      <c r="G1867" s="58">
        <v>105.14999999999998</v>
      </c>
      <c r="H1867" s="11"/>
      <c r="I1867" s="58">
        <f>+SUM(K1861:K1865)</f>
        <v>60</v>
      </c>
      <c r="J1867" s="1366">
        <f>+usage!I234</f>
        <v>159.6</v>
      </c>
      <c r="K1867" s="64">
        <f>IFERROR(SUMIF(INTAKE!$A:$A,$T1867,INTAKE!$P:$P),0)</f>
        <v>0</v>
      </c>
      <c r="L1867" s="1533">
        <f t="shared" si="1138"/>
        <v>5.5499999999999829</v>
      </c>
      <c r="M1867" s="101"/>
      <c r="N1867" s="249"/>
      <c r="O1867" s="101"/>
      <c r="P1867" s="750"/>
      <c r="Q1867" s="795"/>
      <c r="R1867" s="785">
        <f>IFERROR(VLOOKUP($Q1867,'391'!$S:$Z,8,0),"")</f>
        <v>0</v>
      </c>
      <c r="S1867" s="786"/>
      <c r="T1867" s="787" t="str">
        <f t="shared" si="1139"/>
        <v>Premix MC-0697Feedmill46262</v>
      </c>
      <c r="U1867" s="787"/>
      <c r="V1867" s="787"/>
      <c r="W1867" s="785">
        <f>IFERROR(VLOOKUP($Q1867,'391'!$S:$AG,15,0),0)</f>
        <v>0</v>
      </c>
      <c r="X1867" s="1090">
        <f t="shared" si="1141"/>
        <v>105.14999999999998</v>
      </c>
      <c r="Y1867" s="787"/>
      <c r="Z1867" s="791"/>
      <c r="AA1867" s="787"/>
      <c r="AB1867" s="787"/>
      <c r="AC1867" s="679"/>
      <c r="AD1867" s="679"/>
      <c r="AE1867" s="679"/>
      <c r="AF1867" s="679"/>
      <c r="AG1867" s="679"/>
      <c r="AH1867" s="679"/>
      <c r="AI1867" s="682"/>
      <c r="AJ1867" s="682"/>
      <c r="AK1867" s="682"/>
      <c r="AL1867" s="682"/>
      <c r="AM1867" s="682"/>
      <c r="AN1867" s="682"/>
      <c r="AO1867" s="682"/>
      <c r="AP1867" s="682"/>
      <c r="AQ1867" s="682"/>
      <c r="AR1867" s="682"/>
      <c r="AS1867" s="682"/>
    </row>
    <row r="1868" spans="1:45" s="420" customFormat="1" ht="30" customHeight="1" x14ac:dyDescent="0.25">
      <c r="A1868" s="2003" t="s">
        <v>47</v>
      </c>
      <c r="B1868" s="2004"/>
      <c r="C1868" s="1033"/>
      <c r="D1868" s="1034"/>
      <c r="E1868" s="1127"/>
      <c r="F1868" s="1034"/>
      <c r="G1868" s="1328">
        <v>1365.15</v>
      </c>
      <c r="H1868" s="1328">
        <f t="shared" ref="H1868:I1868" si="1143">SUM(H1861:H1867)</f>
        <v>0</v>
      </c>
      <c r="I1868" s="1328">
        <f t="shared" si="1143"/>
        <v>60</v>
      </c>
      <c r="J1868" s="1328">
        <f t="shared" ref="J1868:L1868" si="1144">SUM(J1861:J1867)</f>
        <v>159.6</v>
      </c>
      <c r="K1868" s="1328">
        <f t="shared" si="1144"/>
        <v>60</v>
      </c>
      <c r="L1868" s="1328">
        <f t="shared" si="1144"/>
        <v>1205.55</v>
      </c>
      <c r="M1868" s="889">
        <f>IFERROR(R1868/$S$2,"")</f>
        <v>42</v>
      </c>
      <c r="N1868" s="854">
        <f>IFERROR(L1868/M1868,0)</f>
        <v>28.703571428571429</v>
      </c>
      <c r="O1868" s="889">
        <f>IFERROR(SUMIF(ETM!$A:$A,$Q1868,ETM!$E:$E),"")</f>
        <v>62.666666666666664</v>
      </c>
      <c r="P1868" s="880">
        <f>IFERROR(L1868/O1868,0)</f>
        <v>19.237500000000001</v>
      </c>
      <c r="Q1868" s="814" t="s">
        <v>638</v>
      </c>
      <c r="R1868" s="785">
        <f>IFERROR(VLOOKUP($Q1868,'391'!$S:$Z,8,0),"")</f>
        <v>252</v>
      </c>
      <c r="S1868" s="786"/>
      <c r="T1868" s="787"/>
      <c r="U1868" s="787"/>
      <c r="V1868" s="787"/>
      <c r="W1868" s="785">
        <f>IFERROR(VLOOKUP($Q1868,'391'!$S:$AG,15,0),0)</f>
        <v>1365.15</v>
      </c>
      <c r="X1868" s="1090">
        <f t="shared" si="1141"/>
        <v>0</v>
      </c>
      <c r="Y1868" s="787"/>
      <c r="Z1868" s="791"/>
      <c r="AA1868" s="787"/>
      <c r="AB1868" s="787"/>
      <c r="AC1868" s="550"/>
      <c r="AD1868" s="550"/>
      <c r="AE1868" s="550"/>
      <c r="AF1868" s="550"/>
      <c r="AG1868" s="550"/>
      <c r="AH1868" s="550"/>
      <c r="AI1868" s="559"/>
      <c r="AJ1868" s="559"/>
      <c r="AK1868" s="559"/>
      <c r="AL1868" s="559"/>
      <c r="AM1868" s="559"/>
      <c r="AN1868" s="559"/>
      <c r="AO1868" s="559"/>
      <c r="AP1868" s="559"/>
      <c r="AQ1868" s="559"/>
      <c r="AR1868" s="559"/>
      <c r="AS1868" s="559"/>
    </row>
    <row r="1869" spans="1:45" s="6" customFormat="1" ht="30" hidden="1" customHeight="1" x14ac:dyDescent="0.25">
      <c r="A1869" s="2001">
        <f>IF(L1876=0,"",MAX($A$16:A1868)+1)</f>
        <v>133</v>
      </c>
      <c r="B1869" s="390" t="s">
        <v>1495</v>
      </c>
      <c r="C1869" s="257"/>
      <c r="D1869" s="866" t="s">
        <v>10</v>
      </c>
      <c r="E1869" s="1134">
        <v>45534</v>
      </c>
      <c r="F1869" s="71">
        <f t="shared" ref="F1869:F1871" si="1145">$L$7-E1869</f>
        <v>752</v>
      </c>
      <c r="G1869" s="11">
        <v>0</v>
      </c>
      <c r="H1869" s="11"/>
      <c r="I1869" s="11"/>
      <c r="J1869" s="1388"/>
      <c r="K1869" s="64">
        <f>IFERROR(SUMIF(INTAKE!$A:$A,$T1869,INTAKE!$P:$P),0)</f>
        <v>0</v>
      </c>
      <c r="L1869" s="1702">
        <f t="shared" ref="L1869:L1875" si="1146">+G1869+H1869+I1869-J1869-K1869</f>
        <v>0</v>
      </c>
      <c r="M1869" s="147"/>
      <c r="N1869" s="248"/>
      <c r="O1869" s="147"/>
      <c r="P1869" s="857"/>
      <c r="Q1869" s="795"/>
      <c r="R1869" s="785">
        <f>IFERROR(VLOOKUP($Q1869,'391'!$S:$Z,8,0),"")</f>
        <v>0</v>
      </c>
      <c r="S1869" s="786"/>
      <c r="T1869" s="787" t="str">
        <f t="shared" ref="T1869:T1875" si="1147">$Q$1876&amp;C1869&amp;E1869</f>
        <v>Premix MC-0697B45534</v>
      </c>
      <c r="U1869" s="787"/>
      <c r="V1869" s="787"/>
      <c r="W1869" s="785">
        <f>IFERROR(VLOOKUP($Q1869,'391'!$S:$AG,15,0),0)</f>
        <v>0</v>
      </c>
      <c r="X1869" s="1090">
        <f t="shared" si="1141"/>
        <v>0</v>
      </c>
      <c r="Y1869" s="787"/>
      <c r="Z1869" s="791"/>
      <c r="AA1869" s="787"/>
      <c r="AB1869" s="787"/>
      <c r="AC1869" s="679"/>
      <c r="AD1869" s="679"/>
      <c r="AE1869" s="679"/>
      <c r="AF1869" s="679"/>
      <c r="AG1869" s="679"/>
      <c r="AH1869" s="679"/>
      <c r="AI1869" s="682"/>
      <c r="AJ1869" s="682"/>
      <c r="AK1869" s="682"/>
      <c r="AL1869" s="682"/>
      <c r="AM1869" s="682"/>
      <c r="AN1869" s="682"/>
      <c r="AO1869" s="682"/>
      <c r="AP1869" s="682"/>
      <c r="AQ1869" s="682"/>
      <c r="AR1869" s="682"/>
      <c r="AS1869" s="682"/>
    </row>
    <row r="1870" spans="1:45" s="6" customFormat="1" ht="30" customHeight="1" x14ac:dyDescent="0.25">
      <c r="A1870" s="2002"/>
      <c r="B1870" s="390" t="s">
        <v>1495</v>
      </c>
      <c r="C1870" s="257" t="s">
        <v>146</v>
      </c>
      <c r="D1870" s="866" t="s">
        <v>10</v>
      </c>
      <c r="E1870" s="1134">
        <v>46262</v>
      </c>
      <c r="F1870" s="71">
        <f t="shared" ref="F1870" si="1148">$L$7-E1870</f>
        <v>24</v>
      </c>
      <c r="G1870" s="11">
        <v>600</v>
      </c>
      <c r="H1870" s="11"/>
      <c r="I1870" s="11"/>
      <c r="J1870" s="1388"/>
      <c r="K1870" s="64">
        <f>IFERROR(SUMIF(INTAKE!$A:$A,$T1870,INTAKE!$P:$P),0)</f>
        <v>0</v>
      </c>
      <c r="L1870" s="1702">
        <f t="shared" si="1146"/>
        <v>600</v>
      </c>
      <c r="M1870" s="101"/>
      <c r="N1870" s="249"/>
      <c r="O1870" s="101"/>
      <c r="P1870" s="750"/>
      <c r="Q1870" s="795"/>
      <c r="R1870" s="785">
        <f>IFERROR(VLOOKUP($Q1870,'391'!$S:$Z,8,0),"")</f>
        <v>0</v>
      </c>
      <c r="S1870" s="786"/>
      <c r="T1870" s="787" t="str">
        <f t="shared" si="1147"/>
        <v>Premix MC-0697BY7.146262</v>
      </c>
      <c r="U1870" s="787"/>
      <c r="V1870" s="787"/>
      <c r="W1870" s="785">
        <f>IFERROR(VLOOKUP($Q1870,'391'!$S:$AG,15,0),0)</f>
        <v>0</v>
      </c>
      <c r="X1870" s="1090">
        <f t="shared" si="1141"/>
        <v>600</v>
      </c>
      <c r="Y1870" s="787"/>
      <c r="Z1870" s="791"/>
      <c r="AA1870" s="787"/>
      <c r="AB1870" s="787"/>
      <c r="AC1870" s="679"/>
      <c r="AD1870" s="679"/>
      <c r="AE1870" s="679"/>
      <c r="AF1870" s="679"/>
      <c r="AG1870" s="679"/>
      <c r="AH1870" s="679"/>
      <c r="AI1870" s="682"/>
      <c r="AJ1870" s="682"/>
      <c r="AK1870" s="682"/>
      <c r="AL1870" s="682"/>
      <c r="AM1870" s="682"/>
      <c r="AN1870" s="682"/>
      <c r="AO1870" s="682"/>
      <c r="AP1870" s="682"/>
      <c r="AQ1870" s="682"/>
      <c r="AR1870" s="682"/>
      <c r="AS1870" s="682"/>
    </row>
    <row r="1871" spans="1:45" s="6" customFormat="1" ht="30" customHeight="1" x14ac:dyDescent="0.25">
      <c r="A1871" s="2002"/>
      <c r="B1871" s="390" t="s">
        <v>2248</v>
      </c>
      <c r="C1871" s="257" t="s">
        <v>146</v>
      </c>
      <c r="D1871" s="866" t="s">
        <v>10</v>
      </c>
      <c r="E1871" s="1134">
        <v>46283</v>
      </c>
      <c r="F1871" s="71">
        <f t="shared" si="1145"/>
        <v>3</v>
      </c>
      <c r="G1871" s="11">
        <v>150</v>
      </c>
      <c r="H1871" s="11"/>
      <c r="I1871" s="11"/>
      <c r="J1871" s="1388"/>
      <c r="K1871" s="64">
        <f>IFERROR(SUMIF(INTAKE!$A:$A,$T1871,INTAKE!$P:$P),0)</f>
        <v>0</v>
      </c>
      <c r="L1871" s="1702">
        <f t="shared" si="1146"/>
        <v>150</v>
      </c>
      <c r="M1871" s="101"/>
      <c r="N1871" s="249"/>
      <c r="O1871" s="101"/>
      <c r="P1871" s="750"/>
      <c r="Q1871" s="795"/>
      <c r="R1871" s="785">
        <f>IFERROR(VLOOKUP($Q1871,'391'!$S:$Z,8,0),"")</f>
        <v>0</v>
      </c>
      <c r="S1871" s="786"/>
      <c r="T1871" s="787" t="str">
        <f t="shared" si="1147"/>
        <v>Premix MC-0697BY7.146283</v>
      </c>
      <c r="U1871" s="787"/>
      <c r="V1871" s="787"/>
      <c r="W1871" s="785">
        <f>IFERROR(VLOOKUP($Q1871,'391'!$S:$AG,15,0),0)</f>
        <v>0</v>
      </c>
      <c r="X1871" s="1090">
        <f t="shared" si="1141"/>
        <v>150</v>
      </c>
      <c r="Y1871" s="787"/>
      <c r="Z1871" s="791"/>
      <c r="AA1871" s="787"/>
      <c r="AB1871" s="787"/>
      <c r="AC1871" s="679"/>
      <c r="AD1871" s="679"/>
      <c r="AE1871" s="679"/>
      <c r="AF1871" s="679"/>
      <c r="AG1871" s="679"/>
      <c r="AH1871" s="679"/>
      <c r="AI1871" s="682"/>
      <c r="AJ1871" s="682"/>
      <c r="AK1871" s="682"/>
      <c r="AL1871" s="682"/>
      <c r="AM1871" s="682"/>
      <c r="AN1871" s="682"/>
      <c r="AO1871" s="682"/>
      <c r="AP1871" s="682"/>
      <c r="AQ1871" s="682"/>
      <c r="AR1871" s="682"/>
      <c r="AS1871" s="682"/>
    </row>
    <row r="1872" spans="1:45" s="6" customFormat="1" ht="30" hidden="1" customHeight="1" x14ac:dyDescent="0.25">
      <c r="A1872" s="2002"/>
      <c r="B1872" s="390" t="s">
        <v>1495</v>
      </c>
      <c r="C1872" s="257"/>
      <c r="D1872" s="866" t="s">
        <v>10</v>
      </c>
      <c r="E1872" s="1134">
        <v>46262</v>
      </c>
      <c r="F1872" s="71">
        <f t="shared" ref="F1872" si="1149">$L$7-E1872</f>
        <v>24</v>
      </c>
      <c r="G1872" s="11">
        <v>0</v>
      </c>
      <c r="H1872" s="11"/>
      <c r="I1872" s="11"/>
      <c r="J1872" s="1388"/>
      <c r="K1872" s="64">
        <f>IFERROR(SUMIF(INTAKE!$A:$A,$T1872,INTAKE!$P:$P),0)</f>
        <v>0</v>
      </c>
      <c r="L1872" s="1702">
        <f t="shared" si="1146"/>
        <v>0</v>
      </c>
      <c r="M1872" s="101"/>
      <c r="N1872" s="249"/>
      <c r="O1872" s="101"/>
      <c r="P1872" s="750"/>
      <c r="Q1872" s="795"/>
      <c r="R1872" s="785">
        <f>IFERROR(VLOOKUP($Q1872,'391'!$S:$Z,8,0),"")</f>
        <v>0</v>
      </c>
      <c r="S1872" s="786"/>
      <c r="T1872" s="787" t="str">
        <f t="shared" si="1147"/>
        <v>Premix MC-0697B46262</v>
      </c>
      <c r="U1872" s="787"/>
      <c r="V1872" s="787"/>
      <c r="W1872" s="785">
        <f>IFERROR(VLOOKUP($Q1872,'391'!$S:$AG,15,0),0)</f>
        <v>0</v>
      </c>
      <c r="X1872" s="1090">
        <f t="shared" si="1141"/>
        <v>0</v>
      </c>
      <c r="Y1872" s="787"/>
      <c r="Z1872" s="791"/>
      <c r="AA1872" s="787"/>
      <c r="AB1872" s="787"/>
      <c r="AC1872" s="679"/>
      <c r="AD1872" s="679"/>
      <c r="AE1872" s="679"/>
      <c r="AF1872" s="679"/>
      <c r="AG1872" s="679"/>
      <c r="AH1872" s="679"/>
      <c r="AI1872" s="682"/>
      <c r="AJ1872" s="682"/>
      <c r="AK1872" s="682"/>
      <c r="AL1872" s="682"/>
      <c r="AM1872" s="682"/>
      <c r="AN1872" s="682"/>
      <c r="AO1872" s="682"/>
      <c r="AP1872" s="682"/>
      <c r="AQ1872" s="682"/>
      <c r="AR1872" s="682"/>
      <c r="AS1872" s="682"/>
    </row>
    <row r="1873" spans="1:45" s="6" customFormat="1" ht="30" hidden="1" customHeight="1" x14ac:dyDescent="0.25">
      <c r="A1873" s="2002"/>
      <c r="B1873" s="390" t="s">
        <v>1495</v>
      </c>
      <c r="C1873" s="257"/>
      <c r="D1873" s="866" t="s">
        <v>10</v>
      </c>
      <c r="E1873" s="1134">
        <v>46262</v>
      </c>
      <c r="F1873" s="71">
        <f t="shared" ref="F1873" si="1150">$L$7-E1873</f>
        <v>24</v>
      </c>
      <c r="G1873" s="11">
        <v>0</v>
      </c>
      <c r="H1873" s="11"/>
      <c r="I1873" s="11"/>
      <c r="J1873" s="1388"/>
      <c r="K1873" s="64">
        <f>IFERROR(SUMIF(INTAKE!$A:$A,$T1873,INTAKE!$P:$P),0)</f>
        <v>0</v>
      </c>
      <c r="L1873" s="1702">
        <f t="shared" si="1146"/>
        <v>0</v>
      </c>
      <c r="M1873" s="23"/>
      <c r="N1873" s="249"/>
      <c r="O1873" s="101"/>
      <c r="P1873" s="750"/>
      <c r="Q1873" s="795"/>
      <c r="R1873" s="785">
        <f>IFERROR(VLOOKUP($Q1873,'391'!$S:$Z,8,0),"")</f>
        <v>0</v>
      </c>
      <c r="S1873" s="786"/>
      <c r="T1873" s="787" t="str">
        <f t="shared" si="1147"/>
        <v>Premix MC-0697B46262</v>
      </c>
      <c r="U1873" s="787"/>
      <c r="V1873" s="787"/>
      <c r="W1873" s="785">
        <f>IFERROR(VLOOKUP($Q1873,'391'!$S:$AG,15,0),0)</f>
        <v>0</v>
      </c>
      <c r="X1873" s="1090">
        <f t="shared" si="1141"/>
        <v>0</v>
      </c>
      <c r="Y1873" s="787"/>
      <c r="Z1873" s="791"/>
      <c r="AA1873" s="787"/>
      <c r="AB1873" s="787"/>
      <c r="AC1873" s="679"/>
      <c r="AD1873" s="679"/>
      <c r="AE1873" s="679"/>
      <c r="AF1873" s="679"/>
      <c r="AG1873" s="679"/>
      <c r="AH1873" s="679"/>
      <c r="AI1873" s="682"/>
      <c r="AJ1873" s="682"/>
      <c r="AK1873" s="682"/>
      <c r="AL1873" s="682"/>
      <c r="AM1873" s="682"/>
      <c r="AN1873" s="682"/>
      <c r="AO1873" s="682"/>
      <c r="AP1873" s="682"/>
      <c r="AQ1873" s="682"/>
      <c r="AR1873" s="682"/>
      <c r="AS1873" s="682"/>
    </row>
    <row r="1874" spans="1:45" s="6" customFormat="1" ht="30" hidden="1" customHeight="1" x14ac:dyDescent="0.25">
      <c r="A1874" s="2002"/>
      <c r="B1874" s="390" t="s">
        <v>1809</v>
      </c>
      <c r="C1874" s="257"/>
      <c r="D1874" s="866" t="s">
        <v>10</v>
      </c>
      <c r="E1874" s="1134">
        <v>46135</v>
      </c>
      <c r="F1874" s="71">
        <f t="shared" ref="F1874:F1875" si="1151">$L$7-E1874</f>
        <v>151</v>
      </c>
      <c r="G1874" s="11">
        <v>0</v>
      </c>
      <c r="H1874" s="11"/>
      <c r="I1874" s="11"/>
      <c r="J1874" s="1388"/>
      <c r="K1874" s="64">
        <f>IFERROR(SUMIF(INTAKE!$A:$A,$T1874,INTAKE!$P:$P),0)</f>
        <v>0</v>
      </c>
      <c r="L1874" s="1533">
        <f t="shared" si="1146"/>
        <v>0</v>
      </c>
      <c r="M1874" s="23"/>
      <c r="N1874" s="249"/>
      <c r="O1874" s="101"/>
      <c r="P1874" s="750"/>
      <c r="Q1874" s="795"/>
      <c r="R1874" s="785">
        <f>IFERROR(VLOOKUP($Q1874,'391'!$S:$Z,8,0),"")</f>
        <v>0</v>
      </c>
      <c r="S1874" s="786"/>
      <c r="T1874" s="787" t="str">
        <f t="shared" si="1147"/>
        <v>Premix MC-0697B46135</v>
      </c>
      <c r="U1874" s="787"/>
      <c r="V1874" s="787"/>
      <c r="W1874" s="785">
        <f>IFERROR(VLOOKUP($Q1874,'391'!$S:$AG,15,0),0)</f>
        <v>0</v>
      </c>
      <c r="X1874" s="1090">
        <f t="shared" si="1141"/>
        <v>0</v>
      </c>
      <c r="Y1874" s="787"/>
      <c r="Z1874" s="791"/>
      <c r="AA1874" s="787"/>
      <c r="AB1874" s="787"/>
      <c r="AC1874" s="679"/>
      <c r="AD1874" s="679"/>
      <c r="AE1874" s="679"/>
      <c r="AF1874" s="679"/>
      <c r="AG1874" s="679"/>
      <c r="AH1874" s="679"/>
      <c r="AI1874" s="682"/>
      <c r="AJ1874" s="682"/>
      <c r="AK1874" s="682"/>
      <c r="AL1874" s="682"/>
      <c r="AM1874" s="682"/>
      <c r="AN1874" s="682"/>
      <c r="AO1874" s="682"/>
      <c r="AP1874" s="682"/>
      <c r="AQ1874" s="682"/>
      <c r="AR1874" s="682"/>
      <c r="AS1874" s="682"/>
    </row>
    <row r="1875" spans="1:45" s="406" customFormat="1" ht="30" customHeight="1" x14ac:dyDescent="0.25">
      <c r="A1875" s="2011"/>
      <c r="B1875" s="1024" t="s">
        <v>1495</v>
      </c>
      <c r="C1875" s="126" t="s">
        <v>46</v>
      </c>
      <c r="D1875" s="884" t="s">
        <v>10</v>
      </c>
      <c r="E1875" s="1130">
        <v>46262</v>
      </c>
      <c r="F1875" s="71">
        <f t="shared" si="1151"/>
        <v>24</v>
      </c>
      <c r="G1875" s="37">
        <v>22.10000000000008</v>
      </c>
      <c r="H1875" s="37"/>
      <c r="I1875" s="37">
        <f>+SUM(K1869:K1874)</f>
        <v>0</v>
      </c>
      <c r="J1875" s="1385">
        <f>+usage!I235</f>
        <v>0</v>
      </c>
      <c r="K1875" s="64">
        <f>IFERROR(SUMIF(INTAKE!$A:$A,$T1875,INTAKE!$P:$P),0)</f>
        <v>0</v>
      </c>
      <c r="L1875" s="1533">
        <f t="shared" si="1146"/>
        <v>22.10000000000008</v>
      </c>
      <c r="M1875" s="40"/>
      <c r="N1875" s="84"/>
      <c r="O1875" s="40"/>
      <c r="P1875" s="756"/>
      <c r="Q1875" s="795"/>
      <c r="R1875" s="785">
        <f>IFERROR(VLOOKUP($Q1875,'391'!$S:$Z,8,0),"")</f>
        <v>0</v>
      </c>
      <c r="S1875" s="786"/>
      <c r="T1875" s="787" t="str">
        <f t="shared" si="1147"/>
        <v>Premix MC-0697BFeedmill46262</v>
      </c>
      <c r="U1875" s="787"/>
      <c r="V1875" s="787"/>
      <c r="W1875" s="785">
        <f>IFERROR(VLOOKUP($Q1875,'391'!$S:$AG,15,0),0)</f>
        <v>0</v>
      </c>
      <c r="X1875" s="1090">
        <f t="shared" si="1141"/>
        <v>22.10000000000008</v>
      </c>
      <c r="Y1875" s="787"/>
      <c r="Z1875" s="791"/>
      <c r="AA1875" s="787"/>
      <c r="AB1875" s="787"/>
      <c r="AC1875" s="679"/>
      <c r="AD1875" s="679"/>
      <c r="AE1875" s="679"/>
      <c r="AF1875" s="679"/>
      <c r="AG1875" s="679"/>
      <c r="AH1875" s="679"/>
      <c r="AI1875" s="682"/>
      <c r="AJ1875" s="682"/>
      <c r="AK1875" s="682"/>
      <c r="AL1875" s="682"/>
      <c r="AM1875" s="682"/>
      <c r="AN1875" s="682"/>
      <c r="AO1875" s="682"/>
      <c r="AP1875" s="682"/>
      <c r="AQ1875" s="682"/>
      <c r="AR1875" s="682"/>
      <c r="AS1875" s="682"/>
    </row>
    <row r="1876" spans="1:45" s="420" customFormat="1" ht="30" customHeight="1" x14ac:dyDescent="0.25">
      <c r="A1876" s="2003" t="s">
        <v>119</v>
      </c>
      <c r="B1876" s="2004"/>
      <c r="C1876" s="1033"/>
      <c r="D1876" s="1034"/>
      <c r="E1876" s="1127"/>
      <c r="F1876" s="1034"/>
      <c r="G1876" s="1422">
        <v>772.10000000000014</v>
      </c>
      <c r="H1876" s="1422">
        <f t="shared" ref="H1876:L1876" si="1152">SUM(H1869:H1875)</f>
        <v>0</v>
      </c>
      <c r="I1876" s="1422">
        <f t="shared" si="1152"/>
        <v>0</v>
      </c>
      <c r="J1876" s="1422">
        <f t="shared" si="1152"/>
        <v>0</v>
      </c>
      <c r="K1876" s="1422">
        <f t="shared" si="1152"/>
        <v>0</v>
      </c>
      <c r="L1876" s="1422">
        <f t="shared" si="1152"/>
        <v>772.10000000000014</v>
      </c>
      <c r="M1876" s="889">
        <f>IFERROR(R1876/$S$2,"")</f>
        <v>25.200000000000003</v>
      </c>
      <c r="N1876" s="854">
        <f>IFERROR(L1876/M1876,0)</f>
        <v>30.638888888888889</v>
      </c>
      <c r="O1876" s="889">
        <f>IFERROR(SUMIF(ETM!$A:$A,$Q1876,ETM!$E:$E),"")</f>
        <v>36</v>
      </c>
      <c r="P1876" s="880">
        <f>IFERROR(L1876/O1876,0)</f>
        <v>21.447222222222226</v>
      </c>
      <c r="Q1876" s="814" t="s">
        <v>639</v>
      </c>
      <c r="R1876" s="785">
        <f>IFERROR(VLOOKUP($Q1876,'391'!$S:$Z,8,0),"")</f>
        <v>151.20000000000002</v>
      </c>
      <c r="S1876" s="786"/>
      <c r="T1876" s="787"/>
      <c r="U1876" s="787"/>
      <c r="V1876" s="787"/>
      <c r="W1876" s="785">
        <f>IFERROR(VLOOKUP($Q1876,'391'!$S:$AG,15,0),0)</f>
        <v>772.1</v>
      </c>
      <c r="X1876" s="1090">
        <f t="shared" si="1141"/>
        <v>0</v>
      </c>
      <c r="Y1876" s="787"/>
      <c r="Z1876" s="791"/>
      <c r="AA1876" s="787"/>
      <c r="AB1876" s="787"/>
      <c r="AC1876" s="550"/>
      <c r="AD1876" s="550"/>
      <c r="AE1876" s="550"/>
      <c r="AF1876" s="550"/>
      <c r="AG1876" s="550"/>
      <c r="AH1876" s="550"/>
      <c r="AI1876" s="559"/>
      <c r="AJ1876" s="559"/>
      <c r="AK1876" s="559"/>
      <c r="AL1876" s="559"/>
      <c r="AM1876" s="559"/>
      <c r="AN1876" s="559"/>
      <c r="AO1876" s="559"/>
      <c r="AP1876" s="559"/>
      <c r="AQ1876" s="559"/>
      <c r="AR1876" s="559"/>
      <c r="AS1876" s="559"/>
    </row>
    <row r="1877" spans="1:45" s="420" customFormat="1" ht="30" customHeight="1" x14ac:dyDescent="0.25">
      <c r="A1877" s="2005">
        <f>IF(L1882=0,"",MAX($A$16:A1876)+1)</f>
        <v>134</v>
      </c>
      <c r="B1877" s="507" t="s">
        <v>1885</v>
      </c>
      <c r="C1877" s="257" t="s">
        <v>249</v>
      </c>
      <c r="D1877" s="866" t="s">
        <v>10</v>
      </c>
      <c r="E1877" s="1134">
        <v>46233</v>
      </c>
      <c r="F1877" s="71">
        <f>$L$7-E1877</f>
        <v>53</v>
      </c>
      <c r="G1877" s="11">
        <v>0</v>
      </c>
      <c r="H1877" s="11"/>
      <c r="I1877" s="11"/>
      <c r="J1877" s="1388"/>
      <c r="K1877" s="64">
        <f>IFERROR(SUMIF(INTAKE!$A:$A,$T1877,INTAKE!$P:$P),0)</f>
        <v>0</v>
      </c>
      <c r="L1877" s="1702">
        <f>+G1877+H1877+I1877-J1877-K1877</f>
        <v>0</v>
      </c>
      <c r="M1877" s="23"/>
      <c r="N1877" s="82"/>
      <c r="O1877" s="82"/>
      <c r="P1877" s="761"/>
      <c r="Q1877" s="795"/>
      <c r="R1877" s="785">
        <f>IFERROR(VLOOKUP($Q1877,'391'!$S:$Z,8,0),"")</f>
        <v>0</v>
      </c>
      <c r="S1877" s="786"/>
      <c r="T1877" s="787" t="str">
        <f>$Q$1882&amp;C1877&amp;E1877</f>
        <v>Premix MC0697GX3.146233</v>
      </c>
      <c r="U1877" s="787"/>
      <c r="V1877" s="787"/>
      <c r="W1877" s="785">
        <f>IFERROR(VLOOKUP($Q1877,'391'!$S:$AG,15,0),0)</f>
        <v>0</v>
      </c>
      <c r="X1877" s="1090">
        <f t="shared" si="1141"/>
        <v>0</v>
      </c>
      <c r="Y1877" s="787"/>
      <c r="Z1877" s="791"/>
      <c r="AA1877" s="787"/>
      <c r="AB1877" s="787"/>
      <c r="AC1877" s="550"/>
      <c r="AD1877" s="550"/>
      <c r="AE1877" s="550"/>
      <c r="AF1877" s="550"/>
      <c r="AG1877" s="550"/>
      <c r="AH1877" s="550"/>
      <c r="AI1877" s="559"/>
      <c r="AJ1877" s="559"/>
      <c r="AK1877" s="559"/>
      <c r="AL1877" s="559"/>
      <c r="AM1877" s="559"/>
      <c r="AN1877" s="559"/>
      <c r="AO1877" s="559"/>
      <c r="AP1877" s="559"/>
      <c r="AQ1877" s="559"/>
      <c r="AR1877" s="559"/>
      <c r="AS1877" s="559"/>
    </row>
    <row r="1878" spans="1:45" s="420" customFormat="1" ht="30" customHeight="1" x14ac:dyDescent="0.25">
      <c r="A1878" s="2006"/>
      <c r="B1878" s="507" t="s">
        <v>1937</v>
      </c>
      <c r="C1878" s="257" t="s">
        <v>249</v>
      </c>
      <c r="D1878" s="866" t="s">
        <v>10</v>
      </c>
      <c r="E1878" s="1134">
        <v>46262</v>
      </c>
      <c r="F1878" s="71">
        <f>$L$7-E1878</f>
        <v>24</v>
      </c>
      <c r="G1878" s="11">
        <v>30</v>
      </c>
      <c r="H1878" s="11"/>
      <c r="I1878" s="11"/>
      <c r="J1878" s="1388"/>
      <c r="K1878" s="64">
        <f>IFERROR(SUMIF(INTAKE!$A:$A,$T1878,INTAKE!$P:$P),0)</f>
        <v>0</v>
      </c>
      <c r="L1878" s="1702">
        <f>+G1878+H1878+I1878-J1878-K1878</f>
        <v>30</v>
      </c>
      <c r="M1878" s="23"/>
      <c r="N1878" s="82"/>
      <c r="O1878" s="82"/>
      <c r="P1878" s="761"/>
      <c r="Q1878" s="795"/>
      <c r="R1878" s="785">
        <f>IFERROR(VLOOKUP($Q1878,'391'!$S:$Z,8,0),"")</f>
        <v>0</v>
      </c>
      <c r="S1878" s="786"/>
      <c r="T1878" s="787" t="str">
        <f>$Q$1882&amp;C1878&amp;E1878</f>
        <v>Premix MC0697GX3.146262</v>
      </c>
      <c r="U1878" s="787"/>
      <c r="V1878" s="787"/>
      <c r="W1878" s="785">
        <f>IFERROR(VLOOKUP($Q1878,'391'!$S:$AG,15,0),0)</f>
        <v>0</v>
      </c>
      <c r="X1878" s="1090">
        <f t="shared" si="1141"/>
        <v>30</v>
      </c>
      <c r="Y1878" s="787"/>
      <c r="Z1878" s="791"/>
      <c r="AA1878" s="787"/>
      <c r="AB1878" s="787"/>
      <c r="AC1878" s="550"/>
      <c r="AD1878" s="550"/>
      <c r="AE1878" s="550"/>
      <c r="AF1878" s="550"/>
      <c r="AG1878" s="550"/>
      <c r="AH1878" s="550"/>
      <c r="AI1878" s="559"/>
      <c r="AJ1878" s="559"/>
      <c r="AK1878" s="559"/>
      <c r="AL1878" s="559"/>
      <c r="AM1878" s="559"/>
      <c r="AN1878" s="559"/>
      <c r="AO1878" s="559"/>
      <c r="AP1878" s="559"/>
      <c r="AQ1878" s="559"/>
      <c r="AR1878" s="559"/>
      <c r="AS1878" s="559"/>
    </row>
    <row r="1879" spans="1:45" s="420" customFormat="1" ht="30" customHeight="1" x14ac:dyDescent="0.25">
      <c r="A1879" s="2006"/>
      <c r="B1879" s="507" t="s">
        <v>2198</v>
      </c>
      <c r="C1879" s="257" t="s">
        <v>249</v>
      </c>
      <c r="D1879" s="866" t="s">
        <v>10</v>
      </c>
      <c r="E1879" s="1134">
        <v>46275</v>
      </c>
      <c r="F1879" s="71">
        <f>$L$7-E1879</f>
        <v>11</v>
      </c>
      <c r="G1879" s="11">
        <v>30</v>
      </c>
      <c r="H1879" s="11"/>
      <c r="I1879" s="11"/>
      <c r="J1879" s="1388"/>
      <c r="K1879" s="64">
        <f>IFERROR(SUMIF(INTAKE!$A:$A,$T1879,INTAKE!$P:$P),0)</f>
        <v>0</v>
      </c>
      <c r="L1879" s="1702">
        <f>+G1879+H1879+I1879-J1879-K1879</f>
        <v>30</v>
      </c>
      <c r="M1879" s="23"/>
      <c r="N1879" s="82"/>
      <c r="O1879" s="82"/>
      <c r="P1879" s="761"/>
      <c r="Q1879" s="795"/>
      <c r="R1879" s="785">
        <f>IFERROR(VLOOKUP($Q1879,'391'!$S:$Z,8,0),"")</f>
        <v>0</v>
      </c>
      <c r="S1879" s="786"/>
      <c r="T1879" s="787" t="str">
        <f>$Q$1882&amp;C1879&amp;E1879</f>
        <v>Premix MC0697GX3.146275</v>
      </c>
      <c r="U1879" s="787"/>
      <c r="V1879" s="787"/>
      <c r="W1879" s="785">
        <f>IFERROR(VLOOKUP($Q1879,'391'!$S:$AG,15,0),0)</f>
        <v>0</v>
      </c>
      <c r="X1879" s="1090">
        <f t="shared" si="1141"/>
        <v>30</v>
      </c>
      <c r="Y1879" s="787"/>
      <c r="Z1879" s="791"/>
      <c r="AA1879" s="787"/>
      <c r="AB1879" s="787"/>
      <c r="AC1879" s="550"/>
      <c r="AD1879" s="550"/>
      <c r="AE1879" s="550"/>
      <c r="AF1879" s="550"/>
      <c r="AG1879" s="550"/>
      <c r="AH1879" s="550"/>
      <c r="AI1879" s="559"/>
      <c r="AJ1879" s="559"/>
      <c r="AK1879" s="559"/>
      <c r="AL1879" s="559"/>
      <c r="AM1879" s="559"/>
      <c r="AN1879" s="559"/>
      <c r="AO1879" s="559"/>
      <c r="AP1879" s="559"/>
      <c r="AQ1879" s="559"/>
      <c r="AR1879" s="559"/>
      <c r="AS1879" s="559"/>
    </row>
    <row r="1880" spans="1:45" s="420" customFormat="1" ht="30" hidden="1" customHeight="1" x14ac:dyDescent="0.25">
      <c r="A1880" s="2006"/>
      <c r="B1880" s="507" t="s">
        <v>1602</v>
      </c>
      <c r="C1880" s="257"/>
      <c r="D1880" s="866" t="s">
        <v>10</v>
      </c>
      <c r="E1880" s="1134">
        <v>45814</v>
      </c>
      <c r="F1880" s="71">
        <f>$L$7-E1880</f>
        <v>472</v>
      </c>
      <c r="G1880" s="11">
        <v>0</v>
      </c>
      <c r="H1880" s="11"/>
      <c r="I1880" s="11"/>
      <c r="J1880" s="1388"/>
      <c r="K1880" s="64">
        <f>IFERROR(SUMIF(INTAKE!$A:$A,$T1880,INTAKE!$P:$P),0)</f>
        <v>0</v>
      </c>
      <c r="L1880" s="1702">
        <f>+G1880+H1880+I1880-J1880-K1880</f>
        <v>0</v>
      </c>
      <c r="M1880" s="23"/>
      <c r="N1880" s="82"/>
      <c r="O1880" s="82"/>
      <c r="P1880" s="761"/>
      <c r="Q1880" s="795"/>
      <c r="R1880" s="785">
        <f>IFERROR(VLOOKUP($Q1880,'391'!$S:$Z,8,0),"")</f>
        <v>0</v>
      </c>
      <c r="S1880" s="786"/>
      <c r="T1880" s="787" t="str">
        <f>$Q$1882&amp;C1880&amp;E1880</f>
        <v>Premix MC0697G45814</v>
      </c>
      <c r="U1880" s="787"/>
      <c r="V1880" s="787"/>
      <c r="W1880" s="785">
        <f>IFERROR(VLOOKUP($Q1880,'391'!$S:$AG,15,0),0)</f>
        <v>0</v>
      </c>
      <c r="X1880" s="1090">
        <f t="shared" si="1141"/>
        <v>0</v>
      </c>
      <c r="Y1880" s="787"/>
      <c r="Z1880" s="791"/>
      <c r="AA1880" s="787"/>
      <c r="AB1880" s="787"/>
      <c r="AC1880" s="550"/>
      <c r="AD1880" s="550"/>
      <c r="AE1880" s="550"/>
      <c r="AF1880" s="550"/>
      <c r="AG1880" s="550"/>
      <c r="AH1880" s="550"/>
      <c r="AI1880" s="559"/>
      <c r="AJ1880" s="559"/>
      <c r="AK1880" s="559"/>
      <c r="AL1880" s="559"/>
      <c r="AM1880" s="559"/>
      <c r="AN1880" s="559"/>
      <c r="AO1880" s="559"/>
      <c r="AP1880" s="559"/>
      <c r="AQ1880" s="559"/>
      <c r="AR1880" s="559"/>
      <c r="AS1880" s="559"/>
    </row>
    <row r="1881" spans="1:45" s="420" customFormat="1" ht="30" customHeight="1" x14ac:dyDescent="0.25">
      <c r="A1881" s="2007"/>
      <c r="B1881" s="1024" t="s">
        <v>1885</v>
      </c>
      <c r="C1881" s="126" t="s">
        <v>46</v>
      </c>
      <c r="D1881" s="884" t="s">
        <v>10</v>
      </c>
      <c r="E1881" s="1136">
        <v>46233</v>
      </c>
      <c r="F1881" s="71">
        <f>$L$7-E1881</f>
        <v>53</v>
      </c>
      <c r="G1881" s="37">
        <v>7.0000000000000071</v>
      </c>
      <c r="H1881" s="37"/>
      <c r="I1881" s="37">
        <f>+SUM(K1877:K1880)</f>
        <v>0</v>
      </c>
      <c r="J1881" s="1385">
        <f>+usage!I247</f>
        <v>0</v>
      </c>
      <c r="K1881" s="64">
        <f>IFERROR(SUMIF(INTAKE!$A:$A,$T1881,INTAKE!$P:$P),0)</f>
        <v>0</v>
      </c>
      <c r="L1881" s="1533">
        <f>+G1881+H1881+I1881-J1881-K1881</f>
        <v>7.0000000000000071</v>
      </c>
      <c r="M1881" s="40"/>
      <c r="N1881" s="84"/>
      <c r="O1881" s="40"/>
      <c r="P1881" s="756"/>
      <c r="Q1881" s="795"/>
      <c r="R1881" s="785">
        <f>IFERROR(VLOOKUP($Q1881,'391'!$S:$Z,8,0),"")</f>
        <v>0</v>
      </c>
      <c r="S1881" s="786"/>
      <c r="T1881" s="787" t="str">
        <f>$Q$1882&amp;C1881&amp;E1881</f>
        <v>Premix MC0697GFeedmill46233</v>
      </c>
      <c r="U1881" s="787"/>
      <c r="V1881" s="787"/>
      <c r="W1881" s="785">
        <f>IFERROR(VLOOKUP($Q1881,'391'!$S:$AG,15,0),0)</f>
        <v>0</v>
      </c>
      <c r="X1881" s="1090">
        <f t="shared" si="1141"/>
        <v>7.0000000000000071</v>
      </c>
      <c r="Y1881" s="787"/>
      <c r="Z1881" s="791"/>
      <c r="AA1881" s="787"/>
      <c r="AB1881" s="787"/>
      <c r="AC1881" s="550"/>
      <c r="AD1881" s="550"/>
      <c r="AE1881" s="550"/>
      <c r="AF1881" s="550"/>
      <c r="AG1881" s="550"/>
      <c r="AH1881" s="550"/>
      <c r="AI1881" s="559"/>
      <c r="AJ1881" s="559"/>
      <c r="AK1881" s="559"/>
      <c r="AL1881" s="559"/>
      <c r="AM1881" s="559"/>
      <c r="AN1881" s="559"/>
      <c r="AO1881" s="559"/>
      <c r="AP1881" s="559"/>
      <c r="AQ1881" s="559"/>
      <c r="AR1881" s="559"/>
      <c r="AS1881" s="559"/>
    </row>
    <row r="1882" spans="1:45" s="420" customFormat="1" ht="30" customHeight="1" x14ac:dyDescent="0.25">
      <c r="A1882" s="2003" t="s">
        <v>355</v>
      </c>
      <c r="B1882" s="2004"/>
      <c r="C1882" s="1033"/>
      <c r="D1882" s="1034"/>
      <c r="E1882" s="1127"/>
      <c r="F1882" s="1034"/>
      <c r="G1882" s="1422">
        <v>67</v>
      </c>
      <c r="H1882" s="1422">
        <f>SUM(H1877:H1881)</f>
        <v>0</v>
      </c>
      <c r="I1882" s="1422">
        <f>SUM(I1877:I1881)</f>
        <v>0</v>
      </c>
      <c r="J1882" s="1422">
        <f t="shared" ref="J1882:L1882" si="1153">SUM(J1877:J1881)</f>
        <v>0</v>
      </c>
      <c r="K1882" s="1422">
        <f t="shared" si="1153"/>
        <v>0</v>
      </c>
      <c r="L1882" s="1422">
        <f t="shared" si="1153"/>
        <v>67</v>
      </c>
      <c r="M1882" s="889">
        <f>IFERROR(R1882/$S$2,"")</f>
        <v>8.4</v>
      </c>
      <c r="N1882" s="854">
        <f>IFERROR(L1882/M1882,0)</f>
        <v>7.9761904761904763</v>
      </c>
      <c r="O1882" s="889">
        <f>IFERROR(SUMIF(ETM!$A:$A,$Q1882,ETM!$E:$E),"")</f>
        <v>0</v>
      </c>
      <c r="P1882" s="880">
        <f>IFERROR(L1882/O1882,0)</f>
        <v>0</v>
      </c>
      <c r="Q1882" s="814" t="s">
        <v>640</v>
      </c>
      <c r="R1882" s="785">
        <f>IFERROR(VLOOKUP($Q1882,'391'!$S:$Z,8,0),"")</f>
        <v>50.4</v>
      </c>
      <c r="S1882" s="786"/>
      <c r="T1882" s="787"/>
      <c r="U1882" s="787"/>
      <c r="V1882" s="787"/>
      <c r="W1882" s="785">
        <f>IFERROR(VLOOKUP($Q1882,'391'!$S:$AG,15,0),0)</f>
        <v>67</v>
      </c>
      <c r="X1882" s="1090">
        <f t="shared" si="1141"/>
        <v>0</v>
      </c>
      <c r="Y1882" s="787"/>
      <c r="Z1882" s="791"/>
      <c r="AA1882" s="787"/>
      <c r="AB1882" s="787"/>
      <c r="AC1882" s="550"/>
      <c r="AD1882" s="550"/>
      <c r="AE1882" s="550"/>
      <c r="AF1882" s="550"/>
      <c r="AG1882" s="550"/>
      <c r="AH1882" s="550"/>
      <c r="AI1882" s="559"/>
      <c r="AJ1882" s="559"/>
      <c r="AK1882" s="559"/>
      <c r="AL1882" s="559"/>
      <c r="AM1882" s="559"/>
      <c r="AN1882" s="559"/>
      <c r="AO1882" s="559"/>
      <c r="AP1882" s="559"/>
      <c r="AQ1882" s="559"/>
      <c r="AR1882" s="559"/>
      <c r="AS1882" s="559"/>
    </row>
    <row r="1883" spans="1:45" s="6" customFormat="1" ht="30" customHeight="1" x14ac:dyDescent="0.25">
      <c r="A1883" s="2186">
        <f>IF(L1900=0,"",MAX($A$16:A1882)+1)</f>
        <v>135</v>
      </c>
      <c r="B1883" s="2043" t="s">
        <v>508</v>
      </c>
      <c r="C1883" s="1181" t="s">
        <v>1598</v>
      </c>
      <c r="D1883" s="866" t="s">
        <v>10</v>
      </c>
      <c r="E1883" s="935">
        <v>46269</v>
      </c>
      <c r="F1883" s="71">
        <f t="shared" ref="F1883" si="1154">$L$7-E1883</f>
        <v>17</v>
      </c>
      <c r="G1883" s="64">
        <v>4000</v>
      </c>
      <c r="H1883" s="64"/>
      <c r="I1883" s="64"/>
      <c r="J1883" s="1367"/>
      <c r="K1883" s="64">
        <f>IFERROR(SUMIF(INTAKE!$A:$A,$T1883,INTAKE!$P:$P),0)</f>
        <v>1000</v>
      </c>
      <c r="L1883" s="1702">
        <f t="shared" ref="L1883:L1899" si="1155">+G1883+H1883+I1883-J1883-K1883</f>
        <v>3000</v>
      </c>
      <c r="M1883" s="51"/>
      <c r="N1883" s="51"/>
      <c r="O1883" s="51"/>
      <c r="P1883" s="737"/>
      <c r="Q1883" s="795"/>
      <c r="R1883" s="785">
        <f>IFERROR(VLOOKUP($Q1883,'391'!$S:$Z,8,0),"")</f>
        <v>0</v>
      </c>
      <c r="S1883" s="786"/>
      <c r="T1883" s="787" t="str">
        <f t="shared" ref="T1883:T1899" si="1156">$Q$1900&amp;C1883&amp;E1883</f>
        <v>MS SWINE 0314A18.446269</v>
      </c>
      <c r="U1883" s="787"/>
      <c r="V1883" s="787"/>
      <c r="W1883" s="785">
        <f>IFERROR(VLOOKUP($Q1883,'391'!$S:$AG,15,0),0)</f>
        <v>0</v>
      </c>
      <c r="X1883" s="1090">
        <f t="shared" si="1141"/>
        <v>4000</v>
      </c>
      <c r="Y1883" s="787"/>
      <c r="Z1883" s="791"/>
      <c r="AA1883" s="787"/>
      <c r="AB1883" s="787"/>
      <c r="AC1883" s="679"/>
      <c r="AD1883" s="679"/>
      <c r="AE1883" s="679"/>
      <c r="AF1883" s="679"/>
      <c r="AG1883" s="679"/>
      <c r="AH1883" s="679"/>
      <c r="AI1883" s="682"/>
      <c r="AJ1883" s="682"/>
      <c r="AK1883" s="682"/>
      <c r="AL1883" s="682"/>
      <c r="AM1883" s="682"/>
      <c r="AN1883" s="682"/>
      <c r="AO1883" s="682"/>
      <c r="AP1883" s="682"/>
      <c r="AQ1883" s="682"/>
      <c r="AR1883" s="682"/>
      <c r="AS1883" s="682"/>
    </row>
    <row r="1884" spans="1:45" s="6" customFormat="1" ht="30" customHeight="1" x14ac:dyDescent="0.25">
      <c r="A1884" s="2022"/>
      <c r="B1884" s="2065"/>
      <c r="C1884" s="1181" t="s">
        <v>510</v>
      </c>
      <c r="D1884" s="866" t="s">
        <v>10</v>
      </c>
      <c r="E1884" s="935">
        <v>46276</v>
      </c>
      <c r="F1884" s="71">
        <f t="shared" ref="F1884" si="1157">$L$7-E1884</f>
        <v>10</v>
      </c>
      <c r="G1884" s="64">
        <v>5000</v>
      </c>
      <c r="H1884" s="64"/>
      <c r="I1884" s="64"/>
      <c r="J1884" s="1367"/>
      <c r="K1884" s="64">
        <f>IFERROR(SUMIF(INTAKE!$A:$A,$T1884,INTAKE!$P:$P),0)</f>
        <v>0</v>
      </c>
      <c r="L1884" s="1702">
        <f t="shared" si="1155"/>
        <v>5000</v>
      </c>
      <c r="M1884" s="48"/>
      <c r="N1884" s="48"/>
      <c r="O1884" s="48"/>
      <c r="P1884" s="738"/>
      <c r="Q1884" s="795"/>
      <c r="R1884" s="785">
        <f>IFERROR(VLOOKUP($Q1884,'391'!$S:$Z,8,0),"")</f>
        <v>0</v>
      </c>
      <c r="S1884" s="786"/>
      <c r="T1884" s="787" t="str">
        <f t="shared" si="1156"/>
        <v>MS SWINE 0314A18.646276</v>
      </c>
      <c r="U1884" s="787"/>
      <c r="V1884" s="787"/>
      <c r="W1884" s="785">
        <f>IFERROR(VLOOKUP($Q1884,'391'!$S:$AG,15,0),0)</f>
        <v>0</v>
      </c>
      <c r="X1884" s="1090">
        <f t="shared" si="1141"/>
        <v>5000</v>
      </c>
      <c r="Y1884" s="787"/>
      <c r="Z1884" s="791"/>
      <c r="AA1884" s="787"/>
      <c r="AB1884" s="787"/>
      <c r="AC1884" s="679"/>
      <c r="AD1884" s="679"/>
      <c r="AE1884" s="679"/>
      <c r="AF1884" s="679"/>
      <c r="AG1884" s="679"/>
      <c r="AH1884" s="679"/>
      <c r="AI1884" s="682"/>
      <c r="AJ1884" s="682"/>
      <c r="AK1884" s="682"/>
      <c r="AL1884" s="682"/>
      <c r="AM1884" s="682"/>
      <c r="AN1884" s="682"/>
      <c r="AO1884" s="682"/>
      <c r="AP1884" s="682"/>
      <c r="AQ1884" s="682"/>
      <c r="AR1884" s="682"/>
      <c r="AS1884" s="682"/>
    </row>
    <row r="1885" spans="1:45" s="6" customFormat="1" ht="30" customHeight="1" x14ac:dyDescent="0.25">
      <c r="A1885" s="2022"/>
      <c r="B1885" s="2065"/>
      <c r="C1885" s="1181" t="s">
        <v>510</v>
      </c>
      <c r="D1885" s="866" t="s">
        <v>10</v>
      </c>
      <c r="E1885" s="935">
        <v>46282</v>
      </c>
      <c r="F1885" s="71">
        <f t="shared" ref="F1885" si="1158">$L$7-E1885</f>
        <v>4</v>
      </c>
      <c r="G1885" s="64">
        <v>5000</v>
      </c>
      <c r="H1885" s="64"/>
      <c r="I1885" s="64"/>
      <c r="J1885" s="1367"/>
      <c r="K1885" s="64">
        <f>IFERROR(SUMIF(INTAKE!$A:$A,$T1885,INTAKE!$P:$P),0)</f>
        <v>0</v>
      </c>
      <c r="L1885" s="1702">
        <f t="shared" si="1155"/>
        <v>5000</v>
      </c>
      <c r="M1885" s="45"/>
      <c r="N1885" s="45"/>
      <c r="O1885" s="45"/>
      <c r="P1885" s="736"/>
      <c r="Q1885" s="795"/>
      <c r="R1885" s="785">
        <f>IFERROR(VLOOKUP($Q1885,'391'!$S:$Z,8,0),"")</f>
        <v>0</v>
      </c>
      <c r="S1885" s="786"/>
      <c r="T1885" s="787" t="str">
        <f t="shared" si="1156"/>
        <v>MS SWINE 0314A18.646282</v>
      </c>
      <c r="U1885" s="787"/>
      <c r="V1885" s="787"/>
      <c r="W1885" s="785">
        <f>IFERROR(VLOOKUP($Q1885,'391'!$S:$AG,15,0),0)</f>
        <v>0</v>
      </c>
      <c r="X1885" s="1090">
        <f t="shared" si="1141"/>
        <v>5000</v>
      </c>
      <c r="Y1885" s="787"/>
      <c r="Z1885" s="791"/>
      <c r="AA1885" s="787"/>
      <c r="AB1885" s="787"/>
      <c r="AC1885" s="679"/>
      <c r="AD1885" s="679"/>
      <c r="AE1885" s="679"/>
      <c r="AF1885" s="679"/>
      <c r="AG1885" s="679"/>
      <c r="AH1885" s="679"/>
      <c r="AI1885" s="682"/>
      <c r="AJ1885" s="682"/>
      <c r="AK1885" s="682"/>
      <c r="AL1885" s="682"/>
      <c r="AM1885" s="682"/>
      <c r="AN1885" s="682"/>
      <c r="AO1885" s="682"/>
      <c r="AP1885" s="682"/>
      <c r="AQ1885" s="682"/>
      <c r="AR1885" s="682"/>
      <c r="AS1885" s="682"/>
    </row>
    <row r="1886" spans="1:45" s="6" customFormat="1" ht="30" hidden="1" customHeight="1" x14ac:dyDescent="0.25">
      <c r="A1886" s="2022"/>
      <c r="B1886" s="2069"/>
      <c r="C1886" s="1181"/>
      <c r="D1886" s="866" t="s">
        <v>10</v>
      </c>
      <c r="E1886" s="935">
        <v>46163</v>
      </c>
      <c r="F1886" s="71">
        <f t="shared" ref="F1886" si="1159">$L$7-E1886</f>
        <v>123</v>
      </c>
      <c r="G1886" s="64">
        <v>0</v>
      </c>
      <c r="H1886" s="64"/>
      <c r="I1886" s="64"/>
      <c r="J1886" s="1367"/>
      <c r="K1886" s="64">
        <f>IFERROR(SUMIF(INTAKE!$A:$A,$T1886,INTAKE!$P:$P),0)</f>
        <v>0</v>
      </c>
      <c r="L1886" s="1702">
        <f t="shared" si="1155"/>
        <v>0</v>
      </c>
      <c r="M1886" s="45"/>
      <c r="N1886" s="45"/>
      <c r="O1886" s="45"/>
      <c r="P1886" s="736"/>
      <c r="Q1886" s="795"/>
      <c r="R1886" s="785">
        <f>IFERROR(VLOOKUP($Q1886,'391'!$S:$Z,8,0),"")</f>
        <v>0</v>
      </c>
      <c r="S1886" s="786"/>
      <c r="T1886" s="787" t="str">
        <f t="shared" si="1156"/>
        <v>MS SWINE 031446163</v>
      </c>
      <c r="U1886" s="787"/>
      <c r="V1886" s="787"/>
      <c r="W1886" s="785">
        <f>IFERROR(VLOOKUP($Q1886,'391'!$S:$AG,15,0),0)</f>
        <v>0</v>
      </c>
      <c r="X1886" s="1090">
        <f t="shared" si="1141"/>
        <v>0</v>
      </c>
      <c r="Y1886" s="787"/>
      <c r="Z1886" s="791"/>
      <c r="AA1886" s="787"/>
      <c r="AB1886" s="787"/>
      <c r="AC1886" s="679"/>
      <c r="AD1886" s="679"/>
      <c r="AE1886" s="679"/>
      <c r="AF1886" s="679"/>
      <c r="AG1886" s="679"/>
      <c r="AH1886" s="679"/>
      <c r="AI1886" s="682"/>
      <c r="AJ1886" s="682"/>
      <c r="AK1886" s="682"/>
      <c r="AL1886" s="682"/>
      <c r="AM1886" s="682"/>
      <c r="AN1886" s="682"/>
      <c r="AO1886" s="682"/>
      <c r="AP1886" s="682"/>
      <c r="AQ1886" s="682"/>
      <c r="AR1886" s="682"/>
      <c r="AS1886" s="682"/>
    </row>
    <row r="1887" spans="1:45" s="6" customFormat="1" ht="30" hidden="1" customHeight="1" x14ac:dyDescent="0.25">
      <c r="A1887" s="2022"/>
      <c r="B1887" s="2069"/>
      <c r="C1887" s="1181"/>
      <c r="D1887" s="866" t="s">
        <v>10</v>
      </c>
      <c r="E1887" s="935">
        <v>46163</v>
      </c>
      <c r="F1887" s="71">
        <f t="shared" ref="F1887" si="1160">$L$7-E1887</f>
        <v>123</v>
      </c>
      <c r="G1887" s="64">
        <v>0</v>
      </c>
      <c r="H1887" s="64"/>
      <c r="I1887" s="64"/>
      <c r="J1887" s="1367"/>
      <c r="K1887" s="64">
        <f>IFERROR(SUMIF(INTAKE!$A:$A,$T1887,INTAKE!$P:$P),0)</f>
        <v>0</v>
      </c>
      <c r="L1887" s="1702">
        <f t="shared" si="1155"/>
        <v>0</v>
      </c>
      <c r="M1887" s="45"/>
      <c r="N1887" s="45"/>
      <c r="O1887" s="45"/>
      <c r="P1887" s="736"/>
      <c r="Q1887" s="795"/>
      <c r="R1887" s="785">
        <f>IFERROR(VLOOKUP($Q1887,'391'!$S:$Z,8,0),"")</f>
        <v>0</v>
      </c>
      <c r="S1887" s="786"/>
      <c r="T1887" s="787" t="str">
        <f t="shared" si="1156"/>
        <v>MS SWINE 031446163</v>
      </c>
      <c r="U1887" s="787"/>
      <c r="V1887" s="787"/>
      <c r="W1887" s="785">
        <f>IFERROR(VLOOKUP($Q1887,'391'!$S:$AG,15,0),0)</f>
        <v>0</v>
      </c>
      <c r="X1887" s="1090">
        <f t="shared" ref="X1887:X1888" si="1161">G1887-W1887</f>
        <v>0</v>
      </c>
      <c r="Y1887" s="787"/>
      <c r="Z1887" s="791"/>
      <c r="AA1887" s="787"/>
      <c r="AB1887" s="787"/>
      <c r="AC1887" s="679"/>
      <c r="AD1887" s="679"/>
      <c r="AE1887" s="679"/>
      <c r="AF1887" s="679"/>
      <c r="AG1887" s="679"/>
      <c r="AH1887" s="679"/>
      <c r="AI1887" s="682"/>
      <c r="AJ1887" s="682"/>
      <c r="AK1887" s="682"/>
      <c r="AL1887" s="682"/>
      <c r="AM1887" s="682"/>
      <c r="AN1887" s="682"/>
      <c r="AO1887" s="682"/>
      <c r="AP1887" s="682"/>
      <c r="AQ1887" s="682"/>
      <c r="AR1887" s="682"/>
      <c r="AS1887" s="682"/>
    </row>
    <row r="1888" spans="1:45" s="6" customFormat="1" ht="30" hidden="1" customHeight="1" x14ac:dyDescent="0.25">
      <c r="A1888" s="2022"/>
      <c r="B1888" s="2069"/>
      <c r="C1888" s="1181"/>
      <c r="D1888" s="866" t="s">
        <v>10</v>
      </c>
      <c r="E1888" s="935">
        <v>46141</v>
      </c>
      <c r="F1888" s="71">
        <f t="shared" ref="F1888:F1889" si="1162">$L$7-E1888</f>
        <v>145</v>
      </c>
      <c r="G1888" s="64">
        <v>0</v>
      </c>
      <c r="H1888" s="64"/>
      <c r="I1888" s="64"/>
      <c r="J1888" s="1367"/>
      <c r="K1888" s="64">
        <f>IFERROR(SUMIF(INTAKE!$A:$A,$T1888,INTAKE!$P:$P),0)</f>
        <v>0</v>
      </c>
      <c r="L1888" s="1702">
        <f t="shared" ref="L1888" si="1163">+G1888+H1888+I1888-J1888-K1888</f>
        <v>0</v>
      </c>
      <c r="M1888" s="45"/>
      <c r="N1888" s="45"/>
      <c r="O1888" s="45"/>
      <c r="P1888" s="736"/>
      <c r="Q1888" s="795"/>
      <c r="R1888" s="785">
        <f>IFERROR(VLOOKUP($Q1888,'391'!$S:$Z,8,0),"")</f>
        <v>0</v>
      </c>
      <c r="S1888" s="786"/>
      <c r="T1888" s="787" t="str">
        <f t="shared" si="1156"/>
        <v>MS SWINE 031446141</v>
      </c>
      <c r="U1888" s="787"/>
      <c r="V1888" s="787"/>
      <c r="W1888" s="785">
        <f>IFERROR(VLOOKUP($Q1888,'391'!$S:$AG,15,0),0)</f>
        <v>0</v>
      </c>
      <c r="X1888" s="1090">
        <f t="shared" si="1161"/>
        <v>0</v>
      </c>
      <c r="Y1888" s="787"/>
      <c r="Z1888" s="791"/>
      <c r="AA1888" s="787"/>
      <c r="AB1888" s="787"/>
      <c r="AC1888" s="679"/>
      <c r="AD1888" s="679"/>
      <c r="AE1888" s="679"/>
      <c r="AF1888" s="679"/>
      <c r="AG1888" s="679"/>
      <c r="AH1888" s="679"/>
      <c r="AI1888" s="682"/>
      <c r="AJ1888" s="682"/>
      <c r="AK1888" s="682"/>
      <c r="AL1888" s="682"/>
      <c r="AM1888" s="682"/>
      <c r="AN1888" s="682"/>
      <c r="AO1888" s="682"/>
      <c r="AP1888" s="682"/>
      <c r="AQ1888" s="682"/>
      <c r="AR1888" s="682"/>
      <c r="AS1888" s="682"/>
    </row>
    <row r="1889" spans="1:45" s="6" customFormat="1" ht="30" hidden="1" customHeight="1" x14ac:dyDescent="0.25">
      <c r="A1889" s="2022"/>
      <c r="B1889" s="2069"/>
      <c r="C1889" s="1181"/>
      <c r="D1889" s="866" t="s">
        <v>10</v>
      </c>
      <c r="E1889" s="935">
        <v>46150</v>
      </c>
      <c r="F1889" s="71">
        <f t="shared" si="1162"/>
        <v>136</v>
      </c>
      <c r="G1889" s="64">
        <v>0</v>
      </c>
      <c r="H1889" s="64"/>
      <c r="I1889" s="64"/>
      <c r="J1889" s="1367"/>
      <c r="K1889" s="64">
        <f>IFERROR(SUMIF(INTAKE!$A:$A,$T1889,INTAKE!$P:$P),0)</f>
        <v>0</v>
      </c>
      <c r="L1889" s="1702">
        <f t="shared" ref="L1889" si="1164">+G1889+H1889+I1889-J1889-K1889</f>
        <v>0</v>
      </c>
      <c r="M1889" s="45"/>
      <c r="N1889" s="45"/>
      <c r="O1889" s="45"/>
      <c r="P1889" s="736"/>
      <c r="Q1889" s="795"/>
      <c r="R1889" s="785">
        <f>IFERROR(VLOOKUP($Q1889,'391'!$S:$Z,8,0),"")</f>
        <v>0</v>
      </c>
      <c r="S1889" s="786"/>
      <c r="T1889" s="787" t="str">
        <f t="shared" si="1156"/>
        <v>MS SWINE 031446150</v>
      </c>
      <c r="U1889" s="787"/>
      <c r="V1889" s="787"/>
      <c r="W1889" s="785">
        <f>IFERROR(VLOOKUP($Q1889,'391'!$S:$AG,15,0),0)</f>
        <v>0</v>
      </c>
      <c r="X1889" s="1090">
        <f t="shared" si="1141"/>
        <v>0</v>
      </c>
      <c r="Y1889" s="787"/>
      <c r="Z1889" s="791"/>
      <c r="AA1889" s="787"/>
      <c r="AB1889" s="787"/>
      <c r="AC1889" s="679"/>
      <c r="AD1889" s="679"/>
      <c r="AE1889" s="679"/>
      <c r="AF1889" s="679"/>
      <c r="AG1889" s="679"/>
      <c r="AH1889" s="679"/>
      <c r="AI1889" s="682"/>
      <c r="AJ1889" s="682"/>
      <c r="AK1889" s="682"/>
      <c r="AL1889" s="682"/>
      <c r="AM1889" s="682"/>
      <c r="AN1889" s="682"/>
      <c r="AO1889" s="682"/>
      <c r="AP1889" s="682"/>
      <c r="AQ1889" s="682"/>
      <c r="AR1889" s="682"/>
      <c r="AS1889" s="682"/>
    </row>
    <row r="1890" spans="1:45" s="6" customFormat="1" ht="30" hidden="1" customHeight="1" x14ac:dyDescent="0.25">
      <c r="A1890" s="2022"/>
      <c r="B1890" s="2069"/>
      <c r="C1890" s="1181"/>
      <c r="D1890" s="866" t="s">
        <v>10</v>
      </c>
      <c r="E1890" s="935">
        <v>46150</v>
      </c>
      <c r="F1890" s="71">
        <f t="shared" ref="F1890" si="1165">$L$7-E1890</f>
        <v>136</v>
      </c>
      <c r="G1890" s="64">
        <v>0</v>
      </c>
      <c r="H1890" s="64"/>
      <c r="I1890" s="64"/>
      <c r="J1890" s="1367"/>
      <c r="K1890" s="64">
        <f>IFERROR(SUMIF(INTAKE!$A:$A,$T1890,INTAKE!$P:$P),0)</f>
        <v>0</v>
      </c>
      <c r="L1890" s="1702">
        <f t="shared" si="1155"/>
        <v>0</v>
      </c>
      <c r="M1890" s="45"/>
      <c r="N1890" s="45"/>
      <c r="O1890" s="45"/>
      <c r="P1890" s="736"/>
      <c r="Q1890" s="795"/>
      <c r="R1890" s="785">
        <f>IFERROR(VLOOKUP($Q1890,'391'!$S:$Z,8,0),"")</f>
        <v>0</v>
      </c>
      <c r="S1890" s="786"/>
      <c r="T1890" s="787" t="str">
        <f t="shared" si="1156"/>
        <v>MS SWINE 031446150</v>
      </c>
      <c r="U1890" s="787"/>
      <c r="V1890" s="787"/>
      <c r="W1890" s="785">
        <f>IFERROR(VLOOKUP($Q1890,'391'!$S:$AG,15,0),0)</f>
        <v>0</v>
      </c>
      <c r="X1890" s="1090">
        <f t="shared" ref="X1890:X1897" si="1166">G1890-W1890</f>
        <v>0</v>
      </c>
      <c r="Y1890" s="787"/>
      <c r="Z1890" s="791"/>
      <c r="AA1890" s="787"/>
      <c r="AB1890" s="787"/>
      <c r="AC1890" s="679"/>
      <c r="AD1890" s="679"/>
      <c r="AE1890" s="679"/>
      <c r="AF1890" s="679"/>
      <c r="AG1890" s="679"/>
      <c r="AH1890" s="679"/>
      <c r="AI1890" s="682"/>
      <c r="AJ1890" s="682"/>
      <c r="AK1890" s="682"/>
      <c r="AL1890" s="682"/>
      <c r="AM1890" s="682"/>
      <c r="AN1890" s="682"/>
      <c r="AO1890" s="682"/>
      <c r="AP1890" s="682"/>
      <c r="AQ1890" s="682"/>
      <c r="AR1890" s="682"/>
      <c r="AS1890" s="682"/>
    </row>
    <row r="1891" spans="1:45" s="6" customFormat="1" ht="30" hidden="1" customHeight="1" x14ac:dyDescent="0.25">
      <c r="A1891" s="2022"/>
      <c r="B1891" s="2069"/>
      <c r="C1891" s="1181"/>
      <c r="D1891" s="866" t="s">
        <v>10</v>
      </c>
      <c r="E1891" s="935">
        <v>46031</v>
      </c>
      <c r="F1891" s="71">
        <f t="shared" ref="F1891" si="1167">$L$7-E1891</f>
        <v>255</v>
      </c>
      <c r="G1891" s="64">
        <v>0</v>
      </c>
      <c r="H1891" s="64"/>
      <c r="I1891" s="64"/>
      <c r="J1891" s="1367"/>
      <c r="K1891" s="64">
        <f>IFERROR(SUMIF(INTAKE!$A:$A,$T1891,INTAKE!$P:$P),0)</f>
        <v>0</v>
      </c>
      <c r="L1891" s="1702">
        <f t="shared" ref="L1891:L1895" si="1168">+G1891+H1891+I1891-J1891-K1891</f>
        <v>0</v>
      </c>
      <c r="M1891" s="45"/>
      <c r="N1891" s="45"/>
      <c r="O1891" s="45"/>
      <c r="P1891" s="736"/>
      <c r="Q1891" s="795"/>
      <c r="R1891" s="785">
        <f>IFERROR(VLOOKUP($Q1891,'391'!$S:$Z,8,0),"")</f>
        <v>0</v>
      </c>
      <c r="S1891" s="786"/>
      <c r="T1891" s="787" t="str">
        <f t="shared" si="1156"/>
        <v>MS SWINE 031446031</v>
      </c>
      <c r="U1891" s="787"/>
      <c r="V1891" s="787"/>
      <c r="W1891" s="785">
        <f>IFERROR(VLOOKUP($Q1891,'391'!$S:$AG,15,0),0)</f>
        <v>0</v>
      </c>
      <c r="X1891" s="1090">
        <f t="shared" si="1166"/>
        <v>0</v>
      </c>
      <c r="Y1891" s="787"/>
      <c r="Z1891" s="791"/>
      <c r="AA1891" s="787"/>
      <c r="AB1891" s="787"/>
      <c r="AC1891" s="679"/>
      <c r="AD1891" s="679"/>
      <c r="AE1891" s="679"/>
      <c r="AF1891" s="679"/>
      <c r="AG1891" s="679"/>
      <c r="AH1891" s="679"/>
      <c r="AI1891" s="682"/>
      <c r="AJ1891" s="682"/>
      <c r="AK1891" s="682"/>
      <c r="AL1891" s="682"/>
      <c r="AM1891" s="682"/>
      <c r="AN1891" s="682"/>
      <c r="AO1891" s="682"/>
      <c r="AP1891" s="682"/>
      <c r="AQ1891" s="682"/>
      <c r="AR1891" s="682"/>
      <c r="AS1891" s="682"/>
    </row>
    <row r="1892" spans="1:45" s="6" customFormat="1" ht="30" hidden="1" customHeight="1" x14ac:dyDescent="0.25">
      <c r="A1892" s="2022"/>
      <c r="B1892" s="2069"/>
      <c r="C1892" s="1181"/>
      <c r="D1892" s="866" t="s">
        <v>10</v>
      </c>
      <c r="E1892" s="935">
        <v>46022</v>
      </c>
      <c r="F1892" s="71">
        <f t="shared" ref="F1892:F1893" si="1169">$L$7-E1892</f>
        <v>264</v>
      </c>
      <c r="G1892" s="64">
        <v>0</v>
      </c>
      <c r="H1892" s="64"/>
      <c r="I1892" s="64"/>
      <c r="J1892" s="1367"/>
      <c r="K1892" s="64">
        <f>IFERROR(SUMIF(INTAKE!$A:$A,$T1892,INTAKE!$P:$P),0)</f>
        <v>0</v>
      </c>
      <c r="L1892" s="1702">
        <f t="shared" si="1168"/>
        <v>0</v>
      </c>
      <c r="M1892" s="45"/>
      <c r="N1892" s="45"/>
      <c r="O1892" s="45"/>
      <c r="P1892" s="736"/>
      <c r="Q1892" s="795"/>
      <c r="R1892" s="785">
        <f>IFERROR(VLOOKUP($Q1892,'391'!$S:$Z,8,0),"")</f>
        <v>0</v>
      </c>
      <c r="S1892" s="786"/>
      <c r="T1892" s="787" t="str">
        <f t="shared" si="1156"/>
        <v>MS SWINE 031446022</v>
      </c>
      <c r="U1892" s="787"/>
      <c r="V1892" s="787"/>
      <c r="W1892" s="785">
        <f>IFERROR(VLOOKUP($Q1892,'391'!$S:$AG,15,0),0)</f>
        <v>0</v>
      </c>
      <c r="X1892" s="1090">
        <f t="shared" ref="X1892:X1895" si="1170">G1892-W1892</f>
        <v>0</v>
      </c>
      <c r="Y1892" s="787"/>
      <c r="Z1892" s="791"/>
      <c r="AA1892" s="787"/>
      <c r="AB1892" s="787"/>
      <c r="AC1892" s="679"/>
      <c r="AD1892" s="679"/>
      <c r="AE1892" s="679"/>
      <c r="AF1892" s="679"/>
      <c r="AG1892" s="679"/>
      <c r="AH1892" s="679"/>
      <c r="AI1892" s="682"/>
      <c r="AJ1892" s="682"/>
      <c r="AK1892" s="682"/>
      <c r="AL1892" s="682"/>
      <c r="AM1892" s="682"/>
      <c r="AN1892" s="682"/>
      <c r="AO1892" s="682"/>
      <c r="AP1892" s="682"/>
      <c r="AQ1892" s="682"/>
      <c r="AR1892" s="682"/>
      <c r="AS1892" s="682"/>
    </row>
    <row r="1893" spans="1:45" s="6" customFormat="1" ht="30" hidden="1" customHeight="1" x14ac:dyDescent="0.25">
      <c r="A1893" s="2022"/>
      <c r="B1893" s="2069"/>
      <c r="C1893" s="1181"/>
      <c r="D1893" s="866" t="s">
        <v>10</v>
      </c>
      <c r="E1893" s="935">
        <v>46017</v>
      </c>
      <c r="F1893" s="71">
        <f t="shared" si="1169"/>
        <v>269</v>
      </c>
      <c r="G1893" s="64">
        <v>0</v>
      </c>
      <c r="H1893" s="64"/>
      <c r="I1893" s="64"/>
      <c r="J1893" s="1367"/>
      <c r="K1893" s="64">
        <f>IFERROR(SUMIF(INTAKE!$A:$A,$T1893,INTAKE!$P:$P),0)</f>
        <v>0</v>
      </c>
      <c r="L1893" s="1702">
        <f t="shared" si="1168"/>
        <v>0</v>
      </c>
      <c r="M1893" s="45"/>
      <c r="N1893" s="45"/>
      <c r="O1893" s="45"/>
      <c r="P1893" s="736"/>
      <c r="Q1893" s="795"/>
      <c r="R1893" s="785">
        <f>IFERROR(VLOOKUP($Q1893,'391'!$S:$Z,8,0),"")</f>
        <v>0</v>
      </c>
      <c r="S1893" s="786"/>
      <c r="T1893" s="787" t="str">
        <f t="shared" si="1156"/>
        <v>MS SWINE 031446017</v>
      </c>
      <c r="U1893" s="787"/>
      <c r="V1893" s="787"/>
      <c r="W1893" s="785">
        <f>IFERROR(VLOOKUP($Q1893,'391'!$S:$AG,15,0),0)</f>
        <v>0</v>
      </c>
      <c r="X1893" s="1090">
        <f t="shared" si="1170"/>
        <v>0</v>
      </c>
      <c r="Y1893" s="787"/>
      <c r="Z1893" s="791"/>
      <c r="AA1893" s="787"/>
      <c r="AB1893" s="787"/>
      <c r="AC1893" s="679"/>
      <c r="AD1893" s="679"/>
      <c r="AE1893" s="679"/>
      <c r="AF1893" s="679"/>
      <c r="AG1893" s="679"/>
      <c r="AH1893" s="679"/>
      <c r="AI1893" s="682"/>
      <c r="AJ1893" s="682"/>
      <c r="AK1893" s="682"/>
      <c r="AL1893" s="682"/>
      <c r="AM1893" s="682"/>
      <c r="AN1893" s="682"/>
      <c r="AO1893" s="682"/>
      <c r="AP1893" s="682"/>
      <c r="AQ1893" s="682"/>
      <c r="AR1893" s="682"/>
      <c r="AS1893" s="682"/>
    </row>
    <row r="1894" spans="1:45" s="6" customFormat="1" ht="30" hidden="1" customHeight="1" x14ac:dyDescent="0.25">
      <c r="A1894" s="2022"/>
      <c r="B1894" s="2069"/>
      <c r="C1894" s="1181"/>
      <c r="D1894" s="866" t="s">
        <v>10</v>
      </c>
      <c r="E1894" s="935">
        <v>46017</v>
      </c>
      <c r="F1894" s="71">
        <f t="shared" ref="F1894:F1895" si="1171">$L$7-E1894</f>
        <v>269</v>
      </c>
      <c r="G1894" s="64">
        <v>0</v>
      </c>
      <c r="H1894" s="64"/>
      <c r="I1894" s="64"/>
      <c r="J1894" s="1367"/>
      <c r="K1894" s="64">
        <f>IFERROR(SUMIF(INTAKE!$A:$A,$T1894,INTAKE!$P:$P),0)</f>
        <v>0</v>
      </c>
      <c r="L1894" s="1702">
        <f t="shared" si="1168"/>
        <v>0</v>
      </c>
      <c r="M1894" s="45"/>
      <c r="N1894" s="45"/>
      <c r="O1894" s="45"/>
      <c r="P1894" s="736"/>
      <c r="Q1894" s="795"/>
      <c r="R1894" s="785">
        <f>IFERROR(VLOOKUP($Q1894,'391'!$S:$Z,8,0),"")</f>
        <v>0</v>
      </c>
      <c r="S1894" s="786"/>
      <c r="T1894" s="787" t="str">
        <f t="shared" si="1156"/>
        <v>MS SWINE 031446017</v>
      </c>
      <c r="U1894" s="787"/>
      <c r="V1894" s="787"/>
      <c r="W1894" s="785">
        <f>IFERROR(VLOOKUP($Q1894,'391'!$S:$AG,15,0),0)</f>
        <v>0</v>
      </c>
      <c r="X1894" s="1090">
        <f t="shared" si="1170"/>
        <v>0</v>
      </c>
      <c r="Y1894" s="787"/>
      <c r="Z1894" s="791"/>
      <c r="AA1894" s="787"/>
      <c r="AB1894" s="787"/>
      <c r="AC1894" s="679"/>
      <c r="AD1894" s="679"/>
      <c r="AE1894" s="679"/>
      <c r="AF1894" s="679"/>
      <c r="AG1894" s="679"/>
      <c r="AH1894" s="679"/>
      <c r="AI1894" s="682"/>
      <c r="AJ1894" s="682"/>
      <c r="AK1894" s="682"/>
      <c r="AL1894" s="682"/>
      <c r="AM1894" s="682"/>
      <c r="AN1894" s="682"/>
      <c r="AO1894" s="682"/>
      <c r="AP1894" s="682"/>
      <c r="AQ1894" s="682"/>
      <c r="AR1894" s="682"/>
      <c r="AS1894" s="682"/>
    </row>
    <row r="1895" spans="1:45" s="6" customFormat="1" ht="30" hidden="1" customHeight="1" x14ac:dyDescent="0.25">
      <c r="A1895" s="2022"/>
      <c r="B1895" s="2069"/>
      <c r="C1895" s="1181"/>
      <c r="D1895" s="866" t="s">
        <v>10</v>
      </c>
      <c r="E1895" s="935">
        <v>45995</v>
      </c>
      <c r="F1895" s="71">
        <f t="shared" si="1171"/>
        <v>291</v>
      </c>
      <c r="G1895" s="64">
        <v>0</v>
      </c>
      <c r="H1895" s="64"/>
      <c r="I1895" s="64"/>
      <c r="J1895" s="1367"/>
      <c r="K1895" s="64">
        <f>IFERROR(SUMIF(INTAKE!$A:$A,$T1895,INTAKE!$P:$P),0)</f>
        <v>0</v>
      </c>
      <c r="L1895" s="1702">
        <f t="shared" si="1168"/>
        <v>0</v>
      </c>
      <c r="M1895" s="45"/>
      <c r="N1895" s="45"/>
      <c r="O1895" s="45"/>
      <c r="P1895" s="736"/>
      <c r="Q1895" s="795"/>
      <c r="R1895" s="785">
        <f>IFERROR(VLOOKUP($Q1895,'391'!$S:$Z,8,0),"")</f>
        <v>0</v>
      </c>
      <c r="S1895" s="786"/>
      <c r="T1895" s="787" t="str">
        <f t="shared" si="1156"/>
        <v>MS SWINE 031445995</v>
      </c>
      <c r="U1895" s="787"/>
      <c r="V1895" s="787"/>
      <c r="W1895" s="785">
        <f>IFERROR(VLOOKUP($Q1895,'391'!$S:$AG,15,0),0)</f>
        <v>0</v>
      </c>
      <c r="X1895" s="1090">
        <f t="shared" si="1170"/>
        <v>0</v>
      </c>
      <c r="Y1895" s="787"/>
      <c r="Z1895" s="791"/>
      <c r="AA1895" s="787"/>
      <c r="AB1895" s="787"/>
      <c r="AC1895" s="679"/>
      <c r="AD1895" s="679"/>
      <c r="AE1895" s="679"/>
      <c r="AF1895" s="679"/>
      <c r="AG1895" s="679"/>
      <c r="AH1895" s="679"/>
      <c r="AI1895" s="682"/>
      <c r="AJ1895" s="682"/>
      <c r="AK1895" s="682"/>
      <c r="AL1895" s="682"/>
      <c r="AM1895" s="682"/>
      <c r="AN1895" s="682"/>
      <c r="AO1895" s="682"/>
      <c r="AP1895" s="682"/>
      <c r="AQ1895" s="682"/>
      <c r="AR1895" s="682"/>
      <c r="AS1895" s="682"/>
    </row>
    <row r="1896" spans="1:45" s="6" customFormat="1" ht="30" hidden="1" customHeight="1" x14ac:dyDescent="0.25">
      <c r="A1896" s="2022"/>
      <c r="B1896" s="2069"/>
      <c r="C1896" s="1181"/>
      <c r="D1896" s="866" t="s">
        <v>10</v>
      </c>
      <c r="E1896" s="935">
        <v>45995</v>
      </c>
      <c r="F1896" s="71">
        <f t="shared" ref="F1896" si="1172">$L$7-E1896</f>
        <v>291</v>
      </c>
      <c r="G1896" s="64">
        <v>0</v>
      </c>
      <c r="H1896" s="64"/>
      <c r="I1896" s="64"/>
      <c r="J1896" s="1367"/>
      <c r="K1896" s="64">
        <f>IFERROR(SUMIF(INTAKE!$A:$A,$T1896,INTAKE!$P:$P),0)</f>
        <v>0</v>
      </c>
      <c r="L1896" s="1702">
        <f t="shared" si="1155"/>
        <v>0</v>
      </c>
      <c r="M1896" s="45"/>
      <c r="N1896" s="45"/>
      <c r="O1896" s="45"/>
      <c r="P1896" s="736"/>
      <c r="Q1896" s="795"/>
      <c r="R1896" s="785">
        <f>IFERROR(VLOOKUP($Q1896,'391'!$S:$Z,8,0),"")</f>
        <v>0</v>
      </c>
      <c r="S1896" s="786"/>
      <c r="T1896" s="787" t="str">
        <f t="shared" si="1156"/>
        <v>MS SWINE 031445995</v>
      </c>
      <c r="U1896" s="787"/>
      <c r="V1896" s="787"/>
      <c r="W1896" s="785">
        <f>IFERROR(VLOOKUP($Q1896,'391'!$S:$AG,15,0),0)</f>
        <v>0</v>
      </c>
      <c r="X1896" s="1090">
        <f t="shared" ref="X1896" si="1173">G1896-W1896</f>
        <v>0</v>
      </c>
      <c r="Y1896" s="787"/>
      <c r="Z1896" s="791"/>
      <c r="AA1896" s="787"/>
      <c r="AB1896" s="787"/>
      <c r="AC1896" s="679"/>
      <c r="AD1896" s="679"/>
      <c r="AE1896" s="679"/>
      <c r="AF1896" s="679"/>
      <c r="AG1896" s="679"/>
      <c r="AH1896" s="679"/>
      <c r="AI1896" s="682"/>
      <c r="AJ1896" s="682"/>
      <c r="AK1896" s="682"/>
      <c r="AL1896" s="682"/>
      <c r="AM1896" s="682"/>
      <c r="AN1896" s="682"/>
      <c r="AO1896" s="682"/>
      <c r="AP1896" s="682"/>
      <c r="AQ1896" s="682"/>
      <c r="AR1896" s="682"/>
      <c r="AS1896" s="682"/>
    </row>
    <row r="1897" spans="1:45" s="6" customFormat="1" ht="30" hidden="1" customHeight="1" x14ac:dyDescent="0.25">
      <c r="A1897" s="2022"/>
      <c r="B1897" s="2069"/>
      <c r="C1897" s="1181"/>
      <c r="D1897" s="866" t="s">
        <v>10</v>
      </c>
      <c r="E1897" s="935">
        <v>45995</v>
      </c>
      <c r="F1897" s="71">
        <f t="shared" ref="F1897" si="1174">$L$7-E1897</f>
        <v>291</v>
      </c>
      <c r="G1897" s="64">
        <v>0</v>
      </c>
      <c r="H1897" s="64"/>
      <c r="I1897" s="64"/>
      <c r="J1897" s="1367"/>
      <c r="K1897" s="64">
        <f>IFERROR(SUMIF(INTAKE!$A:$A,$T1897,INTAKE!$P:$P),0)</f>
        <v>0</v>
      </c>
      <c r="L1897" s="1702">
        <f t="shared" ref="L1897" si="1175">+G1897+H1897+I1897-J1897-K1897</f>
        <v>0</v>
      </c>
      <c r="M1897" s="45"/>
      <c r="N1897" s="45"/>
      <c r="O1897" s="45"/>
      <c r="P1897" s="736"/>
      <c r="Q1897" s="795"/>
      <c r="R1897" s="785">
        <f>IFERROR(VLOOKUP($Q1897,'391'!$S:$Z,8,0),"")</f>
        <v>0</v>
      </c>
      <c r="S1897" s="786"/>
      <c r="T1897" s="787" t="str">
        <f t="shared" si="1156"/>
        <v>MS SWINE 031445995</v>
      </c>
      <c r="U1897" s="787"/>
      <c r="V1897" s="787"/>
      <c r="W1897" s="785">
        <f>IFERROR(VLOOKUP($Q1897,'391'!$S:$AG,15,0),0)</f>
        <v>0</v>
      </c>
      <c r="X1897" s="1090">
        <f t="shared" si="1166"/>
        <v>0</v>
      </c>
      <c r="Y1897" s="787"/>
      <c r="Z1897" s="791"/>
      <c r="AA1897" s="787"/>
      <c r="AB1897" s="787"/>
      <c r="AC1897" s="679"/>
      <c r="AD1897" s="679"/>
      <c r="AE1897" s="679"/>
      <c r="AF1897" s="679"/>
      <c r="AG1897" s="679"/>
      <c r="AH1897" s="679"/>
      <c r="AI1897" s="682"/>
      <c r="AJ1897" s="682"/>
      <c r="AK1897" s="682"/>
      <c r="AL1897" s="682"/>
      <c r="AM1897" s="682"/>
      <c r="AN1897" s="682"/>
      <c r="AO1897" s="682"/>
      <c r="AP1897" s="682"/>
      <c r="AQ1897" s="682"/>
      <c r="AR1897" s="682"/>
      <c r="AS1897" s="682"/>
    </row>
    <row r="1898" spans="1:45" s="6" customFormat="1" ht="30" hidden="1" customHeight="1" x14ac:dyDescent="0.25">
      <c r="A1898" s="2022"/>
      <c r="B1898" s="2065"/>
      <c r="C1898" s="1181"/>
      <c r="D1898" s="866" t="s">
        <v>10</v>
      </c>
      <c r="E1898" s="935">
        <v>45987</v>
      </c>
      <c r="F1898" s="71">
        <f t="shared" ref="F1898:F1899" si="1176">$L$7-E1898</f>
        <v>299</v>
      </c>
      <c r="G1898" s="64">
        <v>0</v>
      </c>
      <c r="H1898" s="64"/>
      <c r="I1898" s="64"/>
      <c r="J1898" s="1367"/>
      <c r="K1898" s="64">
        <f>IFERROR(SUMIF(INTAKE!$A:$A,$T1898,INTAKE!$P:$P),0)</f>
        <v>0</v>
      </c>
      <c r="L1898" s="1702">
        <f t="shared" si="1155"/>
        <v>0</v>
      </c>
      <c r="M1898" s="45"/>
      <c r="N1898" s="45"/>
      <c r="O1898" s="45"/>
      <c r="P1898" s="736"/>
      <c r="Q1898" s="795"/>
      <c r="R1898" s="785">
        <f>IFERROR(VLOOKUP($Q1898,'391'!$S:$Z,8,0),"")</f>
        <v>0</v>
      </c>
      <c r="S1898" s="786"/>
      <c r="T1898" s="787" t="str">
        <f t="shared" si="1156"/>
        <v>MS SWINE 031445987</v>
      </c>
      <c r="U1898" s="787"/>
      <c r="V1898" s="787"/>
      <c r="W1898" s="785">
        <f>IFERROR(VLOOKUP($Q1898,'391'!$S:$AG,15,0),0)</f>
        <v>0</v>
      </c>
      <c r="X1898" s="1090">
        <f t="shared" si="1141"/>
        <v>0</v>
      </c>
      <c r="Y1898" s="787"/>
      <c r="Z1898" s="791"/>
      <c r="AA1898" s="787"/>
      <c r="AB1898" s="787"/>
      <c r="AC1898" s="679"/>
      <c r="AD1898" s="679"/>
      <c r="AE1898" s="679"/>
      <c r="AF1898" s="679"/>
      <c r="AG1898" s="679"/>
      <c r="AH1898" s="679"/>
      <c r="AI1898" s="682"/>
      <c r="AJ1898" s="682"/>
      <c r="AK1898" s="682"/>
      <c r="AL1898" s="682"/>
      <c r="AM1898" s="682"/>
      <c r="AN1898" s="682"/>
      <c r="AO1898" s="682"/>
      <c r="AP1898" s="682"/>
      <c r="AQ1898" s="682"/>
      <c r="AR1898" s="682"/>
      <c r="AS1898" s="682"/>
    </row>
    <row r="1899" spans="1:45" s="6" customFormat="1" ht="30" customHeight="1" x14ac:dyDescent="0.25">
      <c r="A1899" s="2022"/>
      <c r="B1899" s="2044"/>
      <c r="C1899" s="61" t="s">
        <v>46</v>
      </c>
      <c r="D1899" s="863" t="s">
        <v>10</v>
      </c>
      <c r="E1899" s="934">
        <v>46269</v>
      </c>
      <c r="F1899" s="71">
        <f t="shared" si="1176"/>
        <v>17</v>
      </c>
      <c r="G1899" s="37">
        <v>1.0231815394945443E-12</v>
      </c>
      <c r="H1899" s="37"/>
      <c r="I1899" s="37">
        <f>+SUM(K1883:K1898)</f>
        <v>1000</v>
      </c>
      <c r="J1899" s="1385">
        <f>+usage!I244</f>
        <v>559.74</v>
      </c>
      <c r="K1899" s="64">
        <f>IFERROR(SUMIF(INTAKE!$A:$A,$T1899,INTAKE!$P:$P),0)</f>
        <v>0</v>
      </c>
      <c r="L1899" s="1533">
        <f t="shared" si="1155"/>
        <v>440.26000000000101</v>
      </c>
      <c r="M1899" s="35"/>
      <c r="N1899" s="35"/>
      <c r="O1899" s="35"/>
      <c r="P1899" s="740"/>
      <c r="Q1899" s="795"/>
      <c r="R1899" s="785">
        <f>IFERROR(VLOOKUP($Q1899,'391'!$S:$Z,8,0),"")</f>
        <v>0</v>
      </c>
      <c r="S1899" s="786"/>
      <c r="T1899" s="787" t="str">
        <f t="shared" si="1156"/>
        <v>MS SWINE 0314Feedmill46269</v>
      </c>
      <c r="U1899" s="787"/>
      <c r="V1899" s="787"/>
      <c r="W1899" s="785">
        <f>IFERROR(VLOOKUP($Q1899,'391'!$S:$AG,15,0),0)</f>
        <v>0</v>
      </c>
      <c r="X1899" s="1090">
        <f t="shared" si="1141"/>
        <v>1.0231815394945443E-12</v>
      </c>
      <c r="Y1899" s="787"/>
      <c r="Z1899" s="791"/>
      <c r="AA1899" s="787"/>
      <c r="AB1899" s="787"/>
      <c r="AC1899" s="679"/>
      <c r="AD1899" s="679"/>
      <c r="AE1899" s="679"/>
      <c r="AF1899" s="679"/>
      <c r="AG1899" s="679"/>
      <c r="AH1899" s="679"/>
      <c r="AI1899" s="682"/>
      <c r="AJ1899" s="682"/>
      <c r="AK1899" s="682"/>
      <c r="AL1899" s="682"/>
      <c r="AM1899" s="682"/>
      <c r="AN1899" s="682"/>
      <c r="AO1899" s="682"/>
      <c r="AP1899" s="682"/>
      <c r="AQ1899" s="682"/>
      <c r="AR1899" s="682"/>
      <c r="AS1899" s="682"/>
    </row>
    <row r="1900" spans="1:45" s="420" customFormat="1" ht="30" customHeight="1" x14ac:dyDescent="0.25">
      <c r="A1900" s="2019" t="s">
        <v>1430</v>
      </c>
      <c r="B1900" s="2020"/>
      <c r="C1900" s="1033"/>
      <c r="D1900" s="1034"/>
      <c r="E1900" s="1127"/>
      <c r="F1900" s="1034"/>
      <c r="G1900" s="1422">
        <v>14000.000000000002</v>
      </c>
      <c r="H1900" s="1422">
        <f t="shared" ref="H1900:I1900" si="1177">SUM(H1883:H1899)</f>
        <v>0</v>
      </c>
      <c r="I1900" s="1422">
        <f t="shared" si="1177"/>
        <v>1000</v>
      </c>
      <c r="J1900" s="1422">
        <f t="shared" ref="J1900:L1900" si="1178">SUM(J1883:J1899)</f>
        <v>559.74</v>
      </c>
      <c r="K1900" s="1422">
        <f t="shared" si="1178"/>
        <v>1000</v>
      </c>
      <c r="L1900" s="1422">
        <f t="shared" si="1178"/>
        <v>13440.26</v>
      </c>
      <c r="M1900" s="59">
        <f>IFERROR(R1900/$S$2,"")</f>
        <v>819.8366666666667</v>
      </c>
      <c r="N1900" s="854">
        <f>(L1900/M1900)</f>
        <v>16.393826412578115</v>
      </c>
      <c r="O1900" s="59">
        <f>IFERROR(SUMIF(ETM!$A:$A,$Q1900,ETM!$E:$E),"")</f>
        <v>779.33333333333337</v>
      </c>
      <c r="P1900" s="880">
        <f>IFERROR(L1900/O1900,0)</f>
        <v>17.24584260051326</v>
      </c>
      <c r="Q1900" s="814" t="s">
        <v>633</v>
      </c>
      <c r="R1900" s="785">
        <f>IFERROR(VLOOKUP($Q1900,'391'!$S:$Z,8,0),"")</f>
        <v>4919.0200000000004</v>
      </c>
      <c r="S1900" s="786"/>
      <c r="T1900" s="787"/>
      <c r="U1900" s="787"/>
      <c r="V1900" s="787"/>
      <c r="W1900" s="785">
        <f>IFERROR(VLOOKUP($Q1900,'391'!$S:$AG,15,0),0)</f>
        <v>13908.02</v>
      </c>
      <c r="X1900" s="1090">
        <f t="shared" si="1141"/>
        <v>91.980000000001382</v>
      </c>
      <c r="Y1900" s="787"/>
      <c r="Z1900" s="791"/>
      <c r="AA1900" s="787"/>
      <c r="AB1900" s="787"/>
      <c r="AC1900" s="550"/>
      <c r="AD1900" s="550"/>
      <c r="AE1900" s="550"/>
      <c r="AF1900" s="550"/>
      <c r="AG1900" s="550"/>
      <c r="AH1900" s="550"/>
      <c r="AI1900" s="559"/>
      <c r="AJ1900" s="559"/>
      <c r="AK1900" s="559"/>
      <c r="AL1900" s="559"/>
      <c r="AM1900" s="559"/>
      <c r="AN1900" s="559"/>
      <c r="AO1900" s="559"/>
      <c r="AP1900" s="559"/>
      <c r="AQ1900" s="559"/>
      <c r="AR1900" s="559"/>
      <c r="AS1900" s="559"/>
    </row>
    <row r="1901" spans="1:45" s="6" customFormat="1" ht="30" hidden="1" customHeight="1" x14ac:dyDescent="0.25">
      <c r="A1901" s="2186" t="str">
        <f>IF(L1906=0,"",MAX($A$16:A1900)+1)</f>
        <v/>
      </c>
      <c r="B1901" s="393" t="s">
        <v>1603</v>
      </c>
      <c r="C1901" s="1181"/>
      <c r="D1901" s="866" t="s">
        <v>10</v>
      </c>
      <c r="E1901" s="935">
        <v>45821</v>
      </c>
      <c r="F1901" s="71">
        <f>$L$7-E1901</f>
        <v>465</v>
      </c>
      <c r="G1901" s="64">
        <v>0</v>
      </c>
      <c r="H1901" s="64"/>
      <c r="I1901" s="64"/>
      <c r="J1901" s="1367"/>
      <c r="K1901" s="64">
        <f>IFERROR(SUMIF(INTAKE!$A:$A,$T1901,INTAKE!$P:$P),0)</f>
        <v>0</v>
      </c>
      <c r="L1901" s="1702">
        <f>+G1901+H1901+I1901-J1901-K1901</f>
        <v>0</v>
      </c>
      <c r="M1901" s="51"/>
      <c r="N1901" s="51"/>
      <c r="O1901" s="51"/>
      <c r="P1901" s="737"/>
      <c r="Q1901" s="795"/>
      <c r="R1901" s="785">
        <f>IFERROR(VLOOKUP($Q1901,'391'!$S:$Z,8,0),"")</f>
        <v>0</v>
      </c>
      <c r="S1901" s="786"/>
      <c r="T1901" s="787" t="str">
        <f>$Q$1906&amp;C1901&amp;E1901</f>
        <v>Premix CORR ABS45821</v>
      </c>
      <c r="U1901" s="787"/>
      <c r="V1901" s="787"/>
      <c r="W1901" s="785">
        <f>IFERROR(VLOOKUP($Q1901,'391'!$S:$AG,15,0),0)</f>
        <v>0</v>
      </c>
      <c r="X1901" s="1090">
        <f t="shared" si="1141"/>
        <v>0</v>
      </c>
      <c r="Y1901" s="787"/>
      <c r="Z1901" s="791"/>
      <c r="AA1901" s="787"/>
      <c r="AB1901" s="787"/>
      <c r="AC1901" s="679"/>
      <c r="AD1901" s="679"/>
      <c r="AE1901" s="679"/>
      <c r="AF1901" s="679"/>
      <c r="AG1901" s="679"/>
      <c r="AH1901" s="679"/>
      <c r="AI1901" s="682"/>
      <c r="AJ1901" s="682"/>
      <c r="AK1901" s="682"/>
      <c r="AL1901" s="682"/>
      <c r="AM1901" s="682"/>
      <c r="AN1901" s="682"/>
      <c r="AO1901" s="682"/>
      <c r="AP1901" s="682"/>
      <c r="AQ1901" s="682"/>
      <c r="AR1901" s="682"/>
      <c r="AS1901" s="682"/>
    </row>
    <row r="1902" spans="1:45" s="6" customFormat="1" ht="30" hidden="1" customHeight="1" x14ac:dyDescent="0.25">
      <c r="A1902" s="2022"/>
      <c r="B1902" s="393" t="s">
        <v>1603</v>
      </c>
      <c r="C1902" s="1181" t="s">
        <v>1597</v>
      </c>
      <c r="D1902" s="866" t="s">
        <v>10</v>
      </c>
      <c r="E1902" s="935">
        <v>45821</v>
      </c>
      <c r="F1902" s="71">
        <f>$L$7-E1902</f>
        <v>465</v>
      </c>
      <c r="G1902" s="64">
        <v>0</v>
      </c>
      <c r="H1902" s="64"/>
      <c r="I1902" s="64"/>
      <c r="J1902" s="1367"/>
      <c r="K1902" s="64">
        <f>IFERROR(SUMIF(INTAKE!$A:$A,$T1902,INTAKE!$P:$P),0)</f>
        <v>0</v>
      </c>
      <c r="L1902" s="1702">
        <f>+G1902+H1902+I1902-J1902-K1902</f>
        <v>0</v>
      </c>
      <c r="M1902" s="48"/>
      <c r="N1902" s="48"/>
      <c r="O1902" s="48"/>
      <c r="P1902" s="738"/>
      <c r="Q1902" s="795"/>
      <c r="R1902" s="785">
        <f>IFERROR(VLOOKUP($Q1902,'391'!$S:$Z,8,0),"")</f>
        <v>0</v>
      </c>
      <c r="S1902" s="786"/>
      <c r="T1902" s="787" t="str">
        <f>$Q$1906&amp;C1902&amp;E1902</f>
        <v>Premix CORR ABSX6.245821</v>
      </c>
      <c r="U1902" s="787"/>
      <c r="V1902" s="787"/>
      <c r="W1902" s="785">
        <f>IFERROR(VLOOKUP($Q1902,'391'!$S:$AG,15,0),0)</f>
        <v>0</v>
      </c>
      <c r="X1902" s="1090">
        <f t="shared" si="1141"/>
        <v>0</v>
      </c>
      <c r="Y1902" s="787"/>
      <c r="Z1902" s="791"/>
      <c r="AA1902" s="787"/>
      <c r="AB1902" s="787"/>
      <c r="AC1902" s="679"/>
      <c r="AD1902" s="679"/>
      <c r="AE1902" s="679"/>
      <c r="AF1902" s="679"/>
      <c r="AG1902" s="679"/>
      <c r="AH1902" s="679"/>
      <c r="AI1902" s="682"/>
      <c r="AJ1902" s="682"/>
      <c r="AK1902" s="682"/>
      <c r="AL1902" s="682"/>
      <c r="AM1902" s="682"/>
      <c r="AN1902" s="682"/>
      <c r="AO1902" s="682"/>
      <c r="AP1902" s="682"/>
      <c r="AQ1902" s="682"/>
      <c r="AR1902" s="682"/>
      <c r="AS1902" s="682"/>
    </row>
    <row r="1903" spans="1:45" s="6" customFormat="1" ht="30" hidden="1" customHeight="1" x14ac:dyDescent="0.25">
      <c r="A1903" s="2022"/>
      <c r="B1903" s="393" t="s">
        <v>1603</v>
      </c>
      <c r="C1903" s="1181"/>
      <c r="D1903" s="866" t="s">
        <v>10</v>
      </c>
      <c r="E1903" s="935">
        <v>45821</v>
      </c>
      <c r="F1903" s="71">
        <f>$L$7-E1903</f>
        <v>465</v>
      </c>
      <c r="G1903" s="64">
        <v>0</v>
      </c>
      <c r="H1903" s="64"/>
      <c r="I1903" s="64"/>
      <c r="J1903" s="1367"/>
      <c r="K1903" s="64">
        <f>IFERROR(SUMIF(INTAKE!$A:$A,$T1903,INTAKE!$P:$P),0)</f>
        <v>0</v>
      </c>
      <c r="L1903" s="1702">
        <f>+G1903+H1903+I1903-J1903-K1903</f>
        <v>0</v>
      </c>
      <c r="M1903" s="45"/>
      <c r="N1903" s="45"/>
      <c r="O1903" s="45"/>
      <c r="P1903" s="736"/>
      <c r="Q1903" s="795"/>
      <c r="R1903" s="785">
        <f>IFERROR(VLOOKUP($Q1903,'391'!$S:$Z,8,0),"")</f>
        <v>0</v>
      </c>
      <c r="S1903" s="786"/>
      <c r="T1903" s="787" t="str">
        <f>$Q$1906&amp;C1903&amp;E1903</f>
        <v>Premix CORR ABS45821</v>
      </c>
      <c r="U1903" s="787"/>
      <c r="V1903" s="787"/>
      <c r="W1903" s="785">
        <f>IFERROR(VLOOKUP($Q1903,'391'!$S:$AG,15,0),0)</f>
        <v>0</v>
      </c>
      <c r="X1903" s="1090">
        <f t="shared" si="1141"/>
        <v>0</v>
      </c>
      <c r="Y1903" s="787"/>
      <c r="Z1903" s="791"/>
      <c r="AA1903" s="787"/>
      <c r="AB1903" s="787"/>
      <c r="AC1903" s="679"/>
      <c r="AD1903" s="679"/>
      <c r="AE1903" s="679"/>
      <c r="AF1903" s="679"/>
      <c r="AG1903" s="679"/>
      <c r="AH1903" s="679"/>
      <c r="AI1903" s="682"/>
      <c r="AJ1903" s="682"/>
      <c r="AK1903" s="682"/>
      <c r="AL1903" s="682"/>
      <c r="AM1903" s="682"/>
      <c r="AN1903" s="682"/>
      <c r="AO1903" s="682"/>
      <c r="AP1903" s="682"/>
      <c r="AQ1903" s="682"/>
      <c r="AR1903" s="682"/>
      <c r="AS1903" s="682"/>
    </row>
    <row r="1904" spans="1:45" s="6" customFormat="1" ht="30" hidden="1" customHeight="1" x14ac:dyDescent="0.25">
      <c r="A1904" s="2022"/>
      <c r="B1904" s="393" t="s">
        <v>1591</v>
      </c>
      <c r="C1904" s="1181"/>
      <c r="D1904" s="866" t="s">
        <v>10</v>
      </c>
      <c r="E1904" s="935">
        <v>45799</v>
      </c>
      <c r="F1904" s="71">
        <f>$L$7-E1904</f>
        <v>487</v>
      </c>
      <c r="G1904" s="64">
        <v>0</v>
      </c>
      <c r="H1904" s="64"/>
      <c r="I1904" s="64"/>
      <c r="J1904" s="1367"/>
      <c r="K1904" s="64">
        <f>IFERROR(SUMIF(INTAKE!$A:$A,$T1904,INTAKE!$P:$P),0)</f>
        <v>0</v>
      </c>
      <c r="L1904" s="1533">
        <f>+G1904+H1904+I1904-J1904-K1904</f>
        <v>0</v>
      </c>
      <c r="M1904" s="45"/>
      <c r="N1904" s="45"/>
      <c r="O1904" s="45"/>
      <c r="P1904" s="736"/>
      <c r="Q1904" s="795"/>
      <c r="R1904" s="785">
        <f>IFERROR(VLOOKUP($Q1904,'391'!$S:$Z,8,0),"")</f>
        <v>0</v>
      </c>
      <c r="S1904" s="786"/>
      <c r="T1904" s="787" t="str">
        <f>$Q$1906&amp;C1904&amp;E1904</f>
        <v>Premix CORR ABS45799</v>
      </c>
      <c r="U1904" s="787"/>
      <c r="V1904" s="787"/>
      <c r="W1904" s="785">
        <f>IFERROR(VLOOKUP($Q1904,'391'!$S:$AG,15,0),0)</f>
        <v>0</v>
      </c>
      <c r="X1904" s="1090">
        <f t="shared" si="1141"/>
        <v>0</v>
      </c>
      <c r="Y1904" s="787"/>
      <c r="Z1904" s="791"/>
      <c r="AA1904" s="787"/>
      <c r="AB1904" s="787"/>
      <c r="AC1904" s="679"/>
      <c r="AD1904" s="679"/>
      <c r="AE1904" s="679"/>
      <c r="AF1904" s="679"/>
      <c r="AG1904" s="679"/>
      <c r="AH1904" s="679"/>
      <c r="AI1904" s="682"/>
      <c r="AJ1904" s="682"/>
      <c r="AK1904" s="682"/>
      <c r="AL1904" s="682"/>
      <c r="AM1904" s="682"/>
      <c r="AN1904" s="682"/>
      <c r="AO1904" s="682"/>
      <c r="AP1904" s="682"/>
      <c r="AQ1904" s="682"/>
      <c r="AR1904" s="682"/>
      <c r="AS1904" s="682"/>
    </row>
    <row r="1905" spans="1:45" s="6" customFormat="1" ht="30" hidden="1" customHeight="1" x14ac:dyDescent="0.25">
      <c r="A1905" s="2022"/>
      <c r="B1905" s="1497" t="s">
        <v>1603</v>
      </c>
      <c r="C1905" s="61" t="s">
        <v>46</v>
      </c>
      <c r="D1905" s="863" t="s">
        <v>10</v>
      </c>
      <c r="E1905" s="934">
        <v>45821</v>
      </c>
      <c r="F1905" s="71">
        <f>$L$7-E1905</f>
        <v>465</v>
      </c>
      <c r="G1905" s="37">
        <v>0</v>
      </c>
      <c r="H1905" s="37"/>
      <c r="I1905" s="37">
        <f>+SUM(K1901:K1903)</f>
        <v>0</v>
      </c>
      <c r="J1905" s="1385">
        <f>usage!I249</f>
        <v>0</v>
      </c>
      <c r="K1905" s="64">
        <f>IFERROR(SUMIF(INTAKE!$A:$A,$T1905,INTAKE!$P:$P),0)</f>
        <v>0</v>
      </c>
      <c r="L1905" s="1533">
        <f>+G1905+H1905+I1905-J1905-K1905</f>
        <v>0</v>
      </c>
      <c r="M1905" s="35"/>
      <c r="N1905" s="35"/>
      <c r="O1905" s="35"/>
      <c r="P1905" s="740"/>
      <c r="Q1905" s="795"/>
      <c r="R1905" s="785">
        <f>IFERROR(VLOOKUP($Q1905,'391'!$S:$Z,8,0),"")</f>
        <v>0</v>
      </c>
      <c r="S1905" s="786"/>
      <c r="T1905" s="787" t="str">
        <f>$Q$1906&amp;C1905&amp;E1905</f>
        <v>Premix CORR ABSFeedmill45821</v>
      </c>
      <c r="U1905" s="787"/>
      <c r="V1905" s="787"/>
      <c r="W1905" s="785">
        <f>IFERROR(VLOOKUP($Q1905,'391'!$S:$AG,15,0),0)</f>
        <v>0</v>
      </c>
      <c r="X1905" s="1090">
        <f t="shared" si="1141"/>
        <v>0</v>
      </c>
      <c r="Y1905" s="787"/>
      <c r="Z1905" s="791"/>
      <c r="AA1905" s="787"/>
      <c r="AB1905" s="787"/>
      <c r="AC1905" s="679"/>
      <c r="AD1905" s="679"/>
      <c r="AE1905" s="679"/>
      <c r="AF1905" s="679"/>
      <c r="AG1905" s="679"/>
      <c r="AH1905" s="679"/>
      <c r="AI1905" s="682"/>
      <c r="AJ1905" s="682"/>
      <c r="AK1905" s="682"/>
      <c r="AL1905" s="682"/>
      <c r="AM1905" s="682"/>
      <c r="AN1905" s="682"/>
      <c r="AO1905" s="682"/>
      <c r="AP1905" s="682"/>
      <c r="AQ1905" s="682"/>
      <c r="AR1905" s="682"/>
      <c r="AS1905" s="682"/>
    </row>
    <row r="1906" spans="1:45" s="420" customFormat="1" ht="30" hidden="1" customHeight="1" x14ac:dyDescent="0.25">
      <c r="A1906" s="2019" t="s">
        <v>1431</v>
      </c>
      <c r="B1906" s="2020"/>
      <c r="C1906" s="1033"/>
      <c r="D1906" s="1034"/>
      <c r="E1906" s="1127"/>
      <c r="F1906" s="1034"/>
      <c r="G1906" s="1422">
        <v>0</v>
      </c>
      <c r="H1906" s="1422">
        <f t="shared" ref="H1906:I1906" si="1179">SUM(H1901:H1905)</f>
        <v>0</v>
      </c>
      <c r="I1906" s="1422">
        <f t="shared" si="1179"/>
        <v>0</v>
      </c>
      <c r="J1906" s="1422">
        <f t="shared" ref="J1906:L1906" si="1180">SUM(J1901:J1905)</f>
        <v>0</v>
      </c>
      <c r="K1906" s="1422">
        <f t="shared" si="1180"/>
        <v>0</v>
      </c>
      <c r="L1906" s="1422">
        <f t="shared" si="1180"/>
        <v>0</v>
      </c>
      <c r="M1906" s="59" t="str">
        <f>IFERROR(R1906/$S$2,"")</f>
        <v/>
      </c>
      <c r="N1906" s="854">
        <f>IFERROR(L1906/M1906,0)</f>
        <v>0</v>
      </c>
      <c r="O1906" s="59">
        <f>IFERROR(SUMIF(ETM!$A:$A,$Q1906,ETM!$E:$E),"")</f>
        <v>0</v>
      </c>
      <c r="P1906" s="880">
        <f>IFERROR(L1906/O1906,0)</f>
        <v>0</v>
      </c>
      <c r="Q1906" s="814" t="s">
        <v>1429</v>
      </c>
      <c r="R1906" s="785" t="str">
        <f>IFERROR(VLOOKUP($Q1906,'391'!$S:$Z,8,0),"")</f>
        <v/>
      </c>
      <c r="S1906" s="786"/>
      <c r="T1906" s="787"/>
      <c r="U1906" s="787"/>
      <c r="V1906" s="787"/>
      <c r="W1906" s="785">
        <f>IFERROR(VLOOKUP($Q1906,'391'!$S:$AG,15,0),0)</f>
        <v>0</v>
      </c>
      <c r="X1906" s="1090">
        <f t="shared" si="1141"/>
        <v>0</v>
      </c>
      <c r="Y1906" s="787"/>
      <c r="Z1906" s="791"/>
      <c r="AA1906" s="787"/>
      <c r="AB1906" s="787"/>
      <c r="AC1906" s="550"/>
      <c r="AD1906" s="550"/>
      <c r="AE1906" s="550"/>
      <c r="AF1906" s="550"/>
      <c r="AG1906" s="550"/>
      <c r="AH1906" s="550"/>
      <c r="AI1906" s="559"/>
      <c r="AJ1906" s="559"/>
      <c r="AK1906" s="559"/>
      <c r="AL1906" s="559"/>
      <c r="AM1906" s="559"/>
      <c r="AN1906" s="559"/>
      <c r="AO1906" s="559"/>
      <c r="AP1906" s="559"/>
      <c r="AQ1906" s="559"/>
      <c r="AR1906" s="559"/>
      <c r="AS1906" s="559"/>
    </row>
    <row r="1907" spans="1:45" s="6" customFormat="1" ht="30" hidden="1" customHeight="1" x14ac:dyDescent="0.25">
      <c r="A1907" s="2010" t="str">
        <f>IF(L1909=0,"",MAX($A$16:A1903)+1)</f>
        <v/>
      </c>
      <c r="B1907" s="1761" t="s">
        <v>1607</v>
      </c>
      <c r="C1907" s="186"/>
      <c r="D1907" s="866" t="s">
        <v>10</v>
      </c>
      <c r="E1907" s="935">
        <v>45835</v>
      </c>
      <c r="F1907" s="71">
        <f>$L$7-E1907</f>
        <v>451</v>
      </c>
      <c r="G1907" s="11">
        <v>0</v>
      </c>
      <c r="H1907" s="11"/>
      <c r="I1907" s="1306"/>
      <c r="J1907" s="1442"/>
      <c r="K1907" s="64">
        <f>IFERROR(SUMIF(INTAKE!$A:$A,$T1907,INTAKE!$P:$P),0)</f>
        <v>0</v>
      </c>
      <c r="L1907" s="1702">
        <f t="shared" ref="L1907:L1908" si="1181">+G1907+H1907+I1907-J1907-K1907</f>
        <v>0</v>
      </c>
      <c r="M1907" s="1731"/>
      <c r="N1907" s="920"/>
      <c r="O1907" s="1731"/>
      <c r="P1907" s="1732"/>
      <c r="Q1907" s="795"/>
      <c r="R1907" s="785">
        <f>IFERROR(VLOOKUP($Q1907,'391'!$S:$Z,8,0),"")</f>
        <v>0</v>
      </c>
      <c r="S1907" s="786"/>
      <c r="T1907" s="787" t="str">
        <f>$Q$1909&amp;C1907&amp;E1907</f>
        <v>Premix VP PP45835</v>
      </c>
      <c r="U1907" s="787"/>
      <c r="V1907" s="787"/>
      <c r="W1907" s="785">
        <f>IFERROR(VLOOKUP($Q1907,'391'!$S:$AG,15,0),0)</f>
        <v>0</v>
      </c>
      <c r="X1907" s="1090">
        <f t="shared" si="1141"/>
        <v>0</v>
      </c>
      <c r="Y1907" s="787"/>
      <c r="Z1907" s="791"/>
      <c r="AA1907" s="787"/>
      <c r="AB1907" s="787"/>
      <c r="AC1907" s="679"/>
      <c r="AD1907" s="679"/>
      <c r="AE1907" s="679"/>
      <c r="AF1907" s="679"/>
      <c r="AG1907" s="679"/>
      <c r="AH1907" s="679"/>
      <c r="AI1907" s="682"/>
      <c r="AJ1907" s="682"/>
      <c r="AK1907" s="682"/>
      <c r="AL1907" s="682"/>
      <c r="AM1907" s="682"/>
      <c r="AN1907" s="682"/>
      <c r="AO1907" s="682"/>
      <c r="AP1907" s="682"/>
      <c r="AQ1907" s="682"/>
      <c r="AR1907" s="682"/>
      <c r="AS1907" s="682"/>
    </row>
    <row r="1908" spans="1:45" s="6" customFormat="1" ht="30" hidden="1" customHeight="1" x14ac:dyDescent="0.25">
      <c r="A1908" s="2011"/>
      <c r="B1908" s="1497" t="s">
        <v>1607</v>
      </c>
      <c r="C1908" s="144" t="s">
        <v>46</v>
      </c>
      <c r="D1908" s="866" t="s">
        <v>10</v>
      </c>
      <c r="E1908" s="934">
        <v>45835</v>
      </c>
      <c r="F1908" s="71">
        <f>$L$7-E1908</f>
        <v>451</v>
      </c>
      <c r="G1908" s="37">
        <v>0</v>
      </c>
      <c r="H1908" s="37"/>
      <c r="I1908" s="37">
        <f>+K1907</f>
        <v>0</v>
      </c>
      <c r="J1908" s="1385">
        <f>usage!I250</f>
        <v>0</v>
      </c>
      <c r="K1908" s="1834"/>
      <c r="L1908" s="1533">
        <f t="shared" si="1181"/>
        <v>0</v>
      </c>
      <c r="M1908" s="1735"/>
      <c r="N1908" s="1736"/>
      <c r="O1908" s="1737"/>
      <c r="P1908" s="1738"/>
      <c r="Q1908" s="795"/>
      <c r="R1908" s="785">
        <f>IFERROR(VLOOKUP($Q1908,'391'!$S:$Z,8,0),"")</f>
        <v>0</v>
      </c>
      <c r="S1908" s="786"/>
      <c r="T1908" s="787" t="str">
        <f>$Q$1909&amp;C1908&amp;E1908</f>
        <v>Premix VP PPFeedmill45835</v>
      </c>
      <c r="U1908" s="787"/>
      <c r="V1908" s="787"/>
      <c r="W1908" s="785">
        <f>IFERROR(VLOOKUP($Q1908,'391'!$S:$AG,15,0),0)</f>
        <v>0</v>
      </c>
      <c r="X1908" s="1090">
        <f t="shared" si="1141"/>
        <v>0</v>
      </c>
      <c r="Y1908" s="787"/>
      <c r="Z1908" s="791"/>
      <c r="AA1908" s="787"/>
      <c r="AB1908" s="787"/>
      <c r="AC1908" s="679"/>
      <c r="AD1908" s="679"/>
      <c r="AE1908" s="679"/>
      <c r="AF1908" s="679"/>
      <c r="AG1908" s="679"/>
      <c r="AH1908" s="679"/>
      <c r="AI1908" s="682"/>
      <c r="AJ1908" s="682"/>
      <c r="AK1908" s="682"/>
      <c r="AL1908" s="682"/>
      <c r="AM1908" s="682"/>
      <c r="AN1908" s="682"/>
      <c r="AO1908" s="682"/>
      <c r="AP1908" s="682"/>
      <c r="AQ1908" s="682"/>
      <c r="AR1908" s="682"/>
      <c r="AS1908" s="682"/>
    </row>
    <row r="1909" spans="1:45" s="420" customFormat="1" ht="30" hidden="1" customHeight="1" x14ac:dyDescent="0.25">
      <c r="A1909" s="2003" t="s">
        <v>1502</v>
      </c>
      <c r="B1909" s="2004"/>
      <c r="C1909" s="125"/>
      <c r="D1909" s="1027"/>
      <c r="E1909" s="1131"/>
      <c r="F1909" s="896"/>
      <c r="G1909" s="1422">
        <v>0</v>
      </c>
      <c r="H1909" s="1422">
        <f t="shared" ref="H1909:I1909" si="1182">SUM(H1907:H1908)</f>
        <v>0</v>
      </c>
      <c r="I1909" s="1422">
        <f t="shared" si="1182"/>
        <v>0</v>
      </c>
      <c r="J1909" s="1422">
        <f t="shared" ref="J1909:L1909" si="1183">SUM(J1907:J1908)</f>
        <v>0</v>
      </c>
      <c r="K1909" s="1422">
        <f t="shared" si="1183"/>
        <v>0</v>
      </c>
      <c r="L1909" s="1422">
        <f t="shared" si="1183"/>
        <v>0</v>
      </c>
      <c r="M1909" s="59" t="str">
        <f>IFERROR(R1909/$S$2,"")</f>
        <v/>
      </c>
      <c r="N1909" s="854">
        <f>IFERROR(L1909/M1909,0)</f>
        <v>0</v>
      </c>
      <c r="O1909" s="59">
        <f>IFERROR(SUMIF(ETM!$A:$A,$Q1909,ETM!$E:$E),"")</f>
        <v>0</v>
      </c>
      <c r="P1909" s="880">
        <f>IFERROR(L1909/O1909,0)</f>
        <v>0</v>
      </c>
      <c r="Q1909" s="1730" t="s">
        <v>1507</v>
      </c>
      <c r="R1909" s="785" t="str">
        <f>IFERROR(VLOOKUP($Q1909,'391'!$S:$Z,8,0),"")</f>
        <v/>
      </c>
      <c r="S1909" s="786"/>
      <c r="T1909" s="787"/>
      <c r="U1909" s="787"/>
      <c r="V1909" s="787"/>
      <c r="W1909" s="785">
        <f>IFERROR(VLOOKUP($Q1909,'391'!$S:$AG,15,0),0)</f>
        <v>0</v>
      </c>
      <c r="X1909" s="1090">
        <f t="shared" si="1141"/>
        <v>0</v>
      </c>
      <c r="Y1909" s="787"/>
      <c r="Z1909" s="791"/>
      <c r="AA1909" s="787"/>
      <c r="AB1909" s="787"/>
      <c r="AC1909" s="550"/>
      <c r="AD1909" s="550"/>
      <c r="AE1909" s="550"/>
      <c r="AF1909" s="550"/>
      <c r="AG1909" s="550"/>
      <c r="AH1909" s="550"/>
      <c r="AI1909" s="559"/>
      <c r="AJ1909" s="559"/>
      <c r="AK1909" s="559"/>
      <c r="AL1909" s="559"/>
      <c r="AM1909" s="559"/>
      <c r="AN1909" s="559"/>
      <c r="AO1909" s="559"/>
      <c r="AP1909" s="559"/>
      <c r="AQ1909" s="559"/>
      <c r="AR1909" s="559"/>
      <c r="AS1909" s="559"/>
    </row>
    <row r="1910" spans="1:45" s="6" customFormat="1" ht="30" hidden="1" customHeight="1" x14ac:dyDescent="0.25">
      <c r="A1910" s="2010" t="str">
        <f>IF(L1912=0,"",MAX($A$16:A1909)+1)</f>
        <v/>
      </c>
      <c r="B1910" s="1761" t="s">
        <v>1608</v>
      </c>
      <c r="C1910" s="186"/>
      <c r="D1910" s="866" t="s">
        <v>10</v>
      </c>
      <c r="E1910" s="935">
        <v>45835</v>
      </c>
      <c r="F1910" s="71">
        <f>$L$7-E1910</f>
        <v>451</v>
      </c>
      <c r="G1910" s="11">
        <v>0</v>
      </c>
      <c r="H1910" s="11"/>
      <c r="I1910" s="1306"/>
      <c r="J1910" s="1442"/>
      <c r="K1910" s="64">
        <f>IFERROR(SUMIF(INTAKE!$A:$A,$T1910,INTAKE!$P:$P),0)</f>
        <v>0</v>
      </c>
      <c r="L1910" s="1702">
        <f t="shared" ref="L1910:L1931" si="1184">+G1910+H1910+I1910-J1910-K1910</f>
        <v>0</v>
      </c>
      <c r="M1910" s="66"/>
      <c r="N1910" s="920"/>
      <c r="O1910" s="1731"/>
      <c r="P1910" s="1732"/>
      <c r="Q1910" s="795"/>
      <c r="R1910" s="785">
        <f>IFERROR(VLOOKUP($Q1910,'391'!$S:$Z,8,0),"")</f>
        <v>0</v>
      </c>
      <c r="S1910" s="786"/>
      <c r="T1910" s="787" t="str">
        <f>$Q$1912&amp;C1910&amp;E1910</f>
        <v>Premix MD-010345835</v>
      </c>
      <c r="U1910" s="787"/>
      <c r="V1910" s="787"/>
      <c r="W1910" s="785">
        <f>IFERROR(VLOOKUP($Q1910,'391'!$S:$AG,15,0),0)</f>
        <v>0</v>
      </c>
      <c r="X1910" s="1090">
        <f t="shared" si="1141"/>
        <v>0</v>
      </c>
      <c r="Y1910" s="787"/>
      <c r="Z1910" s="791"/>
      <c r="AA1910" s="787"/>
      <c r="AB1910" s="787"/>
      <c r="AC1910" s="679"/>
      <c r="AD1910" s="679"/>
      <c r="AE1910" s="679"/>
      <c r="AF1910" s="679"/>
      <c r="AG1910" s="679"/>
      <c r="AH1910" s="679"/>
      <c r="AI1910" s="682"/>
      <c r="AJ1910" s="682"/>
      <c r="AK1910" s="682"/>
      <c r="AL1910" s="682"/>
      <c r="AM1910" s="682"/>
      <c r="AN1910" s="682"/>
      <c r="AO1910" s="682"/>
      <c r="AP1910" s="682"/>
      <c r="AQ1910" s="682"/>
      <c r="AR1910" s="682"/>
      <c r="AS1910" s="682"/>
    </row>
    <row r="1911" spans="1:45" s="6" customFormat="1" ht="30" hidden="1" customHeight="1" x14ac:dyDescent="0.25">
      <c r="A1911" s="2011"/>
      <c r="B1911" s="1497" t="s">
        <v>1608</v>
      </c>
      <c r="C1911" s="144" t="s">
        <v>46</v>
      </c>
      <c r="D1911" s="866" t="s">
        <v>10</v>
      </c>
      <c r="E1911" s="934">
        <v>45835</v>
      </c>
      <c r="F1911" s="71">
        <f>$L$7-E1911</f>
        <v>451</v>
      </c>
      <c r="G1911" s="37">
        <v>0</v>
      </c>
      <c r="H1911" s="37"/>
      <c r="I1911" s="37">
        <f>+K1910</f>
        <v>0</v>
      </c>
      <c r="J1911" s="1385"/>
      <c r="K1911" s="1834"/>
      <c r="L1911" s="1533">
        <f t="shared" si="1184"/>
        <v>0</v>
      </c>
      <c r="M1911" s="381"/>
      <c r="N1911" s="1733"/>
      <c r="O1911" s="1734"/>
      <c r="P1911" s="1011"/>
      <c r="Q1911" s="795"/>
      <c r="R1911" s="785">
        <f>IFERROR(VLOOKUP($Q1911,'391'!$S:$Z,8,0),"")</f>
        <v>0</v>
      </c>
      <c r="S1911" s="786"/>
      <c r="T1911" s="787" t="str">
        <f>$Q$1912&amp;C1911&amp;E1911</f>
        <v>Premix MD-0103Feedmill45835</v>
      </c>
      <c r="U1911" s="787"/>
      <c r="V1911" s="787"/>
      <c r="W1911" s="785">
        <f>IFERROR(VLOOKUP($Q1911,'391'!$S:$AG,15,0),0)</f>
        <v>0</v>
      </c>
      <c r="X1911" s="1090">
        <f t="shared" si="1141"/>
        <v>0</v>
      </c>
      <c r="Y1911" s="787"/>
      <c r="Z1911" s="791"/>
      <c r="AA1911" s="787"/>
      <c r="AB1911" s="787"/>
      <c r="AC1911" s="679"/>
      <c r="AD1911" s="679"/>
      <c r="AE1911" s="679"/>
      <c r="AF1911" s="679"/>
      <c r="AG1911" s="679"/>
      <c r="AH1911" s="679"/>
      <c r="AI1911" s="682"/>
      <c r="AJ1911" s="682"/>
      <c r="AK1911" s="682"/>
      <c r="AL1911" s="682"/>
      <c r="AM1911" s="682"/>
      <c r="AN1911" s="682"/>
      <c r="AO1911" s="682"/>
      <c r="AP1911" s="682"/>
      <c r="AQ1911" s="682"/>
      <c r="AR1911" s="682"/>
      <c r="AS1911" s="682"/>
    </row>
    <row r="1912" spans="1:45" s="420" customFormat="1" ht="30" hidden="1" customHeight="1" x14ac:dyDescent="0.25">
      <c r="A1912" s="2003" t="s">
        <v>1503</v>
      </c>
      <c r="B1912" s="2004"/>
      <c r="C1912" s="125"/>
      <c r="D1912" s="1027"/>
      <c r="E1912" s="1131"/>
      <c r="F1912" s="896"/>
      <c r="G1912" s="1422">
        <v>0</v>
      </c>
      <c r="H1912" s="1422">
        <f t="shared" ref="H1912:I1912" si="1185">SUM(H1910:H1911)</f>
        <v>0</v>
      </c>
      <c r="I1912" s="1422">
        <f t="shared" si="1185"/>
        <v>0</v>
      </c>
      <c r="J1912" s="1422">
        <f t="shared" ref="J1912:L1912" si="1186">SUM(J1910:J1911)</f>
        <v>0</v>
      </c>
      <c r="K1912" s="1422">
        <f t="shared" si="1186"/>
        <v>0</v>
      </c>
      <c r="L1912" s="1422">
        <f t="shared" si="1186"/>
        <v>0</v>
      </c>
      <c r="M1912" s="59" t="str">
        <f>IFERROR(R1912/$S$2,"")</f>
        <v/>
      </c>
      <c r="N1912" s="854">
        <f>IFERROR(L1912/M1912,0)</f>
        <v>0</v>
      </c>
      <c r="O1912" s="59">
        <f>IFERROR(SUMIF(ETM!$A:$A,$Q1912,ETM!$E:$E),"")</f>
        <v>0</v>
      </c>
      <c r="P1912" s="880">
        <f>IFERROR(L1912/O1912,0)</f>
        <v>0</v>
      </c>
      <c r="Q1912" s="795" t="s">
        <v>1506</v>
      </c>
      <c r="R1912" s="785" t="str">
        <f>IFERROR(VLOOKUP($Q1912,'391'!$S:$Z,8,0),"")</f>
        <v/>
      </c>
      <c r="S1912" s="786"/>
      <c r="T1912" s="787"/>
      <c r="U1912" s="787"/>
      <c r="V1912" s="787"/>
      <c r="W1912" s="785">
        <f>IFERROR(VLOOKUP($Q1912,'391'!$S:$AG,15,0),0)</f>
        <v>0</v>
      </c>
      <c r="X1912" s="1090">
        <f t="shared" si="1141"/>
        <v>0</v>
      </c>
      <c r="Y1912" s="787"/>
      <c r="Z1912" s="791"/>
      <c r="AA1912" s="787"/>
      <c r="AB1912" s="787"/>
      <c r="AC1912" s="550"/>
      <c r="AD1912" s="550"/>
      <c r="AE1912" s="550"/>
      <c r="AF1912" s="550"/>
      <c r="AG1912" s="550"/>
      <c r="AH1912" s="550"/>
      <c r="AI1912" s="559"/>
      <c r="AJ1912" s="559"/>
      <c r="AK1912" s="559"/>
      <c r="AL1912" s="559"/>
      <c r="AM1912" s="559"/>
      <c r="AN1912" s="559"/>
      <c r="AO1912" s="559"/>
      <c r="AP1912" s="559"/>
      <c r="AQ1912" s="559"/>
      <c r="AR1912" s="559"/>
      <c r="AS1912" s="559"/>
    </row>
    <row r="1913" spans="1:45" s="6" customFormat="1" ht="30" hidden="1" customHeight="1" x14ac:dyDescent="0.25">
      <c r="A1913" s="2005" t="str">
        <f>IF(L1918=0,"",MAX($A$16:A1912)+1)</f>
        <v/>
      </c>
      <c r="B1913" s="391" t="s">
        <v>1836</v>
      </c>
      <c r="C1913" s="240"/>
      <c r="D1913" s="866" t="s">
        <v>10</v>
      </c>
      <c r="E1913" s="1134">
        <v>46192</v>
      </c>
      <c r="F1913" s="71">
        <f>$L$7-E1913</f>
        <v>94</v>
      </c>
      <c r="G1913" s="1435">
        <v>0</v>
      </c>
      <c r="H1913" s="64"/>
      <c r="I1913" s="64"/>
      <c r="J1913" s="1367"/>
      <c r="K1913" s="64">
        <f>IFERROR(SUMIF(INTAKE!$A:$A,$T1913,INTAKE!$P:$P),0)</f>
        <v>0</v>
      </c>
      <c r="L1913" s="1702">
        <f t="shared" si="1184"/>
        <v>0</v>
      </c>
      <c r="M1913" s="20"/>
      <c r="N1913" s="196"/>
      <c r="O1913" s="20"/>
      <c r="P1913" s="762"/>
      <c r="Q1913" s="795"/>
      <c r="R1913" s="785">
        <f>IFERROR(VLOOKUP($Q1913,'391'!$S:$Z,8,0),"")</f>
        <v>0</v>
      </c>
      <c r="S1913" s="786"/>
      <c r="T1913" s="787" t="str">
        <f>$Q$1918&amp;C1913&amp;E1913</f>
        <v>Premix EP0246192</v>
      </c>
      <c r="U1913" s="787"/>
      <c r="V1913" s="787"/>
      <c r="W1913" s="785">
        <f>IFERROR(VLOOKUP($Q1913,'391'!$S:$AG,15,0),0)</f>
        <v>0</v>
      </c>
      <c r="X1913" s="1090">
        <f t="shared" si="1141"/>
        <v>0</v>
      </c>
      <c r="Y1913" s="787"/>
      <c r="Z1913" s="791"/>
      <c r="AA1913" s="787"/>
      <c r="AB1913" s="787"/>
      <c r="AC1913" s="679"/>
      <c r="AD1913" s="679"/>
      <c r="AE1913" s="679"/>
      <c r="AF1913" s="679"/>
      <c r="AG1913" s="679"/>
      <c r="AH1913" s="679"/>
      <c r="AI1913" s="682"/>
      <c r="AJ1913" s="682"/>
      <c r="AK1913" s="682"/>
      <c r="AL1913" s="682"/>
      <c r="AM1913" s="682"/>
      <c r="AN1913" s="682"/>
      <c r="AO1913" s="682"/>
      <c r="AP1913" s="682"/>
      <c r="AQ1913" s="682"/>
      <c r="AR1913" s="682"/>
      <c r="AS1913" s="682"/>
    </row>
    <row r="1914" spans="1:45" s="6" customFormat="1" ht="30" hidden="1" customHeight="1" x14ac:dyDescent="0.25">
      <c r="A1914" s="2006"/>
      <c r="B1914" s="391" t="s">
        <v>1855</v>
      </c>
      <c r="C1914" s="240"/>
      <c r="D1914" s="866" t="s">
        <v>10</v>
      </c>
      <c r="E1914" s="1134">
        <v>46213</v>
      </c>
      <c r="F1914" s="71">
        <f>$L$7-E1914</f>
        <v>73</v>
      </c>
      <c r="G1914" s="1435">
        <v>0</v>
      </c>
      <c r="H1914" s="64"/>
      <c r="I1914" s="64"/>
      <c r="J1914" s="1367"/>
      <c r="K1914" s="64">
        <f>IFERROR(SUMIF(INTAKE!$A:$A,$T1914,INTAKE!$P:$P),0)</f>
        <v>0</v>
      </c>
      <c r="L1914" s="1702">
        <f t="shared" si="1184"/>
        <v>0</v>
      </c>
      <c r="M1914" s="101"/>
      <c r="N1914" s="249"/>
      <c r="O1914" s="101"/>
      <c r="P1914" s="750"/>
      <c r="Q1914" s="795"/>
      <c r="R1914" s="785">
        <f>IFERROR(VLOOKUP($Q1914,'391'!$S:$Z,8,0),"")</f>
        <v>0</v>
      </c>
      <c r="S1914" s="786"/>
      <c r="T1914" s="787" t="str">
        <f>$Q$1918&amp;C1914&amp;E1914</f>
        <v>Premix EP0246213</v>
      </c>
      <c r="U1914" s="787"/>
      <c r="V1914" s="787"/>
      <c r="W1914" s="785">
        <f>IFERROR(VLOOKUP($Q1914,'391'!$S:$AG,15,0),0)</f>
        <v>0</v>
      </c>
      <c r="X1914" s="1090">
        <f t="shared" si="1141"/>
        <v>0</v>
      </c>
      <c r="Y1914" s="787"/>
      <c r="Z1914" s="791"/>
      <c r="AA1914" s="787"/>
      <c r="AB1914" s="787"/>
      <c r="AC1914" s="679"/>
      <c r="AD1914" s="679"/>
      <c r="AE1914" s="679"/>
      <c r="AF1914" s="679"/>
      <c r="AG1914" s="679"/>
      <c r="AH1914" s="679"/>
      <c r="AI1914" s="682"/>
      <c r="AJ1914" s="682"/>
      <c r="AK1914" s="682"/>
      <c r="AL1914" s="682"/>
      <c r="AM1914" s="682"/>
      <c r="AN1914" s="682"/>
      <c r="AO1914" s="682"/>
      <c r="AP1914" s="682"/>
      <c r="AQ1914" s="682"/>
      <c r="AR1914" s="682"/>
      <c r="AS1914" s="682"/>
    </row>
    <row r="1915" spans="1:45" s="6" customFormat="1" ht="30" hidden="1" customHeight="1" x14ac:dyDescent="0.25">
      <c r="A1915" s="2006"/>
      <c r="B1915" s="391" t="s">
        <v>1734</v>
      </c>
      <c r="C1915" s="240"/>
      <c r="D1915" s="866" t="s">
        <v>10</v>
      </c>
      <c r="E1915" s="1134">
        <v>46038</v>
      </c>
      <c r="F1915" s="71">
        <f>$L$7-E1915</f>
        <v>248</v>
      </c>
      <c r="G1915" s="1435">
        <v>0</v>
      </c>
      <c r="H1915" s="64"/>
      <c r="I1915" s="64"/>
      <c r="J1915" s="1367"/>
      <c r="K1915" s="64">
        <f>IFERROR(SUMIF(INTAKE!$A:$A,$T1915,INTAKE!$P:$P),0)</f>
        <v>0</v>
      </c>
      <c r="L1915" s="1702">
        <f t="shared" si="1184"/>
        <v>0</v>
      </c>
      <c r="M1915" s="101"/>
      <c r="N1915" s="249"/>
      <c r="O1915" s="101"/>
      <c r="P1915" s="750"/>
      <c r="Q1915" s="795"/>
      <c r="R1915" s="785">
        <f>IFERROR(VLOOKUP($Q1915,'391'!$S:$Z,8,0),"")</f>
        <v>0</v>
      </c>
      <c r="S1915" s="786"/>
      <c r="T1915" s="787" t="str">
        <f>$Q$1918&amp;C1915&amp;E1915</f>
        <v>Premix EP0246038</v>
      </c>
      <c r="U1915" s="787"/>
      <c r="V1915" s="787"/>
      <c r="W1915" s="785">
        <f>IFERROR(VLOOKUP($Q1915,'391'!$S:$AG,15,0),0)</f>
        <v>0</v>
      </c>
      <c r="X1915" s="1090">
        <f t="shared" si="1141"/>
        <v>0</v>
      </c>
      <c r="Y1915" s="787"/>
      <c r="Z1915" s="791"/>
      <c r="AA1915" s="787"/>
      <c r="AB1915" s="787"/>
      <c r="AC1915" s="679"/>
      <c r="AD1915" s="679"/>
      <c r="AE1915" s="679"/>
      <c r="AF1915" s="679"/>
      <c r="AG1915" s="679"/>
      <c r="AH1915" s="679"/>
      <c r="AI1915" s="682"/>
      <c r="AJ1915" s="682"/>
      <c r="AK1915" s="682"/>
      <c r="AL1915" s="682"/>
      <c r="AM1915" s="682"/>
      <c r="AN1915" s="682"/>
      <c r="AO1915" s="682"/>
      <c r="AP1915" s="682"/>
      <c r="AQ1915" s="682"/>
      <c r="AR1915" s="682"/>
      <c r="AS1915" s="682"/>
    </row>
    <row r="1916" spans="1:45" s="6" customFormat="1" ht="30" hidden="1" customHeight="1" x14ac:dyDescent="0.25">
      <c r="A1916" s="2006"/>
      <c r="B1916" s="391" t="s">
        <v>1734</v>
      </c>
      <c r="C1916" s="240"/>
      <c r="D1916" s="866" t="s">
        <v>10</v>
      </c>
      <c r="E1916" s="1134">
        <v>46038</v>
      </c>
      <c r="F1916" s="71">
        <f>$L$7-E1916</f>
        <v>248</v>
      </c>
      <c r="G1916" s="1435">
        <v>0</v>
      </c>
      <c r="H1916" s="64"/>
      <c r="I1916" s="64"/>
      <c r="J1916" s="1367"/>
      <c r="K1916" s="64">
        <f>IFERROR(SUMIF(INTAKE!$A:$A,$T1916,INTAKE!$P:$P),0)</f>
        <v>0</v>
      </c>
      <c r="L1916" s="1702">
        <f t="shared" si="1184"/>
        <v>0</v>
      </c>
      <c r="M1916" s="101"/>
      <c r="N1916" s="249"/>
      <c r="O1916" s="101"/>
      <c r="P1916" s="750"/>
      <c r="Q1916" s="795"/>
      <c r="R1916" s="785">
        <f>IFERROR(VLOOKUP($Q1916,'391'!$S:$Z,8,0),"")</f>
        <v>0</v>
      </c>
      <c r="S1916" s="786"/>
      <c r="T1916" s="787" t="str">
        <f>$Q$1918&amp;C1916&amp;E1916</f>
        <v>Premix EP0246038</v>
      </c>
      <c r="U1916" s="787"/>
      <c r="V1916" s="787"/>
      <c r="W1916" s="785">
        <f>IFERROR(VLOOKUP($Q1916,'391'!$S:$AG,15,0),0)</f>
        <v>0</v>
      </c>
      <c r="X1916" s="1090">
        <f t="shared" si="1141"/>
        <v>0</v>
      </c>
      <c r="Y1916" s="787"/>
      <c r="Z1916" s="791"/>
      <c r="AA1916" s="787"/>
      <c r="AB1916" s="787"/>
      <c r="AC1916" s="679"/>
      <c r="AD1916" s="679"/>
      <c r="AE1916" s="679"/>
      <c r="AF1916" s="679"/>
      <c r="AG1916" s="679"/>
      <c r="AH1916" s="679"/>
      <c r="AI1916" s="682"/>
      <c r="AJ1916" s="682"/>
      <c r="AK1916" s="682"/>
      <c r="AL1916" s="682"/>
      <c r="AM1916" s="682"/>
      <c r="AN1916" s="682"/>
      <c r="AO1916" s="682"/>
      <c r="AP1916" s="682"/>
      <c r="AQ1916" s="682"/>
      <c r="AR1916" s="682"/>
      <c r="AS1916" s="682"/>
    </row>
    <row r="1917" spans="1:45" s="406" customFormat="1" ht="30" hidden="1" customHeight="1" x14ac:dyDescent="0.25">
      <c r="A1917" s="2007"/>
      <c r="B1917" s="1025" t="s">
        <v>1855</v>
      </c>
      <c r="C1917" s="199" t="s">
        <v>46</v>
      </c>
      <c r="D1917" s="863" t="s">
        <v>10</v>
      </c>
      <c r="E1917" s="1123">
        <v>46213</v>
      </c>
      <c r="F1917" s="71">
        <f>$L$7-E1917</f>
        <v>73</v>
      </c>
      <c r="G1917" s="1434">
        <v>0</v>
      </c>
      <c r="H1917" s="37"/>
      <c r="I1917" s="37">
        <f>+SUM(K1913:K1916)</f>
        <v>0</v>
      </c>
      <c r="J1917" s="1385">
        <f>+usage!I223</f>
        <v>0</v>
      </c>
      <c r="K1917" s="64">
        <f>IFERROR(SUMIF(INTAKE!$A:$A,$T1917,INTAKE!$P:$P),0)</f>
        <v>0</v>
      </c>
      <c r="L1917" s="1714">
        <f t="shared" si="1184"/>
        <v>0</v>
      </c>
      <c r="M1917" s="35"/>
      <c r="N1917" s="87"/>
      <c r="O1917" s="35"/>
      <c r="P1917" s="751"/>
      <c r="Q1917" s="795"/>
      <c r="R1917" s="785">
        <f>IFERROR(VLOOKUP($Q1917,'391'!$S:$Z,8,0),"")</f>
        <v>0</v>
      </c>
      <c r="S1917" s="786"/>
      <c r="T1917" s="787" t="str">
        <f>$Q$1918&amp;C1917&amp;E1917</f>
        <v>Premix EP02Feedmill46213</v>
      </c>
      <c r="U1917" s="787"/>
      <c r="V1917" s="787"/>
      <c r="W1917" s="785">
        <f>IFERROR(VLOOKUP($Q1917,'391'!$S:$AG,15,0),0)</f>
        <v>0</v>
      </c>
      <c r="X1917" s="1090">
        <f t="shared" si="1141"/>
        <v>0</v>
      </c>
      <c r="Y1917" s="787"/>
      <c r="Z1917" s="791"/>
      <c r="AA1917" s="787"/>
      <c r="AB1917" s="787"/>
      <c r="AC1917" s="679"/>
      <c r="AD1917" s="679"/>
      <c r="AE1917" s="679"/>
      <c r="AF1917" s="679"/>
      <c r="AG1917" s="679"/>
      <c r="AH1917" s="679"/>
      <c r="AI1917" s="682"/>
      <c r="AJ1917" s="682"/>
      <c r="AK1917" s="682"/>
      <c r="AL1917" s="682"/>
      <c r="AM1917" s="682"/>
      <c r="AN1917" s="682"/>
      <c r="AO1917" s="682"/>
      <c r="AP1917" s="682"/>
      <c r="AQ1917" s="682"/>
      <c r="AR1917" s="682"/>
      <c r="AS1917" s="682"/>
    </row>
    <row r="1918" spans="1:45" s="420" customFormat="1" ht="30" hidden="1" customHeight="1" x14ac:dyDescent="0.25">
      <c r="A1918" s="2003" t="s">
        <v>38</v>
      </c>
      <c r="B1918" s="2004"/>
      <c r="C1918" s="125"/>
      <c r="D1918" s="1027"/>
      <c r="E1918" s="1131"/>
      <c r="F1918" s="896"/>
      <c r="G1918" s="1422">
        <v>0</v>
      </c>
      <c r="H1918" s="1422">
        <f>SUM(H1913:H1917)</f>
        <v>0</v>
      </c>
      <c r="I1918" s="1422">
        <f>+SUM(I1913:I1917)</f>
        <v>0</v>
      </c>
      <c r="J1918" s="1422">
        <f t="shared" ref="J1918:K1918" si="1187">SUM(J1913:J1917)</f>
        <v>0</v>
      </c>
      <c r="K1918" s="1422">
        <f t="shared" si="1187"/>
        <v>0</v>
      </c>
      <c r="L1918" s="1422">
        <f t="shared" si="1184"/>
        <v>0</v>
      </c>
      <c r="M1918" s="889" t="str">
        <f>IFERROR(R1918/$S$2,"")</f>
        <v/>
      </c>
      <c r="N1918" s="854">
        <f>IFERROR(L1918/M1918,0)</f>
        <v>0</v>
      </c>
      <c r="O1918" s="889">
        <f>IFERROR(SUMIF(ETM!$A:$A,$Q1918,ETM!$E:$E),"")</f>
        <v>0</v>
      </c>
      <c r="P1918" s="880">
        <f>IFERROR(L1918/O1918,0)</f>
        <v>0</v>
      </c>
      <c r="Q1918" s="814" t="s">
        <v>632</v>
      </c>
      <c r="R1918" s="785" t="str">
        <f>IFERROR(VLOOKUP($Q1918,'391'!$S:$Z,8,0),"")</f>
        <v/>
      </c>
      <c r="S1918" s="786"/>
      <c r="T1918" s="787"/>
      <c r="U1918" s="787"/>
      <c r="V1918" s="787"/>
      <c r="W1918" s="785">
        <f>IFERROR(VLOOKUP($Q1918,'391'!$S:$AG,15,0),0)</f>
        <v>0</v>
      </c>
      <c r="X1918" s="1090">
        <f t="shared" si="1141"/>
        <v>0</v>
      </c>
      <c r="Y1918" s="787"/>
      <c r="Z1918" s="791"/>
      <c r="AA1918" s="787"/>
      <c r="AB1918" s="787"/>
      <c r="AC1918" s="550"/>
      <c r="AD1918" s="550"/>
      <c r="AE1918" s="550"/>
      <c r="AF1918" s="550"/>
      <c r="AG1918" s="550"/>
      <c r="AH1918" s="550"/>
      <c r="AI1918" s="559"/>
      <c r="AJ1918" s="559"/>
      <c r="AK1918" s="559"/>
      <c r="AL1918" s="559"/>
      <c r="AM1918" s="559"/>
      <c r="AN1918" s="559"/>
      <c r="AO1918" s="559"/>
      <c r="AP1918" s="559"/>
      <c r="AQ1918" s="559"/>
      <c r="AR1918" s="559"/>
      <c r="AS1918" s="559"/>
    </row>
    <row r="1919" spans="1:45" s="6" customFormat="1" ht="30" customHeight="1" x14ac:dyDescent="0.25">
      <c r="A1919" s="2182">
        <f>IF(L1932=0,"",MAX($A$16:A1918)+1)</f>
        <v>136</v>
      </c>
      <c r="B1919" s="390" t="s">
        <v>1957</v>
      </c>
      <c r="C1919" s="237" t="s">
        <v>1896</v>
      </c>
      <c r="D1919" s="866" t="s">
        <v>10</v>
      </c>
      <c r="E1919" s="1134">
        <v>46270</v>
      </c>
      <c r="F1919" s="71">
        <f t="shared" ref="F1919:F1922" si="1188">$L$7-E1919</f>
        <v>16</v>
      </c>
      <c r="G1919" s="11">
        <v>1050</v>
      </c>
      <c r="H1919" s="63"/>
      <c r="I1919" s="12"/>
      <c r="J1919" s="1369"/>
      <c r="K1919" s="64">
        <f>IFERROR(SUMIF(INTAKE!$A:$A,$T1919,INTAKE!$P:$P),0)</f>
        <v>1050</v>
      </c>
      <c r="L1919" s="1702">
        <f t="shared" si="1184"/>
        <v>0</v>
      </c>
      <c r="M1919" s="147"/>
      <c r="N1919" s="248"/>
      <c r="O1919" s="147"/>
      <c r="P1919" s="748"/>
      <c r="Q1919" s="795"/>
      <c r="R1919" s="785">
        <f>IFERROR(VLOOKUP($Q1919,'391'!$S:$Z,8,0),"")</f>
        <v>0</v>
      </c>
      <c r="S1919" s="786"/>
      <c r="T1919" s="787" t="str">
        <f t="shared" ref="T1919:T1931" si="1189">$Q$1932&amp;C1919&amp;E1919</f>
        <v>Premix RED 2%Z7.246270</v>
      </c>
      <c r="U1919" s="787"/>
      <c r="V1919" s="787"/>
      <c r="W1919" s="785">
        <f>IFERROR(VLOOKUP($Q1919,'391'!$S:$AG,15,0),0)</f>
        <v>0</v>
      </c>
      <c r="X1919" s="1090">
        <f t="shared" si="1141"/>
        <v>1050</v>
      </c>
      <c r="Y1919" s="787"/>
      <c r="Z1919" s="791"/>
      <c r="AA1919" s="787"/>
      <c r="AB1919" s="787"/>
      <c r="AC1919" s="679"/>
      <c r="AD1919" s="679"/>
      <c r="AE1919" s="679"/>
      <c r="AF1919" s="679"/>
      <c r="AG1919" s="679"/>
      <c r="AH1919" s="679"/>
      <c r="AI1919" s="682"/>
      <c r="AJ1919" s="682"/>
      <c r="AK1919" s="682"/>
      <c r="AL1919" s="682"/>
      <c r="AM1919" s="682"/>
      <c r="AN1919" s="682"/>
      <c r="AO1919" s="682"/>
      <c r="AP1919" s="682"/>
      <c r="AQ1919" s="682"/>
      <c r="AR1919" s="682"/>
      <c r="AS1919" s="682"/>
    </row>
    <row r="1920" spans="1:45" s="6" customFormat="1" ht="30" customHeight="1" x14ac:dyDescent="0.25">
      <c r="A1920" s="1999"/>
      <c r="B1920" s="390" t="s">
        <v>2191</v>
      </c>
      <c r="C1920" s="237" t="s">
        <v>265</v>
      </c>
      <c r="D1920" s="866" t="s">
        <v>10</v>
      </c>
      <c r="E1920" s="1134">
        <v>46275</v>
      </c>
      <c r="F1920" s="71">
        <f t="shared" ref="F1920:F1921" si="1190">$L$7-E1920</f>
        <v>11</v>
      </c>
      <c r="G1920" s="11">
        <v>1050</v>
      </c>
      <c r="H1920" s="63"/>
      <c r="I1920" s="12"/>
      <c r="J1920" s="1369"/>
      <c r="K1920" s="64">
        <f>IFERROR(SUMIF(INTAKE!$A:$A,$T1920,INTAKE!$P:$P),0)</f>
        <v>0</v>
      </c>
      <c r="L1920" s="1702">
        <f t="shared" si="1184"/>
        <v>1050</v>
      </c>
      <c r="M1920" s="101"/>
      <c r="N1920" s="249"/>
      <c r="O1920" s="101"/>
      <c r="P1920" s="750"/>
      <c r="Q1920" s="795"/>
      <c r="R1920" s="785">
        <f>IFERROR(VLOOKUP($Q1920,'391'!$S:$Z,8,0),"")</f>
        <v>0</v>
      </c>
      <c r="S1920" s="786"/>
      <c r="T1920" s="787" t="str">
        <f t="shared" si="1189"/>
        <v>Premix RED 2%Z5.346275</v>
      </c>
      <c r="U1920" s="787"/>
      <c r="V1920" s="787"/>
      <c r="W1920" s="785">
        <f>IFERROR(VLOOKUP($Q1920,'391'!$S:$AG,15,0),0)</f>
        <v>0</v>
      </c>
      <c r="X1920" s="1090">
        <f t="shared" si="1141"/>
        <v>1050</v>
      </c>
      <c r="Y1920" s="787"/>
      <c r="Z1920" s="791"/>
      <c r="AA1920" s="787"/>
      <c r="AB1920" s="787"/>
      <c r="AC1920" s="679"/>
      <c r="AD1920" s="679"/>
      <c r="AE1920" s="679"/>
      <c r="AF1920" s="679"/>
      <c r="AG1920" s="679"/>
      <c r="AH1920" s="679"/>
      <c r="AI1920" s="682"/>
      <c r="AJ1920" s="682"/>
      <c r="AK1920" s="682"/>
      <c r="AL1920" s="682"/>
      <c r="AM1920" s="682"/>
      <c r="AN1920" s="682"/>
      <c r="AO1920" s="682"/>
      <c r="AP1920" s="682"/>
      <c r="AQ1920" s="682"/>
      <c r="AR1920" s="682"/>
      <c r="AS1920" s="682"/>
    </row>
    <row r="1921" spans="1:45" s="6" customFormat="1" ht="30" customHeight="1" x14ac:dyDescent="0.25">
      <c r="A1921" s="2000"/>
      <c r="B1921" s="390" t="s">
        <v>2191</v>
      </c>
      <c r="C1921" s="237" t="s">
        <v>1853</v>
      </c>
      <c r="D1921" s="866" t="s">
        <v>10</v>
      </c>
      <c r="E1921" s="1134">
        <v>46275</v>
      </c>
      <c r="F1921" s="71">
        <f t="shared" si="1190"/>
        <v>11</v>
      </c>
      <c r="G1921" s="11">
        <v>1050</v>
      </c>
      <c r="H1921" s="63"/>
      <c r="I1921" s="12"/>
      <c r="J1921" s="1369"/>
      <c r="K1921" s="64">
        <f>IFERROR(SUMIF(INTAKE!$A:$A,$T1921,INTAKE!$P:$P),0)</f>
        <v>0</v>
      </c>
      <c r="L1921" s="1702">
        <f t="shared" si="1184"/>
        <v>1050</v>
      </c>
      <c r="M1921" s="101"/>
      <c r="N1921" s="249"/>
      <c r="O1921" s="101"/>
      <c r="P1921" s="750"/>
      <c r="Q1921" s="795"/>
      <c r="R1921" s="785">
        <f>IFERROR(VLOOKUP($Q1921,'391'!$S:$Z,8,0),"")</f>
        <v>0</v>
      </c>
      <c r="S1921" s="786"/>
      <c r="T1921" s="787" t="str">
        <f t="shared" si="1189"/>
        <v>Premix RED 2%Z4.346275</v>
      </c>
      <c r="U1921" s="787"/>
      <c r="V1921" s="787"/>
      <c r="W1921" s="785">
        <f>IFERROR(VLOOKUP($Q1921,'391'!$S:$AG,15,0),0)</f>
        <v>0</v>
      </c>
      <c r="X1921" s="1090">
        <f t="shared" si="1141"/>
        <v>1050</v>
      </c>
      <c r="Y1921" s="787"/>
      <c r="Z1921" s="791"/>
      <c r="AA1921" s="787"/>
      <c r="AB1921" s="787"/>
      <c r="AC1921" s="679"/>
      <c r="AD1921" s="679"/>
      <c r="AE1921" s="679"/>
      <c r="AF1921" s="679"/>
      <c r="AG1921" s="679"/>
      <c r="AH1921" s="679"/>
      <c r="AI1921" s="682"/>
      <c r="AJ1921" s="682"/>
      <c r="AK1921" s="682"/>
      <c r="AL1921" s="682"/>
      <c r="AM1921" s="682"/>
      <c r="AN1921" s="682"/>
      <c r="AO1921" s="682"/>
      <c r="AP1921" s="682"/>
      <c r="AQ1921" s="682"/>
      <c r="AR1921" s="682"/>
      <c r="AS1921" s="682"/>
    </row>
    <row r="1922" spans="1:45" s="6" customFormat="1" ht="30" customHeight="1" x14ac:dyDescent="0.25">
      <c r="A1922" s="2000"/>
      <c r="B1922" s="390" t="s">
        <v>2249</v>
      </c>
      <c r="C1922" s="237" t="s">
        <v>2231</v>
      </c>
      <c r="D1922" s="866" t="s">
        <v>10</v>
      </c>
      <c r="E1922" s="1134">
        <v>46283</v>
      </c>
      <c r="F1922" s="71">
        <f t="shared" si="1188"/>
        <v>3</v>
      </c>
      <c r="G1922" s="11">
        <v>1050</v>
      </c>
      <c r="H1922" s="63"/>
      <c r="I1922" s="12"/>
      <c r="J1922" s="1369"/>
      <c r="K1922" s="64">
        <f>IFERROR(SUMIF(INTAKE!$A:$A,$T1922,INTAKE!$P:$P),0)</f>
        <v>0</v>
      </c>
      <c r="L1922" s="1702">
        <f t="shared" si="1184"/>
        <v>1050</v>
      </c>
      <c r="M1922" s="101"/>
      <c r="N1922" s="249"/>
      <c r="O1922" s="101"/>
      <c r="P1922" s="750"/>
      <c r="Q1922" s="795"/>
      <c r="R1922" s="785">
        <f>IFERROR(VLOOKUP($Q1922,'391'!$S:$Z,8,0),"")</f>
        <v>0</v>
      </c>
      <c r="S1922" s="786"/>
      <c r="T1922" s="787" t="str">
        <f t="shared" si="1189"/>
        <v>Premix RED 2%Y2.246283</v>
      </c>
      <c r="U1922" s="787"/>
      <c r="V1922" s="787"/>
      <c r="W1922" s="785">
        <f>IFERROR(VLOOKUP($Q1922,'391'!$S:$AG,15,0),0)</f>
        <v>0</v>
      </c>
      <c r="X1922" s="1090">
        <f t="shared" si="1141"/>
        <v>1050</v>
      </c>
      <c r="Y1922" s="787"/>
      <c r="Z1922" s="791"/>
      <c r="AA1922" s="787"/>
      <c r="AB1922" s="787"/>
      <c r="AC1922" s="679"/>
      <c r="AD1922" s="679"/>
      <c r="AE1922" s="679"/>
      <c r="AF1922" s="679"/>
      <c r="AG1922" s="679"/>
      <c r="AH1922" s="679"/>
      <c r="AI1922" s="682"/>
      <c r="AJ1922" s="682"/>
      <c r="AK1922" s="682"/>
      <c r="AL1922" s="682"/>
      <c r="AM1922" s="682"/>
      <c r="AN1922" s="682"/>
      <c r="AO1922" s="682"/>
      <c r="AP1922" s="682"/>
      <c r="AQ1922" s="682"/>
      <c r="AR1922" s="682"/>
      <c r="AS1922" s="682"/>
    </row>
    <row r="1923" spans="1:45" s="6" customFormat="1" ht="30" customHeight="1" x14ac:dyDescent="0.25">
      <c r="A1923" s="2000"/>
      <c r="B1923" s="390" t="s">
        <v>2249</v>
      </c>
      <c r="C1923" s="237" t="s">
        <v>1849</v>
      </c>
      <c r="D1923" s="866" t="s">
        <v>10</v>
      </c>
      <c r="E1923" s="1134">
        <v>46283</v>
      </c>
      <c r="F1923" s="71">
        <f t="shared" ref="F1923" si="1191">$L$7-E1923</f>
        <v>3</v>
      </c>
      <c r="G1923" s="11">
        <v>1050</v>
      </c>
      <c r="H1923" s="63"/>
      <c r="I1923" s="12"/>
      <c r="J1923" s="1369"/>
      <c r="K1923" s="64">
        <f>IFERROR(SUMIF(INTAKE!$A:$A,$T1923,INTAKE!$P:$P),0)</f>
        <v>0</v>
      </c>
      <c r="L1923" s="1702">
        <f t="shared" si="1184"/>
        <v>1050</v>
      </c>
      <c r="M1923" s="101"/>
      <c r="N1923" s="249"/>
      <c r="O1923" s="101"/>
      <c r="P1923" s="750"/>
      <c r="Q1923" s="795"/>
      <c r="R1923" s="785">
        <f>IFERROR(VLOOKUP($Q1923,'391'!$S:$Z,8,0),"")</f>
        <v>0</v>
      </c>
      <c r="S1923" s="786"/>
      <c r="T1923" s="787" t="str">
        <f t="shared" si="1189"/>
        <v>Premix RED 2%X2.246283</v>
      </c>
      <c r="U1923" s="787"/>
      <c r="V1923" s="787"/>
      <c r="W1923" s="785">
        <f>IFERROR(VLOOKUP($Q1923,'391'!$S:$AG,15,0),0)</f>
        <v>0</v>
      </c>
      <c r="X1923" s="1090">
        <f t="shared" si="1141"/>
        <v>1050</v>
      </c>
      <c r="Y1923" s="787"/>
      <c r="Z1923" s="791"/>
      <c r="AA1923" s="787"/>
      <c r="AB1923" s="787"/>
      <c r="AC1923" s="679"/>
      <c r="AD1923" s="679"/>
      <c r="AE1923" s="679"/>
      <c r="AF1923" s="679"/>
      <c r="AG1923" s="679"/>
      <c r="AH1923" s="679"/>
      <c r="AI1923" s="682"/>
      <c r="AJ1923" s="682"/>
      <c r="AK1923" s="682"/>
      <c r="AL1923" s="682"/>
      <c r="AM1923" s="682"/>
      <c r="AN1923" s="682"/>
      <c r="AO1923" s="682"/>
      <c r="AP1923" s="682"/>
      <c r="AQ1923" s="682"/>
      <c r="AR1923" s="682"/>
      <c r="AS1923" s="682"/>
    </row>
    <row r="1924" spans="1:45" s="6" customFormat="1" ht="30" customHeight="1" x14ac:dyDescent="0.25">
      <c r="A1924" s="2000"/>
      <c r="B1924" s="390" t="s">
        <v>2249</v>
      </c>
      <c r="C1924" s="237" t="s">
        <v>851</v>
      </c>
      <c r="D1924" s="866" t="s">
        <v>10</v>
      </c>
      <c r="E1924" s="1134">
        <v>46283</v>
      </c>
      <c r="F1924" s="71">
        <f t="shared" ref="F1924" si="1192">$L$7-E1924</f>
        <v>3</v>
      </c>
      <c r="G1924" s="11">
        <v>1050</v>
      </c>
      <c r="H1924" s="63"/>
      <c r="I1924" s="12"/>
      <c r="J1924" s="1369"/>
      <c r="K1924" s="64">
        <f>IFERROR(SUMIF(INTAKE!$A:$A,$T1924,INTAKE!$P:$P),0)</f>
        <v>0</v>
      </c>
      <c r="L1924" s="1702">
        <f t="shared" si="1184"/>
        <v>1050</v>
      </c>
      <c r="M1924" s="101"/>
      <c r="N1924" s="249"/>
      <c r="O1924" s="101"/>
      <c r="P1924" s="750"/>
      <c r="Q1924" s="795"/>
      <c r="R1924" s="785">
        <f>IFERROR(VLOOKUP($Q1924,'391'!$S:$Z,8,0),"")</f>
        <v>0</v>
      </c>
      <c r="S1924" s="786"/>
      <c r="T1924" s="787" t="str">
        <f t="shared" si="1189"/>
        <v>Premix RED 2%Z7.346283</v>
      </c>
      <c r="U1924" s="787"/>
      <c r="V1924" s="787"/>
      <c r="W1924" s="785">
        <f>IFERROR(VLOOKUP($Q1924,'391'!$S:$AG,15,0),0)</f>
        <v>0</v>
      </c>
      <c r="X1924" s="1090">
        <f t="shared" si="1141"/>
        <v>1050</v>
      </c>
      <c r="Y1924" s="787"/>
      <c r="Z1924" s="791"/>
      <c r="AA1924" s="787"/>
      <c r="AB1924" s="787"/>
      <c r="AC1924" s="679"/>
      <c r="AD1924" s="679"/>
      <c r="AE1924" s="679"/>
      <c r="AF1924" s="679"/>
      <c r="AG1924" s="679"/>
      <c r="AH1924" s="679"/>
      <c r="AI1924" s="682"/>
      <c r="AJ1924" s="682"/>
      <c r="AK1924" s="682"/>
      <c r="AL1924" s="682"/>
      <c r="AM1924" s="682"/>
      <c r="AN1924" s="682"/>
      <c r="AO1924" s="682"/>
      <c r="AP1924" s="682"/>
      <c r="AQ1924" s="682"/>
      <c r="AR1924" s="682"/>
      <c r="AS1924" s="682"/>
    </row>
    <row r="1925" spans="1:45" s="6" customFormat="1" ht="30" customHeight="1" x14ac:dyDescent="0.25">
      <c r="A1925" s="2000"/>
      <c r="B1925" s="390" t="s">
        <v>2249</v>
      </c>
      <c r="C1925" s="237" t="s">
        <v>1830</v>
      </c>
      <c r="D1925" s="866" t="s">
        <v>10</v>
      </c>
      <c r="E1925" s="1134">
        <v>46283</v>
      </c>
      <c r="F1925" s="71">
        <f t="shared" ref="F1925" si="1193">$L$7-E1925</f>
        <v>3</v>
      </c>
      <c r="G1925" s="11">
        <v>1050</v>
      </c>
      <c r="H1925" s="63"/>
      <c r="I1925" s="12"/>
      <c r="J1925" s="1369"/>
      <c r="K1925" s="64">
        <f>IFERROR(SUMIF(INTAKE!$A:$A,$T1925,INTAKE!$P:$P),0)</f>
        <v>0</v>
      </c>
      <c r="L1925" s="1702">
        <f t="shared" si="1184"/>
        <v>1050</v>
      </c>
      <c r="M1925" s="101"/>
      <c r="N1925" s="249"/>
      <c r="O1925" s="101"/>
      <c r="P1925" s="750"/>
      <c r="Q1925" s="795"/>
      <c r="R1925" s="785">
        <f>IFERROR(VLOOKUP($Q1925,'391'!$S:$Z,8,0),"")</f>
        <v>0</v>
      </c>
      <c r="S1925" s="786"/>
      <c r="T1925" s="787" t="str">
        <f t="shared" si="1189"/>
        <v>Premix RED 2%V9.246283</v>
      </c>
      <c r="U1925" s="787"/>
      <c r="V1925" s="787"/>
      <c r="W1925" s="785">
        <f>IFERROR(VLOOKUP($Q1925,'391'!$S:$AG,15,0),0)</f>
        <v>0</v>
      </c>
      <c r="X1925" s="1090">
        <f t="shared" si="1141"/>
        <v>1050</v>
      </c>
      <c r="Y1925" s="787"/>
      <c r="Z1925" s="791"/>
      <c r="AA1925" s="787"/>
      <c r="AB1925" s="787"/>
      <c r="AC1925" s="679"/>
      <c r="AD1925" s="679"/>
      <c r="AE1925" s="679"/>
      <c r="AF1925" s="679"/>
      <c r="AG1925" s="679"/>
      <c r="AH1925" s="679"/>
      <c r="AI1925" s="682"/>
      <c r="AJ1925" s="682"/>
      <c r="AK1925" s="682"/>
      <c r="AL1925" s="682"/>
      <c r="AM1925" s="682"/>
      <c r="AN1925" s="682"/>
      <c r="AO1925" s="682"/>
      <c r="AP1925" s="682"/>
      <c r="AQ1925" s="682"/>
      <c r="AR1925" s="682"/>
      <c r="AS1925" s="682"/>
    </row>
    <row r="1926" spans="1:45" s="6" customFormat="1" ht="30" hidden="1" customHeight="1" x14ac:dyDescent="0.25">
      <c r="A1926" s="2000"/>
      <c r="B1926" s="390" t="s">
        <v>1751</v>
      </c>
      <c r="C1926" s="237"/>
      <c r="D1926" s="866" t="s">
        <v>10</v>
      </c>
      <c r="E1926" s="1134">
        <v>46066</v>
      </c>
      <c r="F1926" s="71">
        <f t="shared" ref="F1926" si="1194">$L$7-E1926</f>
        <v>220</v>
      </c>
      <c r="G1926" s="11">
        <v>0</v>
      </c>
      <c r="H1926" s="63"/>
      <c r="I1926" s="12"/>
      <c r="J1926" s="1369"/>
      <c r="K1926" s="64">
        <f>IFERROR(SUMIF(INTAKE!$A:$A,$T1926,INTAKE!$P:$P),0)</f>
        <v>0</v>
      </c>
      <c r="L1926" s="1702">
        <f t="shared" si="1184"/>
        <v>0</v>
      </c>
      <c r="M1926" s="101"/>
      <c r="N1926" s="249"/>
      <c r="O1926" s="101"/>
      <c r="P1926" s="750"/>
      <c r="Q1926" s="795"/>
      <c r="R1926" s="785">
        <f>IFERROR(VLOOKUP($Q1926,'391'!$S:$Z,8,0),"")</f>
        <v>0</v>
      </c>
      <c r="S1926" s="786"/>
      <c r="T1926" s="787" t="str">
        <f t="shared" si="1189"/>
        <v>Premix RED 2%46066</v>
      </c>
      <c r="U1926" s="787"/>
      <c r="V1926" s="787"/>
      <c r="W1926" s="785">
        <f>IFERROR(VLOOKUP($Q1926,'391'!$S:$AG,15,0),0)</f>
        <v>0</v>
      </c>
      <c r="X1926" s="1090">
        <f t="shared" si="1141"/>
        <v>0</v>
      </c>
      <c r="Y1926" s="787"/>
      <c r="Z1926" s="791"/>
      <c r="AA1926" s="787"/>
      <c r="AB1926" s="787"/>
      <c r="AC1926" s="679"/>
      <c r="AD1926" s="679"/>
      <c r="AE1926" s="679"/>
      <c r="AF1926" s="679"/>
      <c r="AG1926" s="679"/>
      <c r="AH1926" s="679"/>
      <c r="AI1926" s="682"/>
      <c r="AJ1926" s="682"/>
      <c r="AK1926" s="682"/>
      <c r="AL1926" s="682"/>
      <c r="AM1926" s="682"/>
      <c r="AN1926" s="682"/>
      <c r="AO1926" s="682"/>
      <c r="AP1926" s="682"/>
      <c r="AQ1926" s="682"/>
      <c r="AR1926" s="682"/>
      <c r="AS1926" s="682"/>
    </row>
    <row r="1927" spans="1:45" s="6" customFormat="1" ht="30" hidden="1" customHeight="1" x14ac:dyDescent="0.25">
      <c r="A1927" s="2000"/>
      <c r="B1927" s="390" t="s">
        <v>1751</v>
      </c>
      <c r="C1927" s="237"/>
      <c r="D1927" s="866" t="s">
        <v>10</v>
      </c>
      <c r="E1927" s="1134">
        <v>46066</v>
      </c>
      <c r="F1927" s="71">
        <f t="shared" ref="F1927:F1930" si="1195">$L$7-E1927</f>
        <v>220</v>
      </c>
      <c r="G1927" s="11">
        <v>0</v>
      </c>
      <c r="H1927" s="63"/>
      <c r="I1927" s="12"/>
      <c r="J1927" s="1369"/>
      <c r="K1927" s="64">
        <f>IFERROR(SUMIF(INTAKE!$A:$A,$T1927,INTAKE!$P:$P),0)</f>
        <v>0</v>
      </c>
      <c r="L1927" s="1702">
        <f t="shared" si="1184"/>
        <v>0</v>
      </c>
      <c r="M1927" s="101"/>
      <c r="N1927" s="249"/>
      <c r="O1927" s="101"/>
      <c r="P1927" s="750"/>
      <c r="Q1927" s="795"/>
      <c r="R1927" s="785">
        <f>IFERROR(VLOOKUP($Q1927,'391'!$S:$Z,8,0),"")</f>
        <v>0</v>
      </c>
      <c r="S1927" s="786"/>
      <c r="T1927" s="787" t="str">
        <f t="shared" si="1189"/>
        <v>Premix RED 2%46066</v>
      </c>
      <c r="U1927" s="787"/>
      <c r="V1927" s="787"/>
      <c r="W1927" s="785">
        <f>IFERROR(VLOOKUP($Q1927,'391'!$S:$AG,15,0),0)</f>
        <v>0</v>
      </c>
      <c r="X1927" s="1090">
        <f t="shared" si="1141"/>
        <v>0</v>
      </c>
      <c r="Y1927" s="787"/>
      <c r="Z1927" s="791"/>
      <c r="AA1927" s="787"/>
      <c r="AB1927" s="787"/>
      <c r="AC1927" s="679"/>
      <c r="AD1927" s="679"/>
      <c r="AE1927" s="679"/>
      <c r="AF1927" s="679"/>
      <c r="AG1927" s="679"/>
      <c r="AH1927" s="679"/>
      <c r="AI1927" s="682"/>
      <c r="AJ1927" s="682"/>
      <c r="AK1927" s="682"/>
      <c r="AL1927" s="682"/>
      <c r="AM1927" s="682"/>
      <c r="AN1927" s="682"/>
      <c r="AO1927" s="682"/>
      <c r="AP1927" s="682"/>
      <c r="AQ1927" s="682"/>
      <c r="AR1927" s="682"/>
      <c r="AS1927" s="682"/>
    </row>
    <row r="1928" spans="1:45" s="6" customFormat="1" ht="30" hidden="1" customHeight="1" x14ac:dyDescent="0.25">
      <c r="A1928" s="2000"/>
      <c r="B1928" s="390" t="s">
        <v>1444</v>
      </c>
      <c r="C1928" s="237"/>
      <c r="D1928" s="866" t="s">
        <v>10</v>
      </c>
      <c r="E1928" s="1134">
        <v>45491</v>
      </c>
      <c r="F1928" s="71">
        <f t="shared" si="1195"/>
        <v>795</v>
      </c>
      <c r="G1928" s="11">
        <v>0</v>
      </c>
      <c r="H1928" s="63"/>
      <c r="I1928" s="12"/>
      <c r="J1928" s="1369"/>
      <c r="K1928" s="64">
        <f>IFERROR(SUMIF(INTAKE!$A:$A,$T1928,INTAKE!$P:$P),0)</f>
        <v>0</v>
      </c>
      <c r="L1928" s="1533">
        <f t="shared" si="1184"/>
        <v>0</v>
      </c>
      <c r="M1928" s="101"/>
      <c r="N1928" s="249"/>
      <c r="O1928" s="101"/>
      <c r="P1928" s="750"/>
      <c r="Q1928" s="795"/>
      <c r="R1928" s="785">
        <f>IFERROR(VLOOKUP($Q1928,'391'!$S:$Z,8,0),"")</f>
        <v>0</v>
      </c>
      <c r="S1928" s="786"/>
      <c r="T1928" s="787" t="str">
        <f t="shared" si="1189"/>
        <v>Premix RED 2%45491</v>
      </c>
      <c r="U1928" s="787"/>
      <c r="V1928" s="787"/>
      <c r="W1928" s="785">
        <f>IFERROR(VLOOKUP($Q1928,'391'!$S:$AG,15,0),0)</f>
        <v>0</v>
      </c>
      <c r="X1928" s="1090">
        <f t="shared" si="1141"/>
        <v>0</v>
      </c>
      <c r="Y1928" s="787"/>
      <c r="Z1928" s="791"/>
      <c r="AA1928" s="787"/>
      <c r="AB1928" s="787"/>
      <c r="AC1928" s="679"/>
      <c r="AD1928" s="679"/>
      <c r="AE1928" s="679"/>
      <c r="AF1928" s="679"/>
      <c r="AG1928" s="679"/>
      <c r="AH1928" s="679"/>
      <c r="AI1928" s="682"/>
      <c r="AJ1928" s="682"/>
      <c r="AK1928" s="682"/>
      <c r="AL1928" s="682"/>
      <c r="AM1928" s="682"/>
      <c r="AN1928" s="682"/>
      <c r="AO1928" s="682"/>
      <c r="AP1928" s="682"/>
      <c r="AQ1928" s="682"/>
      <c r="AR1928" s="682"/>
      <c r="AS1928" s="682"/>
    </row>
    <row r="1929" spans="1:45" s="6" customFormat="1" ht="30" hidden="1" customHeight="1" x14ac:dyDescent="0.25">
      <c r="A1929" s="2000"/>
      <c r="B1929" s="390" t="s">
        <v>1432</v>
      </c>
      <c r="C1929" s="237"/>
      <c r="D1929" s="866" t="s">
        <v>10</v>
      </c>
      <c r="E1929" s="1134">
        <v>45450</v>
      </c>
      <c r="F1929" s="71">
        <f t="shared" si="1195"/>
        <v>836</v>
      </c>
      <c r="G1929" s="11">
        <v>0</v>
      </c>
      <c r="H1929" s="63"/>
      <c r="I1929" s="12"/>
      <c r="J1929" s="1369"/>
      <c r="K1929" s="64">
        <f>IFERROR(SUMIF(INTAKE!$A:$A,$T1929,INTAKE!$P:$P),0)</f>
        <v>0</v>
      </c>
      <c r="L1929" s="1533">
        <f t="shared" si="1184"/>
        <v>0</v>
      </c>
      <c r="M1929" s="101"/>
      <c r="N1929" s="249"/>
      <c r="O1929" s="101"/>
      <c r="P1929" s="750"/>
      <c r="Q1929" s="795"/>
      <c r="R1929" s="785">
        <f>IFERROR(VLOOKUP($Q1929,'391'!$S:$Z,8,0),"")</f>
        <v>0</v>
      </c>
      <c r="S1929" s="786"/>
      <c r="T1929" s="787" t="str">
        <f t="shared" si="1189"/>
        <v>Premix RED 2%45450</v>
      </c>
      <c r="U1929" s="787"/>
      <c r="V1929" s="787"/>
      <c r="W1929" s="785">
        <f>IFERROR(VLOOKUP($Q1929,'391'!$S:$AG,15,0),0)</f>
        <v>0</v>
      </c>
      <c r="X1929" s="1090">
        <f t="shared" si="1141"/>
        <v>0</v>
      </c>
      <c r="Y1929" s="787"/>
      <c r="Z1929" s="791"/>
      <c r="AA1929" s="787"/>
      <c r="AB1929" s="787"/>
      <c r="AC1929" s="679"/>
      <c r="AD1929" s="679"/>
      <c r="AE1929" s="679"/>
      <c r="AF1929" s="679"/>
      <c r="AG1929" s="679"/>
      <c r="AH1929" s="679"/>
      <c r="AI1929" s="682"/>
      <c r="AJ1929" s="682"/>
      <c r="AK1929" s="682"/>
      <c r="AL1929" s="682"/>
      <c r="AM1929" s="682"/>
      <c r="AN1929" s="682"/>
      <c r="AO1929" s="682"/>
      <c r="AP1929" s="682"/>
      <c r="AQ1929" s="682"/>
      <c r="AR1929" s="682"/>
      <c r="AS1929" s="682"/>
    </row>
    <row r="1930" spans="1:45" s="6" customFormat="1" ht="30" hidden="1" customHeight="1" x14ac:dyDescent="0.25">
      <c r="A1930" s="2000"/>
      <c r="B1930" s="390" t="s">
        <v>1432</v>
      </c>
      <c r="C1930" s="237"/>
      <c r="D1930" s="866" t="s">
        <v>10</v>
      </c>
      <c r="E1930" s="1134">
        <v>45450</v>
      </c>
      <c r="F1930" s="71">
        <f t="shared" si="1195"/>
        <v>836</v>
      </c>
      <c r="G1930" s="11">
        <v>0</v>
      </c>
      <c r="H1930" s="63"/>
      <c r="I1930" s="12"/>
      <c r="J1930" s="1369"/>
      <c r="K1930" s="64">
        <f>IFERROR(SUMIF(INTAKE!$A:$A,$T1930,INTAKE!$P:$P),0)</f>
        <v>0</v>
      </c>
      <c r="L1930" s="1533">
        <f t="shared" si="1184"/>
        <v>0</v>
      </c>
      <c r="M1930" s="101"/>
      <c r="N1930" s="249"/>
      <c r="O1930" s="101"/>
      <c r="P1930" s="750"/>
      <c r="Q1930" s="795"/>
      <c r="R1930" s="785">
        <f>IFERROR(VLOOKUP($Q1930,'391'!$S:$Z,8,0),"")</f>
        <v>0</v>
      </c>
      <c r="S1930" s="786"/>
      <c r="T1930" s="787" t="str">
        <f t="shared" si="1189"/>
        <v>Premix RED 2%45450</v>
      </c>
      <c r="U1930" s="787"/>
      <c r="V1930" s="787"/>
      <c r="W1930" s="785">
        <f>IFERROR(VLOOKUP($Q1930,'391'!$S:$AG,15,0),0)</f>
        <v>0</v>
      </c>
      <c r="X1930" s="1090">
        <f t="shared" si="1141"/>
        <v>0</v>
      </c>
      <c r="Y1930" s="787"/>
      <c r="Z1930" s="791"/>
      <c r="AA1930" s="787"/>
      <c r="AB1930" s="787"/>
      <c r="AC1930" s="679"/>
      <c r="AD1930" s="679"/>
      <c r="AE1930" s="679"/>
      <c r="AF1930" s="679"/>
      <c r="AG1930" s="679"/>
      <c r="AH1930" s="679"/>
      <c r="AI1930" s="682"/>
      <c r="AJ1930" s="682"/>
      <c r="AK1930" s="682"/>
      <c r="AL1930" s="682"/>
      <c r="AM1930" s="682"/>
      <c r="AN1930" s="682"/>
      <c r="AO1930" s="682"/>
      <c r="AP1930" s="682"/>
      <c r="AQ1930" s="682"/>
      <c r="AR1930" s="682"/>
      <c r="AS1930" s="682"/>
    </row>
    <row r="1931" spans="1:45" s="6" customFormat="1" ht="30" customHeight="1" x14ac:dyDescent="0.25">
      <c r="A1931" s="2000"/>
      <c r="B1931" s="1026" t="s">
        <v>1957</v>
      </c>
      <c r="C1931" s="149" t="s">
        <v>46</v>
      </c>
      <c r="D1931" s="863" t="s">
        <v>10</v>
      </c>
      <c r="E1931" s="1137">
        <v>46270</v>
      </c>
      <c r="F1931" s="71">
        <f t="shared" ref="F1931" si="1196">$L$7-E1931</f>
        <v>16</v>
      </c>
      <c r="G1931" s="58">
        <v>308.47999999999968</v>
      </c>
      <c r="H1931" s="63"/>
      <c r="I1931" s="58">
        <f>+SUM(K1919:K1928)</f>
        <v>1050</v>
      </c>
      <c r="J1931" s="1369">
        <f>+usage!I224</f>
        <v>628.84</v>
      </c>
      <c r="K1931" s="64">
        <f>IFERROR(SUMIF(INTAKE!$A:$A,$T1931,INTAKE!$P:$P),0)</f>
        <v>0</v>
      </c>
      <c r="L1931" s="1533">
        <f t="shared" si="1184"/>
        <v>729.63999999999953</v>
      </c>
      <c r="M1931" s="23"/>
      <c r="N1931" s="23"/>
      <c r="O1931" s="23"/>
      <c r="P1931" s="736"/>
      <c r="Q1931" s="795"/>
      <c r="R1931" s="785">
        <f>IFERROR(VLOOKUP($Q1931,'391'!$S:$Z,8,0),"")</f>
        <v>0</v>
      </c>
      <c r="S1931" s="786"/>
      <c r="T1931" s="787" t="str">
        <f t="shared" si="1189"/>
        <v>Premix RED 2%Feedmill46270</v>
      </c>
      <c r="U1931" s="787"/>
      <c r="V1931" s="787"/>
      <c r="W1931" s="785">
        <f>IFERROR(VLOOKUP($Q1931,'391'!$S:$AG,15,0),0)</f>
        <v>0</v>
      </c>
      <c r="X1931" s="1090">
        <f t="shared" si="1141"/>
        <v>308.47999999999968</v>
      </c>
      <c r="Y1931" s="787"/>
      <c r="Z1931" s="791"/>
      <c r="AA1931" s="787"/>
      <c r="AB1931" s="787"/>
      <c r="AC1931" s="679"/>
      <c r="AD1931" s="679"/>
      <c r="AE1931" s="679"/>
      <c r="AF1931" s="679"/>
      <c r="AG1931" s="679"/>
      <c r="AH1931" s="679"/>
      <c r="AI1931" s="682"/>
      <c r="AJ1931" s="682"/>
      <c r="AK1931" s="682"/>
      <c r="AL1931" s="682"/>
      <c r="AM1931" s="682"/>
      <c r="AN1931" s="682"/>
      <c r="AO1931" s="682"/>
      <c r="AP1931" s="682"/>
      <c r="AQ1931" s="682"/>
      <c r="AR1931" s="682"/>
      <c r="AS1931" s="682"/>
    </row>
    <row r="1932" spans="1:45" s="420" customFormat="1" ht="30" customHeight="1" x14ac:dyDescent="0.25">
      <c r="A1932" s="2003" t="s">
        <v>34</v>
      </c>
      <c r="B1932" s="2004"/>
      <c r="C1932" s="854"/>
      <c r="D1932" s="1030"/>
      <c r="E1932" s="1133"/>
      <c r="F1932" s="1032"/>
      <c r="G1932" s="1422">
        <v>7658.48</v>
      </c>
      <c r="H1932" s="1422">
        <f t="shared" ref="H1932:L1932" si="1197">SUM(H1919:H1931)</f>
        <v>0</v>
      </c>
      <c r="I1932" s="1422">
        <f t="shared" si="1197"/>
        <v>1050</v>
      </c>
      <c r="J1932" s="1422">
        <f t="shared" si="1197"/>
        <v>628.84</v>
      </c>
      <c r="K1932" s="1422">
        <f t="shared" si="1197"/>
        <v>1050</v>
      </c>
      <c r="L1932" s="1422">
        <f t="shared" si="1197"/>
        <v>7029.6399999999994</v>
      </c>
      <c r="M1932" s="889">
        <f>IFERROR(R1932/$S$2,"")</f>
        <v>281.00666666666666</v>
      </c>
      <c r="N1932" s="854">
        <f>(L1932/M1932)</f>
        <v>25.015918958031836</v>
      </c>
      <c r="O1932" s="889">
        <f>IFERROR(SUMIF(ETM!$A:$A,$Q1932,ETM!$E:$E),"")</f>
        <v>419</v>
      </c>
      <c r="P1932" s="880">
        <f>IFERROR(L1932/O1932,0)</f>
        <v>16.777183770883052</v>
      </c>
      <c r="Q1932" s="814" t="s">
        <v>631</v>
      </c>
      <c r="R1932" s="785">
        <f>IFERROR(VLOOKUP($Q1932,'391'!$S:$Z,8,0),"")</f>
        <v>1686.04</v>
      </c>
      <c r="S1932" s="786"/>
      <c r="T1932" s="787"/>
      <c r="U1932" s="787"/>
      <c r="V1932" s="787"/>
      <c r="W1932" s="785">
        <f>IFERROR(VLOOKUP($Q1932,'391'!$S:$AG,15,0),0)</f>
        <v>7658.4800000000005</v>
      </c>
      <c r="X1932" s="1090">
        <f>G1932-W1932</f>
        <v>0</v>
      </c>
      <c r="Y1932" s="787"/>
      <c r="Z1932" s="791"/>
      <c r="AA1932" s="787"/>
      <c r="AB1932" s="787"/>
      <c r="AC1932" s="550"/>
      <c r="AD1932" s="550"/>
      <c r="AE1932" s="550"/>
      <c r="AF1932" s="550"/>
      <c r="AG1932" s="550"/>
      <c r="AH1932" s="550"/>
      <c r="AI1932" s="559"/>
      <c r="AJ1932" s="559"/>
      <c r="AK1932" s="559"/>
      <c r="AL1932" s="559"/>
      <c r="AM1932" s="559"/>
      <c r="AN1932" s="559"/>
      <c r="AO1932" s="559"/>
      <c r="AP1932" s="559"/>
      <c r="AQ1932" s="559"/>
      <c r="AR1932" s="559"/>
      <c r="AS1932" s="559"/>
    </row>
    <row r="1933" spans="1:45" s="6" customFormat="1" ht="30" hidden="1" customHeight="1" x14ac:dyDescent="0.25">
      <c r="A1933" s="2182" t="str">
        <f>IF(L1936=0,"",MAX($A$16:A1932)+1)</f>
        <v/>
      </c>
      <c r="B1933" s="390" t="s">
        <v>1309</v>
      </c>
      <c r="C1933" s="186" t="s">
        <v>1297</v>
      </c>
      <c r="D1933" s="866" t="s">
        <v>10</v>
      </c>
      <c r="E1933" s="1134">
        <v>45079</v>
      </c>
      <c r="F1933" s="71">
        <f t="shared" ref="F1933:F1935" si="1198">$L$7-E1933</f>
        <v>1207</v>
      </c>
      <c r="G1933" s="12">
        <v>0</v>
      </c>
      <c r="H1933" s="77"/>
      <c r="I1933" s="68"/>
      <c r="J1933" s="209"/>
      <c r="K1933" s="68">
        <f>IFERROR(SUMIF(INTAKE!$A:$A,$T1933,INTAKE!$P:$P),0)</f>
        <v>0</v>
      </c>
      <c r="L1933" s="531">
        <f t="shared" ref="L1933:L1935" si="1199">+G1933+H1933+I1933-J1933-K1933</f>
        <v>0</v>
      </c>
      <c r="M1933" s="1454"/>
      <c r="N1933" s="1468"/>
      <c r="O1933" s="1452"/>
      <c r="P1933" s="1479"/>
      <c r="Q1933" s="795"/>
      <c r="R1933" s="785">
        <f>IFERROR(VLOOKUP($Q1933,'391'!$S:$Z,8,0),"")</f>
        <v>0</v>
      </c>
      <c r="S1933" s="786"/>
      <c r="T1933" s="787" t="str">
        <f>$Q$1936&amp;C1933&amp;E1933</f>
        <v>Premix YELLOW 2%Y5.145079</v>
      </c>
      <c r="U1933" s="787"/>
      <c r="V1933" s="787"/>
      <c r="W1933" s="785">
        <f>IFERROR(VLOOKUP($Q1933,'391'!$S:$AG,15,0),0)</f>
        <v>0</v>
      </c>
      <c r="X1933" s="1090">
        <f t="shared" si="1141"/>
        <v>0</v>
      </c>
      <c r="Y1933" s="787"/>
      <c r="Z1933" s="791"/>
      <c r="AA1933" s="787"/>
      <c r="AB1933" s="787"/>
      <c r="AC1933" s="679"/>
      <c r="AD1933" s="679"/>
      <c r="AE1933" s="679"/>
      <c r="AF1933" s="679"/>
      <c r="AG1933" s="679"/>
      <c r="AH1933" s="679"/>
      <c r="AI1933" s="682"/>
      <c r="AJ1933" s="682"/>
      <c r="AK1933" s="682"/>
      <c r="AL1933" s="682"/>
      <c r="AM1933" s="682"/>
      <c r="AN1933" s="682"/>
      <c r="AO1933" s="682"/>
      <c r="AP1933" s="682"/>
      <c r="AQ1933" s="682"/>
      <c r="AR1933" s="682"/>
      <c r="AS1933" s="682"/>
    </row>
    <row r="1934" spans="1:45" ht="30" hidden="1" customHeight="1" x14ac:dyDescent="0.25">
      <c r="A1934" s="2000"/>
      <c r="B1934" s="390" t="s">
        <v>337</v>
      </c>
      <c r="C1934" s="186"/>
      <c r="D1934" s="866" t="s">
        <v>10</v>
      </c>
      <c r="E1934" s="1134">
        <v>44257</v>
      </c>
      <c r="F1934" s="71">
        <f t="shared" si="1198"/>
        <v>2029</v>
      </c>
      <c r="G1934" s="12">
        <v>0</v>
      </c>
      <c r="H1934" s="130"/>
      <c r="I1934" s="67"/>
      <c r="J1934" s="206"/>
      <c r="K1934" s="68">
        <f>IFERROR(SUMIF(INTAKE!$A:$A,$T1934,INTAKE!$P:$P),0)</f>
        <v>0</v>
      </c>
      <c r="L1934" s="531">
        <f t="shared" si="1199"/>
        <v>0</v>
      </c>
      <c r="M1934" s="48"/>
      <c r="N1934" s="163"/>
      <c r="O1934" s="48"/>
      <c r="P1934" s="738"/>
      <c r="Q1934" s="795"/>
      <c r="R1934" s="785">
        <f>IFERROR(VLOOKUP($Q1934,'391'!$S:$Z,8,0),"")</f>
        <v>0</v>
      </c>
      <c r="T1934" s="787" t="str">
        <f>$Q$1936&amp;C1934&amp;E1934</f>
        <v>Premix YELLOW 2%44257</v>
      </c>
      <c r="U1934" s="787"/>
      <c r="V1934" s="787"/>
      <c r="W1934" s="785">
        <f>IFERROR(VLOOKUP($Q1934,'391'!$S:$AG,15,0),0)</f>
        <v>0</v>
      </c>
      <c r="X1934" s="1090">
        <f t="shared" ref="X1934:X1952" si="1200">G1934-W1934</f>
        <v>0</v>
      </c>
      <c r="Y1934" s="787"/>
      <c r="Z1934" s="791"/>
      <c r="AA1934" s="787"/>
      <c r="AB1934" s="787"/>
      <c r="AC1934" s="679"/>
    </row>
    <row r="1935" spans="1:45" s="6" customFormat="1" ht="30" hidden="1" customHeight="1" x14ac:dyDescent="0.25">
      <c r="A1935" s="2000"/>
      <c r="B1935" s="1014" t="s">
        <v>1309</v>
      </c>
      <c r="C1935" s="151" t="s">
        <v>46</v>
      </c>
      <c r="D1935" s="863" t="s">
        <v>10</v>
      </c>
      <c r="E1935" s="1123">
        <v>45079</v>
      </c>
      <c r="F1935" s="71">
        <f t="shared" si="1198"/>
        <v>1207</v>
      </c>
      <c r="G1935" s="58">
        <v>0</v>
      </c>
      <c r="H1935" s="130"/>
      <c r="I1935" s="879">
        <f>+SUM(K1933:K1934)</f>
        <v>0</v>
      </c>
      <c r="J1935" s="81">
        <f>+usage!I225</f>
        <v>0</v>
      </c>
      <c r="K1935" s="68">
        <f>IFERROR(SUMIF(INTAKE!$A:$A,$T1935,INTAKE!$P:$P),0)</f>
        <v>0</v>
      </c>
      <c r="L1935" s="531">
        <f t="shared" si="1199"/>
        <v>0</v>
      </c>
      <c r="M1935" s="24"/>
      <c r="N1935" s="920"/>
      <c r="O1935" s="24"/>
      <c r="P1935" s="740"/>
      <c r="Q1935" s="795"/>
      <c r="R1935" s="785">
        <f>IFERROR(VLOOKUP($Q1935,'391'!$S:$Z,8,0),"")</f>
        <v>0</v>
      </c>
      <c r="S1935" s="786"/>
      <c r="T1935" s="787" t="str">
        <f>$Q$1936&amp;C1935&amp;E1935</f>
        <v>Premix YELLOW 2%Feedmill45079</v>
      </c>
      <c r="U1935" s="787"/>
      <c r="V1935" s="787"/>
      <c r="W1935" s="785">
        <f>IFERROR(VLOOKUP($Q1935,'391'!$S:$AG,15,0),0)</f>
        <v>0</v>
      </c>
      <c r="X1935" s="1090">
        <f t="shared" si="1200"/>
        <v>0</v>
      </c>
      <c r="Y1935" s="787"/>
      <c r="Z1935" s="791"/>
      <c r="AA1935" s="787"/>
      <c r="AB1935" s="787"/>
      <c r="AC1935" s="679"/>
      <c r="AD1935" s="679"/>
      <c r="AE1935" s="679"/>
      <c r="AF1935" s="679"/>
      <c r="AG1935" s="679"/>
      <c r="AH1935" s="679"/>
      <c r="AI1935" s="682"/>
      <c r="AJ1935" s="682"/>
      <c r="AK1935" s="682"/>
      <c r="AL1935" s="682"/>
      <c r="AM1935" s="682"/>
      <c r="AN1935" s="682"/>
      <c r="AO1935" s="682"/>
      <c r="AP1935" s="682"/>
      <c r="AQ1935" s="682"/>
      <c r="AR1935" s="682"/>
      <c r="AS1935" s="682"/>
    </row>
    <row r="1936" spans="1:45" s="420" customFormat="1" ht="30" hidden="1" customHeight="1" x14ac:dyDescent="0.25">
      <c r="A1936" s="2003" t="s">
        <v>45</v>
      </c>
      <c r="B1936" s="2004"/>
      <c r="C1936" s="125"/>
      <c r="D1936" s="1030"/>
      <c r="E1936" s="1027"/>
      <c r="F1936" s="896"/>
      <c r="G1936" s="234">
        <v>0</v>
      </c>
      <c r="H1936" s="234">
        <f>SUM(H1933:H1935)</f>
        <v>0</v>
      </c>
      <c r="I1936" s="234">
        <f>SUM(I1933:I1935)</f>
        <v>0</v>
      </c>
      <c r="J1936" s="234">
        <f>SUM(J1933:J1935)</f>
        <v>0</v>
      </c>
      <c r="K1936" s="234">
        <f>SUM(K1933:K1935)</f>
        <v>0</v>
      </c>
      <c r="L1936" s="234">
        <f>SUM(L1933:L1935)</f>
        <v>0</v>
      </c>
      <c r="M1936" s="889" t="str">
        <f>IFERROR(R1936/$S$2,"")</f>
        <v/>
      </c>
      <c r="N1936" s="854">
        <f>IFERROR(L1936/M1936,0)</f>
        <v>0</v>
      </c>
      <c r="O1936" s="889">
        <f>IFERROR(SUMIF(ETM!$A:$A,$Q1936,ETM!$E:$E),"")</f>
        <v>0</v>
      </c>
      <c r="P1936" s="855">
        <f>IFERROR(L1936/O1936,0)</f>
        <v>0</v>
      </c>
      <c r="Q1936" s="814" t="s">
        <v>630</v>
      </c>
      <c r="R1936" s="785" t="str">
        <f>IFERROR(VLOOKUP($Q1936,'391'!$S:$Z,8,0),"")</f>
        <v/>
      </c>
      <c r="S1936" s="786"/>
      <c r="T1936" s="787"/>
      <c r="U1936" s="787"/>
      <c r="V1936" s="787"/>
      <c r="W1936" s="785">
        <f>IFERROR(VLOOKUP($Q1936,'391'!$S:$AG,15,0),0)</f>
        <v>0</v>
      </c>
      <c r="X1936" s="1090">
        <f t="shared" si="1200"/>
        <v>0</v>
      </c>
      <c r="Y1936" s="787"/>
      <c r="Z1936" s="791"/>
      <c r="AA1936" s="787"/>
      <c r="AB1936" s="787"/>
      <c r="AC1936" s="550"/>
      <c r="AD1936" s="550"/>
      <c r="AE1936" s="550"/>
      <c r="AF1936" s="550"/>
      <c r="AG1936" s="550"/>
      <c r="AH1936" s="550"/>
      <c r="AI1936" s="559"/>
      <c r="AJ1936" s="559"/>
      <c r="AK1936" s="559"/>
      <c r="AL1936" s="559"/>
      <c r="AM1936" s="559"/>
      <c r="AN1936" s="559"/>
      <c r="AO1936" s="559"/>
      <c r="AP1936" s="559"/>
      <c r="AQ1936" s="559"/>
      <c r="AR1936" s="559"/>
      <c r="AS1936" s="559"/>
    </row>
    <row r="1937" spans="1:45" s="6" customFormat="1" ht="30" customHeight="1" x14ac:dyDescent="0.25">
      <c r="A1937" s="2182">
        <f>IF(L1940=0,"",MAX($A$16:A1936)+1)</f>
        <v>137</v>
      </c>
      <c r="B1937" s="390" t="s">
        <v>1864</v>
      </c>
      <c r="C1937" s="186" t="s">
        <v>1211</v>
      </c>
      <c r="D1937" s="866" t="s">
        <v>10</v>
      </c>
      <c r="E1937" s="1134">
        <v>46220</v>
      </c>
      <c r="F1937" s="71">
        <f t="shared" ref="F1937:F1939" si="1201">$L$7-E1937</f>
        <v>66</v>
      </c>
      <c r="G1937" s="12">
        <v>4475</v>
      </c>
      <c r="H1937" s="77"/>
      <c r="I1937" s="68"/>
      <c r="J1937" s="209"/>
      <c r="K1937" s="80">
        <f>IFERROR(SUMIF(INTAKE!$A:$A,$T1937,INTAKE!$P:$P),0)</f>
        <v>0</v>
      </c>
      <c r="L1937" s="1669">
        <f t="shared" ref="L1937:L1939" si="1202">+G1937+H1937+I1937-J1937-K1937</f>
        <v>4475</v>
      </c>
      <c r="M1937" s="1454"/>
      <c r="N1937" s="1468"/>
      <c r="O1937" s="1452"/>
      <c r="P1937" s="1479"/>
      <c r="Q1937" s="795"/>
      <c r="R1937" s="785">
        <f>IFERROR(VLOOKUP($Q1937,'391'!$S:$Z,8,0),"")</f>
        <v>0</v>
      </c>
      <c r="S1937" s="786"/>
      <c r="T1937" s="787" t="str">
        <f>$Q$1940&amp;C1937&amp;E1937</f>
        <v>TRADI-Impact LD - FranceD146220</v>
      </c>
      <c r="U1937" s="787"/>
      <c r="V1937" s="787"/>
      <c r="W1937" s="785">
        <f>IFERROR(VLOOKUP($Q1937,'391'!$S:$AG,15,0),0)</f>
        <v>0</v>
      </c>
      <c r="X1937" s="1090">
        <f t="shared" si="1200"/>
        <v>4475</v>
      </c>
      <c r="Y1937" s="787"/>
      <c r="Z1937" s="791"/>
      <c r="AA1937" s="787"/>
      <c r="AB1937" s="787"/>
      <c r="AC1937" s="679"/>
      <c r="AD1937" s="679"/>
      <c r="AE1937" s="679"/>
      <c r="AF1937" s="679"/>
      <c r="AG1937" s="679"/>
      <c r="AH1937" s="679"/>
      <c r="AI1937" s="682"/>
      <c r="AJ1937" s="682"/>
      <c r="AK1937" s="682"/>
      <c r="AL1937" s="682"/>
      <c r="AM1937" s="682"/>
      <c r="AN1937" s="682"/>
      <c r="AO1937" s="682"/>
      <c r="AP1937" s="682"/>
      <c r="AQ1937" s="682"/>
      <c r="AR1937" s="682"/>
      <c r="AS1937" s="682"/>
    </row>
    <row r="1938" spans="1:45" ht="30" customHeight="1" x14ac:dyDescent="0.25">
      <c r="A1938" s="2000"/>
      <c r="B1938" s="390" t="s">
        <v>1864</v>
      </c>
      <c r="C1938" s="186" t="s">
        <v>1211</v>
      </c>
      <c r="D1938" s="866" t="s">
        <v>10</v>
      </c>
      <c r="E1938" s="1134">
        <v>46239</v>
      </c>
      <c r="F1938" s="71">
        <f t="shared" si="1201"/>
        <v>47</v>
      </c>
      <c r="G1938" s="12">
        <v>1000</v>
      </c>
      <c r="H1938" s="130"/>
      <c r="I1938" s="67"/>
      <c r="J1938" s="206"/>
      <c r="K1938" s="68">
        <f>IFERROR(SUMIF(INTAKE!$A:$A,$T1938,INTAKE!$P:$P),0)</f>
        <v>0</v>
      </c>
      <c r="L1938" s="1669">
        <f t="shared" si="1202"/>
        <v>1000</v>
      </c>
      <c r="M1938" s="48"/>
      <c r="N1938" s="163"/>
      <c r="O1938" s="48"/>
      <c r="P1938" s="738"/>
      <c r="Q1938" s="795"/>
      <c r="R1938" s="785">
        <f>IFERROR(VLOOKUP($Q1938,'391'!$S:$Z,8,0),"")</f>
        <v>0</v>
      </c>
      <c r="T1938" s="787" t="str">
        <f t="shared" ref="T1938:T1939" si="1203">$Q$1940&amp;C1938&amp;E1938</f>
        <v>TRADI-Impact LD - FranceD146239</v>
      </c>
      <c r="U1938" s="787"/>
      <c r="V1938" s="787"/>
      <c r="W1938" s="785">
        <f>IFERROR(VLOOKUP($Q1938,'391'!$S:$AG,15,0),0)</f>
        <v>0</v>
      </c>
      <c r="X1938" s="1090">
        <f t="shared" ref="X1938:X1940" si="1204">G1938-W1938</f>
        <v>1000</v>
      </c>
      <c r="Y1938" s="787"/>
      <c r="Z1938" s="791"/>
      <c r="AA1938" s="787"/>
      <c r="AB1938" s="787"/>
      <c r="AC1938" s="679"/>
    </row>
    <row r="1939" spans="1:45" s="6" customFormat="1" ht="30" customHeight="1" x14ac:dyDescent="0.25">
      <c r="A1939" s="2000"/>
      <c r="B1939" s="1014" t="s">
        <v>1864</v>
      </c>
      <c r="C1939" s="151" t="s">
        <v>46</v>
      </c>
      <c r="D1939" s="863" t="s">
        <v>10</v>
      </c>
      <c r="E1939" s="1123">
        <v>46220</v>
      </c>
      <c r="F1939" s="71">
        <f t="shared" si="1201"/>
        <v>66</v>
      </c>
      <c r="G1939" s="58">
        <v>13</v>
      </c>
      <c r="H1939" s="130"/>
      <c r="I1939" s="508">
        <f>+SUM(K1937:K1938)</f>
        <v>0</v>
      </c>
      <c r="J1939" s="81">
        <f>usage!I252</f>
        <v>0</v>
      </c>
      <c r="K1939" s="68">
        <f>IFERROR(SUMIF(INTAKE!$A:$A,$T1939,INTAKE!$P:$P),0)</f>
        <v>0</v>
      </c>
      <c r="L1939" s="531">
        <f t="shared" si="1202"/>
        <v>13</v>
      </c>
      <c r="M1939" s="24"/>
      <c r="N1939" s="920"/>
      <c r="O1939" s="24"/>
      <c r="P1939" s="740"/>
      <c r="Q1939" s="795"/>
      <c r="R1939" s="785">
        <f>IFERROR(VLOOKUP($Q1939,'391'!$S:$Z,8,0),"")</f>
        <v>0</v>
      </c>
      <c r="S1939" s="786"/>
      <c r="T1939" s="787" t="str">
        <f t="shared" si="1203"/>
        <v>TRADI-Impact LD - FranceFeedmill46220</v>
      </c>
      <c r="U1939" s="787"/>
      <c r="V1939" s="787"/>
      <c r="W1939" s="785">
        <f>IFERROR(VLOOKUP($Q1939,'391'!$S:$AG,15,0),0)</f>
        <v>0</v>
      </c>
      <c r="X1939" s="1090">
        <f t="shared" si="1204"/>
        <v>13</v>
      </c>
      <c r="Y1939" s="787"/>
      <c r="Z1939" s="791"/>
      <c r="AA1939" s="787"/>
      <c r="AB1939" s="787"/>
      <c r="AC1939" s="679"/>
      <c r="AD1939" s="679"/>
      <c r="AE1939" s="679"/>
      <c r="AF1939" s="679"/>
      <c r="AG1939" s="679"/>
      <c r="AH1939" s="679"/>
      <c r="AI1939" s="682"/>
      <c r="AJ1939" s="682"/>
      <c r="AK1939" s="682"/>
      <c r="AL1939" s="682"/>
      <c r="AM1939" s="682"/>
      <c r="AN1939" s="682"/>
      <c r="AO1939" s="682"/>
      <c r="AP1939" s="682"/>
      <c r="AQ1939" s="682"/>
      <c r="AR1939" s="682"/>
      <c r="AS1939" s="682"/>
    </row>
    <row r="1940" spans="1:45" s="420" customFormat="1" ht="30" customHeight="1" x14ac:dyDescent="0.25">
      <c r="A1940" s="2003" t="s">
        <v>1865</v>
      </c>
      <c r="B1940" s="2004"/>
      <c r="C1940" s="125"/>
      <c r="D1940" s="1030"/>
      <c r="E1940" s="1027"/>
      <c r="F1940" s="896"/>
      <c r="G1940" s="234">
        <v>5488</v>
      </c>
      <c r="H1940" s="234">
        <f>SUM(H1937:H1939)</f>
        <v>0</v>
      </c>
      <c r="I1940" s="234">
        <f>SUM(I1937:I1939)</f>
        <v>0</v>
      </c>
      <c r="J1940" s="234">
        <f>SUM(J1937:J1939)</f>
        <v>0</v>
      </c>
      <c r="K1940" s="234">
        <f>SUM(K1937:K1939)</f>
        <v>0</v>
      </c>
      <c r="L1940" s="234">
        <f>SUM(L1937:L1939)</f>
        <v>5488</v>
      </c>
      <c r="M1940" s="889">
        <f>IFERROR(R1940/$S$2,"")</f>
        <v>0</v>
      </c>
      <c r="N1940" s="854">
        <f>IFERROR(L1940/M1940,0)</f>
        <v>0</v>
      </c>
      <c r="O1940" s="889">
        <f>IFERROR(SUMIF(ETM!$A:$A,$Q1940,ETM!$E:$E),"")</f>
        <v>0</v>
      </c>
      <c r="P1940" s="855">
        <f>IFERROR(L1940/O1940,0)</f>
        <v>0</v>
      </c>
      <c r="Q1940" s="814" t="s">
        <v>1864</v>
      </c>
      <c r="R1940" s="785">
        <f>IFERROR(VLOOKUP($Q1940,'391'!$S:$Z,8,0),"")</f>
        <v>0</v>
      </c>
      <c r="S1940" s="786"/>
      <c r="T1940" s="787"/>
      <c r="U1940" s="787"/>
      <c r="V1940" s="787"/>
      <c r="W1940" s="785">
        <f>IFERROR(VLOOKUP($Q1940,'391'!$S:$AG,15,0),0)</f>
        <v>5488</v>
      </c>
      <c r="X1940" s="1090">
        <f t="shared" si="1204"/>
        <v>0</v>
      </c>
      <c r="Y1940" s="787"/>
      <c r="Z1940" s="791"/>
      <c r="AA1940" s="787"/>
      <c r="AB1940" s="787"/>
      <c r="AC1940" s="550"/>
      <c r="AD1940" s="550"/>
      <c r="AE1940" s="550"/>
      <c r="AF1940" s="550"/>
      <c r="AG1940" s="550"/>
      <c r="AH1940" s="550"/>
      <c r="AI1940" s="559"/>
      <c r="AJ1940" s="559"/>
      <c r="AK1940" s="559"/>
      <c r="AL1940" s="559"/>
      <c r="AM1940" s="559"/>
      <c r="AN1940" s="559"/>
      <c r="AO1940" s="559"/>
      <c r="AP1940" s="559"/>
      <c r="AQ1940" s="559"/>
      <c r="AR1940" s="559"/>
      <c r="AS1940" s="559"/>
    </row>
    <row r="1941" spans="1:45" s="6" customFormat="1" ht="30" customHeight="1" x14ac:dyDescent="0.25">
      <c r="A1941" s="2010">
        <f>IF(L1955=0,"",MAX($A$16:A1940)+1)</f>
        <v>138</v>
      </c>
      <c r="B1941" s="1863" t="s">
        <v>1954</v>
      </c>
      <c r="C1941" s="186" t="s">
        <v>148</v>
      </c>
      <c r="D1941" s="866" t="s">
        <v>10</v>
      </c>
      <c r="E1941" s="1134">
        <v>46270</v>
      </c>
      <c r="F1941" s="71">
        <f t="shared" ref="F1941:F1949" si="1205">$L$7-E1941</f>
        <v>16</v>
      </c>
      <c r="G1941" s="12">
        <v>1050</v>
      </c>
      <c r="H1941" s="130"/>
      <c r="I1941" s="68"/>
      <c r="J1941" s="206"/>
      <c r="K1941" s="68">
        <f>IFERROR(SUMIF(INTAKE!$A:$A,$T1941,INTAKE!$P:$P),0)</f>
        <v>0</v>
      </c>
      <c r="L1941" s="1669">
        <f t="shared" ref="L1941:L1954" si="1206">+G1941+H1941+I1941-J1941-K1941</f>
        <v>1050</v>
      </c>
      <c r="M1941" s="1454"/>
      <c r="N1941" s="1468"/>
      <c r="O1941" s="1452"/>
      <c r="P1941" s="1479"/>
      <c r="Q1941" s="795"/>
      <c r="R1941" s="785">
        <f>IFERROR(VLOOKUP($Q1941,'391'!$S:$Z,8,0),"")</f>
        <v>0</v>
      </c>
      <c r="S1941" s="786"/>
      <c r="T1941" s="787" t="str">
        <f>$Q$1955&amp;C1941&amp;E1941</f>
        <v>Premix AmnilX1.346270</v>
      </c>
      <c r="U1941" s="787"/>
      <c r="V1941" s="787"/>
      <c r="W1941" s="785">
        <f>IFERROR(VLOOKUP($Q1941,'391'!$S:$AG,15,0),0)</f>
        <v>0</v>
      </c>
      <c r="X1941" s="1090">
        <f t="shared" si="1200"/>
        <v>1050</v>
      </c>
      <c r="Y1941" s="787"/>
      <c r="Z1941" s="791"/>
      <c r="AA1941" s="787"/>
      <c r="AB1941" s="787"/>
      <c r="AC1941" s="679"/>
      <c r="AD1941" s="679"/>
      <c r="AE1941" s="679"/>
      <c r="AF1941" s="679"/>
      <c r="AG1941" s="679"/>
      <c r="AH1941" s="679"/>
      <c r="AI1941" s="682"/>
      <c r="AJ1941" s="682"/>
      <c r="AK1941" s="682"/>
      <c r="AL1941" s="682"/>
      <c r="AM1941" s="682"/>
      <c r="AN1941" s="682"/>
      <c r="AO1941" s="682"/>
      <c r="AP1941" s="682"/>
      <c r="AQ1941" s="682"/>
      <c r="AR1941" s="682"/>
      <c r="AS1941" s="682"/>
    </row>
    <row r="1942" spans="1:45" s="6" customFormat="1" ht="30" customHeight="1" x14ac:dyDescent="0.25">
      <c r="A1942" s="2002"/>
      <c r="B1942" s="1863" t="s">
        <v>1954</v>
      </c>
      <c r="C1942" s="186" t="s">
        <v>1917</v>
      </c>
      <c r="D1942" s="866" t="s">
        <v>10</v>
      </c>
      <c r="E1942" s="1134">
        <v>46270</v>
      </c>
      <c r="F1942" s="71">
        <f t="shared" si="1205"/>
        <v>16</v>
      </c>
      <c r="G1942" s="12">
        <v>1050</v>
      </c>
      <c r="H1942" s="130"/>
      <c r="I1942" s="68"/>
      <c r="J1942" s="206"/>
      <c r="K1942" s="68">
        <f>IFERROR(SUMIF(INTAKE!$A:$A,$T1942,INTAKE!$P:$P),0)</f>
        <v>0</v>
      </c>
      <c r="L1942" s="1669">
        <f t="shared" si="1206"/>
        <v>1050</v>
      </c>
      <c r="M1942" s="1451"/>
      <c r="N1942" s="1460"/>
      <c r="O1942" s="1453"/>
      <c r="P1942" s="1480"/>
      <c r="Q1942" s="795"/>
      <c r="R1942" s="785">
        <f>IFERROR(VLOOKUP($Q1942,'391'!$S:$Z,8,0),"")</f>
        <v>0</v>
      </c>
      <c r="S1942" s="786"/>
      <c r="T1942" s="787" t="str">
        <f>$Q$1955&amp;C1942&amp;E1942</f>
        <v>Premix AmnilX8.346270</v>
      </c>
      <c r="U1942" s="787"/>
      <c r="V1942" s="787"/>
      <c r="W1942" s="785">
        <f>IFERROR(VLOOKUP($Q1942,'391'!$S:$AG,15,0),0)</f>
        <v>0</v>
      </c>
      <c r="X1942" s="1090">
        <f t="shared" si="1200"/>
        <v>1050</v>
      </c>
      <c r="Y1942" s="787"/>
      <c r="Z1942" s="791"/>
      <c r="AA1942" s="787"/>
      <c r="AB1942" s="787"/>
      <c r="AC1942" s="679"/>
      <c r="AD1942" s="679"/>
      <c r="AE1942" s="679"/>
      <c r="AF1942" s="679"/>
      <c r="AG1942" s="679"/>
      <c r="AH1942" s="679"/>
      <c r="AI1942" s="682"/>
      <c r="AJ1942" s="682"/>
      <c r="AK1942" s="682"/>
      <c r="AL1942" s="682"/>
      <c r="AM1942" s="682"/>
      <c r="AN1942" s="682"/>
      <c r="AO1942" s="682"/>
      <c r="AP1942" s="682"/>
      <c r="AQ1942" s="682"/>
      <c r="AR1942" s="682"/>
      <c r="AS1942" s="682"/>
    </row>
    <row r="1943" spans="1:45" s="6" customFormat="1" ht="30" customHeight="1" x14ac:dyDescent="0.25">
      <c r="A1943" s="2002"/>
      <c r="B1943" s="1863" t="s">
        <v>2190</v>
      </c>
      <c r="C1943" s="186" t="s">
        <v>1955</v>
      </c>
      <c r="D1943" s="866" t="s">
        <v>10</v>
      </c>
      <c r="E1943" s="1134">
        <v>46275</v>
      </c>
      <c r="F1943" s="71">
        <f t="shared" si="1205"/>
        <v>11</v>
      </c>
      <c r="G1943" s="12">
        <v>1050</v>
      </c>
      <c r="H1943" s="130"/>
      <c r="I1943" s="68"/>
      <c r="J1943" s="206"/>
      <c r="K1943" s="68">
        <f>IFERROR(SUMIF(INTAKE!$A:$A,$T1943,INTAKE!$P:$P),0)</f>
        <v>0</v>
      </c>
      <c r="L1943" s="1669">
        <f t="shared" si="1206"/>
        <v>1050</v>
      </c>
      <c r="M1943" s="101"/>
      <c r="N1943" s="249"/>
      <c r="O1943" s="101"/>
      <c r="P1943" s="738"/>
      <c r="Q1943" s="795"/>
      <c r="R1943" s="785">
        <f>IFERROR(VLOOKUP($Q1943,'391'!$S:$Z,8,0),"")</f>
        <v>0</v>
      </c>
      <c r="S1943" s="786"/>
      <c r="T1943" s="787" t="str">
        <f>$Q$1955&amp;C1943&amp;E1943</f>
        <v>Premix AmnilX2.346275</v>
      </c>
      <c r="U1943" s="787"/>
      <c r="V1943" s="787"/>
      <c r="W1943" s="785">
        <f>IFERROR(VLOOKUP($Q1943,'391'!$S:$AG,15,0),0)</f>
        <v>0</v>
      </c>
      <c r="X1943" s="1090">
        <f t="shared" si="1200"/>
        <v>1050</v>
      </c>
      <c r="Y1943" s="787"/>
      <c r="Z1943" s="791"/>
      <c r="AA1943" s="787"/>
      <c r="AB1943" s="787"/>
      <c r="AC1943" s="679"/>
      <c r="AD1943" s="679"/>
      <c r="AE1943" s="679"/>
      <c r="AF1943" s="679"/>
      <c r="AG1943" s="679"/>
      <c r="AH1943" s="679"/>
      <c r="AI1943" s="682"/>
      <c r="AJ1943" s="682"/>
      <c r="AK1943" s="682"/>
      <c r="AL1943" s="682"/>
      <c r="AM1943" s="682"/>
      <c r="AN1943" s="682"/>
      <c r="AO1943" s="682"/>
      <c r="AP1943" s="682"/>
      <c r="AQ1943" s="682"/>
      <c r="AR1943" s="682"/>
      <c r="AS1943" s="682"/>
    </row>
    <row r="1944" spans="1:45" s="6" customFormat="1" ht="30" customHeight="1" x14ac:dyDescent="0.25">
      <c r="A1944" s="2002"/>
      <c r="B1944" s="1863" t="s">
        <v>2190</v>
      </c>
      <c r="C1944" s="186" t="s">
        <v>244</v>
      </c>
      <c r="D1944" s="866" t="s">
        <v>10</v>
      </c>
      <c r="E1944" s="1134">
        <v>46275</v>
      </c>
      <c r="F1944" s="71">
        <f t="shared" si="1205"/>
        <v>11</v>
      </c>
      <c r="G1944" s="12">
        <v>1050</v>
      </c>
      <c r="H1944" s="130"/>
      <c r="I1944" s="68"/>
      <c r="J1944" s="206"/>
      <c r="K1944" s="68">
        <f>IFERROR(SUMIF(INTAKE!$A:$A,$T1944,INTAKE!$P:$P),0)</f>
        <v>0</v>
      </c>
      <c r="L1944" s="1669">
        <f t="shared" si="1206"/>
        <v>1050</v>
      </c>
      <c r="M1944" s="101"/>
      <c r="N1944" s="249"/>
      <c r="O1944" s="101"/>
      <c r="P1944" s="738"/>
      <c r="Q1944" s="795"/>
      <c r="R1944" s="785">
        <f>IFERROR(VLOOKUP($Q1944,'391'!$S:$Z,8,0),"")</f>
        <v>0</v>
      </c>
      <c r="S1944" s="786"/>
      <c r="T1944" s="787" t="str">
        <f>$Q$1955&amp;C1944&amp;E1944</f>
        <v>Premix AmnilX3.346275</v>
      </c>
      <c r="U1944" s="787"/>
      <c r="V1944" s="787"/>
      <c r="W1944" s="785">
        <f>IFERROR(VLOOKUP($Q1944,'391'!$S:$AG,15,0),0)</f>
        <v>0</v>
      </c>
      <c r="X1944" s="1090">
        <f t="shared" si="1200"/>
        <v>1050</v>
      </c>
      <c r="Y1944" s="787"/>
      <c r="Z1944" s="791"/>
      <c r="AA1944" s="787"/>
      <c r="AB1944" s="787"/>
      <c r="AC1944" s="679"/>
      <c r="AD1944" s="679"/>
      <c r="AE1944" s="679"/>
      <c r="AF1944" s="679"/>
      <c r="AG1944" s="679"/>
      <c r="AH1944" s="679"/>
      <c r="AI1944" s="682"/>
      <c r="AJ1944" s="682"/>
      <c r="AK1944" s="682"/>
      <c r="AL1944" s="682"/>
      <c r="AM1944" s="682"/>
      <c r="AN1944" s="682"/>
      <c r="AO1944" s="682"/>
      <c r="AP1944" s="682"/>
      <c r="AQ1944" s="682"/>
      <c r="AR1944" s="682"/>
      <c r="AS1944" s="682"/>
    </row>
    <row r="1945" spans="1:45" ht="30" customHeight="1" x14ac:dyDescent="0.25">
      <c r="A1945" s="2002"/>
      <c r="B1945" s="1863" t="s">
        <v>2190</v>
      </c>
      <c r="C1945" s="186" t="s">
        <v>1934</v>
      </c>
      <c r="D1945" s="866" t="s">
        <v>10</v>
      </c>
      <c r="E1945" s="1134">
        <v>46275</v>
      </c>
      <c r="F1945" s="71">
        <f t="shared" si="1205"/>
        <v>11</v>
      </c>
      <c r="G1945" s="12">
        <v>1050</v>
      </c>
      <c r="H1945" s="130"/>
      <c r="I1945" s="68"/>
      <c r="J1945" s="206"/>
      <c r="K1945" s="68">
        <f>IFERROR(SUMIF(INTAKE!$A:$A,$T1945,INTAKE!$P:$P),0)</f>
        <v>0</v>
      </c>
      <c r="L1945" s="1669">
        <f t="shared" ref="L1945" si="1207">+G1945+H1945+I1945-J1945-K1945</f>
        <v>1050</v>
      </c>
      <c r="M1945" s="48"/>
      <c r="N1945" s="163"/>
      <c r="O1945" s="48"/>
      <c r="P1945" s="738"/>
      <c r="Q1945" s="795"/>
      <c r="R1945" s="785">
        <f>IFERROR(VLOOKUP($Q1945,'391'!$S:$Z,8,0),"")</f>
        <v>0</v>
      </c>
      <c r="T1945" s="787" t="str">
        <f t="shared" ref="T1945" si="1208">$Q$1955&amp;C1945&amp;E1945</f>
        <v>Premix AmnilX4.346275</v>
      </c>
      <c r="U1945" s="787"/>
      <c r="V1945" s="787"/>
      <c r="W1945" s="785">
        <f>IFERROR(VLOOKUP($Q1945,'391'!$S:$AG,15,0),0)</f>
        <v>0</v>
      </c>
      <c r="X1945" s="1090">
        <f t="shared" ref="X1945" si="1209">G1945-W1945</f>
        <v>1050</v>
      </c>
      <c r="Y1945" s="787"/>
      <c r="Z1945" s="791"/>
      <c r="AA1945" s="787"/>
      <c r="AB1945" s="787"/>
      <c r="AC1945" s="679"/>
    </row>
    <row r="1946" spans="1:45" s="6" customFormat="1" ht="30" customHeight="1" x14ac:dyDescent="0.25">
      <c r="A1946" s="2002"/>
      <c r="B1946" s="1863" t="s">
        <v>2250</v>
      </c>
      <c r="C1946" s="186" t="s">
        <v>139</v>
      </c>
      <c r="D1946" s="866" t="s">
        <v>10</v>
      </c>
      <c r="E1946" s="1134">
        <v>46283</v>
      </c>
      <c r="F1946" s="71">
        <f t="shared" si="1205"/>
        <v>3</v>
      </c>
      <c r="G1946" s="12">
        <v>1050</v>
      </c>
      <c r="H1946" s="130"/>
      <c r="I1946" s="68"/>
      <c r="J1946" s="206"/>
      <c r="K1946" s="68">
        <f>IFERROR(SUMIF(INTAKE!$A:$A,$T1946,INTAKE!$P:$P),0)</f>
        <v>0</v>
      </c>
      <c r="L1946" s="1669">
        <f t="shared" ref="L1946" si="1210">+G1946+H1946+I1946-J1946-K1946</f>
        <v>1050</v>
      </c>
      <c r="M1946" s="101"/>
      <c r="N1946" s="249"/>
      <c r="O1946" s="101"/>
      <c r="P1946" s="738"/>
      <c r="Q1946" s="795"/>
      <c r="R1946" s="785">
        <f>IFERROR(VLOOKUP($Q1946,'391'!$S:$Z,8,0),"")</f>
        <v>0</v>
      </c>
      <c r="S1946" s="786"/>
      <c r="T1946" s="787" t="str">
        <f t="shared" ref="T1946" si="1211">$Q$1955&amp;C1946&amp;E1946</f>
        <v>Premix AmnilX5.346283</v>
      </c>
      <c r="U1946" s="787"/>
      <c r="V1946" s="787"/>
      <c r="W1946" s="785">
        <f>IFERROR(VLOOKUP($Q1946,'391'!$S:$AG,15,0),0)</f>
        <v>0</v>
      </c>
      <c r="X1946" s="1090">
        <f t="shared" ref="X1946" si="1212">G1946-W1946</f>
        <v>1050</v>
      </c>
      <c r="Y1946" s="787"/>
      <c r="Z1946" s="791"/>
      <c r="AA1946" s="787"/>
      <c r="AB1946" s="787"/>
      <c r="AC1946" s="679"/>
      <c r="AD1946" s="679"/>
      <c r="AE1946" s="679"/>
      <c r="AF1946" s="679"/>
      <c r="AG1946" s="679"/>
      <c r="AH1946" s="679"/>
      <c r="AI1946" s="682"/>
      <c r="AJ1946" s="682"/>
      <c r="AK1946" s="682"/>
      <c r="AL1946" s="682"/>
      <c r="AM1946" s="682"/>
      <c r="AN1946" s="682"/>
      <c r="AO1946" s="682"/>
      <c r="AP1946" s="682"/>
      <c r="AQ1946" s="682"/>
      <c r="AR1946" s="682"/>
      <c r="AS1946" s="682"/>
    </row>
    <row r="1947" spans="1:45" ht="30" customHeight="1" x14ac:dyDescent="0.25">
      <c r="A1947" s="2002"/>
      <c r="B1947" s="1863" t="s">
        <v>2250</v>
      </c>
      <c r="C1947" s="186" t="s">
        <v>1956</v>
      </c>
      <c r="D1947" s="866" t="s">
        <v>10</v>
      </c>
      <c r="E1947" s="1134">
        <v>46283</v>
      </c>
      <c r="F1947" s="71">
        <f t="shared" si="1205"/>
        <v>3</v>
      </c>
      <c r="G1947" s="12">
        <v>1050</v>
      </c>
      <c r="H1947" s="130"/>
      <c r="I1947" s="68"/>
      <c r="J1947" s="206"/>
      <c r="K1947" s="68">
        <f>IFERROR(SUMIF(INTAKE!$A:$A,$T1947,INTAKE!$P:$P),0)</f>
        <v>0</v>
      </c>
      <c r="L1947" s="1669">
        <f t="shared" si="1206"/>
        <v>1050</v>
      </c>
      <c r="M1947" s="48"/>
      <c r="N1947" s="163"/>
      <c r="O1947" s="48"/>
      <c r="P1947" s="738"/>
      <c r="Q1947" s="795"/>
      <c r="R1947" s="785">
        <f>IFERROR(VLOOKUP($Q1947,'391'!$S:$Z,8,0),"")</f>
        <v>0</v>
      </c>
      <c r="T1947" s="787" t="str">
        <f t="shared" ref="T1947:T1954" si="1213">$Q$1955&amp;C1947&amp;E1947</f>
        <v>Premix AmnilX6.346283</v>
      </c>
      <c r="U1947" s="787"/>
      <c r="V1947" s="787"/>
      <c r="W1947" s="785">
        <f>IFERROR(VLOOKUP($Q1947,'391'!$S:$AG,15,0),0)</f>
        <v>0</v>
      </c>
      <c r="X1947" s="1090">
        <f t="shared" si="1200"/>
        <v>1050</v>
      </c>
      <c r="Y1947" s="787"/>
      <c r="Z1947" s="791"/>
      <c r="AA1947" s="787"/>
      <c r="AB1947" s="787"/>
      <c r="AC1947" s="679"/>
    </row>
    <row r="1948" spans="1:45" ht="30" hidden="1" customHeight="1" x14ac:dyDescent="0.25">
      <c r="A1948" s="2002"/>
      <c r="B1948" s="1863" t="s">
        <v>2250</v>
      </c>
      <c r="C1948" s="186"/>
      <c r="D1948" s="866" t="s">
        <v>10</v>
      </c>
      <c r="E1948" s="1134">
        <v>46283</v>
      </c>
      <c r="F1948" s="71">
        <f t="shared" ref="F1942:F1948" si="1214">$L$7-E1948</f>
        <v>3</v>
      </c>
      <c r="G1948" s="12"/>
      <c r="H1948" s="130"/>
      <c r="I1948" s="68"/>
      <c r="J1948" s="206"/>
      <c r="K1948" s="68">
        <f>IFERROR(SUMIF(INTAKE!$A:$A,$T1948,INTAKE!$P:$P),0)</f>
        <v>0</v>
      </c>
      <c r="L1948" s="1669">
        <f t="shared" ref="L1948:L1952" si="1215">+G1948+H1948+I1948-J1948-K1948</f>
        <v>0</v>
      </c>
      <c r="M1948" s="48"/>
      <c r="N1948" s="163"/>
      <c r="O1948" s="48"/>
      <c r="P1948" s="738"/>
      <c r="Q1948" s="795"/>
      <c r="R1948" s="785">
        <f>IFERROR(VLOOKUP($Q1948,'391'!$S:$Z,8,0),"")</f>
        <v>0</v>
      </c>
      <c r="T1948" s="787" t="str">
        <f t="shared" si="1213"/>
        <v>Premix Amnil46283</v>
      </c>
      <c r="U1948" s="787"/>
      <c r="V1948" s="787"/>
      <c r="W1948" s="785">
        <f>IFERROR(VLOOKUP($Q1948,'391'!$S:$AG,15,0),0)</f>
        <v>0</v>
      </c>
      <c r="X1948" s="1090">
        <f t="shared" si="1200"/>
        <v>0</v>
      </c>
      <c r="Y1948" s="787"/>
      <c r="Z1948" s="791"/>
      <c r="AA1948" s="787"/>
      <c r="AB1948" s="787"/>
      <c r="AC1948" s="679"/>
    </row>
    <row r="1949" spans="1:45" ht="28.5" hidden="1" customHeight="1" x14ac:dyDescent="0.25">
      <c r="A1949" s="2002"/>
      <c r="B1949" s="1863" t="s">
        <v>2250</v>
      </c>
      <c r="C1949" s="186"/>
      <c r="D1949" s="866" t="s">
        <v>10</v>
      </c>
      <c r="E1949" s="1134">
        <v>46283</v>
      </c>
      <c r="F1949" s="71">
        <f t="shared" si="1205"/>
        <v>3</v>
      </c>
      <c r="G1949" s="12">
        <v>0</v>
      </c>
      <c r="H1949" s="130"/>
      <c r="I1949" s="68"/>
      <c r="J1949" s="206"/>
      <c r="K1949" s="68">
        <f>IFERROR(SUMIF(INTAKE!$A:$A,$T1949,INTAKE!$P:$P),0)</f>
        <v>0</v>
      </c>
      <c r="L1949" s="1669">
        <f t="shared" si="1215"/>
        <v>0</v>
      </c>
      <c r="M1949" s="48"/>
      <c r="N1949" s="163"/>
      <c r="O1949" s="48"/>
      <c r="P1949" s="738"/>
      <c r="Q1949" s="795"/>
      <c r="R1949" s="785">
        <f>IFERROR(VLOOKUP($Q1949,'391'!$S:$Z,8,0),"")</f>
        <v>0</v>
      </c>
      <c r="T1949" s="787" t="str">
        <f t="shared" si="1213"/>
        <v>Premix Amnil46283</v>
      </c>
      <c r="U1949" s="787"/>
      <c r="V1949" s="787"/>
      <c r="W1949" s="785">
        <f>IFERROR(VLOOKUP($Q1949,'391'!$S:$AG,15,0),0)</f>
        <v>0</v>
      </c>
      <c r="X1949" s="1090">
        <f t="shared" si="1200"/>
        <v>0</v>
      </c>
      <c r="Y1949" s="787"/>
      <c r="Z1949" s="791"/>
      <c r="AA1949" s="787"/>
      <c r="AB1949" s="787"/>
      <c r="AC1949" s="679"/>
    </row>
    <row r="1950" spans="1:45" ht="28.5" hidden="1" customHeight="1" x14ac:dyDescent="0.25">
      <c r="A1950" s="2002"/>
      <c r="B1950" s="1863" t="s">
        <v>2190</v>
      </c>
      <c r="C1950" s="186"/>
      <c r="D1950" s="866" t="s">
        <v>10</v>
      </c>
      <c r="E1950" s="1134">
        <v>46275</v>
      </c>
      <c r="F1950" s="71">
        <f t="shared" ref="F1950" si="1216">$L$7-E1950</f>
        <v>11</v>
      </c>
      <c r="G1950" s="12">
        <v>0</v>
      </c>
      <c r="H1950" s="130"/>
      <c r="I1950" s="68"/>
      <c r="J1950" s="206"/>
      <c r="K1950" s="68">
        <f>IFERROR(SUMIF(INTAKE!$A:$A,$T1950,INTAKE!$P:$P),0)</f>
        <v>0</v>
      </c>
      <c r="L1950" s="1669">
        <f t="shared" si="1215"/>
        <v>0</v>
      </c>
      <c r="M1950" s="48"/>
      <c r="N1950" s="163"/>
      <c r="O1950" s="48"/>
      <c r="P1950" s="738"/>
      <c r="Q1950" s="795"/>
      <c r="R1950" s="785">
        <f>IFERROR(VLOOKUP($Q1950,'391'!$S:$Z,8,0),"")</f>
        <v>0</v>
      </c>
      <c r="T1950" s="787" t="str">
        <f t="shared" si="1213"/>
        <v>Premix Amnil46275</v>
      </c>
      <c r="U1950" s="787"/>
      <c r="V1950" s="787"/>
      <c r="W1950" s="785">
        <f>IFERROR(VLOOKUP($Q1950,'391'!$S:$AG,15,0),0)</f>
        <v>0</v>
      </c>
      <c r="X1950" s="1090">
        <f t="shared" si="1200"/>
        <v>0</v>
      </c>
      <c r="Y1950" s="787"/>
      <c r="Z1950" s="791"/>
      <c r="AA1950" s="787"/>
      <c r="AB1950" s="787"/>
      <c r="AC1950" s="679"/>
    </row>
    <row r="1951" spans="1:45" ht="28.5" hidden="1" customHeight="1" x14ac:dyDescent="0.25">
      <c r="A1951" s="2002"/>
      <c r="B1951" s="1863" t="s">
        <v>2190</v>
      </c>
      <c r="C1951" s="186"/>
      <c r="D1951" s="866" t="s">
        <v>10</v>
      </c>
      <c r="E1951" s="1134">
        <v>46275</v>
      </c>
      <c r="F1951" s="71">
        <f t="shared" ref="F1951" si="1217">$L$7-E1951</f>
        <v>11</v>
      </c>
      <c r="G1951" s="12">
        <v>0</v>
      </c>
      <c r="H1951" s="130"/>
      <c r="I1951" s="68"/>
      <c r="J1951" s="206"/>
      <c r="K1951" s="68">
        <f>IFERROR(SUMIF(INTAKE!$A:$A,$T1951,INTAKE!$P:$P),0)</f>
        <v>0</v>
      </c>
      <c r="L1951" s="1669">
        <f t="shared" si="1215"/>
        <v>0</v>
      </c>
      <c r="M1951" s="48"/>
      <c r="N1951" s="163"/>
      <c r="O1951" s="48"/>
      <c r="P1951" s="738"/>
      <c r="Q1951" s="795"/>
      <c r="R1951" s="785">
        <f>IFERROR(VLOOKUP($Q1951,'391'!$S:$Z,8,0),"")</f>
        <v>0</v>
      </c>
      <c r="T1951" s="787" t="str">
        <f t="shared" si="1213"/>
        <v>Premix Amnil46275</v>
      </c>
      <c r="U1951" s="787"/>
      <c r="V1951" s="787"/>
      <c r="W1951" s="785">
        <f>IFERROR(VLOOKUP($Q1951,'391'!$S:$AG,15,0),0)</f>
        <v>0</v>
      </c>
      <c r="X1951" s="1090">
        <f t="shared" si="1200"/>
        <v>0</v>
      </c>
      <c r="Y1951" s="787"/>
      <c r="Z1951" s="791"/>
      <c r="AA1951" s="787"/>
      <c r="AB1951" s="787"/>
      <c r="AC1951" s="679"/>
    </row>
    <row r="1952" spans="1:45" ht="28.5" hidden="1" customHeight="1" x14ac:dyDescent="0.25">
      <c r="A1952" s="2002"/>
      <c r="B1952" s="1863" t="s">
        <v>1876</v>
      </c>
      <c r="C1952" s="186"/>
      <c r="D1952" s="866" t="s">
        <v>10</v>
      </c>
      <c r="E1952" s="1134">
        <v>46227</v>
      </c>
      <c r="F1952" s="71">
        <f t="shared" ref="F1952" si="1218">$L$7-E1952</f>
        <v>59</v>
      </c>
      <c r="G1952" s="12">
        <v>0</v>
      </c>
      <c r="H1952" s="130"/>
      <c r="I1952" s="68"/>
      <c r="J1952" s="206"/>
      <c r="K1952" s="68">
        <f>IFERROR(SUMIF(INTAKE!$A:$A,$T1952,INTAKE!$P:$P),0)</f>
        <v>0</v>
      </c>
      <c r="L1952" s="1669">
        <f t="shared" si="1215"/>
        <v>0</v>
      </c>
      <c r="M1952" s="48"/>
      <c r="N1952" s="163"/>
      <c r="O1952" s="48"/>
      <c r="P1952" s="738"/>
      <c r="Q1952" s="795"/>
      <c r="R1952" s="785">
        <f>IFERROR(VLOOKUP($Q1952,'391'!$S:$Z,8,0),"")</f>
        <v>0</v>
      </c>
      <c r="T1952" s="787" t="str">
        <f t="shared" si="1213"/>
        <v>Premix Amnil46227</v>
      </c>
      <c r="U1952" s="787"/>
      <c r="V1952" s="787"/>
      <c r="W1952" s="785">
        <f>IFERROR(VLOOKUP($Q1952,'391'!$S:$AG,15,0),0)</f>
        <v>0</v>
      </c>
      <c r="X1952" s="1090">
        <f t="shared" si="1200"/>
        <v>0</v>
      </c>
      <c r="Y1952" s="787"/>
      <c r="Z1952" s="791"/>
      <c r="AA1952" s="787"/>
      <c r="AB1952" s="787"/>
      <c r="AC1952" s="679"/>
    </row>
    <row r="1953" spans="1:45" ht="28.5" hidden="1" customHeight="1" x14ac:dyDescent="0.25">
      <c r="A1953" s="2002"/>
      <c r="B1953" s="1863" t="s">
        <v>1876</v>
      </c>
      <c r="C1953" s="186"/>
      <c r="D1953" s="866" t="s">
        <v>10</v>
      </c>
      <c r="E1953" s="1134">
        <v>46227</v>
      </c>
      <c r="F1953" s="71">
        <f t="shared" ref="F1953:F1954" si="1219">$L$7-E1953</f>
        <v>59</v>
      </c>
      <c r="G1953" s="12">
        <v>0</v>
      </c>
      <c r="H1953" s="130"/>
      <c r="I1953" s="68"/>
      <c r="J1953" s="206"/>
      <c r="K1953" s="68">
        <f>IFERROR(SUMIF(INTAKE!$A:$A,$T1953,INTAKE!$P:$P),0)</f>
        <v>0</v>
      </c>
      <c r="L1953" s="1669">
        <f t="shared" si="1206"/>
        <v>0</v>
      </c>
      <c r="M1953" s="48"/>
      <c r="N1953" s="163"/>
      <c r="O1953" s="48"/>
      <c r="P1953" s="738"/>
      <c r="Q1953" s="795"/>
      <c r="R1953" s="785">
        <f>IFERROR(VLOOKUP($Q1953,'391'!$S:$Z,8,0),"")</f>
        <v>0</v>
      </c>
      <c r="T1953" s="787" t="str">
        <f t="shared" si="1213"/>
        <v>Premix Amnil46227</v>
      </c>
      <c r="U1953" s="787"/>
      <c r="V1953" s="787"/>
      <c r="W1953" s="785">
        <f>IFERROR(VLOOKUP($Q1953,'391'!$S:$AG,15,0),0)</f>
        <v>0</v>
      </c>
      <c r="X1953" s="1090">
        <f t="shared" ref="X1953:X1954" si="1220">G1953-W1953</f>
        <v>0</v>
      </c>
      <c r="Y1953" s="787"/>
      <c r="Z1953" s="791"/>
      <c r="AA1953" s="787"/>
      <c r="AB1953" s="787"/>
      <c r="AC1953" s="679"/>
    </row>
    <row r="1954" spans="1:45" s="6" customFormat="1" ht="30" customHeight="1" x14ac:dyDescent="0.25">
      <c r="A1954" s="2011"/>
      <c r="B1954" s="1026" t="s">
        <v>1954</v>
      </c>
      <c r="C1954" s="151" t="s">
        <v>46</v>
      </c>
      <c r="D1954" s="863" t="s">
        <v>10</v>
      </c>
      <c r="E1954" s="1123">
        <v>46270</v>
      </c>
      <c r="F1954" s="71">
        <f t="shared" si="1219"/>
        <v>16</v>
      </c>
      <c r="G1954" s="58">
        <v>996.56000000000063</v>
      </c>
      <c r="H1954" s="130"/>
      <c r="I1954" s="879">
        <f>+SUM(K1941:K1953)</f>
        <v>0</v>
      </c>
      <c r="J1954" s="1369">
        <f>usage!I253</f>
        <v>581.82000000000005</v>
      </c>
      <c r="K1954" s="68">
        <f>IFERROR(SUMIF(INTAKE!$A:$A,$T1954,INTAKE!$P:$P),0)</f>
        <v>0</v>
      </c>
      <c r="L1954" s="1533">
        <f t="shared" si="1206"/>
        <v>414.74000000000058</v>
      </c>
      <c r="M1954" s="24"/>
      <c r="N1954" s="920"/>
      <c r="O1954" s="24"/>
      <c r="P1954" s="740"/>
      <c r="Q1954" s="795"/>
      <c r="R1954" s="785">
        <f>IFERROR(VLOOKUP($Q1954,'391'!$S:$Z,8,0),"")</f>
        <v>0</v>
      </c>
      <c r="S1954" s="786"/>
      <c r="T1954" s="787" t="str">
        <f t="shared" si="1213"/>
        <v>Premix AmnilFeedmill46270</v>
      </c>
      <c r="U1954" s="787"/>
      <c r="V1954" s="787"/>
      <c r="W1954" s="785">
        <f>IFERROR(VLOOKUP($Q1954,'391'!$S:$AG,15,0),0)</f>
        <v>0</v>
      </c>
      <c r="X1954" s="1090">
        <f t="shared" si="1220"/>
        <v>996.56000000000063</v>
      </c>
      <c r="Y1954" s="787"/>
      <c r="Z1954" s="791"/>
      <c r="AA1954" s="787"/>
      <c r="AB1954" s="787"/>
      <c r="AC1954" s="679"/>
      <c r="AD1954" s="679"/>
      <c r="AE1954" s="679"/>
      <c r="AF1954" s="679"/>
      <c r="AG1954" s="679"/>
      <c r="AH1954" s="679"/>
      <c r="AI1954" s="682"/>
      <c r="AJ1954" s="682"/>
      <c r="AK1954" s="682"/>
      <c r="AL1954" s="682"/>
      <c r="AM1954" s="682"/>
      <c r="AN1954" s="682"/>
      <c r="AO1954" s="682"/>
      <c r="AP1954" s="682"/>
      <c r="AQ1954" s="682"/>
      <c r="AR1954" s="682"/>
      <c r="AS1954" s="682"/>
    </row>
    <row r="1955" spans="1:45" s="420" customFormat="1" ht="30" customHeight="1" x14ac:dyDescent="0.25">
      <c r="A1955" s="2003" t="s">
        <v>1675</v>
      </c>
      <c r="B1955" s="2004"/>
      <c r="C1955" s="90"/>
      <c r="D1955" s="142"/>
      <c r="E1955" s="93"/>
      <c r="F1955" s="94"/>
      <c r="G1955" s="234">
        <v>8346.5600000000013</v>
      </c>
      <c r="H1955" s="234">
        <f t="shared" ref="H1955:L1955" si="1221">SUM(H1941:H1954)</f>
        <v>0</v>
      </c>
      <c r="I1955" s="234">
        <f t="shared" si="1221"/>
        <v>0</v>
      </c>
      <c r="J1955" s="234">
        <f t="shared" si="1221"/>
        <v>581.82000000000005</v>
      </c>
      <c r="K1955" s="234">
        <f t="shared" si="1221"/>
        <v>0</v>
      </c>
      <c r="L1955" s="234">
        <f t="shared" si="1221"/>
        <v>7764.7400000000007</v>
      </c>
      <c r="M1955" s="889">
        <f>IFERROR(R1955/$S$2,"")</f>
        <v>634.82333333333338</v>
      </c>
      <c r="N1955" s="1862">
        <f>IFERROR(L1955/M1955,0)</f>
        <v>12.231339952847774</v>
      </c>
      <c r="O1955" s="889">
        <f>IFERROR(SUMIF(ETM!$A:$A,$Q1955,ETM!$E:$E),"")</f>
        <v>643.83333333333337</v>
      </c>
      <c r="P1955" s="855">
        <f>IFERROR(L1955/O1955,0)</f>
        <v>12.060170851669687</v>
      </c>
      <c r="Q1955" s="784" t="s">
        <v>1674</v>
      </c>
      <c r="R1955" s="785">
        <f>IFERROR(VLOOKUP($Q1955,'391'!$S:$Z,8,0),"")</f>
        <v>3808.94</v>
      </c>
      <c r="S1955" s="786"/>
      <c r="T1955" s="787"/>
      <c r="U1955" s="787"/>
      <c r="V1955" s="787"/>
      <c r="W1955" s="785">
        <f>IFERROR(VLOOKUP($Q1955,'391'!$S:$AG,15,0),0)</f>
        <v>8346.56</v>
      </c>
      <c r="X1955" s="1090">
        <f>+G1955-W1955</f>
        <v>0</v>
      </c>
      <c r="Y1955" s="787"/>
      <c r="Z1955" s="791"/>
      <c r="AA1955" s="787"/>
      <c r="AB1955" s="787"/>
      <c r="AC1955" s="550"/>
      <c r="AD1955" s="550"/>
      <c r="AE1955" s="550"/>
      <c r="AF1955" s="550"/>
      <c r="AG1955" s="550"/>
      <c r="AH1955" s="550"/>
      <c r="AI1955" s="559"/>
      <c r="AJ1955" s="559"/>
      <c r="AK1955" s="559"/>
      <c r="AL1955" s="559"/>
      <c r="AM1955" s="559"/>
      <c r="AN1955" s="559"/>
      <c r="AO1955" s="559"/>
      <c r="AP1955" s="559"/>
      <c r="AQ1955" s="559"/>
      <c r="AR1955" s="559"/>
      <c r="AS1955" s="559"/>
    </row>
    <row r="1956" spans="1:45" ht="39.950000000000003" customHeight="1" x14ac:dyDescent="0.25">
      <c r="A1956" s="2183" t="s">
        <v>1473</v>
      </c>
      <c r="B1956" s="2184"/>
      <c r="C1956" s="2184"/>
      <c r="D1956" s="2184"/>
      <c r="E1956" s="2184"/>
      <c r="F1956" s="2185"/>
      <c r="G1956" s="1421">
        <f>SUM(G1607,G1610,G1613,G1625,G1840,G1868,G1628,G1647,G1804,G1701,G1713,G1734,G1766,G1787,G1823,G1912,G1918,G1932,G1936,G1900,G1794,G1666,G1636,G1643,G1658,G1691,G1655,G1674,G1876,)+G1773+G1750+G1860+G1682+G1814+G1832+G1780+G1760+G1722+G1741+G1955+G1845+G1882+G1851+G1906+G1909+G1940</f>
        <v>68314.840000000011</v>
      </c>
      <c r="H1956" s="1421">
        <f t="shared" ref="H1956:L1956" si="1222">SUM(H1607,H1610,H1613,H1625,H1840,H1868,H1628,H1647,H1804,H1701,H1713,H1734,H1766,H1787,H1823,H1912,H1918,H1932,H1936,H1900,H1794,H1666,H1636,H1643,H1658,H1691,H1655,H1674,H1876,)+H1773+H1750+H1860+H1682+H1814+H1832+H1780+H1760+H1722+H1741+H1955+H1845+H1882+H1851+H1906+H1909+H1940</f>
        <v>0</v>
      </c>
      <c r="I1956" s="1421">
        <f t="shared" si="1222"/>
        <v>5080</v>
      </c>
      <c r="J1956" s="1421">
        <f t="shared" si="1222"/>
        <v>4036.54</v>
      </c>
      <c r="K1956" s="1421">
        <f t="shared" si="1222"/>
        <v>5080</v>
      </c>
      <c r="L1956" s="1421">
        <f t="shared" si="1222"/>
        <v>64278.299999999988</v>
      </c>
      <c r="M1956" s="2040"/>
      <c r="N1956" s="2041"/>
      <c r="O1956" s="2041"/>
      <c r="P1956" s="2042"/>
      <c r="R1956" s="822">
        <f>+SUM(R1600:R1955)</f>
        <v>22462.719999999998</v>
      </c>
      <c r="U1956" s="787"/>
      <c r="V1956" s="787"/>
      <c r="W1956" s="787"/>
      <c r="X1956" s="787"/>
      <c r="Y1956" s="787"/>
      <c r="Z1956" s="1207"/>
      <c r="AA1956" s="787"/>
      <c r="AB1956" s="787"/>
      <c r="AC1956" s="679"/>
    </row>
    <row r="1957" spans="1:45" ht="39.950000000000003" customHeight="1" x14ac:dyDescent="0.25">
      <c r="A1957" s="2183" t="s">
        <v>1474</v>
      </c>
      <c r="B1957" s="2184"/>
      <c r="C1957" s="2184"/>
      <c r="D1957" s="2184"/>
      <c r="E1957" s="2184"/>
      <c r="F1957" s="2185"/>
      <c r="G1957" s="1421">
        <f t="shared" ref="G1957:L1957" si="1223">G1599+G1956</f>
        <v>1356154.8699999999</v>
      </c>
      <c r="H1957" s="1421">
        <f t="shared" si="1223"/>
        <v>15000</v>
      </c>
      <c r="I1957" s="1421">
        <f t="shared" si="1223"/>
        <v>24755</v>
      </c>
      <c r="J1957" s="1421">
        <f t="shared" si="1223"/>
        <v>42207.040000000001</v>
      </c>
      <c r="K1957" s="1421">
        <f t="shared" si="1223"/>
        <v>24755</v>
      </c>
      <c r="L1957" s="1421">
        <f t="shared" si="1223"/>
        <v>1328947.83</v>
      </c>
      <c r="M1957" s="2037" t="s">
        <v>35</v>
      </c>
      <c r="N1957" s="2038"/>
      <c r="O1957" s="2038"/>
      <c r="P1957" s="2039"/>
      <c r="U1957" s="787"/>
      <c r="V1957" s="787"/>
      <c r="W1957" s="787"/>
      <c r="X1957" s="787"/>
      <c r="Y1957" s="787"/>
      <c r="Z1957" s="791"/>
      <c r="AA1957" s="787"/>
      <c r="AB1957" s="787"/>
      <c r="AC1957" s="679"/>
    </row>
    <row r="1958" spans="1:45" ht="39.950000000000003" customHeight="1" x14ac:dyDescent="0.25">
      <c r="A1958" s="2183" t="s">
        <v>1475</v>
      </c>
      <c r="B1958" s="2184"/>
      <c r="C1958" s="2184"/>
      <c r="D1958" s="2184"/>
      <c r="E1958" s="2184"/>
      <c r="F1958" s="2185"/>
      <c r="G1958" s="1421">
        <f t="shared" ref="G1958:L1958" si="1224">G612+G1957</f>
        <v>33438174.870000001</v>
      </c>
      <c r="H1958" s="1421">
        <f t="shared" si="1224"/>
        <v>545070</v>
      </c>
      <c r="I1958" s="1421">
        <f t="shared" si="1224"/>
        <v>3130344.55</v>
      </c>
      <c r="J1958" s="1421">
        <f t="shared" si="1224"/>
        <v>2014191.44</v>
      </c>
      <c r="K1958" s="1421">
        <f t="shared" si="1224"/>
        <v>2905444.55</v>
      </c>
      <c r="L1958" s="1421">
        <f t="shared" si="1224"/>
        <v>32193953.43</v>
      </c>
      <c r="M1958" s="2037"/>
      <c r="N1958" s="2038"/>
      <c r="O1958" s="2038"/>
      <c r="P1958" s="2039"/>
      <c r="U1958" s="787"/>
      <c r="V1958" s="787"/>
      <c r="W1958" s="787"/>
      <c r="X1958" s="787"/>
      <c r="Y1958" s="787"/>
      <c r="Z1958" s="1207">
        <f>SUMIF('391'!O:O,"GRAND TOTAL",'391'!AC:AC)</f>
        <v>33432541.829999998</v>
      </c>
      <c r="AA1958" s="1208">
        <f>+Z1958-G1958</f>
        <v>-5633.0400000028312</v>
      </c>
      <c r="AB1958" s="787"/>
      <c r="AC1958" s="679"/>
    </row>
    <row r="1959" spans="1:45" s="423" customFormat="1" ht="12" customHeight="1" x14ac:dyDescent="0.25">
      <c r="A1959" s="57"/>
      <c r="B1959" s="2"/>
      <c r="C1959" s="13"/>
      <c r="D1959" s="16"/>
      <c r="E1959" s="15"/>
      <c r="F1959" s="141"/>
      <c r="I1959"/>
      <c r="J1959" s="213"/>
      <c r="K1959" s="205"/>
      <c r="L1959" s="202"/>
      <c r="M1959" s="263"/>
      <c r="N1959" s="569"/>
      <c r="O1959" s="263"/>
      <c r="P1959" s="723"/>
      <c r="Q1959" s="784"/>
      <c r="R1959" s="785"/>
      <c r="S1959" s="786"/>
      <c r="T1959" s="787"/>
      <c r="U1959" s="787"/>
      <c r="V1959" s="787"/>
      <c r="W1959" s="787"/>
      <c r="X1959" s="787"/>
      <c r="Y1959" s="787"/>
      <c r="Z1959" s="791"/>
      <c r="AA1959" s="787"/>
      <c r="AB1959" s="787"/>
      <c r="AC1959" s="688"/>
      <c r="AD1959" s="688"/>
      <c r="AE1959" s="688"/>
      <c r="AF1959" s="688"/>
      <c r="AG1959" s="688"/>
      <c r="AH1959" s="688"/>
      <c r="AI1959" s="710"/>
      <c r="AJ1959" s="710"/>
      <c r="AK1959" s="710"/>
      <c r="AL1959" s="710"/>
      <c r="AM1959" s="710"/>
      <c r="AN1959" s="710"/>
      <c r="AO1959" s="710"/>
      <c r="AP1959" s="710"/>
      <c r="AQ1959" s="710"/>
      <c r="AR1959" s="710"/>
      <c r="AS1959" s="710"/>
    </row>
    <row r="1960" spans="1:45" s="3" customFormat="1" ht="22.5" customHeight="1" x14ac:dyDescent="0.25">
      <c r="A1960" s="57"/>
      <c r="B1960" s="5"/>
      <c r="C1960" s="89"/>
      <c r="D1960" s="16"/>
      <c r="E1960" s="15"/>
      <c r="G1960" s="1993"/>
      <c r="H1960" s="717"/>
      <c r="I1960" s="544"/>
      <c r="J1960" s="503"/>
      <c r="K1960" s="503"/>
      <c r="L1960" s="1245">
        <f>+G1958+H1958+I1958-J1958-K1958-L1958</f>
        <v>0</v>
      </c>
      <c r="M1960" s="1455">
        <f>+J1958-usage!I256</f>
        <v>0</v>
      </c>
      <c r="N1960" s="569"/>
      <c r="O1960" s="385"/>
      <c r="P1960" s="723"/>
      <c r="Q1960" s="784"/>
      <c r="R1960" s="785"/>
      <c r="S1960" s="786"/>
      <c r="T1960" s="787"/>
      <c r="U1960" s="787"/>
      <c r="V1960" s="787"/>
      <c r="W1960" s="787"/>
      <c r="X1960" s="787"/>
      <c r="Y1960" s="787"/>
      <c r="Z1960" s="791"/>
      <c r="AA1960" s="787"/>
      <c r="AB1960" s="787"/>
      <c r="AC1960" s="689"/>
      <c r="AD1960" s="689"/>
      <c r="AE1960" s="689"/>
      <c r="AF1960" s="689"/>
      <c r="AG1960" s="689"/>
      <c r="AH1960" s="689"/>
      <c r="AI1960" s="711"/>
      <c r="AJ1960" s="711"/>
      <c r="AK1960" s="711"/>
      <c r="AL1960" s="711"/>
      <c r="AM1960" s="711"/>
      <c r="AN1960" s="711"/>
      <c r="AO1960" s="711"/>
      <c r="AP1960" s="711"/>
      <c r="AQ1960" s="711"/>
      <c r="AR1960" s="711"/>
      <c r="AS1960" s="711"/>
    </row>
    <row r="1961" spans="1:45" s="3" customFormat="1" ht="22.5" customHeight="1" x14ac:dyDescent="0.25">
      <c r="A1961" s="2181" t="s">
        <v>332</v>
      </c>
      <c r="B1961" s="2181"/>
      <c r="C1961" s="13"/>
      <c r="D1961" s="16"/>
      <c r="E1961" s="15"/>
      <c r="F1961" s="141"/>
      <c r="G1961" s="556"/>
      <c r="H1961" s="717"/>
      <c r="I1961" s="216"/>
      <c r="J1961" s="665"/>
      <c r="K1961" s="1226"/>
      <c r="L1961" s="214"/>
      <c r="M1961" s="382"/>
      <c r="N1961" s="569"/>
      <c r="O1961" s="382"/>
      <c r="P1961" s="1475"/>
      <c r="Q1961" s="784"/>
      <c r="R1961" s="785"/>
      <c r="S1961" s="786"/>
      <c r="T1961" s="787"/>
      <c r="U1961" s="787"/>
      <c r="V1961" s="787"/>
      <c r="W1961" s="787"/>
      <c r="X1961" s="787"/>
      <c r="Y1961" s="787"/>
      <c r="Z1961" s="791"/>
      <c r="AA1961" s="1247"/>
      <c r="AB1961" s="787"/>
      <c r="AC1961" s="689"/>
      <c r="AD1961" s="689"/>
      <c r="AE1961" s="689"/>
      <c r="AF1961" s="689"/>
      <c r="AG1961" s="689"/>
      <c r="AH1961" s="689"/>
      <c r="AI1961" s="711"/>
      <c r="AJ1961" s="711"/>
      <c r="AK1961" s="711"/>
      <c r="AL1961" s="711"/>
      <c r="AM1961" s="711"/>
      <c r="AN1961" s="711"/>
      <c r="AO1961" s="711"/>
      <c r="AP1961" s="711"/>
      <c r="AQ1961" s="711"/>
      <c r="AR1961" s="711"/>
      <c r="AS1961" s="711"/>
    </row>
    <row r="1962" spans="1:45" s="3" customFormat="1" ht="24.75" customHeight="1" x14ac:dyDescent="0.25">
      <c r="A1962" s="2181" t="s">
        <v>1471</v>
      </c>
      <c r="B1962" s="2181"/>
      <c r="C1962" s="13"/>
      <c r="D1962" s="16"/>
      <c r="E1962" s="15"/>
      <c r="F1962" s="141"/>
      <c r="G1962" s="556"/>
      <c r="H1962" s="1985"/>
      <c r="I1962" s="503">
        <f>+I1960-I1961</f>
        <v>0</v>
      </c>
      <c r="J1962" s="665"/>
      <c r="K1962" s="665"/>
      <c r="L1962" s="214"/>
      <c r="M1962" s="535"/>
      <c r="N1962" s="569"/>
      <c r="O1962" s="382"/>
      <c r="P1962" s="723"/>
      <c r="Q1962" s="784"/>
      <c r="R1962" s="785"/>
      <c r="S1962" s="786"/>
      <c r="T1962" s="787"/>
      <c r="U1962" s="787"/>
      <c r="V1962" s="787"/>
      <c r="W1962" s="787"/>
      <c r="X1962" s="787"/>
      <c r="Y1962" s="787"/>
      <c r="Z1962" s="791"/>
      <c r="AA1962" s="787"/>
      <c r="AB1962" s="787"/>
      <c r="AC1962" s="689"/>
      <c r="AD1962" s="689"/>
      <c r="AE1962" s="689"/>
      <c r="AF1962" s="689"/>
      <c r="AG1962" s="689"/>
      <c r="AH1962" s="689"/>
      <c r="AI1962" s="711"/>
      <c r="AJ1962" s="711"/>
      <c r="AK1962" s="711"/>
      <c r="AL1962" s="711"/>
      <c r="AM1962" s="711"/>
      <c r="AN1962" s="711"/>
      <c r="AO1962" s="711"/>
      <c r="AP1962" s="711"/>
      <c r="AQ1962" s="711"/>
      <c r="AR1962" s="711"/>
      <c r="AS1962" s="711"/>
    </row>
    <row r="1963" spans="1:45" s="3" customFormat="1" x14ac:dyDescent="0.25">
      <c r="A1963" s="2181" t="s">
        <v>1472</v>
      </c>
      <c r="B1963" s="2181"/>
      <c r="C1963" s="13"/>
      <c r="D1963" s="16"/>
      <c r="E1963" s="15"/>
      <c r="F1963" s="141"/>
      <c r="G1963" s="503"/>
      <c r="H1963" s="503"/>
      <c r="I1963" s="665"/>
      <c r="J1963" s="665"/>
      <c r="K1963" s="665"/>
      <c r="L1963" s="214"/>
      <c r="M1963" s="536"/>
      <c r="N1963" s="569"/>
      <c r="O1963" s="382"/>
      <c r="P1963" s="723"/>
      <c r="Q1963" s="784"/>
      <c r="R1963" s="785"/>
      <c r="S1963" s="786"/>
      <c r="T1963" s="787"/>
      <c r="U1963" s="787"/>
      <c r="V1963" s="787"/>
      <c r="W1963" s="787"/>
      <c r="X1963" s="787"/>
      <c r="Y1963" s="787"/>
      <c r="Z1963" s="791"/>
      <c r="AA1963" s="787"/>
      <c r="AB1963" s="787"/>
      <c r="AC1963" s="689"/>
      <c r="AD1963" s="689"/>
      <c r="AE1963" s="689"/>
      <c r="AF1963" s="689"/>
      <c r="AG1963" s="689"/>
      <c r="AH1963" s="689"/>
      <c r="AI1963" s="711"/>
      <c r="AJ1963" s="711"/>
      <c r="AK1963" s="711"/>
      <c r="AL1963" s="711"/>
      <c r="AM1963" s="711"/>
      <c r="AN1963" s="711"/>
      <c r="AO1963" s="711"/>
      <c r="AP1963" s="711"/>
      <c r="AQ1963" s="711"/>
      <c r="AR1963" s="711"/>
      <c r="AS1963" s="711"/>
    </row>
    <row r="1964" spans="1:45" s="3" customFormat="1" x14ac:dyDescent="0.25">
      <c r="A1964" s="2181"/>
      <c r="B1964" s="2181"/>
      <c r="C1964" s="13"/>
      <c r="D1964" s="16"/>
      <c r="E1964" s="503"/>
      <c r="F1964" s="141"/>
      <c r="G1964" s="96"/>
      <c r="H1964" s="503"/>
      <c r="I1964" s="665">
        <f>+H1960+I1961</f>
        <v>0</v>
      </c>
      <c r="J1964" s="1494"/>
      <c r="K1964" s="665"/>
      <c r="L1964" s="214"/>
      <c r="M1964" s="536"/>
      <c r="N1964" s="569"/>
      <c r="O1964" s="382"/>
      <c r="P1964" s="723"/>
      <c r="Q1964" s="784"/>
      <c r="R1964" s="785"/>
      <c r="S1964" s="786"/>
      <c r="T1964" s="787"/>
      <c r="U1964" s="787"/>
      <c r="V1964" s="787"/>
      <c r="W1964" s="787"/>
      <c r="X1964" s="787"/>
      <c r="Y1964" s="787"/>
      <c r="Z1964" s="791"/>
      <c r="AA1964" s="787"/>
      <c r="AB1964" s="787"/>
      <c r="AC1964" s="689"/>
      <c r="AD1964" s="689"/>
      <c r="AE1964" s="689"/>
      <c r="AF1964" s="689"/>
      <c r="AG1964" s="689"/>
      <c r="AH1964" s="689"/>
      <c r="AI1964" s="711"/>
      <c r="AJ1964" s="711"/>
      <c r="AK1964" s="711"/>
      <c r="AL1964" s="711"/>
      <c r="AM1964" s="711"/>
      <c r="AN1964" s="711"/>
      <c r="AO1964" s="711"/>
      <c r="AP1964" s="711"/>
      <c r="AQ1964" s="711"/>
      <c r="AR1964" s="711"/>
      <c r="AS1964" s="711"/>
    </row>
    <row r="1965" spans="1:45" s="3" customFormat="1" ht="30" customHeight="1" x14ac:dyDescent="0.25">
      <c r="A1965" s="2181"/>
      <c r="B1965" s="2181"/>
      <c r="C1965" s="13"/>
      <c r="D1965" s="16"/>
      <c r="E1965" s="15"/>
      <c r="F1965" s="141"/>
      <c r="G1965" s="214"/>
      <c r="H1965" s="503"/>
      <c r="I1965" s="503"/>
      <c r="J1965" s="503"/>
      <c r="K1965" s="665"/>
      <c r="L1965" s="1839"/>
      <c r="M1965" s="536"/>
      <c r="N1965" s="569"/>
      <c r="O1965" s="382"/>
      <c r="P1965" s="723"/>
      <c r="Q1965" s="784"/>
      <c r="R1965" s="785"/>
      <c r="S1965" s="786"/>
      <c r="T1965" s="787"/>
      <c r="U1965" s="787"/>
      <c r="V1965" s="787"/>
      <c r="W1965" s="787"/>
      <c r="X1965" s="787"/>
      <c r="Y1965" s="787"/>
      <c r="Z1965" s="791"/>
      <c r="AA1965" s="787"/>
      <c r="AB1965" s="787"/>
      <c r="AC1965" s="689"/>
      <c r="AD1965" s="689"/>
      <c r="AE1965" s="689"/>
      <c r="AF1965" s="689"/>
      <c r="AG1965" s="689"/>
      <c r="AH1965" s="689"/>
      <c r="AI1965" s="711"/>
      <c r="AJ1965" s="711"/>
      <c r="AK1965" s="711"/>
      <c r="AL1965" s="711"/>
      <c r="AM1965" s="711"/>
      <c r="AN1965" s="711"/>
      <c r="AO1965" s="711"/>
      <c r="AP1965" s="711"/>
      <c r="AQ1965" s="711"/>
      <c r="AR1965" s="711"/>
      <c r="AS1965" s="711"/>
    </row>
    <row r="1966" spans="1:45" s="3" customFormat="1" ht="30" customHeight="1" x14ac:dyDescent="0.25">
      <c r="A1966" s="2181"/>
      <c r="B1966" s="2181"/>
      <c r="C1966" s="13"/>
      <c r="D1966" s="16"/>
      <c r="E1966" s="15"/>
      <c r="F1966" s="141"/>
      <c r="G1966" s="214"/>
      <c r="H1966" s="245"/>
      <c r="I1966" s="1142"/>
      <c r="J1966" s="244"/>
      <c r="K1966" s="1905"/>
      <c r="L1966" s="1905"/>
      <c r="M1966" s="535"/>
      <c r="N1966" s="569"/>
      <c r="O1966" s="382"/>
      <c r="P1966" s="723"/>
      <c r="Q1966" s="784"/>
      <c r="R1966" s="785"/>
      <c r="S1966" s="786"/>
      <c r="T1966" s="787"/>
      <c r="U1966" s="787"/>
      <c r="V1966" s="787"/>
      <c r="W1966" s="787"/>
      <c r="X1966" s="787"/>
      <c r="Y1966" s="787"/>
      <c r="Z1966" s="791"/>
      <c r="AA1966" s="787"/>
      <c r="AB1966" s="787"/>
      <c r="AC1966" s="689"/>
      <c r="AD1966" s="689"/>
      <c r="AE1966" s="689"/>
      <c r="AF1966" s="689"/>
      <c r="AG1966" s="689"/>
      <c r="AH1966" s="689"/>
      <c r="AI1966" s="711"/>
      <c r="AJ1966" s="711"/>
      <c r="AK1966" s="711"/>
      <c r="AL1966" s="711"/>
      <c r="AM1966" s="711"/>
      <c r="AN1966" s="711"/>
      <c r="AO1966" s="711"/>
      <c r="AP1966" s="711"/>
      <c r="AQ1966" s="711"/>
      <c r="AR1966" s="711"/>
      <c r="AS1966" s="711"/>
    </row>
    <row r="1967" spans="1:45" ht="30" customHeight="1" x14ac:dyDescent="0.25">
      <c r="B1967" s="3"/>
      <c r="G1967" s="214"/>
      <c r="I1967" s="1142"/>
      <c r="J1967" s="1786"/>
      <c r="K1967" s="1906"/>
      <c r="L1967" s="214"/>
      <c r="M1967" s="535"/>
      <c r="O1967" s="382"/>
      <c r="U1967" s="787"/>
      <c r="V1967" s="787"/>
      <c r="W1967" s="787"/>
      <c r="X1967" s="787"/>
      <c r="Y1967" s="787"/>
      <c r="Z1967" s="791"/>
      <c r="AA1967" s="787"/>
      <c r="AB1967" s="787"/>
      <c r="AC1967" s="679"/>
    </row>
    <row r="1968" spans="1:45" ht="30" customHeight="1" x14ac:dyDescent="0.25">
      <c r="E1968" s="15" t="s">
        <v>353</v>
      </c>
      <c r="G1968" s="328"/>
      <c r="J1968" s="1786"/>
      <c r="K1968" s="1902"/>
      <c r="U1968" s="787"/>
      <c r="V1968" s="787"/>
      <c r="W1968" s="787"/>
      <c r="X1968" s="787"/>
      <c r="Y1968" s="787"/>
      <c r="Z1968" s="791"/>
      <c r="AA1968" s="787"/>
      <c r="AB1968" s="787"/>
      <c r="AC1968" s="679"/>
    </row>
    <row r="1969" spans="1:29" ht="30" customHeight="1" x14ac:dyDescent="0.25">
      <c r="J1969" s="244"/>
      <c r="U1969" s="787"/>
      <c r="V1969" s="787"/>
      <c r="W1969" s="787"/>
      <c r="X1969" s="787"/>
      <c r="Y1969" s="787"/>
      <c r="Z1969" s="791"/>
      <c r="AA1969" s="787"/>
      <c r="AB1969" s="787"/>
      <c r="AC1969" s="679"/>
    </row>
    <row r="1970" spans="1:29" ht="30" customHeight="1" x14ac:dyDescent="0.25">
      <c r="J1970" s="244"/>
      <c r="U1970" s="787"/>
      <c r="V1970" s="787"/>
      <c r="W1970" s="787"/>
      <c r="X1970" s="787"/>
      <c r="Y1970" s="787"/>
      <c r="Z1970" s="791"/>
      <c r="AA1970" s="787"/>
      <c r="AB1970" s="787"/>
      <c r="AC1970" s="679"/>
    </row>
    <row r="1971" spans="1:29" x14ac:dyDescent="0.25">
      <c r="J1971" s="244"/>
      <c r="U1971" s="787"/>
      <c r="V1971" s="787"/>
      <c r="W1971" s="787"/>
      <c r="X1971" s="787"/>
      <c r="Y1971" s="787"/>
      <c r="Z1971" s="791"/>
      <c r="AA1971" s="787"/>
      <c r="AB1971" s="787"/>
      <c r="AC1971" s="679"/>
    </row>
    <row r="1972" spans="1:29" x14ac:dyDescent="0.25">
      <c r="J1972" s="244"/>
      <c r="K1972" s="220"/>
      <c r="U1972" s="787"/>
      <c r="V1972" s="787"/>
      <c r="W1972" s="787"/>
      <c r="X1972" s="787"/>
      <c r="Y1972" s="787"/>
      <c r="Z1972" s="791"/>
      <c r="AA1972" s="787"/>
      <c r="AB1972" s="787"/>
      <c r="AC1972" s="679"/>
    </row>
    <row r="1973" spans="1:29" x14ac:dyDescent="0.25">
      <c r="J1973" s="244"/>
      <c r="K1973" s="1902"/>
      <c r="U1973" s="787"/>
      <c r="V1973" s="787"/>
      <c r="W1973" s="787"/>
      <c r="X1973" s="787"/>
      <c r="Y1973" s="787"/>
      <c r="Z1973" s="791"/>
      <c r="AA1973" s="787"/>
      <c r="AB1973" s="787"/>
      <c r="AC1973" s="679"/>
    </row>
    <row r="1974" spans="1:29" ht="15.75" x14ac:dyDescent="0.25">
      <c r="A1974" s="2"/>
      <c r="C1974" s="2"/>
      <c r="D1974" s="2"/>
      <c r="E1974" s="2"/>
      <c r="F1974" s="2"/>
      <c r="G1974" s="2"/>
      <c r="H1974" s="2"/>
      <c r="J1974" s="244"/>
      <c r="K1974" s="203"/>
      <c r="L1974" s="2"/>
      <c r="M1974" s="322"/>
      <c r="N1974" s="13"/>
      <c r="O1974" s="322"/>
      <c r="P1974" s="1475"/>
      <c r="U1974" s="787"/>
      <c r="V1974" s="787"/>
      <c r="W1974" s="787"/>
      <c r="X1974" s="787"/>
      <c r="Y1974" s="787"/>
      <c r="Z1974" s="791"/>
      <c r="AA1974" s="787"/>
      <c r="AB1974" s="787"/>
      <c r="AC1974" s="679"/>
    </row>
    <row r="1975" spans="1:29" x14ac:dyDescent="0.25">
      <c r="I1975" s="202"/>
      <c r="J1975" s="569"/>
      <c r="U1975" s="787"/>
      <c r="V1975" s="787"/>
      <c r="W1975" s="787"/>
      <c r="X1975" s="787"/>
      <c r="Y1975" s="787"/>
      <c r="Z1975" s="791"/>
      <c r="AA1975" s="787"/>
      <c r="AB1975" s="787"/>
      <c r="AC1975" s="679"/>
    </row>
    <row r="1976" spans="1:29" x14ac:dyDescent="0.25">
      <c r="J1976" s="569"/>
      <c r="U1976" s="787"/>
      <c r="V1976" s="787"/>
      <c r="W1976" s="787"/>
      <c r="X1976" s="787"/>
      <c r="Y1976" s="787"/>
      <c r="Z1976" s="791"/>
      <c r="AA1976" s="787"/>
      <c r="AB1976" s="787"/>
      <c r="AC1976" s="679"/>
    </row>
    <row r="1977" spans="1:29" x14ac:dyDescent="0.25">
      <c r="J1977" s="569"/>
      <c r="U1977" s="787"/>
      <c r="V1977" s="787"/>
      <c r="W1977" s="787"/>
      <c r="X1977" s="787"/>
      <c r="Y1977" s="787"/>
      <c r="Z1977" s="791"/>
      <c r="AA1977" s="787"/>
      <c r="AB1977" s="787"/>
      <c r="AC1977" s="679"/>
    </row>
    <row r="1978" spans="1:29" x14ac:dyDescent="0.25">
      <c r="J1978" s="569"/>
      <c r="U1978" s="787"/>
      <c r="V1978" s="787"/>
      <c r="W1978" s="787"/>
      <c r="X1978" s="787"/>
      <c r="Y1978" s="787"/>
      <c r="Z1978" s="791"/>
      <c r="AA1978" s="787"/>
      <c r="AB1978" s="787"/>
      <c r="AC1978" s="679"/>
    </row>
    <row r="1979" spans="1:29" x14ac:dyDescent="0.25">
      <c r="J1979" s="569"/>
      <c r="U1979" s="787"/>
      <c r="V1979" s="787"/>
      <c r="W1979" s="787"/>
      <c r="X1979" s="787"/>
      <c r="Y1979" s="787"/>
      <c r="Z1979" s="791"/>
      <c r="AA1979" s="787"/>
      <c r="AB1979" s="787"/>
      <c r="AC1979" s="679"/>
    </row>
    <row r="1980" spans="1:29" x14ac:dyDescent="0.25">
      <c r="J1980" s="569"/>
      <c r="U1980" s="787"/>
      <c r="V1980" s="787"/>
      <c r="W1980" s="787"/>
      <c r="X1980" s="787"/>
      <c r="Y1980" s="787"/>
      <c r="Z1980" s="791"/>
      <c r="AA1980" s="787"/>
      <c r="AB1980" s="787"/>
      <c r="AC1980" s="679"/>
    </row>
    <row r="1981" spans="1:29" x14ac:dyDescent="0.25">
      <c r="J1981" s="569"/>
      <c r="U1981" s="787"/>
      <c r="V1981" s="787"/>
      <c r="W1981" s="787"/>
      <c r="X1981" s="787"/>
      <c r="Y1981" s="787"/>
      <c r="Z1981" s="791"/>
      <c r="AA1981" s="787"/>
      <c r="AB1981" s="787"/>
      <c r="AC1981" s="679"/>
    </row>
    <row r="1982" spans="1:29" ht="16.5" x14ac:dyDescent="0.25">
      <c r="A1982" s="2"/>
      <c r="C1982" s="2"/>
      <c r="D1982" s="2"/>
      <c r="E1982" s="2"/>
      <c r="F1982" s="2"/>
      <c r="G1982" s="2"/>
      <c r="H1982" s="2"/>
      <c r="J1982" s="503"/>
      <c r="K1982" s="2"/>
      <c r="L1982" s="2"/>
      <c r="M1982" s="4"/>
      <c r="N1982" s="13"/>
      <c r="O1982" s="4"/>
      <c r="P1982" s="1475"/>
      <c r="U1982" s="787"/>
      <c r="V1982" s="787"/>
      <c r="W1982" s="787"/>
      <c r="X1982" s="787"/>
      <c r="Y1982" s="787"/>
      <c r="Z1982" s="791"/>
      <c r="AA1982" s="787"/>
      <c r="AB1982" s="787"/>
      <c r="AC1982" s="679"/>
    </row>
    <row r="1983" spans="1:29" ht="16.5" x14ac:dyDescent="0.25">
      <c r="A1983" s="2"/>
      <c r="C1983" s="2"/>
      <c r="D1983" s="2"/>
      <c r="E1983" s="2"/>
      <c r="F1983" s="2"/>
      <c r="G1983" s="2"/>
      <c r="H1983" s="2"/>
      <c r="I1983" s="2"/>
      <c r="J1983" s="503"/>
      <c r="K1983" s="2"/>
      <c r="L1983" s="2"/>
      <c r="M1983" s="4"/>
      <c r="N1983" s="13"/>
      <c r="O1983" s="4"/>
      <c r="P1983" s="1475"/>
      <c r="U1983" s="787"/>
      <c r="V1983" s="787"/>
      <c r="W1983" s="787"/>
      <c r="X1983" s="787"/>
      <c r="Y1983" s="787"/>
      <c r="Z1983" s="791"/>
      <c r="AA1983" s="787"/>
      <c r="AB1983" s="787"/>
      <c r="AC1983" s="679"/>
    </row>
    <row r="1984" spans="1:29" ht="16.5" x14ac:dyDescent="0.25">
      <c r="A1984" s="2"/>
      <c r="C1984" s="2"/>
      <c r="D1984" s="2"/>
      <c r="E1984" s="2"/>
      <c r="F1984" s="2"/>
      <c r="G1984" s="2"/>
      <c r="H1984" s="2"/>
      <c r="I1984" s="2"/>
      <c r="J1984" s="503"/>
      <c r="K1984" s="2"/>
      <c r="L1984" s="2"/>
      <c r="M1984" s="4"/>
      <c r="N1984" s="13"/>
      <c r="O1984" s="4"/>
      <c r="P1984" s="1475"/>
      <c r="U1984" s="787"/>
      <c r="V1984" s="787"/>
      <c r="W1984" s="787"/>
      <c r="X1984" s="787"/>
      <c r="Y1984" s="787"/>
      <c r="Z1984" s="791"/>
      <c r="AA1984" s="787"/>
      <c r="AB1984" s="787"/>
      <c r="AC1984" s="679"/>
    </row>
    <row r="1985" spans="1:29" ht="16.5" x14ac:dyDescent="0.25">
      <c r="A1985" s="2"/>
      <c r="C1985" s="2"/>
      <c r="D1985" s="2"/>
      <c r="E1985" s="2"/>
      <c r="F1985" s="2"/>
      <c r="G1985" s="2"/>
      <c r="H1985" s="2"/>
      <c r="I1985" s="2"/>
      <c r="J1985" s="503"/>
      <c r="K1985" s="2"/>
      <c r="L1985" s="2"/>
      <c r="M1985" s="4"/>
      <c r="N1985" s="13"/>
      <c r="O1985" s="4"/>
      <c r="P1985" s="1475"/>
      <c r="U1985" s="787"/>
      <c r="V1985" s="787"/>
      <c r="W1985" s="787"/>
      <c r="X1985" s="787"/>
      <c r="Y1985" s="787"/>
      <c r="Z1985" s="791"/>
      <c r="AA1985" s="787"/>
      <c r="AB1985" s="787"/>
      <c r="AC1985" s="679"/>
    </row>
    <row r="1986" spans="1:29" ht="16.5" x14ac:dyDescent="0.25">
      <c r="A1986" s="2"/>
      <c r="C1986" s="2"/>
      <c r="D1986" s="2"/>
      <c r="E1986" s="2"/>
      <c r="F1986" s="2"/>
      <c r="G1986" s="2"/>
      <c r="H1986" s="2"/>
      <c r="I1986" s="2"/>
      <c r="J1986" s="503"/>
      <c r="K1986" s="2"/>
      <c r="L1986" s="2"/>
      <c r="M1986" s="4"/>
      <c r="N1986" s="13"/>
      <c r="O1986" s="4"/>
      <c r="P1986" s="1475"/>
      <c r="U1986" s="787"/>
      <c r="V1986" s="787"/>
      <c r="W1986" s="787"/>
      <c r="X1986" s="787"/>
      <c r="Y1986" s="787"/>
      <c r="Z1986" s="791"/>
      <c r="AA1986" s="787"/>
      <c r="AB1986" s="787"/>
      <c r="AC1986" s="679"/>
    </row>
    <row r="1987" spans="1:29" ht="16.5" x14ac:dyDescent="0.25">
      <c r="A1987" s="2"/>
      <c r="C1987" s="2"/>
      <c r="D1987" s="2"/>
      <c r="E1987" s="2"/>
      <c r="F1987" s="2"/>
      <c r="G1987" s="2"/>
      <c r="H1987" s="2"/>
      <c r="I1987" s="2"/>
      <c r="J1987" s="503"/>
      <c r="K1987" s="2"/>
      <c r="L1987" s="2"/>
      <c r="M1987" s="4"/>
      <c r="N1987" s="13"/>
      <c r="O1987" s="4"/>
      <c r="P1987" s="1475"/>
      <c r="U1987" s="787"/>
      <c r="V1987" s="787"/>
      <c r="W1987" s="787"/>
      <c r="X1987" s="787"/>
      <c r="Y1987" s="787"/>
      <c r="Z1987" s="791"/>
      <c r="AA1987" s="787"/>
      <c r="AB1987" s="787"/>
      <c r="AC1987" s="679"/>
    </row>
    <row r="1988" spans="1:29" ht="16.5" x14ac:dyDescent="0.25">
      <c r="A1988" s="2"/>
      <c r="C1988" s="2"/>
      <c r="D1988" s="2"/>
      <c r="E1988" s="2"/>
      <c r="F1988" s="2"/>
      <c r="G1988" s="2"/>
      <c r="H1988" s="2"/>
      <c r="I1988" s="2"/>
      <c r="J1988" s="503"/>
      <c r="K1988" s="2"/>
      <c r="L1988" s="2"/>
      <c r="M1988" s="4"/>
      <c r="N1988" s="13"/>
      <c r="O1988" s="4"/>
      <c r="P1988" s="1475"/>
      <c r="U1988" s="787"/>
      <c r="V1988" s="787"/>
      <c r="W1988" s="787"/>
      <c r="X1988" s="787"/>
      <c r="Y1988" s="787"/>
      <c r="Z1988" s="791"/>
      <c r="AA1988" s="787"/>
      <c r="AB1988" s="787"/>
      <c r="AC1988" s="679"/>
    </row>
    <row r="1989" spans="1:29" ht="16.5" x14ac:dyDescent="0.25">
      <c r="A1989" s="2"/>
      <c r="C1989" s="2"/>
      <c r="D1989" s="2"/>
      <c r="E1989" s="2"/>
      <c r="F1989" s="2"/>
      <c r="G1989" s="2"/>
      <c r="H1989" s="2"/>
      <c r="I1989" s="2"/>
      <c r="J1989" s="503"/>
      <c r="K1989" s="2"/>
      <c r="L1989" s="2"/>
      <c r="M1989" s="4"/>
      <c r="N1989" s="13"/>
      <c r="O1989" s="4"/>
      <c r="P1989" s="1475"/>
      <c r="U1989" s="787"/>
      <c r="V1989" s="787"/>
      <c r="W1989" s="787"/>
      <c r="X1989" s="787"/>
      <c r="Y1989" s="787"/>
      <c r="Z1989" s="791"/>
      <c r="AA1989" s="787"/>
      <c r="AB1989" s="787"/>
      <c r="AC1989" s="679"/>
    </row>
    <row r="1990" spans="1:29" ht="16.5" x14ac:dyDescent="0.25">
      <c r="A1990" s="2"/>
      <c r="C1990" s="2"/>
      <c r="D1990" s="2"/>
      <c r="E1990" s="2"/>
      <c r="F1990" s="2"/>
      <c r="G1990" s="2"/>
      <c r="H1990" s="2"/>
      <c r="I1990" s="2"/>
      <c r="J1990" s="503"/>
      <c r="K1990" s="2"/>
      <c r="L1990" s="2"/>
      <c r="M1990" s="4"/>
      <c r="N1990" s="13"/>
      <c r="O1990" s="4"/>
      <c r="P1990" s="1475"/>
      <c r="U1990" s="787"/>
      <c r="V1990" s="787"/>
      <c r="W1990" s="787"/>
      <c r="X1990" s="787"/>
      <c r="Y1990" s="787"/>
      <c r="Z1990" s="791"/>
      <c r="AA1990" s="787"/>
      <c r="AB1990" s="787"/>
      <c r="AC1990" s="679"/>
    </row>
    <row r="1991" spans="1:29" ht="16.5" x14ac:dyDescent="0.25">
      <c r="A1991" s="2"/>
      <c r="C1991" s="2"/>
      <c r="D1991" s="2"/>
      <c r="E1991" s="2"/>
      <c r="F1991" s="2"/>
      <c r="G1991" s="2"/>
      <c r="H1991" s="2"/>
      <c r="I1991" s="2"/>
      <c r="J1991" s="503"/>
      <c r="K1991" s="2"/>
      <c r="L1991" s="2"/>
      <c r="M1991" s="4"/>
      <c r="N1991" s="13"/>
      <c r="O1991" s="4"/>
      <c r="P1991" s="1475"/>
      <c r="U1991" s="787"/>
      <c r="V1991" s="787"/>
      <c r="W1991" s="787"/>
      <c r="X1991" s="787"/>
      <c r="Y1991" s="787"/>
      <c r="Z1991" s="791"/>
      <c r="AA1991" s="787"/>
      <c r="AB1991" s="787"/>
      <c r="AC1991" s="679"/>
    </row>
    <row r="1992" spans="1:29" ht="16.5" x14ac:dyDescent="0.25">
      <c r="A1992" s="2"/>
      <c r="C1992" s="2"/>
      <c r="D1992" s="2"/>
      <c r="E1992" s="2"/>
      <c r="F1992" s="2"/>
      <c r="G1992" s="2"/>
      <c r="H1992" s="2"/>
      <c r="I1992" s="2"/>
      <c r="J1992" s="503"/>
      <c r="K1992" s="2"/>
      <c r="L1992" s="2"/>
      <c r="M1992" s="4"/>
      <c r="N1992" s="13"/>
      <c r="O1992" s="4"/>
      <c r="P1992" s="1475"/>
      <c r="U1992" s="787"/>
      <c r="V1992" s="787"/>
      <c r="W1992" s="787"/>
      <c r="X1992" s="787"/>
      <c r="Y1992" s="787"/>
      <c r="Z1992" s="791"/>
      <c r="AA1992" s="787"/>
      <c r="AB1992" s="787"/>
      <c r="AC1992" s="679"/>
    </row>
    <row r="1993" spans="1:29" ht="16.5" x14ac:dyDescent="0.25">
      <c r="A1993" s="2"/>
      <c r="C1993" s="2"/>
      <c r="D1993" s="2"/>
      <c r="E1993" s="2"/>
      <c r="F1993" s="2"/>
      <c r="G1993" s="2"/>
      <c r="H1993" s="2"/>
      <c r="I1993" s="2"/>
      <c r="J1993" s="503"/>
      <c r="K1993" s="2"/>
      <c r="L1993" s="2"/>
      <c r="M1993" s="4"/>
      <c r="N1993" s="13"/>
      <c r="O1993" s="4"/>
      <c r="P1993" s="1475"/>
      <c r="U1993" s="787"/>
      <c r="V1993" s="787"/>
      <c r="W1993" s="787"/>
      <c r="X1993" s="787"/>
      <c r="Y1993" s="787"/>
      <c r="Z1993" s="791"/>
      <c r="AA1993" s="787"/>
      <c r="AB1993" s="787"/>
      <c r="AC1993" s="679"/>
    </row>
    <row r="1994" spans="1:29" ht="16.5" x14ac:dyDescent="0.25">
      <c r="A1994" s="2"/>
      <c r="C1994" s="2"/>
      <c r="D1994" s="2"/>
      <c r="E1994" s="2"/>
      <c r="F1994" s="2"/>
      <c r="G1994" s="2"/>
      <c r="H1994" s="2"/>
      <c r="I1994" s="2"/>
      <c r="J1994" s="503"/>
      <c r="K1994" s="2"/>
      <c r="L1994" s="2"/>
      <c r="M1994" s="4"/>
      <c r="N1994" s="13"/>
      <c r="O1994" s="4"/>
      <c r="P1994" s="1475"/>
      <c r="U1994" s="787"/>
      <c r="V1994" s="787"/>
      <c r="W1994" s="787"/>
      <c r="X1994" s="787"/>
      <c r="Y1994" s="787"/>
      <c r="Z1994" s="791"/>
      <c r="AA1994" s="787"/>
      <c r="AB1994" s="787"/>
      <c r="AC1994" s="679"/>
    </row>
    <row r="1995" spans="1:29" ht="16.5" x14ac:dyDescent="0.25">
      <c r="A1995" s="2"/>
      <c r="C1995" s="2"/>
      <c r="D1995" s="2"/>
      <c r="E1995" s="2"/>
      <c r="F1995" s="2"/>
      <c r="G1995" s="2"/>
      <c r="H1995" s="2"/>
      <c r="I1995" s="2"/>
      <c r="J1995" s="503"/>
      <c r="K1995" s="2"/>
      <c r="L1995" s="2"/>
      <c r="M1995" s="4"/>
      <c r="N1995" s="13"/>
      <c r="O1995" s="4"/>
      <c r="P1995" s="1475"/>
      <c r="U1995" s="787"/>
      <c r="V1995" s="787"/>
      <c r="W1995" s="787"/>
      <c r="X1995" s="787"/>
      <c r="Y1995" s="787"/>
      <c r="Z1995" s="791"/>
      <c r="AA1995" s="787"/>
      <c r="AB1995" s="787"/>
      <c r="AC1995" s="679"/>
    </row>
    <row r="1996" spans="1:29" ht="16.5" x14ac:dyDescent="0.25">
      <c r="A1996" s="2"/>
      <c r="C1996" s="2"/>
      <c r="D1996" s="2"/>
      <c r="E1996" s="2"/>
      <c r="F1996" s="2"/>
      <c r="G1996" s="2"/>
      <c r="H1996" s="2"/>
      <c r="I1996" s="2"/>
      <c r="J1996" s="503"/>
      <c r="K1996" s="2"/>
      <c r="L1996" s="2"/>
      <c r="M1996" s="4"/>
      <c r="N1996" s="13"/>
      <c r="O1996" s="4"/>
      <c r="P1996" s="1475"/>
      <c r="U1996" s="787"/>
      <c r="V1996" s="787"/>
      <c r="W1996" s="787"/>
      <c r="X1996" s="787"/>
      <c r="Y1996" s="787"/>
      <c r="Z1996" s="791"/>
      <c r="AA1996" s="787"/>
      <c r="AB1996" s="787"/>
      <c r="AC1996" s="679"/>
    </row>
    <row r="1997" spans="1:29" ht="16.5" x14ac:dyDescent="0.25">
      <c r="A1997" s="2"/>
      <c r="C1997" s="2"/>
      <c r="D1997" s="2"/>
      <c r="E1997" s="2"/>
      <c r="F1997" s="2"/>
      <c r="G1997" s="2"/>
      <c r="H1997" s="2"/>
      <c r="I1997" s="2"/>
      <c r="J1997" s="503"/>
      <c r="K1997" s="2"/>
      <c r="L1997" s="2"/>
      <c r="M1997" s="4"/>
      <c r="N1997" s="13"/>
      <c r="O1997" s="4"/>
      <c r="P1997" s="1475"/>
      <c r="U1997" s="787"/>
      <c r="V1997" s="787"/>
      <c r="W1997" s="787"/>
      <c r="X1997" s="787"/>
      <c r="Y1997" s="787"/>
      <c r="Z1997" s="791"/>
      <c r="AA1997" s="787"/>
      <c r="AB1997" s="787"/>
      <c r="AC1997" s="679"/>
    </row>
    <row r="1998" spans="1:29" ht="16.5" x14ac:dyDescent="0.25">
      <c r="A1998" s="2"/>
      <c r="C1998" s="2"/>
      <c r="D1998" s="2"/>
      <c r="E1998" s="2"/>
      <c r="F1998" s="2"/>
      <c r="G1998" s="2"/>
      <c r="H1998" s="2"/>
      <c r="I1998" s="2"/>
      <c r="J1998" s="503"/>
      <c r="K1998" s="2"/>
      <c r="L1998" s="2"/>
      <c r="M1998" s="4"/>
      <c r="N1998" s="13"/>
      <c r="O1998" s="4"/>
      <c r="P1998" s="1475"/>
      <c r="U1998" s="787"/>
      <c r="V1998" s="787"/>
      <c r="W1998" s="787"/>
      <c r="X1998" s="787"/>
      <c r="Y1998" s="787"/>
      <c r="Z1998" s="791"/>
      <c r="AA1998" s="787"/>
      <c r="AB1998" s="787"/>
      <c r="AC1998" s="679"/>
    </row>
    <row r="1999" spans="1:29" ht="16.5" x14ac:dyDescent="0.25">
      <c r="A1999" s="2"/>
      <c r="C1999" s="2"/>
      <c r="D1999" s="2"/>
      <c r="E1999" s="2"/>
      <c r="F1999" s="2"/>
      <c r="G1999" s="2"/>
      <c r="H1999" s="2"/>
      <c r="I1999" s="2"/>
      <c r="J1999" s="503"/>
      <c r="K1999" s="2"/>
      <c r="L1999" s="2"/>
      <c r="M1999" s="4"/>
      <c r="N1999" s="13"/>
      <c r="O1999" s="4"/>
      <c r="P1999" s="1475"/>
      <c r="U1999" s="787"/>
      <c r="V1999" s="787"/>
      <c r="W1999" s="787"/>
      <c r="X1999" s="787"/>
      <c r="Y1999" s="787"/>
      <c r="Z1999" s="791"/>
      <c r="AA1999" s="787"/>
      <c r="AB1999" s="787"/>
      <c r="AC1999" s="679"/>
    </row>
    <row r="2000" spans="1:29" ht="16.5" x14ac:dyDescent="0.25">
      <c r="A2000" s="2"/>
      <c r="C2000" s="2"/>
      <c r="D2000" s="2"/>
      <c r="E2000" s="2"/>
      <c r="F2000" s="2"/>
      <c r="G2000" s="2"/>
      <c r="H2000" s="2"/>
      <c r="I2000" s="2"/>
      <c r="J2000" s="503"/>
      <c r="K2000" s="2"/>
      <c r="L2000" s="2"/>
      <c r="M2000" s="4"/>
      <c r="N2000" s="13"/>
      <c r="O2000" s="4"/>
      <c r="P2000" s="1475"/>
      <c r="U2000" s="787"/>
      <c r="V2000" s="787"/>
      <c r="W2000" s="787"/>
      <c r="X2000" s="787"/>
      <c r="Y2000" s="787"/>
      <c r="Z2000" s="791"/>
      <c r="AA2000" s="787"/>
      <c r="AB2000" s="787"/>
      <c r="AC2000" s="679"/>
    </row>
    <row r="2001" spans="1:29" ht="16.5" x14ac:dyDescent="0.25">
      <c r="A2001" s="2"/>
      <c r="C2001" s="2"/>
      <c r="D2001" s="2"/>
      <c r="E2001" s="2"/>
      <c r="F2001" s="2"/>
      <c r="G2001" s="2"/>
      <c r="H2001" s="2"/>
      <c r="I2001" s="2"/>
      <c r="J2001" s="503"/>
      <c r="K2001" s="2"/>
      <c r="L2001" s="2"/>
      <c r="M2001" s="4"/>
      <c r="N2001" s="13"/>
      <c r="O2001" s="4"/>
      <c r="P2001" s="1475"/>
      <c r="U2001" s="787"/>
      <c r="V2001" s="787"/>
      <c r="W2001" s="787"/>
      <c r="X2001" s="787"/>
      <c r="Y2001" s="787"/>
      <c r="Z2001" s="791"/>
      <c r="AA2001" s="787"/>
      <c r="AB2001" s="787"/>
      <c r="AC2001" s="679"/>
    </row>
    <row r="2002" spans="1:29" ht="16.5" x14ac:dyDescent="0.25">
      <c r="A2002" s="2"/>
      <c r="C2002" s="2"/>
      <c r="D2002" s="2"/>
      <c r="E2002" s="2"/>
      <c r="F2002" s="2"/>
      <c r="G2002" s="2"/>
      <c r="H2002" s="2"/>
      <c r="I2002" s="2"/>
      <c r="J2002" s="503"/>
      <c r="K2002" s="2"/>
      <c r="L2002" s="2"/>
      <c r="M2002" s="4"/>
      <c r="N2002" s="13"/>
      <c r="O2002" s="4"/>
      <c r="P2002" s="1475"/>
      <c r="U2002" s="787"/>
      <c r="V2002" s="787"/>
      <c r="W2002" s="787"/>
      <c r="X2002" s="787"/>
      <c r="Y2002" s="787"/>
      <c r="Z2002" s="791"/>
      <c r="AA2002" s="787"/>
      <c r="AB2002" s="787"/>
      <c r="AC2002" s="679"/>
    </row>
    <row r="2003" spans="1:29" ht="16.5" x14ac:dyDescent="0.25">
      <c r="A2003" s="2"/>
      <c r="C2003" s="2"/>
      <c r="D2003" s="2"/>
      <c r="E2003" s="2"/>
      <c r="F2003" s="2"/>
      <c r="G2003" s="2"/>
      <c r="H2003" s="2"/>
      <c r="I2003" s="2"/>
      <c r="J2003" s="503"/>
      <c r="K2003" s="2"/>
      <c r="L2003" s="2"/>
      <c r="M2003" s="4"/>
      <c r="N2003" s="13"/>
      <c r="O2003" s="4"/>
      <c r="P2003" s="1475"/>
      <c r="U2003" s="787"/>
      <c r="V2003" s="787"/>
      <c r="W2003" s="787"/>
      <c r="X2003" s="787"/>
      <c r="Y2003" s="787"/>
      <c r="Z2003" s="791"/>
      <c r="AA2003" s="787"/>
      <c r="AB2003" s="787"/>
      <c r="AC2003" s="679"/>
    </row>
    <row r="2004" spans="1:29" ht="16.5" x14ac:dyDescent="0.25">
      <c r="A2004" s="2"/>
      <c r="C2004" s="2"/>
      <c r="D2004" s="2"/>
      <c r="E2004" s="2"/>
      <c r="F2004" s="2"/>
      <c r="G2004" s="2"/>
      <c r="H2004" s="2"/>
      <c r="I2004" s="2"/>
      <c r="J2004" s="503"/>
      <c r="K2004" s="2"/>
      <c r="L2004" s="2"/>
      <c r="M2004" s="4"/>
      <c r="N2004" s="13"/>
      <c r="O2004" s="4"/>
      <c r="P2004" s="1475"/>
      <c r="U2004" s="787"/>
      <c r="V2004" s="787"/>
      <c r="W2004" s="787"/>
      <c r="X2004" s="787"/>
      <c r="Y2004" s="787"/>
      <c r="Z2004" s="791"/>
      <c r="AA2004" s="787"/>
      <c r="AB2004" s="787"/>
      <c r="AC2004" s="679"/>
    </row>
    <row r="2005" spans="1:29" ht="16.5" x14ac:dyDescent="0.25">
      <c r="A2005" s="2"/>
      <c r="C2005" s="2"/>
      <c r="D2005" s="2"/>
      <c r="E2005" s="2"/>
      <c r="F2005" s="2"/>
      <c r="G2005" s="2"/>
      <c r="H2005" s="2"/>
      <c r="I2005" s="2"/>
      <c r="J2005" s="503"/>
      <c r="K2005" s="2"/>
      <c r="L2005" s="2"/>
      <c r="M2005" s="4"/>
      <c r="N2005" s="13"/>
      <c r="O2005" s="4"/>
      <c r="P2005" s="1475"/>
      <c r="U2005" s="787"/>
      <c r="V2005" s="787"/>
      <c r="W2005" s="787"/>
      <c r="X2005" s="787"/>
      <c r="Y2005" s="787"/>
      <c r="Z2005" s="791"/>
      <c r="AA2005" s="787"/>
      <c r="AB2005" s="787"/>
      <c r="AC2005" s="679"/>
    </row>
    <row r="2006" spans="1:29" ht="16.5" x14ac:dyDescent="0.25">
      <c r="A2006" s="2"/>
      <c r="C2006" s="2"/>
      <c r="D2006" s="2"/>
      <c r="E2006" s="2"/>
      <c r="F2006" s="2"/>
      <c r="G2006" s="2"/>
      <c r="H2006" s="2"/>
      <c r="I2006" s="2"/>
      <c r="J2006" s="503"/>
      <c r="K2006" s="2"/>
      <c r="L2006" s="2"/>
      <c r="M2006" s="4"/>
      <c r="N2006" s="13"/>
      <c r="O2006" s="4"/>
      <c r="P2006" s="1475"/>
      <c r="U2006" s="787"/>
      <c r="V2006" s="787"/>
      <c r="W2006" s="787"/>
      <c r="X2006" s="787"/>
      <c r="Y2006" s="787"/>
      <c r="Z2006" s="791"/>
      <c r="AA2006" s="787"/>
      <c r="AB2006" s="787"/>
      <c r="AC2006" s="679"/>
    </row>
    <row r="2007" spans="1:29" ht="16.5" x14ac:dyDescent="0.25">
      <c r="A2007" s="2"/>
      <c r="C2007" s="2"/>
      <c r="D2007" s="2"/>
      <c r="E2007" s="2"/>
      <c r="F2007" s="2"/>
      <c r="G2007" s="2"/>
      <c r="H2007" s="2"/>
      <c r="I2007" s="2"/>
      <c r="J2007" s="503"/>
      <c r="K2007" s="2"/>
      <c r="L2007" s="2"/>
      <c r="M2007" s="4"/>
      <c r="N2007" s="13"/>
      <c r="O2007" s="4"/>
      <c r="P2007" s="1475"/>
      <c r="U2007" s="787"/>
      <c r="V2007" s="787"/>
      <c r="W2007" s="787"/>
      <c r="X2007" s="787"/>
      <c r="Y2007" s="787"/>
      <c r="Z2007" s="791"/>
      <c r="AA2007" s="787"/>
      <c r="AB2007" s="787"/>
      <c r="AC2007" s="679"/>
    </row>
    <row r="2008" spans="1:29" ht="16.5" x14ac:dyDescent="0.25">
      <c r="A2008" s="2"/>
      <c r="C2008" s="2"/>
      <c r="D2008" s="2"/>
      <c r="E2008" s="2"/>
      <c r="F2008" s="2"/>
      <c r="G2008" s="2"/>
      <c r="H2008" s="2"/>
      <c r="I2008" s="2"/>
      <c r="J2008" s="503"/>
      <c r="K2008" s="2"/>
      <c r="L2008" s="2"/>
      <c r="M2008" s="4"/>
      <c r="N2008" s="13"/>
      <c r="O2008" s="4"/>
      <c r="P2008" s="1475"/>
      <c r="U2008" s="787"/>
      <c r="V2008" s="787"/>
      <c r="W2008" s="787"/>
      <c r="X2008" s="787"/>
      <c r="Y2008" s="787"/>
      <c r="Z2008" s="791"/>
      <c r="AA2008" s="787"/>
      <c r="AB2008" s="787"/>
      <c r="AC2008" s="679"/>
    </row>
    <row r="2009" spans="1:29" ht="16.5" x14ac:dyDescent="0.25">
      <c r="A2009" s="2"/>
      <c r="C2009" s="2"/>
      <c r="D2009" s="2"/>
      <c r="E2009" s="2"/>
      <c r="F2009" s="2"/>
      <c r="G2009" s="2"/>
      <c r="H2009" s="2"/>
      <c r="I2009" s="2"/>
      <c r="J2009" s="503"/>
      <c r="K2009" s="2"/>
      <c r="L2009" s="2"/>
      <c r="M2009" s="4"/>
      <c r="N2009" s="13"/>
      <c r="O2009" s="4"/>
      <c r="P2009" s="1475"/>
      <c r="U2009" s="787"/>
      <c r="V2009" s="787"/>
      <c r="W2009" s="787"/>
      <c r="X2009" s="787"/>
      <c r="Y2009" s="787"/>
      <c r="Z2009" s="791"/>
      <c r="AA2009" s="787"/>
      <c r="AB2009" s="787"/>
      <c r="AC2009" s="679"/>
    </row>
    <row r="2010" spans="1:29" ht="16.5" x14ac:dyDescent="0.25">
      <c r="A2010" s="2"/>
      <c r="C2010" s="2"/>
      <c r="D2010" s="2"/>
      <c r="E2010" s="2"/>
      <c r="F2010" s="2"/>
      <c r="G2010" s="2"/>
      <c r="H2010" s="2"/>
      <c r="I2010" s="2"/>
      <c r="J2010" s="503"/>
      <c r="K2010" s="2"/>
      <c r="L2010" s="2"/>
      <c r="M2010" s="4"/>
      <c r="N2010" s="13"/>
      <c r="O2010" s="4"/>
      <c r="P2010" s="1475"/>
      <c r="U2010" s="787"/>
      <c r="V2010" s="787"/>
      <c r="W2010" s="787"/>
      <c r="X2010" s="787"/>
      <c r="Y2010" s="787"/>
      <c r="Z2010" s="791"/>
      <c r="AA2010" s="787"/>
      <c r="AB2010" s="787"/>
      <c r="AC2010" s="679"/>
    </row>
    <row r="2011" spans="1:29" ht="16.5" x14ac:dyDescent="0.25">
      <c r="A2011" s="2"/>
      <c r="C2011" s="2"/>
      <c r="D2011" s="2"/>
      <c r="E2011" s="2"/>
      <c r="F2011" s="2"/>
      <c r="G2011" s="2"/>
      <c r="H2011" s="2"/>
      <c r="I2011" s="2"/>
      <c r="J2011" s="503"/>
      <c r="K2011" s="2"/>
      <c r="L2011" s="2"/>
      <c r="M2011" s="4"/>
      <c r="N2011" s="13"/>
      <c r="O2011" s="4"/>
      <c r="P2011" s="1475"/>
      <c r="U2011" s="787"/>
      <c r="V2011" s="787"/>
      <c r="W2011" s="787"/>
      <c r="X2011" s="787"/>
      <c r="Y2011" s="787"/>
      <c r="Z2011" s="791"/>
      <c r="AA2011" s="787"/>
      <c r="AB2011" s="787"/>
      <c r="AC2011" s="679"/>
    </row>
    <row r="2012" spans="1:29" ht="16.5" x14ac:dyDescent="0.25">
      <c r="A2012" s="2"/>
      <c r="C2012" s="2"/>
      <c r="D2012" s="2"/>
      <c r="E2012" s="2"/>
      <c r="F2012" s="2"/>
      <c r="G2012" s="2"/>
      <c r="H2012" s="2"/>
      <c r="I2012" s="2"/>
      <c r="J2012" s="503"/>
      <c r="K2012" s="2"/>
      <c r="L2012" s="2"/>
      <c r="M2012" s="4"/>
      <c r="N2012" s="13"/>
      <c r="O2012" s="4"/>
      <c r="P2012" s="1475"/>
      <c r="U2012" s="787"/>
      <c r="V2012" s="787"/>
      <c r="W2012" s="787"/>
      <c r="X2012" s="787"/>
      <c r="Y2012" s="787"/>
      <c r="Z2012" s="791"/>
      <c r="AA2012" s="787"/>
      <c r="AB2012" s="787"/>
      <c r="AC2012" s="679"/>
    </row>
    <row r="2013" spans="1:29" ht="16.5" x14ac:dyDescent="0.25">
      <c r="A2013" s="2"/>
      <c r="C2013" s="2"/>
      <c r="D2013" s="2"/>
      <c r="E2013" s="2"/>
      <c r="F2013" s="2"/>
      <c r="G2013" s="2"/>
      <c r="H2013" s="2"/>
      <c r="I2013" s="2"/>
      <c r="J2013" s="503"/>
      <c r="K2013" s="2"/>
      <c r="L2013" s="2"/>
      <c r="M2013" s="4"/>
      <c r="N2013" s="13"/>
      <c r="O2013" s="4"/>
      <c r="P2013" s="1475"/>
      <c r="U2013" s="787"/>
      <c r="V2013" s="787"/>
      <c r="W2013" s="787"/>
      <c r="X2013" s="787"/>
      <c r="Y2013" s="787"/>
      <c r="Z2013" s="791"/>
      <c r="AA2013" s="787"/>
      <c r="AB2013" s="787"/>
      <c r="AC2013" s="679"/>
    </row>
    <row r="2014" spans="1:29" ht="16.5" x14ac:dyDescent="0.25">
      <c r="A2014" s="2"/>
      <c r="C2014" s="2"/>
      <c r="D2014" s="2"/>
      <c r="E2014" s="2"/>
      <c r="F2014" s="2"/>
      <c r="G2014" s="2"/>
      <c r="H2014" s="2"/>
      <c r="I2014" s="2"/>
      <c r="J2014" s="503"/>
      <c r="K2014" s="2"/>
      <c r="L2014" s="2"/>
      <c r="M2014" s="4"/>
      <c r="N2014" s="13"/>
      <c r="O2014" s="4"/>
      <c r="P2014" s="1475"/>
      <c r="U2014" s="787"/>
      <c r="V2014" s="787"/>
      <c r="W2014" s="787"/>
      <c r="X2014" s="787"/>
      <c r="Y2014" s="787"/>
      <c r="Z2014" s="791"/>
      <c r="AA2014" s="787"/>
      <c r="AB2014" s="787"/>
      <c r="AC2014" s="679"/>
    </row>
    <row r="2015" spans="1:29" ht="16.5" x14ac:dyDescent="0.25">
      <c r="A2015" s="2"/>
      <c r="C2015" s="2"/>
      <c r="D2015" s="2"/>
      <c r="E2015" s="2"/>
      <c r="F2015" s="2"/>
      <c r="G2015" s="2"/>
      <c r="H2015" s="2"/>
      <c r="I2015" s="2"/>
      <c r="J2015" s="503"/>
      <c r="K2015" s="2"/>
      <c r="L2015" s="2"/>
      <c r="M2015" s="4"/>
      <c r="N2015" s="13"/>
      <c r="O2015" s="4"/>
      <c r="P2015" s="1475"/>
      <c r="U2015" s="787"/>
      <c r="V2015" s="787"/>
      <c r="W2015" s="787"/>
      <c r="X2015" s="787"/>
      <c r="Y2015" s="787"/>
      <c r="Z2015" s="791"/>
      <c r="AA2015" s="787"/>
      <c r="AB2015" s="787"/>
      <c r="AC2015" s="679"/>
    </row>
    <row r="2016" spans="1:29" ht="15.75" x14ac:dyDescent="0.25">
      <c r="A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4"/>
      <c r="N2016" s="13"/>
      <c r="O2016" s="4"/>
      <c r="P2016" s="1475"/>
      <c r="U2016" s="787"/>
      <c r="V2016" s="787"/>
      <c r="W2016" s="787"/>
      <c r="X2016" s="787"/>
      <c r="Y2016" s="787"/>
      <c r="Z2016" s="791"/>
      <c r="AA2016" s="787"/>
      <c r="AB2016" s="787"/>
      <c r="AC2016" s="679"/>
    </row>
    <row r="2017" spans="1:29" ht="15.75" x14ac:dyDescent="0.25">
      <c r="A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4"/>
      <c r="N2017" s="13"/>
      <c r="O2017" s="4"/>
      <c r="P2017" s="1475"/>
      <c r="U2017" s="787"/>
      <c r="V2017" s="787"/>
      <c r="W2017" s="787"/>
      <c r="X2017" s="787"/>
      <c r="Y2017" s="787"/>
      <c r="Z2017" s="791"/>
      <c r="AA2017" s="787"/>
      <c r="AB2017" s="787"/>
      <c r="AC2017" s="679"/>
    </row>
    <row r="2018" spans="1:29" ht="15.75" x14ac:dyDescent="0.25">
      <c r="A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4"/>
      <c r="N2018" s="13"/>
      <c r="O2018" s="4"/>
      <c r="P2018" s="1475"/>
      <c r="U2018" s="787"/>
      <c r="V2018" s="787"/>
      <c r="W2018" s="787"/>
      <c r="X2018" s="787"/>
      <c r="Y2018" s="787"/>
      <c r="Z2018" s="791"/>
      <c r="AA2018" s="787"/>
      <c r="AB2018" s="787"/>
      <c r="AC2018" s="679"/>
    </row>
    <row r="2019" spans="1:29" ht="15.75" x14ac:dyDescent="0.25">
      <c r="A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4"/>
      <c r="N2019" s="13"/>
      <c r="O2019" s="4"/>
      <c r="P2019" s="1475"/>
      <c r="U2019" s="787"/>
      <c r="V2019" s="787"/>
      <c r="W2019" s="787"/>
      <c r="X2019" s="787"/>
      <c r="Y2019" s="787"/>
      <c r="Z2019" s="791"/>
      <c r="AA2019" s="787"/>
      <c r="AB2019" s="787"/>
      <c r="AC2019" s="679"/>
    </row>
    <row r="2020" spans="1:29" ht="15.75" x14ac:dyDescent="0.25">
      <c r="A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4"/>
      <c r="N2020" s="13"/>
      <c r="O2020" s="4"/>
      <c r="P2020" s="1475"/>
      <c r="U2020" s="787"/>
      <c r="V2020" s="787"/>
      <c r="W2020" s="787"/>
      <c r="X2020" s="787"/>
      <c r="Y2020" s="787"/>
      <c r="Z2020" s="791"/>
      <c r="AA2020" s="787"/>
      <c r="AB2020" s="787"/>
      <c r="AC2020" s="679"/>
    </row>
    <row r="2021" spans="1:29" ht="15.75" x14ac:dyDescent="0.25">
      <c r="A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4"/>
      <c r="N2021" s="13"/>
      <c r="O2021" s="4"/>
      <c r="P2021" s="1475"/>
      <c r="U2021" s="787"/>
      <c r="V2021" s="787"/>
      <c r="W2021" s="787"/>
      <c r="X2021" s="787"/>
      <c r="Y2021" s="787"/>
      <c r="Z2021" s="791"/>
      <c r="AA2021" s="787"/>
      <c r="AB2021" s="787"/>
      <c r="AC2021" s="679"/>
    </row>
    <row r="2022" spans="1:29" ht="15.75" x14ac:dyDescent="0.25">
      <c r="A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4"/>
      <c r="N2022" s="13"/>
      <c r="O2022" s="4"/>
      <c r="P2022" s="1475"/>
      <c r="U2022" s="787"/>
      <c r="V2022" s="787"/>
      <c r="W2022" s="787"/>
      <c r="X2022" s="787"/>
      <c r="Y2022" s="787"/>
      <c r="Z2022" s="791"/>
      <c r="AA2022" s="787"/>
      <c r="AB2022" s="787"/>
      <c r="AC2022" s="679"/>
    </row>
    <row r="2023" spans="1:29" ht="15.75" x14ac:dyDescent="0.25">
      <c r="A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4"/>
      <c r="N2023" s="13"/>
      <c r="O2023" s="4"/>
      <c r="P2023" s="1475"/>
      <c r="U2023" s="787"/>
      <c r="V2023" s="787"/>
      <c r="W2023" s="787"/>
      <c r="X2023" s="787"/>
      <c r="Y2023" s="787"/>
      <c r="Z2023" s="791"/>
      <c r="AA2023" s="787"/>
      <c r="AB2023" s="787"/>
      <c r="AC2023" s="679"/>
    </row>
    <row r="2024" spans="1:29" ht="15.75" x14ac:dyDescent="0.25">
      <c r="A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4"/>
      <c r="N2024" s="13"/>
      <c r="O2024" s="4"/>
      <c r="P2024" s="1475"/>
      <c r="U2024" s="787"/>
      <c r="V2024" s="787"/>
      <c r="W2024" s="787"/>
      <c r="X2024" s="787"/>
      <c r="Y2024" s="787"/>
      <c r="Z2024" s="791"/>
      <c r="AA2024" s="787"/>
      <c r="AB2024" s="787"/>
      <c r="AC2024" s="679"/>
    </row>
    <row r="2025" spans="1:29" ht="15.75" x14ac:dyDescent="0.25">
      <c r="A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4"/>
      <c r="N2025" s="13"/>
      <c r="O2025" s="4"/>
      <c r="P2025" s="1475"/>
      <c r="U2025" s="787"/>
      <c r="V2025" s="787"/>
      <c r="W2025" s="787"/>
      <c r="X2025" s="787"/>
      <c r="Y2025" s="787"/>
      <c r="Z2025" s="791"/>
      <c r="AA2025" s="787"/>
      <c r="AB2025" s="787"/>
      <c r="AC2025" s="679"/>
    </row>
    <row r="2026" spans="1:29" ht="15.75" x14ac:dyDescent="0.25">
      <c r="A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4"/>
      <c r="N2026" s="13"/>
      <c r="O2026" s="4"/>
      <c r="P2026" s="1475"/>
      <c r="U2026" s="787"/>
      <c r="V2026" s="787"/>
      <c r="W2026" s="787"/>
      <c r="X2026" s="787"/>
      <c r="Y2026" s="787"/>
      <c r="Z2026" s="791"/>
      <c r="AA2026" s="787"/>
      <c r="AB2026" s="787"/>
      <c r="AC2026" s="679"/>
    </row>
    <row r="2027" spans="1:29" ht="15.75" x14ac:dyDescent="0.25">
      <c r="A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4"/>
      <c r="N2027" s="13"/>
      <c r="O2027" s="4"/>
      <c r="P2027" s="1475"/>
      <c r="U2027" s="787"/>
      <c r="V2027" s="787"/>
      <c r="W2027" s="787"/>
      <c r="X2027" s="787"/>
      <c r="Y2027" s="787"/>
      <c r="Z2027" s="791"/>
      <c r="AA2027" s="787"/>
      <c r="AB2027" s="787"/>
      <c r="AC2027" s="679"/>
    </row>
    <row r="2028" spans="1:29" ht="15.75" x14ac:dyDescent="0.25">
      <c r="A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4"/>
      <c r="N2028" s="13"/>
      <c r="O2028" s="4"/>
      <c r="P2028" s="1475"/>
      <c r="U2028" s="787"/>
      <c r="V2028" s="787"/>
      <c r="W2028" s="787"/>
      <c r="X2028" s="787"/>
      <c r="Y2028" s="787"/>
      <c r="Z2028" s="791"/>
      <c r="AA2028" s="787"/>
      <c r="AB2028" s="787"/>
      <c r="AC2028" s="679"/>
    </row>
    <row r="2029" spans="1:29" ht="15.75" x14ac:dyDescent="0.25">
      <c r="A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4"/>
      <c r="N2029" s="13"/>
      <c r="O2029" s="4"/>
      <c r="P2029" s="1475"/>
      <c r="U2029" s="787"/>
      <c r="V2029" s="787"/>
      <c r="W2029" s="787"/>
      <c r="X2029" s="787"/>
      <c r="Y2029" s="787"/>
      <c r="Z2029" s="791"/>
      <c r="AA2029" s="787"/>
      <c r="AB2029" s="787"/>
      <c r="AC2029" s="679"/>
    </row>
    <row r="2030" spans="1:29" ht="15.75" x14ac:dyDescent="0.25">
      <c r="A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4"/>
      <c r="N2030" s="13"/>
      <c r="O2030" s="4"/>
      <c r="P2030" s="1475"/>
      <c r="U2030" s="787"/>
      <c r="V2030" s="787"/>
      <c r="W2030" s="787"/>
      <c r="X2030" s="787"/>
      <c r="Y2030" s="787"/>
      <c r="Z2030" s="791"/>
      <c r="AA2030" s="787"/>
      <c r="AB2030" s="787"/>
      <c r="AC2030" s="679"/>
    </row>
    <row r="2031" spans="1:29" ht="15.75" x14ac:dyDescent="0.25">
      <c r="A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4"/>
      <c r="N2031" s="13"/>
      <c r="O2031" s="4"/>
      <c r="P2031" s="1475"/>
      <c r="U2031" s="787"/>
      <c r="V2031" s="787"/>
      <c r="W2031" s="787"/>
      <c r="X2031" s="787"/>
      <c r="Y2031" s="787"/>
      <c r="Z2031" s="791"/>
      <c r="AA2031" s="787"/>
      <c r="AB2031" s="787"/>
      <c r="AC2031" s="679"/>
    </row>
    <row r="2032" spans="1:29" ht="15.75" x14ac:dyDescent="0.25">
      <c r="A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4"/>
      <c r="N2032" s="13"/>
      <c r="O2032" s="4"/>
      <c r="P2032" s="1475"/>
      <c r="U2032" s="787"/>
      <c r="V2032" s="787"/>
      <c r="W2032" s="787"/>
      <c r="X2032" s="787"/>
      <c r="Y2032" s="787"/>
      <c r="Z2032" s="791"/>
      <c r="AA2032" s="787"/>
      <c r="AB2032" s="787"/>
      <c r="AC2032" s="679"/>
    </row>
    <row r="2033" spans="1:29" ht="15.75" x14ac:dyDescent="0.25">
      <c r="A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4"/>
      <c r="N2033" s="13"/>
      <c r="O2033" s="4"/>
      <c r="P2033" s="1475"/>
      <c r="U2033" s="787"/>
      <c r="V2033" s="787"/>
      <c r="W2033" s="787"/>
      <c r="X2033" s="787"/>
      <c r="Y2033" s="787"/>
      <c r="Z2033" s="791"/>
      <c r="AA2033" s="787"/>
      <c r="AB2033" s="787"/>
      <c r="AC2033" s="679"/>
    </row>
    <row r="2034" spans="1:29" ht="15.75" x14ac:dyDescent="0.25">
      <c r="A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4"/>
      <c r="N2034" s="13"/>
      <c r="O2034" s="4"/>
      <c r="P2034" s="1475"/>
      <c r="U2034" s="787"/>
      <c r="V2034" s="787"/>
      <c r="W2034" s="787"/>
      <c r="X2034" s="787"/>
      <c r="Y2034" s="787"/>
      <c r="Z2034" s="791"/>
      <c r="AA2034" s="787"/>
      <c r="AB2034" s="787"/>
      <c r="AC2034" s="679"/>
    </row>
    <row r="2035" spans="1:29" ht="15.75" x14ac:dyDescent="0.25">
      <c r="A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4"/>
      <c r="N2035" s="13"/>
      <c r="O2035" s="4"/>
      <c r="P2035" s="1475"/>
      <c r="U2035" s="787"/>
      <c r="V2035" s="787"/>
      <c r="W2035" s="787"/>
      <c r="X2035" s="787"/>
      <c r="Y2035" s="787"/>
      <c r="Z2035" s="791"/>
      <c r="AA2035" s="787"/>
      <c r="AB2035" s="787"/>
      <c r="AC2035" s="679"/>
    </row>
    <row r="2036" spans="1:29" ht="15.75" x14ac:dyDescent="0.25">
      <c r="A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4"/>
      <c r="N2036" s="13"/>
      <c r="O2036" s="4"/>
      <c r="P2036" s="1475"/>
      <c r="U2036" s="787"/>
      <c r="V2036" s="787"/>
      <c r="W2036" s="787"/>
      <c r="X2036" s="787"/>
      <c r="Y2036" s="787"/>
      <c r="Z2036" s="791"/>
      <c r="AA2036" s="787"/>
      <c r="AB2036" s="787"/>
      <c r="AC2036" s="679"/>
    </row>
    <row r="2037" spans="1:29" ht="15.75" x14ac:dyDescent="0.25">
      <c r="A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4"/>
      <c r="N2037" s="13"/>
      <c r="O2037" s="4"/>
      <c r="P2037" s="1475"/>
      <c r="U2037" s="787"/>
      <c r="V2037" s="787"/>
      <c r="W2037" s="787"/>
      <c r="X2037" s="787"/>
      <c r="Y2037" s="787"/>
      <c r="Z2037" s="791"/>
      <c r="AA2037" s="787"/>
      <c r="AB2037" s="787"/>
      <c r="AC2037" s="679"/>
    </row>
    <row r="2038" spans="1:29" ht="15.75" x14ac:dyDescent="0.25">
      <c r="A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4"/>
      <c r="N2038" s="13"/>
      <c r="O2038" s="4"/>
      <c r="P2038" s="1475"/>
      <c r="U2038" s="787"/>
      <c r="V2038" s="787"/>
      <c r="W2038" s="787"/>
      <c r="X2038" s="787"/>
      <c r="Y2038" s="787"/>
      <c r="Z2038" s="791"/>
      <c r="AA2038" s="787"/>
      <c r="AB2038" s="787"/>
      <c r="AC2038" s="679"/>
    </row>
    <row r="2039" spans="1:29" ht="15.75" x14ac:dyDescent="0.25">
      <c r="A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4"/>
      <c r="N2039" s="13"/>
      <c r="O2039" s="4"/>
      <c r="P2039" s="1475"/>
      <c r="U2039" s="787"/>
      <c r="V2039" s="787"/>
      <c r="W2039" s="787"/>
      <c r="X2039" s="787"/>
      <c r="Y2039" s="787"/>
      <c r="Z2039" s="791"/>
      <c r="AA2039" s="787"/>
      <c r="AB2039" s="787"/>
      <c r="AC2039" s="679"/>
    </row>
    <row r="2040" spans="1:29" ht="15.75" x14ac:dyDescent="0.25">
      <c r="A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4"/>
      <c r="N2040" s="13"/>
      <c r="O2040" s="4"/>
      <c r="P2040" s="1475"/>
      <c r="U2040" s="787"/>
      <c r="V2040" s="787"/>
      <c r="W2040" s="787"/>
      <c r="X2040" s="787"/>
      <c r="Y2040" s="787"/>
      <c r="Z2040" s="791"/>
      <c r="AA2040" s="787"/>
      <c r="AB2040" s="787"/>
      <c r="AC2040" s="679"/>
    </row>
    <row r="2041" spans="1:29" ht="15.75" x14ac:dyDescent="0.25">
      <c r="A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4"/>
      <c r="N2041" s="13"/>
      <c r="O2041" s="4"/>
      <c r="P2041" s="1475"/>
      <c r="U2041" s="787"/>
      <c r="V2041" s="787"/>
      <c r="W2041" s="787"/>
      <c r="X2041" s="787"/>
      <c r="Y2041" s="787"/>
      <c r="Z2041" s="791"/>
      <c r="AA2041" s="787"/>
      <c r="AB2041" s="787"/>
      <c r="AC2041" s="679"/>
    </row>
    <row r="2042" spans="1:29" ht="15.75" x14ac:dyDescent="0.25">
      <c r="A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4"/>
      <c r="N2042" s="13"/>
      <c r="O2042" s="4"/>
      <c r="P2042" s="1475"/>
      <c r="U2042" s="787"/>
      <c r="V2042" s="787"/>
      <c r="W2042" s="787"/>
      <c r="X2042" s="787"/>
      <c r="Y2042" s="787"/>
      <c r="Z2042" s="791"/>
      <c r="AA2042" s="787"/>
      <c r="AB2042" s="787"/>
      <c r="AC2042" s="679"/>
    </row>
    <row r="2043" spans="1:29" ht="15.75" x14ac:dyDescent="0.25">
      <c r="A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4"/>
      <c r="N2043" s="13"/>
      <c r="O2043" s="4"/>
      <c r="P2043" s="1475"/>
      <c r="U2043" s="787"/>
      <c r="V2043" s="787"/>
      <c r="W2043" s="787"/>
      <c r="X2043" s="787"/>
      <c r="Y2043" s="787"/>
      <c r="Z2043" s="791"/>
      <c r="AA2043" s="787"/>
      <c r="AB2043" s="787"/>
      <c r="AC2043" s="679"/>
    </row>
    <row r="2044" spans="1:29" ht="15.75" x14ac:dyDescent="0.25">
      <c r="A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4"/>
      <c r="N2044" s="13"/>
      <c r="O2044" s="4"/>
      <c r="P2044" s="1475"/>
      <c r="U2044" s="787"/>
      <c r="V2044" s="787"/>
      <c r="W2044" s="787"/>
      <c r="X2044" s="787"/>
      <c r="Y2044" s="787"/>
      <c r="Z2044" s="791"/>
      <c r="AA2044" s="787"/>
      <c r="AB2044" s="787"/>
      <c r="AC2044" s="679"/>
    </row>
    <row r="2045" spans="1:29" ht="15.75" x14ac:dyDescent="0.25">
      <c r="A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4"/>
      <c r="N2045" s="13"/>
      <c r="O2045" s="4"/>
      <c r="P2045" s="1475"/>
      <c r="U2045" s="787"/>
      <c r="V2045" s="787"/>
      <c r="W2045" s="787"/>
      <c r="X2045" s="787"/>
      <c r="Y2045" s="787"/>
      <c r="Z2045" s="791"/>
      <c r="AA2045" s="787"/>
      <c r="AB2045" s="787"/>
      <c r="AC2045" s="679"/>
    </row>
    <row r="2046" spans="1:29" ht="15.75" x14ac:dyDescent="0.25">
      <c r="A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4"/>
      <c r="N2046" s="13"/>
      <c r="O2046" s="4"/>
      <c r="P2046" s="1475"/>
      <c r="U2046" s="787"/>
      <c r="V2046" s="787"/>
      <c r="W2046" s="787"/>
      <c r="X2046" s="787"/>
      <c r="Y2046" s="787"/>
      <c r="Z2046" s="791"/>
      <c r="AA2046" s="787"/>
      <c r="AB2046" s="787"/>
      <c r="AC2046" s="679"/>
    </row>
    <row r="2047" spans="1:29" ht="15.75" x14ac:dyDescent="0.25">
      <c r="A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4"/>
      <c r="N2047" s="13"/>
      <c r="O2047" s="4"/>
      <c r="P2047" s="1475"/>
      <c r="U2047" s="787"/>
      <c r="V2047" s="787"/>
      <c r="W2047" s="787"/>
      <c r="X2047" s="787"/>
      <c r="Y2047" s="787"/>
      <c r="Z2047" s="791"/>
      <c r="AA2047" s="787"/>
      <c r="AB2047" s="787"/>
      <c r="AC2047" s="679"/>
    </row>
    <row r="2048" spans="1:29" ht="15.75" x14ac:dyDescent="0.25">
      <c r="A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4"/>
      <c r="N2048" s="13"/>
      <c r="O2048" s="4"/>
      <c r="P2048" s="1475"/>
      <c r="U2048" s="787"/>
      <c r="V2048" s="787"/>
      <c r="W2048" s="787"/>
      <c r="X2048" s="787"/>
      <c r="Y2048" s="787"/>
      <c r="Z2048" s="791"/>
      <c r="AA2048" s="787"/>
      <c r="AB2048" s="787"/>
      <c r="AC2048" s="679"/>
    </row>
    <row r="2049" spans="1:29" ht="15.75" x14ac:dyDescent="0.25">
      <c r="A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4"/>
      <c r="N2049" s="13"/>
      <c r="O2049" s="4"/>
      <c r="P2049" s="1475"/>
      <c r="U2049" s="787"/>
      <c r="V2049" s="787"/>
      <c r="W2049" s="787"/>
      <c r="X2049" s="787"/>
      <c r="Y2049" s="787"/>
      <c r="Z2049" s="791"/>
      <c r="AA2049" s="787"/>
      <c r="AB2049" s="787"/>
      <c r="AC2049" s="679"/>
    </row>
    <row r="2050" spans="1:29" ht="15.75" x14ac:dyDescent="0.25">
      <c r="A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4"/>
      <c r="N2050" s="13"/>
      <c r="O2050" s="4"/>
      <c r="P2050" s="1475"/>
      <c r="U2050" s="787"/>
      <c r="V2050" s="787"/>
      <c r="W2050" s="787"/>
      <c r="X2050" s="787"/>
      <c r="Y2050" s="787"/>
      <c r="Z2050" s="791"/>
      <c r="AA2050" s="787"/>
      <c r="AB2050" s="787"/>
      <c r="AC2050" s="679"/>
    </row>
    <row r="2051" spans="1:29" ht="15.75" x14ac:dyDescent="0.25">
      <c r="A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4"/>
      <c r="N2051" s="13"/>
      <c r="O2051" s="4"/>
      <c r="P2051" s="1475"/>
      <c r="U2051" s="787"/>
      <c r="V2051" s="787"/>
      <c r="W2051" s="787"/>
      <c r="X2051" s="787"/>
      <c r="Y2051" s="787"/>
      <c r="Z2051" s="791"/>
      <c r="AA2051" s="787"/>
      <c r="AB2051" s="787"/>
      <c r="AC2051" s="679"/>
    </row>
    <row r="2052" spans="1:29" ht="15.75" x14ac:dyDescent="0.25">
      <c r="A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4"/>
      <c r="N2052" s="13"/>
      <c r="O2052" s="4"/>
      <c r="P2052" s="1475"/>
      <c r="U2052" s="787"/>
      <c r="V2052" s="787"/>
      <c r="W2052" s="787"/>
      <c r="X2052" s="787"/>
      <c r="Y2052" s="787"/>
      <c r="Z2052" s="791"/>
      <c r="AA2052" s="787"/>
      <c r="AB2052" s="787"/>
      <c r="AC2052" s="679"/>
    </row>
    <row r="2053" spans="1:29" ht="15.75" x14ac:dyDescent="0.25">
      <c r="A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4"/>
      <c r="N2053" s="13"/>
      <c r="O2053" s="4"/>
      <c r="P2053" s="1475"/>
      <c r="U2053" s="787"/>
      <c r="V2053" s="787"/>
      <c r="W2053" s="787"/>
      <c r="X2053" s="787"/>
      <c r="Y2053" s="787"/>
      <c r="Z2053" s="791"/>
      <c r="AA2053" s="787"/>
      <c r="AB2053" s="787"/>
      <c r="AC2053" s="679"/>
    </row>
    <row r="2054" spans="1:29" ht="15.75" x14ac:dyDescent="0.25">
      <c r="A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4"/>
      <c r="N2054" s="13"/>
      <c r="O2054" s="4"/>
      <c r="P2054" s="1475"/>
      <c r="U2054" s="787"/>
      <c r="V2054" s="787"/>
      <c r="W2054" s="787"/>
      <c r="X2054" s="787"/>
      <c r="Y2054" s="787"/>
      <c r="Z2054" s="791"/>
      <c r="AA2054" s="787"/>
      <c r="AB2054" s="787"/>
      <c r="AC2054" s="679"/>
    </row>
    <row r="2055" spans="1:29" ht="15.75" x14ac:dyDescent="0.25">
      <c r="A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4"/>
      <c r="N2055" s="13"/>
      <c r="O2055" s="4"/>
      <c r="P2055" s="1475"/>
      <c r="U2055" s="787"/>
      <c r="V2055" s="787"/>
      <c r="W2055" s="787"/>
      <c r="X2055" s="787"/>
      <c r="Y2055" s="787"/>
      <c r="Z2055" s="791"/>
      <c r="AA2055" s="787"/>
      <c r="AB2055" s="787"/>
      <c r="AC2055" s="679"/>
    </row>
    <row r="2056" spans="1:29" ht="15.75" x14ac:dyDescent="0.25">
      <c r="A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4"/>
      <c r="N2056" s="13"/>
      <c r="O2056" s="4"/>
      <c r="P2056" s="1475"/>
      <c r="U2056" s="787"/>
      <c r="V2056" s="787"/>
      <c r="W2056" s="787"/>
      <c r="X2056" s="787"/>
      <c r="Y2056" s="787"/>
      <c r="Z2056" s="791"/>
      <c r="AA2056" s="787"/>
      <c r="AB2056" s="787"/>
      <c r="AC2056" s="679"/>
    </row>
    <row r="2057" spans="1:29" ht="15.75" x14ac:dyDescent="0.25">
      <c r="A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4"/>
      <c r="N2057" s="13"/>
      <c r="O2057" s="4"/>
      <c r="P2057" s="1475"/>
      <c r="U2057" s="787"/>
      <c r="V2057" s="787"/>
      <c r="W2057" s="787"/>
      <c r="X2057" s="787"/>
      <c r="Y2057" s="787"/>
      <c r="Z2057" s="791"/>
      <c r="AA2057" s="787"/>
      <c r="AB2057" s="787"/>
      <c r="AC2057" s="679"/>
    </row>
    <row r="2058" spans="1:29" ht="15.75" x14ac:dyDescent="0.25">
      <c r="A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4"/>
      <c r="N2058" s="13"/>
      <c r="O2058" s="4"/>
      <c r="P2058" s="1475"/>
      <c r="U2058" s="787"/>
      <c r="V2058" s="787"/>
      <c r="W2058" s="787"/>
      <c r="X2058" s="787"/>
      <c r="Y2058" s="787"/>
      <c r="Z2058" s="791"/>
      <c r="AA2058" s="787"/>
      <c r="AB2058" s="787"/>
      <c r="AC2058" s="679"/>
    </row>
    <row r="2059" spans="1:29" ht="15.75" x14ac:dyDescent="0.25">
      <c r="A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4"/>
      <c r="N2059" s="13"/>
      <c r="O2059" s="4"/>
      <c r="P2059" s="1475"/>
      <c r="U2059" s="787"/>
      <c r="V2059" s="787"/>
      <c r="W2059" s="787"/>
      <c r="X2059" s="787"/>
      <c r="Y2059" s="787"/>
      <c r="Z2059" s="791"/>
      <c r="AA2059" s="787"/>
      <c r="AB2059" s="787"/>
      <c r="AC2059" s="679"/>
    </row>
    <row r="2060" spans="1:29" ht="15.75" x14ac:dyDescent="0.25">
      <c r="A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4"/>
      <c r="N2060" s="13"/>
      <c r="O2060" s="4"/>
      <c r="P2060" s="1475"/>
      <c r="U2060" s="787"/>
      <c r="V2060" s="787"/>
      <c r="W2060" s="787"/>
      <c r="X2060" s="787"/>
      <c r="Y2060" s="787"/>
      <c r="Z2060" s="791"/>
      <c r="AA2060" s="787"/>
      <c r="AB2060" s="787"/>
      <c r="AC2060" s="679"/>
    </row>
    <row r="2061" spans="1:29" ht="15.75" x14ac:dyDescent="0.25">
      <c r="A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4"/>
      <c r="N2061" s="13"/>
      <c r="O2061" s="4"/>
      <c r="P2061" s="1475"/>
      <c r="U2061" s="787"/>
      <c r="V2061" s="787"/>
      <c r="W2061" s="787"/>
      <c r="X2061" s="787"/>
      <c r="Y2061" s="787"/>
      <c r="Z2061" s="791"/>
      <c r="AA2061" s="787"/>
      <c r="AB2061" s="787"/>
      <c r="AC2061" s="679"/>
    </row>
    <row r="2062" spans="1:29" ht="15.75" x14ac:dyDescent="0.25">
      <c r="A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4"/>
      <c r="N2062" s="13"/>
      <c r="O2062" s="4"/>
      <c r="P2062" s="1475"/>
      <c r="U2062" s="787"/>
      <c r="V2062" s="787"/>
      <c r="W2062" s="787"/>
      <c r="X2062" s="787"/>
      <c r="Y2062" s="787"/>
      <c r="Z2062" s="791"/>
      <c r="AA2062" s="787"/>
      <c r="AB2062" s="787"/>
      <c r="AC2062" s="679"/>
    </row>
    <row r="2063" spans="1:29" ht="15.75" x14ac:dyDescent="0.25">
      <c r="A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4"/>
      <c r="N2063" s="13"/>
      <c r="O2063" s="4"/>
      <c r="P2063" s="1475"/>
      <c r="U2063" s="787"/>
      <c r="V2063" s="787"/>
      <c r="W2063" s="787"/>
      <c r="X2063" s="787"/>
      <c r="Y2063" s="787"/>
      <c r="Z2063" s="791"/>
      <c r="AA2063" s="787"/>
      <c r="AB2063" s="787"/>
      <c r="AC2063" s="679"/>
    </row>
    <row r="2064" spans="1:29" ht="15.75" x14ac:dyDescent="0.25">
      <c r="A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4"/>
      <c r="N2064" s="13"/>
      <c r="O2064" s="4"/>
      <c r="P2064" s="1475"/>
      <c r="U2064" s="787"/>
      <c r="V2064" s="787"/>
      <c r="W2064" s="787"/>
      <c r="X2064" s="787"/>
      <c r="Y2064" s="787"/>
      <c r="Z2064" s="791"/>
      <c r="AA2064" s="787"/>
      <c r="AB2064" s="787"/>
      <c r="AC2064" s="679"/>
    </row>
    <row r="2065" spans="1:29" ht="15.75" x14ac:dyDescent="0.25">
      <c r="A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4"/>
      <c r="N2065" s="13"/>
      <c r="O2065" s="4"/>
      <c r="P2065" s="1475"/>
      <c r="U2065" s="787"/>
      <c r="V2065" s="787"/>
      <c r="W2065" s="787"/>
      <c r="X2065" s="787"/>
      <c r="Y2065" s="787"/>
      <c r="Z2065" s="791"/>
      <c r="AA2065" s="787"/>
      <c r="AB2065" s="787"/>
      <c r="AC2065" s="679"/>
    </row>
    <row r="2066" spans="1:29" ht="15.75" x14ac:dyDescent="0.25">
      <c r="A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4"/>
      <c r="N2066" s="13"/>
      <c r="O2066" s="4"/>
      <c r="P2066" s="1475"/>
      <c r="U2066" s="787"/>
      <c r="V2066" s="787"/>
      <c r="W2066" s="787"/>
      <c r="X2066" s="787"/>
      <c r="Y2066" s="787"/>
      <c r="Z2066" s="791"/>
      <c r="AA2066" s="787"/>
      <c r="AB2066" s="787"/>
      <c r="AC2066" s="679"/>
    </row>
    <row r="2067" spans="1:29" ht="15.75" x14ac:dyDescent="0.25">
      <c r="A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4"/>
      <c r="N2067" s="13"/>
      <c r="O2067" s="4"/>
      <c r="P2067" s="1475"/>
      <c r="U2067" s="787"/>
      <c r="V2067" s="787"/>
      <c r="W2067" s="787"/>
      <c r="X2067" s="787"/>
      <c r="Y2067" s="787"/>
      <c r="Z2067" s="791"/>
      <c r="AA2067" s="787"/>
      <c r="AB2067" s="787"/>
      <c r="AC2067" s="679"/>
    </row>
    <row r="2068" spans="1:29" ht="15.75" x14ac:dyDescent="0.25">
      <c r="A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4"/>
      <c r="N2068" s="13"/>
      <c r="O2068" s="4"/>
      <c r="P2068" s="1475"/>
      <c r="U2068" s="787"/>
      <c r="V2068" s="787"/>
      <c r="W2068" s="787"/>
      <c r="X2068" s="787"/>
      <c r="Y2068" s="787"/>
      <c r="Z2068" s="791"/>
      <c r="AA2068" s="787"/>
      <c r="AB2068" s="787"/>
      <c r="AC2068" s="679"/>
    </row>
    <row r="2069" spans="1:29" ht="15.75" x14ac:dyDescent="0.25">
      <c r="A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4"/>
      <c r="N2069" s="13"/>
      <c r="O2069" s="4"/>
      <c r="P2069" s="1475"/>
      <c r="U2069" s="787"/>
      <c r="V2069" s="787"/>
      <c r="W2069" s="787"/>
      <c r="X2069" s="787"/>
      <c r="Y2069" s="787"/>
      <c r="Z2069" s="791"/>
      <c r="AA2069" s="787"/>
      <c r="AB2069" s="787"/>
      <c r="AC2069" s="679"/>
    </row>
    <row r="2070" spans="1:29" ht="15.75" x14ac:dyDescent="0.25">
      <c r="A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4"/>
      <c r="N2070" s="13"/>
      <c r="O2070" s="4"/>
      <c r="P2070" s="1475"/>
      <c r="U2070" s="787"/>
      <c r="V2070" s="787"/>
      <c r="W2070" s="787"/>
      <c r="X2070" s="787"/>
      <c r="Y2070" s="787"/>
      <c r="Z2070" s="791"/>
      <c r="AA2070" s="787"/>
      <c r="AB2070" s="787"/>
      <c r="AC2070" s="679"/>
    </row>
    <row r="2071" spans="1:29" ht="15.75" x14ac:dyDescent="0.25">
      <c r="A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4"/>
      <c r="N2071" s="13"/>
      <c r="O2071" s="4"/>
      <c r="P2071" s="1475"/>
      <c r="U2071" s="787"/>
      <c r="V2071" s="787"/>
      <c r="W2071" s="787"/>
      <c r="X2071" s="787"/>
      <c r="Y2071" s="787"/>
      <c r="Z2071" s="791"/>
      <c r="AA2071" s="787"/>
      <c r="AB2071" s="787"/>
      <c r="AC2071" s="679"/>
    </row>
    <row r="2072" spans="1:29" ht="15.75" x14ac:dyDescent="0.25">
      <c r="A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4"/>
      <c r="N2072" s="13"/>
      <c r="O2072" s="4"/>
      <c r="P2072" s="1475"/>
      <c r="U2072" s="787"/>
      <c r="V2072" s="787"/>
      <c r="W2072" s="787"/>
      <c r="X2072" s="787"/>
      <c r="Y2072" s="787"/>
      <c r="Z2072" s="791"/>
      <c r="AA2072" s="787"/>
      <c r="AB2072" s="787"/>
      <c r="AC2072" s="679"/>
    </row>
    <row r="2073" spans="1:29" ht="15.75" x14ac:dyDescent="0.25">
      <c r="A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4"/>
      <c r="N2073" s="13"/>
      <c r="O2073" s="4"/>
      <c r="P2073" s="1475"/>
      <c r="U2073" s="787"/>
      <c r="V2073" s="787"/>
      <c r="W2073" s="787"/>
      <c r="X2073" s="787"/>
      <c r="Y2073" s="787"/>
      <c r="Z2073" s="791"/>
      <c r="AA2073" s="787"/>
      <c r="AB2073" s="787"/>
      <c r="AC2073" s="679"/>
    </row>
    <row r="2074" spans="1:29" ht="15.75" x14ac:dyDescent="0.25">
      <c r="A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4"/>
      <c r="N2074" s="13"/>
      <c r="O2074" s="4"/>
      <c r="P2074" s="1475"/>
      <c r="U2074" s="787"/>
      <c r="V2074" s="787"/>
      <c r="W2074" s="787"/>
      <c r="X2074" s="787"/>
      <c r="Y2074" s="787"/>
      <c r="Z2074" s="791"/>
      <c r="AA2074" s="787"/>
      <c r="AB2074" s="787"/>
      <c r="AC2074" s="679"/>
    </row>
    <row r="2075" spans="1:29" ht="15.75" x14ac:dyDescent="0.25">
      <c r="A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4"/>
      <c r="N2075" s="13"/>
      <c r="O2075" s="4"/>
      <c r="P2075" s="1475"/>
      <c r="U2075" s="787"/>
      <c r="V2075" s="787"/>
      <c r="W2075" s="787"/>
      <c r="X2075" s="787"/>
      <c r="Y2075" s="787"/>
      <c r="Z2075" s="791"/>
      <c r="AA2075" s="787"/>
      <c r="AB2075" s="787"/>
      <c r="AC2075" s="679"/>
    </row>
    <row r="2076" spans="1:29" ht="15.75" x14ac:dyDescent="0.25">
      <c r="A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4"/>
      <c r="N2076" s="13"/>
      <c r="O2076" s="4"/>
      <c r="P2076" s="1475"/>
      <c r="U2076" s="787"/>
      <c r="V2076" s="787"/>
      <c r="W2076" s="787"/>
      <c r="X2076" s="787"/>
      <c r="Y2076" s="787"/>
      <c r="Z2076" s="791"/>
      <c r="AA2076" s="787"/>
      <c r="AB2076" s="787"/>
      <c r="AC2076" s="679"/>
    </row>
    <row r="2077" spans="1:29" ht="15.75" x14ac:dyDescent="0.25">
      <c r="A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4"/>
      <c r="N2077" s="13"/>
      <c r="O2077" s="4"/>
      <c r="P2077" s="1475"/>
      <c r="U2077" s="787"/>
      <c r="V2077" s="787"/>
      <c r="W2077" s="787"/>
      <c r="X2077" s="787"/>
      <c r="Y2077" s="787"/>
      <c r="Z2077" s="791"/>
      <c r="AA2077" s="787"/>
      <c r="AB2077" s="787"/>
      <c r="AC2077" s="679"/>
    </row>
    <row r="2078" spans="1:29" ht="15.75" x14ac:dyDescent="0.25">
      <c r="A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4"/>
      <c r="N2078" s="13"/>
      <c r="O2078" s="4"/>
      <c r="P2078" s="1475"/>
      <c r="U2078" s="787"/>
      <c r="V2078" s="787"/>
      <c r="W2078" s="787"/>
      <c r="X2078" s="787"/>
      <c r="Y2078" s="787"/>
      <c r="Z2078" s="791"/>
      <c r="AA2078" s="787"/>
      <c r="AB2078" s="787"/>
      <c r="AC2078" s="679"/>
    </row>
    <row r="2079" spans="1:29" ht="15.75" x14ac:dyDescent="0.25">
      <c r="A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4"/>
      <c r="N2079" s="13"/>
      <c r="O2079" s="4"/>
      <c r="P2079" s="1475"/>
      <c r="U2079" s="787"/>
      <c r="V2079" s="787"/>
      <c r="W2079" s="787"/>
      <c r="X2079" s="787"/>
      <c r="Y2079" s="787"/>
      <c r="Z2079" s="791"/>
      <c r="AA2079" s="787"/>
      <c r="AB2079" s="787"/>
      <c r="AC2079" s="679"/>
    </row>
    <row r="2080" spans="1:29" ht="15.75" x14ac:dyDescent="0.25">
      <c r="A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4"/>
      <c r="N2080" s="13"/>
      <c r="O2080" s="4"/>
      <c r="P2080" s="1475"/>
      <c r="U2080" s="787"/>
      <c r="V2080" s="787"/>
      <c r="W2080" s="787"/>
      <c r="X2080" s="787"/>
      <c r="Y2080" s="787"/>
      <c r="Z2080" s="791"/>
      <c r="AA2080" s="787"/>
      <c r="AB2080" s="787"/>
      <c r="AC2080" s="679"/>
    </row>
    <row r="2081" spans="1:29" ht="15.75" x14ac:dyDescent="0.25">
      <c r="A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4"/>
      <c r="N2081" s="13"/>
      <c r="O2081" s="4"/>
      <c r="P2081" s="1475"/>
      <c r="U2081" s="787"/>
      <c r="V2081" s="787"/>
      <c r="W2081" s="787"/>
      <c r="X2081" s="787"/>
      <c r="Y2081" s="787"/>
      <c r="Z2081" s="791"/>
      <c r="AA2081" s="787"/>
      <c r="AB2081" s="787"/>
      <c r="AC2081" s="679"/>
    </row>
    <row r="2082" spans="1:29" ht="15.75" x14ac:dyDescent="0.25">
      <c r="A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4"/>
      <c r="N2082" s="13"/>
      <c r="O2082" s="4"/>
      <c r="P2082" s="1475"/>
      <c r="U2082" s="787"/>
      <c r="V2082" s="787"/>
      <c r="W2082" s="787"/>
      <c r="X2082" s="787"/>
      <c r="Y2082" s="787"/>
      <c r="Z2082" s="791"/>
      <c r="AA2082" s="787"/>
      <c r="AB2082" s="787"/>
      <c r="AC2082" s="679"/>
    </row>
    <row r="2083" spans="1:29" ht="15.75" x14ac:dyDescent="0.25">
      <c r="A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4"/>
      <c r="N2083" s="13"/>
      <c r="O2083" s="4"/>
      <c r="P2083" s="1475"/>
      <c r="U2083" s="787"/>
      <c r="V2083" s="787"/>
      <c r="W2083" s="787"/>
      <c r="X2083" s="787"/>
      <c r="Y2083" s="787"/>
      <c r="Z2083" s="791"/>
      <c r="AA2083" s="787"/>
      <c r="AB2083" s="787"/>
      <c r="AC2083" s="679"/>
    </row>
    <row r="2084" spans="1:29" ht="15.75" x14ac:dyDescent="0.25">
      <c r="A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4"/>
      <c r="N2084" s="13"/>
      <c r="O2084" s="4"/>
      <c r="P2084" s="1475"/>
      <c r="U2084" s="787"/>
      <c r="V2084" s="787"/>
      <c r="W2084" s="787"/>
      <c r="X2084" s="787"/>
      <c r="Y2084" s="787"/>
      <c r="Z2084" s="791"/>
      <c r="AA2084" s="787"/>
      <c r="AB2084" s="787"/>
      <c r="AC2084" s="679"/>
    </row>
    <row r="2085" spans="1:29" ht="15.75" x14ac:dyDescent="0.25">
      <c r="A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4"/>
      <c r="N2085" s="13"/>
      <c r="O2085" s="4"/>
      <c r="P2085" s="1475"/>
      <c r="U2085" s="787"/>
      <c r="V2085" s="787"/>
      <c r="W2085" s="787"/>
      <c r="X2085" s="787"/>
      <c r="Y2085" s="787"/>
      <c r="Z2085" s="791"/>
      <c r="AA2085" s="787"/>
      <c r="AB2085" s="787"/>
      <c r="AC2085" s="679"/>
    </row>
    <row r="2086" spans="1:29" ht="15.75" x14ac:dyDescent="0.25">
      <c r="A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4"/>
      <c r="N2086" s="13"/>
      <c r="O2086" s="4"/>
      <c r="P2086" s="1475"/>
      <c r="U2086" s="787"/>
      <c r="V2086" s="787"/>
      <c r="W2086" s="787"/>
      <c r="X2086" s="787"/>
      <c r="Y2086" s="787"/>
      <c r="Z2086" s="791"/>
      <c r="AA2086" s="787"/>
      <c r="AB2086" s="787"/>
      <c r="AC2086" s="679"/>
    </row>
    <row r="2087" spans="1:29" ht="15.75" x14ac:dyDescent="0.25">
      <c r="A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4"/>
      <c r="N2087" s="13"/>
      <c r="O2087" s="4"/>
      <c r="P2087" s="1475"/>
      <c r="U2087" s="787"/>
      <c r="V2087" s="787"/>
      <c r="W2087" s="787"/>
      <c r="X2087" s="787"/>
      <c r="Y2087" s="787"/>
      <c r="Z2087" s="791"/>
      <c r="AA2087" s="787"/>
      <c r="AB2087" s="787"/>
      <c r="AC2087" s="679"/>
    </row>
    <row r="2088" spans="1:29" ht="15.75" x14ac:dyDescent="0.25">
      <c r="A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4"/>
      <c r="N2088" s="13"/>
      <c r="O2088" s="4"/>
      <c r="P2088" s="1475"/>
      <c r="U2088" s="787"/>
      <c r="V2088" s="787"/>
      <c r="W2088" s="787"/>
      <c r="X2088" s="787"/>
      <c r="Y2088" s="787"/>
      <c r="Z2088" s="791"/>
      <c r="AA2088" s="787"/>
      <c r="AB2088" s="787"/>
      <c r="AC2088" s="679"/>
    </row>
    <row r="2089" spans="1:29" ht="15.75" x14ac:dyDescent="0.25">
      <c r="A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4"/>
      <c r="N2089" s="13"/>
      <c r="O2089" s="4"/>
      <c r="P2089" s="1475"/>
      <c r="U2089" s="787"/>
      <c r="V2089" s="787"/>
      <c r="W2089" s="787"/>
      <c r="X2089" s="787"/>
      <c r="Y2089" s="787"/>
      <c r="Z2089" s="791"/>
      <c r="AA2089" s="787"/>
      <c r="AB2089" s="787"/>
      <c r="AC2089" s="679"/>
    </row>
    <row r="2090" spans="1:29" ht="15.75" x14ac:dyDescent="0.25">
      <c r="A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4"/>
      <c r="N2090" s="13"/>
      <c r="O2090" s="4"/>
      <c r="P2090" s="1475"/>
      <c r="U2090" s="787"/>
      <c r="V2090" s="787"/>
      <c r="W2090" s="787"/>
      <c r="X2090" s="787"/>
      <c r="Y2090" s="787"/>
      <c r="Z2090" s="791"/>
      <c r="AA2090" s="787"/>
      <c r="AB2090" s="787"/>
      <c r="AC2090" s="679"/>
    </row>
    <row r="2091" spans="1:29" ht="15.75" x14ac:dyDescent="0.25">
      <c r="A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4"/>
      <c r="N2091" s="13"/>
      <c r="O2091" s="4"/>
      <c r="P2091" s="1475"/>
      <c r="U2091" s="787"/>
      <c r="V2091" s="787"/>
      <c r="W2091" s="787"/>
      <c r="X2091" s="787"/>
      <c r="Y2091" s="787"/>
      <c r="Z2091" s="791"/>
      <c r="AA2091" s="787"/>
      <c r="AB2091" s="787"/>
      <c r="AC2091" s="679"/>
    </row>
    <row r="2092" spans="1:29" ht="15.75" x14ac:dyDescent="0.25">
      <c r="A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4"/>
      <c r="N2092" s="13"/>
      <c r="O2092" s="4"/>
      <c r="P2092" s="1475"/>
      <c r="U2092" s="787"/>
      <c r="V2092" s="787"/>
      <c r="W2092" s="787"/>
      <c r="X2092" s="787"/>
      <c r="Y2092" s="787"/>
      <c r="Z2092" s="791"/>
      <c r="AA2092" s="787"/>
      <c r="AB2092" s="787"/>
      <c r="AC2092" s="679"/>
    </row>
    <row r="2093" spans="1:29" ht="15.75" x14ac:dyDescent="0.25">
      <c r="A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4"/>
      <c r="N2093" s="13"/>
      <c r="O2093" s="4"/>
      <c r="P2093" s="1475"/>
      <c r="U2093" s="787"/>
      <c r="V2093" s="787"/>
      <c r="W2093" s="787"/>
      <c r="X2093" s="787"/>
      <c r="Y2093" s="787"/>
      <c r="Z2093" s="791"/>
      <c r="AA2093" s="787"/>
      <c r="AB2093" s="787"/>
      <c r="AC2093" s="679"/>
    </row>
    <row r="2094" spans="1:29" ht="15.75" x14ac:dyDescent="0.25">
      <c r="A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4"/>
      <c r="N2094" s="13"/>
      <c r="O2094" s="4"/>
      <c r="P2094" s="1475"/>
      <c r="U2094" s="787"/>
      <c r="V2094" s="787"/>
      <c r="W2094" s="787"/>
      <c r="X2094" s="787"/>
      <c r="Y2094" s="787"/>
      <c r="Z2094" s="791"/>
      <c r="AA2094" s="787"/>
      <c r="AB2094" s="787"/>
      <c r="AC2094" s="679"/>
    </row>
    <row r="2095" spans="1:29" ht="15.75" x14ac:dyDescent="0.25">
      <c r="A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4"/>
      <c r="N2095" s="13"/>
      <c r="O2095" s="4"/>
      <c r="P2095" s="1475"/>
      <c r="U2095" s="787"/>
      <c r="V2095" s="787"/>
      <c r="W2095" s="787"/>
      <c r="X2095" s="787"/>
      <c r="Y2095" s="787"/>
      <c r="Z2095" s="791"/>
      <c r="AA2095" s="787"/>
      <c r="AB2095" s="787"/>
      <c r="AC2095" s="679"/>
    </row>
    <row r="2096" spans="1:29" ht="15.75" x14ac:dyDescent="0.25">
      <c r="A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4"/>
      <c r="N2096" s="13"/>
      <c r="O2096" s="4"/>
      <c r="P2096" s="1475"/>
      <c r="U2096" s="787"/>
      <c r="V2096" s="787"/>
      <c r="W2096" s="787"/>
      <c r="X2096" s="787"/>
      <c r="Y2096" s="787"/>
      <c r="Z2096" s="791"/>
      <c r="AA2096" s="787"/>
      <c r="AB2096" s="787"/>
      <c r="AC2096" s="679"/>
    </row>
    <row r="2097" spans="1:29" ht="15.75" x14ac:dyDescent="0.25">
      <c r="A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4"/>
      <c r="N2097" s="13"/>
      <c r="O2097" s="4"/>
      <c r="P2097" s="1475"/>
      <c r="U2097" s="787"/>
      <c r="V2097" s="787"/>
      <c r="W2097" s="787"/>
      <c r="X2097" s="787"/>
      <c r="Y2097" s="787"/>
      <c r="Z2097" s="791"/>
      <c r="AA2097" s="787"/>
      <c r="AB2097" s="787"/>
      <c r="AC2097" s="679"/>
    </row>
    <row r="2098" spans="1:29" ht="15.75" x14ac:dyDescent="0.25">
      <c r="A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4"/>
      <c r="N2098" s="13"/>
      <c r="O2098" s="4"/>
      <c r="P2098" s="1475"/>
      <c r="U2098" s="787"/>
      <c r="V2098" s="787"/>
      <c r="W2098" s="787"/>
      <c r="X2098" s="787"/>
      <c r="Y2098" s="787"/>
      <c r="Z2098" s="791"/>
      <c r="AA2098" s="787"/>
      <c r="AB2098" s="787"/>
      <c r="AC2098" s="679"/>
    </row>
    <row r="2099" spans="1:29" ht="15.75" x14ac:dyDescent="0.25">
      <c r="A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4"/>
      <c r="N2099" s="13"/>
      <c r="O2099" s="4"/>
      <c r="P2099" s="1475"/>
      <c r="U2099" s="787"/>
      <c r="V2099" s="787"/>
      <c r="W2099" s="787"/>
      <c r="X2099" s="787"/>
      <c r="Y2099" s="787"/>
      <c r="Z2099" s="791"/>
      <c r="AA2099" s="787"/>
      <c r="AB2099" s="787"/>
      <c r="AC2099" s="679"/>
    </row>
    <row r="2100" spans="1:29" ht="15.75" x14ac:dyDescent="0.25">
      <c r="A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4"/>
      <c r="N2100" s="13"/>
      <c r="O2100" s="4"/>
      <c r="P2100" s="1475"/>
      <c r="U2100" s="787"/>
      <c r="V2100" s="787"/>
      <c r="W2100" s="787"/>
      <c r="X2100" s="787"/>
      <c r="Y2100" s="787"/>
      <c r="Z2100" s="791"/>
      <c r="AA2100" s="787"/>
      <c r="AB2100" s="787"/>
      <c r="AC2100" s="679"/>
    </row>
    <row r="2101" spans="1:29" ht="15.75" x14ac:dyDescent="0.25">
      <c r="A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4"/>
      <c r="N2101" s="13"/>
      <c r="O2101" s="4"/>
      <c r="P2101" s="1475"/>
      <c r="U2101" s="787"/>
      <c r="V2101" s="787"/>
      <c r="W2101" s="787"/>
      <c r="X2101" s="787"/>
      <c r="Y2101" s="787"/>
      <c r="Z2101" s="791"/>
      <c r="AA2101" s="787"/>
      <c r="AB2101" s="787"/>
      <c r="AC2101" s="679"/>
    </row>
    <row r="2102" spans="1:29" ht="15.75" x14ac:dyDescent="0.25">
      <c r="A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4"/>
      <c r="N2102" s="13"/>
      <c r="O2102" s="4"/>
      <c r="P2102" s="1475"/>
      <c r="U2102" s="787"/>
      <c r="V2102" s="787"/>
      <c r="W2102" s="787"/>
      <c r="X2102" s="787"/>
      <c r="Y2102" s="787"/>
      <c r="Z2102" s="791"/>
      <c r="AA2102" s="787"/>
      <c r="AB2102" s="787"/>
      <c r="AC2102" s="679"/>
    </row>
    <row r="2103" spans="1:29" ht="15.75" x14ac:dyDescent="0.25">
      <c r="A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4"/>
      <c r="N2103" s="13"/>
      <c r="O2103" s="4"/>
      <c r="P2103" s="1475"/>
      <c r="U2103" s="787"/>
      <c r="V2103" s="787"/>
      <c r="W2103" s="787"/>
      <c r="X2103" s="787"/>
      <c r="Y2103" s="787"/>
      <c r="Z2103" s="791"/>
      <c r="AA2103" s="787"/>
      <c r="AB2103" s="787"/>
      <c r="AC2103" s="679"/>
    </row>
    <row r="2104" spans="1:29" ht="15.75" x14ac:dyDescent="0.25">
      <c r="A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4"/>
      <c r="N2104" s="13"/>
      <c r="O2104" s="4"/>
      <c r="P2104" s="1475"/>
      <c r="U2104" s="787"/>
      <c r="V2104" s="787"/>
      <c r="W2104" s="787"/>
      <c r="X2104" s="787"/>
      <c r="Y2104" s="787"/>
      <c r="Z2104" s="791"/>
      <c r="AA2104" s="787"/>
      <c r="AB2104" s="787"/>
      <c r="AC2104" s="679"/>
    </row>
    <row r="2105" spans="1:29" ht="15.75" x14ac:dyDescent="0.25">
      <c r="A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4"/>
      <c r="N2105" s="13"/>
      <c r="O2105" s="4"/>
      <c r="P2105" s="1475"/>
      <c r="U2105" s="787"/>
      <c r="V2105" s="787"/>
      <c r="W2105" s="787"/>
      <c r="X2105" s="787"/>
      <c r="Y2105" s="787"/>
      <c r="Z2105" s="791"/>
      <c r="AA2105" s="787"/>
      <c r="AB2105" s="787"/>
      <c r="AC2105" s="679"/>
    </row>
    <row r="2106" spans="1:29" ht="15.75" x14ac:dyDescent="0.25">
      <c r="A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4"/>
      <c r="N2106" s="13"/>
      <c r="O2106" s="4"/>
      <c r="P2106" s="1475"/>
      <c r="U2106" s="787"/>
      <c r="V2106" s="787"/>
      <c r="W2106" s="787"/>
      <c r="X2106" s="787"/>
      <c r="Y2106" s="787"/>
      <c r="Z2106" s="791"/>
      <c r="AA2106" s="787"/>
      <c r="AB2106" s="787"/>
      <c r="AC2106" s="679"/>
    </row>
    <row r="2107" spans="1:29" ht="15.75" x14ac:dyDescent="0.25">
      <c r="A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4"/>
      <c r="N2107" s="13"/>
      <c r="O2107" s="4"/>
      <c r="P2107" s="1475"/>
      <c r="U2107" s="787"/>
      <c r="V2107" s="787"/>
      <c r="W2107" s="787"/>
      <c r="X2107" s="787"/>
      <c r="Y2107" s="787"/>
      <c r="Z2107" s="791"/>
      <c r="AA2107" s="787"/>
      <c r="AB2107" s="787"/>
      <c r="AC2107" s="679"/>
    </row>
    <row r="2108" spans="1:29" ht="15.75" x14ac:dyDescent="0.25">
      <c r="A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4"/>
      <c r="N2108" s="13"/>
      <c r="O2108" s="4"/>
      <c r="P2108" s="1475"/>
      <c r="U2108" s="787"/>
      <c r="V2108" s="787"/>
      <c r="W2108" s="787"/>
      <c r="X2108" s="787"/>
      <c r="Y2108" s="787"/>
      <c r="Z2108" s="791"/>
      <c r="AA2108" s="787"/>
      <c r="AB2108" s="787"/>
      <c r="AC2108" s="679"/>
    </row>
    <row r="2109" spans="1:29" ht="15.75" x14ac:dyDescent="0.25">
      <c r="A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4"/>
      <c r="N2109" s="13"/>
      <c r="O2109" s="4"/>
      <c r="P2109" s="1475"/>
      <c r="U2109" s="787"/>
      <c r="V2109" s="787"/>
      <c r="W2109" s="787"/>
      <c r="X2109" s="787"/>
      <c r="Y2109" s="787"/>
      <c r="Z2109" s="791"/>
      <c r="AA2109" s="787"/>
      <c r="AB2109" s="787"/>
      <c r="AC2109" s="679"/>
    </row>
    <row r="2110" spans="1:29" ht="15.75" x14ac:dyDescent="0.25">
      <c r="A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4"/>
      <c r="N2110" s="13"/>
      <c r="O2110" s="4"/>
      <c r="P2110" s="1475"/>
      <c r="U2110" s="787"/>
      <c r="V2110" s="787"/>
      <c r="W2110" s="787"/>
      <c r="X2110" s="787"/>
      <c r="Y2110" s="787"/>
      <c r="Z2110" s="791"/>
      <c r="AA2110" s="787"/>
      <c r="AB2110" s="787"/>
      <c r="AC2110" s="679"/>
    </row>
    <row r="2111" spans="1:29" ht="15.75" x14ac:dyDescent="0.25">
      <c r="A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4"/>
      <c r="N2111" s="13"/>
      <c r="O2111" s="4"/>
      <c r="P2111" s="1475"/>
      <c r="U2111" s="787"/>
      <c r="V2111" s="787"/>
      <c r="W2111" s="787"/>
      <c r="X2111" s="787"/>
      <c r="Y2111" s="787"/>
      <c r="Z2111" s="791"/>
      <c r="AA2111" s="787"/>
      <c r="AB2111" s="787"/>
      <c r="AC2111" s="679"/>
    </row>
    <row r="2112" spans="1:29" ht="15.75" x14ac:dyDescent="0.25">
      <c r="A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4"/>
      <c r="N2112" s="13"/>
      <c r="O2112" s="4"/>
      <c r="P2112" s="1475"/>
      <c r="U2112" s="787"/>
      <c r="V2112" s="787"/>
      <c r="W2112" s="787"/>
      <c r="X2112" s="787"/>
      <c r="Y2112" s="787"/>
      <c r="Z2112" s="791"/>
      <c r="AA2112" s="787"/>
      <c r="AB2112" s="787"/>
      <c r="AC2112" s="679"/>
    </row>
    <row r="2113" spans="1:29" ht="15.75" x14ac:dyDescent="0.25">
      <c r="A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4"/>
      <c r="N2113" s="13"/>
      <c r="O2113" s="4"/>
      <c r="P2113" s="1475"/>
      <c r="U2113" s="787"/>
      <c r="V2113" s="787"/>
      <c r="W2113" s="787"/>
      <c r="X2113" s="787"/>
      <c r="Y2113" s="787"/>
      <c r="Z2113" s="791"/>
      <c r="AA2113" s="787"/>
      <c r="AB2113" s="787"/>
      <c r="AC2113" s="679"/>
    </row>
    <row r="2114" spans="1:29" ht="15.75" x14ac:dyDescent="0.25">
      <c r="A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4"/>
      <c r="N2114" s="13"/>
      <c r="O2114" s="4"/>
      <c r="P2114" s="1475"/>
      <c r="U2114" s="787"/>
      <c r="V2114" s="787"/>
      <c r="W2114" s="787"/>
      <c r="X2114" s="787"/>
      <c r="Y2114" s="787"/>
      <c r="Z2114" s="791"/>
      <c r="AA2114" s="787"/>
      <c r="AB2114" s="787"/>
      <c r="AC2114" s="679"/>
    </row>
    <row r="2115" spans="1:29" ht="15.75" x14ac:dyDescent="0.25">
      <c r="A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4"/>
      <c r="N2115" s="13"/>
      <c r="O2115" s="4"/>
      <c r="P2115" s="1475"/>
      <c r="U2115" s="787"/>
      <c r="V2115" s="787"/>
      <c r="W2115" s="787"/>
      <c r="X2115" s="787"/>
      <c r="Y2115" s="787"/>
      <c r="Z2115" s="791"/>
      <c r="AA2115" s="787"/>
      <c r="AB2115" s="787"/>
      <c r="AC2115" s="679"/>
    </row>
    <row r="2116" spans="1:29" ht="15.75" x14ac:dyDescent="0.25">
      <c r="A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4"/>
      <c r="N2116" s="13"/>
      <c r="O2116" s="4"/>
      <c r="P2116" s="1475"/>
      <c r="U2116" s="787"/>
      <c r="V2116" s="787"/>
      <c r="W2116" s="787"/>
      <c r="X2116" s="787"/>
      <c r="Y2116" s="787"/>
      <c r="Z2116" s="791"/>
      <c r="AA2116" s="787"/>
      <c r="AB2116" s="787"/>
      <c r="AC2116" s="679"/>
    </row>
    <row r="2117" spans="1:29" ht="15.75" x14ac:dyDescent="0.25">
      <c r="A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4"/>
      <c r="N2117" s="13"/>
      <c r="O2117" s="4"/>
      <c r="P2117" s="1475"/>
      <c r="U2117" s="787"/>
      <c r="V2117" s="787"/>
      <c r="W2117" s="787"/>
      <c r="X2117" s="787"/>
      <c r="Y2117" s="787"/>
      <c r="Z2117" s="791"/>
      <c r="AA2117" s="787"/>
      <c r="AB2117" s="787"/>
      <c r="AC2117" s="679"/>
    </row>
    <row r="2118" spans="1:29" ht="15.75" x14ac:dyDescent="0.25">
      <c r="A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4"/>
      <c r="N2118" s="13"/>
      <c r="O2118" s="4"/>
      <c r="P2118" s="1475"/>
      <c r="U2118" s="787"/>
      <c r="V2118" s="787"/>
      <c r="W2118" s="787"/>
      <c r="X2118" s="787"/>
      <c r="Y2118" s="787"/>
      <c r="Z2118" s="791"/>
      <c r="AA2118" s="787"/>
      <c r="AB2118" s="787"/>
      <c r="AC2118" s="679"/>
    </row>
    <row r="2119" spans="1:29" ht="15.75" x14ac:dyDescent="0.25">
      <c r="A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4"/>
      <c r="N2119" s="13"/>
      <c r="O2119" s="4"/>
      <c r="P2119" s="1475"/>
      <c r="U2119" s="787"/>
      <c r="V2119" s="787"/>
      <c r="W2119" s="787"/>
      <c r="X2119" s="787"/>
      <c r="Y2119" s="787"/>
      <c r="Z2119" s="791"/>
      <c r="AA2119" s="787"/>
      <c r="AB2119" s="787"/>
      <c r="AC2119" s="679"/>
    </row>
    <row r="2120" spans="1:29" ht="15.75" x14ac:dyDescent="0.25">
      <c r="A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4"/>
      <c r="N2120" s="13"/>
      <c r="O2120" s="4"/>
      <c r="P2120" s="1475"/>
      <c r="U2120" s="787"/>
      <c r="V2120" s="787"/>
      <c r="W2120" s="787"/>
      <c r="X2120" s="787"/>
      <c r="Y2120" s="787"/>
      <c r="Z2120" s="791"/>
      <c r="AA2120" s="787"/>
      <c r="AB2120" s="787"/>
      <c r="AC2120" s="679"/>
    </row>
    <row r="2121" spans="1:29" ht="15.75" x14ac:dyDescent="0.25">
      <c r="A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4"/>
      <c r="N2121" s="13"/>
      <c r="O2121" s="4"/>
      <c r="P2121" s="1475"/>
      <c r="U2121" s="787"/>
      <c r="V2121" s="787"/>
      <c r="W2121" s="787"/>
      <c r="X2121" s="787"/>
      <c r="Y2121" s="787"/>
      <c r="Z2121" s="791"/>
      <c r="AA2121" s="787"/>
      <c r="AB2121" s="787"/>
      <c r="AC2121" s="679"/>
    </row>
    <row r="2122" spans="1:29" ht="15.75" x14ac:dyDescent="0.25">
      <c r="A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4"/>
      <c r="N2122" s="13"/>
      <c r="O2122" s="4"/>
      <c r="P2122" s="1475"/>
      <c r="U2122" s="787"/>
      <c r="V2122" s="787"/>
      <c r="W2122" s="787"/>
      <c r="X2122" s="787"/>
      <c r="Y2122" s="787"/>
      <c r="Z2122" s="791"/>
      <c r="AA2122" s="787"/>
      <c r="AB2122" s="787"/>
      <c r="AC2122" s="679"/>
    </row>
    <row r="2123" spans="1:29" ht="15.75" x14ac:dyDescent="0.25">
      <c r="A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4"/>
      <c r="N2123" s="13"/>
      <c r="O2123" s="4"/>
      <c r="P2123" s="1475"/>
      <c r="U2123" s="787"/>
      <c r="V2123" s="787"/>
      <c r="W2123" s="787"/>
      <c r="X2123" s="787"/>
      <c r="Y2123" s="787"/>
      <c r="Z2123" s="791"/>
      <c r="AA2123" s="787"/>
      <c r="AB2123" s="787"/>
      <c r="AC2123" s="679"/>
    </row>
    <row r="2124" spans="1:29" ht="15.75" x14ac:dyDescent="0.25">
      <c r="A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4"/>
      <c r="N2124" s="13"/>
      <c r="O2124" s="4"/>
      <c r="P2124" s="1475"/>
      <c r="U2124" s="787"/>
      <c r="V2124" s="787"/>
      <c r="W2124" s="787"/>
      <c r="X2124" s="787"/>
      <c r="Y2124" s="787"/>
      <c r="Z2124" s="791"/>
      <c r="AA2124" s="787"/>
      <c r="AB2124" s="787"/>
      <c r="AC2124" s="679"/>
    </row>
    <row r="2125" spans="1:29" ht="15.75" x14ac:dyDescent="0.25">
      <c r="A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4"/>
      <c r="N2125" s="13"/>
      <c r="O2125" s="4"/>
      <c r="P2125" s="1475"/>
      <c r="U2125" s="787"/>
      <c r="V2125" s="787"/>
      <c r="W2125" s="787"/>
      <c r="X2125" s="787"/>
      <c r="Y2125" s="787"/>
      <c r="Z2125" s="791"/>
      <c r="AA2125" s="787"/>
      <c r="AB2125" s="787"/>
      <c r="AC2125" s="679"/>
    </row>
    <row r="2126" spans="1:29" ht="15.75" x14ac:dyDescent="0.25">
      <c r="A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4"/>
      <c r="N2126" s="13"/>
      <c r="O2126" s="4"/>
      <c r="P2126" s="1475"/>
      <c r="U2126" s="787"/>
      <c r="V2126" s="787"/>
      <c r="W2126" s="787"/>
      <c r="X2126" s="787"/>
      <c r="Y2126" s="787"/>
      <c r="Z2126" s="791"/>
      <c r="AA2126" s="787"/>
      <c r="AB2126" s="787"/>
      <c r="AC2126" s="679"/>
    </row>
    <row r="2127" spans="1:29" ht="15.75" x14ac:dyDescent="0.25">
      <c r="A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4"/>
      <c r="N2127" s="13"/>
      <c r="O2127" s="4"/>
      <c r="P2127" s="1475"/>
      <c r="U2127" s="787"/>
      <c r="V2127" s="787"/>
      <c r="W2127" s="787"/>
      <c r="X2127" s="787"/>
      <c r="Y2127" s="787"/>
      <c r="Z2127" s="791"/>
      <c r="AA2127" s="787"/>
      <c r="AB2127" s="787"/>
      <c r="AC2127" s="679"/>
    </row>
    <row r="2128" spans="1:29" ht="15.75" x14ac:dyDescent="0.25">
      <c r="A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4"/>
      <c r="N2128" s="13"/>
      <c r="O2128" s="4"/>
      <c r="P2128" s="1475"/>
      <c r="U2128" s="787"/>
      <c r="V2128" s="787"/>
      <c r="W2128" s="787"/>
      <c r="X2128" s="787"/>
      <c r="Y2128" s="787"/>
      <c r="Z2128" s="791"/>
      <c r="AA2128" s="787"/>
      <c r="AB2128" s="787"/>
      <c r="AC2128" s="679"/>
    </row>
    <row r="2129" spans="1:29" ht="15.75" x14ac:dyDescent="0.25">
      <c r="A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4"/>
      <c r="N2129" s="13"/>
      <c r="O2129" s="4"/>
      <c r="P2129" s="1475"/>
      <c r="U2129" s="787"/>
      <c r="V2129" s="787"/>
      <c r="W2129" s="787"/>
      <c r="X2129" s="787"/>
      <c r="Y2129" s="787"/>
      <c r="Z2129" s="791"/>
      <c r="AA2129" s="787"/>
      <c r="AB2129" s="787"/>
      <c r="AC2129" s="679"/>
    </row>
    <row r="2130" spans="1:29" ht="15.75" x14ac:dyDescent="0.25">
      <c r="A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4"/>
      <c r="N2130" s="13"/>
      <c r="O2130" s="4"/>
      <c r="P2130" s="1475"/>
      <c r="U2130" s="787"/>
      <c r="V2130" s="787"/>
      <c r="W2130" s="787"/>
      <c r="X2130" s="787"/>
      <c r="Y2130" s="787"/>
      <c r="Z2130" s="791"/>
      <c r="AA2130" s="787"/>
      <c r="AB2130" s="787"/>
      <c r="AC2130" s="679"/>
    </row>
    <row r="2131" spans="1:29" ht="15.75" x14ac:dyDescent="0.25">
      <c r="A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4"/>
      <c r="N2131" s="13"/>
      <c r="O2131" s="4"/>
      <c r="P2131" s="1475"/>
      <c r="U2131" s="787"/>
      <c r="V2131" s="787"/>
      <c r="W2131" s="787"/>
      <c r="X2131" s="787"/>
      <c r="Y2131" s="787"/>
      <c r="Z2131" s="791"/>
      <c r="AA2131" s="787"/>
      <c r="AB2131" s="787"/>
      <c r="AC2131" s="679"/>
    </row>
    <row r="2132" spans="1:29" ht="15.75" x14ac:dyDescent="0.25">
      <c r="A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4"/>
      <c r="N2132" s="13"/>
      <c r="O2132" s="4"/>
      <c r="P2132" s="1475"/>
      <c r="U2132" s="787"/>
      <c r="V2132" s="787"/>
      <c r="W2132" s="787"/>
      <c r="X2132" s="787"/>
      <c r="Y2132" s="787"/>
      <c r="Z2132" s="791"/>
      <c r="AA2132" s="787"/>
      <c r="AB2132" s="787"/>
      <c r="AC2132" s="679"/>
    </row>
    <row r="2133" spans="1:29" ht="15.75" x14ac:dyDescent="0.25">
      <c r="A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4"/>
      <c r="N2133" s="13"/>
      <c r="O2133" s="4"/>
      <c r="P2133" s="1475"/>
      <c r="U2133" s="787"/>
      <c r="V2133" s="787"/>
      <c r="W2133" s="787"/>
      <c r="X2133" s="787"/>
      <c r="Y2133" s="787"/>
      <c r="Z2133" s="791"/>
      <c r="AA2133" s="787"/>
      <c r="AB2133" s="787"/>
      <c r="AC2133" s="679"/>
    </row>
    <row r="2134" spans="1:29" ht="15.75" x14ac:dyDescent="0.25">
      <c r="A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4"/>
      <c r="N2134" s="13"/>
      <c r="O2134" s="4"/>
      <c r="P2134" s="1475"/>
      <c r="U2134" s="787"/>
      <c r="V2134" s="787"/>
      <c r="W2134" s="787"/>
      <c r="X2134" s="787"/>
      <c r="Y2134" s="787"/>
      <c r="Z2134" s="791"/>
      <c r="AA2134" s="787"/>
      <c r="AB2134" s="787"/>
      <c r="AC2134" s="679"/>
    </row>
    <row r="2135" spans="1:29" ht="15.75" x14ac:dyDescent="0.25">
      <c r="A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4"/>
      <c r="N2135" s="13"/>
      <c r="O2135" s="4"/>
      <c r="P2135" s="1475"/>
      <c r="U2135" s="787"/>
      <c r="V2135" s="787"/>
      <c r="W2135" s="787"/>
      <c r="X2135" s="787"/>
      <c r="Y2135" s="787"/>
      <c r="Z2135" s="791"/>
      <c r="AA2135" s="787"/>
      <c r="AB2135" s="787"/>
      <c r="AC2135" s="679"/>
    </row>
    <row r="2136" spans="1:29" ht="15.75" x14ac:dyDescent="0.25">
      <c r="A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4"/>
      <c r="N2136" s="13"/>
      <c r="O2136" s="4"/>
      <c r="P2136" s="1475"/>
      <c r="U2136" s="787"/>
      <c r="V2136" s="787"/>
      <c r="W2136" s="787"/>
      <c r="X2136" s="787"/>
      <c r="Y2136" s="787"/>
      <c r="Z2136" s="791"/>
      <c r="AA2136" s="787"/>
      <c r="AB2136" s="787"/>
      <c r="AC2136" s="679"/>
    </row>
    <row r="2137" spans="1:29" ht="15.75" x14ac:dyDescent="0.25">
      <c r="A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4"/>
      <c r="N2137" s="13"/>
      <c r="O2137" s="4"/>
      <c r="P2137" s="1475"/>
      <c r="U2137" s="787"/>
      <c r="V2137" s="787"/>
      <c r="W2137" s="787"/>
      <c r="X2137" s="787"/>
      <c r="Y2137" s="787"/>
      <c r="Z2137" s="791"/>
      <c r="AA2137" s="787"/>
      <c r="AB2137" s="787"/>
      <c r="AC2137" s="679"/>
    </row>
    <row r="2138" spans="1:29" ht="15.75" x14ac:dyDescent="0.25">
      <c r="A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4"/>
      <c r="N2138" s="13"/>
      <c r="O2138" s="4"/>
      <c r="P2138" s="1475"/>
      <c r="U2138" s="787"/>
      <c r="V2138" s="787"/>
      <c r="W2138" s="787"/>
      <c r="X2138" s="787"/>
      <c r="Y2138" s="787"/>
      <c r="Z2138" s="791"/>
      <c r="AA2138" s="787"/>
      <c r="AB2138" s="787"/>
      <c r="AC2138" s="679"/>
    </row>
    <row r="2139" spans="1:29" ht="15.75" x14ac:dyDescent="0.25">
      <c r="A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4"/>
      <c r="N2139" s="13"/>
      <c r="O2139" s="4"/>
      <c r="P2139" s="1475"/>
      <c r="U2139" s="787"/>
      <c r="V2139" s="787"/>
      <c r="W2139" s="787"/>
      <c r="X2139" s="787"/>
      <c r="Y2139" s="787"/>
      <c r="Z2139" s="791"/>
      <c r="AA2139" s="787"/>
      <c r="AB2139" s="787"/>
      <c r="AC2139" s="679"/>
    </row>
    <row r="2140" spans="1:29" ht="15.75" x14ac:dyDescent="0.25">
      <c r="A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4"/>
      <c r="N2140" s="13"/>
      <c r="O2140" s="4"/>
      <c r="P2140" s="1475"/>
      <c r="U2140" s="787"/>
      <c r="V2140" s="787"/>
      <c r="W2140" s="787"/>
      <c r="X2140" s="787"/>
      <c r="Y2140" s="787"/>
      <c r="Z2140" s="791"/>
      <c r="AA2140" s="787"/>
      <c r="AB2140" s="787"/>
      <c r="AC2140" s="679"/>
    </row>
    <row r="2141" spans="1:29" ht="15.75" x14ac:dyDescent="0.25">
      <c r="A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4"/>
      <c r="N2141" s="13"/>
      <c r="O2141" s="4"/>
      <c r="P2141" s="1475"/>
      <c r="U2141" s="787"/>
      <c r="V2141" s="787"/>
      <c r="W2141" s="787"/>
      <c r="X2141" s="787"/>
      <c r="Y2141" s="787"/>
      <c r="Z2141" s="791"/>
      <c r="AA2141" s="787"/>
      <c r="AB2141" s="787"/>
      <c r="AC2141" s="679"/>
    </row>
    <row r="2142" spans="1:29" ht="15.75" x14ac:dyDescent="0.25">
      <c r="A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4"/>
      <c r="N2142" s="13"/>
      <c r="O2142" s="4"/>
      <c r="P2142" s="1475"/>
      <c r="U2142" s="787"/>
      <c r="V2142" s="787"/>
      <c r="W2142" s="787"/>
      <c r="X2142" s="787"/>
      <c r="Y2142" s="787"/>
      <c r="Z2142" s="791"/>
      <c r="AA2142" s="787"/>
      <c r="AB2142" s="787"/>
      <c r="AC2142" s="679"/>
    </row>
    <row r="2143" spans="1:29" ht="15.75" x14ac:dyDescent="0.25">
      <c r="A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4"/>
      <c r="N2143" s="13"/>
      <c r="O2143" s="4"/>
      <c r="P2143" s="1475"/>
      <c r="U2143" s="787"/>
      <c r="V2143" s="787"/>
      <c r="W2143" s="787"/>
      <c r="X2143" s="787"/>
      <c r="Y2143" s="787"/>
      <c r="Z2143" s="791"/>
      <c r="AA2143" s="787"/>
      <c r="AB2143" s="787"/>
      <c r="AC2143" s="679"/>
    </row>
    <row r="2144" spans="1:29" ht="15.75" x14ac:dyDescent="0.25">
      <c r="A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4"/>
      <c r="N2144" s="13"/>
      <c r="O2144" s="4"/>
      <c r="P2144" s="1475"/>
      <c r="U2144" s="787"/>
      <c r="V2144" s="787"/>
      <c r="W2144" s="787"/>
      <c r="X2144" s="787"/>
      <c r="Y2144" s="787"/>
      <c r="Z2144" s="791"/>
      <c r="AA2144" s="787"/>
      <c r="AB2144" s="787"/>
      <c r="AC2144" s="679"/>
    </row>
    <row r="2145" spans="1:29" ht="15.75" x14ac:dyDescent="0.25">
      <c r="A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4"/>
      <c r="N2145" s="13"/>
      <c r="O2145" s="4"/>
      <c r="P2145" s="1475"/>
      <c r="U2145" s="787"/>
      <c r="V2145" s="787"/>
      <c r="W2145" s="787"/>
      <c r="X2145" s="787"/>
      <c r="Y2145" s="787"/>
      <c r="Z2145" s="791"/>
      <c r="AA2145" s="787"/>
      <c r="AB2145" s="787"/>
      <c r="AC2145" s="679"/>
    </row>
    <row r="2146" spans="1:29" ht="15.75" x14ac:dyDescent="0.25">
      <c r="A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4"/>
      <c r="N2146" s="13"/>
      <c r="O2146" s="4"/>
      <c r="P2146" s="1475"/>
      <c r="U2146" s="787"/>
      <c r="V2146" s="787"/>
      <c r="W2146" s="787"/>
      <c r="X2146" s="787"/>
      <c r="Y2146" s="787"/>
      <c r="Z2146" s="791"/>
      <c r="AA2146" s="787"/>
      <c r="AB2146" s="787"/>
      <c r="AC2146" s="679"/>
    </row>
    <row r="2147" spans="1:29" ht="15.75" x14ac:dyDescent="0.25">
      <c r="A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4"/>
      <c r="N2147" s="13"/>
      <c r="O2147" s="4"/>
      <c r="P2147" s="1475"/>
      <c r="U2147" s="787"/>
      <c r="V2147" s="787"/>
      <c r="W2147" s="787"/>
      <c r="X2147" s="787"/>
      <c r="Y2147" s="787"/>
      <c r="Z2147" s="791"/>
      <c r="AA2147" s="787"/>
      <c r="AB2147" s="787"/>
      <c r="AC2147" s="679"/>
    </row>
    <row r="2148" spans="1:29" ht="15.75" x14ac:dyDescent="0.25">
      <c r="A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4"/>
      <c r="N2148" s="13"/>
      <c r="O2148" s="4"/>
      <c r="P2148" s="1475"/>
      <c r="U2148" s="787"/>
      <c r="V2148" s="787"/>
      <c r="W2148" s="787"/>
      <c r="X2148" s="787"/>
      <c r="Y2148" s="787"/>
      <c r="Z2148" s="791"/>
      <c r="AA2148" s="787"/>
      <c r="AB2148" s="787"/>
      <c r="AC2148" s="679"/>
    </row>
    <row r="2149" spans="1:29" ht="15.75" x14ac:dyDescent="0.25">
      <c r="A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4"/>
      <c r="N2149" s="13"/>
      <c r="O2149" s="4"/>
      <c r="P2149" s="1475"/>
      <c r="U2149" s="787"/>
      <c r="V2149" s="787"/>
      <c r="W2149" s="787"/>
      <c r="X2149" s="787"/>
      <c r="Y2149" s="787"/>
      <c r="Z2149" s="791"/>
      <c r="AA2149" s="787"/>
      <c r="AB2149" s="787"/>
      <c r="AC2149" s="679"/>
    </row>
    <row r="2150" spans="1:29" ht="15.75" x14ac:dyDescent="0.25">
      <c r="A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4"/>
      <c r="N2150" s="13"/>
      <c r="O2150" s="4"/>
      <c r="P2150" s="1475"/>
      <c r="U2150" s="787"/>
      <c r="V2150" s="787"/>
      <c r="W2150" s="787"/>
      <c r="X2150" s="787"/>
      <c r="Y2150" s="787"/>
      <c r="Z2150" s="791"/>
      <c r="AA2150" s="787"/>
      <c r="AB2150" s="787"/>
      <c r="AC2150" s="679"/>
    </row>
    <row r="2151" spans="1:29" ht="15.75" x14ac:dyDescent="0.25">
      <c r="A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4"/>
      <c r="N2151" s="13"/>
      <c r="O2151" s="4"/>
      <c r="P2151" s="1475"/>
      <c r="U2151" s="787"/>
      <c r="V2151" s="787"/>
      <c r="W2151" s="787"/>
      <c r="X2151" s="787"/>
      <c r="Y2151" s="787"/>
      <c r="Z2151" s="791"/>
      <c r="AA2151" s="787"/>
      <c r="AB2151" s="787"/>
      <c r="AC2151" s="679"/>
    </row>
    <row r="2152" spans="1:29" ht="15.75" x14ac:dyDescent="0.25">
      <c r="A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4"/>
      <c r="N2152" s="13"/>
      <c r="O2152" s="4"/>
      <c r="P2152" s="1475"/>
      <c r="U2152" s="787"/>
      <c r="V2152" s="787"/>
      <c r="W2152" s="787"/>
      <c r="X2152" s="787"/>
      <c r="Y2152" s="787"/>
      <c r="Z2152" s="791"/>
      <c r="AA2152" s="787"/>
      <c r="AB2152" s="787"/>
      <c r="AC2152" s="679"/>
    </row>
    <row r="2153" spans="1:29" ht="15.75" x14ac:dyDescent="0.25">
      <c r="A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4"/>
      <c r="N2153" s="13"/>
      <c r="O2153" s="4"/>
      <c r="P2153" s="1475"/>
      <c r="U2153" s="787"/>
      <c r="V2153" s="787"/>
      <c r="W2153" s="787"/>
      <c r="X2153" s="787"/>
      <c r="Y2153" s="787"/>
      <c r="Z2153" s="791"/>
      <c r="AA2153" s="787"/>
      <c r="AB2153" s="787"/>
      <c r="AC2153" s="679"/>
    </row>
    <row r="2154" spans="1:29" ht="15.75" x14ac:dyDescent="0.25">
      <c r="A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4"/>
      <c r="N2154" s="13"/>
      <c r="O2154" s="4"/>
      <c r="P2154" s="1475"/>
      <c r="U2154" s="787"/>
      <c r="V2154" s="787"/>
      <c r="W2154" s="787"/>
      <c r="X2154" s="787"/>
      <c r="Y2154" s="787"/>
      <c r="Z2154" s="791"/>
      <c r="AA2154" s="787"/>
      <c r="AB2154" s="787"/>
      <c r="AC2154" s="679"/>
    </row>
    <row r="2155" spans="1:29" ht="15.75" x14ac:dyDescent="0.25">
      <c r="A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4"/>
      <c r="N2155" s="13"/>
      <c r="O2155" s="4"/>
      <c r="P2155" s="1475"/>
      <c r="U2155" s="787"/>
      <c r="V2155" s="787"/>
      <c r="W2155" s="787"/>
      <c r="X2155" s="787"/>
      <c r="Y2155" s="787"/>
      <c r="Z2155" s="791"/>
      <c r="AA2155" s="787"/>
      <c r="AB2155" s="787"/>
      <c r="AC2155" s="679"/>
    </row>
    <row r="2156" spans="1:29" ht="15.75" x14ac:dyDescent="0.25">
      <c r="A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4"/>
      <c r="N2156" s="13"/>
      <c r="O2156" s="4"/>
      <c r="P2156" s="1475"/>
      <c r="U2156" s="787"/>
      <c r="V2156" s="787"/>
      <c r="W2156" s="787"/>
      <c r="X2156" s="787"/>
      <c r="Y2156" s="787"/>
      <c r="Z2156" s="791"/>
      <c r="AA2156" s="787"/>
      <c r="AB2156" s="787"/>
      <c r="AC2156" s="679"/>
    </row>
    <row r="2157" spans="1:29" ht="15.75" x14ac:dyDescent="0.25">
      <c r="A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4"/>
      <c r="N2157" s="13"/>
      <c r="O2157" s="4"/>
      <c r="P2157" s="1475"/>
      <c r="U2157" s="787"/>
      <c r="V2157" s="787"/>
      <c r="W2157" s="787"/>
      <c r="X2157" s="787"/>
      <c r="Y2157" s="787"/>
      <c r="Z2157" s="791"/>
      <c r="AA2157" s="787"/>
      <c r="AB2157" s="787"/>
      <c r="AC2157" s="679"/>
    </row>
    <row r="2158" spans="1:29" ht="15.75" x14ac:dyDescent="0.25">
      <c r="A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4"/>
      <c r="N2158" s="13"/>
      <c r="O2158" s="4"/>
      <c r="P2158" s="1475"/>
      <c r="U2158" s="787"/>
      <c r="V2158" s="787"/>
      <c r="W2158" s="787"/>
      <c r="X2158" s="787"/>
      <c r="Y2158" s="787"/>
      <c r="Z2158" s="791"/>
      <c r="AA2158" s="787"/>
      <c r="AB2158" s="787"/>
      <c r="AC2158" s="679"/>
    </row>
    <row r="2159" spans="1:29" ht="15.75" x14ac:dyDescent="0.25">
      <c r="A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4"/>
      <c r="N2159" s="13"/>
      <c r="O2159" s="4"/>
      <c r="P2159" s="1475"/>
      <c r="U2159" s="787"/>
      <c r="V2159" s="787"/>
      <c r="W2159" s="787"/>
      <c r="X2159" s="787"/>
      <c r="Y2159" s="787"/>
      <c r="Z2159" s="791"/>
      <c r="AA2159" s="787"/>
      <c r="AB2159" s="787"/>
      <c r="AC2159" s="679"/>
    </row>
    <row r="2160" spans="1:29" ht="15.75" x14ac:dyDescent="0.25">
      <c r="A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4"/>
      <c r="N2160" s="13"/>
      <c r="O2160" s="4"/>
      <c r="P2160" s="1475"/>
      <c r="U2160" s="787"/>
      <c r="V2160" s="787"/>
      <c r="W2160" s="787"/>
      <c r="X2160" s="787"/>
      <c r="Y2160" s="787"/>
      <c r="Z2160" s="791"/>
      <c r="AA2160" s="787"/>
      <c r="AB2160" s="787"/>
      <c r="AC2160" s="679"/>
    </row>
    <row r="2161" spans="1:29" ht="15.75" x14ac:dyDescent="0.25">
      <c r="A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4"/>
      <c r="N2161" s="13"/>
      <c r="O2161" s="4"/>
      <c r="P2161" s="1475"/>
      <c r="U2161" s="787"/>
      <c r="V2161" s="787"/>
      <c r="W2161" s="787"/>
      <c r="X2161" s="787"/>
      <c r="Y2161" s="787"/>
      <c r="Z2161" s="791"/>
      <c r="AA2161" s="787"/>
      <c r="AB2161" s="787"/>
      <c r="AC2161" s="679"/>
    </row>
    <row r="2162" spans="1:29" ht="15.75" x14ac:dyDescent="0.25">
      <c r="A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4"/>
      <c r="N2162" s="13"/>
      <c r="O2162" s="4"/>
      <c r="P2162" s="1475"/>
      <c r="U2162" s="787"/>
      <c r="V2162" s="787"/>
      <c r="W2162" s="787"/>
      <c r="X2162" s="787"/>
      <c r="Y2162" s="787"/>
      <c r="Z2162" s="791"/>
      <c r="AA2162" s="787"/>
      <c r="AB2162" s="787"/>
      <c r="AC2162" s="679"/>
    </row>
    <row r="2163" spans="1:29" ht="15.75" x14ac:dyDescent="0.25">
      <c r="A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4"/>
      <c r="N2163" s="13"/>
      <c r="O2163" s="4"/>
      <c r="P2163" s="1475"/>
      <c r="U2163" s="787"/>
      <c r="V2163" s="787"/>
      <c r="W2163" s="787"/>
      <c r="X2163" s="787"/>
      <c r="Y2163" s="787"/>
      <c r="Z2163" s="791"/>
      <c r="AA2163" s="787"/>
      <c r="AB2163" s="787"/>
      <c r="AC2163" s="679"/>
    </row>
    <row r="2164" spans="1:29" ht="15.75" x14ac:dyDescent="0.25">
      <c r="A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4"/>
      <c r="N2164" s="13"/>
      <c r="O2164" s="4"/>
      <c r="P2164" s="1475"/>
      <c r="U2164" s="787"/>
      <c r="V2164" s="787"/>
      <c r="W2164" s="787"/>
      <c r="X2164" s="787"/>
      <c r="Y2164" s="787"/>
      <c r="Z2164" s="791"/>
      <c r="AA2164" s="787"/>
      <c r="AB2164" s="787"/>
      <c r="AC2164" s="679"/>
    </row>
    <row r="2165" spans="1:29" ht="15.75" x14ac:dyDescent="0.25">
      <c r="A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4"/>
      <c r="N2165" s="13"/>
      <c r="O2165" s="4"/>
      <c r="P2165" s="1475"/>
      <c r="U2165" s="787"/>
      <c r="V2165" s="787"/>
      <c r="W2165" s="787"/>
      <c r="X2165" s="787"/>
      <c r="Y2165" s="787"/>
      <c r="Z2165" s="791"/>
      <c r="AA2165" s="787"/>
      <c r="AB2165" s="787"/>
      <c r="AC2165" s="679"/>
    </row>
    <row r="2166" spans="1:29" ht="15.75" x14ac:dyDescent="0.25">
      <c r="A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4"/>
      <c r="N2166" s="13"/>
      <c r="O2166" s="4"/>
      <c r="P2166" s="1475"/>
      <c r="U2166" s="787"/>
      <c r="V2166" s="787"/>
      <c r="W2166" s="787"/>
      <c r="X2166" s="787"/>
      <c r="Y2166" s="787"/>
      <c r="Z2166" s="791"/>
      <c r="AA2166" s="787"/>
      <c r="AB2166" s="787"/>
      <c r="AC2166" s="679"/>
    </row>
    <row r="2167" spans="1:29" ht="15.75" x14ac:dyDescent="0.25">
      <c r="A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4"/>
      <c r="N2167" s="13"/>
      <c r="O2167" s="4"/>
      <c r="P2167" s="1475"/>
      <c r="U2167" s="787"/>
      <c r="V2167" s="787"/>
      <c r="W2167" s="787"/>
      <c r="X2167" s="787"/>
      <c r="Y2167" s="787"/>
      <c r="Z2167" s="791"/>
      <c r="AA2167" s="787"/>
      <c r="AB2167" s="787"/>
      <c r="AC2167" s="679"/>
    </row>
    <row r="2168" spans="1:29" ht="15.75" x14ac:dyDescent="0.25">
      <c r="A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4"/>
      <c r="N2168" s="13"/>
      <c r="O2168" s="4"/>
      <c r="P2168" s="1475"/>
      <c r="U2168" s="787"/>
      <c r="V2168" s="787"/>
      <c r="W2168" s="787"/>
      <c r="X2168" s="787"/>
      <c r="Y2168" s="787"/>
      <c r="Z2168" s="791"/>
      <c r="AA2168" s="787"/>
      <c r="AB2168" s="787"/>
      <c r="AC2168" s="679"/>
    </row>
    <row r="2169" spans="1:29" ht="15.75" x14ac:dyDescent="0.25">
      <c r="A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4"/>
      <c r="N2169" s="13"/>
      <c r="O2169" s="4"/>
      <c r="P2169" s="1475"/>
      <c r="U2169" s="787"/>
      <c r="V2169" s="787"/>
      <c r="W2169" s="787"/>
      <c r="X2169" s="787"/>
      <c r="Y2169" s="787"/>
      <c r="Z2169" s="791"/>
      <c r="AA2169" s="787"/>
      <c r="AB2169" s="787"/>
      <c r="AC2169" s="679"/>
    </row>
    <row r="2170" spans="1:29" ht="15.75" x14ac:dyDescent="0.25">
      <c r="A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4"/>
      <c r="N2170" s="13"/>
      <c r="O2170" s="4"/>
      <c r="P2170" s="1475"/>
      <c r="U2170" s="787"/>
      <c r="V2170" s="787"/>
      <c r="W2170" s="787"/>
      <c r="X2170" s="787"/>
      <c r="Y2170" s="787"/>
      <c r="Z2170" s="791"/>
      <c r="AA2170" s="787"/>
      <c r="AB2170" s="787"/>
      <c r="AC2170" s="679"/>
    </row>
    <row r="2171" spans="1:29" ht="15.75" x14ac:dyDescent="0.25">
      <c r="A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4"/>
      <c r="N2171" s="13"/>
      <c r="O2171" s="4"/>
      <c r="P2171" s="1475"/>
      <c r="U2171" s="787"/>
      <c r="V2171" s="787"/>
      <c r="W2171" s="787"/>
      <c r="X2171" s="787"/>
      <c r="Y2171" s="787"/>
      <c r="Z2171" s="791"/>
      <c r="AA2171" s="787"/>
      <c r="AB2171" s="787"/>
      <c r="AC2171" s="679"/>
    </row>
    <row r="2172" spans="1:29" ht="15.75" x14ac:dyDescent="0.25">
      <c r="A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4"/>
      <c r="N2172" s="13"/>
      <c r="O2172" s="4"/>
      <c r="P2172" s="1475"/>
      <c r="U2172" s="787"/>
      <c r="V2172" s="787"/>
      <c r="W2172" s="787"/>
      <c r="X2172" s="787"/>
      <c r="Y2172" s="787"/>
      <c r="Z2172" s="791"/>
      <c r="AA2172" s="787"/>
      <c r="AB2172" s="787"/>
      <c r="AC2172" s="679"/>
    </row>
    <row r="2173" spans="1:29" ht="15.75" x14ac:dyDescent="0.25">
      <c r="A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4"/>
      <c r="N2173" s="13"/>
      <c r="O2173" s="4"/>
      <c r="P2173" s="1475"/>
      <c r="U2173" s="787"/>
      <c r="V2173" s="787"/>
      <c r="W2173" s="787"/>
      <c r="X2173" s="787"/>
      <c r="Y2173" s="787"/>
      <c r="Z2173" s="791"/>
      <c r="AA2173" s="787"/>
      <c r="AB2173" s="787"/>
      <c r="AC2173" s="679"/>
    </row>
    <row r="2174" spans="1:29" ht="15.75" x14ac:dyDescent="0.25">
      <c r="A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4"/>
      <c r="N2174" s="13"/>
      <c r="O2174" s="4"/>
      <c r="P2174" s="1475"/>
      <c r="U2174" s="787"/>
      <c r="V2174" s="787"/>
      <c r="W2174" s="787"/>
      <c r="X2174" s="787"/>
      <c r="Y2174" s="787"/>
      <c r="Z2174" s="791"/>
      <c r="AA2174" s="787"/>
      <c r="AB2174" s="787"/>
      <c r="AC2174" s="679"/>
    </row>
    <row r="2175" spans="1:29" ht="15.75" x14ac:dyDescent="0.25">
      <c r="A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4"/>
      <c r="N2175" s="13"/>
      <c r="O2175" s="4"/>
      <c r="P2175" s="1475"/>
      <c r="U2175" s="787"/>
      <c r="V2175" s="787"/>
      <c r="W2175" s="787"/>
      <c r="X2175" s="787"/>
      <c r="Y2175" s="787"/>
      <c r="Z2175" s="791"/>
      <c r="AA2175" s="787"/>
      <c r="AB2175" s="787"/>
      <c r="AC2175" s="679"/>
    </row>
    <row r="2176" spans="1:29" ht="15.75" x14ac:dyDescent="0.25">
      <c r="A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4"/>
      <c r="N2176" s="13"/>
      <c r="O2176" s="4"/>
      <c r="P2176" s="1475"/>
      <c r="U2176" s="787"/>
      <c r="V2176" s="787"/>
      <c r="W2176" s="787"/>
      <c r="X2176" s="787"/>
      <c r="Y2176" s="787"/>
      <c r="Z2176" s="791"/>
      <c r="AA2176" s="787"/>
      <c r="AB2176" s="787"/>
      <c r="AC2176" s="679"/>
    </row>
    <row r="2177" spans="1:29" ht="15.75" x14ac:dyDescent="0.25">
      <c r="A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4"/>
      <c r="N2177" s="13"/>
      <c r="O2177" s="4"/>
      <c r="P2177" s="1475"/>
      <c r="U2177" s="787"/>
      <c r="V2177" s="787"/>
      <c r="W2177" s="787"/>
      <c r="X2177" s="787"/>
      <c r="Y2177" s="787"/>
      <c r="Z2177" s="791"/>
      <c r="AA2177" s="787"/>
      <c r="AB2177" s="787"/>
      <c r="AC2177" s="679"/>
    </row>
    <row r="2178" spans="1:29" ht="15.75" x14ac:dyDescent="0.25">
      <c r="A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4"/>
      <c r="N2178" s="13"/>
      <c r="O2178" s="4"/>
      <c r="P2178" s="1475"/>
      <c r="U2178" s="787"/>
      <c r="V2178" s="787"/>
      <c r="W2178" s="787"/>
      <c r="X2178" s="787"/>
      <c r="Y2178" s="787"/>
      <c r="Z2178" s="791"/>
      <c r="AA2178" s="787"/>
      <c r="AB2178" s="787"/>
      <c r="AC2178" s="679"/>
    </row>
    <row r="2179" spans="1:29" ht="15.75" x14ac:dyDescent="0.25">
      <c r="A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4"/>
      <c r="N2179" s="13"/>
      <c r="O2179" s="4"/>
      <c r="P2179" s="1475"/>
      <c r="U2179" s="787"/>
      <c r="V2179" s="787"/>
      <c r="W2179" s="787"/>
      <c r="X2179" s="787"/>
      <c r="Y2179" s="787"/>
      <c r="Z2179" s="791"/>
      <c r="AA2179" s="787"/>
      <c r="AB2179" s="787"/>
      <c r="AC2179" s="679"/>
    </row>
    <row r="2180" spans="1:29" ht="15.75" x14ac:dyDescent="0.25">
      <c r="A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4"/>
      <c r="N2180" s="13"/>
      <c r="O2180" s="4"/>
      <c r="P2180" s="1475"/>
      <c r="U2180" s="787"/>
      <c r="V2180" s="787"/>
      <c r="W2180" s="787"/>
      <c r="X2180" s="787"/>
      <c r="Y2180" s="787"/>
      <c r="Z2180" s="791"/>
      <c r="AA2180" s="787"/>
      <c r="AB2180" s="787"/>
      <c r="AC2180" s="679"/>
    </row>
    <row r="2181" spans="1:29" ht="15.75" x14ac:dyDescent="0.25">
      <c r="A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4"/>
      <c r="N2181" s="13"/>
      <c r="O2181" s="4"/>
      <c r="P2181" s="1475"/>
      <c r="U2181" s="787"/>
      <c r="V2181" s="787"/>
      <c r="W2181" s="787"/>
      <c r="X2181" s="787"/>
      <c r="Y2181" s="787"/>
      <c r="Z2181" s="791"/>
      <c r="AA2181" s="787"/>
      <c r="AB2181" s="787"/>
      <c r="AC2181" s="679"/>
    </row>
    <row r="2182" spans="1:29" ht="15.75" x14ac:dyDescent="0.25">
      <c r="A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4"/>
      <c r="N2182" s="13"/>
      <c r="O2182" s="4"/>
      <c r="P2182" s="1475"/>
      <c r="U2182" s="787"/>
      <c r="V2182" s="787"/>
      <c r="W2182" s="787"/>
      <c r="X2182" s="787"/>
      <c r="Y2182" s="787"/>
      <c r="Z2182" s="791"/>
      <c r="AA2182" s="787"/>
      <c r="AB2182" s="787"/>
      <c r="AC2182" s="679"/>
    </row>
    <row r="2183" spans="1:29" ht="15.75" x14ac:dyDescent="0.25">
      <c r="A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4"/>
      <c r="N2183" s="13"/>
      <c r="O2183" s="4"/>
      <c r="P2183" s="1475"/>
      <c r="U2183" s="787"/>
      <c r="V2183" s="787"/>
      <c r="W2183" s="787"/>
      <c r="X2183" s="787"/>
      <c r="Y2183" s="787"/>
      <c r="Z2183" s="791"/>
      <c r="AA2183" s="787"/>
      <c r="AB2183" s="787"/>
      <c r="AC2183" s="679"/>
    </row>
    <row r="2184" spans="1:29" ht="15.75" x14ac:dyDescent="0.25">
      <c r="A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4"/>
      <c r="N2184" s="13"/>
      <c r="O2184" s="4"/>
      <c r="P2184" s="1475"/>
      <c r="U2184" s="787"/>
      <c r="V2184" s="787"/>
      <c r="W2184" s="787"/>
      <c r="X2184" s="787"/>
      <c r="Y2184" s="787"/>
      <c r="Z2184" s="791"/>
      <c r="AA2184" s="787"/>
      <c r="AB2184" s="787"/>
      <c r="AC2184" s="679"/>
    </row>
    <row r="2185" spans="1:29" ht="15.75" x14ac:dyDescent="0.25">
      <c r="A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4"/>
      <c r="N2185" s="13"/>
      <c r="O2185" s="4"/>
      <c r="P2185" s="1475"/>
      <c r="U2185" s="787"/>
      <c r="V2185" s="787"/>
      <c r="W2185" s="787"/>
      <c r="X2185" s="787"/>
      <c r="Y2185" s="787"/>
      <c r="Z2185" s="791"/>
      <c r="AA2185" s="787"/>
      <c r="AB2185" s="787"/>
      <c r="AC2185" s="679"/>
    </row>
    <row r="2186" spans="1:29" ht="15.75" x14ac:dyDescent="0.25">
      <c r="A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4"/>
      <c r="N2186" s="13"/>
      <c r="O2186" s="4"/>
      <c r="P2186" s="1475"/>
      <c r="U2186" s="787"/>
      <c r="V2186" s="787"/>
      <c r="W2186" s="787"/>
      <c r="X2186" s="787"/>
      <c r="Y2186" s="787"/>
      <c r="Z2186" s="791"/>
      <c r="AA2186" s="787"/>
      <c r="AB2186" s="787"/>
      <c r="AC2186" s="679"/>
    </row>
    <row r="2187" spans="1:29" ht="15.75" x14ac:dyDescent="0.25">
      <c r="A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4"/>
      <c r="N2187" s="13"/>
      <c r="O2187" s="4"/>
      <c r="P2187" s="1475"/>
      <c r="U2187" s="787"/>
      <c r="V2187" s="787"/>
      <c r="W2187" s="787"/>
      <c r="X2187" s="787"/>
      <c r="Y2187" s="787"/>
      <c r="Z2187" s="791"/>
      <c r="AA2187" s="787"/>
      <c r="AB2187" s="787"/>
      <c r="AC2187" s="679"/>
    </row>
    <row r="2188" spans="1:29" ht="15.75" x14ac:dyDescent="0.25">
      <c r="A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4"/>
      <c r="N2188" s="13"/>
      <c r="O2188" s="4"/>
      <c r="P2188" s="1475"/>
      <c r="U2188" s="787"/>
      <c r="V2188" s="787"/>
      <c r="W2188" s="787"/>
      <c r="X2188" s="787"/>
      <c r="Y2188" s="787"/>
      <c r="Z2188" s="791"/>
      <c r="AA2188" s="787"/>
      <c r="AB2188" s="787"/>
      <c r="AC2188" s="679"/>
    </row>
    <row r="2189" spans="1:29" ht="15.75" x14ac:dyDescent="0.25">
      <c r="A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4"/>
      <c r="N2189" s="13"/>
      <c r="O2189" s="4"/>
      <c r="P2189" s="1475"/>
      <c r="U2189" s="787"/>
      <c r="V2189" s="787"/>
      <c r="W2189" s="787"/>
      <c r="X2189" s="787"/>
      <c r="Y2189" s="787"/>
      <c r="Z2189" s="791"/>
      <c r="AA2189" s="787"/>
      <c r="AB2189" s="787"/>
      <c r="AC2189" s="679"/>
    </row>
    <row r="2190" spans="1:29" ht="15.75" x14ac:dyDescent="0.25">
      <c r="A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4"/>
      <c r="N2190" s="13"/>
      <c r="O2190" s="4"/>
      <c r="P2190" s="1475"/>
      <c r="U2190" s="787"/>
      <c r="V2190" s="787"/>
      <c r="W2190" s="787"/>
      <c r="X2190" s="787"/>
      <c r="Y2190" s="787"/>
      <c r="Z2190" s="791"/>
      <c r="AA2190" s="787"/>
      <c r="AB2190" s="787"/>
      <c r="AC2190" s="679"/>
    </row>
    <row r="2191" spans="1:29" ht="15.75" x14ac:dyDescent="0.25">
      <c r="A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4"/>
      <c r="N2191" s="13"/>
      <c r="O2191" s="4"/>
      <c r="P2191" s="1475"/>
      <c r="U2191" s="787"/>
      <c r="V2191" s="787"/>
      <c r="W2191" s="787"/>
      <c r="X2191" s="787"/>
      <c r="Y2191" s="787"/>
      <c r="Z2191" s="791"/>
      <c r="AA2191" s="787"/>
      <c r="AB2191" s="787"/>
      <c r="AC2191" s="679"/>
    </row>
    <row r="2192" spans="1:29" ht="15.75" x14ac:dyDescent="0.25">
      <c r="A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4"/>
      <c r="N2192" s="13"/>
      <c r="O2192" s="4"/>
      <c r="P2192" s="1475"/>
      <c r="U2192" s="787"/>
      <c r="V2192" s="787"/>
      <c r="W2192" s="787"/>
      <c r="X2192" s="787"/>
      <c r="Y2192" s="787"/>
      <c r="Z2192" s="791"/>
      <c r="AA2192" s="787"/>
      <c r="AB2192" s="787"/>
      <c r="AC2192" s="679"/>
    </row>
    <row r="2193" spans="1:29" ht="15.75" x14ac:dyDescent="0.25">
      <c r="A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4"/>
      <c r="N2193" s="13"/>
      <c r="O2193" s="4"/>
      <c r="P2193" s="1475"/>
      <c r="U2193" s="787"/>
      <c r="V2193" s="787"/>
      <c r="W2193" s="787"/>
      <c r="X2193" s="787"/>
      <c r="Y2193" s="787"/>
      <c r="Z2193" s="791"/>
      <c r="AA2193" s="787"/>
      <c r="AB2193" s="787"/>
      <c r="AC2193" s="679"/>
    </row>
    <row r="2194" spans="1:29" ht="15.75" x14ac:dyDescent="0.25">
      <c r="A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4"/>
      <c r="N2194" s="13"/>
      <c r="O2194" s="4"/>
      <c r="P2194" s="1475"/>
      <c r="U2194" s="787"/>
      <c r="V2194" s="787"/>
      <c r="W2194" s="787"/>
      <c r="X2194" s="787"/>
      <c r="Y2194" s="787"/>
      <c r="Z2194" s="791"/>
      <c r="AA2194" s="787"/>
      <c r="AB2194" s="787"/>
      <c r="AC2194" s="679"/>
    </row>
    <row r="2195" spans="1:29" ht="15.75" x14ac:dyDescent="0.25">
      <c r="A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4"/>
      <c r="N2195" s="13"/>
      <c r="O2195" s="4"/>
      <c r="P2195" s="1475"/>
      <c r="U2195" s="787"/>
      <c r="V2195" s="787"/>
      <c r="W2195" s="787"/>
      <c r="X2195" s="787"/>
      <c r="Y2195" s="787"/>
      <c r="Z2195" s="791"/>
      <c r="AA2195" s="787"/>
      <c r="AB2195" s="787"/>
      <c r="AC2195" s="679"/>
    </row>
    <row r="2196" spans="1:29" ht="15.75" x14ac:dyDescent="0.25">
      <c r="A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4"/>
      <c r="N2196" s="13"/>
      <c r="O2196" s="4"/>
      <c r="P2196" s="1475"/>
      <c r="U2196" s="787"/>
      <c r="V2196" s="787"/>
      <c r="W2196" s="787"/>
      <c r="X2196" s="787"/>
      <c r="Y2196" s="787"/>
      <c r="Z2196" s="791"/>
      <c r="AA2196" s="787"/>
      <c r="AB2196" s="787"/>
      <c r="AC2196" s="679"/>
    </row>
    <row r="2197" spans="1:29" ht="15.75" x14ac:dyDescent="0.25">
      <c r="A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4"/>
      <c r="N2197" s="13"/>
      <c r="O2197" s="4"/>
      <c r="P2197" s="1475"/>
      <c r="U2197" s="787"/>
      <c r="V2197" s="787"/>
      <c r="W2197" s="787"/>
      <c r="X2197" s="787"/>
      <c r="Y2197" s="787"/>
      <c r="Z2197" s="791"/>
      <c r="AA2197" s="787"/>
      <c r="AB2197" s="787"/>
      <c r="AC2197" s="679"/>
    </row>
    <row r="2198" spans="1:29" ht="15.75" x14ac:dyDescent="0.25">
      <c r="A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4"/>
      <c r="N2198" s="13"/>
      <c r="O2198" s="4"/>
      <c r="P2198" s="1475"/>
      <c r="U2198" s="787"/>
      <c r="V2198" s="787"/>
      <c r="W2198" s="787"/>
      <c r="X2198" s="787"/>
      <c r="Y2198" s="787"/>
      <c r="Z2198" s="791"/>
      <c r="AA2198" s="787"/>
      <c r="AB2198" s="787"/>
      <c r="AC2198" s="679"/>
    </row>
    <row r="2199" spans="1:29" ht="15.75" x14ac:dyDescent="0.25">
      <c r="A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4"/>
      <c r="N2199" s="13"/>
      <c r="O2199" s="4"/>
      <c r="P2199" s="1475"/>
      <c r="U2199" s="787"/>
      <c r="V2199" s="787"/>
      <c r="W2199" s="787"/>
      <c r="X2199" s="787"/>
      <c r="Y2199" s="787"/>
      <c r="Z2199" s="791"/>
      <c r="AA2199" s="787"/>
      <c r="AB2199" s="787"/>
      <c r="AC2199" s="679"/>
    </row>
    <row r="2200" spans="1:29" ht="15.75" x14ac:dyDescent="0.25">
      <c r="A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4"/>
      <c r="N2200" s="13"/>
      <c r="O2200" s="4"/>
      <c r="P2200" s="1475"/>
      <c r="U2200" s="787"/>
      <c r="V2200" s="787"/>
      <c r="W2200" s="787"/>
      <c r="X2200" s="787"/>
      <c r="Y2200" s="787"/>
      <c r="Z2200" s="791"/>
      <c r="AA2200" s="787"/>
      <c r="AB2200" s="787"/>
      <c r="AC2200" s="679"/>
    </row>
    <row r="2201" spans="1:29" ht="15.75" x14ac:dyDescent="0.25">
      <c r="A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4"/>
      <c r="N2201" s="13"/>
      <c r="O2201" s="4"/>
      <c r="P2201" s="1475"/>
      <c r="U2201" s="787"/>
      <c r="V2201" s="787"/>
      <c r="W2201" s="787"/>
      <c r="X2201" s="787"/>
      <c r="Y2201" s="787"/>
      <c r="Z2201" s="791"/>
      <c r="AA2201" s="787"/>
      <c r="AB2201" s="787"/>
      <c r="AC2201" s="679"/>
    </row>
    <row r="2202" spans="1:29" ht="15.75" x14ac:dyDescent="0.25">
      <c r="A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4"/>
      <c r="N2202" s="13"/>
      <c r="O2202" s="4"/>
      <c r="P2202" s="1475"/>
      <c r="U2202" s="787"/>
      <c r="V2202" s="787"/>
      <c r="W2202" s="787"/>
      <c r="X2202" s="787"/>
      <c r="Y2202" s="787"/>
      <c r="Z2202" s="791"/>
      <c r="AA2202" s="787"/>
      <c r="AB2202" s="787"/>
      <c r="AC2202" s="679"/>
    </row>
    <row r="2203" spans="1:29" ht="15.75" x14ac:dyDescent="0.25">
      <c r="A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4"/>
      <c r="N2203" s="13"/>
      <c r="O2203" s="4"/>
      <c r="P2203" s="1475"/>
      <c r="U2203" s="787"/>
      <c r="V2203" s="787"/>
      <c r="W2203" s="787"/>
      <c r="X2203" s="787"/>
      <c r="Y2203" s="787"/>
      <c r="Z2203" s="791"/>
      <c r="AA2203" s="787"/>
      <c r="AB2203" s="787"/>
      <c r="AC2203" s="679"/>
    </row>
    <row r="2204" spans="1:29" ht="15.75" x14ac:dyDescent="0.25">
      <c r="A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4"/>
      <c r="N2204" s="13"/>
      <c r="O2204" s="4"/>
      <c r="P2204" s="1475"/>
      <c r="U2204" s="787"/>
      <c r="V2204" s="787"/>
      <c r="W2204" s="787"/>
      <c r="X2204" s="787"/>
      <c r="Y2204" s="787"/>
      <c r="Z2204" s="791"/>
      <c r="AA2204" s="787"/>
      <c r="AB2204" s="787"/>
      <c r="AC2204" s="679"/>
    </row>
    <row r="2205" spans="1:29" ht="15.75" x14ac:dyDescent="0.25">
      <c r="A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4"/>
      <c r="N2205" s="13"/>
      <c r="O2205" s="4"/>
      <c r="P2205" s="1475"/>
      <c r="U2205" s="787"/>
      <c r="V2205" s="787"/>
      <c r="W2205" s="787"/>
      <c r="X2205" s="787"/>
      <c r="Y2205" s="787"/>
      <c r="Z2205" s="791"/>
      <c r="AA2205" s="787"/>
      <c r="AB2205" s="787"/>
      <c r="AC2205" s="679"/>
    </row>
    <row r="2206" spans="1:29" ht="15.75" x14ac:dyDescent="0.25">
      <c r="A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4"/>
      <c r="N2206" s="13"/>
      <c r="O2206" s="4"/>
      <c r="P2206" s="1475"/>
      <c r="U2206" s="787"/>
      <c r="V2206" s="787"/>
      <c r="W2206" s="787"/>
      <c r="X2206" s="787"/>
      <c r="Y2206" s="787"/>
      <c r="Z2206" s="791"/>
      <c r="AA2206" s="787"/>
      <c r="AB2206" s="787"/>
      <c r="AC2206" s="679"/>
    </row>
    <row r="2207" spans="1:29" ht="15.75" x14ac:dyDescent="0.25">
      <c r="A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4"/>
      <c r="N2207" s="13"/>
      <c r="O2207" s="4"/>
      <c r="P2207" s="1475"/>
      <c r="U2207" s="787"/>
      <c r="V2207" s="787"/>
      <c r="W2207" s="787"/>
      <c r="X2207" s="787"/>
      <c r="Y2207" s="787"/>
      <c r="Z2207" s="791"/>
      <c r="AA2207" s="787"/>
      <c r="AB2207" s="787"/>
      <c r="AC2207" s="679"/>
    </row>
    <row r="2208" spans="1:29" ht="15.75" x14ac:dyDescent="0.25">
      <c r="A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4"/>
      <c r="N2208" s="13"/>
      <c r="O2208" s="4"/>
      <c r="P2208" s="1475"/>
      <c r="U2208" s="787"/>
      <c r="V2208" s="787"/>
      <c r="W2208" s="787"/>
      <c r="X2208" s="787"/>
      <c r="Y2208" s="787"/>
      <c r="Z2208" s="791"/>
      <c r="AA2208" s="787"/>
      <c r="AB2208" s="787"/>
      <c r="AC2208" s="679"/>
    </row>
    <row r="2209" spans="1:29" ht="15.75" x14ac:dyDescent="0.25">
      <c r="A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4"/>
      <c r="N2209" s="13"/>
      <c r="O2209" s="4"/>
      <c r="P2209" s="1475"/>
      <c r="U2209" s="787"/>
      <c r="V2209" s="787"/>
      <c r="W2209" s="787"/>
      <c r="X2209" s="787"/>
      <c r="Y2209" s="787"/>
      <c r="Z2209" s="791"/>
      <c r="AA2209" s="787"/>
      <c r="AB2209" s="787"/>
      <c r="AC2209" s="679"/>
    </row>
    <row r="2210" spans="1:29" ht="15.75" x14ac:dyDescent="0.25">
      <c r="A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4"/>
      <c r="N2210" s="13"/>
      <c r="O2210" s="4"/>
      <c r="P2210" s="1475"/>
      <c r="U2210" s="787"/>
      <c r="V2210" s="787"/>
      <c r="W2210" s="787"/>
      <c r="X2210" s="787"/>
      <c r="Y2210" s="787"/>
      <c r="Z2210" s="791"/>
      <c r="AA2210" s="787"/>
      <c r="AB2210" s="787"/>
      <c r="AC2210" s="679"/>
    </row>
    <row r="2211" spans="1:29" ht="15.75" x14ac:dyDescent="0.25">
      <c r="A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4"/>
      <c r="N2211" s="13"/>
      <c r="O2211" s="4"/>
      <c r="P2211" s="1475"/>
      <c r="U2211" s="787"/>
      <c r="V2211" s="787"/>
      <c r="W2211" s="787"/>
      <c r="X2211" s="787"/>
      <c r="Y2211" s="787"/>
      <c r="Z2211" s="791"/>
      <c r="AA2211" s="787"/>
      <c r="AB2211" s="787"/>
      <c r="AC2211" s="679"/>
    </row>
    <row r="2212" spans="1:29" ht="15.75" x14ac:dyDescent="0.25">
      <c r="A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4"/>
      <c r="N2212" s="13"/>
      <c r="O2212" s="4"/>
      <c r="P2212" s="1475"/>
      <c r="U2212" s="787"/>
      <c r="V2212" s="787"/>
      <c r="W2212" s="787"/>
      <c r="X2212" s="787"/>
      <c r="Y2212" s="787"/>
      <c r="Z2212" s="791"/>
      <c r="AA2212" s="787"/>
      <c r="AB2212" s="787"/>
      <c r="AC2212" s="679"/>
    </row>
    <row r="2213" spans="1:29" ht="15.75" x14ac:dyDescent="0.25">
      <c r="A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4"/>
      <c r="N2213" s="13"/>
      <c r="O2213" s="4"/>
      <c r="P2213" s="1475"/>
      <c r="U2213" s="787"/>
      <c r="V2213" s="787"/>
      <c r="W2213" s="787"/>
      <c r="X2213" s="787"/>
      <c r="Y2213" s="787"/>
      <c r="Z2213" s="791"/>
      <c r="AA2213" s="787"/>
      <c r="AB2213" s="787"/>
      <c r="AC2213" s="679"/>
    </row>
    <row r="2214" spans="1:29" ht="15.75" x14ac:dyDescent="0.25">
      <c r="A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4"/>
      <c r="N2214" s="13"/>
      <c r="O2214" s="4"/>
      <c r="P2214" s="1475"/>
      <c r="U2214" s="787"/>
      <c r="V2214" s="787"/>
      <c r="W2214" s="787"/>
      <c r="X2214" s="787"/>
      <c r="Y2214" s="787"/>
      <c r="Z2214" s="791"/>
      <c r="AA2214" s="787"/>
      <c r="AB2214" s="787"/>
      <c r="AC2214" s="679"/>
    </row>
    <row r="2215" spans="1:29" ht="15.75" x14ac:dyDescent="0.25">
      <c r="A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4"/>
      <c r="N2215" s="13"/>
      <c r="O2215" s="4"/>
      <c r="P2215" s="1475"/>
      <c r="U2215" s="787"/>
      <c r="V2215" s="787"/>
      <c r="W2215" s="787"/>
      <c r="X2215" s="787"/>
      <c r="Y2215" s="787"/>
      <c r="Z2215" s="791"/>
      <c r="AA2215" s="787"/>
      <c r="AB2215" s="787"/>
      <c r="AC2215" s="679"/>
    </row>
    <row r="2216" spans="1:29" ht="15.75" x14ac:dyDescent="0.25">
      <c r="A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4"/>
      <c r="N2216" s="13"/>
      <c r="O2216" s="4"/>
      <c r="P2216" s="1475"/>
      <c r="U2216" s="787"/>
      <c r="V2216" s="787"/>
      <c r="W2216" s="787"/>
      <c r="X2216" s="787"/>
      <c r="Y2216" s="787"/>
      <c r="Z2216" s="791"/>
      <c r="AA2216" s="787"/>
      <c r="AB2216" s="787"/>
      <c r="AC2216" s="679"/>
    </row>
    <row r="2217" spans="1:29" ht="15.75" x14ac:dyDescent="0.25">
      <c r="A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4"/>
      <c r="N2217" s="13"/>
      <c r="O2217" s="4"/>
      <c r="P2217" s="1475"/>
      <c r="U2217" s="787"/>
      <c r="V2217" s="787"/>
      <c r="W2217" s="787"/>
      <c r="X2217" s="787"/>
      <c r="Y2217" s="787"/>
      <c r="Z2217" s="791"/>
      <c r="AA2217" s="787"/>
      <c r="AB2217" s="787"/>
      <c r="AC2217" s="679"/>
    </row>
    <row r="2218" spans="1:29" ht="15.75" x14ac:dyDescent="0.25">
      <c r="A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4"/>
      <c r="N2218" s="13"/>
      <c r="O2218" s="4"/>
      <c r="P2218" s="1475"/>
      <c r="U2218" s="787"/>
      <c r="V2218" s="787"/>
      <c r="W2218" s="787"/>
      <c r="X2218" s="787"/>
      <c r="Y2218" s="787"/>
      <c r="Z2218" s="791"/>
      <c r="AA2218" s="787"/>
      <c r="AB2218" s="787"/>
      <c r="AC2218" s="679"/>
    </row>
    <row r="2219" spans="1:29" ht="15.75" x14ac:dyDescent="0.25">
      <c r="A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4"/>
      <c r="N2219" s="13"/>
      <c r="O2219" s="4"/>
      <c r="P2219" s="1475"/>
      <c r="U2219" s="787"/>
      <c r="V2219" s="787"/>
      <c r="W2219" s="787"/>
      <c r="X2219" s="787"/>
      <c r="Y2219" s="787"/>
      <c r="Z2219" s="791"/>
      <c r="AA2219" s="787"/>
      <c r="AB2219" s="787"/>
      <c r="AC2219" s="679"/>
    </row>
    <row r="2220" spans="1:29" ht="15.75" x14ac:dyDescent="0.25">
      <c r="A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4"/>
      <c r="N2220" s="13"/>
      <c r="O2220" s="4"/>
      <c r="P2220" s="1475"/>
      <c r="U2220" s="787"/>
      <c r="V2220" s="787"/>
      <c r="W2220" s="787"/>
      <c r="X2220" s="787"/>
      <c r="Y2220" s="787"/>
      <c r="Z2220" s="791"/>
      <c r="AA2220" s="787"/>
      <c r="AB2220" s="787"/>
      <c r="AC2220" s="679"/>
    </row>
    <row r="2221" spans="1:29" ht="15.75" x14ac:dyDescent="0.25">
      <c r="A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4"/>
      <c r="N2221" s="13"/>
      <c r="O2221" s="4"/>
      <c r="P2221" s="1475"/>
      <c r="U2221" s="787"/>
      <c r="V2221" s="787"/>
      <c r="W2221" s="787"/>
      <c r="X2221" s="787"/>
      <c r="Y2221" s="787"/>
      <c r="Z2221" s="791"/>
      <c r="AA2221" s="787"/>
      <c r="AB2221" s="787"/>
      <c r="AC2221" s="679"/>
    </row>
    <row r="2222" spans="1:29" ht="15.75" x14ac:dyDescent="0.25">
      <c r="A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4"/>
      <c r="N2222" s="13"/>
      <c r="O2222" s="4"/>
      <c r="P2222" s="1475"/>
      <c r="U2222" s="787"/>
      <c r="V2222" s="787"/>
      <c r="W2222" s="787"/>
      <c r="X2222" s="787"/>
      <c r="Y2222" s="787"/>
      <c r="Z2222" s="791"/>
      <c r="AA2222" s="787"/>
      <c r="AB2222" s="787"/>
      <c r="AC2222" s="679"/>
    </row>
    <row r="2223" spans="1:29" ht="15.75" x14ac:dyDescent="0.25">
      <c r="A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4"/>
      <c r="N2223" s="13"/>
      <c r="O2223" s="4"/>
      <c r="P2223" s="1475"/>
      <c r="U2223" s="787"/>
      <c r="V2223" s="787"/>
      <c r="W2223" s="787"/>
      <c r="X2223" s="787"/>
      <c r="Y2223" s="787"/>
      <c r="Z2223" s="791"/>
      <c r="AA2223" s="787"/>
      <c r="AB2223" s="787"/>
      <c r="AC2223" s="679"/>
    </row>
    <row r="2224" spans="1:29" ht="15.75" x14ac:dyDescent="0.25">
      <c r="A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4"/>
      <c r="N2224" s="13"/>
      <c r="O2224" s="4"/>
      <c r="P2224" s="1475"/>
      <c r="U2224" s="787"/>
      <c r="V2224" s="787"/>
      <c r="W2224" s="787"/>
      <c r="X2224" s="787"/>
      <c r="Y2224" s="787"/>
      <c r="Z2224" s="791"/>
      <c r="AA2224" s="787"/>
      <c r="AB2224" s="787"/>
      <c r="AC2224" s="679"/>
    </row>
    <row r="2225" spans="1:29" ht="15.75" x14ac:dyDescent="0.25">
      <c r="A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4"/>
      <c r="N2225" s="13"/>
      <c r="O2225" s="4"/>
      <c r="P2225" s="1475"/>
      <c r="U2225" s="787"/>
      <c r="V2225" s="787"/>
      <c r="W2225" s="787"/>
      <c r="X2225" s="787"/>
      <c r="Y2225" s="787"/>
      <c r="Z2225" s="791"/>
      <c r="AA2225" s="787"/>
      <c r="AB2225" s="787"/>
      <c r="AC2225" s="679"/>
    </row>
    <row r="2226" spans="1:29" ht="15.75" x14ac:dyDescent="0.25">
      <c r="A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4"/>
      <c r="N2226" s="13"/>
      <c r="O2226" s="4"/>
      <c r="P2226" s="1475"/>
      <c r="U2226" s="787"/>
      <c r="V2226" s="787"/>
      <c r="W2226" s="787"/>
      <c r="X2226" s="787"/>
      <c r="Y2226" s="787"/>
      <c r="Z2226" s="791"/>
      <c r="AA2226" s="787"/>
      <c r="AB2226" s="787"/>
      <c r="AC2226" s="679"/>
    </row>
    <row r="2227" spans="1:29" ht="15.75" x14ac:dyDescent="0.25">
      <c r="A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4"/>
      <c r="N2227" s="13"/>
      <c r="O2227" s="4"/>
      <c r="P2227" s="1475"/>
      <c r="U2227" s="787"/>
      <c r="V2227" s="787"/>
      <c r="W2227" s="787"/>
      <c r="X2227" s="787"/>
      <c r="Y2227" s="787"/>
      <c r="Z2227" s="791"/>
      <c r="AA2227" s="787"/>
      <c r="AB2227" s="787"/>
      <c r="AC2227" s="679"/>
    </row>
    <row r="2228" spans="1:29" ht="15.75" x14ac:dyDescent="0.25">
      <c r="A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4"/>
      <c r="N2228" s="13"/>
      <c r="O2228" s="4"/>
      <c r="P2228" s="1475"/>
      <c r="U2228" s="787"/>
      <c r="V2228" s="787"/>
      <c r="W2228" s="787"/>
      <c r="X2228" s="787"/>
      <c r="Y2228" s="787"/>
      <c r="Z2228" s="791"/>
      <c r="AA2228" s="787"/>
      <c r="AB2228" s="787"/>
      <c r="AC2228" s="679"/>
    </row>
    <row r="2229" spans="1:29" ht="15.75" x14ac:dyDescent="0.25">
      <c r="A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4"/>
      <c r="N2229" s="13"/>
      <c r="O2229" s="4"/>
      <c r="P2229" s="1475"/>
      <c r="U2229" s="787"/>
      <c r="V2229" s="787"/>
      <c r="W2229" s="787"/>
      <c r="X2229" s="787"/>
      <c r="Y2229" s="787"/>
      <c r="Z2229" s="791"/>
      <c r="AA2229" s="787"/>
      <c r="AB2229" s="787"/>
      <c r="AC2229" s="679"/>
    </row>
    <row r="2230" spans="1:29" ht="15.75" x14ac:dyDescent="0.25">
      <c r="A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4"/>
      <c r="N2230" s="13"/>
      <c r="O2230" s="4"/>
      <c r="P2230" s="1475"/>
      <c r="U2230" s="787"/>
      <c r="V2230" s="787"/>
      <c r="W2230" s="787"/>
      <c r="X2230" s="787"/>
      <c r="Y2230" s="787"/>
      <c r="Z2230" s="791"/>
      <c r="AA2230" s="787"/>
      <c r="AB2230" s="787"/>
      <c r="AC2230" s="679"/>
    </row>
    <row r="2231" spans="1:29" ht="15.75" x14ac:dyDescent="0.25">
      <c r="A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4"/>
      <c r="N2231" s="13"/>
      <c r="O2231" s="4"/>
      <c r="P2231" s="1475"/>
      <c r="U2231" s="787"/>
      <c r="V2231" s="787"/>
      <c r="W2231" s="787"/>
      <c r="X2231" s="787"/>
      <c r="Y2231" s="787"/>
      <c r="Z2231" s="791"/>
      <c r="AA2231" s="787"/>
      <c r="AB2231" s="787"/>
      <c r="AC2231" s="679"/>
    </row>
    <row r="2232" spans="1:29" ht="15.75" x14ac:dyDescent="0.25">
      <c r="A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4"/>
      <c r="N2232" s="13"/>
      <c r="O2232" s="4"/>
      <c r="P2232" s="1475"/>
      <c r="U2232" s="787"/>
      <c r="V2232" s="787"/>
      <c r="W2232" s="787"/>
      <c r="X2232" s="787"/>
      <c r="Y2232" s="787"/>
      <c r="Z2232" s="791"/>
      <c r="AA2232" s="787"/>
      <c r="AB2232" s="787"/>
      <c r="AC2232" s="679"/>
    </row>
    <row r="2233" spans="1:29" ht="15.75" x14ac:dyDescent="0.25">
      <c r="A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4"/>
      <c r="N2233" s="13"/>
      <c r="O2233" s="4"/>
      <c r="P2233" s="1475"/>
      <c r="U2233" s="787"/>
      <c r="V2233" s="787"/>
      <c r="W2233" s="787"/>
      <c r="X2233" s="787"/>
      <c r="Y2233" s="787"/>
      <c r="Z2233" s="791"/>
      <c r="AA2233" s="787"/>
      <c r="AB2233" s="787"/>
      <c r="AC2233" s="679"/>
    </row>
    <row r="2234" spans="1:29" ht="15.75" x14ac:dyDescent="0.25">
      <c r="A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4"/>
      <c r="N2234" s="13"/>
      <c r="O2234" s="4"/>
      <c r="P2234" s="1475"/>
      <c r="U2234" s="787"/>
      <c r="V2234" s="787"/>
      <c r="W2234" s="787"/>
      <c r="X2234" s="787"/>
      <c r="Y2234" s="787"/>
      <c r="Z2234" s="791"/>
      <c r="AA2234" s="787"/>
      <c r="AB2234" s="787"/>
      <c r="AC2234" s="679"/>
    </row>
    <row r="2235" spans="1:29" ht="15.75" x14ac:dyDescent="0.25">
      <c r="A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4"/>
      <c r="N2235" s="13"/>
      <c r="O2235" s="4"/>
      <c r="P2235" s="1475"/>
      <c r="U2235" s="787"/>
      <c r="V2235" s="787"/>
      <c r="W2235" s="787"/>
      <c r="X2235" s="787"/>
      <c r="Y2235" s="787"/>
      <c r="Z2235" s="791"/>
      <c r="AA2235" s="787"/>
      <c r="AB2235" s="787"/>
      <c r="AC2235" s="679"/>
    </row>
    <row r="2236" spans="1:29" ht="15.75" x14ac:dyDescent="0.25">
      <c r="A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4"/>
      <c r="N2236" s="13"/>
      <c r="O2236" s="4"/>
      <c r="P2236" s="1475"/>
      <c r="U2236" s="787"/>
      <c r="V2236" s="787"/>
      <c r="W2236" s="787"/>
      <c r="X2236" s="787"/>
      <c r="Y2236" s="787"/>
      <c r="Z2236" s="791"/>
      <c r="AA2236" s="787"/>
      <c r="AB2236" s="787"/>
      <c r="AC2236" s="679"/>
    </row>
    <row r="2237" spans="1:29" ht="15.75" x14ac:dyDescent="0.25">
      <c r="A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4"/>
      <c r="N2237" s="13"/>
      <c r="O2237" s="4"/>
      <c r="P2237" s="1475"/>
      <c r="U2237" s="787"/>
      <c r="V2237" s="787"/>
      <c r="W2237" s="787"/>
      <c r="X2237" s="787"/>
      <c r="Y2237" s="787"/>
      <c r="Z2237" s="791"/>
      <c r="AA2237" s="787"/>
      <c r="AB2237" s="787"/>
      <c r="AC2237" s="679"/>
    </row>
    <row r="2238" spans="1:29" ht="15.75" x14ac:dyDescent="0.25">
      <c r="A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4"/>
      <c r="N2238" s="13"/>
      <c r="O2238" s="4"/>
      <c r="P2238" s="1475"/>
      <c r="U2238" s="787"/>
      <c r="V2238" s="787"/>
      <c r="W2238" s="787"/>
      <c r="X2238" s="787"/>
      <c r="Y2238" s="787"/>
      <c r="Z2238" s="791"/>
      <c r="AA2238" s="787"/>
      <c r="AB2238" s="787"/>
      <c r="AC2238" s="679"/>
    </row>
    <row r="2239" spans="1:29" ht="15.75" x14ac:dyDescent="0.25">
      <c r="A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4"/>
      <c r="N2239" s="13"/>
      <c r="O2239" s="4"/>
      <c r="P2239" s="1475"/>
      <c r="U2239" s="787"/>
      <c r="V2239" s="787"/>
      <c r="W2239" s="787"/>
      <c r="X2239" s="787"/>
      <c r="Y2239" s="787"/>
      <c r="Z2239" s="791"/>
      <c r="AA2239" s="787"/>
      <c r="AB2239" s="787"/>
      <c r="AC2239" s="679"/>
    </row>
    <row r="2240" spans="1:29" ht="15.75" x14ac:dyDescent="0.25">
      <c r="A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4"/>
      <c r="N2240" s="13"/>
      <c r="O2240" s="4"/>
      <c r="P2240" s="1475"/>
      <c r="U2240" s="787"/>
      <c r="V2240" s="787"/>
      <c r="W2240" s="787"/>
      <c r="X2240" s="787"/>
      <c r="Y2240" s="787"/>
      <c r="Z2240" s="791"/>
      <c r="AA2240" s="787"/>
      <c r="AB2240" s="787"/>
      <c r="AC2240" s="679"/>
    </row>
    <row r="2241" spans="1:29" ht="15.75" x14ac:dyDescent="0.25">
      <c r="A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4"/>
      <c r="N2241" s="13"/>
      <c r="O2241" s="4"/>
      <c r="P2241" s="1475"/>
      <c r="U2241" s="787"/>
      <c r="V2241" s="787"/>
      <c r="W2241" s="787"/>
      <c r="X2241" s="787"/>
      <c r="Y2241" s="787"/>
      <c r="Z2241" s="791"/>
      <c r="AA2241" s="787"/>
      <c r="AB2241" s="787"/>
      <c r="AC2241" s="679"/>
    </row>
    <row r="2242" spans="1:29" ht="15.75" x14ac:dyDescent="0.25">
      <c r="A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4"/>
      <c r="N2242" s="13"/>
      <c r="O2242" s="4"/>
      <c r="P2242" s="1475"/>
      <c r="U2242" s="787"/>
      <c r="V2242" s="787"/>
      <c r="W2242" s="787"/>
      <c r="X2242" s="787"/>
      <c r="Y2242" s="787"/>
      <c r="Z2242" s="791"/>
      <c r="AA2242" s="787"/>
      <c r="AB2242" s="787"/>
      <c r="AC2242" s="679"/>
    </row>
    <row r="2243" spans="1:29" ht="15.75" x14ac:dyDescent="0.25">
      <c r="A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4"/>
      <c r="N2243" s="13"/>
      <c r="O2243" s="4"/>
      <c r="P2243" s="1475"/>
      <c r="U2243" s="787"/>
      <c r="V2243" s="787"/>
      <c r="W2243" s="787"/>
      <c r="X2243" s="787"/>
      <c r="Y2243" s="787"/>
      <c r="Z2243" s="791"/>
      <c r="AA2243" s="787"/>
      <c r="AB2243" s="787"/>
      <c r="AC2243" s="679"/>
    </row>
    <row r="2244" spans="1:29" ht="15.75" x14ac:dyDescent="0.25">
      <c r="A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4"/>
      <c r="N2244" s="13"/>
      <c r="O2244" s="4"/>
      <c r="P2244" s="1475"/>
      <c r="U2244" s="787"/>
      <c r="V2244" s="787"/>
      <c r="W2244" s="787"/>
      <c r="X2244" s="787"/>
      <c r="Y2244" s="787"/>
      <c r="Z2244" s="791"/>
      <c r="AA2244" s="787"/>
      <c r="AB2244" s="787"/>
      <c r="AC2244" s="679"/>
    </row>
    <row r="2245" spans="1:29" ht="15.75" x14ac:dyDescent="0.25">
      <c r="A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4"/>
      <c r="N2245" s="13"/>
      <c r="O2245" s="4"/>
      <c r="P2245" s="1475"/>
      <c r="U2245" s="787"/>
      <c r="V2245" s="787"/>
      <c r="W2245" s="787"/>
      <c r="X2245" s="787"/>
      <c r="Y2245" s="787"/>
      <c r="Z2245" s="791"/>
      <c r="AA2245" s="787"/>
      <c r="AB2245" s="787"/>
      <c r="AC2245" s="679"/>
    </row>
    <row r="2246" spans="1:29" ht="15.75" x14ac:dyDescent="0.25">
      <c r="A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4"/>
      <c r="N2246" s="13"/>
      <c r="O2246" s="4"/>
      <c r="P2246" s="1475"/>
      <c r="U2246" s="787"/>
      <c r="V2246" s="787"/>
      <c r="W2246" s="787"/>
      <c r="X2246" s="787"/>
      <c r="Y2246" s="787"/>
      <c r="Z2246" s="791"/>
      <c r="AA2246" s="787"/>
      <c r="AB2246" s="787"/>
      <c r="AC2246" s="679"/>
    </row>
    <row r="2247" spans="1:29" ht="15.75" x14ac:dyDescent="0.25">
      <c r="A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4"/>
      <c r="N2247" s="13"/>
      <c r="O2247" s="4"/>
      <c r="P2247" s="1475"/>
      <c r="U2247" s="787"/>
      <c r="V2247" s="787"/>
      <c r="W2247" s="787"/>
      <c r="X2247" s="787"/>
      <c r="Y2247" s="787"/>
      <c r="Z2247" s="791"/>
      <c r="AA2247" s="787"/>
      <c r="AB2247" s="787"/>
      <c r="AC2247" s="679"/>
    </row>
    <row r="2248" spans="1:29" ht="15.75" x14ac:dyDescent="0.25">
      <c r="A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4"/>
      <c r="N2248" s="13"/>
      <c r="O2248" s="4"/>
      <c r="P2248" s="1475"/>
      <c r="U2248" s="787"/>
      <c r="V2248" s="787"/>
      <c r="W2248" s="787"/>
      <c r="X2248" s="787"/>
      <c r="Y2248" s="787"/>
      <c r="Z2248" s="791"/>
      <c r="AA2248" s="787"/>
      <c r="AB2248" s="787"/>
      <c r="AC2248" s="679"/>
    </row>
    <row r="2249" spans="1:29" ht="15.75" x14ac:dyDescent="0.25">
      <c r="A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4"/>
      <c r="N2249" s="13"/>
      <c r="O2249" s="4"/>
      <c r="P2249" s="1475"/>
      <c r="U2249" s="787"/>
      <c r="V2249" s="787"/>
      <c r="W2249" s="787"/>
      <c r="X2249" s="787"/>
      <c r="Y2249" s="787"/>
      <c r="Z2249" s="791"/>
      <c r="AA2249" s="787"/>
      <c r="AB2249" s="787"/>
      <c r="AC2249" s="679"/>
    </row>
    <row r="2250" spans="1:29" ht="15.75" x14ac:dyDescent="0.25">
      <c r="A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4"/>
      <c r="N2250" s="13"/>
      <c r="O2250" s="4"/>
      <c r="P2250" s="1475"/>
      <c r="U2250" s="787"/>
      <c r="V2250" s="787"/>
      <c r="W2250" s="787"/>
      <c r="X2250" s="787"/>
      <c r="Y2250" s="787"/>
      <c r="Z2250" s="791"/>
      <c r="AA2250" s="787"/>
      <c r="AB2250" s="787"/>
      <c r="AC2250" s="679"/>
    </row>
    <row r="2251" spans="1:29" ht="15.75" x14ac:dyDescent="0.25">
      <c r="A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4"/>
      <c r="N2251" s="13"/>
      <c r="O2251" s="4"/>
      <c r="P2251" s="1475"/>
      <c r="U2251" s="787"/>
      <c r="V2251" s="787"/>
      <c r="W2251" s="787"/>
      <c r="X2251" s="787"/>
      <c r="Y2251" s="787"/>
      <c r="Z2251" s="791"/>
      <c r="AA2251" s="787"/>
      <c r="AB2251" s="787"/>
      <c r="AC2251" s="679"/>
    </row>
    <row r="2252" spans="1:29" ht="15.75" x14ac:dyDescent="0.25">
      <c r="A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4"/>
      <c r="N2252" s="13"/>
      <c r="O2252" s="4"/>
      <c r="P2252" s="1475"/>
      <c r="U2252" s="787"/>
      <c r="V2252" s="787"/>
      <c r="W2252" s="787"/>
      <c r="X2252" s="787"/>
      <c r="Y2252" s="787"/>
      <c r="Z2252" s="791"/>
      <c r="AA2252" s="787"/>
      <c r="AB2252" s="787"/>
      <c r="AC2252" s="679"/>
    </row>
    <row r="2253" spans="1:29" ht="15.75" x14ac:dyDescent="0.25">
      <c r="A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4"/>
      <c r="N2253" s="13"/>
      <c r="O2253" s="4"/>
      <c r="P2253" s="1475"/>
      <c r="U2253" s="787"/>
      <c r="V2253" s="787"/>
      <c r="W2253" s="787"/>
      <c r="X2253" s="787"/>
      <c r="Y2253" s="787"/>
      <c r="Z2253" s="791"/>
      <c r="AA2253" s="787"/>
      <c r="AB2253" s="787"/>
      <c r="AC2253" s="679"/>
    </row>
    <row r="2254" spans="1:29" ht="15.75" x14ac:dyDescent="0.25">
      <c r="A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4"/>
      <c r="N2254" s="13"/>
      <c r="O2254" s="4"/>
      <c r="P2254" s="1475"/>
      <c r="U2254" s="787"/>
      <c r="V2254" s="787"/>
      <c r="W2254" s="787"/>
      <c r="X2254" s="787"/>
      <c r="Y2254" s="787"/>
      <c r="Z2254" s="791"/>
      <c r="AA2254" s="787"/>
      <c r="AB2254" s="787"/>
      <c r="AC2254" s="679"/>
    </row>
    <row r="2255" spans="1:29" ht="15.75" x14ac:dyDescent="0.25">
      <c r="A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4"/>
      <c r="N2255" s="13"/>
      <c r="O2255" s="4"/>
      <c r="P2255" s="1475"/>
      <c r="U2255" s="787"/>
      <c r="V2255" s="787"/>
      <c r="W2255" s="787"/>
      <c r="X2255" s="787"/>
      <c r="Y2255" s="787"/>
      <c r="Z2255" s="791"/>
      <c r="AA2255" s="787"/>
      <c r="AB2255" s="787"/>
      <c r="AC2255" s="679"/>
    </row>
    <row r="2256" spans="1:29" ht="15.75" x14ac:dyDescent="0.25">
      <c r="A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4"/>
      <c r="N2256" s="13"/>
      <c r="O2256" s="4"/>
      <c r="P2256" s="1475"/>
      <c r="U2256" s="787"/>
      <c r="V2256" s="787"/>
      <c r="W2256" s="787"/>
      <c r="X2256" s="787"/>
      <c r="Y2256" s="787"/>
      <c r="Z2256" s="791"/>
      <c r="AA2256" s="787"/>
      <c r="AB2256" s="787"/>
      <c r="AC2256" s="679"/>
    </row>
    <row r="2257" spans="1:29" ht="15.75" x14ac:dyDescent="0.25">
      <c r="A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4"/>
      <c r="N2257" s="13"/>
      <c r="O2257" s="4"/>
      <c r="P2257" s="1475"/>
      <c r="U2257" s="787"/>
      <c r="V2257" s="787"/>
      <c r="W2257" s="787"/>
      <c r="X2257" s="787"/>
      <c r="Y2257" s="787"/>
      <c r="Z2257" s="791"/>
      <c r="AA2257" s="787"/>
      <c r="AB2257" s="787"/>
      <c r="AC2257" s="679"/>
    </row>
    <row r="2258" spans="1:29" ht="15.75" x14ac:dyDescent="0.25">
      <c r="A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4"/>
      <c r="N2258" s="13"/>
      <c r="O2258" s="4"/>
      <c r="P2258" s="1475"/>
      <c r="U2258" s="787"/>
      <c r="V2258" s="787"/>
      <c r="W2258" s="787"/>
      <c r="X2258" s="787"/>
      <c r="Y2258" s="787"/>
      <c r="Z2258" s="791"/>
      <c r="AA2258" s="787"/>
      <c r="AB2258" s="787"/>
      <c r="AC2258" s="679"/>
    </row>
    <row r="2259" spans="1:29" ht="15.75" x14ac:dyDescent="0.25">
      <c r="A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4"/>
      <c r="N2259" s="13"/>
      <c r="O2259" s="4"/>
      <c r="P2259" s="1475"/>
      <c r="U2259" s="787"/>
      <c r="V2259" s="787"/>
      <c r="W2259" s="787"/>
      <c r="X2259" s="787"/>
      <c r="Y2259" s="787"/>
      <c r="Z2259" s="791"/>
      <c r="AA2259" s="787"/>
      <c r="AB2259" s="787"/>
      <c r="AC2259" s="679"/>
    </row>
    <row r="2260" spans="1:29" ht="15.75" x14ac:dyDescent="0.25">
      <c r="A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4"/>
      <c r="N2260" s="13"/>
      <c r="O2260" s="4"/>
      <c r="P2260" s="1475"/>
      <c r="U2260" s="787"/>
      <c r="V2260" s="787"/>
      <c r="W2260" s="787"/>
      <c r="X2260" s="787"/>
      <c r="Y2260" s="787"/>
      <c r="Z2260" s="791"/>
      <c r="AA2260" s="787"/>
      <c r="AB2260" s="787"/>
      <c r="AC2260" s="679"/>
    </row>
    <row r="2261" spans="1:29" ht="15.75" x14ac:dyDescent="0.25">
      <c r="A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4"/>
      <c r="N2261" s="13"/>
      <c r="O2261" s="4"/>
      <c r="P2261" s="1475"/>
      <c r="U2261" s="787"/>
      <c r="V2261" s="787"/>
      <c r="W2261" s="787"/>
      <c r="X2261" s="787"/>
      <c r="Y2261" s="787"/>
      <c r="Z2261" s="791"/>
      <c r="AA2261" s="787"/>
      <c r="AB2261" s="787"/>
      <c r="AC2261" s="679"/>
    </row>
    <row r="2262" spans="1:29" ht="15.75" x14ac:dyDescent="0.25">
      <c r="A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4"/>
      <c r="N2262" s="13"/>
      <c r="O2262" s="4"/>
      <c r="P2262" s="1475"/>
      <c r="U2262" s="787"/>
      <c r="V2262" s="787"/>
      <c r="W2262" s="787"/>
      <c r="X2262" s="787"/>
      <c r="Y2262" s="787"/>
      <c r="Z2262" s="791"/>
      <c r="AA2262" s="787"/>
      <c r="AB2262" s="787"/>
      <c r="AC2262" s="679"/>
    </row>
    <row r="2263" spans="1:29" ht="15.75" x14ac:dyDescent="0.25">
      <c r="A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4"/>
      <c r="N2263" s="13"/>
      <c r="O2263" s="4"/>
      <c r="P2263" s="1475"/>
      <c r="U2263" s="787"/>
      <c r="V2263" s="787"/>
      <c r="W2263" s="787"/>
      <c r="X2263" s="787"/>
      <c r="Y2263" s="787"/>
      <c r="Z2263" s="791"/>
      <c r="AA2263" s="787"/>
      <c r="AB2263" s="787"/>
      <c r="AC2263" s="679"/>
    </row>
    <row r="2264" spans="1:29" ht="15.75" x14ac:dyDescent="0.25">
      <c r="A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4"/>
      <c r="N2264" s="13"/>
      <c r="O2264" s="4"/>
      <c r="P2264" s="1475"/>
      <c r="U2264" s="787"/>
      <c r="V2264" s="787"/>
      <c r="W2264" s="787"/>
      <c r="X2264" s="787"/>
      <c r="Y2264" s="787"/>
      <c r="Z2264" s="791"/>
      <c r="AA2264" s="787"/>
      <c r="AB2264" s="787"/>
      <c r="AC2264" s="679"/>
    </row>
    <row r="2265" spans="1:29" ht="15.75" x14ac:dyDescent="0.25">
      <c r="A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4"/>
      <c r="N2265" s="13"/>
      <c r="O2265" s="4"/>
      <c r="P2265" s="1475"/>
      <c r="U2265" s="787"/>
      <c r="V2265" s="787"/>
      <c r="W2265" s="787"/>
      <c r="X2265" s="787"/>
      <c r="Y2265" s="787"/>
      <c r="Z2265" s="791"/>
      <c r="AA2265" s="787"/>
      <c r="AB2265" s="787"/>
      <c r="AC2265" s="679"/>
    </row>
    <row r="2266" spans="1:29" ht="15.75" x14ac:dyDescent="0.25">
      <c r="A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4"/>
      <c r="N2266" s="13"/>
      <c r="O2266" s="4"/>
      <c r="P2266" s="1475"/>
      <c r="U2266" s="787"/>
      <c r="V2266" s="787"/>
      <c r="W2266" s="787"/>
      <c r="X2266" s="787"/>
      <c r="Y2266" s="787"/>
      <c r="Z2266" s="791"/>
      <c r="AA2266" s="787"/>
      <c r="AB2266" s="787"/>
      <c r="AC2266" s="679"/>
    </row>
    <row r="2267" spans="1:29" ht="15.75" x14ac:dyDescent="0.25">
      <c r="A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4"/>
      <c r="N2267" s="13"/>
      <c r="O2267" s="4"/>
      <c r="P2267" s="1475"/>
      <c r="U2267" s="787"/>
      <c r="V2267" s="787"/>
      <c r="W2267" s="787"/>
      <c r="X2267" s="787"/>
      <c r="Y2267" s="787"/>
      <c r="Z2267" s="791"/>
      <c r="AA2267" s="787"/>
      <c r="AB2267" s="787"/>
      <c r="AC2267" s="679"/>
    </row>
    <row r="2268" spans="1:29" ht="15.75" x14ac:dyDescent="0.25">
      <c r="A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4"/>
      <c r="N2268" s="13"/>
      <c r="O2268" s="4"/>
      <c r="P2268" s="1475"/>
      <c r="U2268" s="787"/>
      <c r="V2268" s="787"/>
      <c r="W2268" s="787"/>
      <c r="X2268" s="787"/>
      <c r="Y2268" s="787"/>
      <c r="Z2268" s="791"/>
      <c r="AA2268" s="787"/>
      <c r="AB2268" s="787"/>
      <c r="AC2268" s="679"/>
    </row>
    <row r="2269" spans="1:29" ht="15.75" x14ac:dyDescent="0.25">
      <c r="A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4"/>
      <c r="N2269" s="13"/>
      <c r="O2269" s="4"/>
      <c r="P2269" s="1475"/>
      <c r="U2269" s="787"/>
      <c r="V2269" s="787"/>
      <c r="W2269" s="787"/>
      <c r="X2269" s="787"/>
      <c r="Y2269" s="787"/>
      <c r="Z2269" s="791"/>
      <c r="AA2269" s="787"/>
      <c r="AB2269" s="787"/>
      <c r="AC2269" s="679"/>
    </row>
    <row r="2270" spans="1:29" ht="15.75" x14ac:dyDescent="0.25">
      <c r="A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4"/>
      <c r="N2270" s="13"/>
      <c r="O2270" s="4"/>
      <c r="P2270" s="1475"/>
      <c r="U2270" s="787"/>
      <c r="V2270" s="787"/>
      <c r="W2270" s="787"/>
      <c r="X2270" s="787"/>
      <c r="Y2270" s="787"/>
      <c r="Z2270" s="791"/>
      <c r="AA2270" s="787"/>
      <c r="AB2270" s="787"/>
      <c r="AC2270" s="679"/>
    </row>
    <row r="2271" spans="1:29" ht="15.75" x14ac:dyDescent="0.25">
      <c r="A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4"/>
      <c r="N2271" s="13"/>
      <c r="O2271" s="4"/>
      <c r="P2271" s="1475"/>
      <c r="U2271" s="787"/>
      <c r="V2271" s="787"/>
      <c r="W2271" s="787"/>
      <c r="X2271" s="787"/>
      <c r="Y2271" s="787"/>
      <c r="Z2271" s="791"/>
      <c r="AA2271" s="787"/>
      <c r="AB2271" s="787"/>
      <c r="AC2271" s="679"/>
    </row>
    <row r="2272" spans="1:29" ht="15.75" x14ac:dyDescent="0.25">
      <c r="A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4"/>
      <c r="N2272" s="13"/>
      <c r="O2272" s="4"/>
      <c r="P2272" s="1475"/>
      <c r="U2272" s="787"/>
      <c r="V2272" s="787"/>
      <c r="W2272" s="787"/>
      <c r="X2272" s="787"/>
      <c r="Y2272" s="787"/>
      <c r="Z2272" s="791"/>
      <c r="AA2272" s="787"/>
      <c r="AB2272" s="787"/>
      <c r="AC2272" s="679"/>
    </row>
    <row r="2273" spans="1:29" ht="15.75" x14ac:dyDescent="0.25">
      <c r="A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4"/>
      <c r="N2273" s="13"/>
      <c r="O2273" s="4"/>
      <c r="P2273" s="1475"/>
      <c r="U2273" s="787"/>
      <c r="V2273" s="787"/>
      <c r="W2273" s="787"/>
      <c r="X2273" s="787"/>
      <c r="Y2273" s="787"/>
      <c r="Z2273" s="791"/>
      <c r="AA2273" s="787"/>
      <c r="AB2273" s="787"/>
      <c r="AC2273" s="679"/>
    </row>
    <row r="2274" spans="1:29" ht="15.75" x14ac:dyDescent="0.25">
      <c r="A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4"/>
      <c r="N2274" s="13"/>
      <c r="O2274" s="4"/>
      <c r="P2274" s="1475"/>
      <c r="U2274" s="787"/>
      <c r="V2274" s="787"/>
      <c r="W2274" s="787"/>
      <c r="X2274" s="787"/>
      <c r="Y2274" s="787"/>
      <c r="Z2274" s="791"/>
      <c r="AA2274" s="787"/>
      <c r="AB2274" s="787"/>
      <c r="AC2274" s="679"/>
    </row>
    <row r="2275" spans="1:29" ht="15.75" x14ac:dyDescent="0.25">
      <c r="A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4"/>
      <c r="N2275" s="13"/>
      <c r="O2275" s="4"/>
      <c r="P2275" s="1475"/>
      <c r="U2275" s="787"/>
      <c r="V2275" s="787"/>
      <c r="W2275" s="787"/>
      <c r="X2275" s="787"/>
      <c r="Y2275" s="787"/>
      <c r="Z2275" s="791"/>
      <c r="AA2275" s="787"/>
      <c r="AB2275" s="787"/>
      <c r="AC2275" s="679"/>
    </row>
    <row r="2276" spans="1:29" ht="15.75" x14ac:dyDescent="0.25">
      <c r="A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4"/>
      <c r="N2276" s="13"/>
      <c r="O2276" s="4"/>
      <c r="P2276" s="1475"/>
      <c r="U2276" s="787"/>
      <c r="V2276" s="787"/>
      <c r="W2276" s="787"/>
      <c r="X2276" s="787"/>
      <c r="Y2276" s="787"/>
      <c r="Z2276" s="791"/>
      <c r="AA2276" s="787"/>
      <c r="AB2276" s="787"/>
      <c r="AC2276" s="679"/>
    </row>
    <row r="2277" spans="1:29" ht="15.75" x14ac:dyDescent="0.25">
      <c r="A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4"/>
      <c r="N2277" s="13"/>
      <c r="O2277" s="4"/>
      <c r="P2277" s="1475"/>
      <c r="U2277" s="787"/>
      <c r="V2277" s="787"/>
      <c r="W2277" s="787"/>
      <c r="X2277" s="787"/>
      <c r="Y2277" s="787"/>
      <c r="Z2277" s="791"/>
      <c r="AA2277" s="787"/>
      <c r="AB2277" s="787"/>
      <c r="AC2277" s="679"/>
    </row>
    <row r="2278" spans="1:29" ht="15.75" x14ac:dyDescent="0.25">
      <c r="A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4"/>
      <c r="N2278" s="13"/>
      <c r="O2278" s="4"/>
      <c r="P2278" s="1475"/>
      <c r="U2278" s="787"/>
      <c r="V2278" s="787"/>
      <c r="W2278" s="787"/>
      <c r="X2278" s="787"/>
      <c r="Y2278" s="787"/>
      <c r="Z2278" s="791"/>
      <c r="AA2278" s="787"/>
      <c r="AB2278" s="787"/>
      <c r="AC2278" s="679"/>
    </row>
    <row r="2279" spans="1:29" ht="15.75" x14ac:dyDescent="0.25">
      <c r="A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4"/>
      <c r="N2279" s="13"/>
      <c r="O2279" s="4"/>
      <c r="P2279" s="1475"/>
      <c r="U2279" s="787"/>
      <c r="V2279" s="787"/>
      <c r="W2279" s="787"/>
      <c r="X2279" s="787"/>
      <c r="Y2279" s="787"/>
      <c r="Z2279" s="791"/>
      <c r="AA2279" s="787"/>
      <c r="AB2279" s="787"/>
      <c r="AC2279" s="679"/>
    </row>
    <row r="2280" spans="1:29" ht="15.75" x14ac:dyDescent="0.25">
      <c r="A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4"/>
      <c r="N2280" s="13"/>
      <c r="O2280" s="4"/>
      <c r="P2280" s="1475"/>
      <c r="U2280" s="787"/>
      <c r="V2280" s="787"/>
      <c r="W2280" s="787"/>
      <c r="X2280" s="787"/>
      <c r="Y2280" s="787"/>
      <c r="Z2280" s="791"/>
      <c r="AA2280" s="787"/>
      <c r="AB2280" s="787"/>
      <c r="AC2280" s="679"/>
    </row>
    <row r="2281" spans="1:29" ht="15.75" x14ac:dyDescent="0.25">
      <c r="A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4"/>
      <c r="N2281" s="13"/>
      <c r="O2281" s="4"/>
      <c r="P2281" s="1475"/>
      <c r="U2281" s="787"/>
      <c r="V2281" s="787"/>
      <c r="W2281" s="787"/>
      <c r="X2281" s="787"/>
      <c r="Y2281" s="787"/>
      <c r="Z2281" s="791"/>
      <c r="AA2281" s="787"/>
      <c r="AB2281" s="787"/>
      <c r="AC2281" s="679"/>
    </row>
    <row r="2282" spans="1:29" ht="15.75" x14ac:dyDescent="0.25">
      <c r="A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4"/>
      <c r="N2282" s="13"/>
      <c r="O2282" s="4"/>
      <c r="P2282" s="1475"/>
      <c r="U2282" s="787"/>
      <c r="V2282" s="787"/>
      <c r="W2282" s="787"/>
      <c r="X2282" s="787"/>
      <c r="Y2282" s="787"/>
      <c r="Z2282" s="791"/>
      <c r="AA2282" s="787"/>
      <c r="AB2282" s="787"/>
      <c r="AC2282" s="679"/>
    </row>
    <row r="2283" spans="1:29" ht="15.75" x14ac:dyDescent="0.25">
      <c r="A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4"/>
      <c r="N2283" s="13"/>
      <c r="O2283" s="4"/>
      <c r="P2283" s="1475"/>
      <c r="U2283" s="787"/>
      <c r="V2283" s="787"/>
      <c r="W2283" s="787"/>
      <c r="X2283" s="787"/>
      <c r="Y2283" s="787"/>
      <c r="Z2283" s="791"/>
      <c r="AA2283" s="787"/>
      <c r="AB2283" s="787"/>
      <c r="AC2283" s="679"/>
    </row>
    <row r="2284" spans="1:29" ht="15.75" x14ac:dyDescent="0.25">
      <c r="A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4"/>
      <c r="N2284" s="13"/>
      <c r="O2284" s="4"/>
      <c r="P2284" s="1475"/>
      <c r="U2284" s="787"/>
      <c r="V2284" s="787"/>
      <c r="W2284" s="787"/>
      <c r="X2284" s="787"/>
      <c r="Y2284" s="787"/>
      <c r="Z2284" s="791"/>
      <c r="AA2284" s="787"/>
      <c r="AB2284" s="787"/>
      <c r="AC2284" s="679"/>
    </row>
    <row r="2285" spans="1:29" ht="15.75" x14ac:dyDescent="0.25">
      <c r="A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4"/>
      <c r="N2285" s="13"/>
      <c r="O2285" s="4"/>
      <c r="P2285" s="1475"/>
      <c r="U2285" s="787"/>
      <c r="V2285" s="787"/>
      <c r="W2285" s="787"/>
      <c r="X2285" s="787"/>
      <c r="Y2285" s="787"/>
      <c r="Z2285" s="791"/>
      <c r="AA2285" s="787"/>
      <c r="AB2285" s="787"/>
      <c r="AC2285" s="679"/>
    </row>
    <row r="2286" spans="1:29" ht="15.75" x14ac:dyDescent="0.25">
      <c r="A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4"/>
      <c r="N2286" s="13"/>
      <c r="O2286" s="4"/>
      <c r="P2286" s="1475"/>
      <c r="U2286" s="787"/>
      <c r="V2286" s="787"/>
      <c r="W2286" s="787"/>
      <c r="X2286" s="787"/>
      <c r="Y2286" s="787"/>
      <c r="Z2286" s="791"/>
      <c r="AA2286" s="787"/>
      <c r="AB2286" s="787"/>
      <c r="AC2286" s="679"/>
    </row>
    <row r="2287" spans="1:29" ht="15.75" x14ac:dyDescent="0.25">
      <c r="A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4"/>
      <c r="N2287" s="13"/>
      <c r="O2287" s="4"/>
      <c r="P2287" s="1475"/>
      <c r="U2287" s="787"/>
      <c r="V2287" s="787"/>
      <c r="W2287" s="787"/>
      <c r="X2287" s="787"/>
      <c r="Y2287" s="787"/>
      <c r="Z2287" s="791"/>
      <c r="AA2287" s="787"/>
      <c r="AB2287" s="787"/>
      <c r="AC2287" s="679"/>
    </row>
    <row r="2288" spans="1:29" ht="15.75" x14ac:dyDescent="0.25">
      <c r="A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4"/>
      <c r="N2288" s="13"/>
      <c r="O2288" s="4"/>
      <c r="P2288" s="1475"/>
      <c r="U2288" s="787"/>
      <c r="V2288" s="787"/>
      <c r="W2288" s="787"/>
      <c r="X2288" s="787"/>
      <c r="Y2288" s="787"/>
      <c r="Z2288" s="791"/>
      <c r="AA2288" s="787"/>
      <c r="AB2288" s="787"/>
      <c r="AC2288" s="679"/>
    </row>
    <row r="2289" spans="1:29" ht="15.75" x14ac:dyDescent="0.25">
      <c r="A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4"/>
      <c r="N2289" s="13"/>
      <c r="O2289" s="4"/>
      <c r="P2289" s="1475"/>
      <c r="U2289" s="787"/>
      <c r="V2289" s="787"/>
      <c r="W2289" s="787"/>
      <c r="X2289" s="787"/>
      <c r="Y2289" s="787"/>
      <c r="Z2289" s="791"/>
      <c r="AA2289" s="787"/>
      <c r="AB2289" s="787"/>
      <c r="AC2289" s="679"/>
    </row>
    <row r="2290" spans="1:29" ht="15.75" x14ac:dyDescent="0.25">
      <c r="A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4"/>
      <c r="N2290" s="13"/>
      <c r="O2290" s="4"/>
      <c r="P2290" s="1475"/>
      <c r="U2290" s="787"/>
      <c r="V2290" s="787"/>
      <c r="W2290" s="787"/>
      <c r="X2290" s="787"/>
      <c r="Y2290" s="787"/>
      <c r="Z2290" s="791"/>
      <c r="AA2290" s="787"/>
      <c r="AB2290" s="787"/>
      <c r="AC2290" s="679"/>
    </row>
    <row r="2291" spans="1:29" ht="15.75" x14ac:dyDescent="0.25">
      <c r="A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4"/>
      <c r="N2291" s="13"/>
      <c r="O2291" s="4"/>
      <c r="P2291" s="1475"/>
      <c r="U2291" s="787"/>
      <c r="V2291" s="787"/>
      <c r="W2291" s="787"/>
      <c r="X2291" s="787"/>
      <c r="Y2291" s="787"/>
      <c r="Z2291" s="791"/>
      <c r="AA2291" s="787"/>
      <c r="AB2291" s="787"/>
      <c r="AC2291" s="679"/>
    </row>
    <row r="2292" spans="1:29" ht="15.75" x14ac:dyDescent="0.25">
      <c r="A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4"/>
      <c r="N2292" s="13"/>
      <c r="O2292" s="4"/>
      <c r="P2292" s="1475"/>
      <c r="U2292" s="787"/>
      <c r="V2292" s="787"/>
      <c r="W2292" s="787"/>
      <c r="X2292" s="787"/>
      <c r="Y2292" s="787"/>
      <c r="Z2292" s="791"/>
      <c r="AA2292" s="787"/>
      <c r="AB2292" s="787"/>
      <c r="AC2292" s="679"/>
    </row>
    <row r="2293" spans="1:29" ht="15.75" x14ac:dyDescent="0.25">
      <c r="A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4"/>
      <c r="N2293" s="13"/>
      <c r="O2293" s="4"/>
      <c r="P2293" s="1475"/>
      <c r="U2293" s="787"/>
      <c r="V2293" s="787"/>
      <c r="W2293" s="787"/>
      <c r="X2293" s="787"/>
      <c r="Y2293" s="787"/>
      <c r="Z2293" s="791"/>
      <c r="AA2293" s="787"/>
      <c r="AB2293" s="787"/>
      <c r="AC2293" s="679"/>
    </row>
    <row r="2294" spans="1:29" ht="15.75" x14ac:dyDescent="0.25">
      <c r="A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4"/>
      <c r="N2294" s="13"/>
      <c r="O2294" s="4"/>
      <c r="P2294" s="1475"/>
      <c r="U2294" s="787"/>
      <c r="V2294" s="787"/>
      <c r="W2294" s="787"/>
      <c r="X2294" s="787"/>
      <c r="Y2294" s="787"/>
      <c r="Z2294" s="791"/>
      <c r="AA2294" s="787"/>
      <c r="AB2294" s="787"/>
      <c r="AC2294" s="679"/>
    </row>
    <row r="2295" spans="1:29" ht="15.75" x14ac:dyDescent="0.25">
      <c r="A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4"/>
      <c r="N2295" s="13"/>
      <c r="O2295" s="4"/>
      <c r="P2295" s="1475"/>
      <c r="U2295" s="787"/>
      <c r="V2295" s="787"/>
      <c r="W2295" s="787"/>
      <c r="X2295" s="787"/>
      <c r="Y2295" s="787"/>
      <c r="Z2295" s="791"/>
      <c r="AA2295" s="787"/>
      <c r="AB2295" s="787"/>
      <c r="AC2295" s="679"/>
    </row>
    <row r="2296" spans="1:29" ht="15.75" x14ac:dyDescent="0.25">
      <c r="A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4"/>
      <c r="N2296" s="13"/>
      <c r="O2296" s="4"/>
      <c r="P2296" s="1475"/>
      <c r="U2296" s="787"/>
      <c r="V2296" s="787"/>
      <c r="W2296" s="787"/>
      <c r="X2296" s="787"/>
      <c r="Y2296" s="787"/>
      <c r="Z2296" s="791"/>
      <c r="AA2296" s="787"/>
      <c r="AB2296" s="787"/>
      <c r="AC2296" s="679"/>
    </row>
    <row r="2297" spans="1:29" ht="15.75" x14ac:dyDescent="0.25">
      <c r="A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4"/>
      <c r="N2297" s="13"/>
      <c r="O2297" s="4"/>
      <c r="P2297" s="1475"/>
      <c r="U2297" s="787"/>
      <c r="V2297" s="787"/>
      <c r="W2297" s="787"/>
      <c r="X2297" s="787"/>
      <c r="Y2297" s="787"/>
      <c r="Z2297" s="791"/>
      <c r="AA2297" s="787"/>
      <c r="AB2297" s="787"/>
      <c r="AC2297" s="679"/>
    </row>
    <row r="2298" spans="1:29" ht="15.75" x14ac:dyDescent="0.25">
      <c r="A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4"/>
      <c r="N2298" s="13"/>
      <c r="O2298" s="4"/>
      <c r="P2298" s="1475"/>
      <c r="U2298" s="787"/>
      <c r="V2298" s="787"/>
      <c r="W2298" s="787"/>
      <c r="X2298" s="787"/>
      <c r="Y2298" s="787"/>
      <c r="Z2298" s="791"/>
      <c r="AA2298" s="787"/>
      <c r="AB2298" s="787"/>
      <c r="AC2298" s="679"/>
    </row>
    <row r="2299" spans="1:29" ht="15.75" x14ac:dyDescent="0.25">
      <c r="A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4"/>
      <c r="N2299" s="13"/>
      <c r="O2299" s="4"/>
      <c r="P2299" s="1475"/>
      <c r="U2299" s="787"/>
      <c r="V2299" s="787"/>
      <c r="W2299" s="787"/>
      <c r="X2299" s="787"/>
      <c r="Y2299" s="787"/>
      <c r="Z2299" s="791"/>
      <c r="AA2299" s="787"/>
      <c r="AB2299" s="787"/>
      <c r="AC2299" s="679"/>
    </row>
    <row r="2300" spans="1:29" ht="15.75" x14ac:dyDescent="0.25">
      <c r="A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4"/>
      <c r="N2300" s="13"/>
      <c r="O2300" s="4"/>
      <c r="P2300" s="1475"/>
      <c r="U2300" s="787"/>
      <c r="V2300" s="787"/>
      <c r="W2300" s="787"/>
      <c r="X2300" s="787"/>
      <c r="Y2300" s="787"/>
      <c r="Z2300" s="791"/>
      <c r="AA2300" s="787"/>
      <c r="AB2300" s="787"/>
      <c r="AC2300" s="679"/>
    </row>
    <row r="2301" spans="1:29" ht="15.75" x14ac:dyDescent="0.25">
      <c r="A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4"/>
      <c r="N2301" s="13"/>
      <c r="O2301" s="4"/>
      <c r="P2301" s="1475"/>
      <c r="U2301" s="787"/>
      <c r="V2301" s="787"/>
      <c r="W2301" s="787"/>
      <c r="X2301" s="787"/>
      <c r="Y2301" s="787"/>
      <c r="Z2301" s="791"/>
      <c r="AA2301" s="787"/>
      <c r="AB2301" s="787"/>
      <c r="AC2301" s="679"/>
    </row>
    <row r="2302" spans="1:29" ht="15.75" x14ac:dyDescent="0.25">
      <c r="A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4"/>
      <c r="N2302" s="13"/>
      <c r="O2302" s="4"/>
      <c r="P2302" s="1475"/>
      <c r="U2302" s="787"/>
      <c r="V2302" s="787"/>
      <c r="W2302" s="787"/>
      <c r="X2302" s="787"/>
      <c r="Y2302" s="787"/>
      <c r="Z2302" s="791"/>
      <c r="AA2302" s="787"/>
      <c r="AB2302" s="787"/>
      <c r="AC2302" s="679"/>
    </row>
    <row r="2303" spans="1:29" ht="15.75" x14ac:dyDescent="0.25">
      <c r="A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4"/>
      <c r="N2303" s="13"/>
      <c r="O2303" s="4"/>
      <c r="P2303" s="1475"/>
      <c r="U2303" s="787"/>
      <c r="V2303" s="787"/>
      <c r="W2303" s="787"/>
      <c r="X2303" s="787"/>
      <c r="Y2303" s="787"/>
      <c r="Z2303" s="791"/>
      <c r="AA2303" s="787"/>
      <c r="AB2303" s="787"/>
      <c r="AC2303" s="679"/>
    </row>
    <row r="2304" spans="1:29" ht="15.75" x14ac:dyDescent="0.25">
      <c r="A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4"/>
      <c r="N2304" s="13"/>
      <c r="O2304" s="4"/>
      <c r="P2304" s="1475"/>
      <c r="U2304" s="787"/>
      <c r="V2304" s="787"/>
      <c r="W2304" s="787"/>
      <c r="X2304" s="787"/>
      <c r="Y2304" s="787"/>
      <c r="Z2304" s="791"/>
      <c r="AA2304" s="787"/>
      <c r="AB2304" s="787"/>
      <c r="AC2304" s="679"/>
    </row>
    <row r="2305" spans="1:29" ht="15.75" x14ac:dyDescent="0.25">
      <c r="A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4"/>
      <c r="N2305" s="13"/>
      <c r="O2305" s="4"/>
      <c r="P2305" s="1475"/>
      <c r="U2305" s="787"/>
      <c r="V2305" s="787"/>
      <c r="W2305" s="787"/>
      <c r="X2305" s="787"/>
      <c r="Y2305" s="787"/>
      <c r="Z2305" s="791"/>
      <c r="AA2305" s="787"/>
      <c r="AB2305" s="787"/>
      <c r="AC2305" s="679"/>
    </row>
    <row r="2306" spans="1:29" ht="15.75" x14ac:dyDescent="0.25">
      <c r="A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4"/>
      <c r="N2306" s="13"/>
      <c r="O2306" s="4"/>
      <c r="P2306" s="1475"/>
      <c r="U2306" s="787"/>
      <c r="V2306" s="787"/>
      <c r="W2306" s="787"/>
      <c r="X2306" s="787"/>
      <c r="Y2306" s="787"/>
      <c r="Z2306" s="791"/>
      <c r="AA2306" s="787"/>
      <c r="AB2306" s="787"/>
      <c r="AC2306" s="679"/>
    </row>
    <row r="2307" spans="1:29" ht="15.75" x14ac:dyDescent="0.25">
      <c r="A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4"/>
      <c r="N2307" s="13"/>
      <c r="O2307" s="4"/>
      <c r="P2307" s="1475"/>
      <c r="U2307" s="787"/>
      <c r="V2307" s="787"/>
      <c r="W2307" s="787"/>
      <c r="X2307" s="787"/>
      <c r="Y2307" s="787"/>
      <c r="Z2307" s="791"/>
      <c r="AA2307" s="787"/>
      <c r="AB2307" s="787"/>
      <c r="AC2307" s="679"/>
    </row>
    <row r="2308" spans="1:29" ht="15.75" x14ac:dyDescent="0.25">
      <c r="A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4"/>
      <c r="N2308" s="13"/>
      <c r="O2308" s="4"/>
      <c r="P2308" s="1475"/>
      <c r="U2308" s="787"/>
      <c r="V2308" s="787"/>
      <c r="W2308" s="787"/>
      <c r="X2308" s="787"/>
      <c r="Y2308" s="787"/>
      <c r="Z2308" s="791"/>
      <c r="AA2308" s="787"/>
      <c r="AB2308" s="787"/>
      <c r="AC2308" s="679"/>
    </row>
    <row r="2309" spans="1:29" ht="15.75" x14ac:dyDescent="0.25">
      <c r="A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4"/>
      <c r="N2309" s="13"/>
      <c r="O2309" s="4"/>
      <c r="P2309" s="1475"/>
      <c r="U2309" s="787"/>
      <c r="V2309" s="787"/>
      <c r="W2309" s="787"/>
      <c r="X2309" s="787"/>
      <c r="Y2309" s="787"/>
      <c r="Z2309" s="791"/>
      <c r="AA2309" s="787"/>
      <c r="AB2309" s="787"/>
      <c r="AC2309" s="679"/>
    </row>
    <row r="2310" spans="1:29" ht="15.75" x14ac:dyDescent="0.25">
      <c r="A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4"/>
      <c r="N2310" s="13"/>
      <c r="O2310" s="4"/>
      <c r="P2310" s="1475"/>
      <c r="U2310" s="787"/>
      <c r="V2310" s="787"/>
      <c r="W2310" s="787"/>
      <c r="X2310" s="787"/>
      <c r="Y2310" s="787"/>
      <c r="Z2310" s="791"/>
      <c r="AA2310" s="787"/>
      <c r="AB2310" s="787"/>
      <c r="AC2310" s="679"/>
    </row>
    <row r="2311" spans="1:29" ht="15.75" x14ac:dyDescent="0.25">
      <c r="A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4"/>
      <c r="N2311" s="13"/>
      <c r="O2311" s="4"/>
      <c r="P2311" s="1475"/>
      <c r="U2311" s="787"/>
      <c r="V2311" s="787"/>
      <c r="W2311" s="787"/>
      <c r="X2311" s="787"/>
      <c r="Y2311" s="787"/>
      <c r="Z2311" s="791"/>
      <c r="AA2311" s="787"/>
      <c r="AB2311" s="787"/>
      <c r="AC2311" s="679"/>
    </row>
    <row r="2312" spans="1:29" ht="15.75" x14ac:dyDescent="0.25">
      <c r="A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4"/>
      <c r="N2312" s="13"/>
      <c r="O2312" s="4"/>
      <c r="P2312" s="1475"/>
      <c r="U2312" s="787"/>
      <c r="V2312" s="787"/>
      <c r="W2312" s="787"/>
      <c r="X2312" s="787"/>
      <c r="Y2312" s="787"/>
      <c r="Z2312" s="791"/>
      <c r="AA2312" s="787"/>
      <c r="AB2312" s="787"/>
      <c r="AC2312" s="679"/>
    </row>
    <row r="2313" spans="1:29" ht="15.75" x14ac:dyDescent="0.25">
      <c r="A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4"/>
      <c r="N2313" s="13"/>
      <c r="O2313" s="4"/>
      <c r="P2313" s="1475"/>
      <c r="U2313" s="787"/>
      <c r="V2313" s="787"/>
      <c r="W2313" s="787"/>
      <c r="X2313" s="787"/>
      <c r="Y2313" s="787"/>
      <c r="Z2313" s="791"/>
      <c r="AA2313" s="787"/>
      <c r="AB2313" s="787"/>
      <c r="AC2313" s="679"/>
    </row>
    <row r="2314" spans="1:29" ht="15.75" x14ac:dyDescent="0.25">
      <c r="A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4"/>
      <c r="N2314" s="13"/>
      <c r="O2314" s="4"/>
      <c r="P2314" s="1475"/>
      <c r="U2314" s="787"/>
      <c r="V2314" s="787"/>
      <c r="W2314" s="787"/>
      <c r="X2314" s="787"/>
      <c r="Y2314" s="787"/>
      <c r="Z2314" s="791"/>
      <c r="AA2314" s="787"/>
      <c r="AB2314" s="787"/>
      <c r="AC2314" s="679"/>
    </row>
    <row r="2315" spans="1:29" ht="15.75" x14ac:dyDescent="0.25">
      <c r="A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4"/>
      <c r="N2315" s="13"/>
      <c r="O2315" s="4"/>
      <c r="P2315" s="1475"/>
      <c r="U2315" s="787"/>
      <c r="V2315" s="787"/>
      <c r="W2315" s="787"/>
      <c r="X2315" s="787"/>
      <c r="Y2315" s="787"/>
      <c r="Z2315" s="791"/>
      <c r="AA2315" s="787"/>
      <c r="AB2315" s="787"/>
      <c r="AC2315" s="679"/>
    </row>
    <row r="2316" spans="1:29" ht="15.75" x14ac:dyDescent="0.25">
      <c r="A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4"/>
      <c r="N2316" s="13"/>
      <c r="O2316" s="4"/>
      <c r="P2316" s="1475"/>
      <c r="U2316" s="787"/>
      <c r="V2316" s="787"/>
      <c r="W2316" s="787"/>
      <c r="X2316" s="787"/>
      <c r="Y2316" s="787"/>
      <c r="Z2316" s="791"/>
      <c r="AA2316" s="787"/>
      <c r="AB2316" s="787"/>
      <c r="AC2316" s="679"/>
    </row>
    <row r="2317" spans="1:29" ht="15.75" x14ac:dyDescent="0.25">
      <c r="A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4"/>
      <c r="N2317" s="13"/>
      <c r="O2317" s="4"/>
      <c r="P2317" s="1475"/>
      <c r="U2317" s="787"/>
      <c r="V2317" s="787"/>
      <c r="W2317" s="787"/>
      <c r="X2317" s="787"/>
      <c r="Y2317" s="787"/>
      <c r="Z2317" s="791"/>
      <c r="AA2317" s="787"/>
      <c r="AB2317" s="787"/>
      <c r="AC2317" s="679"/>
    </row>
    <row r="2318" spans="1:29" ht="15.75" x14ac:dyDescent="0.25">
      <c r="A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4"/>
      <c r="N2318" s="13"/>
      <c r="O2318" s="4"/>
      <c r="P2318" s="1475"/>
      <c r="U2318" s="787"/>
      <c r="V2318" s="787"/>
      <c r="W2318" s="787"/>
      <c r="X2318" s="787"/>
      <c r="Y2318" s="787"/>
      <c r="Z2318" s="791"/>
      <c r="AA2318" s="787"/>
      <c r="AB2318" s="787"/>
      <c r="AC2318" s="679"/>
    </row>
    <row r="2319" spans="1:29" ht="15.75" x14ac:dyDescent="0.25">
      <c r="A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4"/>
      <c r="N2319" s="13"/>
      <c r="O2319" s="4"/>
      <c r="P2319" s="1475"/>
      <c r="U2319" s="787"/>
      <c r="V2319" s="787"/>
      <c r="W2319" s="787"/>
      <c r="X2319" s="787"/>
      <c r="Y2319" s="787"/>
      <c r="Z2319" s="791"/>
      <c r="AA2319" s="787"/>
      <c r="AB2319" s="787"/>
      <c r="AC2319" s="679"/>
    </row>
    <row r="2320" spans="1:29" ht="15.75" x14ac:dyDescent="0.25">
      <c r="A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4"/>
      <c r="N2320" s="13"/>
      <c r="O2320" s="4"/>
      <c r="P2320" s="1475"/>
      <c r="U2320" s="787"/>
      <c r="V2320" s="787"/>
      <c r="W2320" s="787"/>
      <c r="X2320" s="787"/>
      <c r="Y2320" s="787"/>
      <c r="Z2320" s="791"/>
      <c r="AA2320" s="787"/>
      <c r="AB2320" s="787"/>
      <c r="AC2320" s="679"/>
    </row>
    <row r="2321" spans="1:29" ht="15.75" x14ac:dyDescent="0.25">
      <c r="A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4"/>
      <c r="N2321" s="13"/>
      <c r="O2321" s="4"/>
      <c r="P2321" s="1475"/>
      <c r="U2321" s="787"/>
      <c r="V2321" s="787"/>
      <c r="W2321" s="787"/>
      <c r="X2321" s="787"/>
      <c r="Y2321" s="787"/>
      <c r="Z2321" s="791"/>
      <c r="AA2321" s="787"/>
      <c r="AB2321" s="787"/>
      <c r="AC2321" s="679"/>
    </row>
    <row r="2322" spans="1:29" ht="15.75" x14ac:dyDescent="0.25">
      <c r="A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4"/>
      <c r="N2322" s="13"/>
      <c r="O2322" s="4"/>
      <c r="P2322" s="1475"/>
      <c r="U2322" s="787"/>
      <c r="V2322" s="787"/>
      <c r="W2322" s="787"/>
      <c r="X2322" s="787"/>
      <c r="Y2322" s="787"/>
      <c r="Z2322" s="791"/>
      <c r="AA2322" s="787"/>
      <c r="AB2322" s="787"/>
      <c r="AC2322" s="679"/>
    </row>
    <row r="2323" spans="1:29" ht="15.75" x14ac:dyDescent="0.25">
      <c r="A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4"/>
      <c r="N2323" s="13"/>
      <c r="O2323" s="4"/>
      <c r="P2323" s="1475"/>
      <c r="U2323" s="787"/>
      <c r="V2323" s="787"/>
      <c r="W2323" s="787"/>
      <c r="X2323" s="787"/>
      <c r="Y2323" s="787"/>
      <c r="Z2323" s="791"/>
      <c r="AA2323" s="787"/>
      <c r="AB2323" s="787"/>
      <c r="AC2323" s="679"/>
    </row>
    <row r="2324" spans="1:29" ht="15.75" x14ac:dyDescent="0.25">
      <c r="A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4"/>
      <c r="N2324" s="13"/>
      <c r="O2324" s="4"/>
      <c r="P2324" s="1475"/>
      <c r="U2324" s="787"/>
      <c r="V2324" s="787"/>
      <c r="W2324" s="787"/>
      <c r="X2324" s="787"/>
      <c r="Y2324" s="787"/>
      <c r="Z2324" s="791"/>
      <c r="AA2324" s="787"/>
      <c r="AB2324" s="787"/>
      <c r="AC2324" s="679"/>
    </row>
    <row r="2325" spans="1:29" ht="15.75" x14ac:dyDescent="0.25">
      <c r="A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4"/>
      <c r="N2325" s="13"/>
      <c r="O2325" s="4"/>
      <c r="P2325" s="1475"/>
      <c r="U2325" s="787"/>
      <c r="V2325" s="787"/>
      <c r="W2325" s="787"/>
      <c r="X2325" s="787"/>
      <c r="Y2325" s="787"/>
      <c r="Z2325" s="791"/>
      <c r="AA2325" s="787"/>
      <c r="AB2325" s="787"/>
      <c r="AC2325" s="679"/>
    </row>
    <row r="2326" spans="1:29" ht="15.75" x14ac:dyDescent="0.25">
      <c r="A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4"/>
      <c r="N2326" s="13"/>
      <c r="O2326" s="4"/>
      <c r="P2326" s="1475"/>
      <c r="U2326" s="787"/>
      <c r="V2326" s="787"/>
      <c r="W2326" s="787"/>
      <c r="X2326" s="787"/>
      <c r="Y2326" s="787"/>
      <c r="Z2326" s="791"/>
      <c r="AA2326" s="787"/>
      <c r="AB2326" s="787"/>
      <c r="AC2326" s="679"/>
    </row>
    <row r="2327" spans="1:29" ht="15.75" x14ac:dyDescent="0.25">
      <c r="A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4"/>
      <c r="N2327" s="13"/>
      <c r="O2327" s="4"/>
      <c r="P2327" s="1475"/>
      <c r="U2327" s="787"/>
      <c r="V2327" s="787"/>
      <c r="W2327" s="787"/>
      <c r="X2327" s="787"/>
      <c r="Y2327" s="787"/>
      <c r="Z2327" s="791"/>
      <c r="AA2327" s="787"/>
      <c r="AB2327" s="787"/>
      <c r="AC2327" s="679"/>
    </row>
    <row r="2328" spans="1:29" ht="15.75" x14ac:dyDescent="0.25">
      <c r="A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4"/>
      <c r="N2328" s="13"/>
      <c r="O2328" s="4"/>
      <c r="P2328" s="1475"/>
      <c r="U2328" s="787"/>
      <c r="V2328" s="787"/>
      <c r="W2328" s="787"/>
      <c r="X2328" s="787"/>
      <c r="Y2328" s="787"/>
      <c r="Z2328" s="791"/>
      <c r="AA2328" s="787"/>
      <c r="AB2328" s="787"/>
      <c r="AC2328" s="679"/>
    </row>
    <row r="2329" spans="1:29" ht="15.75" x14ac:dyDescent="0.25">
      <c r="A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4"/>
      <c r="N2329" s="13"/>
      <c r="O2329" s="4"/>
      <c r="P2329" s="1475"/>
      <c r="U2329" s="787"/>
      <c r="V2329" s="787"/>
      <c r="W2329" s="787"/>
      <c r="X2329" s="787"/>
      <c r="Y2329" s="787"/>
      <c r="Z2329" s="791"/>
      <c r="AA2329" s="787"/>
      <c r="AB2329" s="787"/>
      <c r="AC2329" s="679"/>
    </row>
    <row r="2330" spans="1:29" ht="15.75" x14ac:dyDescent="0.25">
      <c r="A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4"/>
      <c r="N2330" s="13"/>
      <c r="O2330" s="4"/>
      <c r="P2330" s="1475"/>
      <c r="U2330" s="787"/>
      <c r="V2330" s="787"/>
      <c r="W2330" s="787"/>
      <c r="X2330" s="787"/>
      <c r="Y2330" s="787"/>
      <c r="Z2330" s="791"/>
      <c r="AA2330" s="787"/>
      <c r="AB2330" s="787"/>
      <c r="AC2330" s="679"/>
    </row>
    <row r="2331" spans="1:29" ht="15.75" x14ac:dyDescent="0.25">
      <c r="A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4"/>
      <c r="N2331" s="13"/>
      <c r="O2331" s="4"/>
      <c r="P2331" s="1475"/>
      <c r="U2331" s="787"/>
      <c r="V2331" s="787"/>
      <c r="W2331" s="787"/>
      <c r="X2331" s="787"/>
      <c r="Y2331" s="787"/>
      <c r="Z2331" s="791"/>
      <c r="AA2331" s="787"/>
      <c r="AB2331" s="787"/>
      <c r="AC2331" s="679"/>
    </row>
    <row r="2332" spans="1:29" ht="15.75" x14ac:dyDescent="0.25">
      <c r="A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4"/>
      <c r="N2332" s="13"/>
      <c r="O2332" s="4"/>
      <c r="P2332" s="1475"/>
      <c r="U2332" s="787"/>
      <c r="V2332" s="787"/>
      <c r="W2332" s="787"/>
      <c r="X2332" s="787"/>
      <c r="Y2332" s="787"/>
      <c r="Z2332" s="791"/>
      <c r="AA2332" s="787"/>
      <c r="AB2332" s="787"/>
      <c r="AC2332" s="679"/>
    </row>
    <row r="2333" spans="1:29" ht="15.75" x14ac:dyDescent="0.25">
      <c r="A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4"/>
      <c r="N2333" s="13"/>
      <c r="O2333" s="4"/>
      <c r="P2333" s="1475"/>
      <c r="U2333" s="787"/>
      <c r="V2333" s="787"/>
      <c r="W2333" s="787"/>
      <c r="X2333" s="787"/>
      <c r="Y2333" s="787"/>
      <c r="Z2333" s="791"/>
      <c r="AA2333" s="787"/>
      <c r="AB2333" s="787"/>
      <c r="AC2333" s="679"/>
    </row>
    <row r="2334" spans="1:29" ht="15.75" x14ac:dyDescent="0.25">
      <c r="A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4"/>
      <c r="N2334" s="13"/>
      <c r="O2334" s="4"/>
      <c r="P2334" s="1475"/>
      <c r="U2334" s="787"/>
      <c r="V2334" s="787"/>
      <c r="W2334" s="787"/>
      <c r="X2334" s="787"/>
      <c r="Y2334" s="787"/>
      <c r="Z2334" s="791"/>
      <c r="AA2334" s="787"/>
      <c r="AB2334" s="787"/>
      <c r="AC2334" s="679"/>
    </row>
    <row r="2335" spans="1:29" ht="15.75" x14ac:dyDescent="0.25">
      <c r="A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4"/>
      <c r="N2335" s="13"/>
      <c r="O2335" s="4"/>
      <c r="P2335" s="1475"/>
      <c r="U2335" s="787"/>
      <c r="V2335" s="787"/>
      <c r="W2335" s="787"/>
      <c r="X2335" s="787"/>
      <c r="Y2335" s="787"/>
      <c r="Z2335" s="791"/>
      <c r="AA2335" s="787"/>
      <c r="AB2335" s="787"/>
      <c r="AC2335" s="679"/>
    </row>
    <row r="2336" spans="1:29" ht="15.75" x14ac:dyDescent="0.25">
      <c r="A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4"/>
      <c r="N2336" s="13"/>
      <c r="O2336" s="4"/>
      <c r="P2336" s="1475"/>
      <c r="U2336" s="787"/>
      <c r="V2336" s="787"/>
      <c r="W2336" s="787"/>
      <c r="X2336" s="787"/>
      <c r="Y2336" s="787"/>
      <c r="Z2336" s="791"/>
      <c r="AA2336" s="787"/>
      <c r="AB2336" s="787"/>
      <c r="AC2336" s="679"/>
    </row>
    <row r="2337" spans="1:29" ht="15.75" x14ac:dyDescent="0.25">
      <c r="A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4"/>
      <c r="N2337" s="13"/>
      <c r="O2337" s="4"/>
      <c r="P2337" s="1475"/>
      <c r="U2337" s="787"/>
      <c r="V2337" s="787"/>
      <c r="W2337" s="787"/>
      <c r="X2337" s="787"/>
      <c r="Y2337" s="787"/>
      <c r="Z2337" s="791"/>
      <c r="AA2337" s="787"/>
      <c r="AB2337" s="787"/>
      <c r="AC2337" s="679"/>
    </row>
    <row r="2338" spans="1:29" ht="15.75" x14ac:dyDescent="0.25">
      <c r="A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4"/>
      <c r="N2338" s="13"/>
      <c r="O2338" s="4"/>
      <c r="P2338" s="1475"/>
      <c r="U2338" s="787"/>
      <c r="V2338" s="787"/>
      <c r="W2338" s="787"/>
      <c r="X2338" s="787"/>
      <c r="Y2338" s="787"/>
      <c r="Z2338" s="791"/>
      <c r="AA2338" s="787"/>
      <c r="AB2338" s="787"/>
      <c r="AC2338" s="679"/>
    </row>
    <row r="2339" spans="1:29" ht="15.75" x14ac:dyDescent="0.25">
      <c r="A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4"/>
      <c r="N2339" s="13"/>
      <c r="O2339" s="4"/>
      <c r="P2339" s="1475"/>
      <c r="U2339" s="787"/>
      <c r="V2339" s="787"/>
      <c r="W2339" s="787"/>
      <c r="X2339" s="787"/>
      <c r="Y2339" s="787"/>
      <c r="Z2339" s="791"/>
      <c r="AA2339" s="787"/>
      <c r="AB2339" s="787"/>
      <c r="AC2339" s="679"/>
    </row>
    <row r="2340" spans="1:29" ht="15.75" x14ac:dyDescent="0.25">
      <c r="A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4"/>
      <c r="N2340" s="13"/>
      <c r="O2340" s="4"/>
      <c r="P2340" s="1475"/>
      <c r="U2340" s="787"/>
      <c r="V2340" s="787"/>
      <c r="W2340" s="787"/>
      <c r="X2340" s="787"/>
      <c r="Y2340" s="787"/>
      <c r="Z2340" s="791"/>
      <c r="AA2340" s="787"/>
      <c r="AB2340" s="787"/>
      <c r="AC2340" s="679"/>
    </row>
    <row r="2341" spans="1:29" ht="15.75" x14ac:dyDescent="0.25">
      <c r="A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4"/>
      <c r="N2341" s="13"/>
      <c r="O2341" s="4"/>
      <c r="P2341" s="1475"/>
      <c r="U2341" s="787"/>
      <c r="V2341" s="787"/>
      <c r="W2341" s="787"/>
      <c r="X2341" s="787"/>
      <c r="Y2341" s="787"/>
      <c r="Z2341" s="791"/>
      <c r="AA2341" s="787"/>
      <c r="AB2341" s="787"/>
      <c r="AC2341" s="679"/>
    </row>
    <row r="2342" spans="1:29" ht="15.75" x14ac:dyDescent="0.25">
      <c r="A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4"/>
      <c r="N2342" s="13"/>
      <c r="O2342" s="4"/>
      <c r="P2342" s="1475"/>
      <c r="U2342" s="787"/>
      <c r="V2342" s="787"/>
      <c r="W2342" s="787"/>
      <c r="X2342" s="787"/>
      <c r="Y2342" s="787"/>
      <c r="Z2342" s="791"/>
      <c r="AA2342" s="787"/>
      <c r="AB2342" s="787"/>
      <c r="AC2342" s="679"/>
    </row>
    <row r="2343" spans="1:29" ht="15.75" x14ac:dyDescent="0.25">
      <c r="A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4"/>
      <c r="N2343" s="13"/>
      <c r="O2343" s="4"/>
      <c r="P2343" s="1475"/>
      <c r="U2343" s="787"/>
      <c r="V2343" s="787"/>
      <c r="W2343" s="787"/>
      <c r="X2343" s="787"/>
      <c r="Y2343" s="787"/>
      <c r="Z2343" s="791"/>
      <c r="AA2343" s="787"/>
      <c r="AB2343" s="787"/>
      <c r="AC2343" s="679"/>
    </row>
    <row r="2344" spans="1:29" ht="15.75" x14ac:dyDescent="0.25">
      <c r="A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4"/>
      <c r="N2344" s="13"/>
      <c r="O2344" s="4"/>
      <c r="P2344" s="1475"/>
      <c r="U2344" s="787"/>
      <c r="V2344" s="787"/>
      <c r="W2344" s="787"/>
      <c r="X2344" s="787"/>
      <c r="Y2344" s="787"/>
      <c r="Z2344" s="791"/>
      <c r="AA2344" s="787"/>
      <c r="AB2344" s="787"/>
      <c r="AC2344" s="679"/>
    </row>
    <row r="2345" spans="1:29" ht="15.75" x14ac:dyDescent="0.25">
      <c r="A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4"/>
      <c r="N2345" s="13"/>
      <c r="O2345" s="4"/>
      <c r="P2345" s="1475"/>
      <c r="U2345" s="787"/>
      <c r="V2345" s="787"/>
      <c r="W2345" s="787"/>
      <c r="X2345" s="787"/>
      <c r="Y2345" s="787"/>
      <c r="Z2345" s="791"/>
      <c r="AA2345" s="787"/>
      <c r="AB2345" s="787"/>
      <c r="AC2345" s="679"/>
    </row>
    <row r="2346" spans="1:29" ht="15.75" x14ac:dyDescent="0.25">
      <c r="A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4"/>
      <c r="N2346" s="13"/>
      <c r="O2346" s="4"/>
      <c r="P2346" s="1475"/>
      <c r="U2346" s="787"/>
      <c r="V2346" s="787"/>
      <c r="W2346" s="787"/>
      <c r="X2346" s="787"/>
      <c r="Y2346" s="787"/>
      <c r="Z2346" s="791"/>
      <c r="AA2346" s="787"/>
      <c r="AB2346" s="787"/>
      <c r="AC2346" s="679"/>
    </row>
    <row r="2347" spans="1:29" ht="15.75" x14ac:dyDescent="0.25">
      <c r="A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4"/>
      <c r="N2347" s="13"/>
      <c r="O2347" s="4"/>
      <c r="P2347" s="1475"/>
      <c r="U2347" s="787"/>
      <c r="V2347" s="787"/>
      <c r="W2347" s="787"/>
      <c r="X2347" s="787"/>
      <c r="Y2347" s="787"/>
      <c r="Z2347" s="791"/>
      <c r="AA2347" s="787"/>
      <c r="AB2347" s="787"/>
      <c r="AC2347" s="679"/>
    </row>
    <row r="2348" spans="1:29" ht="15.75" x14ac:dyDescent="0.25">
      <c r="A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4"/>
      <c r="N2348" s="13"/>
      <c r="O2348" s="4"/>
      <c r="P2348" s="1475"/>
      <c r="U2348" s="787"/>
      <c r="V2348" s="787"/>
      <c r="W2348" s="787"/>
      <c r="X2348" s="787"/>
      <c r="Y2348" s="787"/>
      <c r="Z2348" s="791"/>
      <c r="AA2348" s="787"/>
      <c r="AB2348" s="787"/>
      <c r="AC2348" s="679"/>
    </row>
    <row r="2349" spans="1:29" ht="15.75" x14ac:dyDescent="0.25">
      <c r="A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4"/>
      <c r="N2349" s="13"/>
      <c r="O2349" s="4"/>
      <c r="P2349" s="1475"/>
      <c r="U2349" s="787"/>
      <c r="V2349" s="787"/>
      <c r="W2349" s="787"/>
      <c r="X2349" s="787"/>
      <c r="Y2349" s="787"/>
      <c r="Z2349" s="791"/>
      <c r="AA2349" s="787"/>
      <c r="AB2349" s="787"/>
      <c r="AC2349" s="679"/>
    </row>
    <row r="2350" spans="1:29" ht="15.75" x14ac:dyDescent="0.25">
      <c r="A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4"/>
      <c r="N2350" s="13"/>
      <c r="O2350" s="4"/>
      <c r="P2350" s="1475"/>
      <c r="U2350" s="787"/>
      <c r="V2350" s="787"/>
      <c r="W2350" s="787"/>
      <c r="X2350" s="787"/>
      <c r="Y2350" s="787"/>
      <c r="Z2350" s="791"/>
      <c r="AA2350" s="787"/>
      <c r="AB2350" s="787"/>
      <c r="AC2350" s="679"/>
    </row>
    <row r="2351" spans="1:29" ht="15.75" x14ac:dyDescent="0.25">
      <c r="A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4"/>
      <c r="N2351" s="13"/>
      <c r="O2351" s="4"/>
      <c r="P2351" s="1475"/>
      <c r="U2351" s="787"/>
      <c r="V2351" s="787"/>
      <c r="W2351" s="787"/>
      <c r="X2351" s="787"/>
      <c r="Y2351" s="787"/>
      <c r="Z2351" s="791"/>
      <c r="AA2351" s="787"/>
      <c r="AB2351" s="787"/>
      <c r="AC2351" s="679"/>
    </row>
    <row r="2352" spans="1:29" ht="15.75" x14ac:dyDescent="0.25">
      <c r="A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4"/>
      <c r="N2352" s="13"/>
      <c r="O2352" s="4"/>
      <c r="P2352" s="1475"/>
      <c r="U2352" s="787"/>
      <c r="V2352" s="787"/>
      <c r="W2352" s="787"/>
      <c r="X2352" s="787"/>
      <c r="Y2352" s="787"/>
      <c r="Z2352" s="791"/>
      <c r="AA2352" s="787"/>
      <c r="AB2352" s="787"/>
      <c r="AC2352" s="679"/>
    </row>
    <row r="2353" spans="1:29" ht="15.75" x14ac:dyDescent="0.25">
      <c r="A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4"/>
      <c r="N2353" s="13"/>
      <c r="O2353" s="4"/>
      <c r="P2353" s="1475"/>
      <c r="U2353" s="787"/>
      <c r="V2353" s="787"/>
      <c r="W2353" s="787"/>
      <c r="X2353" s="787"/>
      <c r="Y2353" s="787"/>
      <c r="Z2353" s="791"/>
      <c r="AA2353" s="787"/>
      <c r="AB2353" s="787"/>
      <c r="AC2353" s="679"/>
    </row>
    <row r="2354" spans="1:29" ht="15.75" x14ac:dyDescent="0.25">
      <c r="A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4"/>
      <c r="N2354" s="13"/>
      <c r="O2354" s="4"/>
      <c r="P2354" s="1475"/>
      <c r="U2354" s="787"/>
      <c r="V2354" s="787"/>
      <c r="W2354" s="787"/>
      <c r="X2354" s="787"/>
      <c r="Y2354" s="787"/>
      <c r="Z2354" s="791"/>
      <c r="AA2354" s="787"/>
      <c r="AB2354" s="787"/>
      <c r="AC2354" s="679"/>
    </row>
    <row r="2355" spans="1:29" ht="15.75" x14ac:dyDescent="0.25">
      <c r="A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4"/>
      <c r="N2355" s="13"/>
      <c r="O2355" s="4"/>
      <c r="P2355" s="1475"/>
      <c r="U2355" s="787"/>
      <c r="V2355" s="787"/>
      <c r="W2355" s="787"/>
      <c r="X2355" s="787"/>
      <c r="Y2355" s="787"/>
      <c r="Z2355" s="791"/>
      <c r="AA2355" s="787"/>
      <c r="AB2355" s="787"/>
      <c r="AC2355" s="679"/>
    </row>
    <row r="2356" spans="1:29" ht="15.75" x14ac:dyDescent="0.25">
      <c r="A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4"/>
      <c r="N2356" s="13"/>
      <c r="O2356" s="4"/>
      <c r="P2356" s="1475"/>
      <c r="U2356" s="787"/>
      <c r="V2356" s="787"/>
      <c r="W2356" s="787"/>
      <c r="X2356" s="787"/>
      <c r="Y2356" s="787"/>
      <c r="Z2356" s="791"/>
      <c r="AA2356" s="787"/>
      <c r="AB2356" s="787"/>
      <c r="AC2356" s="679"/>
    </row>
    <row r="2357" spans="1:29" ht="15.75" x14ac:dyDescent="0.25">
      <c r="A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4"/>
      <c r="N2357" s="13"/>
      <c r="O2357" s="4"/>
      <c r="P2357" s="1475"/>
      <c r="U2357" s="787"/>
      <c r="V2357" s="787"/>
      <c r="W2357" s="787"/>
      <c r="X2357" s="787"/>
      <c r="Y2357" s="787"/>
      <c r="Z2357" s="791"/>
      <c r="AA2357" s="787"/>
      <c r="AB2357" s="787"/>
      <c r="AC2357" s="679"/>
    </row>
    <row r="2358" spans="1:29" ht="15.75" x14ac:dyDescent="0.25">
      <c r="A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4"/>
      <c r="N2358" s="13"/>
      <c r="O2358" s="4"/>
      <c r="P2358" s="1475"/>
      <c r="U2358" s="787"/>
      <c r="V2358" s="787"/>
      <c r="W2358" s="787"/>
      <c r="X2358" s="787"/>
      <c r="Y2358" s="787"/>
      <c r="Z2358" s="791"/>
      <c r="AA2358" s="787"/>
      <c r="AB2358" s="787"/>
      <c r="AC2358" s="679"/>
    </row>
    <row r="2359" spans="1:29" ht="15.75" x14ac:dyDescent="0.25">
      <c r="A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4"/>
      <c r="N2359" s="13"/>
      <c r="O2359" s="4"/>
      <c r="P2359" s="1475"/>
      <c r="U2359" s="787"/>
      <c r="V2359" s="787"/>
      <c r="W2359" s="787"/>
      <c r="X2359" s="787"/>
      <c r="Y2359" s="787"/>
      <c r="Z2359" s="791"/>
      <c r="AA2359" s="787"/>
      <c r="AB2359" s="787"/>
      <c r="AC2359" s="679"/>
    </row>
    <row r="2360" spans="1:29" ht="15.75" x14ac:dyDescent="0.25">
      <c r="A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4"/>
      <c r="N2360" s="13"/>
      <c r="O2360" s="4"/>
      <c r="P2360" s="1475"/>
      <c r="U2360" s="787"/>
      <c r="V2360" s="787"/>
      <c r="W2360" s="787"/>
      <c r="X2360" s="787"/>
      <c r="Y2360" s="787"/>
      <c r="Z2360" s="791"/>
      <c r="AA2360" s="787"/>
      <c r="AB2360" s="787"/>
      <c r="AC2360" s="679"/>
    </row>
    <row r="2361" spans="1:29" ht="15.75" x14ac:dyDescent="0.25">
      <c r="A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4"/>
      <c r="N2361" s="13"/>
      <c r="O2361" s="4"/>
      <c r="P2361" s="1475"/>
      <c r="U2361" s="787"/>
      <c r="V2361" s="787"/>
      <c r="W2361" s="787"/>
      <c r="X2361" s="787"/>
      <c r="Y2361" s="787"/>
      <c r="Z2361" s="791"/>
      <c r="AA2361" s="787"/>
      <c r="AB2361" s="787"/>
      <c r="AC2361" s="679"/>
    </row>
    <row r="2362" spans="1:29" ht="15.75" x14ac:dyDescent="0.25">
      <c r="A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4"/>
      <c r="N2362" s="13"/>
      <c r="O2362" s="4"/>
      <c r="P2362" s="1475"/>
      <c r="U2362" s="787"/>
      <c r="V2362" s="787"/>
      <c r="W2362" s="787"/>
      <c r="X2362" s="787"/>
      <c r="Y2362" s="787"/>
      <c r="Z2362" s="791"/>
      <c r="AA2362" s="787"/>
      <c r="AB2362" s="787"/>
      <c r="AC2362" s="679"/>
    </row>
    <row r="2363" spans="1:29" ht="15.75" x14ac:dyDescent="0.25">
      <c r="A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4"/>
      <c r="N2363" s="13"/>
      <c r="O2363" s="4"/>
      <c r="P2363" s="1475"/>
      <c r="U2363" s="787"/>
      <c r="V2363" s="787"/>
      <c r="W2363" s="787"/>
      <c r="X2363" s="787"/>
      <c r="Y2363" s="787"/>
      <c r="Z2363" s="791"/>
      <c r="AA2363" s="787"/>
      <c r="AB2363" s="787"/>
      <c r="AC2363" s="679"/>
    </row>
    <row r="2364" spans="1:29" ht="15.75" x14ac:dyDescent="0.25">
      <c r="A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4"/>
      <c r="N2364" s="13"/>
      <c r="O2364" s="4"/>
      <c r="P2364" s="1475"/>
      <c r="U2364" s="787"/>
      <c r="V2364" s="787"/>
      <c r="W2364" s="787"/>
      <c r="X2364" s="787"/>
      <c r="Y2364" s="787"/>
      <c r="Z2364" s="791"/>
      <c r="AA2364" s="787"/>
      <c r="AB2364" s="787"/>
      <c r="AC2364" s="679"/>
    </row>
    <row r="2365" spans="1:29" ht="15.75" x14ac:dyDescent="0.25">
      <c r="A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4"/>
      <c r="N2365" s="13"/>
      <c r="O2365" s="4"/>
      <c r="P2365" s="1475"/>
      <c r="U2365" s="787"/>
      <c r="V2365" s="787"/>
      <c r="W2365" s="787"/>
      <c r="X2365" s="787"/>
      <c r="Y2365" s="787"/>
      <c r="Z2365" s="791"/>
      <c r="AA2365" s="787"/>
      <c r="AB2365" s="787"/>
      <c r="AC2365" s="679"/>
    </row>
    <row r="2366" spans="1:29" ht="15.75" x14ac:dyDescent="0.25">
      <c r="A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4"/>
      <c r="N2366" s="13"/>
      <c r="O2366" s="4"/>
      <c r="P2366" s="1475"/>
      <c r="U2366" s="787"/>
      <c r="V2366" s="787"/>
      <c r="W2366" s="787"/>
      <c r="X2366" s="787"/>
      <c r="Y2366" s="787"/>
      <c r="Z2366" s="791"/>
      <c r="AA2366" s="787"/>
      <c r="AB2366" s="787"/>
      <c r="AC2366" s="679"/>
    </row>
    <row r="2367" spans="1:29" ht="15.75" x14ac:dyDescent="0.25">
      <c r="A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4"/>
      <c r="N2367" s="13"/>
      <c r="O2367" s="4"/>
      <c r="P2367" s="1475"/>
      <c r="U2367" s="787"/>
      <c r="V2367" s="787"/>
      <c r="W2367" s="787"/>
      <c r="X2367" s="787"/>
      <c r="Y2367" s="787"/>
      <c r="Z2367" s="791"/>
      <c r="AA2367" s="787"/>
      <c r="AB2367" s="787"/>
      <c r="AC2367" s="679"/>
    </row>
    <row r="2368" spans="1:29" ht="15.75" x14ac:dyDescent="0.25">
      <c r="A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4"/>
      <c r="N2368" s="13"/>
      <c r="O2368" s="4"/>
      <c r="P2368" s="1475"/>
      <c r="U2368" s="787"/>
      <c r="V2368" s="787"/>
      <c r="W2368" s="787"/>
      <c r="X2368" s="787"/>
      <c r="Y2368" s="787"/>
      <c r="Z2368" s="791"/>
      <c r="AA2368" s="787"/>
      <c r="AB2368" s="787"/>
      <c r="AC2368" s="679"/>
    </row>
    <row r="2369" spans="1:29" ht="15.75" x14ac:dyDescent="0.25">
      <c r="A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4"/>
      <c r="N2369" s="13"/>
      <c r="O2369" s="4"/>
      <c r="P2369" s="1475"/>
      <c r="U2369" s="787"/>
      <c r="V2369" s="787"/>
      <c r="W2369" s="787"/>
      <c r="X2369" s="787"/>
      <c r="Y2369" s="787"/>
      <c r="Z2369" s="791"/>
      <c r="AA2369" s="787"/>
      <c r="AB2369" s="787"/>
      <c r="AC2369" s="679"/>
    </row>
    <row r="2370" spans="1:29" ht="15.75" x14ac:dyDescent="0.25">
      <c r="A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4"/>
      <c r="N2370" s="13"/>
      <c r="O2370" s="4"/>
      <c r="P2370" s="1475"/>
      <c r="U2370" s="787"/>
      <c r="V2370" s="787"/>
      <c r="W2370" s="787"/>
      <c r="X2370" s="787"/>
      <c r="Y2370" s="787"/>
      <c r="Z2370" s="791"/>
      <c r="AA2370" s="787"/>
      <c r="AB2370" s="787"/>
      <c r="AC2370" s="679"/>
    </row>
    <row r="2371" spans="1:29" ht="15.75" x14ac:dyDescent="0.25">
      <c r="A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4"/>
      <c r="N2371" s="13"/>
      <c r="O2371" s="4"/>
      <c r="P2371" s="1475"/>
      <c r="U2371" s="787"/>
      <c r="V2371" s="787"/>
      <c r="W2371" s="787"/>
      <c r="X2371" s="787"/>
      <c r="Y2371" s="787"/>
      <c r="Z2371" s="791"/>
      <c r="AA2371" s="787"/>
      <c r="AB2371" s="787"/>
      <c r="AC2371" s="679"/>
    </row>
    <row r="2372" spans="1:29" ht="15.75" x14ac:dyDescent="0.25">
      <c r="A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4"/>
      <c r="N2372" s="13"/>
      <c r="O2372" s="4"/>
      <c r="P2372" s="1475"/>
      <c r="U2372" s="787"/>
      <c r="V2372" s="787"/>
      <c r="W2372" s="787"/>
      <c r="X2372" s="787"/>
      <c r="Y2372" s="787"/>
      <c r="Z2372" s="791"/>
      <c r="AA2372" s="787"/>
      <c r="AB2372" s="787"/>
      <c r="AC2372" s="679"/>
    </row>
    <row r="2373" spans="1:29" ht="15.75" x14ac:dyDescent="0.25">
      <c r="A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4"/>
      <c r="N2373" s="13"/>
      <c r="O2373" s="4"/>
      <c r="P2373" s="1475"/>
      <c r="U2373" s="787"/>
      <c r="V2373" s="787"/>
      <c r="W2373" s="787"/>
      <c r="X2373" s="787"/>
      <c r="Y2373" s="787"/>
      <c r="Z2373" s="791"/>
      <c r="AA2373" s="787"/>
      <c r="AB2373" s="787"/>
      <c r="AC2373" s="679"/>
    </row>
    <row r="2374" spans="1:29" ht="15.75" x14ac:dyDescent="0.25">
      <c r="A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4"/>
      <c r="N2374" s="13"/>
      <c r="O2374" s="4"/>
      <c r="P2374" s="1475"/>
      <c r="U2374" s="787"/>
      <c r="V2374" s="787"/>
      <c r="W2374" s="787"/>
      <c r="X2374" s="787"/>
      <c r="Y2374" s="787"/>
      <c r="Z2374" s="791"/>
      <c r="AA2374" s="787"/>
      <c r="AB2374" s="787"/>
      <c r="AC2374" s="679"/>
    </row>
    <row r="2375" spans="1:29" ht="15.75" x14ac:dyDescent="0.25">
      <c r="A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4"/>
      <c r="N2375" s="13"/>
      <c r="O2375" s="4"/>
      <c r="P2375" s="1475"/>
      <c r="U2375" s="787"/>
      <c r="V2375" s="787"/>
      <c r="W2375" s="787"/>
      <c r="X2375" s="787"/>
      <c r="Y2375" s="787"/>
      <c r="Z2375" s="791"/>
      <c r="AA2375" s="787"/>
      <c r="AB2375" s="787"/>
      <c r="AC2375" s="679"/>
    </row>
    <row r="2376" spans="1:29" ht="15.75" x14ac:dyDescent="0.25">
      <c r="A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4"/>
      <c r="N2376" s="13"/>
      <c r="O2376" s="4"/>
      <c r="P2376" s="1475"/>
      <c r="U2376" s="787"/>
      <c r="V2376" s="787"/>
      <c r="W2376" s="787"/>
      <c r="X2376" s="787"/>
      <c r="Y2376" s="787"/>
      <c r="Z2376" s="791"/>
      <c r="AA2376" s="787"/>
      <c r="AB2376" s="787"/>
      <c r="AC2376" s="679"/>
    </row>
    <row r="2377" spans="1:29" ht="15.75" x14ac:dyDescent="0.25">
      <c r="A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4"/>
      <c r="N2377" s="13"/>
      <c r="O2377" s="4"/>
      <c r="P2377" s="1475"/>
      <c r="U2377" s="787"/>
      <c r="V2377" s="787"/>
      <c r="W2377" s="787"/>
      <c r="X2377" s="787"/>
      <c r="Y2377" s="787"/>
      <c r="Z2377" s="791"/>
      <c r="AA2377" s="787"/>
      <c r="AB2377" s="787"/>
      <c r="AC2377" s="679"/>
    </row>
    <row r="2378" spans="1:29" ht="15.75" x14ac:dyDescent="0.25">
      <c r="A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4"/>
      <c r="N2378" s="13"/>
      <c r="O2378" s="4"/>
      <c r="P2378" s="1475"/>
      <c r="U2378" s="787"/>
      <c r="V2378" s="787"/>
      <c r="W2378" s="787"/>
      <c r="X2378" s="787"/>
      <c r="Y2378" s="787"/>
      <c r="Z2378" s="791"/>
      <c r="AA2378" s="787"/>
      <c r="AB2378" s="787"/>
      <c r="AC2378" s="679"/>
    </row>
    <row r="2379" spans="1:29" ht="15.75" x14ac:dyDescent="0.25">
      <c r="A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4"/>
      <c r="N2379" s="13"/>
      <c r="O2379" s="4"/>
      <c r="P2379" s="1475"/>
      <c r="U2379" s="787"/>
      <c r="V2379" s="787"/>
      <c r="W2379" s="787"/>
      <c r="X2379" s="787"/>
      <c r="Y2379" s="787"/>
      <c r="Z2379" s="791"/>
      <c r="AA2379" s="787"/>
      <c r="AB2379" s="787"/>
      <c r="AC2379" s="679"/>
    </row>
    <row r="2380" spans="1:29" ht="15.75" x14ac:dyDescent="0.25">
      <c r="A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4"/>
      <c r="N2380" s="13"/>
      <c r="O2380" s="4"/>
      <c r="P2380" s="1475"/>
      <c r="U2380" s="787"/>
      <c r="V2380" s="787"/>
      <c r="W2380" s="787"/>
      <c r="X2380" s="787"/>
      <c r="Y2380" s="787"/>
      <c r="Z2380" s="791"/>
      <c r="AA2380" s="787"/>
      <c r="AB2380" s="787"/>
      <c r="AC2380" s="679"/>
    </row>
    <row r="2381" spans="1:29" ht="15.75" x14ac:dyDescent="0.25">
      <c r="A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4"/>
      <c r="N2381" s="13"/>
      <c r="O2381" s="4"/>
      <c r="P2381" s="1475"/>
      <c r="U2381" s="787"/>
      <c r="V2381" s="787"/>
      <c r="W2381" s="787"/>
      <c r="X2381" s="787"/>
      <c r="Y2381" s="787"/>
      <c r="Z2381" s="791"/>
      <c r="AA2381" s="787"/>
      <c r="AB2381" s="787"/>
      <c r="AC2381" s="679"/>
    </row>
    <row r="2382" spans="1:29" ht="15.75" x14ac:dyDescent="0.25">
      <c r="A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4"/>
      <c r="N2382" s="13"/>
      <c r="O2382" s="4"/>
      <c r="P2382" s="1475"/>
      <c r="U2382" s="787"/>
      <c r="V2382" s="787"/>
      <c r="W2382" s="787"/>
      <c r="X2382" s="787"/>
      <c r="Y2382" s="787"/>
      <c r="Z2382" s="791"/>
      <c r="AA2382" s="787"/>
      <c r="AB2382" s="787"/>
      <c r="AC2382" s="679"/>
    </row>
    <row r="2383" spans="1:29" ht="15.75" x14ac:dyDescent="0.25">
      <c r="A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4"/>
      <c r="N2383" s="13"/>
      <c r="O2383" s="4"/>
      <c r="P2383" s="1475"/>
      <c r="U2383" s="787"/>
      <c r="V2383" s="787"/>
      <c r="W2383" s="787"/>
      <c r="X2383" s="787"/>
      <c r="Y2383" s="787"/>
      <c r="Z2383" s="791"/>
      <c r="AA2383" s="787"/>
      <c r="AB2383" s="787"/>
      <c r="AC2383" s="679"/>
    </row>
    <row r="2384" spans="1:29" ht="15.75" x14ac:dyDescent="0.25">
      <c r="A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4"/>
      <c r="N2384" s="13"/>
      <c r="O2384" s="4"/>
      <c r="P2384" s="1475"/>
      <c r="U2384" s="787"/>
      <c r="V2384" s="787"/>
      <c r="W2384" s="787"/>
      <c r="X2384" s="787"/>
      <c r="Y2384" s="787"/>
      <c r="Z2384" s="791"/>
      <c r="AA2384" s="787"/>
      <c r="AB2384" s="787"/>
      <c r="AC2384" s="679"/>
    </row>
    <row r="2385" spans="1:29" ht="15.75" x14ac:dyDescent="0.25">
      <c r="A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4"/>
      <c r="N2385" s="13"/>
      <c r="O2385" s="4"/>
      <c r="P2385" s="1475"/>
      <c r="U2385" s="787"/>
      <c r="V2385" s="787"/>
      <c r="W2385" s="787"/>
      <c r="X2385" s="787"/>
      <c r="Y2385" s="787"/>
      <c r="Z2385" s="791"/>
      <c r="AA2385" s="787"/>
      <c r="AB2385" s="787"/>
      <c r="AC2385" s="679"/>
    </row>
    <row r="2386" spans="1:29" ht="15.75" x14ac:dyDescent="0.25">
      <c r="A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4"/>
      <c r="N2386" s="13"/>
      <c r="O2386" s="4"/>
      <c r="P2386" s="1475"/>
      <c r="U2386" s="787"/>
      <c r="V2386" s="787"/>
      <c r="W2386" s="787"/>
      <c r="X2386" s="787"/>
      <c r="Y2386" s="787"/>
      <c r="Z2386" s="791"/>
      <c r="AA2386" s="787"/>
      <c r="AB2386" s="787"/>
      <c r="AC2386" s="679"/>
    </row>
    <row r="2387" spans="1:29" ht="15.75" x14ac:dyDescent="0.25">
      <c r="A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4"/>
      <c r="N2387" s="13"/>
      <c r="O2387" s="4"/>
      <c r="P2387" s="1475"/>
      <c r="U2387" s="787"/>
      <c r="V2387" s="787"/>
      <c r="W2387" s="787"/>
      <c r="X2387" s="787"/>
      <c r="Y2387" s="787"/>
      <c r="Z2387" s="791"/>
      <c r="AA2387" s="787"/>
      <c r="AB2387" s="787"/>
      <c r="AC2387" s="679"/>
    </row>
    <row r="2388" spans="1:29" ht="15.75" x14ac:dyDescent="0.25">
      <c r="A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4"/>
      <c r="N2388" s="13"/>
      <c r="O2388" s="4"/>
      <c r="P2388" s="1475"/>
      <c r="U2388" s="787"/>
      <c r="V2388" s="787"/>
      <c r="W2388" s="787"/>
      <c r="X2388" s="787"/>
      <c r="Y2388" s="787"/>
      <c r="Z2388" s="791"/>
      <c r="AA2388" s="787"/>
      <c r="AB2388" s="787"/>
      <c r="AC2388" s="679"/>
    </row>
    <row r="2389" spans="1:29" ht="15.75" x14ac:dyDescent="0.25">
      <c r="A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4"/>
      <c r="N2389" s="13"/>
      <c r="O2389" s="4"/>
      <c r="P2389" s="1475"/>
      <c r="U2389" s="787"/>
      <c r="V2389" s="787"/>
      <c r="W2389" s="787"/>
      <c r="X2389" s="787"/>
      <c r="Y2389" s="787"/>
      <c r="Z2389" s="791"/>
      <c r="AA2389" s="787"/>
      <c r="AB2389" s="787"/>
      <c r="AC2389" s="679"/>
    </row>
    <row r="2390" spans="1:29" ht="15.75" x14ac:dyDescent="0.25">
      <c r="A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4"/>
      <c r="N2390" s="13"/>
      <c r="O2390" s="4"/>
      <c r="P2390" s="1475"/>
      <c r="U2390" s="787"/>
      <c r="V2390" s="787"/>
      <c r="W2390" s="787"/>
      <c r="X2390" s="787"/>
      <c r="Y2390" s="787"/>
      <c r="Z2390" s="791"/>
      <c r="AA2390" s="787"/>
      <c r="AB2390" s="787"/>
      <c r="AC2390" s="679"/>
    </row>
    <row r="2391" spans="1:29" ht="15.75" x14ac:dyDescent="0.25">
      <c r="A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4"/>
      <c r="N2391" s="13"/>
      <c r="O2391" s="4"/>
      <c r="P2391" s="1475"/>
      <c r="U2391" s="787"/>
      <c r="V2391" s="787"/>
      <c r="W2391" s="787"/>
      <c r="X2391" s="787"/>
      <c r="Y2391" s="787"/>
      <c r="Z2391" s="791"/>
      <c r="AA2391" s="787"/>
      <c r="AB2391" s="787"/>
      <c r="AC2391" s="679"/>
    </row>
    <row r="2392" spans="1:29" ht="15.75" x14ac:dyDescent="0.25">
      <c r="A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4"/>
      <c r="N2392" s="13"/>
      <c r="O2392" s="4"/>
      <c r="P2392" s="1475"/>
      <c r="U2392" s="787"/>
      <c r="V2392" s="787"/>
      <c r="W2392" s="787"/>
      <c r="X2392" s="787"/>
      <c r="Y2392" s="787"/>
      <c r="Z2392" s="791"/>
      <c r="AA2392" s="787"/>
      <c r="AB2392" s="787"/>
      <c r="AC2392" s="679"/>
    </row>
    <row r="2393" spans="1:29" ht="15.75" x14ac:dyDescent="0.25">
      <c r="A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4"/>
      <c r="N2393" s="13"/>
      <c r="O2393" s="4"/>
      <c r="P2393" s="1475"/>
      <c r="U2393" s="787"/>
      <c r="V2393" s="787"/>
      <c r="W2393" s="787"/>
      <c r="X2393" s="787"/>
      <c r="Y2393" s="787"/>
      <c r="Z2393" s="791"/>
      <c r="AA2393" s="787"/>
      <c r="AB2393" s="787"/>
      <c r="AC2393" s="679"/>
    </row>
    <row r="2394" spans="1:29" ht="15.75" x14ac:dyDescent="0.25">
      <c r="A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4"/>
      <c r="N2394" s="13"/>
      <c r="O2394" s="4"/>
      <c r="P2394" s="1475"/>
      <c r="U2394" s="787"/>
      <c r="V2394" s="787"/>
      <c r="W2394" s="787"/>
      <c r="X2394" s="787"/>
      <c r="Y2394" s="787"/>
      <c r="Z2394" s="791"/>
      <c r="AA2394" s="787"/>
      <c r="AB2394" s="787"/>
      <c r="AC2394" s="679"/>
    </row>
    <row r="2395" spans="1:29" ht="15.75" x14ac:dyDescent="0.25">
      <c r="A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4"/>
      <c r="N2395" s="13"/>
      <c r="O2395" s="4"/>
      <c r="P2395" s="1475"/>
      <c r="U2395" s="787"/>
      <c r="V2395" s="787"/>
      <c r="W2395" s="787"/>
      <c r="X2395" s="787"/>
      <c r="Y2395" s="787"/>
      <c r="Z2395" s="791"/>
      <c r="AA2395" s="787"/>
      <c r="AB2395" s="787"/>
      <c r="AC2395" s="679"/>
    </row>
    <row r="2396" spans="1:29" ht="15.75" x14ac:dyDescent="0.25">
      <c r="A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4"/>
      <c r="N2396" s="13"/>
      <c r="O2396" s="4"/>
      <c r="P2396" s="1475"/>
      <c r="U2396" s="787"/>
      <c r="V2396" s="787"/>
      <c r="W2396" s="787"/>
      <c r="X2396" s="787"/>
      <c r="Y2396" s="787"/>
      <c r="Z2396" s="791"/>
      <c r="AA2396" s="787"/>
      <c r="AB2396" s="787"/>
      <c r="AC2396" s="679"/>
    </row>
    <row r="2397" spans="1:29" ht="15.75" x14ac:dyDescent="0.25">
      <c r="A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4"/>
      <c r="N2397" s="13"/>
      <c r="O2397" s="4"/>
      <c r="P2397" s="1475"/>
      <c r="U2397" s="787"/>
      <c r="V2397" s="787"/>
      <c r="W2397" s="787"/>
      <c r="X2397" s="787"/>
      <c r="Y2397" s="787"/>
      <c r="Z2397" s="791"/>
      <c r="AA2397" s="787"/>
      <c r="AB2397" s="787"/>
      <c r="AC2397" s="679"/>
    </row>
    <row r="2398" spans="1:29" ht="15.75" x14ac:dyDescent="0.25">
      <c r="A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4"/>
      <c r="N2398" s="13"/>
      <c r="O2398" s="4"/>
      <c r="P2398" s="1475"/>
      <c r="U2398" s="787"/>
      <c r="V2398" s="787"/>
      <c r="W2398" s="787"/>
      <c r="X2398" s="787"/>
      <c r="Y2398" s="787"/>
      <c r="Z2398" s="791"/>
      <c r="AA2398" s="787"/>
      <c r="AB2398" s="787"/>
      <c r="AC2398" s="679"/>
    </row>
    <row r="2399" spans="1:29" ht="15.75" x14ac:dyDescent="0.25">
      <c r="A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4"/>
      <c r="N2399" s="13"/>
      <c r="O2399" s="4"/>
      <c r="P2399" s="1475"/>
      <c r="U2399" s="787"/>
      <c r="V2399" s="787"/>
      <c r="W2399" s="787"/>
      <c r="X2399" s="787"/>
      <c r="Y2399" s="787"/>
      <c r="Z2399" s="791"/>
      <c r="AA2399" s="787"/>
      <c r="AB2399" s="787"/>
      <c r="AC2399" s="679"/>
    </row>
    <row r="2400" spans="1:29" ht="15.75" x14ac:dyDescent="0.25">
      <c r="A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4"/>
      <c r="N2400" s="13"/>
      <c r="O2400" s="4"/>
      <c r="P2400" s="1475"/>
      <c r="U2400" s="787"/>
      <c r="V2400" s="787"/>
      <c r="W2400" s="787"/>
      <c r="X2400" s="787"/>
      <c r="Y2400" s="787"/>
      <c r="Z2400" s="791"/>
      <c r="AA2400" s="787"/>
      <c r="AB2400" s="787"/>
      <c r="AC2400" s="679"/>
    </row>
    <row r="2401" spans="1:29" ht="15.75" x14ac:dyDescent="0.25">
      <c r="A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4"/>
      <c r="N2401" s="13"/>
      <c r="O2401" s="4"/>
      <c r="P2401" s="1475"/>
      <c r="U2401" s="787"/>
      <c r="V2401" s="787"/>
      <c r="W2401" s="787"/>
      <c r="X2401" s="787"/>
      <c r="Y2401" s="787"/>
      <c r="Z2401" s="791"/>
      <c r="AA2401" s="787"/>
      <c r="AB2401" s="787"/>
      <c r="AC2401" s="679"/>
    </row>
    <row r="2402" spans="1:29" ht="15.75" x14ac:dyDescent="0.25">
      <c r="A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4"/>
      <c r="N2402" s="13"/>
      <c r="O2402" s="4"/>
      <c r="P2402" s="1475"/>
      <c r="U2402" s="787"/>
      <c r="V2402" s="787"/>
      <c r="W2402" s="787"/>
      <c r="X2402" s="787"/>
      <c r="Y2402" s="787"/>
      <c r="Z2402" s="791"/>
      <c r="AA2402" s="787"/>
      <c r="AB2402" s="787"/>
      <c r="AC2402" s="679"/>
    </row>
    <row r="2403" spans="1:29" ht="15.75" x14ac:dyDescent="0.25">
      <c r="A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4"/>
      <c r="N2403" s="13"/>
      <c r="O2403" s="4"/>
      <c r="P2403" s="1475"/>
      <c r="U2403" s="787"/>
      <c r="V2403" s="787"/>
      <c r="W2403" s="787"/>
      <c r="X2403" s="787"/>
      <c r="Y2403" s="787"/>
      <c r="Z2403" s="791"/>
      <c r="AA2403" s="787"/>
      <c r="AB2403" s="787"/>
      <c r="AC2403" s="679"/>
    </row>
    <row r="2404" spans="1:29" ht="15.75" x14ac:dyDescent="0.25">
      <c r="A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4"/>
      <c r="N2404" s="13"/>
      <c r="O2404" s="4"/>
      <c r="P2404" s="1475"/>
      <c r="U2404" s="787"/>
      <c r="V2404" s="787"/>
      <c r="W2404" s="787"/>
      <c r="X2404" s="787"/>
      <c r="Y2404" s="787"/>
      <c r="Z2404" s="791"/>
      <c r="AA2404" s="787"/>
      <c r="AB2404" s="787"/>
      <c r="AC2404" s="679"/>
    </row>
    <row r="2405" spans="1:29" ht="15.75" x14ac:dyDescent="0.25">
      <c r="A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4"/>
      <c r="N2405" s="13"/>
      <c r="O2405" s="4"/>
      <c r="P2405" s="1475"/>
      <c r="U2405" s="787"/>
      <c r="V2405" s="787"/>
      <c r="W2405" s="787"/>
      <c r="X2405" s="787"/>
      <c r="Y2405" s="787"/>
      <c r="Z2405" s="791"/>
      <c r="AA2405" s="787"/>
      <c r="AB2405" s="787"/>
      <c r="AC2405" s="679"/>
    </row>
    <row r="2406" spans="1:29" ht="15.75" x14ac:dyDescent="0.25">
      <c r="A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4"/>
      <c r="N2406" s="13"/>
      <c r="O2406" s="4"/>
      <c r="P2406" s="1475"/>
      <c r="U2406" s="787"/>
      <c r="V2406" s="787"/>
      <c r="W2406" s="787"/>
      <c r="X2406" s="787"/>
      <c r="Y2406" s="787"/>
      <c r="Z2406" s="791"/>
      <c r="AA2406" s="787"/>
      <c r="AB2406" s="787"/>
      <c r="AC2406" s="679"/>
    </row>
    <row r="2407" spans="1:29" ht="15.75" x14ac:dyDescent="0.25">
      <c r="A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4"/>
      <c r="N2407" s="13"/>
      <c r="O2407" s="4"/>
      <c r="P2407" s="1475"/>
      <c r="U2407" s="787"/>
      <c r="V2407" s="787"/>
      <c r="W2407" s="787"/>
      <c r="X2407" s="787"/>
      <c r="Y2407" s="787"/>
      <c r="Z2407" s="791"/>
      <c r="AA2407" s="787"/>
      <c r="AB2407" s="787"/>
      <c r="AC2407" s="679"/>
    </row>
    <row r="2408" spans="1:29" ht="15.75" x14ac:dyDescent="0.25">
      <c r="A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4"/>
      <c r="N2408" s="13"/>
      <c r="O2408" s="4"/>
      <c r="P2408" s="1475"/>
      <c r="U2408" s="787"/>
      <c r="V2408" s="787"/>
      <c r="W2408" s="787"/>
      <c r="X2408" s="787"/>
      <c r="Y2408" s="787"/>
      <c r="Z2408" s="791"/>
      <c r="AA2408" s="787"/>
      <c r="AB2408" s="787"/>
      <c r="AC2408" s="679"/>
    </row>
    <row r="2409" spans="1:29" ht="15.75" x14ac:dyDescent="0.25">
      <c r="A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4"/>
      <c r="N2409" s="13"/>
      <c r="O2409" s="4"/>
      <c r="P2409" s="1475"/>
      <c r="U2409" s="787"/>
      <c r="V2409" s="787"/>
      <c r="W2409" s="787"/>
      <c r="X2409" s="787"/>
      <c r="Y2409" s="787"/>
      <c r="Z2409" s="791"/>
      <c r="AA2409" s="787"/>
      <c r="AB2409" s="787"/>
      <c r="AC2409" s="679"/>
    </row>
    <row r="2410" spans="1:29" ht="15.75" x14ac:dyDescent="0.25">
      <c r="A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4"/>
      <c r="N2410" s="13"/>
      <c r="O2410" s="4"/>
      <c r="P2410" s="1475"/>
      <c r="U2410" s="787"/>
      <c r="V2410" s="787"/>
      <c r="W2410" s="787"/>
      <c r="X2410" s="787"/>
      <c r="Y2410" s="787"/>
      <c r="Z2410" s="791"/>
      <c r="AA2410" s="787"/>
      <c r="AB2410" s="787"/>
      <c r="AC2410" s="679"/>
    </row>
    <row r="2411" spans="1:29" ht="15.75" x14ac:dyDescent="0.25">
      <c r="A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4"/>
      <c r="N2411" s="13"/>
      <c r="O2411" s="4"/>
      <c r="P2411" s="1475"/>
      <c r="U2411" s="787"/>
      <c r="V2411" s="787"/>
      <c r="W2411" s="787"/>
      <c r="X2411" s="787"/>
      <c r="Y2411" s="787"/>
      <c r="Z2411" s="791"/>
      <c r="AA2411" s="787"/>
      <c r="AB2411" s="787"/>
      <c r="AC2411" s="679"/>
    </row>
    <row r="2412" spans="1:29" ht="15.75" x14ac:dyDescent="0.25">
      <c r="A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4"/>
      <c r="N2412" s="13"/>
      <c r="O2412" s="4"/>
      <c r="P2412" s="1475"/>
      <c r="U2412" s="787"/>
      <c r="V2412" s="787"/>
      <c r="W2412" s="787"/>
      <c r="X2412" s="787"/>
      <c r="Y2412" s="787"/>
      <c r="Z2412" s="791"/>
      <c r="AA2412" s="787"/>
      <c r="AB2412" s="787"/>
      <c r="AC2412" s="679"/>
    </row>
    <row r="2413" spans="1:29" ht="15.75" x14ac:dyDescent="0.25">
      <c r="A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4"/>
      <c r="N2413" s="13"/>
      <c r="O2413" s="4"/>
      <c r="P2413" s="1475"/>
      <c r="U2413" s="787"/>
      <c r="V2413" s="787"/>
      <c r="W2413" s="787"/>
      <c r="X2413" s="787"/>
      <c r="Y2413" s="787"/>
      <c r="Z2413" s="791"/>
      <c r="AA2413" s="787"/>
      <c r="AB2413" s="787"/>
      <c r="AC2413" s="679"/>
    </row>
    <row r="2414" spans="1:29" ht="15.75" x14ac:dyDescent="0.25">
      <c r="A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4"/>
      <c r="N2414" s="13"/>
      <c r="O2414" s="4"/>
      <c r="P2414" s="1475"/>
      <c r="U2414" s="787"/>
      <c r="V2414" s="787"/>
      <c r="W2414" s="787"/>
      <c r="X2414" s="787"/>
      <c r="Y2414" s="787"/>
      <c r="Z2414" s="791"/>
      <c r="AA2414" s="787"/>
      <c r="AB2414" s="787"/>
      <c r="AC2414" s="679"/>
    </row>
    <row r="2415" spans="1:29" ht="15.75" x14ac:dyDescent="0.25">
      <c r="A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4"/>
      <c r="N2415" s="13"/>
      <c r="O2415" s="4"/>
      <c r="P2415" s="1475"/>
      <c r="U2415" s="787"/>
      <c r="V2415" s="787"/>
      <c r="W2415" s="787"/>
      <c r="X2415" s="787"/>
      <c r="Y2415" s="787"/>
      <c r="Z2415" s="791"/>
      <c r="AA2415" s="787"/>
      <c r="AB2415" s="787"/>
      <c r="AC2415" s="679"/>
    </row>
    <row r="2416" spans="1:29" ht="15.75" x14ac:dyDescent="0.25">
      <c r="A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4"/>
      <c r="N2416" s="13"/>
      <c r="O2416" s="4"/>
      <c r="P2416" s="1475"/>
      <c r="U2416" s="787"/>
      <c r="V2416" s="787"/>
      <c r="W2416" s="787"/>
      <c r="X2416" s="787"/>
      <c r="Y2416" s="787"/>
      <c r="Z2416" s="791"/>
      <c r="AA2416" s="787"/>
      <c r="AB2416" s="787"/>
      <c r="AC2416" s="679"/>
    </row>
    <row r="2417" spans="1:29" ht="15.75" x14ac:dyDescent="0.25">
      <c r="A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4"/>
      <c r="N2417" s="13"/>
      <c r="O2417" s="4"/>
      <c r="P2417" s="1475"/>
      <c r="U2417" s="787"/>
      <c r="V2417" s="787"/>
      <c r="W2417" s="787"/>
      <c r="X2417" s="787"/>
      <c r="Y2417" s="787"/>
      <c r="Z2417" s="791"/>
      <c r="AA2417" s="787"/>
      <c r="AB2417" s="787"/>
      <c r="AC2417" s="679"/>
    </row>
    <row r="2418" spans="1:29" ht="15.75" x14ac:dyDescent="0.25">
      <c r="A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4"/>
      <c r="N2418" s="13"/>
      <c r="O2418" s="4"/>
      <c r="P2418" s="1475"/>
      <c r="U2418" s="787"/>
      <c r="V2418" s="787"/>
      <c r="W2418" s="787"/>
      <c r="X2418" s="787"/>
      <c r="Y2418" s="787"/>
      <c r="Z2418" s="791"/>
      <c r="AA2418" s="787"/>
      <c r="AB2418" s="787"/>
      <c r="AC2418" s="679"/>
    </row>
    <row r="2419" spans="1:29" ht="15.75" x14ac:dyDescent="0.25">
      <c r="A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4"/>
      <c r="N2419" s="13"/>
      <c r="O2419" s="4"/>
      <c r="P2419" s="1475"/>
      <c r="U2419" s="787"/>
      <c r="V2419" s="787"/>
      <c r="W2419" s="787"/>
      <c r="X2419" s="787"/>
      <c r="Y2419" s="787"/>
      <c r="Z2419" s="791"/>
      <c r="AA2419" s="787"/>
      <c r="AB2419" s="787"/>
      <c r="AC2419" s="679"/>
    </row>
    <row r="2420" spans="1:29" ht="15.75" x14ac:dyDescent="0.25">
      <c r="A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4"/>
      <c r="N2420" s="13"/>
      <c r="O2420" s="4"/>
      <c r="P2420" s="1475"/>
      <c r="U2420" s="787"/>
      <c r="V2420" s="787"/>
      <c r="W2420" s="787"/>
      <c r="X2420" s="787"/>
      <c r="Y2420" s="787"/>
      <c r="Z2420" s="791"/>
      <c r="AA2420" s="787"/>
      <c r="AB2420" s="787"/>
      <c r="AC2420" s="679"/>
    </row>
    <row r="2421" spans="1:29" ht="15.75" x14ac:dyDescent="0.25">
      <c r="A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4"/>
      <c r="N2421" s="13"/>
      <c r="O2421" s="4"/>
      <c r="P2421" s="1475"/>
      <c r="U2421" s="787"/>
      <c r="V2421" s="787"/>
      <c r="W2421" s="787"/>
      <c r="X2421" s="787"/>
      <c r="Y2421" s="787"/>
      <c r="Z2421" s="791"/>
      <c r="AA2421" s="787"/>
      <c r="AB2421" s="787"/>
      <c r="AC2421" s="679"/>
    </row>
    <row r="2422" spans="1:29" ht="15.75" x14ac:dyDescent="0.25">
      <c r="A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4"/>
      <c r="N2422" s="13"/>
      <c r="O2422" s="4"/>
      <c r="P2422" s="1475"/>
      <c r="U2422" s="787"/>
      <c r="V2422" s="787"/>
      <c r="W2422" s="787"/>
      <c r="X2422" s="787"/>
      <c r="Y2422" s="787"/>
      <c r="Z2422" s="791"/>
      <c r="AA2422" s="787"/>
      <c r="AB2422" s="787"/>
      <c r="AC2422" s="679"/>
    </row>
    <row r="2423" spans="1:29" ht="15.75" x14ac:dyDescent="0.25">
      <c r="A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4"/>
      <c r="N2423" s="13"/>
      <c r="O2423" s="4"/>
      <c r="P2423" s="1475"/>
      <c r="U2423" s="787"/>
      <c r="V2423" s="787"/>
      <c r="W2423" s="787"/>
      <c r="X2423" s="787"/>
      <c r="Y2423" s="787"/>
      <c r="Z2423" s="791"/>
      <c r="AA2423" s="787"/>
      <c r="AB2423" s="787"/>
      <c r="AC2423" s="679"/>
    </row>
    <row r="2424" spans="1:29" ht="15.75" x14ac:dyDescent="0.25">
      <c r="A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4"/>
      <c r="N2424" s="13"/>
      <c r="O2424" s="4"/>
      <c r="P2424" s="1475"/>
      <c r="U2424" s="787"/>
      <c r="V2424" s="787"/>
      <c r="W2424" s="787"/>
      <c r="X2424" s="787"/>
      <c r="Y2424" s="787"/>
      <c r="Z2424" s="791"/>
      <c r="AA2424" s="787"/>
      <c r="AB2424" s="787"/>
      <c r="AC2424" s="679"/>
    </row>
    <row r="2425" spans="1:29" ht="15.75" x14ac:dyDescent="0.25">
      <c r="A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4"/>
      <c r="N2425" s="13"/>
      <c r="O2425" s="4"/>
      <c r="P2425" s="1475"/>
      <c r="U2425" s="787"/>
      <c r="V2425" s="787"/>
      <c r="W2425" s="787"/>
      <c r="X2425" s="787"/>
      <c r="Y2425" s="787"/>
      <c r="Z2425" s="791"/>
      <c r="AA2425" s="787"/>
      <c r="AB2425" s="787"/>
      <c r="AC2425" s="679"/>
    </row>
    <row r="2426" spans="1:29" ht="15.75" x14ac:dyDescent="0.25">
      <c r="A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4"/>
      <c r="N2426" s="13"/>
      <c r="O2426" s="4"/>
      <c r="P2426" s="1475"/>
      <c r="U2426" s="787"/>
      <c r="V2426" s="787"/>
      <c r="W2426" s="787"/>
      <c r="X2426" s="787"/>
      <c r="Y2426" s="787"/>
      <c r="Z2426" s="791"/>
      <c r="AA2426" s="787"/>
      <c r="AB2426" s="787"/>
      <c r="AC2426" s="679"/>
    </row>
    <row r="2427" spans="1:29" ht="15.75" x14ac:dyDescent="0.25">
      <c r="A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4"/>
      <c r="N2427" s="13"/>
      <c r="O2427" s="4"/>
      <c r="P2427" s="1475"/>
      <c r="U2427" s="787"/>
      <c r="V2427" s="787"/>
      <c r="W2427" s="787"/>
      <c r="X2427" s="787"/>
      <c r="Y2427" s="787"/>
      <c r="Z2427" s="791"/>
      <c r="AA2427" s="787"/>
      <c r="AB2427" s="787"/>
      <c r="AC2427" s="679"/>
    </row>
    <row r="2428" spans="1:29" ht="15.75" x14ac:dyDescent="0.25">
      <c r="A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4"/>
      <c r="N2428" s="13"/>
      <c r="O2428" s="4"/>
      <c r="P2428" s="1475"/>
      <c r="U2428" s="787"/>
      <c r="V2428" s="787"/>
      <c r="W2428" s="787"/>
      <c r="X2428" s="787"/>
      <c r="Y2428" s="787"/>
      <c r="Z2428" s="791"/>
      <c r="AA2428" s="787"/>
      <c r="AB2428" s="787"/>
      <c r="AC2428" s="679"/>
    </row>
    <row r="2429" spans="1:29" ht="15.75" x14ac:dyDescent="0.25">
      <c r="A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4"/>
      <c r="N2429" s="13"/>
      <c r="O2429" s="4"/>
      <c r="P2429" s="1475"/>
      <c r="U2429" s="787"/>
      <c r="V2429" s="787"/>
      <c r="W2429" s="787"/>
      <c r="X2429" s="787"/>
      <c r="Y2429" s="787"/>
      <c r="Z2429" s="791"/>
      <c r="AA2429" s="787"/>
      <c r="AB2429" s="787"/>
      <c r="AC2429" s="679"/>
    </row>
    <row r="2430" spans="1:29" ht="15.75" x14ac:dyDescent="0.25">
      <c r="A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4"/>
      <c r="N2430" s="13"/>
      <c r="O2430" s="4"/>
      <c r="P2430" s="1475"/>
      <c r="U2430" s="787"/>
      <c r="V2430" s="787"/>
      <c r="W2430" s="787"/>
      <c r="X2430" s="787"/>
      <c r="Y2430" s="787"/>
      <c r="Z2430" s="791"/>
      <c r="AA2430" s="787"/>
      <c r="AB2430" s="787"/>
      <c r="AC2430" s="679"/>
    </row>
    <row r="2431" spans="1:29" ht="15.75" x14ac:dyDescent="0.25">
      <c r="A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4"/>
      <c r="N2431" s="13"/>
      <c r="O2431" s="4"/>
      <c r="P2431" s="1475"/>
      <c r="U2431" s="787"/>
      <c r="V2431" s="787"/>
      <c r="W2431" s="787"/>
      <c r="X2431" s="787"/>
      <c r="Y2431" s="787"/>
      <c r="Z2431" s="791"/>
      <c r="AA2431" s="787"/>
      <c r="AB2431" s="787"/>
      <c r="AC2431" s="679"/>
    </row>
    <row r="2432" spans="1:29" ht="15.75" x14ac:dyDescent="0.25">
      <c r="A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4"/>
      <c r="N2432" s="13"/>
      <c r="O2432" s="4"/>
      <c r="P2432" s="1475"/>
      <c r="U2432" s="787"/>
      <c r="V2432" s="787"/>
      <c r="W2432" s="787"/>
      <c r="X2432" s="787"/>
      <c r="Y2432" s="787"/>
      <c r="Z2432" s="791"/>
      <c r="AA2432" s="787"/>
      <c r="AB2432" s="787"/>
      <c r="AC2432" s="679"/>
    </row>
    <row r="2433" spans="1:29" ht="15.75" x14ac:dyDescent="0.25">
      <c r="A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4"/>
      <c r="N2433" s="13"/>
      <c r="O2433" s="4"/>
      <c r="P2433" s="1475"/>
      <c r="U2433" s="787"/>
      <c r="V2433" s="787"/>
      <c r="W2433" s="787"/>
      <c r="X2433" s="787"/>
      <c r="Y2433" s="787"/>
      <c r="Z2433" s="791"/>
      <c r="AA2433" s="787"/>
      <c r="AB2433" s="787"/>
      <c r="AC2433" s="679"/>
    </row>
    <row r="2434" spans="1:29" ht="15.75" x14ac:dyDescent="0.25">
      <c r="A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4"/>
      <c r="N2434" s="13"/>
      <c r="O2434" s="4"/>
      <c r="P2434" s="1475"/>
      <c r="U2434" s="787"/>
      <c r="V2434" s="787"/>
      <c r="W2434" s="787"/>
      <c r="X2434" s="787"/>
      <c r="Y2434" s="787"/>
      <c r="Z2434" s="791"/>
      <c r="AA2434" s="787"/>
      <c r="AB2434" s="787"/>
      <c r="AC2434" s="679"/>
    </row>
    <row r="2435" spans="1:29" ht="15.75" x14ac:dyDescent="0.25">
      <c r="A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4"/>
      <c r="N2435" s="13"/>
      <c r="O2435" s="4"/>
      <c r="P2435" s="1475"/>
      <c r="U2435" s="787"/>
      <c r="V2435" s="787"/>
      <c r="W2435" s="787"/>
      <c r="X2435" s="787"/>
      <c r="Y2435" s="787"/>
      <c r="Z2435" s="791"/>
      <c r="AA2435" s="787"/>
      <c r="AB2435" s="787"/>
      <c r="AC2435" s="679"/>
    </row>
    <row r="2436" spans="1:29" ht="15.75" x14ac:dyDescent="0.25">
      <c r="A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4"/>
      <c r="N2436" s="13"/>
      <c r="O2436" s="4"/>
      <c r="P2436" s="1475"/>
      <c r="U2436" s="787"/>
      <c r="V2436" s="787"/>
      <c r="W2436" s="787"/>
      <c r="X2436" s="787"/>
      <c r="Y2436" s="787"/>
      <c r="Z2436" s="791"/>
      <c r="AA2436" s="787"/>
      <c r="AB2436" s="787"/>
      <c r="AC2436" s="679"/>
    </row>
    <row r="2437" spans="1:29" ht="15.75" x14ac:dyDescent="0.25">
      <c r="A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4"/>
      <c r="N2437" s="13"/>
      <c r="O2437" s="4"/>
      <c r="P2437" s="1475"/>
      <c r="U2437" s="787"/>
      <c r="V2437" s="787"/>
      <c r="W2437" s="787"/>
      <c r="X2437" s="787"/>
      <c r="Y2437" s="787"/>
      <c r="Z2437" s="791"/>
      <c r="AA2437" s="787"/>
      <c r="AB2437" s="787"/>
      <c r="AC2437" s="679"/>
    </row>
    <row r="2438" spans="1:29" ht="15.75" x14ac:dyDescent="0.25">
      <c r="A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4"/>
      <c r="N2438" s="13"/>
      <c r="O2438" s="4"/>
      <c r="P2438" s="1475"/>
      <c r="U2438" s="787"/>
      <c r="V2438" s="787"/>
      <c r="W2438" s="787"/>
      <c r="X2438" s="787"/>
      <c r="Y2438" s="787"/>
      <c r="Z2438" s="791"/>
      <c r="AA2438" s="787"/>
      <c r="AB2438" s="787"/>
      <c r="AC2438" s="679"/>
    </row>
    <row r="2439" spans="1:29" ht="15.75" x14ac:dyDescent="0.25">
      <c r="A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4"/>
      <c r="N2439" s="13"/>
      <c r="O2439" s="4"/>
      <c r="P2439" s="1475"/>
      <c r="U2439" s="787"/>
      <c r="V2439" s="787"/>
      <c r="W2439" s="787"/>
      <c r="X2439" s="787"/>
      <c r="Y2439" s="787"/>
      <c r="Z2439" s="791"/>
      <c r="AA2439" s="787"/>
      <c r="AB2439" s="787"/>
      <c r="AC2439" s="679"/>
    </row>
    <row r="2440" spans="1:29" ht="15.75" x14ac:dyDescent="0.25">
      <c r="A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4"/>
      <c r="N2440" s="13"/>
      <c r="O2440" s="4"/>
      <c r="P2440" s="1475"/>
      <c r="U2440" s="787"/>
      <c r="V2440" s="787"/>
      <c r="W2440" s="787"/>
      <c r="X2440" s="787"/>
      <c r="Y2440" s="787"/>
      <c r="Z2440" s="791"/>
      <c r="AA2440" s="787"/>
      <c r="AB2440" s="787"/>
      <c r="AC2440" s="679"/>
    </row>
    <row r="2441" spans="1:29" ht="15.75" x14ac:dyDescent="0.25">
      <c r="A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4"/>
      <c r="N2441" s="13"/>
      <c r="O2441" s="4"/>
      <c r="P2441" s="1475"/>
      <c r="U2441" s="787"/>
      <c r="V2441" s="787"/>
      <c r="W2441" s="787"/>
      <c r="X2441" s="787"/>
      <c r="Y2441" s="787"/>
      <c r="Z2441" s="791"/>
      <c r="AA2441" s="787"/>
      <c r="AB2441" s="787"/>
      <c r="AC2441" s="679"/>
    </row>
    <row r="2442" spans="1:29" ht="15.75" x14ac:dyDescent="0.25">
      <c r="A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4"/>
      <c r="N2442" s="13"/>
      <c r="O2442" s="4"/>
      <c r="P2442" s="1475"/>
      <c r="U2442" s="787"/>
      <c r="V2442" s="787"/>
      <c r="W2442" s="787"/>
      <c r="X2442" s="787"/>
      <c r="Y2442" s="787"/>
      <c r="Z2442" s="791"/>
      <c r="AA2442" s="787"/>
      <c r="AB2442" s="787"/>
      <c r="AC2442" s="679"/>
    </row>
    <row r="2443" spans="1:29" ht="15.75" x14ac:dyDescent="0.25">
      <c r="A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4"/>
      <c r="N2443" s="13"/>
      <c r="O2443" s="4"/>
      <c r="P2443" s="1475"/>
      <c r="U2443" s="787"/>
      <c r="V2443" s="787"/>
      <c r="W2443" s="787"/>
      <c r="X2443" s="787"/>
      <c r="Y2443" s="787"/>
      <c r="Z2443" s="791"/>
      <c r="AA2443" s="787"/>
      <c r="AB2443" s="787"/>
      <c r="AC2443" s="679"/>
    </row>
    <row r="2444" spans="1:29" ht="15.75" x14ac:dyDescent="0.25">
      <c r="A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4"/>
      <c r="N2444" s="13"/>
      <c r="O2444" s="4"/>
      <c r="P2444" s="1475"/>
      <c r="U2444" s="787"/>
      <c r="V2444" s="787"/>
      <c r="W2444" s="787"/>
      <c r="X2444" s="787"/>
      <c r="Y2444" s="787"/>
      <c r="Z2444" s="791"/>
      <c r="AA2444" s="787"/>
      <c r="AB2444" s="787"/>
      <c r="AC2444" s="679"/>
    </row>
    <row r="2445" spans="1:29" ht="15.75" x14ac:dyDescent="0.25">
      <c r="A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4"/>
      <c r="N2445" s="13"/>
      <c r="O2445" s="4"/>
      <c r="P2445" s="1475"/>
      <c r="U2445" s="787"/>
      <c r="V2445" s="787"/>
      <c r="W2445" s="787"/>
      <c r="X2445" s="787"/>
      <c r="Y2445" s="787"/>
      <c r="Z2445" s="791"/>
      <c r="AA2445" s="787"/>
      <c r="AB2445" s="787"/>
      <c r="AC2445" s="679"/>
    </row>
    <row r="2446" spans="1:29" ht="15.75" x14ac:dyDescent="0.25">
      <c r="A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4"/>
      <c r="N2446" s="13"/>
      <c r="O2446" s="4"/>
      <c r="P2446" s="1475"/>
      <c r="U2446" s="787"/>
      <c r="V2446" s="787"/>
      <c r="W2446" s="787"/>
      <c r="X2446" s="787"/>
      <c r="Y2446" s="787"/>
      <c r="Z2446" s="791"/>
      <c r="AA2446" s="787"/>
      <c r="AB2446" s="787"/>
      <c r="AC2446" s="679"/>
    </row>
    <row r="2447" spans="1:29" ht="15.75" x14ac:dyDescent="0.25">
      <c r="A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4"/>
      <c r="N2447" s="13"/>
      <c r="O2447" s="4"/>
      <c r="P2447" s="1475"/>
      <c r="U2447" s="787"/>
      <c r="V2447" s="787"/>
      <c r="W2447" s="787"/>
      <c r="X2447" s="787"/>
      <c r="Y2447" s="787"/>
      <c r="Z2447" s="791"/>
      <c r="AA2447" s="787"/>
      <c r="AB2447" s="787"/>
      <c r="AC2447" s="679"/>
    </row>
    <row r="2448" spans="1:29" ht="15.75" x14ac:dyDescent="0.25">
      <c r="A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4"/>
      <c r="N2448" s="13"/>
      <c r="O2448" s="4"/>
      <c r="P2448" s="1475"/>
      <c r="U2448" s="787"/>
      <c r="V2448" s="787"/>
      <c r="W2448" s="787"/>
      <c r="X2448" s="787"/>
      <c r="Y2448" s="787"/>
      <c r="Z2448" s="791"/>
      <c r="AA2448" s="787"/>
      <c r="AB2448" s="787"/>
      <c r="AC2448" s="679"/>
    </row>
    <row r="2449" spans="1:29" ht="15.75" x14ac:dyDescent="0.25">
      <c r="A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4"/>
      <c r="N2449" s="13"/>
      <c r="O2449" s="4"/>
      <c r="P2449" s="1475"/>
      <c r="U2449" s="787"/>
      <c r="V2449" s="787"/>
      <c r="W2449" s="787"/>
      <c r="X2449" s="787"/>
      <c r="Y2449" s="787"/>
      <c r="Z2449" s="791"/>
      <c r="AA2449" s="787"/>
      <c r="AB2449" s="787"/>
      <c r="AC2449" s="679"/>
    </row>
    <row r="2450" spans="1:29" ht="15.75" x14ac:dyDescent="0.25">
      <c r="A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4"/>
      <c r="N2450" s="13"/>
      <c r="O2450" s="4"/>
      <c r="P2450" s="1475"/>
      <c r="U2450" s="787"/>
      <c r="V2450" s="787"/>
      <c r="W2450" s="787"/>
      <c r="X2450" s="787"/>
      <c r="Y2450" s="787"/>
      <c r="Z2450" s="791"/>
      <c r="AA2450" s="787"/>
      <c r="AB2450" s="787"/>
      <c r="AC2450" s="679"/>
    </row>
    <row r="2451" spans="1:29" ht="15.75" x14ac:dyDescent="0.25">
      <c r="A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4"/>
      <c r="N2451" s="13"/>
      <c r="O2451" s="4"/>
      <c r="P2451" s="1475"/>
      <c r="U2451" s="787"/>
      <c r="V2451" s="787"/>
      <c r="W2451" s="787"/>
      <c r="X2451" s="787"/>
      <c r="Y2451" s="787"/>
      <c r="Z2451" s="791"/>
      <c r="AA2451" s="787"/>
      <c r="AB2451" s="787"/>
      <c r="AC2451" s="679"/>
    </row>
    <row r="2452" spans="1:29" ht="15.75" x14ac:dyDescent="0.25">
      <c r="A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4"/>
      <c r="N2452" s="13"/>
      <c r="O2452" s="4"/>
      <c r="P2452" s="1475"/>
      <c r="U2452" s="787"/>
      <c r="V2452" s="787"/>
      <c r="W2452" s="787"/>
      <c r="X2452" s="787"/>
      <c r="Y2452" s="787"/>
      <c r="Z2452" s="791"/>
      <c r="AA2452" s="787"/>
      <c r="AB2452" s="787"/>
      <c r="AC2452" s="679"/>
    </row>
    <row r="2453" spans="1:29" ht="15.75" x14ac:dyDescent="0.25">
      <c r="A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4"/>
      <c r="N2453" s="13"/>
      <c r="O2453" s="4"/>
      <c r="P2453" s="1475"/>
      <c r="U2453" s="787"/>
      <c r="V2453" s="787"/>
      <c r="W2453" s="787"/>
      <c r="X2453" s="787"/>
      <c r="Y2453" s="787"/>
      <c r="Z2453" s="791"/>
      <c r="AA2453" s="787"/>
      <c r="AB2453" s="787"/>
      <c r="AC2453" s="679"/>
    </row>
    <row r="2454" spans="1:29" ht="15.75" x14ac:dyDescent="0.25">
      <c r="A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4"/>
      <c r="N2454" s="13"/>
      <c r="O2454" s="4"/>
      <c r="P2454" s="1475"/>
      <c r="U2454" s="787"/>
      <c r="V2454" s="787"/>
      <c r="W2454" s="787"/>
      <c r="X2454" s="787"/>
      <c r="Y2454" s="787"/>
      <c r="Z2454" s="791"/>
      <c r="AA2454" s="787"/>
      <c r="AB2454" s="787"/>
      <c r="AC2454" s="679"/>
    </row>
    <row r="2455" spans="1:29" ht="15.75" x14ac:dyDescent="0.25">
      <c r="A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4"/>
      <c r="N2455" s="13"/>
      <c r="O2455" s="4"/>
      <c r="P2455" s="1475"/>
      <c r="U2455" s="787"/>
      <c r="V2455" s="787"/>
      <c r="W2455" s="787"/>
      <c r="X2455" s="787"/>
      <c r="Y2455" s="787"/>
      <c r="Z2455" s="791"/>
      <c r="AA2455" s="787"/>
      <c r="AB2455" s="787"/>
      <c r="AC2455" s="679"/>
    </row>
    <row r="2456" spans="1:29" ht="15.75" x14ac:dyDescent="0.25">
      <c r="A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4"/>
      <c r="N2456" s="13"/>
      <c r="O2456" s="4"/>
      <c r="P2456" s="1475"/>
      <c r="U2456" s="787"/>
      <c r="V2456" s="787"/>
      <c r="W2456" s="787"/>
      <c r="X2456" s="787"/>
      <c r="Y2456" s="787"/>
      <c r="Z2456" s="791"/>
      <c r="AA2456" s="787"/>
      <c r="AB2456" s="787"/>
      <c r="AC2456" s="679"/>
    </row>
    <row r="2457" spans="1:29" ht="15.75" x14ac:dyDescent="0.25">
      <c r="A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4"/>
      <c r="N2457" s="13"/>
      <c r="O2457" s="4"/>
      <c r="P2457" s="1475"/>
      <c r="U2457" s="787"/>
      <c r="V2457" s="787"/>
      <c r="W2457" s="787"/>
      <c r="X2457" s="787"/>
      <c r="Y2457" s="787"/>
      <c r="Z2457" s="791"/>
      <c r="AA2457" s="787"/>
      <c r="AB2457" s="787"/>
      <c r="AC2457" s="679"/>
    </row>
    <row r="2458" spans="1:29" ht="15.75" x14ac:dyDescent="0.25">
      <c r="A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4"/>
      <c r="N2458" s="13"/>
      <c r="O2458" s="4"/>
      <c r="P2458" s="1475"/>
      <c r="U2458" s="787"/>
      <c r="V2458" s="787"/>
      <c r="W2458" s="787"/>
      <c r="X2458" s="787"/>
      <c r="Y2458" s="787"/>
      <c r="Z2458" s="791"/>
      <c r="AA2458" s="787"/>
      <c r="AB2458" s="787"/>
      <c r="AC2458" s="679"/>
    </row>
    <row r="2459" spans="1:29" ht="15.75" x14ac:dyDescent="0.25">
      <c r="A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4"/>
      <c r="N2459" s="13"/>
      <c r="O2459" s="4"/>
      <c r="P2459" s="1475"/>
      <c r="U2459" s="787"/>
      <c r="V2459" s="787"/>
      <c r="W2459" s="787"/>
      <c r="X2459" s="787"/>
      <c r="Y2459" s="787"/>
      <c r="Z2459" s="791"/>
      <c r="AA2459" s="787"/>
      <c r="AB2459" s="787"/>
      <c r="AC2459" s="679"/>
    </row>
    <row r="2460" spans="1:29" ht="15.75" x14ac:dyDescent="0.25">
      <c r="A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4"/>
      <c r="N2460" s="13"/>
      <c r="O2460" s="4"/>
      <c r="P2460" s="1475"/>
      <c r="U2460" s="787"/>
      <c r="V2460" s="787"/>
      <c r="W2460" s="787"/>
      <c r="X2460" s="787"/>
      <c r="Y2460" s="787"/>
      <c r="Z2460" s="791"/>
      <c r="AA2460" s="787"/>
      <c r="AB2460" s="787"/>
      <c r="AC2460" s="679"/>
    </row>
    <row r="2461" spans="1:29" ht="15.75" x14ac:dyDescent="0.25">
      <c r="A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4"/>
      <c r="N2461" s="13"/>
      <c r="O2461" s="4"/>
      <c r="P2461" s="1475"/>
      <c r="U2461" s="787"/>
      <c r="V2461" s="787"/>
      <c r="W2461" s="787"/>
      <c r="X2461" s="787"/>
      <c r="Y2461" s="787"/>
      <c r="Z2461" s="791"/>
      <c r="AA2461" s="787"/>
      <c r="AB2461" s="787"/>
      <c r="AC2461" s="679"/>
    </row>
    <row r="2462" spans="1:29" ht="15.75" x14ac:dyDescent="0.25">
      <c r="A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4"/>
      <c r="N2462" s="13"/>
      <c r="O2462" s="4"/>
      <c r="P2462" s="1475"/>
      <c r="U2462" s="787"/>
      <c r="V2462" s="787"/>
      <c r="W2462" s="787"/>
      <c r="X2462" s="787"/>
      <c r="Y2462" s="787"/>
      <c r="Z2462" s="791"/>
      <c r="AA2462" s="787"/>
      <c r="AB2462" s="787"/>
      <c r="AC2462" s="679"/>
    </row>
    <row r="2463" spans="1:29" ht="15.75" x14ac:dyDescent="0.25">
      <c r="A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4"/>
      <c r="N2463" s="13"/>
      <c r="O2463" s="4"/>
      <c r="P2463" s="1475"/>
      <c r="U2463" s="787"/>
      <c r="V2463" s="787"/>
      <c r="W2463" s="787"/>
      <c r="X2463" s="787"/>
      <c r="Y2463" s="787"/>
      <c r="Z2463" s="791"/>
      <c r="AA2463" s="787"/>
      <c r="AB2463" s="787"/>
      <c r="AC2463" s="679"/>
    </row>
    <row r="2464" spans="1:29" ht="15.75" x14ac:dyDescent="0.25">
      <c r="A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4"/>
      <c r="N2464" s="13"/>
      <c r="O2464" s="4"/>
      <c r="P2464" s="1475"/>
      <c r="U2464" s="787"/>
      <c r="V2464" s="787"/>
      <c r="W2464" s="787"/>
      <c r="X2464" s="787"/>
      <c r="Y2464" s="787"/>
      <c r="Z2464" s="791"/>
      <c r="AA2464" s="787"/>
      <c r="AB2464" s="787"/>
      <c r="AC2464" s="679"/>
    </row>
    <row r="2465" spans="1:29" ht="15.75" x14ac:dyDescent="0.25">
      <c r="A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4"/>
      <c r="N2465" s="13"/>
      <c r="O2465" s="4"/>
      <c r="P2465" s="1475"/>
      <c r="U2465" s="787"/>
      <c r="V2465" s="787"/>
      <c r="W2465" s="787"/>
      <c r="X2465" s="787"/>
      <c r="Y2465" s="787"/>
      <c r="Z2465" s="791"/>
      <c r="AA2465" s="787"/>
      <c r="AB2465" s="787"/>
      <c r="AC2465" s="679"/>
    </row>
    <row r="2466" spans="1:29" ht="15.75" x14ac:dyDescent="0.25">
      <c r="A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4"/>
      <c r="N2466" s="13"/>
      <c r="O2466" s="4"/>
      <c r="P2466" s="1475"/>
      <c r="U2466" s="787"/>
      <c r="V2466" s="787"/>
      <c r="W2466" s="787"/>
      <c r="X2466" s="787"/>
      <c r="Y2466" s="787"/>
      <c r="Z2466" s="791"/>
      <c r="AA2466" s="787"/>
      <c r="AB2466" s="787"/>
      <c r="AC2466" s="679"/>
    </row>
    <row r="2467" spans="1:29" ht="15.75" x14ac:dyDescent="0.25">
      <c r="A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4"/>
      <c r="N2467" s="13"/>
      <c r="O2467" s="4"/>
      <c r="P2467" s="1475"/>
      <c r="U2467" s="787"/>
      <c r="V2467" s="787"/>
      <c r="W2467" s="787"/>
      <c r="X2467" s="787"/>
      <c r="Y2467" s="787"/>
      <c r="Z2467" s="791"/>
      <c r="AA2467" s="787"/>
      <c r="AB2467" s="787"/>
      <c r="AC2467" s="679"/>
    </row>
    <row r="2468" spans="1:29" ht="15.75" x14ac:dyDescent="0.25">
      <c r="A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4"/>
      <c r="N2468" s="13"/>
      <c r="O2468" s="4"/>
      <c r="P2468" s="1475"/>
      <c r="U2468" s="787"/>
      <c r="V2468" s="787"/>
      <c r="W2468" s="787"/>
      <c r="X2468" s="787"/>
      <c r="Y2468" s="787"/>
      <c r="Z2468" s="791"/>
      <c r="AA2468" s="787"/>
      <c r="AB2468" s="787"/>
      <c r="AC2468" s="679"/>
    </row>
    <row r="2469" spans="1:29" ht="15.75" x14ac:dyDescent="0.25">
      <c r="A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4"/>
      <c r="N2469" s="13"/>
      <c r="O2469" s="4"/>
      <c r="P2469" s="1475"/>
      <c r="U2469" s="787"/>
      <c r="V2469" s="787"/>
      <c r="W2469" s="787"/>
      <c r="X2469" s="787"/>
      <c r="Y2469" s="787"/>
      <c r="Z2469" s="791"/>
      <c r="AA2469" s="787"/>
      <c r="AB2469" s="787"/>
      <c r="AC2469" s="679"/>
    </row>
    <row r="2470" spans="1:29" ht="15.75" x14ac:dyDescent="0.25">
      <c r="A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4"/>
      <c r="N2470" s="13"/>
      <c r="O2470" s="4"/>
      <c r="P2470" s="1475"/>
      <c r="U2470" s="787"/>
      <c r="V2470" s="787"/>
      <c r="W2470" s="787"/>
      <c r="X2470" s="787"/>
      <c r="Y2470" s="787"/>
      <c r="Z2470" s="791"/>
      <c r="AA2470" s="787"/>
      <c r="AB2470" s="787"/>
      <c r="AC2470" s="679"/>
    </row>
    <row r="2471" spans="1:29" ht="15.75" x14ac:dyDescent="0.25">
      <c r="A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4"/>
      <c r="N2471" s="13"/>
      <c r="O2471" s="4"/>
      <c r="P2471" s="1475"/>
      <c r="U2471" s="787"/>
      <c r="V2471" s="787"/>
      <c r="W2471" s="787"/>
      <c r="X2471" s="787"/>
      <c r="Y2471" s="787"/>
      <c r="Z2471" s="791"/>
      <c r="AA2471" s="787"/>
      <c r="AB2471" s="787"/>
      <c r="AC2471" s="679"/>
    </row>
    <row r="2472" spans="1:29" ht="15.75" x14ac:dyDescent="0.25">
      <c r="A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4"/>
      <c r="N2472" s="13"/>
      <c r="O2472" s="4"/>
      <c r="P2472" s="1475"/>
      <c r="U2472" s="787"/>
      <c r="V2472" s="787"/>
      <c r="W2472" s="787"/>
      <c r="X2472" s="787"/>
      <c r="Y2472" s="787"/>
      <c r="Z2472" s="791"/>
      <c r="AA2472" s="787"/>
      <c r="AB2472" s="787"/>
      <c r="AC2472" s="679"/>
    </row>
    <row r="2473" spans="1:29" ht="15.75" x14ac:dyDescent="0.25">
      <c r="A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4"/>
      <c r="N2473" s="13"/>
      <c r="O2473" s="4"/>
      <c r="P2473" s="1475"/>
      <c r="U2473" s="787"/>
      <c r="V2473" s="787"/>
      <c r="W2473" s="787"/>
      <c r="X2473" s="787"/>
      <c r="Y2473" s="787"/>
      <c r="Z2473" s="791"/>
      <c r="AA2473" s="787"/>
      <c r="AB2473" s="787"/>
      <c r="AC2473" s="679"/>
    </row>
    <row r="2474" spans="1:29" ht="15.75" x14ac:dyDescent="0.25">
      <c r="A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4"/>
      <c r="N2474" s="13"/>
      <c r="O2474" s="4"/>
      <c r="P2474" s="1475"/>
      <c r="U2474" s="787"/>
      <c r="V2474" s="787"/>
      <c r="W2474" s="787"/>
      <c r="X2474" s="787"/>
      <c r="Y2474" s="787"/>
      <c r="Z2474" s="791"/>
      <c r="AA2474" s="787"/>
      <c r="AB2474" s="787"/>
      <c r="AC2474" s="679"/>
    </row>
    <row r="2475" spans="1:29" ht="15.75" x14ac:dyDescent="0.25">
      <c r="A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4"/>
      <c r="N2475" s="13"/>
      <c r="O2475" s="4"/>
      <c r="P2475" s="1475"/>
      <c r="U2475" s="787"/>
      <c r="V2475" s="787"/>
      <c r="W2475" s="787"/>
      <c r="X2475" s="787"/>
      <c r="Y2475" s="787"/>
      <c r="Z2475" s="791"/>
      <c r="AA2475" s="787"/>
      <c r="AB2475" s="787"/>
      <c r="AC2475" s="679"/>
    </row>
    <row r="2476" spans="1:29" ht="15.75" x14ac:dyDescent="0.25">
      <c r="A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4"/>
      <c r="N2476" s="13"/>
      <c r="O2476" s="4"/>
      <c r="P2476" s="1475"/>
      <c r="U2476" s="787"/>
      <c r="V2476" s="787"/>
      <c r="W2476" s="787"/>
      <c r="X2476" s="787"/>
      <c r="Y2476" s="787"/>
      <c r="Z2476" s="791"/>
      <c r="AA2476" s="787"/>
      <c r="AB2476" s="787"/>
      <c r="AC2476" s="679"/>
    </row>
    <row r="2477" spans="1:29" ht="15.75" x14ac:dyDescent="0.25">
      <c r="A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4"/>
      <c r="N2477" s="13"/>
      <c r="O2477" s="4"/>
      <c r="P2477" s="1475"/>
      <c r="U2477" s="787"/>
      <c r="V2477" s="787"/>
      <c r="W2477" s="787"/>
      <c r="X2477" s="787"/>
      <c r="Y2477" s="787"/>
      <c r="Z2477" s="791"/>
      <c r="AA2477" s="787"/>
      <c r="AB2477" s="787"/>
      <c r="AC2477" s="679"/>
    </row>
    <row r="2478" spans="1:29" ht="15.75" x14ac:dyDescent="0.25">
      <c r="A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4"/>
      <c r="N2478" s="13"/>
      <c r="O2478" s="4"/>
      <c r="P2478" s="1475"/>
      <c r="U2478" s="787"/>
      <c r="V2478" s="787"/>
      <c r="W2478" s="787"/>
      <c r="X2478" s="787"/>
      <c r="Y2478" s="787"/>
      <c r="Z2478" s="791"/>
      <c r="AA2478" s="787"/>
      <c r="AB2478" s="787"/>
      <c r="AC2478" s="679"/>
    </row>
    <row r="2479" spans="1:29" ht="15.75" x14ac:dyDescent="0.25">
      <c r="A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4"/>
      <c r="N2479" s="13"/>
      <c r="O2479" s="4"/>
      <c r="P2479" s="1475"/>
      <c r="U2479" s="787"/>
      <c r="V2479" s="787"/>
      <c r="W2479" s="787"/>
      <c r="X2479" s="787"/>
      <c r="Y2479" s="787"/>
      <c r="Z2479" s="791"/>
      <c r="AA2479" s="787"/>
      <c r="AB2479" s="787"/>
      <c r="AC2479" s="679"/>
    </row>
    <row r="2480" spans="1:29" ht="15.75" x14ac:dyDescent="0.25">
      <c r="A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4"/>
      <c r="N2480" s="13"/>
      <c r="O2480" s="4"/>
      <c r="P2480" s="1475"/>
      <c r="U2480" s="787"/>
      <c r="V2480" s="787"/>
      <c r="W2480" s="787"/>
      <c r="X2480" s="787"/>
      <c r="Y2480" s="787"/>
      <c r="Z2480" s="791"/>
      <c r="AA2480" s="787"/>
      <c r="AB2480" s="787"/>
      <c r="AC2480" s="679"/>
    </row>
    <row r="2481" spans="9:9" x14ac:dyDescent="0.25">
      <c r="I2481" s="2"/>
    </row>
  </sheetData>
  <sheetProtection formatRows="0" insertColumns="0" insertRows="0" insertHyperlinks="0" deleteColumns="0" deleteRows="0" sort="0" autoFilter="0" pivotTables="0"/>
  <mergeCells count="737">
    <mergeCell ref="A1666:B1666"/>
    <mergeCell ref="B1656:B1657"/>
    <mergeCell ref="A1655:B1655"/>
    <mergeCell ref="A1667:A1673"/>
    <mergeCell ref="A1648:A1654"/>
    <mergeCell ref="A1674:B1674"/>
    <mergeCell ref="A1607:B1607"/>
    <mergeCell ref="A1600:A1606"/>
    <mergeCell ref="A1643:B1643"/>
    <mergeCell ref="A1626:A1627"/>
    <mergeCell ref="A1629:A1635"/>
    <mergeCell ref="B1637:B1642"/>
    <mergeCell ref="A1610:B1610"/>
    <mergeCell ref="A1658:B1658"/>
    <mergeCell ref="A1659:A1665"/>
    <mergeCell ref="A1628:B1628"/>
    <mergeCell ref="A1647:B1647"/>
    <mergeCell ref="A1656:A1657"/>
    <mergeCell ref="A1614:A1624"/>
    <mergeCell ref="B1644:B1646"/>
    <mergeCell ref="A1637:A1642"/>
    <mergeCell ref="A1644:A1646"/>
    <mergeCell ref="A1636:B1636"/>
    <mergeCell ref="B1608:B1609"/>
    <mergeCell ref="A1583:A1585"/>
    <mergeCell ref="B1583:B1585"/>
    <mergeCell ref="A1591:A1593"/>
    <mergeCell ref="B1591:B1593"/>
    <mergeCell ref="A1599:D1599"/>
    <mergeCell ref="A1565:A1567"/>
    <mergeCell ref="B1565:B1567"/>
    <mergeCell ref="A1543:A1546"/>
    <mergeCell ref="B1543:B1546"/>
    <mergeCell ref="A1548:A1552"/>
    <mergeCell ref="B1548:B1552"/>
    <mergeCell ref="A1559:A1563"/>
    <mergeCell ref="B1559:B1563"/>
    <mergeCell ref="A1569:A1571"/>
    <mergeCell ref="B1569:B1571"/>
    <mergeCell ref="A1573:A1576"/>
    <mergeCell ref="B1573:B1576"/>
    <mergeCell ref="B1587:B1589"/>
    <mergeCell ref="A1554:A1557"/>
    <mergeCell ref="B1554:B1557"/>
    <mergeCell ref="A1400:A1402"/>
    <mergeCell ref="B1395:B1398"/>
    <mergeCell ref="B1453:B1455"/>
    <mergeCell ref="A1465:A1468"/>
    <mergeCell ref="B1465:B1468"/>
    <mergeCell ref="A1461:A1463"/>
    <mergeCell ref="B1461:B1463"/>
    <mergeCell ref="A1481:A1485"/>
    <mergeCell ref="B1449:B1451"/>
    <mergeCell ref="A1428:A1431"/>
    <mergeCell ref="A1395:A1398"/>
    <mergeCell ref="A1422:A1426"/>
    <mergeCell ref="A1412:A1414"/>
    <mergeCell ref="A1416:A1420"/>
    <mergeCell ref="A1408:A1410"/>
    <mergeCell ref="B1412:B1414"/>
    <mergeCell ref="A1079:A1083"/>
    <mergeCell ref="A1056:B1056"/>
    <mergeCell ref="B1085:B1090"/>
    <mergeCell ref="A1114:A1119"/>
    <mergeCell ref="A1084:B1084"/>
    <mergeCell ref="C928:C930"/>
    <mergeCell ref="A1151:A1155"/>
    <mergeCell ref="B1099:B1105"/>
    <mergeCell ref="A1000:B1000"/>
    <mergeCell ref="A1017:A1022"/>
    <mergeCell ref="A1070:A1077"/>
    <mergeCell ref="B1079:B1083"/>
    <mergeCell ref="A1030:A1033"/>
    <mergeCell ref="A964:A968"/>
    <mergeCell ref="B1063:B1068"/>
    <mergeCell ref="A993:B993"/>
    <mergeCell ref="A1106:B1106"/>
    <mergeCell ref="A1085:A1090"/>
    <mergeCell ref="A1092:A1097"/>
    <mergeCell ref="A1098:B1098"/>
    <mergeCell ref="B1151:B1155"/>
    <mergeCell ref="B1134:B1138"/>
    <mergeCell ref="B1121:B1127"/>
    <mergeCell ref="A970:A974"/>
    <mergeCell ref="A1069:B1069"/>
    <mergeCell ref="A1063:A1068"/>
    <mergeCell ref="A953:B953"/>
    <mergeCell ref="A1029:B1029"/>
    <mergeCell ref="A1008:A1015"/>
    <mergeCell ref="A1023:B1023"/>
    <mergeCell ref="B1008:B1015"/>
    <mergeCell ref="A1016:B1016"/>
    <mergeCell ref="B1030:B1033"/>
    <mergeCell ref="A994:A999"/>
    <mergeCell ref="B982:B986"/>
    <mergeCell ref="A987:B987"/>
    <mergeCell ref="A1062:B1062"/>
    <mergeCell ref="B970:B974"/>
    <mergeCell ref="A975:B975"/>
    <mergeCell ref="A982:A986"/>
    <mergeCell ref="B964:B968"/>
    <mergeCell ref="A954:A955"/>
    <mergeCell ref="A981:B981"/>
    <mergeCell ref="B954:B955"/>
    <mergeCell ref="A1024:A1028"/>
    <mergeCell ref="A1001:A1006"/>
    <mergeCell ref="B1001:B1006"/>
    <mergeCell ref="A1007:B1007"/>
    <mergeCell ref="A957:A962"/>
    <mergeCell ref="A875:B875"/>
    <mergeCell ref="B988:B992"/>
    <mergeCell ref="B1049:B1055"/>
    <mergeCell ref="A956:B956"/>
    <mergeCell ref="A1041:A1047"/>
    <mergeCell ref="B1041:B1047"/>
    <mergeCell ref="A1049:A1055"/>
    <mergeCell ref="A988:A992"/>
    <mergeCell ref="A941:B941"/>
    <mergeCell ref="A963:B963"/>
    <mergeCell ref="B957:B962"/>
    <mergeCell ref="A976:A980"/>
    <mergeCell ref="A1048:B1048"/>
    <mergeCell ref="B994:B999"/>
    <mergeCell ref="B1035:B1039"/>
    <mergeCell ref="A1034:B1034"/>
    <mergeCell ref="B1024:B1028"/>
    <mergeCell ref="B1017:B1022"/>
    <mergeCell ref="A933:A940"/>
    <mergeCell ref="A928:A931"/>
    <mergeCell ref="A1035:A1039"/>
    <mergeCell ref="B976:B980"/>
    <mergeCell ref="B928:B931"/>
    <mergeCell ref="A1189:A1194"/>
    <mergeCell ref="A1202:A1208"/>
    <mergeCell ref="B1189:B1194"/>
    <mergeCell ref="A1216:A1221"/>
    <mergeCell ref="A1250:A1253"/>
    <mergeCell ref="B1261:B1265"/>
    <mergeCell ref="A1196:A1200"/>
    <mergeCell ref="B1196:B1200"/>
    <mergeCell ref="B1223:B1228"/>
    <mergeCell ref="B1230:B1236"/>
    <mergeCell ref="A1242:A1248"/>
    <mergeCell ref="A1210:A1214"/>
    <mergeCell ref="B1216:B1221"/>
    <mergeCell ref="A1261:A1265"/>
    <mergeCell ref="B1250:B1253"/>
    <mergeCell ref="A1230:A1236"/>
    <mergeCell ref="B1238:B1240"/>
    <mergeCell ref="A1255:A1259"/>
    <mergeCell ref="B1202:B1208"/>
    <mergeCell ref="B1210:B1214"/>
    <mergeCell ref="A1223:A1228"/>
    <mergeCell ref="B1331:B1333"/>
    <mergeCell ref="B1273:B1278"/>
    <mergeCell ref="A1267:A1271"/>
    <mergeCell ref="A1291:A1294"/>
    <mergeCell ref="B1280:B1283"/>
    <mergeCell ref="A1285:A1289"/>
    <mergeCell ref="B1285:B1289"/>
    <mergeCell ref="A1238:A1240"/>
    <mergeCell ref="B1255:B1259"/>
    <mergeCell ref="B1242:B1248"/>
    <mergeCell ref="B1291:B1294"/>
    <mergeCell ref="B1267:B1271"/>
    <mergeCell ref="A1273:A1278"/>
    <mergeCell ref="A1280:A1283"/>
    <mergeCell ref="B1529:B1531"/>
    <mergeCell ref="A1533:A1537"/>
    <mergeCell ref="B1533:B1537"/>
    <mergeCell ref="A1523:A1527"/>
    <mergeCell ref="B1523:B1527"/>
    <mergeCell ref="A1517:A1521"/>
    <mergeCell ref="B1517:B1521"/>
    <mergeCell ref="B1296:B1299"/>
    <mergeCell ref="A1342:A1346"/>
    <mergeCell ref="A1362:A1366"/>
    <mergeCell ref="A1335:A1340"/>
    <mergeCell ref="A1321:A1323"/>
    <mergeCell ref="B1301:B1308"/>
    <mergeCell ref="A1301:A1308"/>
    <mergeCell ref="B1317:B1319"/>
    <mergeCell ref="B1310:B1315"/>
    <mergeCell ref="B1321:B1323"/>
    <mergeCell ref="B1335:B1340"/>
    <mergeCell ref="A1310:A1315"/>
    <mergeCell ref="A1296:A1299"/>
    <mergeCell ref="A1331:A1333"/>
    <mergeCell ref="A1317:A1319"/>
    <mergeCell ref="A1325:A1329"/>
    <mergeCell ref="B1325:B1329"/>
    <mergeCell ref="B1496:B1499"/>
    <mergeCell ref="A1501:A1504"/>
    <mergeCell ref="A1506:A1510"/>
    <mergeCell ref="B1481:B1485"/>
    <mergeCell ref="A1470:A1474"/>
    <mergeCell ref="B1470:B1474"/>
    <mergeCell ref="B1501:B1504"/>
    <mergeCell ref="A1512:A1515"/>
    <mergeCell ref="B1512:B1515"/>
    <mergeCell ref="B1476:B1479"/>
    <mergeCell ref="A1760:B1760"/>
    <mergeCell ref="A1741:B1741"/>
    <mergeCell ref="A1701:B1701"/>
    <mergeCell ref="B1692:B1700"/>
    <mergeCell ref="A1675:A1681"/>
    <mergeCell ref="A1682:B1682"/>
    <mergeCell ref="B1445:B1447"/>
    <mergeCell ref="B1433:B1435"/>
    <mergeCell ref="A1433:A1435"/>
    <mergeCell ref="A1437:A1439"/>
    <mergeCell ref="A1487:A1489"/>
    <mergeCell ref="B1487:B1489"/>
    <mergeCell ref="B1437:B1439"/>
    <mergeCell ref="A1457:A1459"/>
    <mergeCell ref="B1457:B1459"/>
    <mergeCell ref="A1445:A1447"/>
    <mergeCell ref="A1441:A1443"/>
    <mergeCell ref="B1441:B1443"/>
    <mergeCell ref="A1449:A1451"/>
    <mergeCell ref="B1506:B1510"/>
    <mergeCell ref="A1476:A1479"/>
    <mergeCell ref="A1608:A1609"/>
    <mergeCell ref="A1539:A1541"/>
    <mergeCell ref="B1539:B1541"/>
    <mergeCell ref="A1692:A1700"/>
    <mergeCell ref="B1342:B1346"/>
    <mergeCell ref="A1374:A1381"/>
    <mergeCell ref="B1362:B1366"/>
    <mergeCell ref="A1354:A1360"/>
    <mergeCell ref="B1354:B1360"/>
    <mergeCell ref="B1348:B1352"/>
    <mergeCell ref="A1348:A1352"/>
    <mergeCell ref="B1374:B1381"/>
    <mergeCell ref="A1404:A1406"/>
    <mergeCell ref="B1404:B1406"/>
    <mergeCell ref="A1383:A1387"/>
    <mergeCell ref="B1383:B1387"/>
    <mergeCell ref="B1428:B1431"/>
    <mergeCell ref="B1389:B1393"/>
    <mergeCell ref="B1400:B1402"/>
    <mergeCell ref="B1408:B1410"/>
    <mergeCell ref="B1416:B1420"/>
    <mergeCell ref="A1389:A1393"/>
    <mergeCell ref="A1368:A1372"/>
    <mergeCell ref="B1368:B1372"/>
    <mergeCell ref="A1491:A1494"/>
    <mergeCell ref="B1491:B1494"/>
    <mergeCell ref="A1496:A1499"/>
    <mergeCell ref="A1120:C1120"/>
    <mergeCell ref="A1113:C1113"/>
    <mergeCell ref="A1129:A1132"/>
    <mergeCell ref="A1140:A1144"/>
    <mergeCell ref="B1140:B1144"/>
    <mergeCell ref="B1164:B1170"/>
    <mergeCell ref="B1172:B1179"/>
    <mergeCell ref="B1181:B1187"/>
    <mergeCell ref="A1781:A1786"/>
    <mergeCell ref="A1750:B1750"/>
    <mergeCell ref="A1735:A1740"/>
    <mergeCell ref="B1742:B1749"/>
    <mergeCell ref="A1742:A1749"/>
    <mergeCell ref="A1529:A1531"/>
    <mergeCell ref="A1578:A1581"/>
    <mergeCell ref="B1578:B1581"/>
    <mergeCell ref="B1626:B1627"/>
    <mergeCell ref="A1625:B1625"/>
    <mergeCell ref="A1611:A1612"/>
    <mergeCell ref="A1613:B1613"/>
    <mergeCell ref="B1611:B1612"/>
    <mergeCell ref="B1595:B1597"/>
    <mergeCell ref="A1595:A1597"/>
    <mergeCell ref="A1587:A1589"/>
    <mergeCell ref="A1913:A1917"/>
    <mergeCell ref="A1901:A1905"/>
    <mergeCell ref="A1906:B1906"/>
    <mergeCell ref="A1868:B1868"/>
    <mergeCell ref="A1861:A1867"/>
    <mergeCell ref="A1876:B1876"/>
    <mergeCell ref="A1702:A1712"/>
    <mergeCell ref="A1683:A1690"/>
    <mergeCell ref="A1691:B1691"/>
    <mergeCell ref="A1714:A1721"/>
    <mergeCell ref="A1713:B1713"/>
    <mergeCell ref="A1766:B1766"/>
    <mergeCell ref="A1751:A1759"/>
    <mergeCell ref="A1877:A1881"/>
    <mergeCell ref="A1833:A1839"/>
    <mergeCell ref="A1832:B1832"/>
    <mergeCell ref="A1823:B1823"/>
    <mergeCell ref="A1723:A1733"/>
    <mergeCell ref="B1714:B1721"/>
    <mergeCell ref="B1824:B1831"/>
    <mergeCell ref="A1767:A1772"/>
    <mergeCell ref="B1735:B1740"/>
    <mergeCell ref="A1722:B1722"/>
    <mergeCell ref="A1734:B1734"/>
    <mergeCell ref="A1966:B1966"/>
    <mergeCell ref="A1882:B1882"/>
    <mergeCell ref="A1910:A1911"/>
    <mergeCell ref="A1965:B1965"/>
    <mergeCell ref="A1964:B1964"/>
    <mergeCell ref="A1941:A1954"/>
    <mergeCell ref="A1918:B1918"/>
    <mergeCell ref="A1932:B1932"/>
    <mergeCell ref="A1912:B1912"/>
    <mergeCell ref="A1900:B1900"/>
    <mergeCell ref="A1955:B1955"/>
    <mergeCell ref="A1933:A1935"/>
    <mergeCell ref="A1963:B1963"/>
    <mergeCell ref="A1958:F1958"/>
    <mergeCell ref="A1957:F1957"/>
    <mergeCell ref="A1956:F1956"/>
    <mergeCell ref="A1962:B1962"/>
    <mergeCell ref="A1961:B1961"/>
    <mergeCell ref="A1907:A1908"/>
    <mergeCell ref="A1909:B1909"/>
    <mergeCell ref="A1883:A1899"/>
    <mergeCell ref="A1919:A1931"/>
    <mergeCell ref="A1936:B1936"/>
    <mergeCell ref="A1937:A1939"/>
    <mergeCell ref="A1:P1"/>
    <mergeCell ref="A2:P2"/>
    <mergeCell ref="A10:P10"/>
    <mergeCell ref="A92:B92"/>
    <mergeCell ref="A12:A13"/>
    <mergeCell ref="B39:B60"/>
    <mergeCell ref="B16:B37"/>
    <mergeCell ref="A16:A87"/>
    <mergeCell ref="B81:B86"/>
    <mergeCell ref="A88:B88"/>
    <mergeCell ref="A89:A91"/>
    <mergeCell ref="D12:E13"/>
    <mergeCell ref="B89:B91"/>
    <mergeCell ref="C12:C13"/>
    <mergeCell ref="D88:E88"/>
    <mergeCell ref="C6:J6"/>
    <mergeCell ref="O8:P8"/>
    <mergeCell ref="O7:P7"/>
    <mergeCell ref="M7:N7"/>
    <mergeCell ref="B62:B79"/>
    <mergeCell ref="M8:N8"/>
    <mergeCell ref="C7:J7"/>
    <mergeCell ref="N12:N13"/>
    <mergeCell ref="N14:N15"/>
    <mergeCell ref="P12:P13"/>
    <mergeCell ref="C110:F110"/>
    <mergeCell ref="B103:B110"/>
    <mergeCell ref="F12:F13"/>
    <mergeCell ref="A124:B124"/>
    <mergeCell ref="A112:A118"/>
    <mergeCell ref="B12:B13"/>
    <mergeCell ref="A111:B111"/>
    <mergeCell ref="A98:A110"/>
    <mergeCell ref="B98:B102"/>
    <mergeCell ref="B112:B118"/>
    <mergeCell ref="C102:F102"/>
    <mergeCell ref="B120:B123"/>
    <mergeCell ref="A119:B119"/>
    <mergeCell ref="A120:A123"/>
    <mergeCell ref="A93:A96"/>
    <mergeCell ref="B93:B96"/>
    <mergeCell ref="A97:B97"/>
    <mergeCell ref="P14:P15"/>
    <mergeCell ref="A14:A15"/>
    <mergeCell ref="B14:B15"/>
    <mergeCell ref="C14:C15"/>
    <mergeCell ref="D14:E15"/>
    <mergeCell ref="F14:F15"/>
    <mergeCell ref="A125:A134"/>
    <mergeCell ref="B169:B176"/>
    <mergeCell ref="A177:B177"/>
    <mergeCell ref="B162:B167"/>
    <mergeCell ref="A162:A167"/>
    <mergeCell ref="B140:B154"/>
    <mergeCell ref="C160:F160"/>
    <mergeCell ref="A135:B135"/>
    <mergeCell ref="A136:A138"/>
    <mergeCell ref="B136:B138"/>
    <mergeCell ref="A140:A160"/>
    <mergeCell ref="A161:B161"/>
    <mergeCell ref="B155:B160"/>
    <mergeCell ref="C177:F177"/>
    <mergeCell ref="A168:B168"/>
    <mergeCell ref="A169:A176"/>
    <mergeCell ref="B125:B134"/>
    <mergeCell ref="A139:B139"/>
    <mergeCell ref="C154:F154"/>
    <mergeCell ref="A233:B233"/>
    <mergeCell ref="B240:B245"/>
    <mergeCell ref="B576:B578"/>
    <mergeCell ref="A575:B575"/>
    <mergeCell ref="B569:B574"/>
    <mergeCell ref="A592:A594"/>
    <mergeCell ref="A584:A586"/>
    <mergeCell ref="A465:B465"/>
    <mergeCell ref="B379:B390"/>
    <mergeCell ref="A279:A285"/>
    <mergeCell ref="A264:A267"/>
    <mergeCell ref="A234:A238"/>
    <mergeCell ref="A240:A245"/>
    <mergeCell ref="A286:B286"/>
    <mergeCell ref="A287:A292"/>
    <mergeCell ref="B287:B292"/>
    <mergeCell ref="A293:B293"/>
    <mergeCell ref="A300:B300"/>
    <mergeCell ref="A278:B278"/>
    <mergeCell ref="B252:B262"/>
    <mergeCell ref="A263:B263"/>
    <mergeCell ref="A252:A262"/>
    <mergeCell ref="A424:A438"/>
    <mergeCell ref="B440:B444"/>
    <mergeCell ref="A576:A578"/>
    <mergeCell ref="C557:F557"/>
    <mergeCell ref="B592:B594"/>
    <mergeCell ref="B294:B299"/>
    <mergeCell ref="A301:A313"/>
    <mergeCell ref="A378:B378"/>
    <mergeCell ref="A440:A444"/>
    <mergeCell ref="A401:B401"/>
    <mergeCell ref="A439:B439"/>
    <mergeCell ref="B446:B453"/>
    <mergeCell ref="A466:A488"/>
    <mergeCell ref="B466:B488"/>
    <mergeCell ref="A446:A453"/>
    <mergeCell ref="B588:B590"/>
    <mergeCell ref="C314:F314"/>
    <mergeCell ref="A323:A327"/>
    <mergeCell ref="B319:B321"/>
    <mergeCell ref="A558:A559"/>
    <mergeCell ref="B584:B586"/>
    <mergeCell ref="A423:B423"/>
    <mergeCell ref="A587:B587"/>
    <mergeCell ref="A651:A659"/>
    <mergeCell ref="A678:B678"/>
    <mergeCell ref="B665:B677"/>
    <mergeCell ref="A600:A601"/>
    <mergeCell ref="A599:B599"/>
    <mergeCell ref="B539:B556"/>
    <mergeCell ref="A490:A508"/>
    <mergeCell ref="A565:A567"/>
    <mergeCell ref="A596:A598"/>
    <mergeCell ref="B596:B598"/>
    <mergeCell ref="A595:B595"/>
    <mergeCell ref="A580:A582"/>
    <mergeCell ref="A510:A516"/>
    <mergeCell ref="A539:A556"/>
    <mergeCell ref="A579:B579"/>
    <mergeCell ref="A588:A590"/>
    <mergeCell ref="A569:A574"/>
    <mergeCell ref="B580:B582"/>
    <mergeCell ref="A509:B509"/>
    <mergeCell ref="A518:A521"/>
    <mergeCell ref="A523:A537"/>
    <mergeCell ref="A611:E611"/>
    <mergeCell ref="A626:B626"/>
    <mergeCell ref="A557:B557"/>
    <mergeCell ref="A239:B239"/>
    <mergeCell ref="A230:A232"/>
    <mergeCell ref="A226:A228"/>
    <mergeCell ref="A1078:B1078"/>
    <mergeCell ref="B1057:B1061"/>
    <mergeCell ref="A377:B377"/>
    <mergeCell ref="B424:B438"/>
    <mergeCell ref="A402:A422"/>
    <mergeCell ref="B518:B521"/>
    <mergeCell ref="B402:B422"/>
    <mergeCell ref="A391:B391"/>
    <mergeCell ref="A591:B591"/>
    <mergeCell ref="B523:B537"/>
    <mergeCell ref="A561:A563"/>
    <mergeCell ref="B561:B563"/>
    <mergeCell ref="B490:B508"/>
    <mergeCell ref="A489:B489"/>
    <mergeCell ref="A517:B517"/>
    <mergeCell ref="A522:B522"/>
    <mergeCell ref="A538:B538"/>
    <mergeCell ref="A379:A390"/>
    <mergeCell ref="A627:A636"/>
    <mergeCell ref="B264:B267"/>
    <mergeCell ref="A661:A663"/>
    <mergeCell ref="B269:B277"/>
    <mergeCell ref="B178:B192"/>
    <mergeCell ref="A193:B193"/>
    <mergeCell ref="B195:B202"/>
    <mergeCell ref="C261:F261"/>
    <mergeCell ref="A225:B225"/>
    <mergeCell ref="A229:B229"/>
    <mergeCell ref="B219:B224"/>
    <mergeCell ref="C184:F184"/>
    <mergeCell ref="C188:F188"/>
    <mergeCell ref="C202:F202"/>
    <mergeCell ref="C209:F209"/>
    <mergeCell ref="C224:F224"/>
    <mergeCell ref="A194:B194"/>
    <mergeCell ref="A195:A224"/>
    <mergeCell ref="A178:A192"/>
    <mergeCell ref="A251:B251"/>
    <mergeCell ref="B230:B232"/>
    <mergeCell ref="A246:B246"/>
    <mergeCell ref="A247:A250"/>
    <mergeCell ref="B247:B250"/>
    <mergeCell ref="B226:B228"/>
    <mergeCell ref="B234:B238"/>
    <mergeCell ref="B203:B209"/>
    <mergeCell ref="K3:L3"/>
    <mergeCell ref="K4:L4"/>
    <mergeCell ref="A612:F612"/>
    <mergeCell ref="B210:B218"/>
    <mergeCell ref="C218:F218"/>
    <mergeCell ref="B315:B316"/>
    <mergeCell ref="B510:B516"/>
    <mergeCell ref="B558:B559"/>
    <mergeCell ref="B279:B285"/>
    <mergeCell ref="A294:A299"/>
    <mergeCell ref="A315:A317"/>
    <mergeCell ref="A318:B318"/>
    <mergeCell ref="A454:B454"/>
    <mergeCell ref="A445:B445"/>
    <mergeCell ref="B455:B464"/>
    <mergeCell ref="A342:A376"/>
    <mergeCell ref="B392:B400"/>
    <mergeCell ref="A392:A400"/>
    <mergeCell ref="A583:B583"/>
    <mergeCell ref="A455:A464"/>
    <mergeCell ref="A610:B610"/>
    <mergeCell ref="C262:F262"/>
    <mergeCell ref="A268:B268"/>
    <mergeCell ref="A269:A277"/>
    <mergeCell ref="C741:F741"/>
    <mergeCell ref="C738:F738"/>
    <mergeCell ref="C730:F730"/>
    <mergeCell ref="B742:B746"/>
    <mergeCell ref="A726:A729"/>
    <mergeCell ref="A665:A677"/>
    <mergeCell ref="A686:A695"/>
    <mergeCell ref="B679:B684"/>
    <mergeCell ref="B686:B695"/>
    <mergeCell ref="B720:B724"/>
    <mergeCell ref="B709:B718"/>
    <mergeCell ref="B726:B729"/>
    <mergeCell ref="A709:A718"/>
    <mergeCell ref="A696:B696"/>
    <mergeCell ref="A703:A707"/>
    <mergeCell ref="A720:A724"/>
    <mergeCell ref="A708:B708"/>
    <mergeCell ref="B697:B701"/>
    <mergeCell ref="C735:F735"/>
    <mergeCell ref="A685:B685"/>
    <mergeCell ref="A742:A746"/>
    <mergeCell ref="A702:B702"/>
    <mergeCell ref="A697:A701"/>
    <mergeCell ref="B736:B737"/>
    <mergeCell ref="A854:A860"/>
    <mergeCell ref="A890:B890"/>
    <mergeCell ref="B815:B819"/>
    <mergeCell ref="B868:B874"/>
    <mergeCell ref="A868:A874"/>
    <mergeCell ref="A867:B867"/>
    <mergeCell ref="A789:A795"/>
    <mergeCell ref="B789:B795"/>
    <mergeCell ref="A797:A801"/>
    <mergeCell ref="B809:B813"/>
    <mergeCell ref="B862:B866"/>
    <mergeCell ref="A814:B814"/>
    <mergeCell ref="A808:B808"/>
    <mergeCell ref="A826:A829"/>
    <mergeCell ref="B826:B829"/>
    <mergeCell ref="A830:B830"/>
    <mergeCell ref="A831:A835"/>
    <mergeCell ref="B831:B835"/>
    <mergeCell ref="A836:B836"/>
    <mergeCell ref="B837:B844"/>
    <mergeCell ref="A837:A844"/>
    <mergeCell ref="A845:B845"/>
    <mergeCell ref="B748:B755"/>
    <mergeCell ref="A735:B735"/>
    <mergeCell ref="A803:A807"/>
    <mergeCell ref="A802:B802"/>
    <mergeCell ref="B765:B772"/>
    <mergeCell ref="A820:B820"/>
    <mergeCell ref="B821:B824"/>
    <mergeCell ref="A825:B825"/>
    <mergeCell ref="A821:A824"/>
    <mergeCell ref="A783:A787"/>
    <mergeCell ref="B783:B787"/>
    <mergeCell ref="B774:B781"/>
    <mergeCell ref="A782:B782"/>
    <mergeCell ref="A773:B773"/>
    <mergeCell ref="A757:A763"/>
    <mergeCell ref="B797:B801"/>
    <mergeCell ref="A809:A813"/>
    <mergeCell ref="B757:B763"/>
    <mergeCell ref="A774:A781"/>
    <mergeCell ref="A765:A772"/>
    <mergeCell ref="A764:B764"/>
    <mergeCell ref="A815:A819"/>
    <mergeCell ref="A788:B788"/>
    <mergeCell ref="A932:B932"/>
    <mergeCell ref="B933:B940"/>
    <mergeCell ref="B900:B908"/>
    <mergeCell ref="A909:B909"/>
    <mergeCell ref="C1713:F1713"/>
    <mergeCell ref="A899:B899"/>
    <mergeCell ref="A927:B927"/>
    <mergeCell ref="A910:A926"/>
    <mergeCell ref="A900:A908"/>
    <mergeCell ref="B910:B926"/>
    <mergeCell ref="A1057:A1061"/>
    <mergeCell ref="B1070:B1077"/>
    <mergeCell ref="A1121:A1127"/>
    <mergeCell ref="A1091:B1091"/>
    <mergeCell ref="A1128:B1128"/>
    <mergeCell ref="B1107:B1112"/>
    <mergeCell ref="B1092:B1097"/>
    <mergeCell ref="B1114:B1119"/>
    <mergeCell ref="A1099:A1105"/>
    <mergeCell ref="B1146:B1149"/>
    <mergeCell ref="A1107:A1112"/>
    <mergeCell ref="A1164:A1170"/>
    <mergeCell ref="A1181:A1187"/>
    <mergeCell ref="A1172:A1179"/>
    <mergeCell ref="M1958:P1958"/>
    <mergeCell ref="B1422:B1426"/>
    <mergeCell ref="A1453:A1455"/>
    <mergeCell ref="A846:A852"/>
    <mergeCell ref="A1824:A1831"/>
    <mergeCell ref="C1722:F1722"/>
    <mergeCell ref="A969:B969"/>
    <mergeCell ref="B1883:B1899"/>
    <mergeCell ref="D1787:E1787"/>
    <mergeCell ref="A1761:A1765"/>
    <mergeCell ref="A1841:A1844"/>
    <mergeCell ref="A1869:A1875"/>
    <mergeCell ref="A1860:B1860"/>
    <mergeCell ref="A1794:B1794"/>
    <mergeCell ref="A1788:A1793"/>
    <mergeCell ref="A1787:B1787"/>
    <mergeCell ref="B891:B898"/>
    <mergeCell ref="A891:A898"/>
    <mergeCell ref="B883:B889"/>
    <mergeCell ref="A876:A881"/>
    <mergeCell ref="A853:B853"/>
    <mergeCell ref="B876:B881"/>
    <mergeCell ref="A883:A889"/>
    <mergeCell ref="A882:B882"/>
    <mergeCell ref="B627:B636"/>
    <mergeCell ref="A664:B664"/>
    <mergeCell ref="A748:A755"/>
    <mergeCell ref="B613:B621"/>
    <mergeCell ref="A603:A607"/>
    <mergeCell ref="B603:B607"/>
    <mergeCell ref="A679:A684"/>
    <mergeCell ref="B661:B663"/>
    <mergeCell ref="A660:B660"/>
    <mergeCell ref="A613:A621"/>
    <mergeCell ref="A719:B719"/>
    <mergeCell ref="A731:A734"/>
    <mergeCell ref="B731:B734"/>
    <mergeCell ref="A730:B730"/>
    <mergeCell ref="A725:B725"/>
    <mergeCell ref="A747:B747"/>
    <mergeCell ref="B739:B740"/>
    <mergeCell ref="A741:B741"/>
    <mergeCell ref="A738:B738"/>
    <mergeCell ref="A739:A740"/>
    <mergeCell ref="A650:B650"/>
    <mergeCell ref="B651:B659"/>
    <mergeCell ref="A623:A625"/>
    <mergeCell ref="B623:B625"/>
    <mergeCell ref="M1957:P1957"/>
    <mergeCell ref="M1956:P1956"/>
    <mergeCell ref="A602:B602"/>
    <mergeCell ref="B600:B601"/>
    <mergeCell ref="A637:B637"/>
    <mergeCell ref="A643:A649"/>
    <mergeCell ref="A622:B622"/>
    <mergeCell ref="A638:A640"/>
    <mergeCell ref="B638:B640"/>
    <mergeCell ref="B643:B649"/>
    <mergeCell ref="B803:B807"/>
    <mergeCell ref="D719:E719"/>
    <mergeCell ref="A736:A737"/>
    <mergeCell ref="A862:A866"/>
    <mergeCell ref="B846:B852"/>
    <mergeCell ref="A861:B861"/>
    <mergeCell ref="B854:B860"/>
    <mergeCell ref="B1751:B1759"/>
    <mergeCell ref="A756:B756"/>
    <mergeCell ref="B703:B707"/>
    <mergeCell ref="A796:B796"/>
    <mergeCell ref="A608:B608"/>
    <mergeCell ref="A642:B642"/>
    <mergeCell ref="A1940:B1940"/>
    <mergeCell ref="M306:P306"/>
    <mergeCell ref="B312:C312"/>
    <mergeCell ref="M312:P312"/>
    <mergeCell ref="B359:C359"/>
    <mergeCell ref="M359:P359"/>
    <mergeCell ref="B375:C375"/>
    <mergeCell ref="M375:P375"/>
    <mergeCell ref="B330:C330"/>
    <mergeCell ref="M330:P330"/>
    <mergeCell ref="B339:C339"/>
    <mergeCell ref="M339:P339"/>
    <mergeCell ref="C318:F318"/>
    <mergeCell ref="A328:B328"/>
    <mergeCell ref="B306:C306"/>
    <mergeCell ref="A319:A321"/>
    <mergeCell ref="A341:B341"/>
    <mergeCell ref="A322:B322"/>
    <mergeCell ref="A314:B314"/>
    <mergeCell ref="A329:A340"/>
    <mergeCell ref="A942:A952"/>
    <mergeCell ref="A1852:A1859"/>
    <mergeCell ref="A1795:A1803"/>
    <mergeCell ref="A1804:B1804"/>
    <mergeCell ref="A1851:B1851"/>
    <mergeCell ref="A1846:A1850"/>
    <mergeCell ref="A1845:B1845"/>
    <mergeCell ref="A1814:B1814"/>
    <mergeCell ref="A1815:A1822"/>
    <mergeCell ref="A1840:B1840"/>
    <mergeCell ref="B1774:B1779"/>
    <mergeCell ref="A1774:A1779"/>
    <mergeCell ref="A1805:A1813"/>
    <mergeCell ref="A1780:B1780"/>
    <mergeCell ref="B1805:B1813"/>
    <mergeCell ref="A1773:B1773"/>
    <mergeCell ref="B942:B952"/>
    <mergeCell ref="A1139:B1139"/>
    <mergeCell ref="A1134:A1138"/>
    <mergeCell ref="A1133:B1133"/>
    <mergeCell ref="B1157:B1162"/>
    <mergeCell ref="A1146:A1149"/>
    <mergeCell ref="A1157:A1162"/>
    <mergeCell ref="B1129:B1132"/>
  </mergeCells>
  <phoneticPr fontId="3" type="noConversion"/>
  <conditionalFormatting sqref="G1061 H538:L538 H154:L154 G523:G538 H195:H203 F194:L194">
    <cfRule type="cellIs" dxfId="219" priority="58359" operator="lessThan">
      <formula>0</formula>
    </cfRule>
  </conditionalFormatting>
  <conditionalFormatting sqref="L16:L37">
    <cfRule type="cellIs" dxfId="218" priority="168" operator="lessThan">
      <formula>0</formula>
    </cfRule>
  </conditionalFormatting>
  <conditionalFormatting sqref="L1910:L1911 L1957:L1958 L1196:L1240 L169:L183 L307:L311 L313 L360:L374 L376 L315:L329 L331:L338 L340 L81:L87 L1079:L1105 L1107:L1112 L803:L807 L1481:L1488 L1595:L1597 L1063:L1077 L1114:L1119 L161:L167 L1242:L1253 G278:K278 L225:L228 L954:L961 L614:L622 L1030:L1061 L16:L60 L210:L223 L1317:L1381 L748:L801 L1255:L1271 L230:L248 L963:L1028 L1383:L1420 L89:L118 L342:L358 L1422:L1468 L294:L299 L250:L292 L185:L208 L301:L305 L120:L153 L1600:L1908 L1121:L1194 H195:H203 L155:L159 L518:L567 L1913:L1950 L624:L746 L1953:L1955 L62:L79 L569:L611 L1273:L1312 L1314:L1315 L379:L516 L809:L952 G194:K194">
    <cfRule type="cellIs" dxfId="217" priority="165" operator="lessThan">
      <formula>0</formula>
    </cfRule>
    <cfRule type="cellIs" dxfId="216" priority="166" operator="lessThan">
      <formula>0</formula>
    </cfRule>
    <cfRule type="cellIs" dxfId="215" priority="167" operator="lessThan">
      <formula>0</formula>
    </cfRule>
  </conditionalFormatting>
  <conditionalFormatting sqref="L613">
    <cfRule type="cellIs" dxfId="214" priority="164" operator="lessThan">
      <formula>0</formula>
    </cfRule>
  </conditionalFormatting>
  <conditionalFormatting sqref="L1470:L1474">
    <cfRule type="cellIs" dxfId="213" priority="161" operator="lessThan">
      <formula>0</formula>
    </cfRule>
    <cfRule type="cellIs" dxfId="212" priority="162" operator="lessThan">
      <formula>0</formula>
    </cfRule>
    <cfRule type="cellIs" dxfId="211" priority="163" operator="lessThan">
      <formula>0</formula>
    </cfRule>
  </conditionalFormatting>
  <conditionalFormatting sqref="L1476:L1479">
    <cfRule type="cellIs" dxfId="210" priority="158" operator="lessThan">
      <formula>0</formula>
    </cfRule>
    <cfRule type="cellIs" dxfId="209" priority="159" operator="lessThan">
      <formula>0</formula>
    </cfRule>
    <cfRule type="cellIs" dxfId="208" priority="160" operator="lessThan">
      <formula>0</formula>
    </cfRule>
  </conditionalFormatting>
  <conditionalFormatting sqref="L1489">
    <cfRule type="cellIs" dxfId="207" priority="152" operator="lessThan">
      <formula>0</formula>
    </cfRule>
    <cfRule type="cellIs" dxfId="206" priority="153" operator="lessThan">
      <formula>0</formula>
    </cfRule>
    <cfRule type="cellIs" dxfId="205" priority="154" operator="lessThan">
      <formula>0</formula>
    </cfRule>
  </conditionalFormatting>
  <conditionalFormatting sqref="L1491:L1493">
    <cfRule type="cellIs" dxfId="204" priority="149" operator="lessThan">
      <formula>0</formula>
    </cfRule>
    <cfRule type="cellIs" dxfId="203" priority="150" operator="lessThan">
      <formula>0</formula>
    </cfRule>
    <cfRule type="cellIs" dxfId="202" priority="151" operator="lessThan">
      <formula>0</formula>
    </cfRule>
  </conditionalFormatting>
  <conditionalFormatting sqref="L1494">
    <cfRule type="cellIs" dxfId="201" priority="146" operator="lessThan">
      <formula>0</formula>
    </cfRule>
    <cfRule type="cellIs" dxfId="200" priority="147" operator="lessThan">
      <formula>0</formula>
    </cfRule>
    <cfRule type="cellIs" dxfId="199" priority="148" operator="lessThan">
      <formula>0</formula>
    </cfRule>
  </conditionalFormatting>
  <conditionalFormatting sqref="L1496:L1498">
    <cfRule type="cellIs" dxfId="198" priority="143" operator="lessThan">
      <formula>0</formula>
    </cfRule>
    <cfRule type="cellIs" dxfId="197" priority="144" operator="lessThan">
      <formula>0</formula>
    </cfRule>
    <cfRule type="cellIs" dxfId="196" priority="145" operator="lessThan">
      <formula>0</formula>
    </cfRule>
  </conditionalFormatting>
  <conditionalFormatting sqref="L1499">
    <cfRule type="cellIs" dxfId="195" priority="140" operator="lessThan">
      <formula>0</formula>
    </cfRule>
    <cfRule type="cellIs" dxfId="194" priority="141" operator="lessThan">
      <formula>0</formula>
    </cfRule>
    <cfRule type="cellIs" dxfId="193" priority="142" operator="lessThan">
      <formula>0</formula>
    </cfRule>
  </conditionalFormatting>
  <conditionalFormatting sqref="L1501:L1503">
    <cfRule type="cellIs" dxfId="192" priority="137" operator="lessThan">
      <formula>0</formula>
    </cfRule>
    <cfRule type="cellIs" dxfId="191" priority="138" operator="lessThan">
      <formula>0</formula>
    </cfRule>
    <cfRule type="cellIs" dxfId="190" priority="139" operator="lessThan">
      <formula>0</formula>
    </cfRule>
  </conditionalFormatting>
  <conditionalFormatting sqref="L1504">
    <cfRule type="cellIs" dxfId="189" priority="134" operator="lessThan">
      <formula>0</formula>
    </cfRule>
    <cfRule type="cellIs" dxfId="188" priority="135" operator="lessThan">
      <formula>0</formula>
    </cfRule>
    <cfRule type="cellIs" dxfId="187" priority="136" operator="lessThan">
      <formula>0</formula>
    </cfRule>
  </conditionalFormatting>
  <conditionalFormatting sqref="L1512:L1514">
    <cfRule type="cellIs" dxfId="186" priority="131" operator="lessThan">
      <formula>0</formula>
    </cfRule>
    <cfRule type="cellIs" dxfId="185" priority="132" operator="lessThan">
      <formula>0</formula>
    </cfRule>
    <cfRule type="cellIs" dxfId="184" priority="133" operator="lessThan">
      <formula>0</formula>
    </cfRule>
  </conditionalFormatting>
  <conditionalFormatting sqref="L1515">
    <cfRule type="cellIs" dxfId="183" priority="128" operator="lessThan">
      <formula>0</formula>
    </cfRule>
    <cfRule type="cellIs" dxfId="182" priority="129" operator="lessThan">
      <formula>0</formula>
    </cfRule>
    <cfRule type="cellIs" dxfId="181" priority="130" operator="lessThan">
      <formula>0</formula>
    </cfRule>
  </conditionalFormatting>
  <conditionalFormatting sqref="L1517:L1520">
    <cfRule type="cellIs" dxfId="180" priority="125" operator="lessThan">
      <formula>0</formula>
    </cfRule>
    <cfRule type="cellIs" dxfId="179" priority="126" operator="lessThan">
      <formula>0</formula>
    </cfRule>
    <cfRule type="cellIs" dxfId="178" priority="127" operator="lessThan">
      <formula>0</formula>
    </cfRule>
  </conditionalFormatting>
  <conditionalFormatting sqref="L1521">
    <cfRule type="cellIs" dxfId="177" priority="122" operator="lessThan">
      <formula>0</formula>
    </cfRule>
    <cfRule type="cellIs" dxfId="176" priority="123" operator="lessThan">
      <formula>0</formula>
    </cfRule>
    <cfRule type="cellIs" dxfId="175" priority="124" operator="lessThan">
      <formula>0</formula>
    </cfRule>
  </conditionalFormatting>
  <conditionalFormatting sqref="L1523:L1526">
    <cfRule type="cellIs" dxfId="174" priority="119" operator="lessThan">
      <formula>0</formula>
    </cfRule>
    <cfRule type="cellIs" dxfId="173" priority="120" operator="lessThan">
      <formula>0</formula>
    </cfRule>
    <cfRule type="cellIs" dxfId="172" priority="121" operator="lessThan">
      <formula>0</formula>
    </cfRule>
  </conditionalFormatting>
  <conditionalFormatting sqref="L1527">
    <cfRule type="cellIs" dxfId="171" priority="116" operator="lessThan">
      <formula>0</formula>
    </cfRule>
    <cfRule type="cellIs" dxfId="170" priority="117" operator="lessThan">
      <formula>0</formula>
    </cfRule>
    <cfRule type="cellIs" dxfId="169" priority="118" operator="lessThan">
      <formula>0</formula>
    </cfRule>
  </conditionalFormatting>
  <conditionalFormatting sqref="L1565:L1566">
    <cfRule type="cellIs" dxfId="168" priority="113" operator="lessThan">
      <formula>0</formula>
    </cfRule>
    <cfRule type="cellIs" dxfId="167" priority="114" operator="lessThan">
      <formula>0</formula>
    </cfRule>
    <cfRule type="cellIs" dxfId="166" priority="115" operator="lessThan">
      <formula>0</formula>
    </cfRule>
  </conditionalFormatting>
  <conditionalFormatting sqref="L1567">
    <cfRule type="cellIs" dxfId="165" priority="110" operator="lessThan">
      <formula>0</formula>
    </cfRule>
    <cfRule type="cellIs" dxfId="164" priority="111" operator="lessThan">
      <formula>0</formula>
    </cfRule>
    <cfRule type="cellIs" dxfId="163" priority="112" operator="lessThan">
      <formula>0</formula>
    </cfRule>
  </conditionalFormatting>
  <conditionalFormatting sqref="L1569:L1570">
    <cfRule type="cellIs" dxfId="162" priority="107" operator="lessThan">
      <formula>0</formula>
    </cfRule>
    <cfRule type="cellIs" dxfId="161" priority="108" operator="lessThan">
      <formula>0</formula>
    </cfRule>
    <cfRule type="cellIs" dxfId="160" priority="109" operator="lessThan">
      <formula>0</formula>
    </cfRule>
  </conditionalFormatting>
  <conditionalFormatting sqref="L1571">
    <cfRule type="cellIs" dxfId="159" priority="104" operator="lessThan">
      <formula>0</formula>
    </cfRule>
    <cfRule type="cellIs" dxfId="158" priority="105" operator="lessThan">
      <formula>0</formula>
    </cfRule>
    <cfRule type="cellIs" dxfId="157" priority="106" operator="lessThan">
      <formula>0</formula>
    </cfRule>
  </conditionalFormatting>
  <conditionalFormatting sqref="L1573:L1575">
    <cfRule type="cellIs" dxfId="156" priority="101" operator="lessThan">
      <formula>0</formula>
    </cfRule>
    <cfRule type="cellIs" dxfId="155" priority="102" operator="lessThan">
      <formula>0</formula>
    </cfRule>
    <cfRule type="cellIs" dxfId="154" priority="103" operator="lessThan">
      <formula>0</formula>
    </cfRule>
  </conditionalFormatting>
  <conditionalFormatting sqref="L1576">
    <cfRule type="cellIs" dxfId="153" priority="98" operator="lessThan">
      <formula>0</formula>
    </cfRule>
    <cfRule type="cellIs" dxfId="152" priority="99" operator="lessThan">
      <formula>0</formula>
    </cfRule>
    <cfRule type="cellIs" dxfId="151" priority="100" operator="lessThan">
      <formula>0</formula>
    </cfRule>
  </conditionalFormatting>
  <conditionalFormatting sqref="L1578 L1580">
    <cfRule type="cellIs" dxfId="150" priority="95" operator="lessThan">
      <formula>0</formula>
    </cfRule>
    <cfRule type="cellIs" dxfId="149" priority="96" operator="lessThan">
      <formula>0</formula>
    </cfRule>
    <cfRule type="cellIs" dxfId="148" priority="97" operator="lessThan">
      <formula>0</formula>
    </cfRule>
  </conditionalFormatting>
  <conditionalFormatting sqref="L1581">
    <cfRule type="cellIs" dxfId="147" priority="92" operator="lessThan">
      <formula>0</formula>
    </cfRule>
    <cfRule type="cellIs" dxfId="146" priority="93" operator="lessThan">
      <formula>0</formula>
    </cfRule>
    <cfRule type="cellIs" dxfId="145" priority="94" operator="lessThan">
      <formula>0</formula>
    </cfRule>
  </conditionalFormatting>
  <conditionalFormatting sqref="L1587:L1588">
    <cfRule type="cellIs" dxfId="144" priority="89" operator="lessThan">
      <formula>0</formula>
    </cfRule>
    <cfRule type="cellIs" dxfId="143" priority="90" operator="lessThan">
      <formula>0</formula>
    </cfRule>
    <cfRule type="cellIs" dxfId="142" priority="91" operator="lessThan">
      <formula>0</formula>
    </cfRule>
  </conditionalFormatting>
  <conditionalFormatting sqref="L1589">
    <cfRule type="cellIs" dxfId="141" priority="86" operator="lessThan">
      <formula>0</formula>
    </cfRule>
    <cfRule type="cellIs" dxfId="140" priority="87" operator="lessThan">
      <formula>0</formula>
    </cfRule>
    <cfRule type="cellIs" dxfId="139" priority="88" operator="lessThan">
      <formula>0</formula>
    </cfRule>
  </conditionalFormatting>
  <conditionalFormatting sqref="L1529:L1530">
    <cfRule type="cellIs" dxfId="138" priority="83" operator="lessThan">
      <formula>0</formula>
    </cfRule>
    <cfRule type="cellIs" dxfId="137" priority="84" operator="lessThan">
      <formula>0</formula>
    </cfRule>
    <cfRule type="cellIs" dxfId="136" priority="85" operator="lessThan">
      <formula>0</formula>
    </cfRule>
  </conditionalFormatting>
  <conditionalFormatting sqref="L1531">
    <cfRule type="cellIs" dxfId="135" priority="80" operator="lessThan">
      <formula>0</formula>
    </cfRule>
    <cfRule type="cellIs" dxfId="134" priority="81" operator="lessThan">
      <formula>0</formula>
    </cfRule>
    <cfRule type="cellIs" dxfId="133" priority="82" operator="lessThan">
      <formula>0</formula>
    </cfRule>
  </conditionalFormatting>
  <conditionalFormatting sqref="L1533:L1534 L1536">
    <cfRule type="cellIs" dxfId="132" priority="77" operator="lessThan">
      <formula>0</formula>
    </cfRule>
    <cfRule type="cellIs" dxfId="131" priority="78" operator="lessThan">
      <formula>0</formula>
    </cfRule>
    <cfRule type="cellIs" dxfId="130" priority="79" operator="lessThan">
      <formula>0</formula>
    </cfRule>
  </conditionalFormatting>
  <conditionalFormatting sqref="L1537">
    <cfRule type="cellIs" dxfId="129" priority="74" operator="lessThan">
      <formula>0</formula>
    </cfRule>
    <cfRule type="cellIs" dxfId="128" priority="75" operator="lessThan">
      <formula>0</formula>
    </cfRule>
    <cfRule type="cellIs" dxfId="127" priority="76" operator="lessThan">
      <formula>0</formula>
    </cfRule>
  </conditionalFormatting>
  <conditionalFormatting sqref="L1506:L1507 L1509">
    <cfRule type="cellIs" dxfId="126" priority="71" operator="lessThan">
      <formula>0</formula>
    </cfRule>
    <cfRule type="cellIs" dxfId="125" priority="72" operator="lessThan">
      <formula>0</formula>
    </cfRule>
    <cfRule type="cellIs" dxfId="124" priority="73" operator="lessThan">
      <formula>0</formula>
    </cfRule>
  </conditionalFormatting>
  <conditionalFormatting sqref="L1510">
    <cfRule type="cellIs" dxfId="123" priority="68" operator="lessThan">
      <formula>0</formula>
    </cfRule>
    <cfRule type="cellIs" dxfId="122" priority="69" operator="lessThan">
      <formula>0</formula>
    </cfRule>
    <cfRule type="cellIs" dxfId="121" priority="70" operator="lessThan">
      <formula>0</formula>
    </cfRule>
  </conditionalFormatting>
  <conditionalFormatting sqref="L1539:L1540">
    <cfRule type="cellIs" dxfId="120" priority="65" operator="lessThan">
      <formula>0</formula>
    </cfRule>
    <cfRule type="cellIs" dxfId="119" priority="66" operator="lessThan">
      <formula>0</formula>
    </cfRule>
    <cfRule type="cellIs" dxfId="118" priority="67" operator="lessThan">
      <formula>0</formula>
    </cfRule>
  </conditionalFormatting>
  <conditionalFormatting sqref="L1541">
    <cfRule type="cellIs" dxfId="117" priority="62" operator="lessThan">
      <formula>0</formula>
    </cfRule>
    <cfRule type="cellIs" dxfId="116" priority="63" operator="lessThan">
      <formula>0</formula>
    </cfRule>
    <cfRule type="cellIs" dxfId="115" priority="64" operator="lessThan">
      <formula>0</formula>
    </cfRule>
  </conditionalFormatting>
  <conditionalFormatting sqref="L1543:L1545">
    <cfRule type="cellIs" dxfId="114" priority="59" operator="lessThan">
      <formula>0</formula>
    </cfRule>
    <cfRule type="cellIs" dxfId="113" priority="60" operator="lessThan">
      <formula>0</formula>
    </cfRule>
    <cfRule type="cellIs" dxfId="112" priority="61" operator="lessThan">
      <formula>0</formula>
    </cfRule>
  </conditionalFormatting>
  <conditionalFormatting sqref="L1546">
    <cfRule type="cellIs" dxfId="111" priority="56" operator="lessThan">
      <formula>0</formula>
    </cfRule>
    <cfRule type="cellIs" dxfId="110" priority="57" operator="lessThan">
      <formula>0</formula>
    </cfRule>
    <cfRule type="cellIs" dxfId="109" priority="58" operator="lessThan">
      <formula>0</formula>
    </cfRule>
  </conditionalFormatting>
  <conditionalFormatting sqref="L1583:L1584">
    <cfRule type="cellIs" dxfId="108" priority="53" operator="lessThan">
      <formula>0</formula>
    </cfRule>
    <cfRule type="cellIs" dxfId="107" priority="54" operator="lessThan">
      <formula>0</formula>
    </cfRule>
    <cfRule type="cellIs" dxfId="106" priority="55" operator="lessThan">
      <formula>0</formula>
    </cfRule>
  </conditionalFormatting>
  <conditionalFormatting sqref="L1585">
    <cfRule type="cellIs" dxfId="105" priority="50" operator="lessThan">
      <formula>0</formula>
    </cfRule>
    <cfRule type="cellIs" dxfId="104" priority="51" operator="lessThan">
      <formula>0</formula>
    </cfRule>
    <cfRule type="cellIs" dxfId="103" priority="52" operator="lessThan">
      <formula>0</formula>
    </cfRule>
  </conditionalFormatting>
  <conditionalFormatting sqref="L1548:L1551">
    <cfRule type="cellIs" dxfId="102" priority="47" operator="lessThan">
      <formula>0</formula>
    </cfRule>
    <cfRule type="cellIs" dxfId="101" priority="48" operator="lessThan">
      <formula>0</formula>
    </cfRule>
    <cfRule type="cellIs" dxfId="100" priority="49" operator="lessThan">
      <formula>0</formula>
    </cfRule>
  </conditionalFormatting>
  <conditionalFormatting sqref="L1552">
    <cfRule type="cellIs" dxfId="99" priority="44" operator="lessThan">
      <formula>0</formula>
    </cfRule>
    <cfRule type="cellIs" dxfId="98" priority="45" operator="lessThan">
      <formula>0</formula>
    </cfRule>
    <cfRule type="cellIs" dxfId="97" priority="46" operator="lessThan">
      <formula>0</formula>
    </cfRule>
  </conditionalFormatting>
  <conditionalFormatting sqref="L1579">
    <cfRule type="cellIs" dxfId="96" priority="41" operator="lessThan">
      <formula>0</formula>
    </cfRule>
    <cfRule type="cellIs" dxfId="95" priority="42" operator="lessThan">
      <formula>0</formula>
    </cfRule>
    <cfRule type="cellIs" dxfId="94" priority="43" operator="lessThan">
      <formula>0</formula>
    </cfRule>
  </conditionalFormatting>
  <conditionalFormatting sqref="L623">
    <cfRule type="cellIs" dxfId="93" priority="40" operator="lessThan">
      <formula>0</formula>
    </cfRule>
  </conditionalFormatting>
  <conditionalFormatting sqref="L1591:L1592">
    <cfRule type="cellIs" dxfId="92" priority="37" operator="lessThan">
      <formula>0</formula>
    </cfRule>
    <cfRule type="cellIs" dxfId="91" priority="38" operator="lessThan">
      <formula>0</formula>
    </cfRule>
    <cfRule type="cellIs" dxfId="90" priority="39" operator="lessThan">
      <formula>0</formula>
    </cfRule>
  </conditionalFormatting>
  <conditionalFormatting sqref="L1593">
    <cfRule type="cellIs" dxfId="89" priority="34" operator="lessThan">
      <formula>0</formula>
    </cfRule>
    <cfRule type="cellIs" dxfId="88" priority="35" operator="lessThan">
      <formula>0</formula>
    </cfRule>
    <cfRule type="cellIs" dxfId="87" priority="36" operator="lessThan">
      <formula>0</formula>
    </cfRule>
  </conditionalFormatting>
  <conditionalFormatting sqref="L1554 L1556">
    <cfRule type="cellIs" dxfId="86" priority="31" operator="lessThan">
      <formula>0</formula>
    </cfRule>
    <cfRule type="cellIs" dxfId="85" priority="32" operator="lessThan">
      <formula>0</formula>
    </cfRule>
    <cfRule type="cellIs" dxfId="84" priority="33" operator="lessThan">
      <formula>0</formula>
    </cfRule>
  </conditionalFormatting>
  <conditionalFormatting sqref="L1557">
    <cfRule type="cellIs" dxfId="83" priority="28" operator="lessThan">
      <formula>0</formula>
    </cfRule>
    <cfRule type="cellIs" dxfId="82" priority="29" operator="lessThan">
      <formula>0</formula>
    </cfRule>
    <cfRule type="cellIs" dxfId="81" priority="30" operator="lessThan">
      <formula>0</formula>
    </cfRule>
  </conditionalFormatting>
  <conditionalFormatting sqref="L1559 L1561:L1562">
    <cfRule type="cellIs" dxfId="80" priority="25" operator="lessThan">
      <formula>0</formula>
    </cfRule>
    <cfRule type="cellIs" dxfId="79" priority="26" operator="lessThan">
      <formula>0</formula>
    </cfRule>
    <cfRule type="cellIs" dxfId="78" priority="27" operator="lessThan">
      <formula>0</formula>
    </cfRule>
  </conditionalFormatting>
  <conditionalFormatting sqref="L1563">
    <cfRule type="cellIs" dxfId="77" priority="22" operator="lessThan">
      <formula>0</formula>
    </cfRule>
    <cfRule type="cellIs" dxfId="76" priority="23" operator="lessThan">
      <formula>0</formula>
    </cfRule>
    <cfRule type="cellIs" dxfId="75" priority="24" operator="lessThan">
      <formula>0</formula>
    </cfRule>
  </conditionalFormatting>
  <conditionalFormatting sqref="L1951">
    <cfRule type="cellIs" dxfId="74" priority="19" operator="lessThan">
      <formula>0</formula>
    </cfRule>
    <cfRule type="cellIs" dxfId="73" priority="20" operator="lessThan">
      <formula>0</formula>
    </cfRule>
    <cfRule type="cellIs" dxfId="72" priority="21" operator="lessThan">
      <formula>0</formula>
    </cfRule>
  </conditionalFormatting>
  <conditionalFormatting sqref="L1952">
    <cfRule type="cellIs" dxfId="71" priority="16" operator="lessThan">
      <formula>0</formula>
    </cfRule>
    <cfRule type="cellIs" dxfId="70" priority="17" operator="lessThan">
      <formula>0</formula>
    </cfRule>
    <cfRule type="cellIs" dxfId="69" priority="18" operator="lessThan">
      <formula>0</formula>
    </cfRule>
  </conditionalFormatting>
  <conditionalFormatting sqref="L1535">
    <cfRule type="cellIs" dxfId="68" priority="13" operator="lessThan">
      <formula>0</formula>
    </cfRule>
    <cfRule type="cellIs" dxfId="67" priority="14" operator="lessThan">
      <formula>0</formula>
    </cfRule>
    <cfRule type="cellIs" dxfId="66" priority="15" operator="lessThan">
      <formula>0</formula>
    </cfRule>
  </conditionalFormatting>
  <conditionalFormatting sqref="L1555">
    <cfRule type="cellIs" dxfId="65" priority="10" operator="lessThan">
      <formula>0</formula>
    </cfRule>
    <cfRule type="cellIs" dxfId="64" priority="11" operator="lessThan">
      <formula>0</formula>
    </cfRule>
    <cfRule type="cellIs" dxfId="63" priority="12" operator="lessThan">
      <formula>0</formula>
    </cfRule>
  </conditionalFormatting>
  <conditionalFormatting sqref="L1560">
    <cfRule type="cellIs" dxfId="62" priority="7" operator="lessThan">
      <formula>0</formula>
    </cfRule>
    <cfRule type="cellIs" dxfId="61" priority="8" operator="lessThan">
      <formula>0</formula>
    </cfRule>
    <cfRule type="cellIs" dxfId="60" priority="9" operator="lessThan">
      <formula>0</formula>
    </cfRule>
  </conditionalFormatting>
  <conditionalFormatting sqref="L1508">
    <cfRule type="cellIs" dxfId="59" priority="4" operator="lessThan">
      <formula>0</formula>
    </cfRule>
    <cfRule type="cellIs" dxfId="58" priority="5" operator="lessThan">
      <formula>0</formula>
    </cfRule>
    <cfRule type="cellIs" dxfId="57" priority="6" operator="lessThan">
      <formula>0</formula>
    </cfRule>
  </conditionalFormatting>
  <conditionalFormatting sqref="L1313">
    <cfRule type="cellIs" dxfId="56" priority="1" operator="lessThan">
      <formula>0</formula>
    </cfRule>
    <cfRule type="cellIs" dxfId="55" priority="2" operator="lessThan">
      <formula>0</formula>
    </cfRule>
    <cfRule type="cellIs" dxfId="54" priority="3" operator="lessThan">
      <formula>0</formula>
    </cfRule>
  </conditionalFormatting>
  <printOptions horizontalCentered="1"/>
  <pageMargins left="0.19685039370078741" right="0.19685039370078741" top="0" bottom="0" header="0" footer="0"/>
  <pageSetup paperSize="9" scale="45" orientation="landscape" r:id="rId1"/>
  <headerFooter alignWithMargins="0"/>
  <ignoredErrors>
    <ignoredError sqref="I1918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0.39997558519241921"/>
  </sheetPr>
  <dimension ref="A1:R269"/>
  <sheetViews>
    <sheetView zoomScale="86" zoomScaleNormal="86" workbookViewId="0">
      <pane xSplit="3" ySplit="4" topLeftCell="D240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E255" sqref="E255:F255"/>
    </sheetView>
  </sheetViews>
  <sheetFormatPr defaultColWidth="9.140625" defaultRowHeight="16.5" x14ac:dyDescent="0.25"/>
  <cols>
    <col min="1" max="1" width="9.140625" style="272" customWidth="1"/>
    <col min="2" max="2" width="11.42578125" style="272" customWidth="1"/>
    <col min="3" max="3" width="45.5703125" style="271" customWidth="1"/>
    <col min="4" max="4" width="11.85546875" style="272" customWidth="1"/>
    <col min="5" max="5" width="20.7109375" style="691" customWidth="1"/>
    <col min="6" max="6" width="12.5703125" style="273" customWidth="1"/>
    <col min="7" max="7" width="15.140625" style="278" customWidth="1"/>
    <col min="8" max="8" width="11.85546875" style="278" customWidth="1"/>
    <col min="9" max="9" width="26" style="278" customWidth="1"/>
    <col min="10" max="10" width="28.7109375" style="273" hidden="1" customWidth="1"/>
    <col min="11" max="11" width="21.42578125" style="691" customWidth="1"/>
    <col min="12" max="12" width="18.28515625" style="273" customWidth="1"/>
    <col min="13" max="13" width="10" style="273" customWidth="1"/>
    <col min="14" max="14" width="10.28515625" style="273" bestFit="1" customWidth="1"/>
    <col min="15" max="15" width="35.85546875" style="273" bestFit="1" customWidth="1"/>
    <col min="16" max="16" width="18.42578125" style="273" bestFit="1" customWidth="1"/>
    <col min="17" max="17" width="4.42578125" style="273" bestFit="1" customWidth="1"/>
    <col min="18" max="18" width="19.28515625" style="273" customWidth="1"/>
    <col min="19" max="16384" width="9.140625" style="273"/>
  </cols>
  <sheetData>
    <row r="1" spans="1:18" ht="25.5" x14ac:dyDescent="0.25">
      <c r="A1" s="2218" t="s">
        <v>511</v>
      </c>
      <c r="B1" s="2218"/>
      <c r="C1" s="2218"/>
      <c r="D1" s="2218"/>
      <c r="E1" s="2218"/>
      <c r="F1" s="2218"/>
      <c r="G1" s="2218"/>
      <c r="H1" s="2218"/>
      <c r="I1" s="2218"/>
    </row>
    <row r="2" spans="1:18" ht="28.5" thickBot="1" x14ac:dyDescent="0.35">
      <c r="A2" s="522"/>
      <c r="B2" s="663"/>
      <c r="C2" s="288"/>
      <c r="D2" s="288"/>
      <c r="E2" s="1191"/>
      <c r="F2" s="288" t="s">
        <v>440</v>
      </c>
      <c r="G2" s="288"/>
      <c r="H2" s="288"/>
      <c r="I2" s="528">
        <f>'Stock Rawmaterial'!L7</f>
        <v>46286</v>
      </c>
    </row>
    <row r="3" spans="1:18" ht="30" customHeight="1" x14ac:dyDescent="0.25">
      <c r="A3" s="2221" t="s">
        <v>3</v>
      </c>
      <c r="B3" s="2237" t="s">
        <v>619</v>
      </c>
      <c r="C3" s="2223" t="s">
        <v>278</v>
      </c>
      <c r="D3" s="2223" t="s">
        <v>1376</v>
      </c>
      <c r="E3" s="2219" t="s">
        <v>46</v>
      </c>
      <c r="F3" s="2219"/>
      <c r="G3" s="2220" t="s">
        <v>366</v>
      </c>
      <c r="H3" s="2219"/>
      <c r="I3" s="2225" t="s">
        <v>460</v>
      </c>
      <c r="J3" s="2211" t="s">
        <v>461</v>
      </c>
    </row>
    <row r="4" spans="1:18" ht="30" customHeight="1" x14ac:dyDescent="0.25">
      <c r="A4" s="2222"/>
      <c r="B4" s="2238"/>
      <c r="C4" s="2224"/>
      <c r="D4" s="2224"/>
      <c r="E4" s="1192" t="s">
        <v>279</v>
      </c>
      <c r="F4" s="573" t="s">
        <v>1150</v>
      </c>
      <c r="G4" s="542" t="s">
        <v>279</v>
      </c>
      <c r="H4" s="541" t="s">
        <v>1150</v>
      </c>
      <c r="I4" s="2226"/>
      <c r="J4" s="2212"/>
    </row>
    <row r="5" spans="1:18" ht="20.100000000000001" customHeight="1" x14ac:dyDescent="0.25">
      <c r="A5" s="514">
        <f>IF(C5="","",COUNT($A$4:A4)+1)</f>
        <v>1</v>
      </c>
      <c r="B5" s="776">
        <v>25201</v>
      </c>
      <c r="C5" s="513" t="s">
        <v>1889</v>
      </c>
      <c r="D5" s="612">
        <v>1.7999999999999999E-2</v>
      </c>
      <c r="E5" s="1193">
        <f>ROUND(SUMIF(sdmixer!$A:$A,usage!B5,sdmixer!$E:$E),0)</f>
        <v>423153</v>
      </c>
      <c r="F5" s="577">
        <f>ROUND(D5*E5,0)</f>
        <v>7617</v>
      </c>
      <c r="G5" s="603"/>
      <c r="H5" s="577">
        <f t="shared" ref="H5:H66" si="0">+G5*D5</f>
        <v>0</v>
      </c>
      <c r="I5" s="579">
        <f>+G5+H5+E5+F5</f>
        <v>430770</v>
      </c>
      <c r="J5" s="580">
        <f>+E5+G5</f>
        <v>423153</v>
      </c>
      <c r="K5" s="650"/>
      <c r="L5" s="1286"/>
      <c r="O5" s="666"/>
      <c r="P5" s="666"/>
      <c r="Q5" s="1726"/>
      <c r="R5" s="1727"/>
    </row>
    <row r="6" spans="1:18" ht="21" customHeight="1" x14ac:dyDescent="0.25">
      <c r="A6" s="514">
        <f>IF(C6="","",COUNT($A$4:A5)+1)</f>
        <v>2</v>
      </c>
      <c r="B6" s="777">
        <v>21201</v>
      </c>
      <c r="C6" s="274" t="s">
        <v>1890</v>
      </c>
      <c r="D6" s="613">
        <v>1.7999999999999999E-2</v>
      </c>
      <c r="E6" s="1193">
        <f>sdmixer!K2-E5</f>
        <v>580477.65</v>
      </c>
      <c r="F6" s="577">
        <f t="shared" ref="F6:F66" si="1">ROUND(D6*E6,0)</f>
        <v>10449</v>
      </c>
      <c r="G6" s="603"/>
      <c r="H6" s="576">
        <f t="shared" si="0"/>
        <v>0</v>
      </c>
      <c r="I6" s="579">
        <f>+G6+H6+E6+F6</f>
        <v>590926.65</v>
      </c>
      <c r="J6" s="580">
        <f t="shared" ref="J6:J69" si="2">+E6+G6</f>
        <v>580477.65</v>
      </c>
      <c r="K6" s="650"/>
      <c r="L6" s="1286"/>
      <c r="O6" s="666"/>
      <c r="P6" s="1920"/>
      <c r="Q6" s="1726"/>
      <c r="R6" s="1727"/>
    </row>
    <row r="7" spans="1:18" ht="20.100000000000001" customHeight="1" x14ac:dyDescent="0.25">
      <c r="A7" s="514">
        <f>IF(C7="","",COUNT($A$4:A6)+1)</f>
        <v>3</v>
      </c>
      <c r="B7" s="647">
        <v>10215</v>
      </c>
      <c r="C7" s="275" t="s">
        <v>266</v>
      </c>
      <c r="D7" s="613">
        <v>1.7999999999999999E-2</v>
      </c>
      <c r="E7" s="1193">
        <f>ROUND(SUMIF(sdmixer!$A:$A,usage!B7,sdmixer!$E:$E)+SUMIF(sdmixer!$A:$A,"010204",sdmixer!$E:$E),0)</f>
        <v>0</v>
      </c>
      <c r="F7" s="577">
        <f t="shared" si="1"/>
        <v>0</v>
      </c>
      <c r="G7" s="578"/>
      <c r="H7" s="576">
        <f t="shared" si="0"/>
        <v>0</v>
      </c>
      <c r="I7" s="579">
        <f>+G7+H7+E7+F7</f>
        <v>0</v>
      </c>
      <c r="J7" s="580">
        <f t="shared" si="2"/>
        <v>0</v>
      </c>
      <c r="K7" s="650"/>
      <c r="L7" s="1286"/>
      <c r="O7" s="1852"/>
      <c r="P7" s="1920"/>
      <c r="Q7" s="1726"/>
      <c r="R7" s="1727"/>
    </row>
    <row r="8" spans="1:18" ht="20.100000000000001" customHeight="1" x14ac:dyDescent="0.25">
      <c r="A8" s="514">
        <f>IF(C8="","",COUNT($A$4:A7)+1)</f>
        <v>4</v>
      </c>
      <c r="B8" s="647">
        <v>10257</v>
      </c>
      <c r="C8" s="275" t="s">
        <v>84</v>
      </c>
      <c r="D8" s="613">
        <v>0.04</v>
      </c>
      <c r="E8" s="1193">
        <f>+ROUND(SUMIF(sdmixer!$A:$A,usage!B8,sdmixer!$E:$E),0)+ROUND(SUMIF(sdmixer!$A:$A,"10252",sdmixer!$E:$E),0)</f>
        <v>23600</v>
      </c>
      <c r="F8" s="577">
        <f t="shared" si="1"/>
        <v>944</v>
      </c>
      <c r="G8" s="578"/>
      <c r="H8" s="576">
        <f t="shared" si="0"/>
        <v>0</v>
      </c>
      <c r="I8" s="579">
        <f t="shared" ref="I8:I66" si="3">+G8+H8+E8+F8</f>
        <v>24544</v>
      </c>
      <c r="J8" s="580">
        <f t="shared" si="2"/>
        <v>23600</v>
      </c>
      <c r="K8" s="650"/>
      <c r="L8" s="1286"/>
      <c r="O8" s="666"/>
      <c r="P8" s="1920"/>
      <c r="Q8" s="1726"/>
      <c r="R8" s="1727"/>
    </row>
    <row r="9" spans="1:18" ht="20.100000000000001" customHeight="1" x14ac:dyDescent="0.25">
      <c r="A9" s="514">
        <f>IF(C9="","",COUNT($A$4:A8)+1)</f>
        <v>5</v>
      </c>
      <c r="B9" s="777"/>
      <c r="C9" s="275" t="s">
        <v>474</v>
      </c>
      <c r="D9" s="613">
        <v>1.7999999999999999E-2</v>
      </c>
      <c r="E9" s="1193">
        <f>ROUND(SUMIF(sdmixer!$A:$A,usage!B9,sdmixer!$E:$E),0)</f>
        <v>0</v>
      </c>
      <c r="F9" s="577">
        <f t="shared" si="1"/>
        <v>0</v>
      </c>
      <c r="G9" s="578"/>
      <c r="H9" s="576">
        <f t="shared" si="0"/>
        <v>0</v>
      </c>
      <c r="I9" s="579">
        <f t="shared" si="3"/>
        <v>0</v>
      </c>
      <c r="J9" s="580">
        <f t="shared" si="2"/>
        <v>0</v>
      </c>
      <c r="K9" s="650"/>
      <c r="L9" s="1286"/>
      <c r="O9" s="666"/>
      <c r="P9" s="1920"/>
      <c r="Q9" s="1726"/>
      <c r="R9" s="1727"/>
    </row>
    <row r="10" spans="1:18" ht="20.100000000000001" customHeight="1" x14ac:dyDescent="0.25">
      <c r="A10" s="514">
        <f>IF(C10="","",COUNT($A$4:A9)+1)</f>
        <v>6</v>
      </c>
      <c r="B10" s="1233">
        <v>391160</v>
      </c>
      <c r="C10" s="275" t="s">
        <v>1441</v>
      </c>
      <c r="D10" s="613">
        <v>0.01</v>
      </c>
      <c r="E10" s="1193">
        <f>ROUND(SUMIF(sdmixer!$A:$A,usage!B10,sdmixer!$E:$E),0)</f>
        <v>0</v>
      </c>
      <c r="F10" s="577">
        <f t="shared" ref="F10" si="4">ROUND(D10*E10,0)</f>
        <v>0</v>
      </c>
      <c r="G10" s="578"/>
      <c r="H10" s="576">
        <f t="shared" ref="H10" si="5">+G10*D10</f>
        <v>0</v>
      </c>
      <c r="I10" s="579">
        <f t="shared" ref="I10" si="6">+G10+H10+E10+F10</f>
        <v>0</v>
      </c>
      <c r="J10" s="580">
        <f t="shared" ref="J10" si="7">+E10+G10</f>
        <v>0</v>
      </c>
      <c r="K10" s="650"/>
      <c r="L10" s="1286"/>
      <c r="O10" s="666"/>
      <c r="P10" s="1920"/>
      <c r="Q10" s="1726"/>
      <c r="R10" s="1727"/>
    </row>
    <row r="11" spans="1:18" ht="20.100000000000001" customHeight="1" x14ac:dyDescent="0.25">
      <c r="A11" s="514">
        <f>IF(C11="","",COUNT($A$4:A10)+1)</f>
        <v>7</v>
      </c>
      <c r="B11" s="777"/>
      <c r="C11" s="275" t="s">
        <v>1295</v>
      </c>
      <c r="D11" s="613">
        <v>0.01</v>
      </c>
      <c r="E11" s="1193">
        <f>ROUND(SUMIF(sdmixer!$A:$A,usage!B11,sdmixer!$E:$E),0)</f>
        <v>0</v>
      </c>
      <c r="F11" s="577">
        <f t="shared" si="1"/>
        <v>0</v>
      </c>
      <c r="G11" s="578"/>
      <c r="H11" s="576">
        <f t="shared" si="0"/>
        <v>0</v>
      </c>
      <c r="I11" s="579">
        <f t="shared" si="3"/>
        <v>0</v>
      </c>
      <c r="J11" s="580">
        <f t="shared" si="2"/>
        <v>0</v>
      </c>
      <c r="K11" s="650"/>
      <c r="L11" s="1286"/>
      <c r="O11" s="666"/>
      <c r="P11" s="1920"/>
      <c r="Q11" s="1726"/>
      <c r="R11" s="1727"/>
    </row>
    <row r="12" spans="1:18" ht="20.100000000000001" customHeight="1" x14ac:dyDescent="0.25">
      <c r="A12" s="514">
        <f>IF(C12="","",COUNT($A$4:A11)+1)</f>
        <v>8</v>
      </c>
      <c r="B12" s="647">
        <v>600136</v>
      </c>
      <c r="C12" s="275" t="s">
        <v>234</v>
      </c>
      <c r="D12" s="613">
        <v>0.01</v>
      </c>
      <c r="E12" s="1193">
        <f>+ROUND(SUMIF(sdmixer!$A:$A,usage!B12,sdmixer!$E:$E),0)+ROUND(SUMIF(sdmixer!$A:$A,"600134",sdmixer!$E:$E),0)</f>
        <v>101922</v>
      </c>
      <c r="F12" s="577">
        <f t="shared" si="1"/>
        <v>1019</v>
      </c>
      <c r="G12" s="578"/>
      <c r="H12" s="576">
        <f t="shared" si="0"/>
        <v>0</v>
      </c>
      <c r="I12" s="579">
        <f t="shared" si="3"/>
        <v>102941</v>
      </c>
      <c r="J12" s="580">
        <f t="shared" si="2"/>
        <v>101922</v>
      </c>
      <c r="K12" s="650"/>
      <c r="L12" s="1286"/>
      <c r="O12" s="666"/>
      <c r="P12" s="1920"/>
      <c r="Q12" s="1726"/>
      <c r="R12" s="1727"/>
    </row>
    <row r="13" spans="1:18" ht="20.100000000000001" customHeight="1" x14ac:dyDescent="0.25">
      <c r="A13" s="514">
        <f>IF(C13="","",COUNT($A$4:A12)+1)</f>
        <v>9</v>
      </c>
      <c r="B13" s="777">
        <v>60118</v>
      </c>
      <c r="C13" s="275" t="s">
        <v>483</v>
      </c>
      <c r="D13" s="613">
        <v>0.01</v>
      </c>
      <c r="E13" s="1193">
        <f>ROUND(SUMIF(sdmixer!$A:$A,usage!B13,sdmixer!$E:$E),0)</f>
        <v>0</v>
      </c>
      <c r="F13" s="577">
        <f t="shared" si="1"/>
        <v>0</v>
      </c>
      <c r="G13" s="578"/>
      <c r="H13" s="576"/>
      <c r="I13" s="579">
        <f t="shared" si="3"/>
        <v>0</v>
      </c>
      <c r="J13" s="580">
        <f t="shared" si="2"/>
        <v>0</v>
      </c>
      <c r="K13" s="650"/>
      <c r="L13" s="1286"/>
      <c r="O13" s="666"/>
      <c r="P13" s="1920"/>
      <c r="Q13" s="1726"/>
      <c r="R13" s="1727"/>
    </row>
    <row r="14" spans="1:18" ht="20.100000000000001" customHeight="1" x14ac:dyDescent="0.25">
      <c r="A14" s="514">
        <f>IF(C14="","",COUNT($A$4:A13)+1)</f>
        <v>10</v>
      </c>
      <c r="B14" s="647">
        <v>610315</v>
      </c>
      <c r="C14" s="275" t="s">
        <v>85</v>
      </c>
      <c r="D14" s="613">
        <v>0.01</v>
      </c>
      <c r="E14" s="1193">
        <f>ROUND(SUMIF(sdmixer!$A:$A,usage!B14,sdmixer!$E:$E),0)</f>
        <v>20852</v>
      </c>
      <c r="F14" s="577">
        <f t="shared" si="1"/>
        <v>209</v>
      </c>
      <c r="G14" s="578"/>
      <c r="H14" s="576">
        <f t="shared" si="0"/>
        <v>0</v>
      </c>
      <c r="I14" s="579">
        <f t="shared" si="3"/>
        <v>21061</v>
      </c>
      <c r="J14" s="580">
        <f t="shared" si="2"/>
        <v>20852</v>
      </c>
      <c r="K14" s="650"/>
      <c r="L14" s="1286"/>
      <c r="O14" s="666"/>
      <c r="P14" s="1920"/>
      <c r="Q14" s="1726"/>
      <c r="R14" s="1727"/>
    </row>
    <row r="15" spans="1:18" ht="20.100000000000001" customHeight="1" x14ac:dyDescent="0.25">
      <c r="A15" s="514">
        <f>IF(C15="","",COUNT($A$4:A14)+1)</f>
        <v>11</v>
      </c>
      <c r="B15" s="647">
        <v>620115</v>
      </c>
      <c r="C15" s="275" t="s">
        <v>176</v>
      </c>
      <c r="D15" s="613">
        <v>0.01</v>
      </c>
      <c r="E15" s="1193">
        <f>ROUND(SUMIF(sdmixer!$A:$A,usage!B15,sdmixer!$E:$E),0)</f>
        <v>10127</v>
      </c>
      <c r="F15" s="577">
        <f t="shared" si="1"/>
        <v>101</v>
      </c>
      <c r="G15" s="578"/>
      <c r="H15" s="576">
        <f t="shared" si="0"/>
        <v>0</v>
      </c>
      <c r="I15" s="579">
        <f t="shared" si="3"/>
        <v>10228</v>
      </c>
      <c r="J15" s="580">
        <f t="shared" si="2"/>
        <v>10127</v>
      </c>
      <c r="K15" s="650"/>
      <c r="L15" s="1286"/>
      <c r="M15" s="637"/>
      <c r="O15" s="666"/>
      <c r="P15" s="666"/>
      <c r="Q15" s="1726"/>
      <c r="R15" s="1727"/>
    </row>
    <row r="16" spans="1:18" ht="20.100000000000001" customHeight="1" x14ac:dyDescent="0.25">
      <c r="A16" s="514">
        <f>IF(C16="","",COUNT($A$4:A15)+1)</f>
        <v>12</v>
      </c>
      <c r="B16" s="620">
        <v>113110</v>
      </c>
      <c r="C16" s="275" t="s">
        <v>1182</v>
      </c>
      <c r="D16" s="613">
        <v>0.01</v>
      </c>
      <c r="E16" s="1193">
        <f>ROUND(SUMIF(sdmixer!$A:$A,usage!B16,sdmixer!$E:$E)+SUMIF(sdmixer!$A:$A,"119111",sdmixer!$E:$E)+SUMIF(sdmixer!$A:$A,"104112",sdmixer!$E:$E),0)</f>
        <v>36610</v>
      </c>
      <c r="F16" s="577">
        <f t="shared" si="1"/>
        <v>366</v>
      </c>
      <c r="G16" s="578"/>
      <c r="H16" s="576">
        <f t="shared" si="0"/>
        <v>0</v>
      </c>
      <c r="I16" s="579">
        <f t="shared" si="3"/>
        <v>36976</v>
      </c>
      <c r="J16" s="580">
        <f t="shared" si="2"/>
        <v>36610</v>
      </c>
      <c r="K16" s="650"/>
      <c r="L16" s="1286"/>
      <c r="O16" s="1920"/>
      <c r="P16" s="1920"/>
      <c r="Q16" s="1726"/>
      <c r="R16" s="1727"/>
    </row>
    <row r="17" spans="1:18" ht="20.100000000000001" customHeight="1" x14ac:dyDescent="0.25">
      <c r="A17" s="514">
        <f>IF(C17="","",COUNT($A$4:A16)+1)</f>
        <v>13</v>
      </c>
      <c r="B17" s="647">
        <v>50118</v>
      </c>
      <c r="C17" s="275" t="s">
        <v>193</v>
      </c>
      <c r="D17" s="613">
        <v>0.01</v>
      </c>
      <c r="E17" s="1193">
        <f>ROUND(SUMIF(sdmixer!$A:$A,usage!B17,sdmixer!$E:$E),0)</f>
        <v>6098</v>
      </c>
      <c r="F17" s="577">
        <f t="shared" si="1"/>
        <v>61</v>
      </c>
      <c r="G17" s="578"/>
      <c r="H17" s="576">
        <f t="shared" si="0"/>
        <v>0</v>
      </c>
      <c r="I17" s="579">
        <f t="shared" si="3"/>
        <v>6159</v>
      </c>
      <c r="J17" s="580">
        <f t="shared" si="2"/>
        <v>6098</v>
      </c>
      <c r="K17" s="650"/>
      <c r="L17" s="1286"/>
      <c r="O17" s="666"/>
      <c r="P17" s="666"/>
      <c r="Q17" s="1726"/>
      <c r="R17" s="1727"/>
    </row>
    <row r="18" spans="1:18" ht="20.100000000000001" customHeight="1" x14ac:dyDescent="0.25">
      <c r="A18" s="514">
        <f>IF(C18="","",COUNT($A$4:A17)+1)</f>
        <v>14</v>
      </c>
      <c r="B18" s="620">
        <v>50168</v>
      </c>
      <c r="C18" s="275" t="s">
        <v>1153</v>
      </c>
      <c r="D18" s="613">
        <v>0.01</v>
      </c>
      <c r="E18" s="1193">
        <f>ROUND(SUMIF(sdmixer!$A:$A,usage!B18,sdmixer!$E:$E),0)</f>
        <v>0</v>
      </c>
      <c r="F18" s="577">
        <f t="shared" si="1"/>
        <v>0</v>
      </c>
      <c r="G18" s="578"/>
      <c r="H18" s="576">
        <f>+G18*D18</f>
        <v>0</v>
      </c>
      <c r="I18" s="579">
        <f>+G18+H18+E18+F18</f>
        <v>0</v>
      </c>
      <c r="J18" s="580">
        <f>+E18+G18</f>
        <v>0</v>
      </c>
      <c r="K18" s="650"/>
      <c r="L18" s="1286"/>
      <c r="O18" s="666"/>
      <c r="P18" s="666"/>
      <c r="Q18" s="1726"/>
      <c r="R18" s="1727"/>
    </row>
    <row r="19" spans="1:18" ht="20.100000000000001" customHeight="1" x14ac:dyDescent="0.25">
      <c r="A19" s="514">
        <f>IF(C19="","",COUNT($A$4:A18)+1)</f>
        <v>15</v>
      </c>
      <c r="B19" s="777">
        <v>40120</v>
      </c>
      <c r="C19" s="275" t="s">
        <v>252</v>
      </c>
      <c r="D19" s="613">
        <v>1.4999999999999999E-2</v>
      </c>
      <c r="E19" s="1193">
        <f>ROUND(SUMIF(sdmixer!$A:$A,usage!B19,sdmixer!$E:$E),0)</f>
        <v>0</v>
      </c>
      <c r="F19" s="577">
        <f t="shared" si="1"/>
        <v>0</v>
      </c>
      <c r="G19" s="578"/>
      <c r="H19" s="576">
        <f t="shared" si="0"/>
        <v>0</v>
      </c>
      <c r="I19" s="579">
        <f t="shared" si="3"/>
        <v>0</v>
      </c>
      <c r="J19" s="580">
        <f t="shared" si="2"/>
        <v>0</v>
      </c>
      <c r="K19" s="650"/>
      <c r="L19" s="1286"/>
      <c r="O19" s="666"/>
      <c r="P19" s="666"/>
      <c r="Q19" s="1726"/>
      <c r="R19" s="1727"/>
    </row>
    <row r="20" spans="1:18" ht="20.100000000000001" customHeight="1" x14ac:dyDescent="0.25">
      <c r="A20" s="514">
        <f>IF(C20="","",COUNT($A$4:A19)+1)</f>
        <v>16</v>
      </c>
      <c r="B20" s="647">
        <v>40234</v>
      </c>
      <c r="C20" s="275" t="s">
        <v>86</v>
      </c>
      <c r="D20" s="613">
        <v>0.01</v>
      </c>
      <c r="E20" s="1193">
        <f>ROUND(SUMIF(sdmixer!$A:$A,usage!B20,sdmixer!$E:$E),0)</f>
        <v>0</v>
      </c>
      <c r="F20" s="577">
        <f t="shared" si="1"/>
        <v>0</v>
      </c>
      <c r="G20" s="578"/>
      <c r="H20" s="576">
        <f t="shared" si="0"/>
        <v>0</v>
      </c>
      <c r="I20" s="579">
        <f t="shared" si="3"/>
        <v>0</v>
      </c>
      <c r="J20" s="580">
        <f t="shared" si="2"/>
        <v>0</v>
      </c>
      <c r="K20" s="650"/>
      <c r="L20" s="1286"/>
      <c r="O20" s="666"/>
      <c r="P20" s="666"/>
      <c r="Q20" s="1726"/>
      <c r="R20" s="1727"/>
    </row>
    <row r="21" spans="1:18" ht="20.100000000000001" customHeight="1" x14ac:dyDescent="0.25">
      <c r="A21" s="514">
        <f>IF(C21="","",COUNT($A$4:A20)+1)</f>
        <v>17</v>
      </c>
      <c r="B21" s="647">
        <v>43234</v>
      </c>
      <c r="C21" s="275" t="s">
        <v>1368</v>
      </c>
      <c r="D21" s="613">
        <v>0.01</v>
      </c>
      <c r="E21" s="1193">
        <f>ROUND(SUMIF(sdmixer!$A:$A,usage!B21,sdmixer!$E:$E),0)</f>
        <v>72449</v>
      </c>
      <c r="F21" s="577">
        <f t="shared" ref="F21" si="8">ROUND(D21*E21,0)</f>
        <v>724</v>
      </c>
      <c r="G21" s="578"/>
      <c r="H21" s="576">
        <f t="shared" ref="H21" si="9">+G21*D21</f>
        <v>0</v>
      </c>
      <c r="I21" s="579">
        <f t="shared" ref="I21" si="10">+G21+H21+E21+F21</f>
        <v>73173</v>
      </c>
      <c r="J21" s="580">
        <f t="shared" ref="J21" si="11">+E21+G21</f>
        <v>72449</v>
      </c>
      <c r="K21" s="650"/>
      <c r="L21" s="1286"/>
      <c r="O21" s="666"/>
      <c r="P21" s="666"/>
      <c r="Q21" s="1726"/>
      <c r="R21" s="1727"/>
    </row>
    <row r="22" spans="1:18" ht="19.5" customHeight="1" x14ac:dyDescent="0.25">
      <c r="A22" s="514">
        <f>IF(C22="","",COUNT($A$4:A21)+1)</f>
        <v>18</v>
      </c>
      <c r="B22" s="620">
        <v>331145</v>
      </c>
      <c r="C22" s="275" t="s">
        <v>452</v>
      </c>
      <c r="D22" s="613">
        <v>0.01</v>
      </c>
      <c r="E22" s="1193">
        <f>ROUND(SUMIF(sdmixer!$A:$A,usage!B22,sdmixer!$E:$E)+SUMIF(sdmixer!$A:$A,"331146",sdmixer!$E:$E),0)</f>
        <v>0</v>
      </c>
      <c r="F22" s="577">
        <f t="shared" si="1"/>
        <v>0</v>
      </c>
      <c r="G22" s="578"/>
      <c r="H22" s="576">
        <f t="shared" si="0"/>
        <v>0</v>
      </c>
      <c r="I22" s="579">
        <f t="shared" si="3"/>
        <v>0</v>
      </c>
      <c r="J22" s="580">
        <f t="shared" si="2"/>
        <v>0</v>
      </c>
      <c r="K22" s="650"/>
      <c r="L22" s="1286"/>
      <c r="O22" s="666"/>
      <c r="P22" s="666"/>
      <c r="Q22" s="1726"/>
      <c r="R22" s="1727"/>
    </row>
    <row r="23" spans="1:18" ht="20.100000000000001" customHeight="1" x14ac:dyDescent="0.25">
      <c r="A23" s="514">
        <f>IF(C23="","",COUNT($A$4:A22)+1)</f>
        <v>19</v>
      </c>
      <c r="B23" s="647">
        <v>336146</v>
      </c>
      <c r="C23" s="649" t="s">
        <v>331</v>
      </c>
      <c r="D23" s="613">
        <v>0.01</v>
      </c>
      <c r="E23" s="1193">
        <f>ROUND(SUMIF(sdmixer!$A:$A,usage!B23,sdmixer!$E:$E)+SUMIF(sdmixer!$A:$A,"336348",sdmixer!$E:$E)+SUMIF(sdmixer!$A:$A,"336148",sdmixer!$E:$E),0)</f>
        <v>0</v>
      </c>
      <c r="F23" s="577">
        <f t="shared" si="1"/>
        <v>0</v>
      </c>
      <c r="G23" s="578"/>
      <c r="H23" s="576">
        <f t="shared" si="0"/>
        <v>0</v>
      </c>
      <c r="I23" s="579">
        <f t="shared" si="3"/>
        <v>0</v>
      </c>
      <c r="J23" s="580">
        <f t="shared" si="2"/>
        <v>0</v>
      </c>
      <c r="K23" s="650"/>
      <c r="L23" s="1286"/>
      <c r="O23" s="666"/>
      <c r="P23" s="666"/>
      <c r="Q23" s="1726"/>
      <c r="R23" s="1727"/>
    </row>
    <row r="24" spans="1:18" ht="20.100000000000001" customHeight="1" x14ac:dyDescent="0.25">
      <c r="A24" s="514">
        <f>IF(C24="","",COUNT($A$4:A23)+1)</f>
        <v>20</v>
      </c>
      <c r="B24" s="620">
        <v>335147</v>
      </c>
      <c r="C24" s="275" t="s">
        <v>504</v>
      </c>
      <c r="D24" s="613">
        <v>0.01</v>
      </c>
      <c r="E24" s="1193">
        <f>ROUND(SUMIF(sdmixer!$A:$A,usage!B24,sdmixer!$E:$E)+SUMIF(sdmixer!$A:$A,"335347",sdmixer!$E:$E),0)</f>
        <v>316008</v>
      </c>
      <c r="F24" s="577">
        <f t="shared" si="1"/>
        <v>3160</v>
      </c>
      <c r="G24" s="578"/>
      <c r="H24" s="576">
        <f>+G24*D24</f>
        <v>0</v>
      </c>
      <c r="I24" s="579">
        <f>+G24+H24+E24+F24</f>
        <v>319168</v>
      </c>
      <c r="J24" s="580">
        <f t="shared" si="2"/>
        <v>316008</v>
      </c>
      <c r="K24" s="650"/>
      <c r="L24" s="1286"/>
      <c r="O24" s="666"/>
      <c r="P24" s="666"/>
      <c r="Q24" s="1726"/>
      <c r="R24" s="1727"/>
    </row>
    <row r="25" spans="1:18" ht="20.100000000000001" customHeight="1" x14ac:dyDescent="0.25">
      <c r="A25" s="514">
        <f>IF(C25="","",COUNT($A$4:A24)+1)</f>
        <v>21</v>
      </c>
      <c r="B25" s="647">
        <v>311235</v>
      </c>
      <c r="C25" s="275" t="s">
        <v>170</v>
      </c>
      <c r="D25" s="613">
        <v>0.04</v>
      </c>
      <c r="E25" s="1193">
        <f>ROUND(SUMIF(sdmixer!$A:$A,usage!B25,sdmixer!$E:$E),0)</f>
        <v>26357</v>
      </c>
      <c r="F25" s="577">
        <f t="shared" si="1"/>
        <v>1054</v>
      </c>
      <c r="G25" s="578"/>
      <c r="H25" s="576">
        <f t="shared" si="0"/>
        <v>0</v>
      </c>
      <c r="I25" s="579">
        <f t="shared" si="3"/>
        <v>27411</v>
      </c>
      <c r="J25" s="580">
        <f t="shared" si="2"/>
        <v>26357</v>
      </c>
      <c r="K25" s="650"/>
      <c r="L25" s="1286"/>
      <c r="O25" s="666"/>
      <c r="P25" s="666"/>
      <c r="Q25" s="1726"/>
      <c r="R25" s="1727"/>
    </row>
    <row r="26" spans="1:18" ht="20.100000000000001" customHeight="1" x14ac:dyDescent="0.25">
      <c r="A26" s="514">
        <f>IF(C26="","",COUNT($A$4:A25)+1)</f>
        <v>22</v>
      </c>
      <c r="B26" s="647">
        <v>740725</v>
      </c>
      <c r="C26" s="275" t="s">
        <v>43</v>
      </c>
      <c r="D26" s="613">
        <v>0.01</v>
      </c>
      <c r="E26" s="1193">
        <f>ROUND(SUMIF(sdmixer!$A:$A,usage!B26,sdmixer!$E:$E),0)</f>
        <v>74297</v>
      </c>
      <c r="F26" s="577">
        <f t="shared" si="1"/>
        <v>743</v>
      </c>
      <c r="G26" s="578"/>
      <c r="H26" s="576">
        <f t="shared" si="0"/>
        <v>0</v>
      </c>
      <c r="I26" s="579">
        <f t="shared" si="3"/>
        <v>75040</v>
      </c>
      <c r="J26" s="580">
        <f t="shared" si="2"/>
        <v>74297</v>
      </c>
      <c r="K26" s="650"/>
      <c r="L26" s="1286"/>
      <c r="O26" s="666"/>
      <c r="P26" s="666"/>
      <c r="Q26" s="1726"/>
      <c r="R26" s="1727"/>
    </row>
    <row r="27" spans="1:18" ht="20.100000000000001" customHeight="1" x14ac:dyDescent="0.25">
      <c r="A27" s="514">
        <f>IF(C27="","",COUNT($A$4:A26)+1)</f>
        <v>23</v>
      </c>
      <c r="B27" s="777">
        <v>790401</v>
      </c>
      <c r="C27" s="275" t="s">
        <v>130</v>
      </c>
      <c r="D27" s="613">
        <v>0.01</v>
      </c>
      <c r="E27" s="1193">
        <f>ROUND(SUMIF(sdmixer!$A:$A,usage!B27,sdmixer!$E:$E),0)</f>
        <v>5428</v>
      </c>
      <c r="F27" s="577">
        <f t="shared" si="1"/>
        <v>54</v>
      </c>
      <c r="G27" s="578"/>
      <c r="H27" s="576">
        <f t="shared" si="0"/>
        <v>0</v>
      </c>
      <c r="I27" s="579">
        <f t="shared" si="3"/>
        <v>5482</v>
      </c>
      <c r="J27" s="580">
        <f t="shared" si="2"/>
        <v>5428</v>
      </c>
      <c r="K27" s="650"/>
      <c r="L27" s="1286"/>
      <c r="O27" s="666"/>
      <c r="P27" s="666"/>
      <c r="Q27" s="1726"/>
      <c r="R27" s="1727"/>
    </row>
    <row r="28" spans="1:18" s="532" customFormat="1" ht="20.100000000000001" customHeight="1" x14ac:dyDescent="0.25">
      <c r="A28" s="514">
        <f>IF(C28="","",COUNT($A$4:A27)+1)</f>
        <v>24</v>
      </c>
      <c r="B28" s="777"/>
      <c r="C28" s="275" t="s">
        <v>449</v>
      </c>
      <c r="D28" s="614">
        <v>0.01</v>
      </c>
      <c r="E28" s="1193">
        <f>ROUND(SUMIF(sdmixer!$A:$A,usage!B28,sdmixer!$E:$E),0)</f>
        <v>0</v>
      </c>
      <c r="F28" s="577">
        <f t="shared" si="1"/>
        <v>0</v>
      </c>
      <c r="G28" s="582"/>
      <c r="H28" s="581">
        <f t="shared" si="0"/>
        <v>0</v>
      </c>
      <c r="I28" s="583">
        <f t="shared" si="3"/>
        <v>0</v>
      </c>
      <c r="J28" s="580">
        <f t="shared" si="2"/>
        <v>0</v>
      </c>
      <c r="K28" s="650"/>
      <c r="L28" s="1286"/>
      <c r="O28" s="666"/>
      <c r="P28" s="666"/>
      <c r="Q28" s="1726"/>
      <c r="R28" s="1727"/>
    </row>
    <row r="29" spans="1:18" ht="20.100000000000001" customHeight="1" x14ac:dyDescent="0.25">
      <c r="A29" s="514">
        <f>IF(C29="","",COUNT($A$4:A28)+1)</f>
        <v>25</v>
      </c>
      <c r="B29" s="647">
        <v>630025</v>
      </c>
      <c r="C29" s="275" t="s">
        <v>157</v>
      </c>
      <c r="D29" s="613">
        <v>0.01</v>
      </c>
      <c r="E29" s="1193">
        <f>ROUND(SUMIF(sdmixer!$A:$A,usage!B29,sdmixer!$E:$E)+SUMIF(sdmixer!$A:$A,"630028",sdmixer!$E:$E),0)</f>
        <v>15750</v>
      </c>
      <c r="F29" s="577">
        <f t="shared" si="1"/>
        <v>158</v>
      </c>
      <c r="G29" s="578"/>
      <c r="H29" s="576">
        <f t="shared" si="0"/>
        <v>0</v>
      </c>
      <c r="I29" s="579">
        <f t="shared" si="3"/>
        <v>15908</v>
      </c>
      <c r="J29" s="580">
        <f t="shared" si="2"/>
        <v>15750</v>
      </c>
      <c r="K29" s="650"/>
      <c r="L29" s="1286"/>
      <c r="O29" s="666"/>
      <c r="P29" s="666"/>
      <c r="Q29" s="1726"/>
      <c r="R29" s="1727"/>
    </row>
    <row r="30" spans="1:18" ht="20.100000000000001" customHeight="1" x14ac:dyDescent="0.25">
      <c r="A30" s="514">
        <f>IF(C30="","",COUNT($A$4:A29)+1)</f>
        <v>26</v>
      </c>
      <c r="B30" s="777">
        <v>700420</v>
      </c>
      <c r="C30" s="275" t="s">
        <v>42</v>
      </c>
      <c r="D30" s="613">
        <v>0.01</v>
      </c>
      <c r="E30" s="1193">
        <f>ROUND(SUMIF(sdmixer!$A:$A,usage!B30,sdmixer!$E:$E)+SUMIF(sdmixer!$A:$A,"700121",sdmixer!$E:$E),0)</f>
        <v>0</v>
      </c>
      <c r="F30" s="577">
        <f t="shared" si="1"/>
        <v>0</v>
      </c>
      <c r="G30" s="578"/>
      <c r="H30" s="576">
        <f t="shared" si="0"/>
        <v>0</v>
      </c>
      <c r="I30" s="579">
        <f t="shared" si="3"/>
        <v>0</v>
      </c>
      <c r="J30" s="580">
        <f t="shared" si="2"/>
        <v>0</v>
      </c>
      <c r="K30" s="650"/>
      <c r="L30" s="1286"/>
      <c r="O30" s="666"/>
      <c r="P30" s="666"/>
      <c r="Q30" s="1726"/>
      <c r="R30" s="1727"/>
    </row>
    <row r="31" spans="1:18" ht="20.100000000000001" customHeight="1" x14ac:dyDescent="0.25">
      <c r="A31" s="514">
        <f>IF(C31="","",COUNT($A$4:A30)+1)</f>
        <v>27</v>
      </c>
      <c r="B31" s="647">
        <v>561326</v>
      </c>
      <c r="C31" s="275" t="s">
        <v>72</v>
      </c>
      <c r="D31" s="613">
        <v>0.01</v>
      </c>
      <c r="E31" s="1193">
        <f>ROUND(SUMIF(sdmixer!$A:$A,usage!B31,sdmixer!$E:$E)+SUMIF(sdmixer!$A:$A,"561428",sdmixer!$E:$E),0)</f>
        <v>118418</v>
      </c>
      <c r="F31" s="577">
        <f t="shared" si="1"/>
        <v>1184</v>
      </c>
      <c r="G31" s="578"/>
      <c r="H31" s="576">
        <f t="shared" si="0"/>
        <v>0</v>
      </c>
      <c r="I31" s="579">
        <f t="shared" si="3"/>
        <v>119602</v>
      </c>
      <c r="J31" s="580">
        <f t="shared" si="2"/>
        <v>118418</v>
      </c>
      <c r="K31" s="650"/>
      <c r="L31" s="1286"/>
      <c r="O31" s="666"/>
      <c r="P31" s="666"/>
      <c r="Q31" s="1726"/>
      <c r="R31" s="1727"/>
    </row>
    <row r="32" spans="1:18" ht="20.100000000000001" customHeight="1" x14ac:dyDescent="0.25">
      <c r="A32" s="514">
        <f>IF(C32="","",COUNT($A$4:A31)+1)</f>
        <v>28</v>
      </c>
      <c r="B32" s="777">
        <v>409036</v>
      </c>
      <c r="C32" s="275" t="s">
        <v>270</v>
      </c>
      <c r="D32" s="613">
        <v>0.01</v>
      </c>
      <c r="E32" s="1193">
        <f>ROUND(SUMIF(sdmixer!$A:$A,usage!B32,sdmixer!$E:$E),0)</f>
        <v>0</v>
      </c>
      <c r="F32" s="577">
        <f t="shared" si="1"/>
        <v>0</v>
      </c>
      <c r="G32" s="578"/>
      <c r="H32" s="576">
        <f t="shared" si="0"/>
        <v>0</v>
      </c>
      <c r="I32" s="579">
        <f t="shared" si="3"/>
        <v>0</v>
      </c>
      <c r="J32" s="580">
        <f t="shared" si="2"/>
        <v>0</v>
      </c>
      <c r="K32" s="650"/>
      <c r="L32" s="1286"/>
      <c r="O32" s="666"/>
      <c r="P32" s="666"/>
      <c r="Q32" s="1726"/>
      <c r="R32" s="1727"/>
    </row>
    <row r="33" spans="1:18" ht="20.100000000000001" customHeight="1" x14ac:dyDescent="0.25">
      <c r="A33" s="514">
        <f>IF(C33="","",COUNT($A$4:A32)+1)</f>
        <v>29</v>
      </c>
      <c r="B33" s="777">
        <v>452136</v>
      </c>
      <c r="C33" s="275" t="s">
        <v>122</v>
      </c>
      <c r="D33" s="613">
        <v>0.01</v>
      </c>
      <c r="E33" s="1193">
        <f>ROUND(SUMIF(sdmixer!$A:$A,usage!B33,sdmixer!$E:$E),0)</f>
        <v>2691</v>
      </c>
      <c r="F33" s="577">
        <f t="shared" si="1"/>
        <v>27</v>
      </c>
      <c r="G33" s="578"/>
      <c r="H33" s="576">
        <f t="shared" si="0"/>
        <v>0</v>
      </c>
      <c r="I33" s="579">
        <f t="shared" si="3"/>
        <v>2718</v>
      </c>
      <c r="J33" s="580">
        <f t="shared" si="2"/>
        <v>2691</v>
      </c>
      <c r="K33" s="650"/>
      <c r="L33" s="1286"/>
      <c r="O33" s="666"/>
      <c r="P33" s="666"/>
      <c r="Q33" s="1726"/>
      <c r="R33" s="1727"/>
    </row>
    <row r="34" spans="1:18" ht="20.100000000000001" customHeight="1" x14ac:dyDescent="0.25">
      <c r="A34" s="514">
        <f>IF(C34="","",COUNT($A$4:A33)+1)</f>
        <v>30</v>
      </c>
      <c r="B34" s="647">
        <v>220183</v>
      </c>
      <c r="C34" s="275" t="s">
        <v>88</v>
      </c>
      <c r="D34" s="613">
        <v>5.0000000000000001E-3</v>
      </c>
      <c r="E34" s="1193">
        <f>ROUND(SUMIF(sdmixer!$A:$A,usage!B34,sdmixer!$E:$E),0)</f>
        <v>3204</v>
      </c>
      <c r="F34" s="577">
        <f t="shared" si="1"/>
        <v>16</v>
      </c>
      <c r="G34" s="578"/>
      <c r="H34" s="576">
        <f>+G34*D34</f>
        <v>0</v>
      </c>
      <c r="I34" s="579">
        <f t="shared" si="3"/>
        <v>3220</v>
      </c>
      <c r="J34" s="580">
        <f t="shared" si="2"/>
        <v>3204</v>
      </c>
      <c r="K34" s="650"/>
      <c r="L34" s="1286"/>
      <c r="O34" s="666"/>
      <c r="P34" s="666"/>
      <c r="Q34" s="1726"/>
      <c r="R34" s="1727"/>
    </row>
    <row r="35" spans="1:18" ht="20.100000000000001" customHeight="1" x14ac:dyDescent="0.25">
      <c r="A35" s="514">
        <f>IF(C35="","",COUNT($A$4:A34)+1)</f>
        <v>31</v>
      </c>
      <c r="B35" s="647">
        <v>3000</v>
      </c>
      <c r="C35" s="275" t="s">
        <v>1209</v>
      </c>
      <c r="D35" s="613"/>
      <c r="E35" s="1193">
        <f>ROUND(SUMIF(sdmixer!$A:$A,usage!B35,sdmixer!$E:$E),0)</f>
        <v>0</v>
      </c>
      <c r="F35" s="577">
        <f t="shared" si="1"/>
        <v>0</v>
      </c>
      <c r="G35" s="578"/>
      <c r="H35" s="576">
        <f>+G35*D35</f>
        <v>0</v>
      </c>
      <c r="I35" s="579">
        <f t="shared" ref="I35" si="12">+G35+H35+E35+F35</f>
        <v>0</v>
      </c>
      <c r="J35" s="580">
        <f t="shared" ref="J35" si="13">+E35+G35</f>
        <v>0</v>
      </c>
      <c r="K35" s="650"/>
      <c r="L35" s="1286"/>
      <c r="O35" s="666"/>
      <c r="P35" s="666"/>
      <c r="Q35" s="1726"/>
      <c r="R35" s="1727"/>
    </row>
    <row r="36" spans="1:18" ht="20.100000000000001" customHeight="1" x14ac:dyDescent="0.25">
      <c r="A36" s="514">
        <f>IF(C36="","",COUNT($A$4:A35)+1)</f>
        <v>32</v>
      </c>
      <c r="B36" s="647">
        <v>256506</v>
      </c>
      <c r="C36" s="275" t="s">
        <v>145</v>
      </c>
      <c r="D36" s="613">
        <v>5.0000000000000001E-3</v>
      </c>
      <c r="E36" s="1193">
        <f>ROUND(SUMIF(sdmixer!$A:$A,usage!B36,sdmixer!$E:$E)+SUMIF(sdmixer!$A:$A,"246006",sdmixer!$E:$E),0)</f>
        <v>0</v>
      </c>
      <c r="F36" s="577">
        <f t="shared" si="1"/>
        <v>0</v>
      </c>
      <c r="G36" s="578"/>
      <c r="H36" s="576">
        <f t="shared" si="0"/>
        <v>0</v>
      </c>
      <c r="I36" s="579">
        <f t="shared" si="3"/>
        <v>0</v>
      </c>
      <c r="J36" s="580">
        <f t="shared" si="2"/>
        <v>0</v>
      </c>
      <c r="K36" s="650"/>
      <c r="L36" s="1286"/>
      <c r="O36" s="666"/>
      <c r="P36" s="666"/>
      <c r="Q36" s="1726"/>
      <c r="R36" s="1727"/>
    </row>
    <row r="37" spans="1:18" ht="20.100000000000001" customHeight="1" x14ac:dyDescent="0.25">
      <c r="A37" s="514">
        <f>IF(C37="","",COUNT($A$4:A36)+1)</f>
        <v>33</v>
      </c>
      <c r="B37" s="777">
        <v>199152</v>
      </c>
      <c r="C37" s="276" t="s">
        <v>242</v>
      </c>
      <c r="D37" s="613">
        <v>5.0000000000000001E-3</v>
      </c>
      <c r="E37" s="1193">
        <f>ROUND(SUMIF(sdmixer!$A:$A,usage!B37,sdmixer!$E:$E),0)+ROUND(SUMIF(sdmixer!$A:$A,"219752",sdmixer!$E:$E),0)</f>
        <v>13433</v>
      </c>
      <c r="F37" s="577">
        <f t="shared" si="1"/>
        <v>67</v>
      </c>
      <c r="G37" s="578"/>
      <c r="H37" s="576">
        <f t="shared" si="0"/>
        <v>0</v>
      </c>
      <c r="I37" s="579">
        <f t="shared" si="3"/>
        <v>13500</v>
      </c>
      <c r="J37" s="580">
        <f t="shared" si="2"/>
        <v>13433</v>
      </c>
      <c r="K37" s="650"/>
      <c r="L37" s="1286"/>
      <c r="O37" s="666"/>
      <c r="P37" s="666"/>
      <c r="Q37" s="1726"/>
      <c r="R37" s="1727"/>
    </row>
    <row r="38" spans="1:18" ht="20.100000000000001" customHeight="1" x14ac:dyDescent="0.25">
      <c r="A38" s="514">
        <f>IF(C38="","",COUNT($A$4:A37)+1)</f>
        <v>34</v>
      </c>
      <c r="B38" s="778">
        <v>285212</v>
      </c>
      <c r="C38" s="276" t="s">
        <v>522</v>
      </c>
      <c r="D38" s="613">
        <v>5.0000000000000001E-3</v>
      </c>
      <c r="E38" s="1193">
        <f>ROUND(SUMIF(sdmixer!$A:$A,usage!B38,sdmixer!$E:$E),0)</f>
        <v>0</v>
      </c>
      <c r="F38" s="577">
        <f t="shared" si="1"/>
        <v>0</v>
      </c>
      <c r="G38" s="578"/>
      <c r="H38" s="576">
        <f t="shared" si="0"/>
        <v>0</v>
      </c>
      <c r="I38" s="579">
        <f t="shared" si="3"/>
        <v>0</v>
      </c>
      <c r="J38" s="580">
        <f t="shared" si="2"/>
        <v>0</v>
      </c>
      <c r="K38" s="650"/>
      <c r="L38" s="1286"/>
      <c r="O38" s="666"/>
      <c r="P38" s="666"/>
      <c r="Q38" s="1726"/>
      <c r="R38" s="1727"/>
    </row>
    <row r="39" spans="1:18" ht="20.100000000000001" customHeight="1" x14ac:dyDescent="0.25">
      <c r="A39" s="514">
        <f>IF(C39="","",COUNT($A$4:A38)+1)</f>
        <v>35</v>
      </c>
      <c r="B39" s="647"/>
      <c r="C39" s="275" t="s">
        <v>195</v>
      </c>
      <c r="D39" s="613">
        <v>5.0000000000000001E-3</v>
      </c>
      <c r="E39" s="1193">
        <f>ROUND(SUMIF(sdmixer!$A:$A,usage!B39,sdmixer!$E:$E),0)</f>
        <v>0</v>
      </c>
      <c r="F39" s="577">
        <f t="shared" si="1"/>
        <v>0</v>
      </c>
      <c r="G39" s="578"/>
      <c r="H39" s="576">
        <f t="shared" si="0"/>
        <v>0</v>
      </c>
      <c r="I39" s="579">
        <f t="shared" si="3"/>
        <v>0</v>
      </c>
      <c r="J39" s="580">
        <f t="shared" si="2"/>
        <v>0</v>
      </c>
      <c r="K39" s="650"/>
      <c r="L39" s="1286"/>
      <c r="O39" s="666"/>
      <c r="P39" s="666"/>
      <c r="Q39" s="1726"/>
      <c r="R39" s="1727"/>
    </row>
    <row r="40" spans="1:18" ht="20.100000000000001" customHeight="1" x14ac:dyDescent="0.25">
      <c r="A40" s="514">
        <f>IF(C40="","",COUNT($A$4:A39)+1)</f>
        <v>36</v>
      </c>
      <c r="B40" s="647"/>
      <c r="C40" s="275" t="s">
        <v>562</v>
      </c>
      <c r="D40" s="613"/>
      <c r="E40" s="1193">
        <f>ROUND(SUMIF(sdmixer!$A:$A,usage!B40,sdmixer!$E:$E),0)</f>
        <v>0</v>
      </c>
      <c r="F40" s="577">
        <f t="shared" si="1"/>
        <v>0</v>
      </c>
      <c r="G40" s="578"/>
      <c r="H40" s="576">
        <f>+G40*D40</f>
        <v>0</v>
      </c>
      <c r="I40" s="579">
        <f>+G40+H40+E40+F40</f>
        <v>0</v>
      </c>
      <c r="J40" s="580">
        <f t="shared" si="2"/>
        <v>0</v>
      </c>
      <c r="K40" s="650"/>
      <c r="L40" s="1286"/>
      <c r="R40" s="1728"/>
    </row>
    <row r="41" spans="1:18" ht="20.100000000000001" customHeight="1" x14ac:dyDescent="0.25">
      <c r="A41" s="514">
        <f>IF(C41="","",COUNT($A$4:A40)+1)</f>
        <v>37</v>
      </c>
      <c r="B41" s="647">
        <v>820165</v>
      </c>
      <c r="C41" s="275" t="s">
        <v>263</v>
      </c>
      <c r="D41" s="613">
        <v>5.0000000000000001E-3</v>
      </c>
      <c r="E41" s="1193">
        <f>ROUND(SUMIF(sdmixer!$A:$A,usage!B41,sdmixer!$E:$E),0)+ROUND(SUMIF(sdmixer!$A:$A,"820098",sdmixer!$E:$E),0)</f>
        <v>10655</v>
      </c>
      <c r="F41" s="577">
        <f t="shared" si="1"/>
        <v>53</v>
      </c>
      <c r="G41" s="578"/>
      <c r="H41" s="576">
        <f t="shared" si="0"/>
        <v>0</v>
      </c>
      <c r="I41" s="579">
        <f t="shared" si="3"/>
        <v>10708</v>
      </c>
      <c r="J41" s="580">
        <f t="shared" si="2"/>
        <v>10655</v>
      </c>
      <c r="K41" s="650"/>
      <c r="L41" s="1286"/>
      <c r="R41" s="1728"/>
    </row>
    <row r="42" spans="1:18" ht="20.100000000000001" customHeight="1" x14ac:dyDescent="0.25">
      <c r="A42" s="514">
        <f>IF(C42="","",COUNT($A$4:A41)+1)</f>
        <v>38</v>
      </c>
      <c r="B42" s="647">
        <v>820207</v>
      </c>
      <c r="C42" s="275" t="s">
        <v>89</v>
      </c>
      <c r="D42" s="613">
        <v>5.0000000000000001E-3</v>
      </c>
      <c r="E42" s="1193">
        <f>ROUND(SUMIF(sdmixer!$A:$A,usage!B42,sdmixer!$E:$E)+SUMIF(sdmixer!$A:$A,"820208",sdmixer!$E:$E),0)</f>
        <v>19295</v>
      </c>
      <c r="F42" s="577">
        <f t="shared" si="1"/>
        <v>96</v>
      </c>
      <c r="G42" s="585"/>
      <c r="H42" s="576">
        <f>+G42*D42</f>
        <v>0</v>
      </c>
      <c r="I42" s="579">
        <f>+G42+H42+E42+F42</f>
        <v>19391</v>
      </c>
      <c r="J42" s="580">
        <f>+E42+G42</f>
        <v>19295</v>
      </c>
      <c r="K42" s="650"/>
      <c r="L42" s="1286"/>
      <c r="R42" s="1728"/>
    </row>
    <row r="43" spans="1:18" ht="20.100000000000001" customHeight="1" x14ac:dyDescent="0.25">
      <c r="A43" s="514">
        <f>IF(C43="","",COUNT($A$4:A42)+1)</f>
        <v>39</v>
      </c>
      <c r="B43" s="647">
        <v>820300</v>
      </c>
      <c r="C43" s="275" t="s">
        <v>500</v>
      </c>
      <c r="D43" s="613">
        <v>5.0000000000000001E-3</v>
      </c>
      <c r="E43" s="1193">
        <f>ROUND(SUMIF(sdmixer!$A:$A,usage!B43,sdmixer!$E:$E),0)</f>
        <v>3158</v>
      </c>
      <c r="F43" s="577">
        <f t="shared" si="1"/>
        <v>16</v>
      </c>
      <c r="G43" s="585"/>
      <c r="H43" s="576">
        <f t="shared" si="0"/>
        <v>0</v>
      </c>
      <c r="I43" s="579">
        <f t="shared" si="3"/>
        <v>3174</v>
      </c>
      <c r="J43" s="580">
        <f t="shared" si="2"/>
        <v>3158</v>
      </c>
      <c r="K43" s="650"/>
      <c r="L43" s="1286"/>
      <c r="R43" s="1728"/>
    </row>
    <row r="44" spans="1:18" ht="20.100000000000001" customHeight="1" x14ac:dyDescent="0.25">
      <c r="A44" s="514">
        <f>IF(C44="","",COUNT($A$4:A43)+1)</f>
        <v>40</v>
      </c>
      <c r="B44" s="647">
        <v>820217</v>
      </c>
      <c r="C44" s="275" t="s">
        <v>90</v>
      </c>
      <c r="D44" s="613">
        <v>5.0000000000000001E-3</v>
      </c>
      <c r="E44" s="1193">
        <f>ROUND(SUMIF(sdmixer!$A:$A,usage!B44,sdmixer!$E:$E),0)</f>
        <v>0</v>
      </c>
      <c r="F44" s="577">
        <f t="shared" si="1"/>
        <v>0</v>
      </c>
      <c r="G44" s="578"/>
      <c r="H44" s="576">
        <f t="shared" si="0"/>
        <v>0</v>
      </c>
      <c r="I44" s="579">
        <f t="shared" si="3"/>
        <v>0</v>
      </c>
      <c r="J44" s="580">
        <f t="shared" si="2"/>
        <v>0</v>
      </c>
      <c r="K44" s="650"/>
      <c r="L44" s="1286"/>
      <c r="R44" s="1728"/>
    </row>
    <row r="45" spans="1:18" ht="20.100000000000001" customHeight="1" x14ac:dyDescent="0.25">
      <c r="A45" s="514">
        <f>IF(C45="","",COUNT($A$4:A44)+1)</f>
        <v>41</v>
      </c>
      <c r="B45" s="647">
        <v>830603</v>
      </c>
      <c r="C45" s="277" t="s">
        <v>36</v>
      </c>
      <c r="D45" s="613"/>
      <c r="E45" s="1193">
        <f>ROUND(SUMIF(sdmixer!$A:$A,usage!B45,sdmixer!$E:$E),0)</f>
        <v>0</v>
      </c>
      <c r="F45" s="577">
        <f t="shared" si="1"/>
        <v>0</v>
      </c>
      <c r="G45" s="578"/>
      <c r="H45" s="576">
        <f t="shared" si="0"/>
        <v>0</v>
      </c>
      <c r="I45" s="579">
        <f t="shared" si="3"/>
        <v>0</v>
      </c>
      <c r="J45" s="580">
        <f t="shared" si="2"/>
        <v>0</v>
      </c>
      <c r="K45" s="650"/>
      <c r="L45" s="1286"/>
      <c r="R45" s="1728"/>
    </row>
    <row r="46" spans="1:18" ht="20.100000000000001" customHeight="1" x14ac:dyDescent="0.25">
      <c r="A46" s="514">
        <f>IF(C46="","",COUNT($A$4:A45)+1)</f>
        <v>42</v>
      </c>
      <c r="B46" s="777"/>
      <c r="C46" s="277" t="s">
        <v>494</v>
      </c>
      <c r="D46" s="613"/>
      <c r="E46" s="1193">
        <f>ROUND(SUMIF(sdmixer!$A:$A,usage!B46,sdmixer!$E:$E),0)</f>
        <v>0</v>
      </c>
      <c r="F46" s="577">
        <f t="shared" si="1"/>
        <v>0</v>
      </c>
      <c r="G46" s="578"/>
      <c r="H46" s="576">
        <f>+G46*D46</f>
        <v>0</v>
      </c>
      <c r="I46" s="579">
        <f>+G46+H46+E46+F46</f>
        <v>0</v>
      </c>
      <c r="J46" s="580">
        <f t="shared" si="2"/>
        <v>0</v>
      </c>
      <c r="K46" s="650"/>
      <c r="L46" s="1286"/>
      <c r="R46" s="1728"/>
    </row>
    <row r="47" spans="1:18" ht="20.100000000000001" customHeight="1" x14ac:dyDescent="0.25">
      <c r="A47" s="514">
        <f>IF(C47="","",COUNT($A$4:A46)+1)</f>
        <v>43</v>
      </c>
      <c r="B47" s="647">
        <v>831001</v>
      </c>
      <c r="C47" s="275" t="s">
        <v>71</v>
      </c>
      <c r="D47" s="613"/>
      <c r="E47" s="1193">
        <f>ROUND(SUMIF(sdmixer!$A:$A,usage!B47,sdmixer!$E:$E),0)</f>
        <v>2800</v>
      </c>
      <c r="F47" s="577">
        <f t="shared" si="1"/>
        <v>0</v>
      </c>
      <c r="G47" s="578"/>
      <c r="H47" s="576">
        <f t="shared" si="0"/>
        <v>0</v>
      </c>
      <c r="I47" s="579">
        <f t="shared" si="3"/>
        <v>2800</v>
      </c>
      <c r="J47" s="580">
        <f t="shared" si="2"/>
        <v>2800</v>
      </c>
      <c r="K47" s="650"/>
      <c r="L47" s="1286"/>
      <c r="R47" s="1728"/>
    </row>
    <row r="48" spans="1:18" ht="20.100000000000001" customHeight="1" x14ac:dyDescent="0.25">
      <c r="A48" s="514">
        <f>IF(C48="","",COUNT($A$4:A47)+1)</f>
        <v>44</v>
      </c>
      <c r="B48" s="647">
        <v>831003</v>
      </c>
      <c r="C48" s="275" t="s">
        <v>39</v>
      </c>
      <c r="D48" s="613"/>
      <c r="E48" s="1193">
        <f>ROUND(SUMIF(sdmixer!$A:$A,usage!B48,sdmixer!$E:$E),0)</f>
        <v>2800</v>
      </c>
      <c r="F48" s="577">
        <f t="shared" si="1"/>
        <v>0</v>
      </c>
      <c r="G48" s="578"/>
      <c r="H48" s="576">
        <f t="shared" si="0"/>
        <v>0</v>
      </c>
      <c r="I48" s="579">
        <f t="shared" si="3"/>
        <v>2800</v>
      </c>
      <c r="J48" s="580">
        <f t="shared" si="2"/>
        <v>2800</v>
      </c>
      <c r="K48" s="650"/>
      <c r="L48" s="1286"/>
      <c r="R48" s="1728"/>
    </row>
    <row r="49" spans="1:18" ht="20.100000000000001" customHeight="1" x14ac:dyDescent="0.25">
      <c r="A49" s="514">
        <f>IF(C49="","",COUNT($A$4:A48)+1)</f>
        <v>45</v>
      </c>
      <c r="B49" s="620">
        <v>3030</v>
      </c>
      <c r="C49" s="275" t="s">
        <v>1217</v>
      </c>
      <c r="D49" s="613"/>
      <c r="E49" s="1193">
        <f>ROUND(SUMIF(sdmixer!$A:$A,usage!B49,sdmixer!$E:$E),0)</f>
        <v>0</v>
      </c>
      <c r="F49" s="577">
        <f t="shared" si="1"/>
        <v>0</v>
      </c>
      <c r="G49" s="578"/>
      <c r="H49" s="576">
        <f>+G49*D49</f>
        <v>0</v>
      </c>
      <c r="I49" s="579">
        <f>+G49+H49+E49+F49</f>
        <v>0</v>
      </c>
      <c r="J49" s="580">
        <f>+E49+G49</f>
        <v>0</v>
      </c>
      <c r="K49" s="650"/>
      <c r="L49" s="1286"/>
      <c r="R49" s="1728"/>
    </row>
    <row r="50" spans="1:18" ht="20.100000000000001" customHeight="1" x14ac:dyDescent="0.25">
      <c r="A50" s="514">
        <f>IF(C50="","",COUNT($A$4:A49)+1)</f>
        <v>46</v>
      </c>
      <c r="B50" s="647">
        <v>831966</v>
      </c>
      <c r="C50" s="275" t="s">
        <v>1234</v>
      </c>
      <c r="D50" s="613"/>
      <c r="E50" s="1193">
        <f>ROUND(SUMIF(sdmixer!$A:$A,usage!B50,sdmixer!$E:$E),0)+ROUND(SUMIF(sdmixer!$A:$A,"831951",sdmixer!$E:$E),0)</f>
        <v>168</v>
      </c>
      <c r="F50" s="577">
        <f t="shared" si="1"/>
        <v>0</v>
      </c>
      <c r="G50" s="578"/>
      <c r="H50" s="576">
        <f t="shared" si="0"/>
        <v>0</v>
      </c>
      <c r="I50" s="579">
        <f t="shared" si="3"/>
        <v>168</v>
      </c>
      <c r="J50" s="580">
        <f t="shared" si="2"/>
        <v>168</v>
      </c>
      <c r="L50" s="1286"/>
      <c r="R50" s="1728"/>
    </row>
    <row r="51" spans="1:18" ht="20.100000000000001" customHeight="1" x14ac:dyDescent="0.25">
      <c r="A51" s="514">
        <f>IF(C51="","",COUNT($A$4:A50)+1)</f>
        <v>47</v>
      </c>
      <c r="B51" s="647">
        <v>831906</v>
      </c>
      <c r="C51" s="275" t="s">
        <v>198</v>
      </c>
      <c r="D51" s="613"/>
      <c r="E51" s="1193">
        <f>ROUND(SUMIF(sdmixer!$A:$A,usage!B51,sdmixer!$E:$E),0)</f>
        <v>0</v>
      </c>
      <c r="F51" s="577">
        <f t="shared" si="1"/>
        <v>0</v>
      </c>
      <c r="G51" s="578"/>
      <c r="H51" s="576">
        <f t="shared" si="0"/>
        <v>0</v>
      </c>
      <c r="I51" s="579">
        <f t="shared" si="3"/>
        <v>0</v>
      </c>
      <c r="J51" s="580">
        <f t="shared" si="2"/>
        <v>0</v>
      </c>
      <c r="L51" s="1286"/>
      <c r="R51" s="1728"/>
    </row>
    <row r="52" spans="1:18" ht="20.100000000000001" customHeight="1" x14ac:dyDescent="0.25">
      <c r="A52" s="514">
        <f>IF(C52="","",COUNT($A$4:A51)+1)</f>
        <v>48</v>
      </c>
      <c r="B52" s="1233">
        <v>3546</v>
      </c>
      <c r="C52" s="275" t="s">
        <v>1230</v>
      </c>
      <c r="D52" s="613"/>
      <c r="E52" s="1193">
        <f>ROUND(SUMIF(sdmixer!$A:$A,usage!B52,sdmixer!$E:$E),0)</f>
        <v>0</v>
      </c>
      <c r="F52" s="577">
        <f t="shared" si="1"/>
        <v>0</v>
      </c>
      <c r="G52" s="578"/>
      <c r="H52" s="576">
        <f>+G52*D52</f>
        <v>0</v>
      </c>
      <c r="I52" s="579">
        <f>+G52+H52+E52+F52</f>
        <v>0</v>
      </c>
      <c r="J52" s="580">
        <f t="shared" si="2"/>
        <v>0</v>
      </c>
      <c r="L52" s="1286"/>
      <c r="R52" s="1728"/>
    </row>
    <row r="53" spans="1:18" ht="20.100000000000001" customHeight="1" x14ac:dyDescent="0.25">
      <c r="A53" s="514">
        <f>IF(C53="","",COUNT($A$4:A52)+1)</f>
        <v>49</v>
      </c>
      <c r="B53" s="647">
        <v>820498</v>
      </c>
      <c r="C53" s="275" t="s">
        <v>91</v>
      </c>
      <c r="D53" s="613">
        <v>5.0000000000000001E-3</v>
      </c>
      <c r="E53" s="1193">
        <f>ROUND(SUMIF(sdmixer!$A:$A,usage!B53,sdmixer!$E:$E),0)</f>
        <v>5889</v>
      </c>
      <c r="F53" s="577">
        <f t="shared" si="1"/>
        <v>29</v>
      </c>
      <c r="G53" s="578"/>
      <c r="H53" s="576">
        <f t="shared" si="0"/>
        <v>0</v>
      </c>
      <c r="I53" s="579">
        <f t="shared" si="3"/>
        <v>5918</v>
      </c>
      <c r="J53" s="580">
        <f t="shared" si="2"/>
        <v>5889</v>
      </c>
      <c r="L53" s="1286"/>
      <c r="R53" s="1728"/>
    </row>
    <row r="54" spans="1:18" ht="20.100000000000001" customHeight="1" x14ac:dyDescent="0.25">
      <c r="A54" s="514">
        <f>IF(C54="","",COUNT($A$4:A53)+1)</f>
        <v>50</v>
      </c>
      <c r="B54" s="620">
        <v>811005</v>
      </c>
      <c r="C54" s="275" t="s">
        <v>575</v>
      </c>
      <c r="D54" s="613"/>
      <c r="E54" s="1193">
        <f>ROUND(SUMIF(sdmixer!$A:$A,usage!B54,sdmixer!$E:$E),0)</f>
        <v>0</v>
      </c>
      <c r="F54" s="577">
        <f t="shared" si="1"/>
        <v>0</v>
      </c>
      <c r="G54" s="578"/>
      <c r="H54" s="576"/>
      <c r="I54" s="579">
        <f t="shared" si="3"/>
        <v>0</v>
      </c>
      <c r="J54" s="580">
        <f t="shared" si="2"/>
        <v>0</v>
      </c>
      <c r="L54" s="1286"/>
      <c r="R54" s="1728"/>
    </row>
    <row r="55" spans="1:18" ht="20.100000000000001" customHeight="1" x14ac:dyDescent="0.25">
      <c r="A55" s="514">
        <f>IF(C55="","",COUNT($A$4:A54)+1)</f>
        <v>51</v>
      </c>
      <c r="B55" s="647">
        <v>811003</v>
      </c>
      <c r="C55" s="275" t="s">
        <v>44</v>
      </c>
      <c r="D55" s="613"/>
      <c r="E55" s="1193">
        <f>ROUND(SUMIF(sdmixer!$A:$A,usage!B55,sdmixer!$E:$E),0)</f>
        <v>5888</v>
      </c>
      <c r="F55" s="577">
        <f t="shared" si="1"/>
        <v>0</v>
      </c>
      <c r="G55" s="578"/>
      <c r="H55" s="576">
        <f t="shared" si="0"/>
        <v>0</v>
      </c>
      <c r="I55" s="579">
        <f t="shared" si="3"/>
        <v>5888</v>
      </c>
      <c r="J55" s="580">
        <f t="shared" si="2"/>
        <v>5888</v>
      </c>
      <c r="L55" s="1286"/>
      <c r="R55" s="1728"/>
    </row>
    <row r="56" spans="1:18" ht="20.100000000000001" customHeight="1" x14ac:dyDescent="0.25">
      <c r="A56" s="514">
        <f>IF(C56="","",COUNT($A$4:A55)+1)</f>
        <v>52</v>
      </c>
      <c r="B56" s="643">
        <v>800123</v>
      </c>
      <c r="C56" s="275" t="s">
        <v>55</v>
      </c>
      <c r="D56" s="613"/>
      <c r="E56" s="1193">
        <f>ROUND(SUMIF(sdmixer!$A:$A,usage!B56,sdmixer!$E:$E),0)</f>
        <v>0</v>
      </c>
      <c r="F56" s="577">
        <f t="shared" si="1"/>
        <v>0</v>
      </c>
      <c r="G56" s="578"/>
      <c r="H56" s="576">
        <f t="shared" si="0"/>
        <v>0</v>
      </c>
      <c r="I56" s="579">
        <f t="shared" si="3"/>
        <v>0</v>
      </c>
      <c r="J56" s="580">
        <f t="shared" si="2"/>
        <v>0</v>
      </c>
      <c r="L56" s="1286"/>
      <c r="R56" s="1728"/>
    </row>
    <row r="57" spans="1:18" ht="20.100000000000001" customHeight="1" x14ac:dyDescent="0.25">
      <c r="A57" s="514">
        <f>IF(C57="","",COUNT($A$4:A56)+1)</f>
        <v>53</v>
      </c>
      <c r="B57" s="643">
        <v>800211</v>
      </c>
      <c r="C57" s="649" t="s">
        <v>92</v>
      </c>
      <c r="D57" s="613"/>
      <c r="E57" s="1193">
        <f>ROUND(SUMIF(sdmixer!$A:$A,usage!B57,sdmixer!$E:$E)+SUMIF(sdmixer!$A:$A,"801211",sdmixer!$E:$E),0)</f>
        <v>12312</v>
      </c>
      <c r="F57" s="577">
        <f t="shared" si="1"/>
        <v>0</v>
      </c>
      <c r="G57" s="578"/>
      <c r="H57" s="576">
        <f t="shared" si="0"/>
        <v>0</v>
      </c>
      <c r="I57" s="579">
        <f t="shared" si="3"/>
        <v>12312</v>
      </c>
      <c r="J57" s="580">
        <f t="shared" si="2"/>
        <v>12312</v>
      </c>
      <c r="L57" s="1286"/>
      <c r="R57" s="1728"/>
    </row>
    <row r="58" spans="1:18" ht="20.100000000000001" customHeight="1" x14ac:dyDescent="0.25">
      <c r="A58" s="514">
        <f>IF(C58="","",COUNT($A$4:A57)+1)</f>
        <v>54</v>
      </c>
      <c r="B58" s="643">
        <v>811000</v>
      </c>
      <c r="C58" s="648" t="s">
        <v>240</v>
      </c>
      <c r="D58" s="615"/>
      <c r="E58" s="1193">
        <f>sdmixer!J6</f>
        <v>29997.75</v>
      </c>
      <c r="F58" s="577">
        <f t="shared" si="1"/>
        <v>0</v>
      </c>
      <c r="G58" s="585"/>
      <c r="H58" s="584">
        <f t="shared" si="0"/>
        <v>0</v>
      </c>
      <c r="I58" s="1242">
        <f t="shared" si="3"/>
        <v>29997.75</v>
      </c>
      <c r="J58" s="580">
        <f t="shared" si="2"/>
        <v>29997.75</v>
      </c>
      <c r="L58" s="1286"/>
      <c r="R58" s="1728"/>
    </row>
    <row r="59" spans="1:18" ht="20.100000000000001" customHeight="1" x14ac:dyDescent="0.25">
      <c r="A59" s="514">
        <f>IF(C59="","",COUNT($A$4:A58)+1)</f>
        <v>55</v>
      </c>
      <c r="B59" s="840">
        <v>3527</v>
      </c>
      <c r="C59" s="1052" t="s">
        <v>945</v>
      </c>
      <c r="D59" s="615"/>
      <c r="E59" s="1193">
        <f>ROUND(SUMIF(sdmixer!$A:$A,usage!B59,sdmixer!$E:$E),0)</f>
        <v>0</v>
      </c>
      <c r="F59" s="577">
        <f t="shared" si="1"/>
        <v>0</v>
      </c>
      <c r="G59" s="585"/>
      <c r="H59" s="584">
        <f>+G59*D59</f>
        <v>0</v>
      </c>
      <c r="I59" s="579">
        <f>+G59+H59+E59+F59</f>
        <v>0</v>
      </c>
      <c r="J59" s="580"/>
      <c r="L59" s="1286"/>
      <c r="R59" s="1728"/>
    </row>
    <row r="60" spans="1:18" ht="20.100000000000001" customHeight="1" x14ac:dyDescent="0.25">
      <c r="A60" s="514">
        <f>IF(C60="","",COUNT($A$4:A59)+1)</f>
        <v>56</v>
      </c>
      <c r="B60" s="840">
        <v>298357</v>
      </c>
      <c r="C60" s="1052" t="s">
        <v>1286</v>
      </c>
      <c r="D60" s="615"/>
      <c r="E60" s="1193">
        <f>ROUND(SUMIF(sdmixer!$A:$A,usage!B60,sdmixer!$E:$E),0)</f>
        <v>0</v>
      </c>
      <c r="F60" s="577">
        <f t="shared" si="1"/>
        <v>0</v>
      </c>
      <c r="G60" s="585"/>
      <c r="H60" s="584">
        <f>+G60*D60</f>
        <v>0</v>
      </c>
      <c r="I60" s="579">
        <f>+G60+H60+E60+F60</f>
        <v>0</v>
      </c>
      <c r="J60" s="580"/>
      <c r="L60" s="1286"/>
      <c r="R60" s="1728"/>
    </row>
    <row r="61" spans="1:18" ht="20.100000000000001" customHeight="1" x14ac:dyDescent="0.25">
      <c r="A61" s="514">
        <f>IF(C61="","",COUNT($A$4:A60)+1)</f>
        <v>57</v>
      </c>
      <c r="B61" s="840">
        <v>791203</v>
      </c>
      <c r="C61" s="512" t="s">
        <v>1280</v>
      </c>
      <c r="D61" s="615"/>
      <c r="E61" s="1193">
        <f>ROUND(SUMIF(sdmixer!$A:$A,usage!B61,sdmixer!$E:$E),0)</f>
        <v>0</v>
      </c>
      <c r="F61" s="577">
        <f t="shared" si="1"/>
        <v>0</v>
      </c>
      <c r="G61" s="585"/>
      <c r="H61" s="584">
        <f t="shared" ref="H61:H63" si="14">+G61*D61</f>
        <v>0</v>
      </c>
      <c r="I61" s="579">
        <f t="shared" ref="I61:I63" si="15">+G61+H61+E61+F61</f>
        <v>0</v>
      </c>
      <c r="J61" s="580">
        <f t="shared" ref="J61" si="16">+E61+G61</f>
        <v>0</v>
      </c>
      <c r="L61" s="1286"/>
      <c r="R61" s="1728"/>
    </row>
    <row r="62" spans="1:18" ht="20.100000000000001" customHeight="1" x14ac:dyDescent="0.25">
      <c r="A62" s="514">
        <f>IF(C62="","",COUNT($A$4:A61)+1)</f>
        <v>58</v>
      </c>
      <c r="B62" s="840">
        <v>734378</v>
      </c>
      <c r="C62" s="512" t="s">
        <v>1289</v>
      </c>
      <c r="D62" s="615"/>
      <c r="E62" s="1193">
        <f>ROUND(SUMIF(sdmixer!$A:$A,usage!B62,sdmixer!$E:$E),0)</f>
        <v>0</v>
      </c>
      <c r="F62" s="577">
        <f t="shared" si="1"/>
        <v>0</v>
      </c>
      <c r="G62" s="585"/>
      <c r="H62" s="584">
        <f t="shared" si="14"/>
        <v>0</v>
      </c>
      <c r="I62" s="579">
        <f t="shared" si="15"/>
        <v>0</v>
      </c>
      <c r="J62" s="580"/>
      <c r="L62" s="1286"/>
      <c r="R62" s="1728"/>
    </row>
    <row r="63" spans="1:18" ht="20.100000000000001" customHeight="1" x14ac:dyDescent="0.25">
      <c r="A63" s="514">
        <f>IF(C63="","",COUNT($A$4:A62)+1)</f>
        <v>59</v>
      </c>
      <c r="B63" s="840">
        <v>464136</v>
      </c>
      <c r="C63" s="512" t="s">
        <v>1493</v>
      </c>
      <c r="D63" s="613">
        <v>0.01</v>
      </c>
      <c r="E63" s="1193">
        <f>ROUND(SUMIF(sdmixer!$A:$A,usage!B63,sdmixer!$E:$E),0)</f>
        <v>0</v>
      </c>
      <c r="F63" s="577">
        <f t="shared" si="1"/>
        <v>0</v>
      </c>
      <c r="G63" s="585"/>
      <c r="H63" s="584">
        <f t="shared" si="14"/>
        <v>0</v>
      </c>
      <c r="I63" s="579">
        <f t="shared" si="15"/>
        <v>0</v>
      </c>
      <c r="J63" s="580"/>
      <c r="L63" s="1286"/>
      <c r="R63" s="1728"/>
    </row>
    <row r="64" spans="1:18" ht="20.100000000000001" customHeight="1" x14ac:dyDescent="0.25">
      <c r="A64" s="514">
        <f>IF(C64="","",COUNT($A$4:A63)+1)</f>
        <v>60</v>
      </c>
      <c r="B64" s="779"/>
      <c r="C64" s="512" t="s">
        <v>356</v>
      </c>
      <c r="D64" s="615"/>
      <c r="E64" s="1193">
        <f>ROUND(SUMIF(sdmixer!$A:$A,usage!B64,sdmixer!$E:$E),0)</f>
        <v>0</v>
      </c>
      <c r="F64" s="577">
        <f t="shared" si="1"/>
        <v>0</v>
      </c>
      <c r="G64" s="585"/>
      <c r="H64" s="584">
        <f t="shared" si="0"/>
        <v>0</v>
      </c>
      <c r="I64" s="579">
        <f t="shared" si="3"/>
        <v>0</v>
      </c>
      <c r="J64" s="580">
        <f t="shared" si="2"/>
        <v>0</v>
      </c>
      <c r="L64" s="1286"/>
      <c r="R64" s="1728"/>
    </row>
    <row r="65" spans="1:18" ht="20.100000000000001" customHeight="1" x14ac:dyDescent="0.25">
      <c r="A65" s="514">
        <f>IF(C65="","",COUNT($A$4:A64)+1)</f>
        <v>61</v>
      </c>
      <c r="B65" s="779"/>
      <c r="C65" s="512" t="s">
        <v>357</v>
      </c>
      <c r="D65" s="616"/>
      <c r="E65" s="1193">
        <f>ROUND(SUMIF(sdmixer!$A:$A,usage!B65,sdmixer!$E:$E),0)</f>
        <v>0</v>
      </c>
      <c r="F65" s="577">
        <f t="shared" si="1"/>
        <v>0</v>
      </c>
      <c r="G65" s="585"/>
      <c r="H65" s="584">
        <f t="shared" si="0"/>
        <v>0</v>
      </c>
      <c r="I65" s="579">
        <f t="shared" si="3"/>
        <v>0</v>
      </c>
      <c r="J65" s="586">
        <f t="shared" si="2"/>
        <v>0</v>
      </c>
      <c r="L65" s="1286"/>
      <c r="R65" s="1728"/>
    </row>
    <row r="66" spans="1:18" ht="20.100000000000001" customHeight="1" x14ac:dyDescent="0.25">
      <c r="A66" s="514">
        <f>IF(C66="","",COUNT($A$4:A65)+1)</f>
        <v>62</v>
      </c>
      <c r="B66" s="779">
        <v>670117</v>
      </c>
      <c r="C66" s="512" t="s">
        <v>1781</v>
      </c>
      <c r="D66" s="613">
        <v>0.01</v>
      </c>
      <c r="E66" s="1193">
        <f>ROUND(SUMIF(sdmixer!$A:$A,usage!B66,sdmixer!$E:$E),0)+ROUND(SUMIF(sdmixer!$A:$A,"670115",sdmixer!$E:$E),0)</f>
        <v>0</v>
      </c>
      <c r="F66" s="577">
        <f t="shared" si="1"/>
        <v>0</v>
      </c>
      <c r="G66" s="585"/>
      <c r="H66" s="584">
        <f t="shared" si="0"/>
        <v>0</v>
      </c>
      <c r="I66" s="579">
        <f t="shared" si="3"/>
        <v>0</v>
      </c>
      <c r="J66" s="586">
        <f t="shared" si="2"/>
        <v>0</v>
      </c>
      <c r="L66" s="1286"/>
      <c r="R66" s="1728"/>
    </row>
    <row r="67" spans="1:18" ht="20.100000000000001" customHeight="1" x14ac:dyDescent="0.25">
      <c r="A67" s="514">
        <f>IF(C67="","",COUNT($A$4:A66)+1)</f>
        <v>63</v>
      </c>
      <c r="B67" s="779">
        <v>3552</v>
      </c>
      <c r="C67" s="512" t="s">
        <v>1337</v>
      </c>
      <c r="D67" s="616"/>
      <c r="E67" s="1193">
        <f>ROUND(SUMIF(sdmixer!$A:$A,usage!B67,sdmixer!$E:$E),0)</f>
        <v>0</v>
      </c>
      <c r="F67" s="577">
        <f t="shared" ref="F67" si="17">ROUND(D67*E67,0)</f>
        <v>0</v>
      </c>
      <c r="G67" s="585"/>
      <c r="H67" s="584">
        <f t="shared" ref="H67" si="18">+G67*D67</f>
        <v>0</v>
      </c>
      <c r="I67" s="579">
        <f t="shared" ref="I67" si="19">+G67+H67+E67+F67</f>
        <v>0</v>
      </c>
      <c r="J67" s="586">
        <f t="shared" ref="J67" si="20">+E67+G67</f>
        <v>0</v>
      </c>
      <c r="L67" s="1286"/>
      <c r="R67" s="1728"/>
    </row>
    <row r="68" spans="1:18" ht="20.100000000000001" customHeight="1" x14ac:dyDescent="0.25">
      <c r="A68" s="514">
        <f>IF(C68="","",COUNT($A$4:A67)+1)</f>
        <v>64</v>
      </c>
      <c r="B68" s="779">
        <v>831977</v>
      </c>
      <c r="C68" s="512" t="s">
        <v>1920</v>
      </c>
      <c r="D68" s="616"/>
      <c r="E68" s="1193">
        <f>ROUND(SUMIF(sdmixer!$A:$A,usage!B68,sdmixer!$E:$E),0)</f>
        <v>0</v>
      </c>
      <c r="F68" s="577">
        <f t="shared" ref="F68" si="21">ROUND(D68*E68,0)</f>
        <v>0</v>
      </c>
      <c r="G68" s="585"/>
      <c r="H68" s="584">
        <f t="shared" ref="H68" si="22">+G68*D68</f>
        <v>0</v>
      </c>
      <c r="I68" s="579">
        <f t="shared" ref="I68" si="23">+G68+H68+E68+F68</f>
        <v>0</v>
      </c>
      <c r="J68" s="586">
        <f t="shared" ref="J68" si="24">+E68+G68</f>
        <v>0</v>
      </c>
      <c r="L68" s="1286"/>
      <c r="R68" s="1728"/>
    </row>
    <row r="69" spans="1:18" s="279" customFormat="1" ht="30.75" customHeight="1" x14ac:dyDescent="0.2">
      <c r="A69" s="2231" t="s">
        <v>435</v>
      </c>
      <c r="B69" s="2232"/>
      <c r="C69" s="2232"/>
      <c r="D69" s="2233"/>
      <c r="E69" s="1194">
        <f>+SUM(E5:E68)</f>
        <v>1943837.4</v>
      </c>
      <c r="F69" s="1194">
        <f>+SUM(F5:F68)</f>
        <v>28147</v>
      </c>
      <c r="G69" s="1194">
        <f t="shared" ref="G69:I69" si="25">+SUM(G5:G68)</f>
        <v>0</v>
      </c>
      <c r="H69" s="1194">
        <f t="shared" si="25"/>
        <v>0</v>
      </c>
      <c r="I69" s="1194">
        <f t="shared" si="25"/>
        <v>1971984.4</v>
      </c>
      <c r="J69" s="587">
        <f t="shared" si="2"/>
        <v>1943837.4</v>
      </c>
      <c r="K69" s="692"/>
      <c r="L69" s="664"/>
      <c r="R69" s="1729"/>
    </row>
    <row r="70" spans="1:18" ht="29.25" customHeight="1" thickBot="1" x14ac:dyDescent="0.3">
      <c r="A70" s="2234"/>
      <c r="B70" s="2235"/>
      <c r="C70" s="2235"/>
      <c r="D70" s="2236"/>
      <c r="E70" s="2229">
        <f>+E69+F69</f>
        <v>1971984.4</v>
      </c>
      <c r="F70" s="2230"/>
      <c r="G70" s="2227">
        <f>+G69+H69</f>
        <v>0</v>
      </c>
      <c r="H70" s="2228"/>
      <c r="I70" s="588">
        <f>+E70+G70</f>
        <v>1971984.4</v>
      </c>
      <c r="J70" s="589"/>
      <c r="R70" s="1728"/>
    </row>
    <row r="71" spans="1:18" ht="21" customHeight="1" x14ac:dyDescent="0.25">
      <c r="A71" s="514">
        <f>IF(C71="","",COUNT($A$70:A70)+1)</f>
        <v>1</v>
      </c>
      <c r="B71" s="780">
        <v>842259</v>
      </c>
      <c r="C71" s="516" t="s">
        <v>1611</v>
      </c>
      <c r="D71" s="617"/>
      <c r="E71" s="1287">
        <f>+SUMIF(sdmixer!$A:$A,usage!B71,sdmixer!$E:$E)</f>
        <v>196.18</v>
      </c>
      <c r="F71" s="1288"/>
      <c r="G71" s="591"/>
      <c r="H71" s="590"/>
      <c r="I71" s="592">
        <f t="shared" ref="I71:I87" si="26">+E71+G71</f>
        <v>196.18</v>
      </c>
      <c r="J71" s="563">
        <f>+E69+E222+E255+67054-10022.16+9885.12-162-43+172.02+8.4+4670.38+5621.94+5198+21753</f>
        <v>2090180.14</v>
      </c>
      <c r="K71" s="646"/>
      <c r="L71" s="1286"/>
      <c r="N71" s="1722"/>
      <c r="R71" s="1728"/>
    </row>
    <row r="72" spans="1:18" ht="21" customHeight="1" x14ac:dyDescent="0.25">
      <c r="A72" s="514">
        <f>IF(C72="","",COUNT($A$70:A71)+1)</f>
        <v>2</v>
      </c>
      <c r="B72" s="638">
        <v>791739</v>
      </c>
      <c r="C72" s="518" t="s">
        <v>367</v>
      </c>
      <c r="D72" s="618"/>
      <c r="E72" s="1287">
        <f>+SUMIF(sdmixer!$A:$A,usage!B72,sdmixer!$E:$E)</f>
        <v>3.9</v>
      </c>
      <c r="F72" s="593"/>
      <c r="G72" s="594"/>
      <c r="H72" s="593"/>
      <c r="I72" s="595">
        <f t="shared" si="26"/>
        <v>3.9</v>
      </c>
      <c r="J72" s="563">
        <v>2068570.24</v>
      </c>
      <c r="K72" s="646"/>
      <c r="L72" s="1286"/>
      <c r="R72" s="1728"/>
    </row>
    <row r="73" spans="1:18" ht="21" customHeight="1" x14ac:dyDescent="0.25">
      <c r="A73" s="514">
        <f>IF(C73="","",COUNT($A$70:A72)+1)</f>
        <v>3</v>
      </c>
      <c r="B73" s="780">
        <v>820500</v>
      </c>
      <c r="C73" s="518" t="s">
        <v>368</v>
      </c>
      <c r="D73" s="618"/>
      <c r="E73" s="1287">
        <f>+SUMIF(sdmixer!$A:$A,usage!B73,sdmixer!$E:$E)</f>
        <v>693.5</v>
      </c>
      <c r="F73" s="593"/>
      <c r="G73" s="594"/>
      <c r="H73" s="593"/>
      <c r="I73" s="595">
        <f t="shared" si="26"/>
        <v>693.5</v>
      </c>
      <c r="J73" s="718">
        <f>+J71-J72</f>
        <v>21609.899999999907</v>
      </c>
      <c r="K73"/>
      <c r="L73" s="1286"/>
      <c r="R73" s="1728"/>
    </row>
    <row r="74" spans="1:18" ht="21" customHeight="1" x14ac:dyDescent="0.25">
      <c r="A74" s="514">
        <f>IF(C74="","",COUNT($A$70:A73)+1)</f>
        <v>4</v>
      </c>
      <c r="B74" s="638">
        <v>833101</v>
      </c>
      <c r="C74" s="519" t="s">
        <v>369</v>
      </c>
      <c r="D74" s="618"/>
      <c r="E74" s="1287">
        <f>+SUMIF(sdmixer!$A:$A,usage!B74,sdmixer!$E:$E)</f>
        <v>1117</v>
      </c>
      <c r="F74" s="593"/>
      <c r="G74" s="594"/>
      <c r="H74" s="593"/>
      <c r="I74" s="595">
        <f t="shared" si="26"/>
        <v>1117</v>
      </c>
      <c r="J74" s="563"/>
      <c r="K74" s="646"/>
      <c r="L74" s="1286"/>
      <c r="R74" s="1728"/>
    </row>
    <row r="75" spans="1:18" ht="21" customHeight="1" x14ac:dyDescent="0.25">
      <c r="A75" s="514">
        <f>IF(C75="","",COUNT($A$70:A74)+1)</f>
        <v>5</v>
      </c>
      <c r="B75" s="620">
        <v>831904</v>
      </c>
      <c r="C75" s="275" t="s">
        <v>486</v>
      </c>
      <c r="D75" s="618"/>
      <c r="E75" s="1287">
        <f>+SUMIF(sdmixer!$A:$A,usage!B75,sdmixer!$E:$E)</f>
        <v>0</v>
      </c>
      <c r="F75" s="593"/>
      <c r="G75" s="594"/>
      <c r="H75" s="593"/>
      <c r="I75" s="595">
        <f t="shared" si="26"/>
        <v>0</v>
      </c>
      <c r="J75" s="561"/>
      <c r="K75" s="646"/>
      <c r="L75" s="1286"/>
      <c r="O75" s="1230"/>
      <c r="R75" s="1728"/>
    </row>
    <row r="76" spans="1:18" ht="21" customHeight="1" x14ac:dyDescent="0.25">
      <c r="A76" s="514">
        <f>IF(C76="","",COUNT($A$70:A75)+1)</f>
        <v>6</v>
      </c>
      <c r="B76" s="638">
        <v>840002</v>
      </c>
      <c r="C76" s="518" t="s">
        <v>441</v>
      </c>
      <c r="D76" s="618"/>
      <c r="E76" s="1287">
        <f>+SUMIF(sdmixer!$A:$A,usage!B76,sdmixer!$E:$E)-E77</f>
        <v>1962.72</v>
      </c>
      <c r="F76" s="593"/>
      <c r="G76" s="594"/>
      <c r="H76" s="593"/>
      <c r="I76" s="595">
        <f t="shared" si="26"/>
        <v>1962.72</v>
      </c>
      <c r="J76" s="718"/>
      <c r="K76" s="646"/>
      <c r="L76" s="1286"/>
      <c r="R76" s="1728"/>
    </row>
    <row r="77" spans="1:18" ht="21" customHeight="1" x14ac:dyDescent="0.25">
      <c r="A77" s="514">
        <f>IF(C77="","",COUNT($A$70:A76)+1)</f>
        <v>7</v>
      </c>
      <c r="B77" s="620" t="s">
        <v>958</v>
      </c>
      <c r="C77" s="644" t="s">
        <v>442</v>
      </c>
      <c r="D77" s="618"/>
      <c r="E77" s="1287">
        <f>sdmixer!J18</f>
        <v>0</v>
      </c>
      <c r="F77" s="593"/>
      <c r="G77" s="594"/>
      <c r="H77" s="593"/>
      <c r="I77" s="595">
        <f t="shared" si="26"/>
        <v>0</v>
      </c>
      <c r="J77"/>
      <c r="K77" s="646"/>
      <c r="L77" s="1286"/>
      <c r="R77" s="1728"/>
    </row>
    <row r="78" spans="1:18" ht="21" customHeight="1" x14ac:dyDescent="0.25">
      <c r="A78" s="514">
        <f>IF(C78="","",COUNT($A$70:A77)+1)</f>
        <v>8</v>
      </c>
      <c r="B78" s="638">
        <v>840011</v>
      </c>
      <c r="C78" s="518" t="s">
        <v>49</v>
      </c>
      <c r="D78" s="618"/>
      <c r="E78" s="1287">
        <f>+SUMIF(sdmixer!$A:$A,usage!B78,sdmixer!$E:$E)</f>
        <v>3127.8</v>
      </c>
      <c r="F78" s="593"/>
      <c r="G78" s="594"/>
      <c r="H78" s="593"/>
      <c r="I78" s="595">
        <f t="shared" si="26"/>
        <v>3127.8</v>
      </c>
      <c r="J78" s="662"/>
      <c r="K78" s="646"/>
      <c r="L78" s="1286"/>
      <c r="R78" s="1728"/>
    </row>
    <row r="79" spans="1:18" ht="21" customHeight="1" x14ac:dyDescent="0.25">
      <c r="A79" s="514">
        <f>IF(C79="","",COUNT($A$70:A78)+1)</f>
        <v>9</v>
      </c>
      <c r="B79" s="638">
        <v>840012</v>
      </c>
      <c r="C79" s="518" t="s">
        <v>155</v>
      </c>
      <c r="D79" s="618"/>
      <c r="E79" s="1287">
        <f>+SUMIF(sdmixer!$A:$A,usage!B79,sdmixer!$E:$E)</f>
        <v>5386.9500000000007</v>
      </c>
      <c r="F79" s="593"/>
      <c r="G79" s="594"/>
      <c r="H79" s="593"/>
      <c r="I79" s="595">
        <f t="shared" si="26"/>
        <v>5386.9500000000007</v>
      </c>
      <c r="J79"/>
      <c r="K79" s="646"/>
      <c r="L79" s="1286"/>
      <c r="R79" s="1728"/>
    </row>
    <row r="80" spans="1:18" ht="21" customHeight="1" x14ac:dyDescent="0.25">
      <c r="A80" s="514">
        <f>IF(C80="","",COUNT($A$70:A79)+1)</f>
        <v>10</v>
      </c>
      <c r="B80" s="638">
        <v>840020</v>
      </c>
      <c r="C80" s="518" t="s">
        <v>438</v>
      </c>
      <c r="D80" s="618"/>
      <c r="E80" s="1287">
        <f>+SUMIF(sdmixer!$A:$A,usage!B80,sdmixer!$E:$E)</f>
        <v>334.17</v>
      </c>
      <c r="F80" s="593"/>
      <c r="G80" s="594"/>
      <c r="H80" s="593"/>
      <c r="I80" s="595">
        <f t="shared" si="26"/>
        <v>334.17</v>
      </c>
      <c r="J80"/>
      <c r="K80" s="646"/>
      <c r="L80" s="1286"/>
      <c r="R80" s="1728"/>
    </row>
    <row r="81" spans="1:18" ht="21" customHeight="1" x14ac:dyDescent="0.25">
      <c r="A81" s="514">
        <f>IF(C81="","",COUNT($A$70:A80)+1)</f>
        <v>11</v>
      </c>
      <c r="B81" s="638">
        <v>840030</v>
      </c>
      <c r="C81" s="518" t="s">
        <v>370</v>
      </c>
      <c r="D81" s="618"/>
      <c r="E81" s="1287">
        <f>+SUMIF(sdmixer!$A:$A,usage!B81,sdmixer!$E:$E)</f>
        <v>1572.3600000000001</v>
      </c>
      <c r="F81" s="593"/>
      <c r="G81" s="594"/>
      <c r="H81" s="593"/>
      <c r="I81" s="595">
        <f t="shared" si="26"/>
        <v>1572.3600000000001</v>
      </c>
      <c r="J81"/>
      <c r="K81" s="646"/>
      <c r="L81" s="1286"/>
      <c r="R81" s="1728"/>
    </row>
    <row r="82" spans="1:18" ht="21" customHeight="1" x14ac:dyDescent="0.25">
      <c r="A82" s="514">
        <f>IF(C82="","",COUNT($A$70:A81)+1)</f>
        <v>12</v>
      </c>
      <c r="B82" s="638">
        <v>840040</v>
      </c>
      <c r="C82" s="518" t="s">
        <v>371</v>
      </c>
      <c r="D82" s="618"/>
      <c r="E82" s="1287">
        <f>+SUMIF(sdmixer!$A:$A,usage!B82,sdmixer!$E:$E)</f>
        <v>0</v>
      </c>
      <c r="F82" s="593"/>
      <c r="G82" s="594"/>
      <c r="H82" s="593"/>
      <c r="I82" s="595">
        <f t="shared" si="26"/>
        <v>0</v>
      </c>
      <c r="J82"/>
      <c r="K82" s="646"/>
      <c r="L82" s="1286"/>
      <c r="R82" s="1728"/>
    </row>
    <row r="83" spans="1:18" ht="21" customHeight="1" x14ac:dyDescent="0.25">
      <c r="A83" s="514">
        <f>IF(C83="","",COUNT($A$70:A82)+1)</f>
        <v>13</v>
      </c>
      <c r="B83" s="638">
        <v>840041</v>
      </c>
      <c r="C83" s="518" t="s">
        <v>406</v>
      </c>
      <c r="D83" s="618"/>
      <c r="E83" s="1287">
        <f>+SUMIF(sdmixer!$A:$A,usage!B83,sdmixer!$E:$E)</f>
        <v>980.09</v>
      </c>
      <c r="F83" s="593"/>
      <c r="G83" s="594"/>
      <c r="H83" s="593"/>
      <c r="I83" s="595">
        <f t="shared" si="26"/>
        <v>980.09</v>
      </c>
      <c r="J83"/>
      <c r="K83" s="646"/>
      <c r="L83" s="1286"/>
      <c r="R83" s="1728"/>
    </row>
    <row r="84" spans="1:18" ht="21" customHeight="1" x14ac:dyDescent="0.25">
      <c r="A84" s="514">
        <f>IF(C84="","",COUNT($A$70:A83)+1)</f>
        <v>14</v>
      </c>
      <c r="B84" s="638">
        <v>840050</v>
      </c>
      <c r="C84" s="518" t="s">
        <v>96</v>
      </c>
      <c r="D84" s="618"/>
      <c r="E84" s="1287">
        <f>+SUMIF(sdmixer!$A:$A,usage!B84,sdmixer!$E:$E)</f>
        <v>0</v>
      </c>
      <c r="F84" s="593"/>
      <c r="G84" s="594"/>
      <c r="H84" s="593"/>
      <c r="I84" s="595">
        <f t="shared" si="26"/>
        <v>0</v>
      </c>
      <c r="J84"/>
      <c r="K84" s="646"/>
      <c r="L84" s="1286"/>
      <c r="R84" s="1728"/>
    </row>
    <row r="85" spans="1:18" ht="21" customHeight="1" x14ac:dyDescent="0.25">
      <c r="A85" s="514">
        <f>IF(C85="","",COUNT($A$70:A84)+1)</f>
        <v>15</v>
      </c>
      <c r="B85" s="638">
        <v>840058</v>
      </c>
      <c r="C85" s="518" t="s">
        <v>372</v>
      </c>
      <c r="D85" s="618"/>
      <c r="E85" s="1287">
        <f>+SUMIF(sdmixer!$A:$A,usage!B85,sdmixer!$E:$E)+SUMIF(sdmixer!$A:$A,"003609",sdmixer!$E:$E)</f>
        <v>1695.2</v>
      </c>
      <c r="F85" s="593"/>
      <c r="G85" s="594"/>
      <c r="H85" s="593"/>
      <c r="I85" s="595">
        <f t="shared" si="26"/>
        <v>1695.2</v>
      </c>
      <c r="J85"/>
      <c r="K85" s="646"/>
      <c r="L85" s="1286"/>
      <c r="R85" s="1728"/>
    </row>
    <row r="86" spans="1:18" ht="21" customHeight="1" x14ac:dyDescent="0.25">
      <c r="A86" s="514">
        <f>IF(C86="","",COUNT($A$70:A85)+1)</f>
        <v>16</v>
      </c>
      <c r="B86" s="638">
        <v>840077</v>
      </c>
      <c r="C86" s="644" t="s">
        <v>373</v>
      </c>
      <c r="D86" s="618"/>
      <c r="E86" s="1287">
        <f>sdmixer!J10</f>
        <v>183</v>
      </c>
      <c r="F86" s="593"/>
      <c r="G86" s="594"/>
      <c r="H86" s="593"/>
      <c r="I86" s="1241">
        <f t="shared" si="26"/>
        <v>183</v>
      </c>
      <c r="J86"/>
      <c r="K86" s="646"/>
      <c r="L86" s="1286"/>
      <c r="R86" s="1728"/>
    </row>
    <row r="87" spans="1:18" ht="21" customHeight="1" x14ac:dyDescent="0.25">
      <c r="A87" s="514">
        <f>IF(C87="","",COUNT($A$70:A86)+1)</f>
        <v>17</v>
      </c>
      <c r="B87" s="638">
        <v>840100</v>
      </c>
      <c r="C87" s="518" t="s">
        <v>407</v>
      </c>
      <c r="D87" s="618"/>
      <c r="E87" s="1287">
        <f>+SUMIF(sdmixer!$A:$A,usage!B87,sdmixer!$E:$E)</f>
        <v>0</v>
      </c>
      <c r="F87" s="593"/>
      <c r="G87" s="594"/>
      <c r="H87" s="593"/>
      <c r="I87" s="595">
        <f t="shared" si="26"/>
        <v>0</v>
      </c>
      <c r="J87"/>
      <c r="K87" s="646"/>
      <c r="L87" s="1286"/>
      <c r="R87" s="1728"/>
    </row>
    <row r="88" spans="1:18" ht="21" customHeight="1" x14ac:dyDescent="0.25">
      <c r="A88" s="514">
        <f>IF(C88="","",COUNT($A$70:A87)+1)</f>
        <v>18</v>
      </c>
      <c r="B88" s="638"/>
      <c r="C88" s="518" t="s">
        <v>374</v>
      </c>
      <c r="D88" s="618"/>
      <c r="E88" s="1287">
        <f>+SUMIF(sdmixer!$A:$A,usage!B88,sdmixer!$E:$E)</f>
        <v>0</v>
      </c>
      <c r="F88" s="593"/>
      <c r="G88" s="594"/>
      <c r="H88" s="593"/>
      <c r="I88" s="595">
        <f t="shared" ref="I88:I100" si="27">+E88+G88</f>
        <v>0</v>
      </c>
      <c r="J88"/>
      <c r="K88" s="646"/>
      <c r="L88" s="1286"/>
      <c r="R88" s="1728"/>
    </row>
    <row r="89" spans="1:18" ht="21" customHeight="1" x14ac:dyDescent="0.25">
      <c r="A89" s="514">
        <f>IF(C89="","",COUNT($A$70:A88)+1)</f>
        <v>19</v>
      </c>
      <c r="B89" s="639">
        <v>840258</v>
      </c>
      <c r="C89" s="520" t="s">
        <v>375</v>
      </c>
      <c r="D89" s="618"/>
      <c r="E89" s="1287">
        <f>+SUMIF(sdmixer!$A:$A,usage!B89,sdmixer!$E:$E)</f>
        <v>0</v>
      </c>
      <c r="F89" s="593"/>
      <c r="G89" s="594"/>
      <c r="H89" s="593"/>
      <c r="I89" s="595">
        <f t="shared" si="27"/>
        <v>0</v>
      </c>
      <c r="J89"/>
      <c r="K89" s="646"/>
      <c r="L89" s="1286"/>
      <c r="R89" s="1728"/>
    </row>
    <row r="90" spans="1:18" ht="21" customHeight="1" x14ac:dyDescent="0.25">
      <c r="A90" s="514">
        <f>IF(C90="","",COUNT($A$70:A89)+1)</f>
        <v>20</v>
      </c>
      <c r="B90" s="638">
        <v>840226</v>
      </c>
      <c r="C90" s="518" t="s">
        <v>548</v>
      </c>
      <c r="D90" s="618"/>
      <c r="E90" s="1287">
        <f>+SUMIF(sdmixer!$A:$A,usage!B90,sdmixer!$E:$E)</f>
        <v>0</v>
      </c>
      <c r="F90" s="593"/>
      <c r="G90" s="594"/>
      <c r="H90" s="593"/>
      <c r="I90" s="595">
        <f t="shared" si="27"/>
        <v>0</v>
      </c>
      <c r="J90"/>
      <c r="K90" s="646"/>
      <c r="L90" s="1286"/>
      <c r="R90" s="1728"/>
    </row>
    <row r="91" spans="1:18" ht="21" customHeight="1" x14ac:dyDescent="0.25">
      <c r="A91" s="514">
        <f>IF(C91="","",COUNT($A$70:A90)+1)</f>
        <v>21</v>
      </c>
      <c r="B91" s="639">
        <v>840255</v>
      </c>
      <c r="C91" s="518" t="s">
        <v>573</v>
      </c>
      <c r="D91" s="618"/>
      <c r="E91" s="1287">
        <f>+SUMIF(sdmixer!$A:$A,usage!B91,sdmixer!$E:$E)</f>
        <v>235.25</v>
      </c>
      <c r="F91" s="593"/>
      <c r="G91" s="594"/>
      <c r="H91" s="593"/>
      <c r="I91" s="595">
        <f t="shared" si="27"/>
        <v>235.25</v>
      </c>
      <c r="J91"/>
      <c r="K91" s="646"/>
      <c r="L91" s="1286"/>
      <c r="R91" s="1728"/>
    </row>
    <row r="92" spans="1:18" ht="21" customHeight="1" x14ac:dyDescent="0.25">
      <c r="A92" s="514">
        <f>IF(C92="","",COUNT($A$70:A91)+1)</f>
        <v>22</v>
      </c>
      <c r="B92" s="638">
        <v>840305</v>
      </c>
      <c r="C92" s="518" t="s">
        <v>439</v>
      </c>
      <c r="D92" s="618"/>
      <c r="E92" s="1287">
        <f>+SUMIF(sdmixer!$A:$A,usage!B92,sdmixer!$E:$E)</f>
        <v>23.61</v>
      </c>
      <c r="F92" s="593"/>
      <c r="G92" s="594"/>
      <c r="H92" s="593"/>
      <c r="I92" s="595">
        <f t="shared" si="27"/>
        <v>23.61</v>
      </c>
      <c r="J92"/>
      <c r="K92" s="646"/>
      <c r="L92" s="1286"/>
    </row>
    <row r="93" spans="1:18" ht="21" customHeight="1" x14ac:dyDescent="0.25">
      <c r="A93" s="514">
        <f>IF(C93="","",COUNT($A$70:A92)+1)</f>
        <v>23</v>
      </c>
      <c r="B93" s="638">
        <v>3615</v>
      </c>
      <c r="C93" s="518" t="s">
        <v>376</v>
      </c>
      <c r="D93" s="618"/>
      <c r="E93" s="1287">
        <f>+SUMIF(sdmixer!$A:$A,usage!B93,sdmixer!$E:$E)+SUMIF(sdmixer!$A:$A,"840358",sdmixer!$E:$E)-sdmixer!M58</f>
        <v>9.0500000000000007</v>
      </c>
      <c r="F93" s="593"/>
      <c r="G93" s="594"/>
      <c r="H93" s="593"/>
      <c r="I93" s="595">
        <f t="shared" si="27"/>
        <v>9.0500000000000007</v>
      </c>
      <c r="J93"/>
      <c r="K93" s="646"/>
      <c r="L93" s="1286"/>
    </row>
    <row r="94" spans="1:18" ht="21" customHeight="1" x14ac:dyDescent="0.25">
      <c r="A94" s="514">
        <f>IF(C94="","",COUNT($A$70:A93)+1)</f>
        <v>24</v>
      </c>
      <c r="B94" s="638">
        <v>840311</v>
      </c>
      <c r="C94" s="518" t="s">
        <v>377</v>
      </c>
      <c r="D94" s="618"/>
      <c r="E94" s="1287">
        <f>+SUMIF(sdmixer!$A:$A,usage!B94,sdmixer!$E:$E)</f>
        <v>0</v>
      </c>
      <c r="F94" s="593"/>
      <c r="G94" s="594"/>
      <c r="H94" s="593"/>
      <c r="I94" s="595">
        <f t="shared" si="27"/>
        <v>0</v>
      </c>
      <c r="J94"/>
      <c r="K94" s="646"/>
      <c r="L94" s="1286"/>
    </row>
    <row r="95" spans="1:18" ht="21" customHeight="1" x14ac:dyDescent="0.25">
      <c r="A95" s="514">
        <f>IF(C95="","",COUNT($A$70:A94)+1)</f>
        <v>25</v>
      </c>
      <c r="B95" s="780"/>
      <c r="C95" s="518" t="s">
        <v>378</v>
      </c>
      <c r="D95" s="618"/>
      <c r="E95" s="1287">
        <f>+SUMIF(sdmixer!$A:$A,usage!B95,sdmixer!$E:$E)</f>
        <v>0</v>
      </c>
      <c r="F95" s="593"/>
      <c r="G95" s="594"/>
      <c r="H95" s="593"/>
      <c r="I95" s="595">
        <f t="shared" si="27"/>
        <v>0</v>
      </c>
      <c r="J95"/>
      <c r="K95" s="646"/>
      <c r="L95" s="1286"/>
    </row>
    <row r="96" spans="1:18" ht="21" customHeight="1" x14ac:dyDescent="0.25">
      <c r="A96" s="514">
        <f>IF(C96="","",COUNT($A$70:A95)+1)</f>
        <v>26</v>
      </c>
      <c r="B96" s="638">
        <v>840400</v>
      </c>
      <c r="C96" s="518" t="s">
        <v>502</v>
      </c>
      <c r="D96" s="618"/>
      <c r="E96" s="1287">
        <f>+SUMIF(sdmixer!$A:$A,usage!B96,sdmixer!$E:$E)</f>
        <v>356.4</v>
      </c>
      <c r="F96" s="593"/>
      <c r="G96" s="594"/>
      <c r="H96" s="593"/>
      <c r="I96" s="595">
        <f t="shared" si="27"/>
        <v>356.4</v>
      </c>
      <c r="J96"/>
      <c r="K96" s="646"/>
      <c r="L96" s="1286"/>
    </row>
    <row r="97" spans="1:12" ht="21" customHeight="1" x14ac:dyDescent="0.25">
      <c r="A97" s="514">
        <f>IF(C97="","",COUNT($A$70:A96)+1)</f>
        <v>27</v>
      </c>
      <c r="B97" s="780"/>
      <c r="C97" s="1292" t="s">
        <v>539</v>
      </c>
      <c r="D97" s="618"/>
      <c r="E97" s="1287">
        <f>+SUMIF(sdmixer!$A:$A,usage!B97,sdmixer!$E:$E)</f>
        <v>0</v>
      </c>
      <c r="F97" s="593"/>
      <c r="G97" s="594"/>
      <c r="H97" s="593"/>
      <c r="I97" s="595">
        <f t="shared" si="27"/>
        <v>0</v>
      </c>
      <c r="J97"/>
      <c r="K97" s="646"/>
      <c r="L97" s="1286"/>
    </row>
    <row r="98" spans="1:12" ht="21" customHeight="1" x14ac:dyDescent="0.25">
      <c r="A98" s="514">
        <f>IF(C98="","",COUNT($A$70:A97)+1)</f>
        <v>28</v>
      </c>
      <c r="B98" s="780"/>
      <c r="C98" s="1292" t="s">
        <v>540</v>
      </c>
      <c r="D98" s="618"/>
      <c r="E98" s="1287">
        <f>+SUMIF(sdmixer!$A:$A,usage!B98,sdmixer!$E:$E)</f>
        <v>0</v>
      </c>
      <c r="F98" s="593"/>
      <c r="G98" s="594"/>
      <c r="H98" s="593"/>
      <c r="I98" s="595">
        <f t="shared" si="27"/>
        <v>0</v>
      </c>
      <c r="J98"/>
      <c r="K98" s="646"/>
      <c r="L98" s="1286"/>
    </row>
    <row r="99" spans="1:12" ht="21" customHeight="1" x14ac:dyDescent="0.25">
      <c r="A99" s="514">
        <f>IF(C99="","",COUNT($A$70:A98)+1)</f>
        <v>29</v>
      </c>
      <c r="B99" s="780"/>
      <c r="C99" s="1292" t="s">
        <v>541</v>
      </c>
      <c r="D99" s="618"/>
      <c r="E99" s="1287">
        <f>+SUMIF(sdmixer!$A:$A,usage!B99,sdmixer!$E:$E)</f>
        <v>0</v>
      </c>
      <c r="F99" s="593"/>
      <c r="G99" s="594"/>
      <c r="H99" s="593"/>
      <c r="I99" s="595">
        <f t="shared" si="27"/>
        <v>0</v>
      </c>
      <c r="J99"/>
      <c r="K99" s="646"/>
      <c r="L99" s="1286"/>
    </row>
    <row r="100" spans="1:12" ht="21" customHeight="1" x14ac:dyDescent="0.25">
      <c r="A100" s="514">
        <f>IF(C100="","",COUNT($A$70:A99)+1)</f>
        <v>30</v>
      </c>
      <c r="B100" s="780">
        <v>791820</v>
      </c>
      <c r="C100" s="518" t="s">
        <v>1196</v>
      </c>
      <c r="D100" s="618"/>
      <c r="E100" s="1287">
        <f>+SUMIF(sdmixer!$A:$A,usage!B100,sdmixer!$E:$E)-sdmixer!M57</f>
        <v>20.93</v>
      </c>
      <c r="F100" s="593"/>
      <c r="G100" s="594"/>
      <c r="H100" s="593"/>
      <c r="I100" s="595">
        <f t="shared" si="27"/>
        <v>20.93</v>
      </c>
      <c r="J100"/>
      <c r="K100" s="646"/>
      <c r="L100" s="1286"/>
    </row>
    <row r="101" spans="1:12" ht="21" customHeight="1" x14ac:dyDescent="0.25">
      <c r="A101" s="514">
        <f>IF(C101="","",COUNT($A$70:A100)+1)</f>
        <v>31</v>
      </c>
      <c r="B101" s="638">
        <v>840532</v>
      </c>
      <c r="C101" s="518" t="s">
        <v>379</v>
      </c>
      <c r="D101" s="618"/>
      <c r="E101" s="1287">
        <f>+SUMIF(sdmixer!$A:$A,usage!B101,sdmixer!$E:$E)</f>
        <v>0</v>
      </c>
      <c r="F101" s="593"/>
      <c r="G101" s="594"/>
      <c r="H101" s="593"/>
      <c r="I101" s="595">
        <f t="shared" ref="I101:I153" si="28">+E101+G101</f>
        <v>0</v>
      </c>
      <c r="J101"/>
      <c r="K101" s="646"/>
      <c r="L101" s="1286"/>
    </row>
    <row r="102" spans="1:12" ht="21" customHeight="1" x14ac:dyDescent="0.25">
      <c r="A102" s="514">
        <f>IF(C102="","",COUNT($A$70:A101)+1)</f>
        <v>32</v>
      </c>
      <c r="B102" s="638">
        <v>841299</v>
      </c>
      <c r="C102" s="518" t="s">
        <v>380</v>
      </c>
      <c r="D102" s="618"/>
      <c r="E102" s="1287">
        <f>+SUMIF(sdmixer!$A:$A,usage!B102,sdmixer!$E:$E)</f>
        <v>253.9</v>
      </c>
      <c r="F102" s="593"/>
      <c r="G102" s="594"/>
      <c r="H102" s="593"/>
      <c r="I102" s="595">
        <f t="shared" si="28"/>
        <v>253.9</v>
      </c>
      <c r="J102"/>
      <c r="K102" s="646"/>
      <c r="L102" s="1286"/>
    </row>
    <row r="103" spans="1:12" ht="21" customHeight="1" x14ac:dyDescent="0.25">
      <c r="A103" s="514">
        <f>IF(C103="","",COUNT($A$70:A102)+1)</f>
        <v>33</v>
      </c>
      <c r="B103" s="638">
        <v>842005</v>
      </c>
      <c r="C103" s="518" t="s">
        <v>381</v>
      </c>
      <c r="D103" s="618"/>
      <c r="E103" s="1287">
        <f>+SUMIF(sdmixer!$A:$A,usage!B103,sdmixer!$E:$E)</f>
        <v>0</v>
      </c>
      <c r="F103" s="593"/>
      <c r="G103" s="594"/>
      <c r="H103" s="593"/>
      <c r="I103" s="595">
        <f t="shared" si="28"/>
        <v>0</v>
      </c>
      <c r="J103"/>
      <c r="K103" s="646"/>
      <c r="L103" s="1286"/>
    </row>
    <row r="104" spans="1:12" ht="21" customHeight="1" x14ac:dyDescent="0.25">
      <c r="A104" s="514">
        <f>IF(C104="","",COUNT($A$70:A103)+1)</f>
        <v>34</v>
      </c>
      <c r="B104" s="638">
        <v>842017</v>
      </c>
      <c r="C104" s="518" t="s">
        <v>443</v>
      </c>
      <c r="D104" s="618"/>
      <c r="E104" s="1287">
        <f>+SUMIF(sdmixer!$A:$A,usage!B104,sdmixer!$E:$E)+sdmixer!J13+sdmixer!K13</f>
        <v>1908.51</v>
      </c>
      <c r="F104" s="593"/>
      <c r="G104" s="594"/>
      <c r="H104" s="593"/>
      <c r="I104" s="595">
        <f t="shared" si="28"/>
        <v>1908.51</v>
      </c>
      <c r="J104"/>
      <c r="K104" s="646"/>
      <c r="L104" s="1286"/>
    </row>
    <row r="105" spans="1:12" ht="21" customHeight="1" x14ac:dyDescent="0.25">
      <c r="A105" s="514">
        <f>IF(C105="","",COUNT($A$70:A104)+1)</f>
        <v>35</v>
      </c>
      <c r="B105" s="638">
        <v>842102</v>
      </c>
      <c r="C105" s="520" t="s">
        <v>382</v>
      </c>
      <c r="D105" s="618"/>
      <c r="E105" s="1287">
        <f>+SUMIF(sdmixer!$A:$A,usage!B105,sdmixer!$E:$E)</f>
        <v>0</v>
      </c>
      <c r="F105" s="593"/>
      <c r="G105" s="594"/>
      <c r="H105" s="593"/>
      <c r="I105" s="595">
        <f t="shared" si="28"/>
        <v>0</v>
      </c>
      <c r="J105"/>
      <c r="K105" s="646"/>
      <c r="L105" s="1286"/>
    </row>
    <row r="106" spans="1:12" ht="21" customHeight="1" x14ac:dyDescent="0.25">
      <c r="A106" s="514">
        <f>IF(C106="","",COUNT($A$70:A105)+1)</f>
        <v>36</v>
      </c>
      <c r="B106" s="620">
        <v>842127</v>
      </c>
      <c r="C106" s="521" t="s">
        <v>383</v>
      </c>
      <c r="D106" s="618"/>
      <c r="E106" s="1287">
        <f>+SUMIF(sdmixer!$A:$A,usage!B106,sdmixer!$E:$E)+SUMIF(sdmixer!$A:$A,"842123",sdmixer!$E:$E)</f>
        <v>125.66</v>
      </c>
      <c r="F106" s="593"/>
      <c r="G106" s="594"/>
      <c r="H106" s="593"/>
      <c r="I106" s="595">
        <f t="shared" si="28"/>
        <v>125.66</v>
      </c>
      <c r="J106"/>
      <c r="K106" s="646"/>
      <c r="L106" s="1286"/>
    </row>
    <row r="107" spans="1:12" ht="21" customHeight="1" x14ac:dyDescent="0.25">
      <c r="A107" s="514">
        <f>IF(C107="","",COUNT($A$70:A106)+1)</f>
        <v>37</v>
      </c>
      <c r="B107" s="638">
        <v>842109</v>
      </c>
      <c r="C107" s="518" t="s">
        <v>384</v>
      </c>
      <c r="D107" s="618"/>
      <c r="E107" s="1287">
        <f>+SUMIF(sdmixer!$A:$A,usage!B107,sdmixer!$E:$E)</f>
        <v>0</v>
      </c>
      <c r="F107" s="593"/>
      <c r="G107" s="594"/>
      <c r="H107" s="593"/>
      <c r="I107" s="595">
        <f t="shared" si="28"/>
        <v>0</v>
      </c>
      <c r="J107"/>
      <c r="K107" s="646"/>
      <c r="L107" s="1286"/>
    </row>
    <row r="108" spans="1:12" ht="21" customHeight="1" x14ac:dyDescent="0.25">
      <c r="A108" s="514">
        <f>IF(C108="","",COUNT($A$70:A107)+1)</f>
        <v>38</v>
      </c>
      <c r="B108" s="638">
        <v>842107</v>
      </c>
      <c r="C108" s="518" t="s">
        <v>385</v>
      </c>
      <c r="D108" s="618"/>
      <c r="E108" s="1287">
        <f>+SUMIF(sdmixer!$A:$A,usage!B108,sdmixer!$E:$E)</f>
        <v>363.14</v>
      </c>
      <c r="F108" s="593"/>
      <c r="G108" s="594"/>
      <c r="H108" s="593"/>
      <c r="I108" s="595">
        <f t="shared" si="28"/>
        <v>363.14</v>
      </c>
      <c r="J108"/>
      <c r="K108" s="646"/>
      <c r="L108" s="1286"/>
    </row>
    <row r="109" spans="1:12" ht="21" customHeight="1" x14ac:dyDescent="0.25">
      <c r="A109" s="514">
        <f>IF(C109="","",COUNT($A$70:A108)+1)</f>
        <v>39</v>
      </c>
      <c r="B109" s="638">
        <v>842206</v>
      </c>
      <c r="C109" s="518" t="s">
        <v>386</v>
      </c>
      <c r="D109" s="618"/>
      <c r="E109" s="1287">
        <f>+SUMIF(sdmixer!$A:$A,usage!B109,sdmixer!$E:$E)</f>
        <v>31.16</v>
      </c>
      <c r="F109" s="593"/>
      <c r="G109" s="594"/>
      <c r="H109" s="593"/>
      <c r="I109" s="595">
        <f t="shared" si="28"/>
        <v>31.16</v>
      </c>
      <c r="J109"/>
      <c r="K109" s="646"/>
      <c r="L109" s="1286"/>
    </row>
    <row r="110" spans="1:12" ht="21" customHeight="1" x14ac:dyDescent="0.25">
      <c r="A110" s="514">
        <f>IF(C110="","",COUNT($A$70:A109)+1)</f>
        <v>40</v>
      </c>
      <c r="B110" s="639">
        <v>842235</v>
      </c>
      <c r="C110" s="518" t="s">
        <v>543</v>
      </c>
      <c r="D110" s="618"/>
      <c r="E110" s="1287">
        <f>+SUMIF(sdmixer!$A:$A,usage!B110,sdmixer!$E:$E)</f>
        <v>0</v>
      </c>
      <c r="F110" s="593"/>
      <c r="G110" s="594"/>
      <c r="H110" s="593"/>
      <c r="I110" s="595">
        <f t="shared" si="28"/>
        <v>0</v>
      </c>
      <c r="J110"/>
      <c r="K110" s="646"/>
      <c r="L110" s="1286"/>
    </row>
    <row r="111" spans="1:12" ht="21" customHeight="1" x14ac:dyDescent="0.25">
      <c r="A111" s="514">
        <f>IF(C111="","",COUNT($A$70:A110)+1)</f>
        <v>41</v>
      </c>
      <c r="B111" s="638"/>
      <c r="C111" s="518" t="s">
        <v>523</v>
      </c>
      <c r="D111" s="618"/>
      <c r="E111" s="1287">
        <f>+SUMIF(sdmixer!$A:$A,usage!B111,sdmixer!$E:$E)</f>
        <v>0</v>
      </c>
      <c r="F111" s="593"/>
      <c r="G111" s="594"/>
      <c r="H111" s="593"/>
      <c r="I111" s="595">
        <f t="shared" si="28"/>
        <v>0</v>
      </c>
      <c r="J111"/>
      <c r="K111" s="646"/>
      <c r="L111" s="1286"/>
    </row>
    <row r="112" spans="1:12" ht="21" customHeight="1" x14ac:dyDescent="0.25">
      <c r="A112" s="514">
        <f>IF(C112="","",COUNT($A$70:A111)+1)</f>
        <v>42</v>
      </c>
      <c r="B112" s="638">
        <v>842236</v>
      </c>
      <c r="C112" s="518" t="s">
        <v>982</v>
      </c>
      <c r="D112" s="618"/>
      <c r="E112" s="1287">
        <f>+SUMIF(sdmixer!$A:$A,usage!B112,sdmixer!$E:$E)</f>
        <v>0</v>
      </c>
      <c r="F112" s="593"/>
      <c r="G112" s="594"/>
      <c r="H112" s="593"/>
      <c r="I112" s="595">
        <f>+E112+G112</f>
        <v>0</v>
      </c>
      <c r="J112"/>
      <c r="K112" s="646"/>
      <c r="L112" s="1286"/>
    </row>
    <row r="113" spans="1:12" ht="21" customHeight="1" x14ac:dyDescent="0.25">
      <c r="A113" s="514">
        <f>IF(C113="","",COUNT($A$70:A112)+1)</f>
        <v>43</v>
      </c>
      <c r="B113" s="638">
        <v>842300</v>
      </c>
      <c r="C113" s="518" t="s">
        <v>387</v>
      </c>
      <c r="D113" s="618"/>
      <c r="E113" s="1287">
        <f>+SUMIF(sdmixer!$A:$A,usage!B113,sdmixer!$E:$E)</f>
        <v>81.459999999999994</v>
      </c>
      <c r="F113" s="593"/>
      <c r="G113" s="594"/>
      <c r="H113" s="593"/>
      <c r="I113" s="595">
        <f t="shared" si="28"/>
        <v>81.459999999999994</v>
      </c>
      <c r="J113"/>
      <c r="K113" s="646"/>
      <c r="L113" s="1286"/>
    </row>
    <row r="114" spans="1:12" ht="21" customHeight="1" x14ac:dyDescent="0.25">
      <c r="A114" s="514">
        <f>IF(C114="","",COUNT($A$70:A113)+1)</f>
        <v>44</v>
      </c>
      <c r="B114" s="620">
        <v>842845</v>
      </c>
      <c r="C114" s="518" t="s">
        <v>532</v>
      </c>
      <c r="D114" s="618"/>
      <c r="E114" s="1287">
        <f>+SUMIF(sdmixer!$A:$A,usage!B114,sdmixer!$E:$E)</f>
        <v>0</v>
      </c>
      <c r="F114" s="593"/>
      <c r="G114" s="594"/>
      <c r="H114" s="593"/>
      <c r="I114" s="595">
        <f t="shared" si="28"/>
        <v>0</v>
      </c>
      <c r="J114"/>
      <c r="K114" s="646"/>
      <c r="L114" s="1286"/>
    </row>
    <row r="115" spans="1:12" ht="21" customHeight="1" x14ac:dyDescent="0.25">
      <c r="A115" s="514">
        <f>IF(C115="","",COUNT($A$70:A114)+1)</f>
        <v>45</v>
      </c>
      <c r="B115" s="640">
        <v>842500</v>
      </c>
      <c r="C115" s="518" t="s">
        <v>408</v>
      </c>
      <c r="D115" s="618"/>
      <c r="E115" s="1287">
        <f>+SUMIF(sdmixer!$A:$A,usage!B115,sdmixer!$E:$E)</f>
        <v>0</v>
      </c>
      <c r="F115" s="593"/>
      <c r="G115" s="594"/>
      <c r="H115" s="593"/>
      <c r="I115" s="595">
        <f t="shared" si="28"/>
        <v>0</v>
      </c>
      <c r="J115"/>
      <c r="K115" s="646"/>
      <c r="L115" s="1286"/>
    </row>
    <row r="116" spans="1:12" ht="21" customHeight="1" x14ac:dyDescent="0.25">
      <c r="A116" s="514">
        <f>IF(C116="","",COUNT($A$70:A115)+1)</f>
        <v>46</v>
      </c>
      <c r="B116" s="781">
        <v>843081</v>
      </c>
      <c r="C116" s="518" t="s">
        <v>1343</v>
      </c>
      <c r="D116" s="618"/>
      <c r="E116" s="1287">
        <f>+SUMIF(sdmixer!$A:$A,usage!B116,sdmixer!$E:$E)</f>
        <v>0</v>
      </c>
      <c r="F116" s="593"/>
      <c r="G116" s="594"/>
      <c r="H116" s="593"/>
      <c r="I116" s="595">
        <f t="shared" si="28"/>
        <v>0</v>
      </c>
      <c r="J116"/>
      <c r="K116" s="646"/>
      <c r="L116" s="1286"/>
    </row>
    <row r="117" spans="1:12" ht="21" customHeight="1" x14ac:dyDescent="0.25">
      <c r="A117" s="514">
        <f>IF(C117="","",COUNT($A$70:A116)+1)</f>
        <v>47</v>
      </c>
      <c r="B117" s="641">
        <v>842523</v>
      </c>
      <c r="C117" s="518" t="s">
        <v>388</v>
      </c>
      <c r="D117" s="618"/>
      <c r="E117" s="1287">
        <f>+SUMIF(sdmixer!$A:$A,usage!B117,sdmixer!$E:$E)</f>
        <v>22.68</v>
      </c>
      <c r="F117" s="593"/>
      <c r="G117" s="594"/>
      <c r="H117" s="593"/>
      <c r="I117" s="595">
        <f t="shared" si="28"/>
        <v>22.68</v>
      </c>
      <c r="J117"/>
      <c r="K117" s="646"/>
      <c r="L117" s="1286"/>
    </row>
    <row r="118" spans="1:12" ht="21" customHeight="1" x14ac:dyDescent="0.25">
      <c r="A118" s="514">
        <f>IF(C118="","",COUNT($A$70:A117)+1)</f>
        <v>48</v>
      </c>
      <c r="B118" s="641">
        <v>842604</v>
      </c>
      <c r="C118" s="518" t="s">
        <v>389</v>
      </c>
      <c r="D118" s="618"/>
      <c r="E118" s="1287">
        <f>+SUMIF(sdmixer!$A:$A,usage!B118,sdmixer!$E:$E)</f>
        <v>0</v>
      </c>
      <c r="F118" s="593"/>
      <c r="G118" s="594"/>
      <c r="H118" s="593"/>
      <c r="I118" s="595">
        <f t="shared" si="28"/>
        <v>0</v>
      </c>
      <c r="J118"/>
      <c r="K118" s="646"/>
      <c r="L118" s="1286"/>
    </row>
    <row r="119" spans="1:12" ht="21" customHeight="1" x14ac:dyDescent="0.25">
      <c r="A119" s="514">
        <f>IF(C119="","",COUNT($A$70:A118)+1)</f>
        <v>49</v>
      </c>
      <c r="B119" s="781"/>
      <c r="C119" s="521" t="s">
        <v>390</v>
      </c>
      <c r="D119" s="618"/>
      <c r="E119" s="1287">
        <f>+SUMIF(sdmixer!$A:$A,usage!B119,sdmixer!$E:$E)</f>
        <v>0</v>
      </c>
      <c r="F119" s="593"/>
      <c r="G119" s="594"/>
      <c r="H119" s="593"/>
      <c r="I119" s="595">
        <f t="shared" si="28"/>
        <v>0</v>
      </c>
      <c r="J119"/>
      <c r="K119" s="646"/>
      <c r="L119" s="1286"/>
    </row>
    <row r="120" spans="1:12" ht="21" customHeight="1" x14ac:dyDescent="0.25">
      <c r="A120" s="514">
        <f>IF(C120="","",COUNT($A$70:A119)+1)</f>
        <v>50</v>
      </c>
      <c r="B120" s="638">
        <v>842881</v>
      </c>
      <c r="C120" s="520" t="s">
        <v>391</v>
      </c>
      <c r="D120" s="618"/>
      <c r="E120" s="1287">
        <f>+SUMIF(sdmixer!$A:$A,usage!B120,sdmixer!$E:$E)</f>
        <v>6.35</v>
      </c>
      <c r="F120" s="593"/>
      <c r="G120" s="594"/>
      <c r="H120" s="593"/>
      <c r="I120" s="595">
        <f t="shared" si="28"/>
        <v>6.35</v>
      </c>
      <c r="J120"/>
      <c r="K120" s="646"/>
      <c r="L120" s="1286"/>
    </row>
    <row r="121" spans="1:12" ht="21" customHeight="1" x14ac:dyDescent="0.25">
      <c r="A121" s="514">
        <f>IF(C121="","",COUNT($A$70:A120)+1)</f>
        <v>51</v>
      </c>
      <c r="B121" s="638">
        <v>842903</v>
      </c>
      <c r="C121" s="518" t="s">
        <v>392</v>
      </c>
      <c r="D121" s="618"/>
      <c r="E121" s="1287">
        <f>+SUMIF(sdmixer!$A:$A,usage!B121,sdmixer!$E:$E)</f>
        <v>165.55</v>
      </c>
      <c r="F121" s="593"/>
      <c r="G121" s="594"/>
      <c r="H121" s="593"/>
      <c r="I121" s="595">
        <f t="shared" si="28"/>
        <v>165.55</v>
      </c>
      <c r="J121"/>
      <c r="K121" s="646"/>
      <c r="L121" s="1286"/>
    </row>
    <row r="122" spans="1:12" ht="21" customHeight="1" x14ac:dyDescent="0.25">
      <c r="A122" s="514">
        <f>IF(C122="","",COUNT($A$70:A121)+1)</f>
        <v>52</v>
      </c>
      <c r="B122" s="638">
        <v>842906</v>
      </c>
      <c r="C122" s="518" t="s">
        <v>393</v>
      </c>
      <c r="D122" s="618"/>
      <c r="E122" s="1287">
        <f>+SUMIF(sdmixer!$A:$A,usage!B122,sdmixer!$E:$E)</f>
        <v>1588.5</v>
      </c>
      <c r="F122" s="593"/>
      <c r="G122" s="594"/>
      <c r="H122" s="593"/>
      <c r="I122" s="595">
        <f t="shared" si="28"/>
        <v>1588.5</v>
      </c>
      <c r="J122"/>
      <c r="K122" s="646"/>
      <c r="L122" s="1286"/>
    </row>
    <row r="123" spans="1:12" ht="21" customHeight="1" x14ac:dyDescent="0.25">
      <c r="A123" s="514">
        <f>IF(C123="","",COUNT($A$70:A122)+1)</f>
        <v>53</v>
      </c>
      <c r="B123" s="640">
        <v>842922</v>
      </c>
      <c r="C123" s="518" t="s">
        <v>394</v>
      </c>
      <c r="D123" s="618"/>
      <c r="E123" s="1287">
        <f>+SUMIF(sdmixer!$A:$A,usage!B123,sdmixer!$E:$E)</f>
        <v>203.31</v>
      </c>
      <c r="F123" s="593"/>
      <c r="G123" s="594"/>
      <c r="H123" s="593"/>
      <c r="I123" s="595">
        <f t="shared" si="28"/>
        <v>203.31</v>
      </c>
      <c r="J123"/>
      <c r="K123" s="646"/>
      <c r="L123" s="1286"/>
    </row>
    <row r="124" spans="1:12" ht="21" customHeight="1" x14ac:dyDescent="0.25">
      <c r="A124" s="514">
        <f>IF(C124="","",COUNT($A$70:A123)+1)</f>
        <v>54</v>
      </c>
      <c r="B124" s="781"/>
      <c r="C124" s="518" t="s">
        <v>451</v>
      </c>
      <c r="D124" s="618"/>
      <c r="E124" s="1287">
        <f>+SUMIF(sdmixer!$A:$A,usage!B124,sdmixer!$E:$E)</f>
        <v>0</v>
      </c>
      <c r="F124" s="593"/>
      <c r="G124" s="594"/>
      <c r="H124" s="593"/>
      <c r="I124" s="595">
        <f t="shared" si="28"/>
        <v>0</v>
      </c>
      <c r="J124"/>
      <c r="K124" s="646"/>
      <c r="L124" s="1286"/>
    </row>
    <row r="125" spans="1:12" ht="21" customHeight="1" x14ac:dyDescent="0.25">
      <c r="A125" s="514">
        <f>IF(C125="","",COUNT($A$70:A124)+1)</f>
        <v>55</v>
      </c>
      <c r="B125" s="638">
        <v>842930</v>
      </c>
      <c r="C125" s="518" t="s">
        <v>395</v>
      </c>
      <c r="D125" s="618"/>
      <c r="E125" s="1287">
        <f>+SUMIF(sdmixer!$A:$A,usage!B125,sdmixer!$E:$E)</f>
        <v>8.34</v>
      </c>
      <c r="F125" s="593"/>
      <c r="G125" s="594"/>
      <c r="H125" s="593"/>
      <c r="I125" s="595">
        <f t="shared" si="28"/>
        <v>8.34</v>
      </c>
      <c r="J125"/>
      <c r="K125" s="646"/>
      <c r="L125" s="1286"/>
    </row>
    <row r="126" spans="1:12" ht="21" customHeight="1" x14ac:dyDescent="0.25">
      <c r="A126" s="514">
        <f>IF(C126="","",COUNT($A$70:A125)+1)</f>
        <v>56</v>
      </c>
      <c r="B126" s="638">
        <v>842931</v>
      </c>
      <c r="C126" s="518" t="s">
        <v>396</v>
      </c>
      <c r="D126" s="618"/>
      <c r="E126" s="1287">
        <f>+SUMIF(sdmixer!$A:$A,usage!B126,sdmixer!$E:$E)</f>
        <v>375.66</v>
      </c>
      <c r="F126" s="593"/>
      <c r="G126" s="594"/>
      <c r="H126" s="593"/>
      <c r="I126" s="595">
        <f t="shared" si="28"/>
        <v>375.66</v>
      </c>
      <c r="J126"/>
      <c r="K126" s="646"/>
      <c r="L126" s="1286"/>
    </row>
    <row r="127" spans="1:12" ht="21" customHeight="1" x14ac:dyDescent="0.25">
      <c r="A127" s="514">
        <f>IF(C127="","",COUNT($A$70:A126)+1)</f>
        <v>57</v>
      </c>
      <c r="B127" s="638">
        <v>842934</v>
      </c>
      <c r="C127" s="518" t="s">
        <v>397</v>
      </c>
      <c r="D127" s="618"/>
      <c r="E127" s="1287">
        <f>+SUMIF(sdmixer!$A:$A,usage!B127,sdmixer!$E:$E)</f>
        <v>657.68</v>
      </c>
      <c r="F127" s="593"/>
      <c r="G127" s="594"/>
      <c r="H127" s="593"/>
      <c r="I127" s="595">
        <f t="shared" si="28"/>
        <v>657.68</v>
      </c>
      <c r="J127"/>
      <c r="K127" s="646"/>
      <c r="L127" s="1286"/>
    </row>
    <row r="128" spans="1:12" ht="21" customHeight="1" x14ac:dyDescent="0.25">
      <c r="A128" s="514">
        <f>IF(C128="","",COUNT($A$70:A127)+1)</f>
        <v>58</v>
      </c>
      <c r="B128" s="638">
        <v>842959</v>
      </c>
      <c r="C128" s="518" t="s">
        <v>398</v>
      </c>
      <c r="D128" s="618"/>
      <c r="E128" s="1287">
        <f>+SUMIF(sdmixer!$A:$A,usage!B128,sdmixer!$E:$E)</f>
        <v>24.96</v>
      </c>
      <c r="F128" s="593"/>
      <c r="G128" s="594"/>
      <c r="H128" s="593"/>
      <c r="I128" s="595">
        <f t="shared" si="28"/>
        <v>24.96</v>
      </c>
      <c r="J128"/>
      <c r="K128" s="646"/>
      <c r="L128" s="1286"/>
    </row>
    <row r="129" spans="1:12" ht="21" customHeight="1" x14ac:dyDescent="0.25">
      <c r="A129" s="514">
        <f>IF(C129="","",COUNT($A$70:A128)+1)</f>
        <v>59</v>
      </c>
      <c r="B129" s="638">
        <v>842985</v>
      </c>
      <c r="C129" s="518" t="s">
        <v>399</v>
      </c>
      <c r="D129" s="618"/>
      <c r="E129" s="1287">
        <f>+SUMIF(sdmixer!$A:$A,usage!B129,sdmixer!$E:$E)+SUMIF(sdmixer!$A:$A,"842984",sdmixer!$E:$E)</f>
        <v>300.89999999999998</v>
      </c>
      <c r="F129" s="593"/>
      <c r="G129" s="594"/>
      <c r="H129" s="593"/>
      <c r="I129" s="595">
        <f t="shared" si="28"/>
        <v>300.89999999999998</v>
      </c>
      <c r="J129"/>
      <c r="K129" s="646"/>
      <c r="L129" s="1286"/>
    </row>
    <row r="130" spans="1:12" ht="21" customHeight="1" x14ac:dyDescent="0.25">
      <c r="A130" s="514">
        <f>IF(C130="","",COUNT($A$70:A129)+1)</f>
        <v>60</v>
      </c>
      <c r="B130" s="640">
        <v>842994</v>
      </c>
      <c r="C130" s="518" t="s">
        <v>473</v>
      </c>
      <c r="D130" s="618"/>
      <c r="E130" s="1287">
        <f>+SUMIF(sdmixer!$A:$A,usage!B130,sdmixer!$E:$E)</f>
        <v>0</v>
      </c>
      <c r="F130" s="593"/>
      <c r="G130" s="594"/>
      <c r="H130" s="593"/>
      <c r="I130" s="595">
        <f t="shared" si="28"/>
        <v>0</v>
      </c>
      <c r="J130"/>
      <c r="K130" s="646"/>
      <c r="L130" s="1286"/>
    </row>
    <row r="131" spans="1:12" ht="21" customHeight="1" x14ac:dyDescent="0.25">
      <c r="A131" s="514">
        <f>IF(C131="","",COUNT($A$70:A130)+1)</f>
        <v>61</v>
      </c>
      <c r="B131" s="781" t="s">
        <v>962</v>
      </c>
      <c r="C131" s="518" t="s">
        <v>965</v>
      </c>
      <c r="D131" s="618"/>
      <c r="E131" s="1287">
        <f>+SUMIF(sdmixer!$A:$A,usage!B131,sdmixer!$E:$E)</f>
        <v>0</v>
      </c>
      <c r="F131" s="593"/>
      <c r="G131" s="594"/>
      <c r="H131" s="593"/>
      <c r="I131" s="595">
        <f t="shared" si="28"/>
        <v>0</v>
      </c>
      <c r="K131" s="646"/>
      <c r="L131" s="1286"/>
    </row>
    <row r="132" spans="1:12" ht="21" customHeight="1" x14ac:dyDescent="0.25">
      <c r="A132" s="514">
        <f>IF(C132="","",COUNT($A$70:A131)+1)</f>
        <v>62</v>
      </c>
      <c r="B132" s="781">
        <v>843041</v>
      </c>
      <c r="C132" s="518" t="s">
        <v>973</v>
      </c>
      <c r="D132" s="618"/>
      <c r="E132" s="1287">
        <f>+SUMIF(sdmixer!$A:$A,usage!B132,sdmixer!$E:$E)</f>
        <v>0</v>
      </c>
      <c r="F132" s="593"/>
      <c r="G132" s="594"/>
      <c r="H132" s="593"/>
      <c r="I132" s="595">
        <f>+E132+G132</f>
        <v>0</v>
      </c>
      <c r="K132" s="646"/>
      <c r="L132" s="1286"/>
    </row>
    <row r="133" spans="1:12" ht="21" customHeight="1" x14ac:dyDescent="0.25">
      <c r="A133" s="514">
        <f>IF(C133="","",COUNT($A$70:A132)+1)</f>
        <v>63</v>
      </c>
      <c r="B133" s="640">
        <v>843125</v>
      </c>
      <c r="C133" s="518" t="s">
        <v>400</v>
      </c>
      <c r="D133" s="618"/>
      <c r="E133" s="1287">
        <f>+SUMIF(sdmixer!$A:$A,usage!B133,sdmixer!$E:$E)+SUMIF(sdmixer!$A:$A,"3071",sdmixer!$E:$E)</f>
        <v>42.05</v>
      </c>
      <c r="F133" s="593"/>
      <c r="G133" s="594"/>
      <c r="H133" s="593"/>
      <c r="I133" s="595">
        <f t="shared" si="28"/>
        <v>42.05</v>
      </c>
      <c r="K133" s="646"/>
      <c r="L133" s="1286"/>
    </row>
    <row r="134" spans="1:12" ht="21" customHeight="1" x14ac:dyDescent="0.25">
      <c r="A134" s="514">
        <f>IF(C134="","",COUNT($A$70:A133)+1)</f>
        <v>64</v>
      </c>
      <c r="B134" s="640">
        <v>843020</v>
      </c>
      <c r="C134" s="518" t="s">
        <v>401</v>
      </c>
      <c r="D134" s="618"/>
      <c r="E134" s="1287">
        <f>+SUMIF(sdmixer!$A:$A,usage!B134,sdmixer!$E:$E)</f>
        <v>0</v>
      </c>
      <c r="F134" s="593"/>
      <c r="G134" s="594"/>
      <c r="H134" s="593"/>
      <c r="I134" s="595">
        <f t="shared" si="28"/>
        <v>0</v>
      </c>
      <c r="K134" s="646"/>
      <c r="L134" s="1286"/>
    </row>
    <row r="135" spans="1:12" ht="21" customHeight="1" x14ac:dyDescent="0.25">
      <c r="A135" s="514">
        <f>IF(C135="","",COUNT($A$70:A134)+1)</f>
        <v>65</v>
      </c>
      <c r="B135" s="640">
        <v>843029</v>
      </c>
      <c r="C135" s="518" t="s">
        <v>588</v>
      </c>
      <c r="D135" s="618"/>
      <c r="E135" s="1287">
        <f>+SUMIF(sdmixer!$A:$A,usage!B135,sdmixer!$E:$E)</f>
        <v>0</v>
      </c>
      <c r="F135" s="593"/>
      <c r="G135" s="594"/>
      <c r="H135" s="593"/>
      <c r="I135" s="595">
        <f t="shared" si="28"/>
        <v>0</v>
      </c>
      <c r="K135" s="646"/>
      <c r="L135" s="1286"/>
    </row>
    <row r="136" spans="1:12" ht="21" customHeight="1" x14ac:dyDescent="0.25">
      <c r="A136" s="514">
        <f>IF(C136="","",COUNT($A$70:A135)+1)</f>
        <v>66</v>
      </c>
      <c r="B136" s="638">
        <v>843060</v>
      </c>
      <c r="C136" s="518" t="s">
        <v>448</v>
      </c>
      <c r="D136" s="618"/>
      <c r="E136" s="1287">
        <f>+SUMIF(sdmixer!$A:$A,usage!B136,sdmixer!$E:$E)</f>
        <v>95.45</v>
      </c>
      <c r="F136" s="593"/>
      <c r="G136" s="594"/>
      <c r="H136" s="593"/>
      <c r="I136" s="595">
        <f t="shared" si="28"/>
        <v>95.45</v>
      </c>
      <c r="K136" s="646"/>
      <c r="L136" s="1286"/>
    </row>
    <row r="137" spans="1:12" ht="21" customHeight="1" x14ac:dyDescent="0.25">
      <c r="A137" s="514">
        <f>IF(C137="","",COUNT($A$70:A136)+1)</f>
        <v>67</v>
      </c>
      <c r="B137" s="781"/>
      <c r="C137" s="518" t="s">
        <v>402</v>
      </c>
      <c r="D137" s="618"/>
      <c r="E137" s="1287">
        <f>+SUMIF(sdmixer!$A:$A,usage!B137,sdmixer!$E:$E)</f>
        <v>0</v>
      </c>
      <c r="F137" s="593"/>
      <c r="G137" s="594"/>
      <c r="H137" s="593"/>
      <c r="I137" s="595">
        <f t="shared" si="28"/>
        <v>0</v>
      </c>
      <c r="K137" s="646"/>
      <c r="L137" s="1286"/>
    </row>
    <row r="138" spans="1:12" ht="21" customHeight="1" x14ac:dyDescent="0.25">
      <c r="A138" s="514">
        <f>IF(C138="","",COUNT($A$70:A137)+1)</f>
        <v>68</v>
      </c>
      <c r="B138" s="638">
        <v>843075</v>
      </c>
      <c r="C138" s="518" t="s">
        <v>403</v>
      </c>
      <c r="D138" s="618"/>
      <c r="E138" s="1287">
        <f>+SUMIF(sdmixer!$A:$A,usage!B138,sdmixer!$E:$E)</f>
        <v>0</v>
      </c>
      <c r="F138" s="593"/>
      <c r="G138" s="594"/>
      <c r="H138" s="593"/>
      <c r="I138" s="595">
        <f t="shared" si="28"/>
        <v>0</v>
      </c>
      <c r="K138" s="646"/>
      <c r="L138" s="1286"/>
    </row>
    <row r="139" spans="1:12" ht="21" customHeight="1" x14ac:dyDescent="0.25">
      <c r="A139" s="514">
        <f>IF(C139="","",COUNT($A$70:A138)+1)</f>
        <v>69</v>
      </c>
      <c r="B139" s="638">
        <v>843077</v>
      </c>
      <c r="C139" s="518" t="s">
        <v>593</v>
      </c>
      <c r="D139" s="618"/>
      <c r="E139" s="1287">
        <f>+SUMIF(sdmixer!$A:$A,usage!B139,sdmixer!$E:$E)</f>
        <v>24</v>
      </c>
      <c r="F139" s="593"/>
      <c r="G139" s="594"/>
      <c r="H139" s="593"/>
      <c r="I139" s="595">
        <f t="shared" si="28"/>
        <v>24</v>
      </c>
      <c r="K139" s="646"/>
      <c r="L139" s="1286"/>
    </row>
    <row r="140" spans="1:12" ht="21" customHeight="1" x14ac:dyDescent="0.25">
      <c r="A140" s="514">
        <f>IF(C140="","",COUNT($A$70:A139)+1)</f>
        <v>70</v>
      </c>
      <c r="B140" s="780"/>
      <c r="C140" s="518" t="s">
        <v>447</v>
      </c>
      <c r="D140" s="618"/>
      <c r="E140" s="1287">
        <f>+SUMIF(sdmixer!$A:$A,usage!B140,sdmixer!$E:$E)</f>
        <v>0</v>
      </c>
      <c r="F140" s="593"/>
      <c r="G140" s="594"/>
      <c r="H140" s="593"/>
      <c r="I140" s="595">
        <f t="shared" si="28"/>
        <v>0</v>
      </c>
      <c r="K140" s="646"/>
      <c r="L140" s="1286"/>
    </row>
    <row r="141" spans="1:12" ht="21" customHeight="1" x14ac:dyDescent="0.25">
      <c r="A141" s="514">
        <f>IF(C141="","",COUNT($A$70:A140)+1)</f>
        <v>71</v>
      </c>
      <c r="B141" s="620">
        <v>843140</v>
      </c>
      <c r="C141" s="518" t="s">
        <v>618</v>
      </c>
      <c r="D141" s="618"/>
      <c r="E141" s="1287">
        <f>+SUMIF(sdmixer!$A:$A,usage!B141,sdmixer!$E:$E)+SUMIF(sdmixer!$A:$A,"843084",sdmixer!$E:$E)</f>
        <v>25.3</v>
      </c>
      <c r="F141" s="593"/>
      <c r="G141" s="596"/>
      <c r="H141" s="593"/>
      <c r="I141" s="595">
        <f t="shared" si="28"/>
        <v>25.3</v>
      </c>
      <c r="K141" s="646"/>
      <c r="L141" s="1286"/>
    </row>
    <row r="142" spans="1:12" ht="21" customHeight="1" x14ac:dyDescent="0.25">
      <c r="A142" s="514">
        <f>IF(C142="","",COUNT($A$70:A141)+1)</f>
        <v>72</v>
      </c>
      <c r="B142" s="639">
        <v>843085</v>
      </c>
      <c r="C142" s="518" t="s">
        <v>404</v>
      </c>
      <c r="D142" s="618"/>
      <c r="E142" s="1287">
        <f>+SUMIF(sdmixer!$A:$A,usage!B142,sdmixer!$E:$E)</f>
        <v>0</v>
      </c>
      <c r="F142" s="593"/>
      <c r="G142" s="594"/>
      <c r="H142" s="593"/>
      <c r="I142" s="595">
        <f t="shared" si="28"/>
        <v>0</v>
      </c>
      <c r="K142" s="646"/>
      <c r="L142" s="1286"/>
    </row>
    <row r="143" spans="1:12" ht="21" customHeight="1" x14ac:dyDescent="0.25">
      <c r="A143" s="514">
        <f>IF(C143="","",COUNT($A$70:A142)+1)</f>
        <v>73</v>
      </c>
      <c r="B143" s="639"/>
      <c r="C143" s="518" t="s">
        <v>592</v>
      </c>
      <c r="D143" s="618"/>
      <c r="E143" s="1287">
        <f>+SUMIF(sdmixer!$A:$A,usage!B143,sdmixer!$E:$E)</f>
        <v>0</v>
      </c>
      <c r="F143" s="593"/>
      <c r="G143" s="594"/>
      <c r="H143" s="593"/>
      <c r="I143" s="595">
        <f t="shared" si="28"/>
        <v>0</v>
      </c>
      <c r="K143" s="646"/>
      <c r="L143" s="1286"/>
    </row>
    <row r="144" spans="1:12" ht="21" customHeight="1" x14ac:dyDescent="0.25">
      <c r="A144" s="514">
        <f>IF(C144="","",COUNT($A$70:A142)+1)</f>
        <v>73</v>
      </c>
      <c r="B144" s="639">
        <v>843254</v>
      </c>
      <c r="C144" s="518" t="s">
        <v>1829</v>
      </c>
      <c r="D144" s="618"/>
      <c r="E144" s="1287">
        <f>+SUMIF(sdmixer!$A:$A,usage!B144,sdmixer!$E:$E)</f>
        <v>0</v>
      </c>
      <c r="F144" s="593"/>
      <c r="G144" s="594"/>
      <c r="H144" s="593"/>
      <c r="I144" s="595">
        <f t="shared" si="28"/>
        <v>0</v>
      </c>
      <c r="K144" s="646"/>
      <c r="L144" s="1286"/>
    </row>
    <row r="145" spans="1:12" ht="21" customHeight="1" x14ac:dyDescent="0.25">
      <c r="A145" s="514">
        <f>IF(C145="","",COUNT($A$70:A142)+1)</f>
        <v>73</v>
      </c>
      <c r="B145" s="780"/>
      <c r="C145" s="518" t="s">
        <v>409</v>
      </c>
      <c r="D145" s="618"/>
      <c r="E145" s="1287">
        <f>+SUMIF(sdmixer!$A:$A,usage!B145,sdmixer!$E:$E)</f>
        <v>0</v>
      </c>
      <c r="F145" s="593"/>
      <c r="G145" s="594"/>
      <c r="H145" s="593"/>
      <c r="I145" s="595">
        <f t="shared" si="28"/>
        <v>0</v>
      </c>
      <c r="K145" s="646"/>
      <c r="L145" s="1286"/>
    </row>
    <row r="146" spans="1:12" ht="21" customHeight="1" x14ac:dyDescent="0.25">
      <c r="A146" s="514">
        <f>IF(C146="","",COUNT($A$70:A145)+1)</f>
        <v>76</v>
      </c>
      <c r="B146" s="782"/>
      <c r="C146" s="518" t="s">
        <v>610</v>
      </c>
      <c r="D146" s="618"/>
      <c r="E146" s="1287">
        <f>+SUMIF(sdmixer!$A:$A,usage!B146,sdmixer!$E:$E)</f>
        <v>0</v>
      </c>
      <c r="F146" s="593"/>
      <c r="G146" s="594"/>
      <c r="H146" s="593"/>
      <c r="I146" s="595">
        <f t="shared" si="28"/>
        <v>0</v>
      </c>
      <c r="K146" s="646"/>
      <c r="L146" s="1286"/>
    </row>
    <row r="147" spans="1:12" ht="21" customHeight="1" x14ac:dyDescent="0.25">
      <c r="A147" s="514">
        <f>IF(C147="","",COUNT($A$70:A146)+1)</f>
        <v>77</v>
      </c>
      <c r="B147" s="782">
        <v>843267</v>
      </c>
      <c r="C147" s="518" t="s">
        <v>604</v>
      </c>
      <c r="D147" s="618"/>
      <c r="E147" s="1287">
        <f>+SUMIF(sdmixer!$A:$A,usage!B147,sdmixer!$E:$E)-sdmixer!M59</f>
        <v>0</v>
      </c>
      <c r="F147" s="593"/>
      <c r="G147" s="594"/>
      <c r="H147" s="593"/>
      <c r="I147" s="595">
        <f t="shared" si="28"/>
        <v>0</v>
      </c>
      <c r="K147" s="646"/>
      <c r="L147" s="1286"/>
    </row>
    <row r="148" spans="1:12" ht="21" customHeight="1" x14ac:dyDescent="0.25">
      <c r="A148" s="514">
        <f>IF(C148="","",COUNT($A$70:A147)+1)</f>
        <v>78</v>
      </c>
      <c r="B148" s="781"/>
      <c r="C148" s="523" t="s">
        <v>514</v>
      </c>
      <c r="D148" s="619"/>
      <c r="E148" s="1287">
        <f>+SUMIF(sdmixer!$A:$A,usage!B148,sdmixer!$E:$E)</f>
        <v>0</v>
      </c>
      <c r="F148" s="593"/>
      <c r="G148" s="594"/>
      <c r="H148" s="593"/>
      <c r="I148" s="595">
        <f t="shared" si="28"/>
        <v>0</v>
      </c>
      <c r="J148" s="529"/>
      <c r="K148" s="646"/>
      <c r="L148" s="1286"/>
    </row>
    <row r="149" spans="1:12" ht="21" customHeight="1" x14ac:dyDescent="0.25">
      <c r="A149" s="514">
        <f>IF(C149="","",COUNT($A$70:A148)+1)</f>
        <v>79</v>
      </c>
      <c r="B149" s="638"/>
      <c r="C149" s="523" t="s">
        <v>405</v>
      </c>
      <c r="D149" s="619"/>
      <c r="E149" s="1287">
        <f>+SUMIF(sdmixer!$A:$A,usage!B149,sdmixer!$E:$E)</f>
        <v>0</v>
      </c>
      <c r="F149" s="593"/>
      <c r="G149" s="594"/>
      <c r="H149" s="593"/>
      <c r="I149" s="595">
        <f t="shared" si="28"/>
        <v>0</v>
      </c>
      <c r="J149" s="529"/>
      <c r="K149" s="646"/>
      <c r="L149" s="1286"/>
    </row>
    <row r="150" spans="1:12" ht="21" customHeight="1" x14ac:dyDescent="0.25">
      <c r="A150" s="514">
        <f>IF(C150="","",COUNT($A$70:A149)+1)</f>
        <v>80</v>
      </c>
      <c r="B150" s="638"/>
      <c r="C150" s="523" t="s">
        <v>926</v>
      </c>
      <c r="D150" s="619"/>
      <c r="E150" s="1287">
        <f>+SUMIF(sdmixer!$A:$A,usage!B150,sdmixer!$E:$E)</f>
        <v>0</v>
      </c>
      <c r="F150" s="593"/>
      <c r="G150" s="594"/>
      <c r="H150" s="593"/>
      <c r="I150" s="595">
        <f>+E150+G150</f>
        <v>0</v>
      </c>
      <c r="J150" s="529"/>
      <c r="K150" s="646"/>
      <c r="L150" s="1286"/>
    </row>
    <row r="151" spans="1:12" ht="21" customHeight="1" x14ac:dyDescent="0.25">
      <c r="A151" s="514">
        <f>IF(C151="","",COUNT($A$70:A149)+1)</f>
        <v>80</v>
      </c>
      <c r="B151" s="638">
        <v>843274</v>
      </c>
      <c r="C151" s="523" t="s">
        <v>934</v>
      </c>
      <c r="D151" s="619"/>
      <c r="E151" s="1287">
        <f>+SUMIF(sdmixer!$A:$A,usage!B151,sdmixer!$E:$E)</f>
        <v>16</v>
      </c>
      <c r="F151" s="593"/>
      <c r="G151" s="594"/>
      <c r="H151" s="593"/>
      <c r="I151" s="595">
        <f>+E151+G151</f>
        <v>16</v>
      </c>
      <c r="J151" s="529"/>
      <c r="K151" s="646"/>
      <c r="L151" s="1286"/>
    </row>
    <row r="152" spans="1:12" ht="21" customHeight="1" x14ac:dyDescent="0.25">
      <c r="A152" s="514">
        <f>IF(C152="","",COUNT($A$70:A150)+1)</f>
        <v>81</v>
      </c>
      <c r="B152" s="638"/>
      <c r="C152" s="523" t="s">
        <v>1590</v>
      </c>
      <c r="D152" s="619"/>
      <c r="E152" s="1287">
        <f>+SUMIF(sdmixer!$A:$A,usage!B152,sdmixer!$E:$E)</f>
        <v>0</v>
      </c>
      <c r="F152" s="593"/>
      <c r="G152" s="594"/>
      <c r="H152" s="593"/>
      <c r="I152" s="595">
        <f>+E152+G152</f>
        <v>0</v>
      </c>
      <c r="J152" s="529"/>
      <c r="K152" s="646"/>
      <c r="L152" s="1286"/>
    </row>
    <row r="153" spans="1:12" ht="21" customHeight="1" x14ac:dyDescent="0.25">
      <c r="A153" s="514">
        <f>IF(C153="","",COUNT($A$70:A152)+1)</f>
        <v>83</v>
      </c>
      <c r="B153" s="639">
        <v>842704</v>
      </c>
      <c r="C153" s="645" t="s">
        <v>525</v>
      </c>
      <c r="D153" s="619"/>
      <c r="E153" s="1287">
        <f>sdmixer!J15</f>
        <v>56</v>
      </c>
      <c r="F153" s="597"/>
      <c r="G153" s="598"/>
      <c r="H153" s="599"/>
      <c r="I153" s="1241">
        <f t="shared" si="28"/>
        <v>56</v>
      </c>
      <c r="J153" s="529"/>
      <c r="K153" s="646"/>
      <c r="L153" s="1286"/>
    </row>
    <row r="154" spans="1:12" ht="21" customHeight="1" x14ac:dyDescent="0.25">
      <c r="A154" s="514">
        <f>IF(C154="","",COUNT($A$70:A153)+1)</f>
        <v>84</v>
      </c>
      <c r="B154" s="781">
        <v>840032</v>
      </c>
      <c r="C154" s="523" t="s">
        <v>549</v>
      </c>
      <c r="D154" s="619"/>
      <c r="E154" s="1287">
        <f>+SUMIF(sdmixer!$A:$A,usage!B154,sdmixer!$E:$E)</f>
        <v>351.32</v>
      </c>
      <c r="F154" s="597"/>
      <c r="G154" s="598"/>
      <c r="H154" s="599"/>
      <c r="I154" s="595">
        <f t="shared" ref="I154:I161" si="29">+E154+G154</f>
        <v>351.32</v>
      </c>
      <c r="J154" s="529"/>
      <c r="K154" s="646"/>
      <c r="L154" s="1286"/>
    </row>
    <row r="155" spans="1:12" ht="21" customHeight="1" x14ac:dyDescent="0.25">
      <c r="A155" s="514">
        <f>IF(C155="","",COUNT($A$70:A154)+1)</f>
        <v>85</v>
      </c>
      <c r="B155" s="638">
        <v>840547</v>
      </c>
      <c r="C155" s="523" t="s">
        <v>546</v>
      </c>
      <c r="D155" s="619"/>
      <c r="E155" s="1287">
        <f>+SUMIF(sdmixer!$A:$A,usage!B155,sdmixer!$E:$E)</f>
        <v>38.61</v>
      </c>
      <c r="F155" s="597"/>
      <c r="G155" s="600"/>
      <c r="H155" s="597"/>
      <c r="I155" s="595">
        <f t="shared" si="29"/>
        <v>38.61</v>
      </c>
      <c r="J155" s="529"/>
      <c r="K155" s="646"/>
      <c r="L155" s="1286"/>
    </row>
    <row r="156" spans="1:12" ht="21" customHeight="1" x14ac:dyDescent="0.25">
      <c r="A156" s="514">
        <f>IF(C156="","",COUNT($A$70:A155)+1)</f>
        <v>86</v>
      </c>
      <c r="B156" s="831">
        <v>840065</v>
      </c>
      <c r="C156" s="523" t="s">
        <v>550</v>
      </c>
      <c r="D156" s="619"/>
      <c r="E156" s="1287">
        <f>+SUMIF(sdmixer!$A:$A,usage!B156,sdmixer!$E:$E)</f>
        <v>0</v>
      </c>
      <c r="F156" s="597"/>
      <c r="G156" s="600"/>
      <c r="H156" s="597"/>
      <c r="I156" s="595">
        <f t="shared" si="29"/>
        <v>0</v>
      </c>
      <c r="J156" s="529"/>
      <c r="K156" s="646"/>
      <c r="L156" s="1286"/>
    </row>
    <row r="157" spans="1:12" ht="21" customHeight="1" x14ac:dyDescent="0.25">
      <c r="A157" s="514">
        <f>IF(C157="","",COUNT($A$70:A156)+1)</f>
        <v>87</v>
      </c>
      <c r="B157" s="781" t="s">
        <v>849</v>
      </c>
      <c r="C157" s="523" t="s">
        <v>590</v>
      </c>
      <c r="D157" s="619"/>
      <c r="E157" s="1287">
        <f>+SUMIF(sdmixer!$A:$A,usage!B157,sdmixer!$E:$E)</f>
        <v>0</v>
      </c>
      <c r="F157" s="597"/>
      <c r="G157" s="600"/>
      <c r="H157" s="597"/>
      <c r="I157" s="595">
        <f>+E157+G157</f>
        <v>0</v>
      </c>
      <c r="J157" s="529"/>
      <c r="K157" s="646"/>
      <c r="L157" s="1286"/>
    </row>
    <row r="158" spans="1:12" ht="21" customHeight="1" x14ac:dyDescent="0.25">
      <c r="A158" s="514">
        <f>IF(C158="","",COUNT($A$70:A157)+1)</f>
        <v>88</v>
      </c>
      <c r="B158" s="781">
        <v>842546</v>
      </c>
      <c r="C158" s="523" t="s">
        <v>563</v>
      </c>
      <c r="D158" s="619"/>
      <c r="E158" s="1287">
        <f>+SUMIF(sdmixer!$A:$A,usage!B158,sdmixer!$E:$E)</f>
        <v>0</v>
      </c>
      <c r="F158" s="597"/>
      <c r="G158" s="600"/>
      <c r="H158" s="597"/>
      <c r="I158" s="595">
        <f t="shared" si="29"/>
        <v>0</v>
      </c>
      <c r="J158" s="529"/>
      <c r="K158" s="646"/>
      <c r="L158" s="1286"/>
    </row>
    <row r="159" spans="1:12" ht="21" customHeight="1" x14ac:dyDescent="0.25">
      <c r="A159" s="514">
        <f>IF(C159="","",COUNT($A$70:A158)+1)</f>
        <v>89</v>
      </c>
      <c r="B159" s="781"/>
      <c r="C159" s="523" t="s">
        <v>574</v>
      </c>
      <c r="D159" s="619"/>
      <c r="E159" s="1287">
        <f>+SUMIF(sdmixer!$A:$A,usage!B159,sdmixer!$E:$E)</f>
        <v>0</v>
      </c>
      <c r="F159" s="597"/>
      <c r="G159" s="600"/>
      <c r="H159" s="597"/>
      <c r="I159" s="595">
        <f t="shared" si="29"/>
        <v>0</v>
      </c>
      <c r="J159" s="529"/>
      <c r="K159" s="646"/>
      <c r="L159" s="1286"/>
    </row>
    <row r="160" spans="1:12" ht="21" customHeight="1" x14ac:dyDescent="0.25">
      <c r="A160" s="514">
        <f>IF(C160="","",COUNT($A$70:A159)+1)</f>
        <v>90</v>
      </c>
      <c r="B160" s="781" t="s">
        <v>866</v>
      </c>
      <c r="C160" s="523" t="s">
        <v>1650</v>
      </c>
      <c r="D160" s="619"/>
      <c r="E160" s="1287">
        <f>+SUMIF(sdmixer!$A:$A,usage!B160,sdmixer!$E:$E)</f>
        <v>8.1199999999999992</v>
      </c>
      <c r="F160" s="597"/>
      <c r="G160" s="600"/>
      <c r="H160" s="597"/>
      <c r="I160" s="595">
        <f t="shared" si="29"/>
        <v>8.1199999999999992</v>
      </c>
      <c r="J160" s="529"/>
      <c r="K160" s="646"/>
      <c r="L160" s="1286"/>
    </row>
    <row r="161" spans="1:12" ht="21" customHeight="1" x14ac:dyDescent="0.25">
      <c r="A161" s="514">
        <f>IF(C161="","",COUNT($A$70:A160)+1)</f>
        <v>91</v>
      </c>
      <c r="B161" s="639">
        <v>843172</v>
      </c>
      <c r="C161" s="523" t="s">
        <v>608</v>
      </c>
      <c r="D161" s="619"/>
      <c r="E161" s="1287">
        <f>+SUMIF(sdmixer!$A:$A,usage!B161,sdmixer!$E:$E)</f>
        <v>0</v>
      </c>
      <c r="F161" s="597"/>
      <c r="G161" s="600"/>
      <c r="H161" s="597"/>
      <c r="I161" s="595">
        <f t="shared" si="29"/>
        <v>0</v>
      </c>
      <c r="J161" s="529"/>
      <c r="K161" s="646"/>
      <c r="L161" s="1286"/>
    </row>
    <row r="162" spans="1:12" ht="21" customHeight="1" x14ac:dyDescent="0.25">
      <c r="A162" s="514">
        <f>IF(C162="","",COUNT($A$70:A161)+1)</f>
        <v>92</v>
      </c>
      <c r="B162" s="620" t="s">
        <v>852</v>
      </c>
      <c r="C162" s="523" t="s">
        <v>612</v>
      </c>
      <c r="D162" s="619"/>
      <c r="E162" s="1287">
        <f>+SUMIF(sdmixer!$A:$A,usage!B162,sdmixer!$E:$E)</f>
        <v>0</v>
      </c>
      <c r="F162" s="597"/>
      <c r="G162" s="600"/>
      <c r="H162" s="597"/>
      <c r="I162" s="595">
        <f t="shared" ref="I162:I223" si="30">+E162+G162</f>
        <v>0</v>
      </c>
      <c r="J162" s="529"/>
      <c r="K162" s="646"/>
      <c r="L162" s="1286"/>
    </row>
    <row r="163" spans="1:12" ht="21" customHeight="1" x14ac:dyDescent="0.25">
      <c r="A163" s="514">
        <f>IF(C163="","",COUNT($A$70:A162)+1)</f>
        <v>93</v>
      </c>
      <c r="B163" s="721">
        <v>840035</v>
      </c>
      <c r="C163" s="1276" t="s">
        <v>877</v>
      </c>
      <c r="D163" s="618"/>
      <c r="E163" s="1287">
        <f>+SUMIF(sdmixer!$A:$A,usage!B163,sdmixer!$E:$E)</f>
        <v>204.1</v>
      </c>
      <c r="F163" s="597"/>
      <c r="G163" s="600"/>
      <c r="H163" s="597"/>
      <c r="I163" s="595">
        <f t="shared" si="30"/>
        <v>204.1</v>
      </c>
      <c r="J163" s="529"/>
      <c r="K163" s="646"/>
      <c r="L163" s="1286"/>
    </row>
    <row r="164" spans="1:12" ht="21" customHeight="1" x14ac:dyDescent="0.25">
      <c r="A164" s="514">
        <f>IF(C164="","",COUNT($A$70:A163)+1)</f>
        <v>94</v>
      </c>
      <c r="B164" s="721">
        <v>3002</v>
      </c>
      <c r="C164" s="1276" t="s">
        <v>871</v>
      </c>
      <c r="D164" s="618"/>
      <c r="E164" s="1287">
        <f>+SUMIF(sdmixer!$A:$A,usage!B164,sdmixer!$E:$E)</f>
        <v>0</v>
      </c>
      <c r="F164" s="597"/>
      <c r="G164" s="600"/>
      <c r="H164" s="597"/>
      <c r="I164" s="595">
        <f t="shared" si="30"/>
        <v>0</v>
      </c>
      <c r="J164" s="529"/>
      <c r="K164" s="646"/>
      <c r="L164" s="1286"/>
    </row>
    <row r="165" spans="1:12" ht="21" customHeight="1" x14ac:dyDescent="0.25">
      <c r="A165" s="514">
        <f>IF(C165="","",COUNT($A$70:A164)+1)</f>
        <v>95</v>
      </c>
      <c r="B165" s="620">
        <v>3524</v>
      </c>
      <c r="C165" s="1277" t="s">
        <v>919</v>
      </c>
      <c r="D165" s="720"/>
      <c r="E165" s="1287">
        <f>+SUMIF(sdmixer!$A:$A,usage!B165,sdmixer!$E:$E)</f>
        <v>0</v>
      </c>
      <c r="F165" s="597"/>
      <c r="G165" s="600"/>
      <c r="H165" s="597"/>
      <c r="I165" s="595">
        <f t="shared" si="30"/>
        <v>0</v>
      </c>
      <c r="J165" s="529"/>
      <c r="K165" s="646"/>
      <c r="L165" s="1286"/>
    </row>
    <row r="166" spans="1:12" ht="21" customHeight="1" x14ac:dyDescent="0.25">
      <c r="A166" s="514">
        <f>IF(C166="","",COUNT($A$70:A165)+1)</f>
        <v>96</v>
      </c>
      <c r="B166" s="620">
        <v>3525</v>
      </c>
      <c r="C166" s="1276" t="s">
        <v>898</v>
      </c>
      <c r="D166" s="618"/>
      <c r="E166" s="1287">
        <f>+SUMIF(sdmixer!$A:$A,usage!B166,sdmixer!$E:$E)</f>
        <v>0</v>
      </c>
      <c r="F166" s="597"/>
      <c r="G166" s="600"/>
      <c r="H166" s="597"/>
      <c r="I166" s="595">
        <f t="shared" si="30"/>
        <v>0</v>
      </c>
      <c r="J166" s="529"/>
      <c r="K166" s="646"/>
      <c r="L166" s="1286"/>
    </row>
    <row r="167" spans="1:12" ht="21" customHeight="1" x14ac:dyDescent="0.25">
      <c r="A167" s="514">
        <f>IF(C167="","",COUNT($A$70:A166)+1)</f>
        <v>97</v>
      </c>
      <c r="B167" s="620" t="s">
        <v>994</v>
      </c>
      <c r="C167" s="1276" t="s">
        <v>903</v>
      </c>
      <c r="D167" s="618"/>
      <c r="E167" s="1287">
        <f>+SUMIF(sdmixer!$A:$A,usage!B167,sdmixer!$E:$E)</f>
        <v>160</v>
      </c>
      <c r="F167" s="597"/>
      <c r="G167" s="600"/>
      <c r="H167" s="597"/>
      <c r="I167" s="595">
        <f t="shared" si="30"/>
        <v>160</v>
      </c>
      <c r="J167" s="529"/>
      <c r="K167" s="646"/>
      <c r="L167" s="1286"/>
    </row>
    <row r="168" spans="1:12" ht="21" customHeight="1" x14ac:dyDescent="0.25">
      <c r="A168" s="514">
        <f>IF(C168="","",COUNT($A$70:A167)+1)</f>
        <v>98</v>
      </c>
      <c r="B168" s="620">
        <v>3536</v>
      </c>
      <c r="C168" s="1276" t="s">
        <v>905</v>
      </c>
      <c r="D168" s="618"/>
      <c r="E168" s="1287">
        <f>+SUMIF(sdmixer!$A:$A,usage!B168,sdmixer!$E:$E)</f>
        <v>0</v>
      </c>
      <c r="F168" s="597"/>
      <c r="G168" s="600"/>
      <c r="H168" s="597"/>
      <c r="I168" s="595">
        <f t="shared" si="30"/>
        <v>0</v>
      </c>
      <c r="J168" s="529"/>
      <c r="K168" s="646"/>
      <c r="L168" s="1286"/>
    </row>
    <row r="169" spans="1:12" ht="21" customHeight="1" x14ac:dyDescent="0.25">
      <c r="A169" s="514">
        <f>IF(C169="","",COUNT($A$70:A168)+1)</f>
        <v>99</v>
      </c>
      <c r="B169" s="620"/>
      <c r="C169" s="1276" t="s">
        <v>928</v>
      </c>
      <c r="D169" s="618"/>
      <c r="E169" s="1287">
        <f>+SUMIF(sdmixer!$A:$A,usage!B169,sdmixer!$E:$E)</f>
        <v>0</v>
      </c>
      <c r="F169" s="597"/>
      <c r="G169" s="600"/>
      <c r="H169" s="597"/>
      <c r="I169" s="595">
        <f>+E169+G169</f>
        <v>0</v>
      </c>
      <c r="J169" s="529"/>
      <c r="K169" s="646"/>
      <c r="L169" s="1286"/>
    </row>
    <row r="170" spans="1:12" ht="21" customHeight="1" x14ac:dyDescent="0.25">
      <c r="A170" s="514">
        <f>IF(C170="","",COUNT($A$70:A169)+1)</f>
        <v>100</v>
      </c>
      <c r="B170" s="781"/>
      <c r="C170" s="719" t="s">
        <v>559</v>
      </c>
      <c r="D170" s="720"/>
      <c r="E170" s="1287">
        <f>+SUMIF(sdmixer!$A:$A,usage!B170,sdmixer!$E:$E)</f>
        <v>0</v>
      </c>
      <c r="F170" s="593"/>
      <c r="G170" s="594"/>
      <c r="H170" s="593"/>
      <c r="I170" s="774">
        <f t="shared" si="30"/>
        <v>0</v>
      </c>
      <c r="J170" s="529"/>
      <c r="K170" s="646"/>
      <c r="L170" s="1286"/>
    </row>
    <row r="171" spans="1:12" ht="21" customHeight="1" x14ac:dyDescent="0.25">
      <c r="A171" s="514">
        <f>IF(C171="","",COUNT($A$70:A170)+1)</f>
        <v>101</v>
      </c>
      <c r="B171" s="783">
        <v>840245</v>
      </c>
      <c r="C171" s="523" t="s">
        <v>1112</v>
      </c>
      <c r="D171" s="619"/>
      <c r="E171" s="1287">
        <f>+SUMIF(sdmixer!$A:$A,usage!B171,sdmixer!$E:$E)</f>
        <v>69.819999999999993</v>
      </c>
      <c r="F171" s="1179"/>
      <c r="G171" s="598"/>
      <c r="H171" s="1179"/>
      <c r="I171" s="774">
        <f t="shared" ref="I171" si="31">+E171+G171</f>
        <v>69.819999999999993</v>
      </c>
      <c r="J171" s="529"/>
      <c r="K171" s="646"/>
      <c r="L171" s="1286"/>
    </row>
    <row r="172" spans="1:12" ht="21" customHeight="1" x14ac:dyDescent="0.25">
      <c r="A172" s="514">
        <f>IF(C172="","",COUNT($A$70:A171)+1)</f>
        <v>102</v>
      </c>
      <c r="B172" s="781">
        <v>3008</v>
      </c>
      <c r="C172" s="518" t="s">
        <v>1139</v>
      </c>
      <c r="D172" s="618"/>
      <c r="E172" s="1287">
        <f>+SUMIF(sdmixer!$A:$A,usage!B172,sdmixer!$E:$E)</f>
        <v>0</v>
      </c>
      <c r="F172" s="593"/>
      <c r="G172" s="598"/>
      <c r="H172" s="1179"/>
      <c r="I172" s="774">
        <f t="shared" ref="I172" si="32">+E172+G172</f>
        <v>0</v>
      </c>
      <c r="J172" s="529"/>
      <c r="K172" s="646"/>
      <c r="L172" s="1286"/>
    </row>
    <row r="173" spans="1:12" ht="21" customHeight="1" x14ac:dyDescent="0.25">
      <c r="A173" s="514">
        <f>IF(C173="","",COUNT($A$70:A172)+1)</f>
        <v>103</v>
      </c>
      <c r="B173" s="781">
        <v>3521</v>
      </c>
      <c r="C173" s="518" t="s">
        <v>1154</v>
      </c>
      <c r="D173" s="618"/>
      <c r="E173" s="1287">
        <f>+SUMIF(sdmixer!$A:$A,usage!B173,sdmixer!$E:$E)</f>
        <v>0</v>
      </c>
      <c r="F173" s="593"/>
      <c r="G173" s="598"/>
      <c r="H173" s="1179"/>
      <c r="I173" s="774">
        <f t="shared" ref="I173" si="33">+E173+G173</f>
        <v>0</v>
      </c>
      <c r="J173" s="529"/>
      <c r="K173" s="646"/>
      <c r="L173" s="1286"/>
    </row>
    <row r="174" spans="1:12" ht="21" customHeight="1" x14ac:dyDescent="0.25">
      <c r="A174" s="514">
        <f>IF(C174="","",COUNT($A$70:A173)+1)</f>
        <v>104</v>
      </c>
      <c r="B174" s="781">
        <v>3009</v>
      </c>
      <c r="C174" s="518" t="s">
        <v>1161</v>
      </c>
      <c r="D174" s="618"/>
      <c r="E174" s="1287">
        <f>+SUMIF(sdmixer!$A:$A,usage!B174,sdmixer!$E:$E)</f>
        <v>0</v>
      </c>
      <c r="F174" s="593"/>
      <c r="G174" s="598"/>
      <c r="H174" s="1179"/>
      <c r="I174" s="774">
        <f t="shared" ref="I174" si="34">+E174+G174</f>
        <v>0</v>
      </c>
      <c r="J174" s="529"/>
      <c r="K174" s="646"/>
      <c r="L174" s="1286"/>
    </row>
    <row r="175" spans="1:12" ht="21" customHeight="1" x14ac:dyDescent="0.25">
      <c r="A175" s="514">
        <f>IF(C175="","",COUNT($A$70:A174)+1)</f>
        <v>105</v>
      </c>
      <c r="B175" s="781">
        <v>3542</v>
      </c>
      <c r="C175" s="518" t="s">
        <v>1181</v>
      </c>
      <c r="D175" s="618"/>
      <c r="E175" s="1287">
        <f>+SUMIF(sdmixer!$A:$A,usage!B175,sdmixer!$E:$E)</f>
        <v>0</v>
      </c>
      <c r="F175" s="593"/>
      <c r="G175" s="598"/>
      <c r="H175" s="1179"/>
      <c r="I175" s="774">
        <f t="shared" ref="I175" si="35">+E175+G175</f>
        <v>0</v>
      </c>
      <c r="J175" s="529"/>
      <c r="K175" s="646"/>
      <c r="L175" s="1286"/>
    </row>
    <row r="176" spans="1:12" ht="21" customHeight="1" x14ac:dyDescent="0.25">
      <c r="A176" s="514">
        <f>IF(C176="","",COUNT($A$70:A175)+1)</f>
        <v>106</v>
      </c>
      <c r="B176" s="781">
        <v>3540</v>
      </c>
      <c r="C176" s="518" t="s">
        <v>1176</v>
      </c>
      <c r="D176" s="618"/>
      <c r="E176" s="1287">
        <f>+SUMIF(sdmixer!$A:$A,usage!B176,sdmixer!$E:$E)</f>
        <v>0</v>
      </c>
      <c r="F176" s="593"/>
      <c r="G176" s="598"/>
      <c r="H176" s="1179"/>
      <c r="I176" s="774">
        <f t="shared" ref="I176" si="36">+E176+G176</f>
        <v>0</v>
      </c>
      <c r="J176" s="529"/>
      <c r="K176" s="646"/>
      <c r="L176" s="1286"/>
    </row>
    <row r="177" spans="1:12" ht="21" customHeight="1" x14ac:dyDescent="0.25">
      <c r="A177" s="514">
        <f>IF(C177="","",COUNT($A$70:A176)+1)</f>
        <v>107</v>
      </c>
      <c r="B177" s="781">
        <v>842615</v>
      </c>
      <c r="C177" s="518" t="s">
        <v>1193</v>
      </c>
      <c r="D177" s="618"/>
      <c r="E177" s="1287">
        <f>+SUMIF(sdmixer!$A:$A,usage!B177,sdmixer!$E:$E)</f>
        <v>0</v>
      </c>
      <c r="F177" s="593"/>
      <c r="G177" s="598"/>
      <c r="H177" s="1179"/>
      <c r="I177" s="774">
        <f t="shared" ref="I177" si="37">+E177+G177</f>
        <v>0</v>
      </c>
      <c r="J177" s="529"/>
      <c r="K177" s="646"/>
      <c r="L177" s="1286"/>
    </row>
    <row r="178" spans="1:12" ht="21" customHeight="1" x14ac:dyDescent="0.25">
      <c r="A178" s="514">
        <f>IF(C178="","",COUNT($A$70:A177)+1)</f>
        <v>108</v>
      </c>
      <c r="B178" s="781">
        <v>3041</v>
      </c>
      <c r="C178" s="518" t="s">
        <v>1269</v>
      </c>
      <c r="D178" s="618"/>
      <c r="E178" s="1287">
        <f>+SUMIF(sdmixer!$A:$A,usage!B178,sdmixer!$E:$E)</f>
        <v>0</v>
      </c>
      <c r="F178" s="593"/>
      <c r="G178" s="598"/>
      <c r="H178" s="1179"/>
      <c r="I178" s="774">
        <f t="shared" ref="I178" si="38">+E178+G178</f>
        <v>0</v>
      </c>
      <c r="J178" s="529"/>
      <c r="K178" s="646"/>
      <c r="L178" s="1286"/>
    </row>
    <row r="179" spans="1:12" ht="21" customHeight="1" x14ac:dyDescent="0.25">
      <c r="A179" s="514">
        <f>IF(C179="","",COUNT($A$70:A178)+1)</f>
        <v>109</v>
      </c>
      <c r="B179" s="781">
        <v>3044</v>
      </c>
      <c r="C179" s="518" t="s">
        <v>1270</v>
      </c>
      <c r="D179" s="618"/>
      <c r="E179" s="1287">
        <f>+SUMIF(sdmixer!$A:$A,usage!B179,sdmixer!$E:$E)</f>
        <v>0</v>
      </c>
      <c r="F179" s="593"/>
      <c r="G179" s="598"/>
      <c r="H179" s="1179"/>
      <c r="I179" s="774">
        <f t="shared" ref="I179" si="39">+E179+G179</f>
        <v>0</v>
      </c>
      <c r="J179" s="529"/>
      <c r="K179" s="646"/>
      <c r="L179" s="1286"/>
    </row>
    <row r="180" spans="1:12" ht="21" customHeight="1" x14ac:dyDescent="0.25">
      <c r="A180" s="514">
        <f>IF(C180="","",COUNT($A$70:A179)+1)</f>
        <v>110</v>
      </c>
      <c r="B180" s="781">
        <v>3043</v>
      </c>
      <c r="C180" s="518" t="s">
        <v>1271</v>
      </c>
      <c r="D180" s="618"/>
      <c r="E180" s="1287">
        <f>+SUMIF(sdmixer!$A:$A,usage!B180,sdmixer!$E:$E)</f>
        <v>0</v>
      </c>
      <c r="F180" s="593"/>
      <c r="G180" s="598"/>
      <c r="H180" s="1179"/>
      <c r="I180" s="774">
        <f t="shared" ref="I180" si="40">+E180+G180</f>
        <v>0</v>
      </c>
      <c r="J180" s="529"/>
      <c r="K180" s="646"/>
      <c r="L180" s="1286"/>
    </row>
    <row r="181" spans="1:12" ht="21" customHeight="1" x14ac:dyDescent="0.25">
      <c r="A181" s="514">
        <f>IF(C181="","",COUNT($A$70:A180)+1)</f>
        <v>111</v>
      </c>
      <c r="B181" s="781">
        <v>3049</v>
      </c>
      <c r="C181" s="518" t="s">
        <v>1301</v>
      </c>
      <c r="D181" s="618"/>
      <c r="E181" s="1287">
        <f>+SUMIF(sdmixer!$A:$A,usage!B181,sdmixer!$E:$E)</f>
        <v>0</v>
      </c>
      <c r="F181" s="593"/>
      <c r="G181" s="598"/>
      <c r="H181" s="1179"/>
      <c r="I181" s="774">
        <f t="shared" ref="I181" si="41">+E181+G181</f>
        <v>0</v>
      </c>
      <c r="J181" s="529"/>
      <c r="K181" s="646"/>
      <c r="L181" s="1286"/>
    </row>
    <row r="182" spans="1:12" ht="21" customHeight="1" x14ac:dyDescent="0.25">
      <c r="A182" s="514">
        <f>IF(C182="","",COUNT($A$70:A181)+1)</f>
        <v>112</v>
      </c>
      <c r="B182" s="781">
        <v>3042</v>
      </c>
      <c r="C182" s="518" t="s">
        <v>1272</v>
      </c>
      <c r="D182" s="618"/>
      <c r="E182" s="1287">
        <f>+SUMIF(sdmixer!$A:$A,usage!B182,sdmixer!$E:$E)</f>
        <v>0</v>
      </c>
      <c r="F182" s="593"/>
      <c r="G182" s="598"/>
      <c r="H182" s="1179"/>
      <c r="I182" s="774">
        <f t="shared" ref="I182" si="42">+E182+G182</f>
        <v>0</v>
      </c>
      <c r="J182" s="529"/>
      <c r="K182" s="646"/>
      <c r="L182" s="1286"/>
    </row>
    <row r="183" spans="1:12" ht="21" customHeight="1" x14ac:dyDescent="0.25">
      <c r="A183" s="514">
        <f>IF(C183="","",COUNT($A$70:A182)+1)</f>
        <v>113</v>
      </c>
      <c r="B183" s="781">
        <v>3039</v>
      </c>
      <c r="C183" s="518" t="s">
        <v>1226</v>
      </c>
      <c r="D183" s="618"/>
      <c r="E183" s="1287">
        <f>+SUMIF(sdmixer!$A:$A,usage!B183,sdmixer!$E:$E)</f>
        <v>0</v>
      </c>
      <c r="F183" s="593"/>
      <c r="G183" s="598"/>
      <c r="H183" s="1179"/>
      <c r="I183" s="774">
        <f t="shared" ref="I183" si="43">+E183+G183</f>
        <v>0</v>
      </c>
      <c r="J183" s="529"/>
      <c r="K183" s="646"/>
      <c r="L183" s="1286"/>
    </row>
    <row r="184" spans="1:12" ht="21" customHeight="1" x14ac:dyDescent="0.25">
      <c r="A184" s="514">
        <f>IF(C184="","",COUNT($A$70:A183)+1)</f>
        <v>114</v>
      </c>
      <c r="B184" s="783">
        <v>3007</v>
      </c>
      <c r="C184" s="719" t="s">
        <v>1118</v>
      </c>
      <c r="D184" s="720"/>
      <c r="E184" s="1287">
        <f>+SUMIF(sdmixer!$A:$A,usage!B184,sdmixer!$E:$E)</f>
        <v>0</v>
      </c>
      <c r="F184" s="1179"/>
      <c r="G184" s="600"/>
      <c r="H184" s="597"/>
      <c r="I184" s="1264">
        <f t="shared" ref="I184" si="44">+E184+G184</f>
        <v>0</v>
      </c>
      <c r="J184" s="529"/>
      <c r="K184" s="646"/>
      <c r="L184" s="1286"/>
    </row>
    <row r="185" spans="1:12" ht="21" customHeight="1" x14ac:dyDescent="0.25">
      <c r="A185" s="514">
        <f>IF(C185="","",COUNT($A$70:A184)+1)</f>
        <v>115</v>
      </c>
      <c r="B185" s="1270">
        <v>840019</v>
      </c>
      <c r="C185" s="512" t="s">
        <v>1314</v>
      </c>
      <c r="D185" s="619"/>
      <c r="E185" s="1287">
        <f>+SUMIF(sdmixer!$A:$A,usage!B185,sdmixer!$E:$E)</f>
        <v>1040.9100000000001</v>
      </c>
      <c r="F185" s="597"/>
      <c r="G185" s="600"/>
      <c r="H185" s="597"/>
      <c r="I185" s="1271">
        <f t="shared" ref="I185" si="45">+E185+G185</f>
        <v>1040.9100000000001</v>
      </c>
      <c r="J185" s="529"/>
      <c r="K185" s="646"/>
      <c r="L185" s="1286"/>
    </row>
    <row r="186" spans="1:12" ht="21" customHeight="1" x14ac:dyDescent="0.25">
      <c r="A186" s="514">
        <f>IF(C186="","",COUNT($A$70:A185)+1)</f>
        <v>116</v>
      </c>
      <c r="B186" s="1270">
        <v>3553</v>
      </c>
      <c r="C186" s="512" t="s">
        <v>1340</v>
      </c>
      <c r="D186" s="619"/>
      <c r="E186" s="1287">
        <f>+SUMIF(sdmixer!$A:$A,usage!B186,sdmixer!$E:$E)</f>
        <v>0</v>
      </c>
      <c r="F186" s="597"/>
      <c r="G186" s="600"/>
      <c r="H186" s="597"/>
      <c r="I186" s="1271">
        <f t="shared" ref="I186:I189" si="46">+E186+G186</f>
        <v>0</v>
      </c>
      <c r="J186" s="529"/>
      <c r="K186" s="646"/>
      <c r="L186" s="1286"/>
    </row>
    <row r="187" spans="1:12" ht="21" customHeight="1" x14ac:dyDescent="0.25">
      <c r="A187" s="514">
        <f>IF(C187="","",COUNT($A$70:A186)+1)</f>
        <v>117</v>
      </c>
      <c r="B187" s="1270">
        <v>843008</v>
      </c>
      <c r="C187" s="512" t="s">
        <v>1583</v>
      </c>
      <c r="D187" s="619"/>
      <c r="E187" s="1287">
        <f>+SUMIF(sdmixer!$A:$A,usage!B187,sdmixer!$E:$E)</f>
        <v>0</v>
      </c>
      <c r="F187" s="597"/>
      <c r="G187" s="600"/>
      <c r="H187" s="597"/>
      <c r="I187" s="1271">
        <f t="shared" si="46"/>
        <v>0</v>
      </c>
      <c r="J187" s="529"/>
      <c r="K187" s="646"/>
      <c r="L187" s="1286"/>
    </row>
    <row r="188" spans="1:12" ht="21" customHeight="1" x14ac:dyDescent="0.25">
      <c r="A188" s="514">
        <f>IF(C188="","",COUNT($A$70:A187)+1)</f>
        <v>118</v>
      </c>
      <c r="B188" s="1270">
        <v>842841</v>
      </c>
      <c r="C188" s="512" t="s">
        <v>1370</v>
      </c>
      <c r="D188" s="619"/>
      <c r="E188" s="1289">
        <f>+SUMIF(sdmixer!$A:$A,usage!B188,sdmixer!$E:$E)</f>
        <v>0</v>
      </c>
      <c r="F188" s="597"/>
      <c r="G188" s="600"/>
      <c r="H188" s="597"/>
      <c r="I188" s="1271">
        <f t="shared" si="46"/>
        <v>0</v>
      </c>
      <c r="J188" s="529"/>
      <c r="K188" s="646"/>
      <c r="L188" s="1286"/>
    </row>
    <row r="189" spans="1:12" ht="21" customHeight="1" x14ac:dyDescent="0.25">
      <c r="A189" s="514">
        <f>IF(C189="","",COUNT($A$70:A188)+1)</f>
        <v>119</v>
      </c>
      <c r="B189" s="1270">
        <v>842133</v>
      </c>
      <c r="C189" s="512" t="s">
        <v>1409</v>
      </c>
      <c r="D189" s="619"/>
      <c r="E189" s="1289">
        <f>+SUMIF(sdmixer!$A:$A,usage!B189,sdmixer!$E:$E)</f>
        <v>124.62</v>
      </c>
      <c r="F189" s="597"/>
      <c r="G189" s="600"/>
      <c r="H189" s="597"/>
      <c r="I189" s="1271">
        <f t="shared" si="46"/>
        <v>124.62</v>
      </c>
      <c r="J189" s="529"/>
      <c r="K189" s="646"/>
      <c r="L189" s="1286"/>
    </row>
    <row r="190" spans="1:12" ht="21" customHeight="1" x14ac:dyDescent="0.25">
      <c r="A190" s="514">
        <f>IF(C190="","",COUNT($A$70:A189)+1)</f>
        <v>120</v>
      </c>
      <c r="B190" s="1270">
        <v>843096</v>
      </c>
      <c r="C190" s="512" t="s">
        <v>1518</v>
      </c>
      <c r="D190" s="619"/>
      <c r="E190" s="1289">
        <f>+SUMIF(sdmixer!$A:$A,usage!B190,sdmixer!$E:$E)</f>
        <v>0</v>
      </c>
      <c r="F190" s="597"/>
      <c r="G190" s="600"/>
      <c r="H190" s="597"/>
      <c r="I190" s="1271">
        <f t="shared" ref="I190:I191" si="47">+E190+G190</f>
        <v>0</v>
      </c>
      <c r="J190" s="529"/>
      <c r="K190" s="646"/>
      <c r="L190" s="1286"/>
    </row>
    <row r="191" spans="1:12" ht="21" customHeight="1" x14ac:dyDescent="0.25">
      <c r="A191" s="1757">
        <f>IF(C191="","",COUNT($A$70:A189)+1)</f>
        <v>120</v>
      </c>
      <c r="B191" s="1270">
        <v>842520</v>
      </c>
      <c r="C191" s="512" t="s">
        <v>1527</v>
      </c>
      <c r="D191" s="619"/>
      <c r="E191" s="1758">
        <f>+SUMIF(sdmixer!$A:$A,usage!B191,sdmixer!$E:$E)</f>
        <v>8.85</v>
      </c>
      <c r="F191" s="597"/>
      <c r="G191" s="600"/>
      <c r="H191" s="597"/>
      <c r="I191" s="1271">
        <f t="shared" si="47"/>
        <v>8.85</v>
      </c>
      <c r="J191" s="529"/>
      <c r="K191" s="646"/>
      <c r="L191" s="1286"/>
    </row>
    <row r="192" spans="1:12" ht="21" customHeight="1" x14ac:dyDescent="0.25">
      <c r="A192" s="1760">
        <f>IF(C192="","",COUNT($A$70:A190)+1)</f>
        <v>121</v>
      </c>
      <c r="B192" s="1270">
        <v>840224</v>
      </c>
      <c r="C192" s="512" t="s">
        <v>1533</v>
      </c>
      <c r="D192" s="619"/>
      <c r="E192" s="1758">
        <f>+SUMIF(sdmixer!$A:$A,usage!B192,sdmixer!$E:$E)</f>
        <v>27.3</v>
      </c>
      <c r="F192" s="597"/>
      <c r="G192" s="600"/>
      <c r="H192" s="597"/>
      <c r="I192" s="1271">
        <f t="shared" ref="I192" si="48">+E192+G192</f>
        <v>27.3</v>
      </c>
      <c r="J192" s="529"/>
      <c r="K192" s="646"/>
      <c r="L192" s="1286"/>
    </row>
    <row r="193" spans="1:12" ht="21" customHeight="1" x14ac:dyDescent="0.25">
      <c r="A193" s="1760">
        <f>IF(C193="","",COUNT($A$70:A191)+1)</f>
        <v>122</v>
      </c>
      <c r="B193" s="1270">
        <v>3589</v>
      </c>
      <c r="C193" s="512" t="s">
        <v>1612</v>
      </c>
      <c r="D193" s="619"/>
      <c r="E193" s="1758">
        <f>+SUMIF(sdmixer!$A:$A,usage!B193,sdmixer!$E:$E)</f>
        <v>0</v>
      </c>
      <c r="F193" s="597"/>
      <c r="G193" s="600"/>
      <c r="H193" s="597"/>
      <c r="I193" s="1271">
        <f t="shared" ref="I193" si="49">+E193+G193</f>
        <v>0</v>
      </c>
      <c r="J193" s="529"/>
      <c r="K193" s="646"/>
      <c r="L193" s="1286"/>
    </row>
    <row r="194" spans="1:12" ht="21" customHeight="1" x14ac:dyDescent="0.25">
      <c r="A194" s="1760">
        <f>IF(C194="","",COUNT($A$70:A192)+1)</f>
        <v>123</v>
      </c>
      <c r="B194" s="1270">
        <v>840197</v>
      </c>
      <c r="C194" s="512" t="s">
        <v>1519</v>
      </c>
      <c r="D194" s="619"/>
      <c r="E194" s="1758">
        <f>+SUMIF(sdmixer!$A:$A,usage!B194,sdmixer!$E:$E)</f>
        <v>62.63</v>
      </c>
      <c r="F194" s="597"/>
      <c r="G194" s="600"/>
      <c r="H194" s="597"/>
      <c r="I194" s="1271">
        <f>+E194+G194</f>
        <v>62.63</v>
      </c>
      <c r="J194" s="529"/>
      <c r="K194" s="646"/>
      <c r="L194" s="1286"/>
    </row>
    <row r="195" spans="1:12" ht="21" customHeight="1" x14ac:dyDescent="0.25">
      <c r="A195" s="1760">
        <f>IF(C195="","",COUNT($A$70:A193)+1)</f>
        <v>124</v>
      </c>
      <c r="B195" s="1270">
        <v>842242</v>
      </c>
      <c r="C195" s="512" t="s">
        <v>1536</v>
      </c>
      <c r="D195" s="619"/>
      <c r="E195" s="1758">
        <f>+SUMIF(sdmixer!$A:$A,usage!B195,sdmixer!$E:$E)</f>
        <v>0</v>
      </c>
      <c r="F195" s="597"/>
      <c r="G195" s="600"/>
      <c r="H195" s="597"/>
      <c r="I195" s="1271">
        <f>+E195+G195</f>
        <v>0</v>
      </c>
      <c r="J195" s="529"/>
      <c r="K195" s="646"/>
      <c r="L195" s="1286"/>
    </row>
    <row r="196" spans="1:12" ht="21" customHeight="1" x14ac:dyDescent="0.25">
      <c r="A196" s="1841">
        <f>IF(C196="","",COUNT($A$70:A194)+1)</f>
        <v>125</v>
      </c>
      <c r="B196" s="781">
        <v>842880</v>
      </c>
      <c r="C196" s="1842" t="s">
        <v>1632</v>
      </c>
      <c r="D196" s="618"/>
      <c r="E196" s="1843">
        <f>+SUMIF(sdmixer!$A:$A,usage!B196,sdmixer!$E:$E)</f>
        <v>420.74</v>
      </c>
      <c r="F196" s="593"/>
      <c r="G196" s="594"/>
      <c r="H196" s="593"/>
      <c r="I196" s="595">
        <f t="shared" ref="I196:I201" si="50">+E196+G196</f>
        <v>420.74</v>
      </c>
      <c r="J196" s="529"/>
      <c r="K196" s="646"/>
      <c r="L196" s="1286"/>
    </row>
    <row r="197" spans="1:12" ht="21" customHeight="1" x14ac:dyDescent="0.25">
      <c r="A197" s="1841">
        <f>IF(C197="","",COUNT($A$70:A195)+1)</f>
        <v>126</v>
      </c>
      <c r="B197">
        <v>3607</v>
      </c>
      <c r="C197" s="1842" t="s">
        <v>1634</v>
      </c>
      <c r="D197" s="618"/>
      <c r="E197" s="1843">
        <f>+SUMIF(sdmixer!$A:$A,usage!B197,sdmixer!$E:$E)</f>
        <v>94.2</v>
      </c>
      <c r="F197" s="593"/>
      <c r="G197" s="594"/>
      <c r="H197" s="593"/>
      <c r="I197" s="595">
        <f t="shared" si="50"/>
        <v>94.2</v>
      </c>
      <c r="J197" s="529"/>
      <c r="K197" s="646"/>
      <c r="L197" s="1286"/>
    </row>
    <row r="198" spans="1:12" ht="21" customHeight="1" x14ac:dyDescent="0.25">
      <c r="A198" s="1841">
        <f>IF(C198="","",COUNT($A$70:A195)+1)</f>
        <v>126</v>
      </c>
      <c r="B198">
        <v>3602</v>
      </c>
      <c r="C198" s="1842" t="s">
        <v>1647</v>
      </c>
      <c r="D198" s="618"/>
      <c r="E198" s="1843">
        <f>+SUMIF(sdmixer!$A:$A,usage!B198,sdmixer!$E:$E)</f>
        <v>298.64999999999998</v>
      </c>
      <c r="F198" s="593"/>
      <c r="G198" s="594"/>
      <c r="H198" s="593"/>
      <c r="I198" s="595">
        <f t="shared" ref="I198" si="51">+E198+G198</f>
        <v>298.64999999999998</v>
      </c>
      <c r="J198" s="529"/>
      <c r="K198" s="646"/>
      <c r="L198" s="1286"/>
    </row>
    <row r="199" spans="1:12" ht="21" customHeight="1" x14ac:dyDescent="0.25">
      <c r="A199" s="1841">
        <f>IF(C199="","",COUNT($A$70:A196)+1)</f>
        <v>127</v>
      </c>
      <c r="B199" s="781">
        <v>841327</v>
      </c>
      <c r="C199" s="1842" t="s">
        <v>1646</v>
      </c>
      <c r="D199" s="618"/>
      <c r="E199" s="1843">
        <f>+SUMIF(sdmixer!$A:$A,usage!B199,sdmixer!$E:$E)</f>
        <v>32.049999999999997</v>
      </c>
      <c r="F199" s="593"/>
      <c r="G199" s="594"/>
      <c r="H199" s="593"/>
      <c r="I199" s="595">
        <f t="shared" si="50"/>
        <v>32.049999999999997</v>
      </c>
      <c r="J199" s="529"/>
      <c r="K199" s="646"/>
      <c r="L199" s="1286"/>
    </row>
    <row r="200" spans="1:12" ht="21" customHeight="1" x14ac:dyDescent="0.25">
      <c r="A200" s="1841">
        <f>IF(C200="","",COUNT($A$70:A197)+1)</f>
        <v>128</v>
      </c>
      <c r="B200">
        <v>3606</v>
      </c>
      <c r="C200" s="1842" t="s">
        <v>1645</v>
      </c>
      <c r="D200" s="618"/>
      <c r="E200" s="1843">
        <f>+SUMIF(sdmixer!$A:$A,usage!B200,sdmixer!$E:$E)</f>
        <v>711.59</v>
      </c>
      <c r="F200" s="593"/>
      <c r="G200" s="594"/>
      <c r="H200" s="593"/>
      <c r="I200" s="595">
        <f t="shared" si="50"/>
        <v>711.59</v>
      </c>
      <c r="J200" s="529"/>
      <c r="K200" s="646"/>
      <c r="L200" s="1286"/>
    </row>
    <row r="201" spans="1:12" ht="21" customHeight="1" x14ac:dyDescent="0.25">
      <c r="A201" s="1757">
        <f>IF(C201="","",COUNT($A$70:A199)+1)</f>
        <v>130</v>
      </c>
      <c r="B201">
        <v>3603</v>
      </c>
      <c r="C201" s="1848" t="s">
        <v>1648</v>
      </c>
      <c r="D201" s="720"/>
      <c r="E201" s="1289">
        <f>+SUMIF(sdmixer!$A:$A,usage!B201,sdmixer!$E:$E)</f>
        <v>4393</v>
      </c>
      <c r="F201" s="1847"/>
      <c r="G201" s="598"/>
      <c r="H201" s="1847"/>
      <c r="I201" s="1264">
        <f t="shared" si="50"/>
        <v>4393</v>
      </c>
      <c r="J201" s="529"/>
      <c r="K201" s="646"/>
      <c r="L201" s="1286"/>
    </row>
    <row r="202" spans="1:12" ht="21" customHeight="1" x14ac:dyDescent="0.25">
      <c r="A202" s="1757">
        <f>IF(C202="","",COUNT($A$70:A200)+1)</f>
        <v>131</v>
      </c>
      <c r="B202" s="1855">
        <v>840929</v>
      </c>
      <c r="C202" s="512" t="s">
        <v>1658</v>
      </c>
      <c r="D202" s="619"/>
      <c r="E202" s="1289">
        <f>+SUMIF(sdmixer!$A:$A,usage!B202,sdmixer!$E:$E)</f>
        <v>81.56</v>
      </c>
      <c r="F202" s="597"/>
      <c r="G202" s="600"/>
      <c r="H202" s="597"/>
      <c r="I202" s="1271">
        <f t="shared" ref="I202:I209" si="52">+E202+G202</f>
        <v>81.56</v>
      </c>
      <c r="J202" s="529"/>
      <c r="K202" s="646"/>
      <c r="L202" s="1286"/>
    </row>
    <row r="203" spans="1:12" ht="21" customHeight="1" x14ac:dyDescent="0.25">
      <c r="A203" s="1757">
        <f>IF(C203="","",COUNT($A$70:A201)+1)</f>
        <v>132</v>
      </c>
      <c r="B203" s="1857">
        <v>840194</v>
      </c>
      <c r="C203" s="512" t="s">
        <v>1665</v>
      </c>
      <c r="D203" s="619"/>
      <c r="E203" s="1758">
        <f>+SUMIF(sdmixer!$A:$A,usage!B203,sdmixer!$E:$E)</f>
        <v>162.88</v>
      </c>
      <c r="F203" s="597"/>
      <c r="G203" s="600"/>
      <c r="H203" s="597"/>
      <c r="I203" s="1271">
        <f t="shared" si="52"/>
        <v>162.88</v>
      </c>
      <c r="J203" s="529"/>
      <c r="K203" s="646"/>
      <c r="L203" s="1286"/>
    </row>
    <row r="204" spans="1:12" ht="21" customHeight="1" x14ac:dyDescent="0.25">
      <c r="A204" s="1757">
        <f>IF(C204="","",COUNT($A$70:A201)+1)</f>
        <v>132</v>
      </c>
      <c r="B204" s="1857">
        <v>833113</v>
      </c>
      <c r="C204" s="512" t="s">
        <v>1698</v>
      </c>
      <c r="D204" s="619"/>
      <c r="E204" s="1758">
        <f>+SUMIF(sdmixer!$A:$A,usage!B204,sdmixer!$E:$E)</f>
        <v>0</v>
      </c>
      <c r="F204" s="597"/>
      <c r="G204" s="600"/>
      <c r="H204" s="597"/>
      <c r="I204" s="1271">
        <f t="shared" ref="I204" si="53">+E204+G204</f>
        <v>0</v>
      </c>
      <c r="J204" s="529"/>
      <c r="K204" s="646"/>
      <c r="L204" s="1286"/>
    </row>
    <row r="205" spans="1:12" ht="21" customHeight="1" x14ac:dyDescent="0.25">
      <c r="A205" s="1757">
        <f>IF(C205="","",COUNT($A$70:A202)+1)</f>
        <v>133</v>
      </c>
      <c r="B205" s="1857">
        <v>3611</v>
      </c>
      <c r="C205" s="512" t="s">
        <v>1688</v>
      </c>
      <c r="D205" s="619"/>
      <c r="E205" s="1758">
        <f>+SUMIF(sdmixer!$A:$A,usage!B205,sdmixer!$E:$E)</f>
        <v>0</v>
      </c>
      <c r="F205" s="597"/>
      <c r="G205" s="600"/>
      <c r="H205" s="597"/>
      <c r="I205" s="1271">
        <f t="shared" si="52"/>
        <v>0</v>
      </c>
      <c r="J205" s="529"/>
      <c r="K205" s="646"/>
      <c r="L205" s="1286"/>
    </row>
    <row r="206" spans="1:12" ht="21" customHeight="1" x14ac:dyDescent="0.25">
      <c r="A206" s="1757">
        <f>IF(C206="","",COUNT($A$70:A202)+1)</f>
        <v>133</v>
      </c>
      <c r="B206" s="1857">
        <v>842154</v>
      </c>
      <c r="C206" s="512" t="s">
        <v>1707</v>
      </c>
      <c r="D206" s="619"/>
      <c r="E206" s="1758">
        <f>+SUMIF(sdmixer!$A:$A,usage!B206,sdmixer!$E:$E)</f>
        <v>33.659999999999997</v>
      </c>
      <c r="F206" s="597"/>
      <c r="G206" s="600"/>
      <c r="H206" s="597"/>
      <c r="I206" s="1271">
        <f t="shared" si="52"/>
        <v>33.659999999999997</v>
      </c>
      <c r="J206" s="529"/>
      <c r="K206" s="646"/>
      <c r="L206" s="1286"/>
    </row>
    <row r="207" spans="1:12" ht="21" customHeight="1" x14ac:dyDescent="0.25">
      <c r="A207" s="1757">
        <f>IF(C207="","",COUNT($A$70:A200)+1)</f>
        <v>131</v>
      </c>
      <c r="B207" s="638">
        <v>840108</v>
      </c>
      <c r="C207" s="512" t="s">
        <v>1721</v>
      </c>
      <c r="D207" s="619"/>
      <c r="E207" s="1758">
        <f>+SUMIF(sdmixer!$A:$A,usage!B207,sdmixer!$E:$E)</f>
        <v>0</v>
      </c>
      <c r="F207" s="597"/>
      <c r="G207" s="600"/>
      <c r="H207" s="597"/>
      <c r="I207" s="1271">
        <f t="shared" si="52"/>
        <v>0</v>
      </c>
      <c r="J207" s="529"/>
      <c r="K207" s="646"/>
      <c r="L207" s="1286"/>
    </row>
    <row r="208" spans="1:12" ht="21" customHeight="1" x14ac:dyDescent="0.25">
      <c r="A208" s="1757">
        <f>IF(C208="","",COUNT($A$70:A201)+1)</f>
        <v>132</v>
      </c>
      <c r="B208" s="638">
        <v>840909</v>
      </c>
      <c r="C208" s="512" t="s">
        <v>1713</v>
      </c>
      <c r="D208" s="619"/>
      <c r="E208" s="1758">
        <f>+SUMIF(sdmixer!$A:$A,usage!B208,sdmixer!$E:$E)</f>
        <v>0</v>
      </c>
      <c r="F208" s="597"/>
      <c r="G208" s="600"/>
      <c r="H208" s="597"/>
      <c r="I208" s="1271">
        <f t="shared" ref="I208" si="54">+E208+G208</f>
        <v>0</v>
      </c>
      <c r="J208" s="529"/>
      <c r="K208" s="646"/>
      <c r="L208" s="1286"/>
    </row>
    <row r="209" spans="1:15" ht="21" customHeight="1" x14ac:dyDescent="0.25">
      <c r="A209" s="1757">
        <f>IF(C209="","",COUNT($A$70:A202)+1)</f>
        <v>133</v>
      </c>
      <c r="B209" s="638"/>
      <c r="C209" s="512" t="s">
        <v>1712</v>
      </c>
      <c r="D209" s="619"/>
      <c r="E209" s="1758">
        <f>+SUMIF(sdmixer!$A:$A,usage!B209,sdmixer!$E:$E)</f>
        <v>0</v>
      </c>
      <c r="F209" s="597"/>
      <c r="G209" s="600"/>
      <c r="H209" s="597"/>
      <c r="I209" s="1271">
        <f t="shared" si="52"/>
        <v>0</v>
      </c>
      <c r="J209" s="529"/>
      <c r="K209" s="646"/>
      <c r="L209" s="1286"/>
    </row>
    <row r="210" spans="1:15" ht="21" customHeight="1" x14ac:dyDescent="0.25">
      <c r="A210" s="1757">
        <f>IF(C210="","",COUNT($A$70:A203)+1)</f>
        <v>134</v>
      </c>
      <c r="B210" s="1857">
        <v>831035</v>
      </c>
      <c r="C210" s="512" t="s">
        <v>1669</v>
      </c>
      <c r="D210" s="619"/>
      <c r="E210" s="1758">
        <f>+SUMIF(sdmixer!$A:$A,usage!B210,sdmixer!$E:$E)</f>
        <v>0</v>
      </c>
      <c r="F210" s="597"/>
      <c r="G210" s="600"/>
      <c r="H210" s="597"/>
      <c r="I210" s="1271">
        <f t="shared" ref="I210:I216" si="55">+E210+G210</f>
        <v>0</v>
      </c>
      <c r="J210" s="529"/>
      <c r="K210" s="646"/>
      <c r="L210" s="1286"/>
    </row>
    <row r="211" spans="1:15" ht="21" customHeight="1" x14ac:dyDescent="0.25">
      <c r="A211" s="1757">
        <f>IF(C211="","",COUNT($A$70:A201)+1)</f>
        <v>132</v>
      </c>
      <c r="B211" s="1857">
        <v>3081</v>
      </c>
      <c r="C211" s="512" t="s">
        <v>1755</v>
      </c>
      <c r="D211" s="619"/>
      <c r="E211" s="1758">
        <f>+SUMIF(sdmixer!$A:$A,usage!B211,sdmixer!$E:$E)</f>
        <v>0</v>
      </c>
      <c r="F211" s="597"/>
      <c r="G211" s="600"/>
      <c r="H211" s="597"/>
      <c r="I211" s="1271">
        <f t="shared" ref="I211" si="56">+E211+G211</f>
        <v>0</v>
      </c>
      <c r="J211" s="529"/>
      <c r="K211" s="646"/>
      <c r="L211" s="1286"/>
    </row>
    <row r="212" spans="1:15" ht="21" customHeight="1" x14ac:dyDescent="0.25">
      <c r="A212" s="1757">
        <f>IF(C212="","",COUNT($A$70:A202)+1)</f>
        <v>133</v>
      </c>
      <c r="B212" s="1857">
        <v>3619</v>
      </c>
      <c r="C212" s="512" t="s">
        <v>1754</v>
      </c>
      <c r="D212" s="619"/>
      <c r="E212" s="1758">
        <f>+SUMIF(sdmixer!$A:$A,usage!B212,sdmixer!$E:$E)</f>
        <v>1.05</v>
      </c>
      <c r="F212" s="597"/>
      <c r="G212" s="600"/>
      <c r="H212" s="597"/>
      <c r="I212" s="1271">
        <f t="shared" ref="I212" si="57">+E212+G212</f>
        <v>1.05</v>
      </c>
      <c r="J212" s="529"/>
      <c r="K212" s="646"/>
      <c r="L212" s="1286"/>
    </row>
    <row r="213" spans="1:15" ht="21" customHeight="1" x14ac:dyDescent="0.25">
      <c r="A213" s="1757">
        <f>IF(C213="","",COUNT($A$70:A203)+1)</f>
        <v>134</v>
      </c>
      <c r="B213" s="1857">
        <v>840550</v>
      </c>
      <c r="C213" s="512" t="s">
        <v>1732</v>
      </c>
      <c r="D213" s="619"/>
      <c r="E213" s="1758">
        <f>+SUMIF(sdmixer!$A:$A,usage!B213,sdmixer!$E:$E)</f>
        <v>8.5</v>
      </c>
      <c r="F213" s="597"/>
      <c r="G213" s="600"/>
      <c r="H213" s="597"/>
      <c r="I213" s="1271">
        <f t="shared" si="55"/>
        <v>8.5</v>
      </c>
      <c r="J213" s="529"/>
      <c r="K213" s="646"/>
      <c r="L213" s="1286"/>
    </row>
    <row r="214" spans="1:15" ht="21" customHeight="1" x14ac:dyDescent="0.25">
      <c r="A214" s="1757">
        <f>IF(C214="","",COUNT($A$70:A202)+1)</f>
        <v>133</v>
      </c>
      <c r="B214" s="1857">
        <v>3618</v>
      </c>
      <c r="C214" s="512" t="s">
        <v>1771</v>
      </c>
      <c r="D214" s="619"/>
      <c r="E214" s="1758">
        <f>+SUMIF(sdmixer!$A:$A,usage!B214,sdmixer!$E:$E)</f>
        <v>2.4</v>
      </c>
      <c r="F214" s="597"/>
      <c r="G214" s="600"/>
      <c r="H214" s="597"/>
      <c r="I214" s="1271">
        <f t="shared" ref="I214" si="58">+E214+G214</f>
        <v>2.4</v>
      </c>
      <c r="J214" s="529"/>
      <c r="K214" s="646"/>
      <c r="L214" s="1286"/>
    </row>
    <row r="215" spans="1:15" ht="21" customHeight="1" x14ac:dyDescent="0.25">
      <c r="A215" s="1757">
        <f>IF(C215="","",COUNT($A$70:A203)+1)</f>
        <v>134</v>
      </c>
      <c r="B215" s="1937">
        <v>5118</v>
      </c>
      <c r="C215" s="1842" t="s">
        <v>1772</v>
      </c>
      <c r="D215" s="618"/>
      <c r="E215" s="1843">
        <f>+SUMIF(sdmixer!$A:$A,usage!B215,sdmixer!$E:$E)</f>
        <v>707.64</v>
      </c>
      <c r="F215" s="1938"/>
      <c r="G215" s="1939"/>
      <c r="H215" s="593"/>
      <c r="I215" s="595">
        <f t="shared" si="55"/>
        <v>707.64</v>
      </c>
      <c r="J215" s="529"/>
      <c r="K215" s="646"/>
      <c r="L215" s="1286"/>
    </row>
    <row r="216" spans="1:15" ht="21" customHeight="1" x14ac:dyDescent="0.25">
      <c r="A216" s="1757">
        <f>IF(C216="","",COUNT($A$70:A203)+1)</f>
        <v>134</v>
      </c>
      <c r="B216" s="1937">
        <v>5121</v>
      </c>
      <c r="C216" s="1842" t="s">
        <v>1801</v>
      </c>
      <c r="D216" s="618"/>
      <c r="E216" s="1843">
        <f>+SUMIF(sdmixer!$A:$A,usage!B216,sdmixer!$E:$E)</f>
        <v>4278</v>
      </c>
      <c r="F216" s="1938"/>
      <c r="G216" s="1939"/>
      <c r="H216" s="593"/>
      <c r="I216" s="595">
        <f t="shared" si="55"/>
        <v>4278</v>
      </c>
      <c r="J216" s="529"/>
      <c r="K216" s="646"/>
      <c r="L216" s="1286"/>
    </row>
    <row r="217" spans="1:15" ht="21" customHeight="1" x14ac:dyDescent="0.25">
      <c r="A217" s="1757">
        <f>IF(C217="","",COUNT($A$70:A204)+1)</f>
        <v>135</v>
      </c>
      <c r="B217" s="1937">
        <v>5123</v>
      </c>
      <c r="C217" s="1842" t="s">
        <v>1824</v>
      </c>
      <c r="D217" s="618"/>
      <c r="E217" s="1843">
        <f>+SUMIF(sdmixer!$A:$A,usage!B217,sdmixer!$E:$E)</f>
        <v>493</v>
      </c>
      <c r="F217" s="1938"/>
      <c r="G217" s="1939"/>
      <c r="H217" s="593"/>
      <c r="I217" s="595">
        <f t="shared" ref="I217" si="59">+E217+G217</f>
        <v>493</v>
      </c>
      <c r="J217" s="529"/>
      <c r="K217" s="646"/>
      <c r="L217" s="1286"/>
    </row>
    <row r="218" spans="1:15" ht="21" customHeight="1" x14ac:dyDescent="0.25">
      <c r="A218" s="1757">
        <f>IF(C218="","",COUNT($A$70:A204)+1)</f>
        <v>135</v>
      </c>
      <c r="B218" s="1937">
        <v>791815</v>
      </c>
      <c r="C218" s="1842" t="s">
        <v>1752</v>
      </c>
      <c r="D218" s="618"/>
      <c r="E218" s="1843">
        <f>+SUMIF(sdmixer!$A:$A,usage!B218,sdmixer!$E:$E)</f>
        <v>0</v>
      </c>
      <c r="F218" s="1938"/>
      <c r="G218" s="1939"/>
      <c r="H218" s="593"/>
      <c r="I218" s="595">
        <f t="shared" ref="I218:I220" si="60">+E218+G218</f>
        <v>0</v>
      </c>
      <c r="J218" s="529"/>
      <c r="K218" s="646"/>
      <c r="L218" s="1286"/>
    </row>
    <row r="219" spans="1:15" ht="21" customHeight="1" x14ac:dyDescent="0.25">
      <c r="A219" s="1757">
        <f>IF(C219="","",COUNT($A$70:A204)+1)</f>
        <v>135</v>
      </c>
      <c r="B219" s="1937">
        <v>5114</v>
      </c>
      <c r="C219" s="1842" t="s">
        <v>1857</v>
      </c>
      <c r="D219" s="618"/>
      <c r="E219" s="1843">
        <f>+SUMIF(sdmixer!$A:$A,usage!B219,sdmixer!$E:$E)</f>
        <v>13</v>
      </c>
      <c r="F219" s="1938"/>
      <c r="G219" s="1939"/>
      <c r="H219" s="593"/>
      <c r="I219" s="595">
        <f t="shared" si="60"/>
        <v>13</v>
      </c>
      <c r="J219" s="529"/>
      <c r="K219" s="646"/>
      <c r="L219" s="1286"/>
    </row>
    <row r="220" spans="1:15" ht="21" customHeight="1" x14ac:dyDescent="0.25">
      <c r="A220" s="1757">
        <f>IF(C220="","",COUNT($A$70:A204)+1)</f>
        <v>135</v>
      </c>
      <c r="B220" s="1937">
        <v>5116</v>
      </c>
      <c r="C220" s="1842" t="s">
        <v>1859</v>
      </c>
      <c r="D220" s="618"/>
      <c r="E220" s="1843">
        <f>+SUMIF(sdmixer!$A:$A,usage!B220,sdmixer!$E:$E)</f>
        <v>67.63</v>
      </c>
      <c r="F220" s="1938"/>
      <c r="G220" s="1939"/>
      <c r="H220" s="593"/>
      <c r="I220" s="595">
        <f t="shared" si="60"/>
        <v>67.63</v>
      </c>
      <c r="J220" s="529"/>
      <c r="K220" s="646"/>
      <c r="L220" s="1286"/>
    </row>
    <row r="221" spans="1:15" ht="21" customHeight="1" x14ac:dyDescent="0.25">
      <c r="A221" s="1757">
        <f>IF(C221="","",COUNT($A$70:A205)+1)</f>
        <v>136</v>
      </c>
      <c r="B221" s="1937">
        <v>840101</v>
      </c>
      <c r="C221" s="1842" t="s">
        <v>1811</v>
      </c>
      <c r="D221" s="618"/>
      <c r="E221" s="1843">
        <f>+SUMIF(sdmixer!$A:$A,usage!B221,sdmixer!$E:$E)</f>
        <v>0</v>
      </c>
      <c r="F221" s="1938"/>
      <c r="G221" s="1939"/>
      <c r="H221" s="593"/>
      <c r="I221" s="595">
        <f t="shared" ref="I221" si="61">+E221+G221</f>
        <v>0</v>
      </c>
      <c r="J221" s="529"/>
      <c r="K221" s="646"/>
      <c r="L221" s="1286"/>
    </row>
    <row r="222" spans="1:15" ht="25.5" customHeight="1" thickBot="1" x14ac:dyDescent="0.3">
      <c r="A222" s="2213" t="s">
        <v>434</v>
      </c>
      <c r="B222" s="2214"/>
      <c r="C222" s="2215"/>
      <c r="D222" s="1935"/>
      <c r="E222" s="2216">
        <f>+SUM(E71:F221)</f>
        <v>38170.5</v>
      </c>
      <c r="F222" s="2217"/>
      <c r="G222" s="2216">
        <f>+SUM(G71:H221)</f>
        <v>0</v>
      </c>
      <c r="H222" s="2217"/>
      <c r="I222" s="1936">
        <f>+E222+G222</f>
        <v>38170.5</v>
      </c>
      <c r="J222"/>
      <c r="K222" s="693"/>
      <c r="L222" s="1230"/>
    </row>
    <row r="223" spans="1:15" ht="20.25" customHeight="1" x14ac:dyDescent="0.25">
      <c r="A223" s="515">
        <f>IF(C223="","",COUNT($A$222:A222)+1)</f>
        <v>1</v>
      </c>
      <c r="B223" s="620">
        <v>917200</v>
      </c>
      <c r="C223" s="524" t="s">
        <v>410</v>
      </c>
      <c r="D223" s="620"/>
      <c r="E223" s="1287">
        <f>+SUMIF(sdmixer!$A:$A,usage!B223,sdmixer!$E:$E)+SUMIF(sdmixer!$A:$A,"840198",sdmixer!$E:$E)</f>
        <v>0</v>
      </c>
      <c r="F223" s="590"/>
      <c r="G223" s="591"/>
      <c r="H223" s="590"/>
      <c r="I223" s="592">
        <f t="shared" si="30"/>
        <v>0</v>
      </c>
      <c r="J223"/>
      <c r="K223"/>
      <c r="L223" s="1286"/>
      <c r="O223" s="1230"/>
    </row>
    <row r="224" spans="1:15" ht="20.25" customHeight="1" x14ac:dyDescent="0.25">
      <c r="A224" s="558">
        <f>IF(C224="","",COUNT($A$222:A223)+1)</f>
        <v>2</v>
      </c>
      <c r="B224" s="620">
        <v>917004</v>
      </c>
      <c r="C224" s="525" t="s">
        <v>411</v>
      </c>
      <c r="D224" s="621"/>
      <c r="E224" s="1287">
        <f>+SUMIF(sdmixer!$A:$A,usage!B224,sdmixer!$E:$E)</f>
        <v>628.84</v>
      </c>
      <c r="F224" s="593"/>
      <c r="G224" s="594"/>
      <c r="H224" s="593"/>
      <c r="I224" s="595">
        <f t="shared" ref="I224:I254" si="62">+E224+G224</f>
        <v>628.84</v>
      </c>
      <c r="J224"/>
      <c r="K224"/>
      <c r="L224" s="1286"/>
    </row>
    <row r="225" spans="1:12" ht="21" customHeight="1" x14ac:dyDescent="0.25">
      <c r="A225" s="517">
        <f>IF(C225="","",COUNT($A$222:A224)+1)</f>
        <v>3</v>
      </c>
      <c r="B225" s="620">
        <v>917003</v>
      </c>
      <c r="C225" s="525" t="s">
        <v>412</v>
      </c>
      <c r="D225" s="621"/>
      <c r="E225" s="1287">
        <f>+SUMIF(sdmixer!$A:$A,usage!B225,sdmixer!$E:$E)</f>
        <v>0</v>
      </c>
      <c r="F225" s="593"/>
      <c r="G225" s="594"/>
      <c r="H225" s="593"/>
      <c r="I225" s="595">
        <f t="shared" si="62"/>
        <v>0</v>
      </c>
      <c r="J225"/>
      <c r="K225"/>
      <c r="L225" s="1286"/>
    </row>
    <row r="226" spans="1:12" ht="20.25" customHeight="1" x14ac:dyDescent="0.25">
      <c r="A226" s="517">
        <f>IF(C226="","",COUNT($A$222:A225)+1)</f>
        <v>4</v>
      </c>
      <c r="B226" s="642">
        <v>911101</v>
      </c>
      <c r="C226" s="525" t="s">
        <v>413</v>
      </c>
      <c r="D226" s="621"/>
      <c r="E226" s="1287">
        <f>+SUMIF(sdmixer!$A:$A,usage!B226,sdmixer!$E:$E)</f>
        <v>294.44</v>
      </c>
      <c r="F226" s="593"/>
      <c r="G226" s="594"/>
      <c r="H226" s="593"/>
      <c r="I226" s="595">
        <f t="shared" si="62"/>
        <v>294.44</v>
      </c>
      <c r="J226"/>
      <c r="K226"/>
      <c r="L226" s="1286"/>
    </row>
    <row r="227" spans="1:12" ht="20.25" customHeight="1" x14ac:dyDescent="0.25">
      <c r="A227" s="517">
        <f>IF(C227="","",COUNT($A$222:A226)+1)</f>
        <v>5</v>
      </c>
      <c r="B227" s="642">
        <v>911121</v>
      </c>
      <c r="C227" s="525" t="s">
        <v>414</v>
      </c>
      <c r="D227" s="621"/>
      <c r="E227" s="1287">
        <f>+SUMIF(sdmixer!$A:$A,usage!B227,sdmixer!$E:$E)</f>
        <v>0</v>
      </c>
      <c r="F227" s="593"/>
      <c r="G227" s="594"/>
      <c r="H227" s="593"/>
      <c r="I227" s="595">
        <f t="shared" si="62"/>
        <v>0</v>
      </c>
      <c r="J227"/>
      <c r="K227"/>
      <c r="L227" s="1286"/>
    </row>
    <row r="228" spans="1:12" ht="20.25" customHeight="1" x14ac:dyDescent="0.25">
      <c r="A228" s="517">
        <f>IF(C228="","",COUNT($A$222:A227)+1)</f>
        <v>6</v>
      </c>
      <c r="B228" s="642">
        <v>911125</v>
      </c>
      <c r="C228" s="525" t="s">
        <v>426</v>
      </c>
      <c r="D228" s="621"/>
      <c r="E228" s="1287">
        <f>+SUMIF(sdmixer!$A:$A,usage!B228,sdmixer!$E:$E)</f>
        <v>16.62</v>
      </c>
      <c r="F228" s="593"/>
      <c r="G228" s="594"/>
      <c r="H228" s="593"/>
      <c r="I228" s="595">
        <f t="shared" si="62"/>
        <v>16.62</v>
      </c>
      <c r="J228"/>
      <c r="K228"/>
      <c r="L228" s="1286"/>
    </row>
    <row r="229" spans="1:12" ht="20.25" customHeight="1" x14ac:dyDescent="0.25">
      <c r="A229" s="517">
        <f>IF(C229="","",COUNT($A$222:A228)+1)</f>
        <v>7</v>
      </c>
      <c r="B229" s="642">
        <v>911301</v>
      </c>
      <c r="C229" s="525" t="s">
        <v>415</v>
      </c>
      <c r="D229" s="621"/>
      <c r="E229" s="1287">
        <f>+SUMIF(sdmixer!$A:$A,usage!B229,sdmixer!$E:$E)</f>
        <v>0</v>
      </c>
      <c r="F229" s="593"/>
      <c r="G229" s="594"/>
      <c r="H229" s="593"/>
      <c r="I229" s="595">
        <f t="shared" ref="I229:I236" si="63">+E229+G229</f>
        <v>0</v>
      </c>
      <c r="J229"/>
      <c r="K229"/>
      <c r="L229" s="1286"/>
    </row>
    <row r="230" spans="1:12" ht="20.25" customHeight="1" x14ac:dyDescent="0.25">
      <c r="A230" s="517">
        <f>IF(C230="","",COUNT($A$222:A229)+1)</f>
        <v>8</v>
      </c>
      <c r="B230" s="642">
        <v>911311</v>
      </c>
      <c r="C230" s="525" t="s">
        <v>427</v>
      </c>
      <c r="D230" s="621"/>
      <c r="E230" s="1287">
        <f>+SUMIF(sdmixer!$A:$A,usage!B230,sdmixer!$E:$E)</f>
        <v>0</v>
      </c>
      <c r="F230" s="593"/>
      <c r="G230" s="594"/>
      <c r="H230" s="593"/>
      <c r="I230" s="595">
        <f t="shared" si="63"/>
        <v>0</v>
      </c>
      <c r="J230"/>
      <c r="K230"/>
      <c r="L230" s="1286"/>
    </row>
    <row r="231" spans="1:12" ht="20.25" customHeight="1" x14ac:dyDescent="0.25">
      <c r="A231" s="517">
        <f>IF(C231="","",COUNT($A$222:A230)+1)</f>
        <v>9</v>
      </c>
      <c r="B231" s="642">
        <v>911401</v>
      </c>
      <c r="C231" s="525" t="s">
        <v>416</v>
      </c>
      <c r="D231" s="621"/>
      <c r="E231" s="1287">
        <f>+SUMIF(sdmixer!$A:$A,usage!B231,sdmixer!$E:$E)</f>
        <v>16.8</v>
      </c>
      <c r="F231" s="593"/>
      <c r="G231" s="594"/>
      <c r="H231" s="593"/>
      <c r="I231" s="595">
        <f t="shared" si="63"/>
        <v>16.8</v>
      </c>
      <c r="J231"/>
      <c r="K231"/>
      <c r="L231" s="1286"/>
    </row>
    <row r="232" spans="1:12" ht="20.25" customHeight="1" x14ac:dyDescent="0.25">
      <c r="A232" s="517">
        <f>IF(C232="","",COUNT($A$222:A231)+1)</f>
        <v>10</v>
      </c>
      <c r="B232" s="642">
        <v>912101</v>
      </c>
      <c r="C232" s="525" t="s">
        <v>417</v>
      </c>
      <c r="D232" s="621"/>
      <c r="E232" s="1287">
        <f>+SUMIF(sdmixer!$A:$A,usage!B232,sdmixer!$E:$E)</f>
        <v>256.58</v>
      </c>
      <c r="F232" s="593"/>
      <c r="G232" s="594"/>
      <c r="H232" s="593"/>
      <c r="I232" s="595">
        <f t="shared" si="63"/>
        <v>256.58</v>
      </c>
      <c r="J232"/>
      <c r="K232"/>
      <c r="L232" s="1286"/>
    </row>
    <row r="233" spans="1:12" ht="20.25" customHeight="1" x14ac:dyDescent="0.25">
      <c r="A233" s="517">
        <f>IF(C233="","",COUNT($A$222:A232)+1)</f>
        <v>11</v>
      </c>
      <c r="B233" s="620">
        <v>914521</v>
      </c>
      <c r="C233" s="525" t="s">
        <v>929</v>
      </c>
      <c r="D233" s="621"/>
      <c r="E233" s="1287">
        <f>+SUMIF(sdmixer!$A:$A,usage!B233,sdmixer!$E:$E)</f>
        <v>597.04</v>
      </c>
      <c r="F233" s="593"/>
      <c r="G233" s="594"/>
      <c r="H233" s="593"/>
      <c r="I233" s="595">
        <f>+E233+G233</f>
        <v>597.04</v>
      </c>
      <c r="J233"/>
      <c r="K233"/>
      <c r="L233" s="1286"/>
    </row>
    <row r="234" spans="1:12" ht="20.25" customHeight="1" x14ac:dyDescent="0.25">
      <c r="A234" s="517">
        <f>IF(C234="","",COUNT($A$222:A233)+1)</f>
        <v>12</v>
      </c>
      <c r="B234" s="620">
        <v>916201</v>
      </c>
      <c r="C234" s="525" t="s">
        <v>428</v>
      </c>
      <c r="D234" s="621"/>
      <c r="E234" s="1287">
        <f>+SUMIF(sdmixer!$A:$A,usage!B234,sdmixer!$E:$E)</f>
        <v>159.6</v>
      </c>
      <c r="F234" s="593"/>
      <c r="G234" s="594"/>
      <c r="H234" s="593"/>
      <c r="I234" s="595">
        <f t="shared" si="63"/>
        <v>159.6</v>
      </c>
      <c r="J234"/>
      <c r="K234"/>
      <c r="L234" s="1286"/>
    </row>
    <row r="235" spans="1:12" ht="20.25" customHeight="1" x14ac:dyDescent="0.25">
      <c r="A235" s="517">
        <f>IF(C235="","",COUNT($A$222:A234)+1)</f>
        <v>13</v>
      </c>
      <c r="B235" s="620">
        <v>916202</v>
      </c>
      <c r="C235" s="525" t="s">
        <v>429</v>
      </c>
      <c r="D235" s="621"/>
      <c r="E235" s="1287">
        <f>+SUMIF(sdmixer!$A:$A,usage!B235,sdmixer!$E:$E)</f>
        <v>0</v>
      </c>
      <c r="F235" s="593"/>
      <c r="G235" s="594"/>
      <c r="H235" s="593"/>
      <c r="I235" s="595">
        <f t="shared" si="63"/>
        <v>0</v>
      </c>
      <c r="J235"/>
      <c r="K235"/>
      <c r="L235" s="1286"/>
    </row>
    <row r="236" spans="1:12" ht="20.25" customHeight="1" x14ac:dyDescent="0.25">
      <c r="A236" s="517">
        <f>IF(C236="","",COUNT($A$222:A235)+1)</f>
        <v>14</v>
      </c>
      <c r="B236" s="642">
        <v>913501</v>
      </c>
      <c r="C236" s="525" t="s">
        <v>418</v>
      </c>
      <c r="D236" s="621"/>
      <c r="E236" s="1287">
        <f>+SUMIF(sdmixer!$A:$A,usage!B236,sdmixer!$E:$E)</f>
        <v>119.34</v>
      </c>
      <c r="F236" s="593"/>
      <c r="G236" s="594"/>
      <c r="H236" s="593"/>
      <c r="I236" s="595">
        <f t="shared" si="63"/>
        <v>119.34</v>
      </c>
      <c r="J236"/>
      <c r="K236"/>
      <c r="L236" s="1286"/>
    </row>
    <row r="237" spans="1:12" ht="20.25" customHeight="1" x14ac:dyDescent="0.25">
      <c r="A237" s="517">
        <f>IF(C237="","",COUNT($A$222:A236)+1)</f>
        <v>15</v>
      </c>
      <c r="B237" s="642">
        <v>913511</v>
      </c>
      <c r="C237" s="525" t="s">
        <v>419</v>
      </c>
      <c r="D237" s="618"/>
      <c r="E237" s="1287">
        <f>+SUMIF(sdmixer!$A:$A,usage!B237,sdmixer!$E:$E)</f>
        <v>208.26</v>
      </c>
      <c r="F237" s="593"/>
      <c r="G237" s="594"/>
      <c r="H237" s="593"/>
      <c r="I237" s="595">
        <f t="shared" si="62"/>
        <v>208.26</v>
      </c>
      <c r="J237"/>
      <c r="K237"/>
      <c r="L237" s="1286"/>
    </row>
    <row r="238" spans="1:12" ht="20.25" customHeight="1" x14ac:dyDescent="0.25">
      <c r="A238" s="517">
        <f>IF(C238="","",COUNT($A$222:A237)+1)</f>
        <v>16</v>
      </c>
      <c r="B238" s="642">
        <v>913521</v>
      </c>
      <c r="C238" s="525" t="s">
        <v>420</v>
      </c>
      <c r="D238" s="618"/>
      <c r="E238" s="1287">
        <f>+SUMIF(sdmixer!$A:$A,usage!B238,sdmixer!$E:$E)</f>
        <v>255.7</v>
      </c>
      <c r="F238" s="593"/>
      <c r="G238" s="594"/>
      <c r="H238" s="593"/>
      <c r="I238" s="595">
        <f t="shared" si="62"/>
        <v>255.7</v>
      </c>
      <c r="J238"/>
      <c r="K238"/>
      <c r="L238" s="1286"/>
    </row>
    <row r="239" spans="1:12" ht="20.25" customHeight="1" x14ac:dyDescent="0.25">
      <c r="A239" s="517">
        <f>IF(C239="","",COUNT($A$222:A238)+1)</f>
        <v>17</v>
      </c>
      <c r="B239" s="642">
        <v>913561</v>
      </c>
      <c r="C239" s="525" t="s">
        <v>421</v>
      </c>
      <c r="D239" s="618"/>
      <c r="E239" s="1287">
        <f>+SUMIF(sdmixer!$A:$A,usage!B239,sdmixer!$E:$E)</f>
        <v>62.49</v>
      </c>
      <c r="F239" s="593"/>
      <c r="G239" s="594"/>
      <c r="H239" s="593"/>
      <c r="I239" s="595">
        <f t="shared" si="62"/>
        <v>62.49</v>
      </c>
      <c r="J239"/>
      <c r="K239"/>
      <c r="L239" s="1286"/>
    </row>
    <row r="240" spans="1:12" ht="20.25" customHeight="1" x14ac:dyDescent="0.25">
      <c r="A240" s="517">
        <f>IF(C240="","",COUNT($A$222:A239)+1)</f>
        <v>18</v>
      </c>
      <c r="B240" s="642">
        <v>913562</v>
      </c>
      <c r="C240" s="525" t="s">
        <v>422</v>
      </c>
      <c r="D240" s="618"/>
      <c r="E240" s="1287">
        <f>+SUMIF(sdmixer!$A:$A,usage!B240,sdmixer!$E:$E)</f>
        <v>0</v>
      </c>
      <c r="F240" s="593"/>
      <c r="G240" s="594"/>
      <c r="H240" s="593"/>
      <c r="I240" s="595">
        <f t="shared" si="62"/>
        <v>0</v>
      </c>
      <c r="J240"/>
      <c r="K240"/>
      <c r="L240" s="1286"/>
    </row>
    <row r="241" spans="1:12" ht="20.25" customHeight="1" x14ac:dyDescent="0.25">
      <c r="A241" s="517">
        <f>IF(C241="","",COUNT($A$222:A240)+1)</f>
        <v>19</v>
      </c>
      <c r="B241" s="642">
        <v>913563</v>
      </c>
      <c r="C241" s="525" t="s">
        <v>423</v>
      </c>
      <c r="D241" s="618"/>
      <c r="E241" s="1287">
        <f>+SUMIF(sdmixer!$A:$A,usage!B241,sdmixer!$E:$E)</f>
        <v>62.45</v>
      </c>
      <c r="F241" s="593"/>
      <c r="G241" s="594"/>
      <c r="H241" s="593"/>
      <c r="I241" s="595">
        <f t="shared" si="62"/>
        <v>62.45</v>
      </c>
      <c r="J241"/>
      <c r="K241"/>
      <c r="L241" s="1286"/>
    </row>
    <row r="242" spans="1:12" ht="20.25" customHeight="1" x14ac:dyDescent="0.25">
      <c r="A242" s="517">
        <f>IF(C242="","",COUNT($A$222:A241)+1)</f>
        <v>20</v>
      </c>
      <c r="B242" s="642">
        <v>913571</v>
      </c>
      <c r="C242" s="525" t="s">
        <v>430</v>
      </c>
      <c r="D242" s="618"/>
      <c r="E242" s="1287">
        <f>+SUMIF(sdmixer!$A:$A,usage!B242,sdmixer!$E:$E)</f>
        <v>0</v>
      </c>
      <c r="F242" s="593"/>
      <c r="G242" s="594"/>
      <c r="H242" s="593"/>
      <c r="I242" s="595">
        <f t="shared" si="62"/>
        <v>0</v>
      </c>
      <c r="J242"/>
      <c r="K242"/>
      <c r="L242" s="1286"/>
    </row>
    <row r="243" spans="1:12" ht="20.25" customHeight="1" x14ac:dyDescent="0.25">
      <c r="A243" s="517">
        <f>IF(C243="","",COUNT($A$222:A242)+1)</f>
        <v>21</v>
      </c>
      <c r="B243" s="642">
        <v>913572</v>
      </c>
      <c r="C243" s="525" t="s">
        <v>424</v>
      </c>
      <c r="D243" s="618"/>
      <c r="E243" s="1287">
        <f>+SUMIF(sdmixer!$A:$A,usage!B243,sdmixer!$E:$E)</f>
        <v>124.58</v>
      </c>
      <c r="F243" s="593"/>
      <c r="G243" s="594"/>
      <c r="H243" s="593"/>
      <c r="I243" s="595">
        <f t="shared" si="62"/>
        <v>124.58</v>
      </c>
      <c r="J243"/>
      <c r="K243"/>
      <c r="L243" s="1286"/>
    </row>
    <row r="244" spans="1:12" ht="20.25" customHeight="1" x14ac:dyDescent="0.25">
      <c r="A244" s="517">
        <f>IF(C244="","",COUNT($A$222:A243)+1)</f>
        <v>22</v>
      </c>
      <c r="B244" s="620">
        <v>914001</v>
      </c>
      <c r="C244" s="525" t="s">
        <v>425</v>
      </c>
      <c r="D244" s="618"/>
      <c r="E244" s="1287">
        <f>+SUMIF(sdmixer!$A:$A,usage!B244,sdmixer!$E:$E)</f>
        <v>559.74</v>
      </c>
      <c r="F244" s="593"/>
      <c r="G244" s="594"/>
      <c r="H244" s="593"/>
      <c r="I244" s="595">
        <f t="shared" si="62"/>
        <v>559.74</v>
      </c>
      <c r="J244" s="529"/>
      <c r="L244" s="1286"/>
    </row>
    <row r="245" spans="1:12" ht="20.25" customHeight="1" x14ac:dyDescent="0.25">
      <c r="A245" s="517">
        <f>IF(C245="","",COUNT($A$222:A244)+1)</f>
        <v>23</v>
      </c>
      <c r="B245" s="620">
        <v>916001</v>
      </c>
      <c r="C245" s="562">
        <v>571</v>
      </c>
      <c r="D245" s="618"/>
      <c r="E245" s="1287">
        <f>+SUMIF(sdmixer!$A:$A,usage!B245,sdmixer!$E:$E)</f>
        <v>67.2</v>
      </c>
      <c r="F245" s="593"/>
      <c r="G245" s="594"/>
      <c r="H245" s="593"/>
      <c r="I245" s="595">
        <f t="shared" si="62"/>
        <v>67.2</v>
      </c>
      <c r="J245" s="529"/>
      <c r="L245" s="1286"/>
    </row>
    <row r="246" spans="1:12" ht="20.25" customHeight="1" x14ac:dyDescent="0.25">
      <c r="A246" s="517">
        <f>IF(C246="","",COUNT($A$222:A245)+1)</f>
        <v>24</v>
      </c>
      <c r="B246" s="620">
        <v>916002</v>
      </c>
      <c r="C246" s="526" t="s">
        <v>431</v>
      </c>
      <c r="D246" s="618"/>
      <c r="E246" s="1287">
        <f>+SUMIF(sdmixer!$A:$A,usage!B246,sdmixer!$E:$E)</f>
        <v>25.04</v>
      </c>
      <c r="F246" s="593"/>
      <c r="G246" s="594"/>
      <c r="H246" s="593"/>
      <c r="I246" s="595">
        <f t="shared" si="62"/>
        <v>25.04</v>
      </c>
      <c r="L246" s="1286"/>
    </row>
    <row r="247" spans="1:12" ht="20.25" customHeight="1" x14ac:dyDescent="0.25">
      <c r="A247" s="517">
        <f>IF(C247="","",COUNT($A$222:A246)+1)</f>
        <v>25</v>
      </c>
      <c r="B247" s="620">
        <v>916203</v>
      </c>
      <c r="C247" s="525" t="s">
        <v>432</v>
      </c>
      <c r="D247" s="618"/>
      <c r="E247" s="1287">
        <f>+SUMIF(sdmixer!$A:$A,usage!B247,sdmixer!$E:$E)</f>
        <v>0</v>
      </c>
      <c r="F247" s="593"/>
      <c r="G247" s="594"/>
      <c r="H247" s="593"/>
      <c r="I247" s="595">
        <f t="shared" si="62"/>
        <v>0</v>
      </c>
      <c r="J247" s="529"/>
      <c r="L247" s="1286"/>
    </row>
    <row r="248" spans="1:12" ht="20.25" customHeight="1" x14ac:dyDescent="0.25">
      <c r="A248" s="517">
        <f>IF(C248="","",COUNT($A$222:A247)+1)</f>
        <v>26</v>
      </c>
      <c r="B248" s="620">
        <v>916003</v>
      </c>
      <c r="C248" s="525" t="s">
        <v>433</v>
      </c>
      <c r="D248" s="618"/>
      <c r="E248" s="1287">
        <f>+SUMIF(sdmixer!$A:$A,usage!B248,sdmixer!$E:$E)</f>
        <v>0</v>
      </c>
      <c r="F248" s="593"/>
      <c r="G248" s="594"/>
      <c r="H248" s="593"/>
      <c r="I248" s="595">
        <f t="shared" si="62"/>
        <v>0</v>
      </c>
      <c r="J248" s="529"/>
      <c r="L248" s="1286"/>
    </row>
    <row r="249" spans="1:12" ht="20.25" customHeight="1" x14ac:dyDescent="0.25">
      <c r="A249" s="517">
        <f>IF(C249="","",COUNT($A$222:A248)+1)</f>
        <v>27</v>
      </c>
      <c r="B249" s="620">
        <v>917301</v>
      </c>
      <c r="C249" s="527" t="s">
        <v>1440</v>
      </c>
      <c r="D249" s="620"/>
      <c r="E249" s="1287">
        <f>+SUMIF(sdmixer!$A:$A,usage!B249,sdmixer!$E:$E)</f>
        <v>0</v>
      </c>
      <c r="F249" s="597"/>
      <c r="G249" s="600"/>
      <c r="H249" s="597"/>
      <c r="I249" s="595">
        <f t="shared" ref="I249" si="64">+E249+G249</f>
        <v>0</v>
      </c>
      <c r="J249" s="529"/>
      <c r="L249" s="1286"/>
    </row>
    <row r="250" spans="1:12" ht="20.25" customHeight="1" x14ac:dyDescent="0.25">
      <c r="A250" s="517">
        <f>IF(C250="","",COUNT($A$222:A249)+1)</f>
        <v>28</v>
      </c>
      <c r="B250" s="620">
        <v>911440</v>
      </c>
      <c r="C250" s="527" t="s">
        <v>1504</v>
      </c>
      <c r="D250" s="620"/>
      <c r="E250" s="1287">
        <f>+SUMIF(sdmixer!$A:$A,usage!B250,sdmixer!$E:$E)</f>
        <v>0</v>
      </c>
      <c r="F250" s="593"/>
      <c r="G250" s="594"/>
      <c r="H250" s="593"/>
      <c r="I250" s="595">
        <f t="shared" ref="I250:I253" si="65">+E250+G250</f>
        <v>0</v>
      </c>
      <c r="J250" s="529"/>
      <c r="L250" s="1286"/>
    </row>
    <row r="251" spans="1:12" ht="20.25" customHeight="1" x14ac:dyDescent="0.25">
      <c r="A251" s="517">
        <f>IF(C251="","",COUNT($A$222:A249)+1)</f>
        <v>28</v>
      </c>
      <c r="B251" s="620">
        <v>912501</v>
      </c>
      <c r="C251" s="527" t="s">
        <v>1505</v>
      </c>
      <c r="D251" s="620"/>
      <c r="E251" s="1287">
        <f>+SUMIF(sdmixer!$A:$A,usage!B251,sdmixer!$E:$E)</f>
        <v>0</v>
      </c>
      <c r="F251" s="593"/>
      <c r="G251" s="594"/>
      <c r="H251" s="593"/>
      <c r="I251" s="595">
        <f t="shared" ref="I251" si="66">+E251+G251</f>
        <v>0</v>
      </c>
      <c r="J251" s="529"/>
      <c r="L251" s="1286"/>
    </row>
    <row r="252" spans="1:12" ht="20.25" customHeight="1" x14ac:dyDescent="0.25">
      <c r="A252" s="517">
        <f>IF(C252="","",COUNT($A$222:A250)+1)</f>
        <v>29</v>
      </c>
      <c r="B252" s="620">
        <v>550222</v>
      </c>
      <c r="C252" s="527" t="s">
        <v>1864</v>
      </c>
      <c r="D252" s="620"/>
      <c r="E252" s="1287">
        <f>+SUMIF(sdmixer!$A:$A,usage!B252,sdmixer!$E:$E)</f>
        <v>0</v>
      </c>
      <c r="F252" s="593"/>
      <c r="G252" s="594"/>
      <c r="H252" s="593"/>
      <c r="I252" s="595">
        <f t="shared" si="65"/>
        <v>0</v>
      </c>
      <c r="J252" s="529"/>
      <c r="L252" s="1286"/>
    </row>
    <row r="253" spans="1:12" ht="20.25" customHeight="1" x14ac:dyDescent="0.25">
      <c r="A253" s="517">
        <f>IF(C253="","",COUNT($A$222:A250)+1)</f>
        <v>29</v>
      </c>
      <c r="B253" s="620">
        <v>917302</v>
      </c>
      <c r="C253" s="1868" t="s">
        <v>1679</v>
      </c>
      <c r="D253" s="620"/>
      <c r="E253" s="1869">
        <f>+SUMIF(sdmixer!$A:$A,usage!B253,sdmixer!$E:$E)</f>
        <v>581.82000000000005</v>
      </c>
      <c r="F253" s="1847"/>
      <c r="G253" s="598"/>
      <c r="H253" s="1847"/>
      <c r="I253" s="1271">
        <f t="shared" si="65"/>
        <v>581.82000000000005</v>
      </c>
      <c r="J253" s="529"/>
      <c r="L253" s="1286"/>
    </row>
    <row r="254" spans="1:12" ht="20.25" customHeight="1" x14ac:dyDescent="0.25">
      <c r="A254" s="517">
        <f>IF(C254="","",COUNT($A$222:A252)+1)</f>
        <v>31</v>
      </c>
      <c r="B254" s="620">
        <v>916021</v>
      </c>
      <c r="C254" s="1870">
        <v>582</v>
      </c>
      <c r="D254" s="1871"/>
      <c r="E254" s="1856">
        <f>+SUMIF(sdmixer!$A:$A,usage!B254,sdmixer!$E:$E)</f>
        <v>0</v>
      </c>
      <c r="F254" s="1849"/>
      <c r="G254" s="1850"/>
      <c r="H254" s="1849"/>
      <c r="I254" s="1851">
        <f t="shared" si="62"/>
        <v>0</v>
      </c>
      <c r="J254" s="529"/>
      <c r="L254" s="1286"/>
    </row>
    <row r="255" spans="1:12" ht="25.5" customHeight="1" thickBot="1" x14ac:dyDescent="0.3">
      <c r="A255" s="2243" t="s">
        <v>436</v>
      </c>
      <c r="B255" s="2244"/>
      <c r="C255" s="2245"/>
      <c r="D255" s="622"/>
      <c r="E255" s="2246">
        <f>+SUM(E223:F254)</f>
        <v>4036.5399999999986</v>
      </c>
      <c r="F255" s="2247"/>
      <c r="G255" s="2248">
        <f>+SUM(G223:H254)</f>
        <v>0</v>
      </c>
      <c r="H255" s="2249"/>
      <c r="I255" s="601">
        <f>+E255+G255</f>
        <v>4036.5399999999986</v>
      </c>
      <c r="J255" s="529"/>
    </row>
    <row r="256" spans="1:12" ht="35.25" customHeight="1" thickBot="1" x14ac:dyDescent="0.3">
      <c r="A256" s="2242" t="s">
        <v>437</v>
      </c>
      <c r="B256" s="2242"/>
      <c r="C256" s="2242"/>
      <c r="D256" s="2242"/>
      <c r="E256" s="2239">
        <f>+E70+E222+E255</f>
        <v>2014191.44</v>
      </c>
      <c r="F256" s="2240"/>
      <c r="G256" s="2239">
        <f>+G70+G222+G255</f>
        <v>0</v>
      </c>
      <c r="H256" s="2241"/>
      <c r="I256" s="602">
        <f>+E256+G256</f>
        <v>2014191.44</v>
      </c>
      <c r="J256" s="529"/>
    </row>
    <row r="257" spans="6:10" x14ac:dyDescent="0.25">
      <c r="J257" s="529"/>
    </row>
    <row r="258" spans="6:10" x14ac:dyDescent="0.25">
      <c r="F258" s="529"/>
      <c r="G258" s="529"/>
      <c r="J258" s="529"/>
    </row>
    <row r="259" spans="6:10" x14ac:dyDescent="0.25">
      <c r="F259"/>
      <c r="G259" s="529"/>
      <c r="J259" s="529"/>
    </row>
    <row r="260" spans="6:10" x14ac:dyDescent="0.25">
      <c r="F260" s="529"/>
      <c r="G260" s="529"/>
      <c r="J260" s="529"/>
    </row>
    <row r="261" spans="6:10" x14ac:dyDescent="0.25">
      <c r="F261" s="1230"/>
      <c r="I261" s="529"/>
      <c r="J261" s="546"/>
    </row>
    <row r="262" spans="6:10" x14ac:dyDescent="0.25">
      <c r="I262" s="529"/>
    </row>
    <row r="263" spans="6:10" x14ac:dyDescent="0.25">
      <c r="I263" s="529"/>
    </row>
    <row r="264" spans="6:10" ht="24.75" customHeight="1" x14ac:dyDescent="0.25"/>
    <row r="265" spans="6:10" hidden="1" x14ac:dyDescent="0.25">
      <c r="I265" s="278">
        <f>+E69+I222+I255</f>
        <v>1986044.44</v>
      </c>
    </row>
    <row r="266" spans="6:10" hidden="1" x14ac:dyDescent="0.25">
      <c r="I266" s="278">
        <f>+I265+60388.78+13631.4+13094.72+60.3+24494+786-71-12480-117+92.4</f>
        <v>2085924.0399999996</v>
      </c>
    </row>
    <row r="267" spans="6:10" hidden="1" x14ac:dyDescent="0.25">
      <c r="I267" s="278">
        <v>2116259.9700000002</v>
      </c>
    </row>
    <row r="268" spans="6:10" hidden="1" x14ac:dyDescent="0.25">
      <c r="I268" s="278">
        <f>+I266-I267</f>
        <v>-30335.930000000633</v>
      </c>
    </row>
    <row r="269" spans="6:10" hidden="1" x14ac:dyDescent="0.25"/>
  </sheetData>
  <mergeCells count="21">
    <mergeCell ref="E256:F256"/>
    <mergeCell ref="G256:H256"/>
    <mergeCell ref="A256:D256"/>
    <mergeCell ref="A255:C255"/>
    <mergeCell ref="E255:F255"/>
    <mergeCell ref="G255:H255"/>
    <mergeCell ref="J3:J4"/>
    <mergeCell ref="A222:C222"/>
    <mergeCell ref="E222:F222"/>
    <mergeCell ref="G222:H222"/>
    <mergeCell ref="A1:I1"/>
    <mergeCell ref="E3:F3"/>
    <mergeCell ref="G3:H3"/>
    <mergeCell ref="A3:A4"/>
    <mergeCell ref="C3:C4"/>
    <mergeCell ref="D3:D4"/>
    <mergeCell ref="I3:I4"/>
    <mergeCell ref="G70:H70"/>
    <mergeCell ref="E70:F70"/>
    <mergeCell ref="A69:D70"/>
    <mergeCell ref="B3:B4"/>
  </mergeCells>
  <phoneticPr fontId="3" type="noConversion"/>
  <pageMargins left="0.35433070866141703" right="0.23622047244094499" top="0.23622047244094499" bottom="0.15748031496063" header="0.15748031496063" footer="0.196850393700787"/>
  <pageSetup scale="45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0000"/>
  </sheetPr>
  <dimension ref="A1:AR770"/>
  <sheetViews>
    <sheetView showGridLines="0" showZeros="0" zoomScale="60" zoomScaleNormal="60" workbookViewId="0">
      <pane ySplit="15" topLeftCell="A229" activePane="bottomLeft" state="frozen"/>
      <selection pane="bottomLeft" activeCell="J235" sqref="J235"/>
    </sheetView>
  </sheetViews>
  <sheetFormatPr defaultColWidth="9.140625" defaultRowHeight="18.75" x14ac:dyDescent="0.2"/>
  <cols>
    <col min="1" max="1" width="11.5703125" style="57" customWidth="1"/>
    <col min="2" max="2" width="43.28515625" customWidth="1"/>
    <col min="3" max="3" width="15.42578125" style="13" customWidth="1"/>
    <col min="4" max="4" width="13.42578125" style="16" customWidth="1"/>
    <col min="5" max="5" width="14.28515625" style="15" customWidth="1"/>
    <col min="6" max="6" width="9.42578125" style="141" customWidth="1"/>
    <col min="7" max="7" width="16.28515625" style="141" customWidth="1"/>
    <col min="8" max="8" width="19.28515625" style="13" customWidth="1"/>
    <col min="9" max="9" width="19.28515625" style="328" customWidth="1"/>
    <col min="10" max="10" width="19.28515625" customWidth="1"/>
    <col min="11" max="11" width="19.28515625" style="202" customWidth="1"/>
    <col min="12" max="12" width="21.85546875" style="228" customWidth="1"/>
    <col min="13" max="13" width="19.28515625" style="203" customWidth="1"/>
    <col min="14" max="14" width="19.5703125" style="328" customWidth="1"/>
    <col min="15" max="15" width="19.28515625" style="217" customWidth="1"/>
    <col min="16" max="16" width="19.28515625" style="220" customWidth="1"/>
    <col min="17" max="17" width="19.28515625" style="205" customWidth="1"/>
    <col min="18" max="19" width="6.7109375" style="425" hidden="1" customWidth="1"/>
    <col min="20" max="20" width="0" style="425" hidden="1" customWidth="1"/>
    <col min="21" max="21" width="9.140625" style="425"/>
    <col min="22" max="24" width="9.140625" style="1"/>
    <col min="25" max="29" width="9.140625" style="2"/>
    <col min="30" max="44" width="9.140625" style="179"/>
    <col min="45" max="16384" width="9.140625" style="2"/>
  </cols>
  <sheetData>
    <row r="1" spans="1:44" ht="15.75" x14ac:dyDescent="0.25">
      <c r="A1" s="2148" t="s">
        <v>445</v>
      </c>
      <c r="B1" s="2148"/>
      <c r="C1" s="2148"/>
      <c r="D1" s="2148"/>
      <c r="E1" s="2148"/>
      <c r="F1" s="2148"/>
      <c r="G1" s="2148"/>
      <c r="H1" s="2148"/>
      <c r="I1" s="2148"/>
      <c r="J1" s="2148"/>
      <c r="K1" s="2148"/>
      <c r="L1" s="2148"/>
      <c r="M1" s="2148"/>
      <c r="N1" s="2148"/>
      <c r="O1" s="2148"/>
      <c r="P1" s="2148"/>
      <c r="Q1" s="2148"/>
      <c r="R1" s="679"/>
      <c r="S1" s="679"/>
      <c r="T1" s="682"/>
      <c r="U1" s="682"/>
      <c r="V1" s="682"/>
      <c r="W1" s="682"/>
      <c r="X1" s="682"/>
      <c r="Y1" s="682"/>
      <c r="Z1" s="682"/>
      <c r="AA1" s="682"/>
      <c r="AB1" s="682"/>
      <c r="AC1" s="682"/>
      <c r="AD1" s="68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4" ht="15" x14ac:dyDescent="0.25">
      <c r="A2" s="2149" t="s">
        <v>446</v>
      </c>
      <c r="B2" s="2149"/>
      <c r="C2" s="2149"/>
      <c r="D2" s="2149"/>
      <c r="E2" s="2149"/>
      <c r="F2" s="2149"/>
      <c r="G2" s="2149"/>
      <c r="H2" s="2149"/>
      <c r="I2" s="2149"/>
      <c r="J2" s="2149"/>
      <c r="K2" s="2149"/>
      <c r="L2" s="2149"/>
      <c r="M2" s="2149"/>
      <c r="N2" s="2149"/>
      <c r="O2" s="2149"/>
      <c r="P2" s="2149"/>
      <c r="Q2" s="2149"/>
      <c r="R2" s="679"/>
      <c r="S2" s="679"/>
      <c r="T2" s="682"/>
      <c r="U2" s="682"/>
      <c r="V2" s="682"/>
      <c r="W2" s="682"/>
      <c r="X2" s="682"/>
      <c r="Y2" s="682"/>
      <c r="Z2" s="682"/>
      <c r="AA2" s="682"/>
      <c r="AB2" s="682"/>
      <c r="AC2" s="682"/>
      <c r="AD2" s="68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ht="36.75" customHeight="1" x14ac:dyDescent="0.25">
      <c r="A3" s="1509" t="s">
        <v>133</v>
      </c>
      <c r="B3" s="1509"/>
      <c r="C3" s="1509"/>
      <c r="D3" s="1509"/>
      <c r="E3" s="1509"/>
      <c r="F3" s="1510"/>
      <c r="G3" s="1510"/>
      <c r="H3" s="1511"/>
      <c r="I3" s="1512"/>
      <c r="J3" s="1511"/>
      <c r="K3" s="1513"/>
      <c r="L3" s="1514" t="s">
        <v>1483</v>
      </c>
      <c r="M3" s="1511"/>
      <c r="N3" s="1515" t="s">
        <v>1481</v>
      </c>
      <c r="O3" s="1458">
        <f>'Stock Rawmaterial'!N3</f>
        <v>46279</v>
      </c>
      <c r="P3" s="323" t="s">
        <v>463</v>
      </c>
      <c r="Q3" s="1516">
        <f>'Stock Rawmaterial'!P3</f>
        <v>46284</v>
      </c>
      <c r="R3" s="679"/>
      <c r="S3" s="679"/>
      <c r="T3" s="682"/>
      <c r="U3" s="682"/>
      <c r="V3" s="682"/>
      <c r="W3" s="682"/>
      <c r="X3" s="682"/>
      <c r="Y3" s="682"/>
      <c r="Z3" s="682"/>
      <c r="AA3" s="682"/>
      <c r="AB3" s="682"/>
      <c r="AC3" s="682"/>
      <c r="AD3" s="68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 ht="36.75" customHeight="1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7"/>
      <c r="L4" s="1517" t="s">
        <v>1484</v>
      </c>
      <c r="M4" s="7"/>
      <c r="N4" s="1515" t="s">
        <v>1481</v>
      </c>
      <c r="O4" s="1458">
        <f>'Stock Rawmaterial'!N4</f>
        <v>46286</v>
      </c>
      <c r="P4" s="323" t="s">
        <v>463</v>
      </c>
      <c r="Q4" s="1516">
        <f>'Stock Rawmaterial'!P4</f>
        <v>46291</v>
      </c>
      <c r="R4" s="679"/>
      <c r="S4" s="679"/>
      <c r="T4" s="682"/>
      <c r="U4" s="682"/>
      <c r="V4" s="682"/>
      <c r="W4" s="682"/>
      <c r="X4" s="682"/>
      <c r="Y4" s="682"/>
      <c r="Z4" s="682"/>
      <c r="AA4" s="682"/>
      <c r="AB4" s="682"/>
      <c r="AC4" s="682"/>
      <c r="AD4" s="68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1:44" x14ac:dyDescent="0.25">
      <c r="B5" s="7"/>
      <c r="C5" s="14"/>
      <c r="H5" s="200"/>
      <c r="I5" s="229"/>
      <c r="J5" s="205"/>
      <c r="K5" s="204"/>
      <c r="L5" s="205"/>
      <c r="M5" s="200"/>
      <c r="N5" s="1518"/>
      <c r="O5" s="1519"/>
      <c r="P5" s="368"/>
      <c r="Q5" s="1516"/>
      <c r="R5" s="679"/>
      <c r="S5" s="679"/>
      <c r="T5" s="682"/>
      <c r="U5" s="682"/>
      <c r="V5" s="682"/>
      <c r="W5" s="682"/>
      <c r="X5" s="682"/>
      <c r="Y5" s="682"/>
      <c r="Z5" s="682"/>
      <c r="AA5" s="682"/>
      <c r="AB5" s="682"/>
      <c r="AC5" s="682"/>
      <c r="AD5" s="68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spans="1:44" ht="33.75" customHeight="1" thickBot="1" x14ac:dyDescent="0.3">
      <c r="A6" s="1506" t="s">
        <v>1478</v>
      </c>
      <c r="B6" s="6" t="s">
        <v>1798</v>
      </c>
      <c r="C6" s="2168" t="s">
        <v>134</v>
      </c>
      <c r="D6" s="2168"/>
      <c r="E6" s="2168"/>
      <c r="F6" s="2168"/>
      <c r="G6" s="2168"/>
      <c r="H6" s="2168"/>
      <c r="I6" s="2168"/>
      <c r="J6" s="2168"/>
      <c r="K6" s="2168"/>
      <c r="L6" s="153"/>
      <c r="M6" s="623"/>
      <c r="N6" s="1443"/>
      <c r="O6" s="545"/>
      <c r="P6" s="1443"/>
      <c r="Q6" s="1519"/>
      <c r="R6" s="679"/>
      <c r="S6" s="679"/>
      <c r="T6" s="682"/>
      <c r="U6" s="682"/>
      <c r="V6" s="682"/>
      <c r="W6" s="682"/>
      <c r="X6" s="682"/>
      <c r="Y6" s="682"/>
      <c r="Z6" s="682"/>
      <c r="AA6" s="682"/>
      <c r="AB6" s="682"/>
      <c r="AC6" s="682"/>
      <c r="AD6" s="68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1:44" ht="34.5" customHeight="1" x14ac:dyDescent="0.25">
      <c r="A7" s="1506" t="s">
        <v>1479</v>
      </c>
      <c r="B7" s="6" t="s">
        <v>1800</v>
      </c>
      <c r="C7" s="2168" t="s">
        <v>1448</v>
      </c>
      <c r="D7" s="2168"/>
      <c r="E7" s="2168"/>
      <c r="F7" s="2168"/>
      <c r="G7" s="2168"/>
      <c r="H7" s="2168"/>
      <c r="I7" s="2168"/>
      <c r="J7" s="2168"/>
      <c r="K7" s="2168"/>
      <c r="L7" s="1503" t="s">
        <v>1482</v>
      </c>
      <c r="M7" s="386">
        <f>'Stock Rawmaterial'!L7</f>
        <v>46286</v>
      </c>
      <c r="N7" s="2173" t="s">
        <v>1462</v>
      </c>
      <c r="O7" s="2174"/>
      <c r="P7" s="2171" t="s">
        <v>1464</v>
      </c>
      <c r="Q7" s="2172"/>
      <c r="R7" s="679"/>
      <c r="S7" s="679"/>
      <c r="T7" s="682"/>
      <c r="U7" s="682"/>
      <c r="V7" s="682"/>
      <c r="W7" s="682"/>
      <c r="X7" s="682"/>
      <c r="Y7" s="682"/>
      <c r="Z7" s="682"/>
      <c r="AA7" s="682"/>
      <c r="AB7" s="682"/>
      <c r="AC7" s="682"/>
      <c r="AD7" s="68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 spans="1:44" ht="33.75" customHeight="1" x14ac:dyDescent="0.25">
      <c r="A8" s="1506" t="s">
        <v>1480</v>
      </c>
      <c r="B8" s="6" t="s">
        <v>1470</v>
      </c>
      <c r="C8" s="14"/>
      <c r="D8" s="27"/>
      <c r="E8" s="9"/>
      <c r="F8" s="220"/>
      <c r="G8" s="220"/>
      <c r="H8" s="200"/>
      <c r="I8" s="229"/>
      <c r="J8" s="205"/>
      <c r="K8" s="204"/>
      <c r="L8" s="205"/>
      <c r="M8" s="200"/>
      <c r="N8" s="2176" t="s">
        <v>1463</v>
      </c>
      <c r="O8" s="2177"/>
      <c r="P8" s="2169" t="s">
        <v>1465</v>
      </c>
      <c r="Q8" s="2170"/>
      <c r="R8" s="679"/>
      <c r="S8" s="679"/>
      <c r="T8" s="682"/>
      <c r="U8" s="682"/>
      <c r="V8" s="682"/>
      <c r="W8" s="682"/>
      <c r="X8" s="682"/>
      <c r="Y8" s="682"/>
      <c r="Z8" s="682"/>
      <c r="AA8" s="682"/>
      <c r="AB8" s="682"/>
      <c r="AC8" s="682"/>
      <c r="AD8" s="68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1:44" ht="15.75" hidden="1" customHeight="1" x14ac:dyDescent="0.25">
      <c r="B9" s="7"/>
      <c r="C9" s="14"/>
      <c r="H9" s="200"/>
      <c r="I9" s="229"/>
      <c r="J9" s="205"/>
      <c r="K9" s="204"/>
      <c r="L9" s="205"/>
      <c r="M9" s="200"/>
      <c r="N9" s="368"/>
      <c r="O9" s="1519"/>
      <c r="P9" s="368"/>
      <c r="Q9" s="1520"/>
      <c r="R9" s="679"/>
      <c r="S9" s="679"/>
      <c r="T9" s="682"/>
      <c r="U9" s="682"/>
      <c r="V9" s="682"/>
      <c r="W9" s="682"/>
      <c r="X9" s="682"/>
      <c r="Y9" s="682"/>
      <c r="Z9" s="682"/>
      <c r="AA9" s="682"/>
      <c r="AB9" s="682"/>
      <c r="AC9" s="682"/>
      <c r="AD9" s="68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1:44" ht="27.75" hidden="1" customHeight="1" x14ac:dyDescent="0.25">
      <c r="A10" s="2150"/>
      <c r="B10" s="2150"/>
      <c r="C10" s="2150"/>
      <c r="D10" s="2150"/>
      <c r="E10" s="2150"/>
      <c r="F10" s="2150"/>
      <c r="G10" s="2150"/>
      <c r="H10" s="2150"/>
      <c r="I10" s="2150"/>
      <c r="J10" s="2150"/>
      <c r="K10" s="2150"/>
      <c r="L10" s="2150"/>
      <c r="M10" s="2150"/>
      <c r="N10" s="2150"/>
      <c r="O10" s="2150"/>
      <c r="P10" s="2150"/>
      <c r="Q10" s="2150"/>
      <c r="R10" s="679"/>
      <c r="S10" s="679"/>
      <c r="T10" s="682"/>
      <c r="U10" s="682"/>
      <c r="V10" s="682"/>
      <c r="W10" s="682"/>
      <c r="X10" s="682"/>
      <c r="Y10" s="682"/>
      <c r="Z10" s="682"/>
      <c r="AA10" s="682"/>
      <c r="AB10" s="682"/>
      <c r="AC10" s="682"/>
      <c r="AD10" s="68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spans="1:44" ht="20.25" hidden="1" customHeight="1" thickBot="1" x14ac:dyDescent="0.3">
      <c r="B11" s="6"/>
      <c r="C11" s="14"/>
      <c r="H11" s="200"/>
      <c r="I11" s="229"/>
      <c r="J11" s="205"/>
      <c r="K11" s="204"/>
      <c r="L11" s="205"/>
      <c r="M11" s="200"/>
      <c r="N11" s="368"/>
      <c r="O11" s="569"/>
      <c r="P11" s="368"/>
      <c r="Q11" s="723"/>
      <c r="R11" s="679"/>
      <c r="S11" s="679"/>
      <c r="T11" s="682"/>
      <c r="U11" s="682"/>
      <c r="V11" s="682"/>
      <c r="W11" s="682"/>
      <c r="X11" s="682"/>
      <c r="Y11" s="682"/>
      <c r="Z11" s="682"/>
      <c r="AA11" s="682"/>
      <c r="AB11" s="682"/>
      <c r="AC11" s="682"/>
      <c r="AD11" s="68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 s="397" customFormat="1" ht="38.25" customHeight="1" x14ac:dyDescent="0.2">
      <c r="A12" s="2151" t="s">
        <v>1449</v>
      </c>
      <c r="B12" s="2136" t="s">
        <v>1</v>
      </c>
      <c r="C12" s="2164" t="s">
        <v>41</v>
      </c>
      <c r="D12" s="2142" t="s">
        <v>1447</v>
      </c>
      <c r="E12" s="2162"/>
      <c r="F12" s="2294" t="s">
        <v>6</v>
      </c>
      <c r="G12" s="2261" t="s">
        <v>1488</v>
      </c>
      <c r="H12" s="1508" t="s">
        <v>5</v>
      </c>
      <c r="I12" s="1508" t="s">
        <v>11</v>
      </c>
      <c r="J12" s="1525" t="s">
        <v>316</v>
      </c>
      <c r="K12" s="1526" t="s">
        <v>307</v>
      </c>
      <c r="L12" s="1525" t="s">
        <v>315</v>
      </c>
      <c r="M12" s="1525" t="s">
        <v>12</v>
      </c>
      <c r="N12" s="1505" t="s">
        <v>313</v>
      </c>
      <c r="O12" s="2178" t="s">
        <v>1458</v>
      </c>
      <c r="P12" s="1505" t="s">
        <v>314</v>
      </c>
      <c r="Q12" s="2131" t="s">
        <v>1458</v>
      </c>
      <c r="R12" s="680"/>
      <c r="S12" s="680"/>
      <c r="T12" s="701"/>
      <c r="U12" s="701"/>
      <c r="V12" s="701"/>
      <c r="W12" s="701"/>
      <c r="X12" s="701"/>
      <c r="Y12" s="701"/>
      <c r="Z12" s="701"/>
      <c r="AA12" s="701"/>
      <c r="AB12" s="701"/>
      <c r="AC12" s="701"/>
      <c r="AD12" s="701"/>
    </row>
    <row r="13" spans="1:44" s="397" customFormat="1" ht="48.75" customHeight="1" x14ac:dyDescent="0.2">
      <c r="A13" s="2152"/>
      <c r="B13" s="2137"/>
      <c r="C13" s="2165"/>
      <c r="D13" s="2143"/>
      <c r="E13" s="2163"/>
      <c r="F13" s="2295"/>
      <c r="G13" s="2262"/>
      <c r="H13" s="1683" t="s">
        <v>1455</v>
      </c>
      <c r="I13" s="1499" t="s">
        <v>1485</v>
      </c>
      <c r="J13" s="1498" t="s">
        <v>1466</v>
      </c>
      <c r="K13" s="1521" t="s">
        <v>1461</v>
      </c>
      <c r="L13" s="1498" t="s">
        <v>1467</v>
      </c>
      <c r="M13" s="1498" t="s">
        <v>1456</v>
      </c>
      <c r="N13" s="1522" t="s">
        <v>1457</v>
      </c>
      <c r="O13" s="2179"/>
      <c r="P13" s="1522" t="s">
        <v>1460</v>
      </c>
      <c r="Q13" s="2132"/>
      <c r="R13" s="680"/>
      <c r="S13" s="680"/>
      <c r="T13" s="701"/>
      <c r="U13" s="701"/>
      <c r="V13" s="701"/>
      <c r="W13" s="701"/>
      <c r="X13" s="701"/>
      <c r="Y13" s="701"/>
      <c r="Z13" s="701"/>
      <c r="AA13" s="701"/>
      <c r="AB13" s="701"/>
      <c r="AC13" s="701"/>
      <c r="AD13" s="701"/>
    </row>
    <row r="14" spans="1:44" s="397" customFormat="1" ht="38.25" customHeight="1" x14ac:dyDescent="0.2">
      <c r="A14" s="2140" t="s">
        <v>1450</v>
      </c>
      <c r="B14" s="2138" t="s">
        <v>1451</v>
      </c>
      <c r="C14" s="2142" t="s">
        <v>1452</v>
      </c>
      <c r="D14" s="2140" t="s">
        <v>1453</v>
      </c>
      <c r="E14" s="2144"/>
      <c r="F14" s="2146" t="s">
        <v>1454</v>
      </c>
      <c r="G14" s="2259" t="s">
        <v>1487</v>
      </c>
      <c r="H14" s="1683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499" t="s">
        <v>303</v>
      </c>
      <c r="N14" s="1500" t="s">
        <v>308</v>
      </c>
      <c r="O14" s="2180" t="s">
        <v>1459</v>
      </c>
      <c r="P14" s="1501" t="s">
        <v>308</v>
      </c>
      <c r="Q14" s="2138" t="s">
        <v>1459</v>
      </c>
      <c r="R14" s="680"/>
      <c r="S14" s="680"/>
      <c r="T14" s="701"/>
      <c r="U14" s="701"/>
      <c r="V14" s="701"/>
      <c r="W14" s="701"/>
      <c r="X14" s="701"/>
      <c r="Y14" s="701"/>
      <c r="Z14" s="701"/>
      <c r="AA14" s="701"/>
      <c r="AB14" s="701"/>
      <c r="AC14" s="701"/>
      <c r="AD14" s="701"/>
    </row>
    <row r="15" spans="1:44" s="397" customFormat="1" ht="34.5" customHeight="1" x14ac:dyDescent="0.2">
      <c r="A15" s="2141"/>
      <c r="B15" s="2139"/>
      <c r="C15" s="2143"/>
      <c r="D15" s="2141"/>
      <c r="E15" s="2145"/>
      <c r="F15" s="2147"/>
      <c r="G15" s="2260"/>
      <c r="H15" s="1684" t="s">
        <v>1468</v>
      </c>
      <c r="I15" s="1523" t="s">
        <v>1468</v>
      </c>
      <c r="J15" s="1523" t="s">
        <v>1468</v>
      </c>
      <c r="K15" s="1523" t="s">
        <v>1468</v>
      </c>
      <c r="L15" s="1523" t="s">
        <v>1468</v>
      </c>
      <c r="M15" s="1523" t="s">
        <v>1468</v>
      </c>
      <c r="N15" s="1507" t="s">
        <v>1469</v>
      </c>
      <c r="O15" s="2143"/>
      <c r="P15" s="1524" t="s">
        <v>1469</v>
      </c>
      <c r="Q15" s="2139"/>
      <c r="R15" s="680"/>
      <c r="S15" s="680"/>
      <c r="T15" s="701"/>
      <c r="U15" s="701"/>
      <c r="V15" s="701"/>
      <c r="W15" s="701"/>
      <c r="X15" s="701"/>
      <c r="Y15" s="701"/>
      <c r="Z15" s="701"/>
      <c r="AA15" s="701"/>
      <c r="AB15" s="701"/>
      <c r="AC15" s="701"/>
      <c r="AD15" s="701"/>
    </row>
    <row r="16" spans="1:44" s="13" customFormat="1" ht="30" hidden="1" customHeight="1" x14ac:dyDescent="0.2">
      <c r="A16" s="2021">
        <f>IF(M24=0,"",MAX($A$15:A15)+1)</f>
        <v>1</v>
      </c>
      <c r="B16" s="2290" t="s">
        <v>614</v>
      </c>
      <c r="C16" s="160">
        <f>+'Stock Rawmaterial'!C774</f>
        <v>0</v>
      </c>
      <c r="D16" s="959" t="s">
        <v>10</v>
      </c>
      <c r="E16" s="935">
        <f>+'Stock Rawmaterial'!E774</f>
        <v>45295</v>
      </c>
      <c r="F16" s="75">
        <f>+'Stock Rawmaterial'!F774</f>
        <v>991</v>
      </c>
      <c r="G16" s="1685"/>
      <c r="H16" s="80"/>
      <c r="I16" s="80">
        <f>+'Stock Rawmaterial'!H774</f>
        <v>0</v>
      </c>
      <c r="J16" s="80">
        <f>+'Stock Rawmaterial'!I774</f>
        <v>0</v>
      </c>
      <c r="K16" s="1574">
        <f>+'Stock Rawmaterial'!J774</f>
        <v>0</v>
      </c>
      <c r="L16" s="80">
        <f>+'Stock Rawmaterial'!K774</f>
        <v>0</v>
      </c>
      <c r="M16" s="1575">
        <f>+'Stock Rawmaterial'!L774</f>
        <v>0</v>
      </c>
      <c r="N16" s="287"/>
      <c r="O16" s="208"/>
      <c r="P16" s="287"/>
      <c r="Q16" s="68">
        <f>+'Stock Rawmaterial'!K774</f>
        <v>0</v>
      </c>
      <c r="R16" s="461"/>
      <c r="S16" s="328"/>
      <c r="T16" s="462"/>
    </row>
    <row r="17" spans="1:20" s="13" customFormat="1" ht="30" hidden="1" customHeight="1" x14ac:dyDescent="0.2">
      <c r="A17" s="2022"/>
      <c r="B17" s="2291"/>
      <c r="C17" s="160">
        <f>+'Stock Rawmaterial'!C775</f>
        <v>0</v>
      </c>
      <c r="D17" s="959" t="s">
        <v>10</v>
      </c>
      <c r="E17" s="935">
        <f>+'Stock Rawmaterial'!E775</f>
        <v>45755</v>
      </c>
      <c r="F17" s="75">
        <f>+'Stock Rawmaterial'!F775</f>
        <v>531</v>
      </c>
      <c r="G17" s="1685">
        <v>46341</v>
      </c>
      <c r="H17" s="80">
        <f>+'Stock Rawmaterial'!G775</f>
        <v>0</v>
      </c>
      <c r="I17" s="80">
        <f>+'Stock Rawmaterial'!H775</f>
        <v>0</v>
      </c>
      <c r="J17" s="80">
        <f>+'Stock Rawmaterial'!I775</f>
        <v>0</v>
      </c>
      <c r="K17" s="1574">
        <f>+'Stock Rawmaterial'!J775</f>
        <v>0</v>
      </c>
      <c r="L17" s="80">
        <f>+'Stock Rawmaterial'!K775</f>
        <v>0</v>
      </c>
      <c r="M17" s="1671">
        <f>+'Stock Rawmaterial'!L775</f>
        <v>0</v>
      </c>
      <c r="N17" s="287"/>
      <c r="O17" s="208"/>
      <c r="P17" s="287"/>
      <c r="Q17" s="68"/>
      <c r="R17" s="461"/>
      <c r="S17" s="328"/>
      <c r="T17" s="462"/>
    </row>
    <row r="18" spans="1:20" s="13" customFormat="1" ht="30" hidden="1" customHeight="1" x14ac:dyDescent="0.2">
      <c r="A18" s="2022"/>
      <c r="B18" s="2291"/>
      <c r="C18" s="160">
        <f>+'Stock Rawmaterial'!C776</f>
        <v>0</v>
      </c>
      <c r="D18" s="959" t="s">
        <v>10</v>
      </c>
      <c r="E18" s="935">
        <f>+'Stock Rawmaterial'!E776</f>
        <v>45771</v>
      </c>
      <c r="F18" s="75">
        <f>+'Stock Rawmaterial'!F776</f>
        <v>515</v>
      </c>
      <c r="G18" s="1685">
        <v>46341</v>
      </c>
      <c r="H18" s="80">
        <f>+'Stock Rawmaterial'!G776</f>
        <v>0</v>
      </c>
      <c r="I18" s="80">
        <f>+'Stock Rawmaterial'!H776</f>
        <v>0</v>
      </c>
      <c r="J18" s="80">
        <f>+'Stock Rawmaterial'!I776</f>
        <v>0</v>
      </c>
      <c r="K18" s="1574">
        <f>+'Stock Rawmaterial'!J776</f>
        <v>0</v>
      </c>
      <c r="L18" s="80">
        <f>+'Stock Rawmaterial'!K776</f>
        <v>0</v>
      </c>
      <c r="M18" s="1671">
        <f>+'Stock Rawmaterial'!L776</f>
        <v>0</v>
      </c>
      <c r="N18" s="287"/>
      <c r="O18" s="208"/>
      <c r="P18" s="287"/>
      <c r="Q18" s="68"/>
      <c r="R18" s="461"/>
      <c r="S18" s="328"/>
      <c r="T18" s="462"/>
    </row>
    <row r="19" spans="1:20" s="13" customFormat="1" ht="30" hidden="1" customHeight="1" x14ac:dyDescent="0.2">
      <c r="A19" s="2022"/>
      <c r="B19" s="2291"/>
      <c r="C19" s="160">
        <f>+'Stock Rawmaterial'!C777</f>
        <v>0</v>
      </c>
      <c r="D19" s="959" t="s">
        <v>10</v>
      </c>
      <c r="E19" s="935">
        <f>+'Stock Rawmaterial'!E777</f>
        <v>46211</v>
      </c>
      <c r="F19" s="75">
        <f>+'Stock Rawmaterial'!F777</f>
        <v>75</v>
      </c>
      <c r="G19" s="1953">
        <v>46789</v>
      </c>
      <c r="H19" s="80">
        <f>+'Stock Rawmaterial'!G777</f>
        <v>0</v>
      </c>
      <c r="I19" s="80">
        <f>+'Stock Rawmaterial'!H777</f>
        <v>0</v>
      </c>
      <c r="J19" s="80">
        <f>+'Stock Rawmaterial'!I777</f>
        <v>0</v>
      </c>
      <c r="K19" s="1574">
        <f>+'Stock Rawmaterial'!J777</f>
        <v>0</v>
      </c>
      <c r="L19" s="80">
        <f>+'Stock Rawmaterial'!K777</f>
        <v>0</v>
      </c>
      <c r="M19" s="1671">
        <f>+'Stock Rawmaterial'!L777</f>
        <v>0</v>
      </c>
      <c r="N19" s="287"/>
      <c r="O19" s="208"/>
      <c r="P19" s="287"/>
      <c r="Q19" s="68"/>
      <c r="R19" s="461"/>
      <c r="S19" s="328"/>
      <c r="T19" s="462"/>
    </row>
    <row r="20" spans="1:20" s="13" customFormat="1" ht="30" customHeight="1" x14ac:dyDescent="0.2">
      <c r="A20" s="2022"/>
      <c r="B20" s="2291"/>
      <c r="C20" s="160" t="str">
        <f>+'Stock Rawmaterial'!C778</f>
        <v>E2</v>
      </c>
      <c r="D20" s="959" t="s">
        <v>10</v>
      </c>
      <c r="E20" s="935">
        <f>+'Stock Rawmaterial'!E778</f>
        <v>46254</v>
      </c>
      <c r="F20" s="75">
        <f>+'Stock Rawmaterial'!F778</f>
        <v>32</v>
      </c>
      <c r="G20" s="1953">
        <v>46806</v>
      </c>
      <c r="H20" s="80">
        <f>+'Stock Rawmaterial'!G778</f>
        <v>225</v>
      </c>
      <c r="I20" s="80">
        <f>+'Stock Rawmaterial'!H778</f>
        <v>0</v>
      </c>
      <c r="J20" s="80">
        <f>+'Stock Rawmaterial'!I778</f>
        <v>0</v>
      </c>
      <c r="K20" s="1574">
        <f>+'Stock Rawmaterial'!J778</f>
        <v>0</v>
      </c>
      <c r="L20" s="80">
        <f>+'Stock Rawmaterial'!K778</f>
        <v>0</v>
      </c>
      <c r="M20" s="1671">
        <f>+'Stock Rawmaterial'!L778</f>
        <v>225</v>
      </c>
      <c r="N20" s="287"/>
      <c r="O20" s="208"/>
      <c r="P20" s="287"/>
      <c r="Q20" s="68"/>
      <c r="R20" s="461"/>
      <c r="S20" s="328"/>
      <c r="T20" s="462"/>
    </row>
    <row r="21" spans="1:20" s="13" customFormat="1" ht="30" customHeight="1" x14ac:dyDescent="0.2">
      <c r="A21" s="2022"/>
      <c r="B21" s="2292"/>
      <c r="C21" s="160" t="str">
        <f>+'Stock Rawmaterial'!C779</f>
        <v>E1</v>
      </c>
      <c r="D21" s="959" t="s">
        <v>10</v>
      </c>
      <c r="E21" s="935">
        <f>+'Stock Rawmaterial'!E779</f>
        <v>46262</v>
      </c>
      <c r="F21" s="75">
        <f>+'Stock Rawmaterial'!F779</f>
        <v>24</v>
      </c>
      <c r="G21" s="1953">
        <v>46817</v>
      </c>
      <c r="H21" s="80">
        <f>+'Stock Rawmaterial'!G779</f>
        <v>1000</v>
      </c>
      <c r="I21" s="80">
        <f>+'Stock Rawmaterial'!H779</f>
        <v>0</v>
      </c>
      <c r="J21" s="80">
        <f>+'Stock Rawmaterial'!I779</f>
        <v>0</v>
      </c>
      <c r="K21" s="1574">
        <f>+'Stock Rawmaterial'!J779</f>
        <v>0</v>
      </c>
      <c r="L21" s="80">
        <f>+'Stock Rawmaterial'!K779</f>
        <v>0</v>
      </c>
      <c r="M21" s="1671">
        <f>+'Stock Rawmaterial'!L779</f>
        <v>1000</v>
      </c>
      <c r="N21" s="287"/>
      <c r="O21" s="208"/>
      <c r="P21" s="287"/>
      <c r="Q21" s="68"/>
      <c r="R21" s="1138"/>
      <c r="S21" s="328"/>
      <c r="T21" s="1139"/>
    </row>
    <row r="22" spans="1:20" s="13" customFormat="1" ht="30" customHeight="1" x14ac:dyDescent="0.2">
      <c r="A22" s="2022"/>
      <c r="B22" s="2292"/>
      <c r="C22" s="160" t="str">
        <f>+'Stock Rawmaterial'!C780</f>
        <v>E1</v>
      </c>
      <c r="D22" s="959" t="s">
        <v>10</v>
      </c>
      <c r="E22" s="935">
        <f>+'Stock Rawmaterial'!E780</f>
        <v>46283</v>
      </c>
      <c r="F22" s="75">
        <f>+'Stock Rawmaterial'!F780</f>
        <v>3</v>
      </c>
      <c r="G22" s="1953">
        <v>46818</v>
      </c>
      <c r="H22" s="80">
        <f>+'Stock Rawmaterial'!G780</f>
        <v>2000</v>
      </c>
      <c r="I22" s="80">
        <f>+'Stock Rawmaterial'!H780</f>
        <v>0</v>
      </c>
      <c r="J22" s="80">
        <f>+'Stock Rawmaterial'!I780</f>
        <v>0</v>
      </c>
      <c r="K22" s="1574">
        <f>+'Stock Rawmaterial'!J780</f>
        <v>0</v>
      </c>
      <c r="L22" s="80">
        <f>+'Stock Rawmaterial'!K780</f>
        <v>0</v>
      </c>
      <c r="M22" s="1671">
        <f>+'Stock Rawmaterial'!L780</f>
        <v>2000</v>
      </c>
      <c r="N22" s="287"/>
      <c r="O22" s="208"/>
      <c r="P22" s="287"/>
      <c r="Q22" s="68"/>
      <c r="R22" s="1138"/>
      <c r="S22" s="328"/>
      <c r="T22" s="1139"/>
    </row>
    <row r="23" spans="1:20" s="14" customFormat="1" ht="30" customHeight="1" x14ac:dyDescent="0.2">
      <c r="A23" s="2023"/>
      <c r="B23" s="2293"/>
      <c r="C23" s="1689" t="str">
        <f>+'Stock Rawmaterial'!C781</f>
        <v>Feedmill</v>
      </c>
      <c r="D23" s="1690" t="s">
        <v>10</v>
      </c>
      <c r="E23" s="1691">
        <f>+'Stock Rawmaterial'!E781</f>
        <v>46254</v>
      </c>
      <c r="F23" s="566">
        <f>+'Stock Rawmaterial'!F781</f>
        <v>32</v>
      </c>
      <c r="G23" s="1954">
        <v>46806</v>
      </c>
      <c r="H23" s="567">
        <f>+'Stock Rawmaterial'!G781</f>
        <v>77.819999999999936</v>
      </c>
      <c r="I23" s="567">
        <f>+'Stock Rawmaterial'!H781</f>
        <v>0</v>
      </c>
      <c r="J23" s="567">
        <f>+'Stock Rawmaterial'!I781</f>
        <v>0</v>
      </c>
      <c r="K23" s="1693">
        <f>+'Stock Rawmaterial'!J781</f>
        <v>25.3</v>
      </c>
      <c r="L23" s="567">
        <f>+'Stock Rawmaterial'!K781</f>
        <v>0</v>
      </c>
      <c r="M23" s="1694">
        <f>+'Stock Rawmaterial'!L781</f>
        <v>52.519999999999939</v>
      </c>
      <c r="N23" s="629"/>
      <c r="O23" s="630"/>
      <c r="P23" s="629"/>
      <c r="Q23" s="628">
        <f>+'Stock Rawmaterial'!K781</f>
        <v>0</v>
      </c>
      <c r="R23" s="475"/>
      <c r="S23" s="220"/>
      <c r="T23" s="476"/>
    </row>
    <row r="24" spans="1:20" s="265" customFormat="1" ht="30" customHeight="1" x14ac:dyDescent="0.2">
      <c r="A24" s="2019" t="s">
        <v>615</v>
      </c>
      <c r="B24" s="2020"/>
      <c r="C24" s="88"/>
      <c r="D24" s="864"/>
      <c r="E24" s="864"/>
      <c r="F24" s="865"/>
      <c r="G24" s="865"/>
      <c r="H24" s="1576">
        <f>SUM(H16:H23)</f>
        <v>3302.8199999999997</v>
      </c>
      <c r="I24" s="1576">
        <f t="shared" ref="I24:M24" si="0">SUM(I16:I23)</f>
        <v>0</v>
      </c>
      <c r="J24" s="1576">
        <f t="shared" si="0"/>
        <v>0</v>
      </c>
      <c r="K24" s="1576">
        <f t="shared" si="0"/>
        <v>25.3</v>
      </c>
      <c r="L24" s="1576">
        <f t="shared" si="0"/>
        <v>0</v>
      </c>
      <c r="M24" s="1576">
        <f t="shared" si="0"/>
        <v>3277.52</v>
      </c>
      <c r="N24" s="133">
        <f>'Stock Rawmaterial'!M782</f>
        <v>199.56833333333336</v>
      </c>
      <c r="O24" s="133">
        <f>'Stock Rawmaterial'!N782</f>
        <v>16.42304640849834</v>
      </c>
      <c r="P24" s="133">
        <f>'Stock Rawmaterial'!O782</f>
        <v>44.000000000000007</v>
      </c>
      <c r="Q24" s="133">
        <f>'Stock Rawmaterial'!P782</f>
        <v>74.489090909090891</v>
      </c>
      <c r="R24" s="466"/>
      <c r="S24" s="264"/>
      <c r="T24" s="467"/>
    </row>
    <row r="25" spans="1:20" s="13" customFormat="1" ht="30" hidden="1" customHeight="1" x14ac:dyDescent="0.2">
      <c r="A25" s="2021" t="str">
        <f>IF(M32=0,"",MAX($A$15:A24)+1)</f>
        <v/>
      </c>
      <c r="B25" s="2265" t="s">
        <v>454</v>
      </c>
      <c r="C25" s="160" t="str">
        <f>+'Stock Rawmaterial'!C789</f>
        <v>D3</v>
      </c>
      <c r="D25" s="959" t="s">
        <v>10</v>
      </c>
      <c r="E25" s="935"/>
      <c r="F25" s="75"/>
      <c r="G25" s="358"/>
      <c r="H25" s="1577"/>
      <c r="I25" s="1578"/>
      <c r="J25" s="1579"/>
      <c r="K25" s="80"/>
      <c r="L25" s="80"/>
      <c r="M25" s="80"/>
      <c r="N25" s="287"/>
      <c r="O25" s="1635"/>
      <c r="P25" s="287"/>
      <c r="Q25" s="287">
        <f>+'Stock Rawmaterial'!K789</f>
        <v>0</v>
      </c>
      <c r="R25" s="461"/>
      <c r="S25" s="328"/>
      <c r="T25" s="462"/>
    </row>
    <row r="26" spans="1:20" s="13" customFormat="1" ht="30" hidden="1" customHeight="1" x14ac:dyDescent="0.2">
      <c r="A26" s="2022"/>
      <c r="B26" s="2266"/>
      <c r="C26" s="160" t="str">
        <f>+'Stock Rawmaterial'!C790</f>
        <v>X0</v>
      </c>
      <c r="D26" s="959" t="s">
        <v>10</v>
      </c>
      <c r="E26" s="935"/>
      <c r="F26" s="75"/>
      <c r="G26" s="358"/>
      <c r="H26" s="1577"/>
      <c r="I26" s="1578"/>
      <c r="J26" s="1579"/>
      <c r="K26" s="80"/>
      <c r="L26" s="80"/>
      <c r="M26" s="80"/>
      <c r="N26" s="287"/>
      <c r="O26" s="1635"/>
      <c r="P26" s="287"/>
      <c r="Q26" s="287">
        <f>+'Stock Rawmaterial'!K790</f>
        <v>0</v>
      </c>
      <c r="R26" s="461"/>
      <c r="S26" s="328"/>
      <c r="T26" s="462"/>
    </row>
    <row r="27" spans="1:20" s="13" customFormat="1" ht="30" hidden="1" customHeight="1" x14ac:dyDescent="0.2">
      <c r="A27" s="2022"/>
      <c r="B27" s="2266"/>
      <c r="C27" s="160" t="str">
        <f>+'Stock Rawmaterial'!C791</f>
        <v>X0</v>
      </c>
      <c r="D27" s="959" t="s">
        <v>10</v>
      </c>
      <c r="E27" s="935"/>
      <c r="F27" s="75"/>
      <c r="G27" s="358"/>
      <c r="H27" s="1577"/>
      <c r="I27" s="1578"/>
      <c r="J27" s="1579"/>
      <c r="K27" s="80"/>
      <c r="L27" s="80"/>
      <c r="M27" s="80"/>
      <c r="N27" s="287"/>
      <c r="O27" s="1635"/>
      <c r="P27" s="287"/>
      <c r="Q27" s="287">
        <f>+'Stock Rawmaterial'!K791</f>
        <v>0</v>
      </c>
      <c r="R27" s="461"/>
      <c r="S27" s="328"/>
      <c r="T27" s="462"/>
    </row>
    <row r="28" spans="1:20" s="13" customFormat="1" ht="30" hidden="1" customHeight="1" x14ac:dyDescent="0.2">
      <c r="A28" s="2022"/>
      <c r="B28" s="2266"/>
      <c r="C28" s="160" t="s">
        <v>284</v>
      </c>
      <c r="D28" s="959" t="s">
        <v>10</v>
      </c>
      <c r="E28" s="935"/>
      <c r="F28" s="75"/>
      <c r="G28" s="358"/>
      <c r="H28" s="1577"/>
      <c r="I28" s="1578"/>
      <c r="J28" s="1579"/>
      <c r="K28" s="80"/>
      <c r="L28" s="80"/>
      <c r="M28" s="80"/>
      <c r="N28" s="287"/>
      <c r="O28" s="1635"/>
      <c r="P28" s="287"/>
      <c r="Q28" s="287">
        <f>+'Stock Rawmaterial'!K792</f>
        <v>0</v>
      </c>
      <c r="R28" s="461"/>
      <c r="S28" s="328"/>
      <c r="T28" s="462"/>
    </row>
    <row r="29" spans="1:20" s="13" customFormat="1" ht="30" hidden="1" customHeight="1" x14ac:dyDescent="0.2">
      <c r="A29" s="2022"/>
      <c r="B29" s="2266"/>
      <c r="C29" s="160" t="s">
        <v>283</v>
      </c>
      <c r="D29" s="959" t="s">
        <v>10</v>
      </c>
      <c r="E29" s="935"/>
      <c r="F29" s="75"/>
      <c r="G29" s="358"/>
      <c r="H29" s="1577"/>
      <c r="I29" s="1578"/>
      <c r="J29" s="1579"/>
      <c r="K29" s="80"/>
      <c r="L29" s="80"/>
      <c r="M29" s="80"/>
      <c r="N29" s="287"/>
      <c r="O29" s="1635"/>
      <c r="P29" s="287"/>
      <c r="Q29" s="287">
        <f>+'Stock Rawmaterial'!K793</f>
        <v>0</v>
      </c>
      <c r="R29" s="461"/>
      <c r="S29" s="328"/>
      <c r="T29" s="462"/>
    </row>
    <row r="30" spans="1:20" s="13" customFormat="1" ht="30" hidden="1" customHeight="1" x14ac:dyDescent="0.2">
      <c r="A30" s="2022"/>
      <c r="B30" s="2266"/>
      <c r="C30" s="160" t="s">
        <v>283</v>
      </c>
      <c r="D30" s="959" t="s">
        <v>10</v>
      </c>
      <c r="E30" s="935"/>
      <c r="F30" s="75"/>
      <c r="G30" s="358"/>
      <c r="H30" s="1577"/>
      <c r="I30" s="1578"/>
      <c r="J30" s="1579"/>
      <c r="K30" s="80"/>
      <c r="L30" s="80"/>
      <c r="M30" s="80"/>
      <c r="N30" s="287"/>
      <c r="O30" s="1635"/>
      <c r="P30" s="287"/>
      <c r="Q30" s="287">
        <f>+'Stock Rawmaterial'!K794</f>
        <v>0</v>
      </c>
      <c r="R30" s="461"/>
      <c r="S30" s="328"/>
      <c r="T30" s="462"/>
    </row>
    <row r="31" spans="1:20" s="14" customFormat="1" ht="30" hidden="1" customHeight="1" x14ac:dyDescent="0.2">
      <c r="A31" s="2023"/>
      <c r="B31" s="2267"/>
      <c r="C31" s="106" t="s">
        <v>46</v>
      </c>
      <c r="D31" s="850" t="s">
        <v>10</v>
      </c>
      <c r="E31" s="935"/>
      <c r="F31" s="283"/>
      <c r="G31" s="283"/>
      <c r="H31" s="1580"/>
      <c r="I31" s="1581"/>
      <c r="J31" s="1582"/>
      <c r="K31" s="1583"/>
      <c r="L31" s="80"/>
      <c r="M31" s="1583"/>
      <c r="N31" s="283"/>
      <c r="O31" s="281"/>
      <c r="P31" s="283"/>
      <c r="Q31" s="287">
        <f>+'Stock Rawmaterial'!K795</f>
        <v>0</v>
      </c>
      <c r="R31" s="475"/>
      <c r="S31" s="220"/>
      <c r="T31" s="476"/>
    </row>
    <row r="32" spans="1:20" s="265" customFormat="1" ht="30" hidden="1" customHeight="1" x14ac:dyDescent="0.2">
      <c r="A32" s="2268" t="s">
        <v>222</v>
      </c>
      <c r="B32" s="2036"/>
      <c r="C32" s="88"/>
      <c r="D32" s="864"/>
      <c r="E32" s="864"/>
      <c r="F32" s="865"/>
      <c r="G32" s="865"/>
      <c r="H32" s="1584"/>
      <c r="I32" s="1585"/>
      <c r="J32" s="1586"/>
      <c r="K32" s="235">
        <f>+SUM(K25:K31)</f>
        <v>0</v>
      </c>
      <c r="L32" s="235">
        <f t="shared" ref="L32:Q32" si="1">SUM(L25:L31)</f>
        <v>0</v>
      </c>
      <c r="M32" s="235">
        <f t="shared" si="1"/>
        <v>0</v>
      </c>
      <c r="N32" s="928">
        <v>0</v>
      </c>
      <c r="O32" s="928">
        <f t="shared" si="1"/>
        <v>0</v>
      </c>
      <c r="P32" s="928">
        <f t="shared" si="1"/>
        <v>0</v>
      </c>
      <c r="Q32" s="928">
        <f t="shared" si="1"/>
        <v>0</v>
      </c>
      <c r="R32" s="466"/>
      <c r="S32" s="264"/>
      <c r="T32" s="467"/>
    </row>
    <row r="33" spans="1:20" s="416" customFormat="1" ht="30" hidden="1" customHeight="1" x14ac:dyDescent="0.2">
      <c r="A33" s="2021">
        <f>IF(M39=0,"",MAX($A$15:A32)+1)</f>
        <v>2</v>
      </c>
      <c r="B33" s="2153" t="s">
        <v>455</v>
      </c>
      <c r="C33" s="139">
        <f>+'Stock Rawmaterial'!C994</f>
        <v>0</v>
      </c>
      <c r="D33" s="959" t="str">
        <f>+'Stock Rawmaterial'!D994</f>
        <v>Rec.</v>
      </c>
      <c r="E33" s="961">
        <f>+'Stock Rawmaterial'!E994</f>
        <v>46039</v>
      </c>
      <c r="F33" s="938">
        <f>+'Stock Rawmaterial'!F994</f>
        <v>247</v>
      </c>
      <c r="G33" s="1954">
        <v>47094</v>
      </c>
      <c r="H33" s="77">
        <f>+'Stock Rawmaterial'!G994</f>
        <v>0</v>
      </c>
      <c r="I33" s="986">
        <f>+'Stock Rawmaterial'!H994</f>
        <v>0</v>
      </c>
      <c r="J33" s="82">
        <f>+'Stock Rawmaterial'!I994</f>
        <v>0</v>
      </c>
      <c r="K33" s="1587">
        <f>+'Stock Rawmaterial'!J994</f>
        <v>0</v>
      </c>
      <c r="L33" s="77">
        <f>+'Stock Rawmaterial'!K994</f>
        <v>0</v>
      </c>
      <c r="M33" s="1671">
        <f>+'Stock Rawmaterial'!L994</f>
        <v>0</v>
      </c>
      <c r="N33" s="332"/>
      <c r="O33" s="286"/>
      <c r="P33" s="332"/>
      <c r="Q33" s="332"/>
      <c r="R33" s="486"/>
      <c r="S33" s="487"/>
      <c r="T33" s="488"/>
    </row>
    <row r="34" spans="1:20" s="416" customFormat="1" ht="30" hidden="1" customHeight="1" x14ac:dyDescent="0.2">
      <c r="A34" s="2022"/>
      <c r="B34" s="2155"/>
      <c r="C34" s="139">
        <f>+'Stock Rawmaterial'!C995</f>
        <v>0</v>
      </c>
      <c r="D34" s="959" t="str">
        <f>+'Stock Rawmaterial'!D995</f>
        <v>Rec.</v>
      </c>
      <c r="E34" s="961">
        <f>+'Stock Rawmaterial'!E995</f>
        <v>46079</v>
      </c>
      <c r="F34" s="938">
        <f>+'Stock Rawmaterial'!F995</f>
        <v>207</v>
      </c>
      <c r="G34" s="1953">
        <v>47132</v>
      </c>
      <c r="H34" s="77">
        <f>+'Stock Rawmaterial'!G995</f>
        <v>0</v>
      </c>
      <c r="I34" s="986">
        <f>+'Stock Rawmaterial'!H995</f>
        <v>0</v>
      </c>
      <c r="J34" s="82">
        <f>+'Stock Rawmaterial'!I995</f>
        <v>0</v>
      </c>
      <c r="K34" s="1587">
        <f>+'Stock Rawmaterial'!J995</f>
        <v>0</v>
      </c>
      <c r="L34" s="77">
        <f>+'Stock Rawmaterial'!K995</f>
        <v>0</v>
      </c>
      <c r="M34" s="1671">
        <f>+'Stock Rawmaterial'!L995</f>
        <v>0</v>
      </c>
      <c r="N34" s="332"/>
      <c r="O34" s="1635"/>
      <c r="P34" s="332"/>
      <c r="Q34" s="332"/>
      <c r="R34" s="486"/>
      <c r="S34" s="487"/>
      <c r="T34" s="488"/>
    </row>
    <row r="35" spans="1:20" s="417" customFormat="1" ht="24.75" customHeight="1" x14ac:dyDescent="0.2">
      <c r="A35" s="2022"/>
      <c r="B35" s="2155"/>
      <c r="C35" s="139" t="str">
        <f>+'Stock Rawmaterial'!C996</f>
        <v>E1</v>
      </c>
      <c r="D35" s="959" t="str">
        <f>+'Stock Rawmaterial'!D996</f>
        <v>Rec.</v>
      </c>
      <c r="E35" s="961">
        <f>+'Stock Rawmaterial'!E996</f>
        <v>46262</v>
      </c>
      <c r="F35" s="938">
        <f>+'Stock Rawmaterial'!F996</f>
        <v>24</v>
      </c>
      <c r="G35" s="1953">
        <v>47249</v>
      </c>
      <c r="H35" s="77">
        <f>+'Stock Rawmaterial'!G996</f>
        <v>425</v>
      </c>
      <c r="I35" s="986">
        <f>+'Stock Rawmaterial'!H996</f>
        <v>0</v>
      </c>
      <c r="J35" s="82">
        <f>+'Stock Rawmaterial'!I996</f>
        <v>0</v>
      </c>
      <c r="K35" s="1587">
        <f>+'Stock Rawmaterial'!J996</f>
        <v>0</v>
      </c>
      <c r="L35" s="77">
        <f>+'Stock Rawmaterial'!K996</f>
        <v>0</v>
      </c>
      <c r="M35" s="1671">
        <f>+'Stock Rawmaterial'!L996</f>
        <v>425</v>
      </c>
      <c r="N35" s="878"/>
      <c r="O35" s="1636"/>
      <c r="P35" s="878"/>
      <c r="Q35" s="332"/>
      <c r="R35" s="489"/>
      <c r="S35" s="490"/>
      <c r="T35" s="491"/>
    </row>
    <row r="36" spans="1:20" s="417" customFormat="1" ht="30" customHeight="1" x14ac:dyDescent="0.2">
      <c r="A36" s="2022"/>
      <c r="B36" s="2156"/>
      <c r="C36" s="139">
        <f>+'Stock Rawmaterial'!C997</f>
        <v>0</v>
      </c>
      <c r="D36" s="959" t="str">
        <f>+'Stock Rawmaterial'!D997</f>
        <v>Rec.</v>
      </c>
      <c r="E36" s="961">
        <f>+'Stock Rawmaterial'!E997</f>
        <v>46262</v>
      </c>
      <c r="F36" s="938">
        <f>+'Stock Rawmaterial'!F997</f>
        <v>24</v>
      </c>
      <c r="G36" s="1953">
        <v>47251</v>
      </c>
      <c r="H36" s="77">
        <f>+'Stock Rawmaterial'!G997</f>
        <v>0</v>
      </c>
      <c r="I36" s="986">
        <f>+'Stock Rawmaterial'!H997</f>
        <v>0</v>
      </c>
      <c r="J36" s="82">
        <f>+'Stock Rawmaterial'!I997</f>
        <v>0</v>
      </c>
      <c r="K36" s="1587">
        <f>+'Stock Rawmaterial'!J997</f>
        <v>0</v>
      </c>
      <c r="L36" s="77">
        <f>+'Stock Rawmaterial'!K997</f>
        <v>0</v>
      </c>
      <c r="M36" s="1671">
        <f>+'Stock Rawmaterial'!L997</f>
        <v>0</v>
      </c>
      <c r="N36" s="878"/>
      <c r="O36" s="1636"/>
      <c r="P36" s="878"/>
      <c r="Q36" s="332"/>
      <c r="R36" s="489"/>
      <c r="S36" s="490"/>
      <c r="T36" s="491"/>
    </row>
    <row r="37" spans="1:20" s="417" customFormat="1" ht="30" hidden="1" customHeight="1" x14ac:dyDescent="0.2">
      <c r="A37" s="2022"/>
      <c r="B37" s="2156"/>
      <c r="C37" s="139">
        <f>+'Stock Rawmaterial'!C998</f>
        <v>0</v>
      </c>
      <c r="D37" s="959" t="str">
        <f>+'Stock Rawmaterial'!D998</f>
        <v>Rec.</v>
      </c>
      <c r="E37" s="961">
        <f>+'Stock Rawmaterial'!E998</f>
        <v>45933</v>
      </c>
      <c r="F37" s="938">
        <f>+'Stock Rawmaterial'!F998</f>
        <v>353</v>
      </c>
      <c r="G37" s="1953">
        <v>46983</v>
      </c>
      <c r="H37" s="77">
        <f>+'Stock Rawmaterial'!G998</f>
        <v>0</v>
      </c>
      <c r="I37" s="986">
        <f>+'Stock Rawmaterial'!H998</f>
        <v>0</v>
      </c>
      <c r="J37" s="82">
        <f>+'Stock Rawmaterial'!I998</f>
        <v>0</v>
      </c>
      <c r="K37" s="1587">
        <f>+'Stock Rawmaterial'!J998</f>
        <v>0</v>
      </c>
      <c r="L37" s="77">
        <f>+'Stock Rawmaterial'!K998</f>
        <v>0</v>
      </c>
      <c r="M37" s="1671">
        <f>+'Stock Rawmaterial'!L998</f>
        <v>0</v>
      </c>
      <c r="N37" s="878"/>
      <c r="O37" s="1636"/>
      <c r="P37" s="878"/>
      <c r="Q37" s="332"/>
      <c r="R37" s="489"/>
      <c r="S37" s="490"/>
      <c r="T37" s="491"/>
    </row>
    <row r="38" spans="1:20" s="401" customFormat="1" ht="30" customHeight="1" x14ac:dyDescent="0.2">
      <c r="A38" s="2023"/>
      <c r="B38" s="2157"/>
      <c r="C38" s="1153" t="str">
        <f>+'Stock Rawmaterial'!C999</f>
        <v>Feedmill</v>
      </c>
      <c r="D38" s="1690" t="str">
        <f>+'Stock Rawmaterial'!D999</f>
        <v>Rec.</v>
      </c>
      <c r="E38" s="1695">
        <f>+'Stock Rawmaterial'!E999</f>
        <v>46262</v>
      </c>
      <c r="F38" s="566">
        <f>+'Stock Rawmaterial'!F999</f>
        <v>24</v>
      </c>
      <c r="G38" s="1954">
        <v>47217</v>
      </c>
      <c r="H38" s="1696">
        <f>+'Stock Rawmaterial'!G999</f>
        <v>209.6399999999999</v>
      </c>
      <c r="I38" s="567">
        <f>+'Stock Rawmaterial'!H999</f>
        <v>0</v>
      </c>
      <c r="J38" s="567">
        <f>+'Stock Rawmaterial'!I999</f>
        <v>0</v>
      </c>
      <c r="K38" s="1693">
        <f>+'Stock Rawmaterial'!J999</f>
        <v>95.45</v>
      </c>
      <c r="L38" s="1696">
        <f>+'Stock Rawmaterial'!K999</f>
        <v>0</v>
      </c>
      <c r="M38" s="1694">
        <f>+'Stock Rawmaterial'!L999</f>
        <v>114.1899999999999</v>
      </c>
      <c r="N38" s="307"/>
      <c r="O38" s="281"/>
      <c r="P38" s="329"/>
      <c r="Q38" s="332">
        <f>+'Stock Rawmaterial'!K999</f>
        <v>0</v>
      </c>
      <c r="R38" s="469"/>
      <c r="S38" s="437"/>
      <c r="T38" s="470"/>
    </row>
    <row r="39" spans="1:20" s="265" customFormat="1" ht="30" customHeight="1" x14ac:dyDescent="0.2">
      <c r="A39" s="2019" t="s">
        <v>61</v>
      </c>
      <c r="B39" s="2020"/>
      <c r="C39" s="88"/>
      <c r="D39" s="864"/>
      <c r="E39" s="864"/>
      <c r="F39" s="865"/>
      <c r="G39" s="865"/>
      <c r="H39" s="1576">
        <f t="shared" ref="H39:M39" si="2">SUM(H33:H38)</f>
        <v>634.63999999999987</v>
      </c>
      <c r="I39" s="1576">
        <f t="shared" si="2"/>
        <v>0</v>
      </c>
      <c r="J39" s="1576">
        <f t="shared" si="2"/>
        <v>0</v>
      </c>
      <c r="K39" s="1576">
        <f t="shared" si="2"/>
        <v>95.45</v>
      </c>
      <c r="L39" s="1576">
        <f t="shared" si="2"/>
        <v>0</v>
      </c>
      <c r="M39" s="1576">
        <f t="shared" si="2"/>
        <v>539.18999999999994</v>
      </c>
      <c r="N39" s="133">
        <f>'Stock Rawmaterial'!M1000</f>
        <v>31.823333333333334</v>
      </c>
      <c r="O39" s="133">
        <f>'Stock Rawmaterial'!N1000</f>
        <v>16.943228239237456</v>
      </c>
      <c r="P39" s="133">
        <f>'Stock Rawmaterial'!O1000</f>
        <v>50.833333333333336</v>
      </c>
      <c r="Q39" s="133">
        <f>'Stock Rawmaterial'!P1000</f>
        <v>10.60701639344262</v>
      </c>
      <c r="R39" s="466"/>
      <c r="S39" s="264"/>
      <c r="T39" s="467"/>
    </row>
    <row r="40" spans="1:20" s="409" customFormat="1" ht="30" hidden="1" customHeight="1" x14ac:dyDescent="0.2">
      <c r="A40" s="2021">
        <f>IF(M47=0,"",MAX($A$15:A39)+1)</f>
        <v>3</v>
      </c>
      <c r="B40" s="2153" t="s">
        <v>456</v>
      </c>
      <c r="C40" s="139">
        <f>+'Stock Rawmaterial'!C1049</f>
        <v>0</v>
      </c>
      <c r="D40" s="959" t="str">
        <f>+'Stock Rawmaterial'!D1049</f>
        <v>Rec.</v>
      </c>
      <c r="E40" s="961">
        <f>+'Stock Rawmaterial'!E1049</f>
        <v>45128</v>
      </c>
      <c r="F40" s="938">
        <f>+'Stock Rawmaterial'!F1049</f>
        <v>1158</v>
      </c>
      <c r="G40" s="1672"/>
      <c r="H40" s="77">
        <f>+'Stock Rawmaterial'!G1049</f>
        <v>0</v>
      </c>
      <c r="I40" s="986">
        <f>+'Stock Rawmaterial'!H1049</f>
        <v>0</v>
      </c>
      <c r="J40" s="82">
        <f>+'Stock Rawmaterial'!I1049</f>
        <v>0</v>
      </c>
      <c r="K40" s="1587">
        <f>+'Stock Rawmaterial'!J1049</f>
        <v>0</v>
      </c>
      <c r="L40" s="77">
        <f>+'Stock Rawmaterial'!K1049</f>
        <v>0</v>
      </c>
      <c r="M40" s="1671">
        <f>+'Stock Rawmaterial'!L1049</f>
        <v>0</v>
      </c>
      <c r="N40" s="335"/>
      <c r="O40" s="1635"/>
      <c r="P40" s="287"/>
      <c r="Q40" s="287">
        <f>+'Stock Rawmaterial'!K1049</f>
        <v>0</v>
      </c>
      <c r="R40" s="478"/>
      <c r="S40" s="338"/>
      <c r="T40" s="479"/>
    </row>
    <row r="41" spans="1:20" s="409" customFormat="1" ht="30" hidden="1" customHeight="1" x14ac:dyDescent="0.2">
      <c r="A41" s="2022"/>
      <c r="B41" s="2155"/>
      <c r="C41" s="139">
        <f>+'Stock Rawmaterial'!C1050</f>
        <v>0</v>
      </c>
      <c r="D41" s="959" t="str">
        <f>+'Stock Rawmaterial'!D1050</f>
        <v>Rec.</v>
      </c>
      <c r="E41" s="961">
        <f>+'Stock Rawmaterial'!E1050</f>
        <v>45680</v>
      </c>
      <c r="F41" s="938">
        <f>+'Stock Rawmaterial'!F1050</f>
        <v>606</v>
      </c>
      <c r="G41" s="1685">
        <v>46666</v>
      </c>
      <c r="H41" s="77">
        <f>+'Stock Rawmaterial'!G1050</f>
        <v>0</v>
      </c>
      <c r="I41" s="986">
        <f>+'Stock Rawmaterial'!H1050</f>
        <v>0</v>
      </c>
      <c r="J41" s="82">
        <f>+'Stock Rawmaterial'!I1050</f>
        <v>0</v>
      </c>
      <c r="K41" s="1587">
        <f>+'Stock Rawmaterial'!J1050</f>
        <v>0</v>
      </c>
      <c r="L41" s="77">
        <f>+'Stock Rawmaterial'!K1050</f>
        <v>0</v>
      </c>
      <c r="M41" s="1671">
        <f>+'Stock Rawmaterial'!L1050</f>
        <v>0</v>
      </c>
      <c r="N41" s="335"/>
      <c r="O41" s="1635"/>
      <c r="P41" s="287"/>
      <c r="Q41" s="287"/>
      <c r="R41" s="478"/>
      <c r="S41" s="338"/>
      <c r="T41" s="479"/>
    </row>
    <row r="42" spans="1:20" s="409" customFormat="1" ht="30" hidden="1" customHeight="1" x14ac:dyDescent="0.2">
      <c r="A42" s="2022"/>
      <c r="B42" s="2155"/>
      <c r="C42" s="139">
        <f>+'Stock Rawmaterial'!C1051</f>
        <v>0</v>
      </c>
      <c r="D42" s="959" t="str">
        <f>+'Stock Rawmaterial'!D1051</f>
        <v>Rec.</v>
      </c>
      <c r="E42" s="961">
        <f>+'Stock Rawmaterial'!E1051</f>
        <v>45996</v>
      </c>
      <c r="F42" s="938">
        <f>+'Stock Rawmaterial'!F1051</f>
        <v>290</v>
      </c>
      <c r="G42" s="1685">
        <v>46781</v>
      </c>
      <c r="H42" s="77">
        <f>+'Stock Rawmaterial'!G1051</f>
        <v>0</v>
      </c>
      <c r="I42" s="986">
        <f>+'Stock Rawmaterial'!H1051</f>
        <v>0</v>
      </c>
      <c r="J42" s="82">
        <f>+'Stock Rawmaterial'!I1051</f>
        <v>0</v>
      </c>
      <c r="K42" s="1587">
        <f>+'Stock Rawmaterial'!J1051</f>
        <v>0</v>
      </c>
      <c r="L42" s="77">
        <f>+'Stock Rawmaterial'!K1051</f>
        <v>0</v>
      </c>
      <c r="M42" s="1671">
        <f>+'Stock Rawmaterial'!L1051</f>
        <v>0</v>
      </c>
      <c r="N42" s="335"/>
      <c r="O42" s="1635"/>
      <c r="P42" s="287"/>
      <c r="Q42" s="287"/>
      <c r="R42" s="478"/>
      <c r="S42" s="338"/>
      <c r="T42" s="479"/>
    </row>
    <row r="43" spans="1:20" s="409" customFormat="1" ht="30" customHeight="1" x14ac:dyDescent="0.2">
      <c r="A43" s="2022"/>
      <c r="B43" s="2155"/>
      <c r="C43" s="139" t="str">
        <f>+'Stock Rawmaterial'!C1052</f>
        <v>E1</v>
      </c>
      <c r="D43" s="959" t="str">
        <f>+'Stock Rawmaterial'!D1052</f>
        <v>Rec.</v>
      </c>
      <c r="E43" s="961">
        <f>+'Stock Rawmaterial'!E1052</f>
        <v>46254</v>
      </c>
      <c r="F43" s="938">
        <f>+'Stock Rawmaterial'!F1052</f>
        <v>32</v>
      </c>
      <c r="G43" s="1953">
        <v>46803</v>
      </c>
      <c r="H43" s="77">
        <f>+'Stock Rawmaterial'!G1052</f>
        <v>540</v>
      </c>
      <c r="I43" s="986">
        <f>+'Stock Rawmaterial'!H1052</f>
        <v>0</v>
      </c>
      <c r="J43" s="82">
        <f>+'Stock Rawmaterial'!I1052</f>
        <v>0</v>
      </c>
      <c r="K43" s="1587">
        <f>+'Stock Rawmaterial'!J1052</f>
        <v>0</v>
      </c>
      <c r="L43" s="77">
        <f>+'Stock Rawmaterial'!K1052</f>
        <v>0</v>
      </c>
      <c r="M43" s="1671">
        <f>+'Stock Rawmaterial'!L1052</f>
        <v>540</v>
      </c>
      <c r="N43" s="335"/>
      <c r="O43" s="1635"/>
      <c r="P43" s="287"/>
      <c r="Q43" s="287"/>
      <c r="R43" s="478"/>
      <c r="S43" s="338"/>
      <c r="T43" s="479"/>
    </row>
    <row r="44" spans="1:20" s="409" customFormat="1" ht="30" customHeight="1" x14ac:dyDescent="0.2">
      <c r="A44" s="2022"/>
      <c r="B44" s="2155"/>
      <c r="C44" s="139" t="str">
        <f>+'Stock Rawmaterial'!C1053</f>
        <v>E1</v>
      </c>
      <c r="D44" s="959" t="str">
        <f>+'Stock Rawmaterial'!D1053</f>
        <v>Rec.</v>
      </c>
      <c r="E44" s="961">
        <f>+'Stock Rawmaterial'!E1053</f>
        <v>46275</v>
      </c>
      <c r="F44" s="938">
        <f>+'Stock Rawmaterial'!F1053</f>
        <v>11</v>
      </c>
      <c r="G44" s="1953">
        <v>46803</v>
      </c>
      <c r="H44" s="77">
        <f>+'Stock Rawmaterial'!G1053</f>
        <v>800</v>
      </c>
      <c r="I44" s="986">
        <f>+'Stock Rawmaterial'!H1053</f>
        <v>0</v>
      </c>
      <c r="J44" s="82">
        <f>+'Stock Rawmaterial'!I1053</f>
        <v>0</v>
      </c>
      <c r="K44" s="1587">
        <f>+'Stock Rawmaterial'!J1053</f>
        <v>0</v>
      </c>
      <c r="L44" s="77">
        <f>+'Stock Rawmaterial'!K1053</f>
        <v>0</v>
      </c>
      <c r="M44" s="1671">
        <f>+'Stock Rawmaterial'!L1053</f>
        <v>800</v>
      </c>
      <c r="N44" s="335"/>
      <c r="O44" s="1635"/>
      <c r="P44" s="287"/>
      <c r="Q44" s="287"/>
      <c r="R44" s="478"/>
      <c r="S44" s="338"/>
      <c r="T44" s="479"/>
    </row>
    <row r="45" spans="1:20" s="409" customFormat="1" ht="30" hidden="1" customHeight="1" x14ac:dyDescent="0.2">
      <c r="A45" s="2022"/>
      <c r="B45" s="2156"/>
      <c r="C45" s="139">
        <f>+'Stock Rawmaterial'!C1054</f>
        <v>0</v>
      </c>
      <c r="D45" s="959" t="str">
        <f>+'Stock Rawmaterial'!D1054</f>
        <v>Rec.</v>
      </c>
      <c r="E45" s="961">
        <f>+'Stock Rawmaterial'!E1054</f>
        <v>45821</v>
      </c>
      <c r="F45" s="938">
        <f>+'Stock Rawmaterial'!F1054</f>
        <v>465</v>
      </c>
      <c r="G45" s="1953">
        <v>46231</v>
      </c>
      <c r="H45" s="77">
        <f>+'Stock Rawmaterial'!G1054</f>
        <v>0</v>
      </c>
      <c r="I45" s="986">
        <f>+'Stock Rawmaterial'!H1054</f>
        <v>0</v>
      </c>
      <c r="J45" s="82">
        <f>+'Stock Rawmaterial'!I1054</f>
        <v>0</v>
      </c>
      <c r="K45" s="1587">
        <f>+'Stock Rawmaterial'!J1054</f>
        <v>0</v>
      </c>
      <c r="L45" s="77">
        <f>+'Stock Rawmaterial'!K1054</f>
        <v>0</v>
      </c>
      <c r="M45" s="1671">
        <f>+'Stock Rawmaterial'!L1054</f>
        <v>0</v>
      </c>
      <c r="N45" s="335"/>
      <c r="O45" s="1635"/>
      <c r="P45" s="287"/>
      <c r="Q45" s="287">
        <f>+'Stock Rawmaterial'!K1054</f>
        <v>0</v>
      </c>
      <c r="R45" s="478"/>
      <c r="S45" s="338"/>
      <c r="T45" s="479"/>
    </row>
    <row r="46" spans="1:20" s="401" customFormat="1" ht="30" customHeight="1" x14ac:dyDescent="0.2">
      <c r="A46" s="2023"/>
      <c r="B46" s="2157"/>
      <c r="C46" s="1153" t="str">
        <f>+'Stock Rawmaterial'!C1055</f>
        <v>Feedmill</v>
      </c>
      <c r="D46" s="1690" t="str">
        <f>+'Stock Rawmaterial'!D1055</f>
        <v>Rec.</v>
      </c>
      <c r="E46" s="1695">
        <f>+'Stock Rawmaterial'!E1055</f>
        <v>46254</v>
      </c>
      <c r="F46" s="566">
        <f>+'Stock Rawmaterial'!F1055</f>
        <v>32</v>
      </c>
      <c r="G46" s="1954">
        <v>46803</v>
      </c>
      <c r="H46" s="1696">
        <f>+'Stock Rawmaterial'!G1055</f>
        <v>118</v>
      </c>
      <c r="I46" s="567">
        <f>+'Stock Rawmaterial'!H1055</f>
        <v>0</v>
      </c>
      <c r="J46" s="567">
        <f>+'Stock Rawmaterial'!I1055</f>
        <v>0</v>
      </c>
      <c r="K46" s="1693">
        <f>+'Stock Rawmaterial'!J1055</f>
        <v>0</v>
      </c>
      <c r="L46" s="1696">
        <f>+'Stock Rawmaterial'!K1055</f>
        <v>0</v>
      </c>
      <c r="M46" s="1694">
        <f>+'Stock Rawmaterial'!L1055</f>
        <v>118</v>
      </c>
      <c r="N46" s="331"/>
      <c r="O46" s="1529"/>
      <c r="P46" s="331"/>
      <c r="Q46" s="287">
        <f>+'Stock Rawmaterial'!K1055</f>
        <v>0</v>
      </c>
      <c r="R46" s="469"/>
      <c r="S46" s="437"/>
      <c r="T46" s="470"/>
    </row>
    <row r="47" spans="1:20" s="265" customFormat="1" ht="30" customHeight="1" x14ac:dyDescent="0.2">
      <c r="A47" s="2019" t="s">
        <v>218</v>
      </c>
      <c r="B47" s="2020"/>
      <c r="C47" s="88"/>
      <c r="D47" s="864"/>
      <c r="E47" s="864"/>
      <c r="F47" s="865"/>
      <c r="G47" s="865"/>
      <c r="H47" s="230">
        <f t="shared" ref="H47:L47" si="3">+SUM(H40:H46)</f>
        <v>1458</v>
      </c>
      <c r="I47" s="230">
        <f t="shared" si="3"/>
        <v>0</v>
      </c>
      <c r="J47" s="230">
        <f t="shared" si="3"/>
        <v>0</v>
      </c>
      <c r="K47" s="230">
        <f t="shared" si="3"/>
        <v>0</v>
      </c>
      <c r="L47" s="230">
        <f t="shared" si="3"/>
        <v>0</v>
      </c>
      <c r="M47" s="230">
        <f>+SUM(M40:M46)</f>
        <v>1458</v>
      </c>
      <c r="N47" s="133">
        <f>'Stock Rawmaterial'!M1056</f>
        <v>8</v>
      </c>
      <c r="O47" s="133">
        <f>'Stock Rawmaterial'!N1056</f>
        <v>182.25</v>
      </c>
      <c r="P47" s="133">
        <f>'Stock Rawmaterial'!O1056</f>
        <v>32.166666666666671</v>
      </c>
      <c r="Q47" s="133">
        <f>'Stock Rawmaterial'!P1056</f>
        <v>45.326424870466312</v>
      </c>
      <c r="R47" s="466"/>
      <c r="S47" s="264"/>
      <c r="T47" s="467"/>
    </row>
    <row r="48" spans="1:20" s="409" customFormat="1" ht="30" hidden="1" customHeight="1" x14ac:dyDescent="0.2">
      <c r="A48" s="2021">
        <f>IF(M53=0,"",MAX($A$16:A47)+1)</f>
        <v>4</v>
      </c>
      <c r="B48" s="2153" t="s">
        <v>593</v>
      </c>
      <c r="C48" s="127">
        <f>+'Stock Rawmaterial'!C1057</f>
        <v>0</v>
      </c>
      <c r="D48" s="881" t="s">
        <v>10</v>
      </c>
      <c r="E48" s="882">
        <f>+'Stock Rawmaterial'!E1057</f>
        <v>45869</v>
      </c>
      <c r="F48" s="938">
        <f>+'Stock Rawmaterial'!F1057</f>
        <v>417</v>
      </c>
      <c r="G48" s="1685">
        <v>46491</v>
      </c>
      <c r="H48" s="1822">
        <f>'Stock Rawmaterial'!G1057</f>
        <v>0</v>
      </c>
      <c r="I48" s="1822">
        <f>'Stock Rawmaterial'!H1057</f>
        <v>0</v>
      </c>
      <c r="J48" s="1822">
        <f>'Stock Rawmaterial'!I1057</f>
        <v>0</v>
      </c>
      <c r="K48" s="1822">
        <f>'Stock Rawmaterial'!J1057</f>
        <v>0</v>
      </c>
      <c r="L48" s="1822">
        <f>'Stock Rawmaterial'!K1057</f>
        <v>0</v>
      </c>
      <c r="M48" s="1822">
        <f>'Stock Rawmaterial'!L1057</f>
        <v>0</v>
      </c>
      <c r="N48" s="287"/>
      <c r="O48" s="287"/>
      <c r="P48" s="287"/>
      <c r="Q48" s="287"/>
      <c r="R48" s="478"/>
      <c r="S48" s="338"/>
      <c r="T48" s="479"/>
    </row>
    <row r="49" spans="1:20" s="409" customFormat="1" ht="30" hidden="1" customHeight="1" x14ac:dyDescent="0.2">
      <c r="A49" s="2022"/>
      <c r="B49" s="2155"/>
      <c r="C49" s="127">
        <f>+'Stock Rawmaterial'!C1058</f>
        <v>0</v>
      </c>
      <c r="D49" s="881" t="s">
        <v>10</v>
      </c>
      <c r="E49" s="882">
        <f>+'Stock Rawmaterial'!E1058</f>
        <v>45987</v>
      </c>
      <c r="F49" s="938">
        <f>+'Stock Rawmaterial'!F1058</f>
        <v>299</v>
      </c>
      <c r="G49" s="1685">
        <v>46628</v>
      </c>
      <c r="H49" s="1822">
        <f>'Stock Rawmaterial'!G1058</f>
        <v>0</v>
      </c>
      <c r="I49" s="1822">
        <f>'Stock Rawmaterial'!H1058</f>
        <v>0</v>
      </c>
      <c r="J49" s="1822">
        <f>'Stock Rawmaterial'!I1058</f>
        <v>0</v>
      </c>
      <c r="K49" s="1822">
        <f>'Stock Rawmaterial'!J1058</f>
        <v>0</v>
      </c>
      <c r="L49" s="1822">
        <f>'Stock Rawmaterial'!K1058</f>
        <v>0</v>
      </c>
      <c r="M49" s="1822">
        <f>'Stock Rawmaterial'!L1058</f>
        <v>0</v>
      </c>
      <c r="N49" s="287"/>
      <c r="O49" s="287"/>
      <c r="P49" s="287"/>
      <c r="Q49" s="287"/>
      <c r="R49" s="478"/>
      <c r="S49" s="338"/>
      <c r="T49" s="479"/>
    </row>
    <row r="50" spans="1:20" s="409" customFormat="1" ht="30" customHeight="1" x14ac:dyDescent="0.2">
      <c r="A50" s="2022"/>
      <c r="B50" s="2155"/>
      <c r="C50" s="127" t="str">
        <f>+'Stock Rawmaterial'!C1059</f>
        <v>E2</v>
      </c>
      <c r="D50" s="881" t="s">
        <v>10</v>
      </c>
      <c r="E50" s="882">
        <f>+'Stock Rawmaterial'!E1059</f>
        <v>46037</v>
      </c>
      <c r="F50" s="938">
        <f>+'Stock Rawmaterial'!F1059</f>
        <v>249</v>
      </c>
      <c r="G50" s="1953">
        <v>46733</v>
      </c>
      <c r="H50" s="1822">
        <f>'Stock Rawmaterial'!G1059</f>
        <v>200</v>
      </c>
      <c r="I50" s="1822">
        <f>'Stock Rawmaterial'!H1059</f>
        <v>0</v>
      </c>
      <c r="J50" s="1822">
        <f>'Stock Rawmaterial'!I1059</f>
        <v>0</v>
      </c>
      <c r="K50" s="1822">
        <f>'Stock Rawmaterial'!J1059</f>
        <v>0</v>
      </c>
      <c r="L50" s="1822">
        <f>'Stock Rawmaterial'!K1059</f>
        <v>40</v>
      </c>
      <c r="M50" s="1822">
        <f>'Stock Rawmaterial'!L1059</f>
        <v>160</v>
      </c>
      <c r="N50" s="287"/>
      <c r="O50" s="287"/>
      <c r="P50" s="287"/>
      <c r="Q50" s="287"/>
      <c r="R50" s="478"/>
      <c r="S50" s="338"/>
      <c r="T50" s="479"/>
    </row>
    <row r="51" spans="1:20" s="409" customFormat="1" ht="30" hidden="1" customHeight="1" x14ac:dyDescent="0.2">
      <c r="A51" s="2022"/>
      <c r="B51" s="2156"/>
      <c r="C51" s="127">
        <f>+'Stock Rawmaterial'!C1060</f>
        <v>0</v>
      </c>
      <c r="D51" s="881" t="s">
        <v>10</v>
      </c>
      <c r="E51" s="882">
        <f>+'Stock Rawmaterial'!E1060</f>
        <v>46037</v>
      </c>
      <c r="F51" s="938">
        <f>+'Stock Rawmaterial'!F1060</f>
        <v>249</v>
      </c>
      <c r="G51" s="1953">
        <v>46715</v>
      </c>
      <c r="H51" s="1822">
        <f>'Stock Rawmaterial'!G1060</f>
        <v>0</v>
      </c>
      <c r="I51" s="1822">
        <f>'Stock Rawmaterial'!H1060</f>
        <v>0</v>
      </c>
      <c r="J51" s="1822">
        <f>'Stock Rawmaterial'!I1060</f>
        <v>0</v>
      </c>
      <c r="K51" s="1822">
        <f>'Stock Rawmaterial'!J1060</f>
        <v>0</v>
      </c>
      <c r="L51" s="1822">
        <f>'Stock Rawmaterial'!K1060</f>
        <v>0</v>
      </c>
      <c r="M51" s="1822">
        <f>'Stock Rawmaterial'!L1060</f>
        <v>0</v>
      </c>
      <c r="N51" s="287"/>
      <c r="O51" s="287"/>
      <c r="P51" s="287"/>
      <c r="Q51" s="287">
        <f>+'Stock Rawmaterial'!K1060</f>
        <v>0</v>
      </c>
      <c r="R51" s="1165"/>
      <c r="S51" s="338"/>
      <c r="T51" s="479"/>
    </row>
    <row r="52" spans="1:20" s="401" customFormat="1" ht="30" customHeight="1" x14ac:dyDescent="0.2">
      <c r="A52" s="2023"/>
      <c r="B52" s="2155"/>
      <c r="C52" s="61" t="s">
        <v>46</v>
      </c>
      <c r="D52" s="850" t="s">
        <v>10</v>
      </c>
      <c r="E52" s="851">
        <f>+'Stock Rawmaterial'!E1061</f>
        <v>46037</v>
      </c>
      <c r="F52" s="938">
        <f>+'Stock Rawmaterial'!F1061</f>
        <v>249</v>
      </c>
      <c r="G52" s="1953">
        <v>46733</v>
      </c>
      <c r="H52" s="1822">
        <f>'Stock Rawmaterial'!G1061</f>
        <v>0</v>
      </c>
      <c r="I52" s="1822">
        <f>'Stock Rawmaterial'!H1061</f>
        <v>0</v>
      </c>
      <c r="J52" s="1822">
        <f>'Stock Rawmaterial'!I1061</f>
        <v>40</v>
      </c>
      <c r="K52" s="1822">
        <f>'Stock Rawmaterial'!J1061</f>
        <v>24</v>
      </c>
      <c r="L52" s="1822">
        <f>'Stock Rawmaterial'!K1061</f>
        <v>0</v>
      </c>
      <c r="M52" s="1822">
        <f>'Stock Rawmaterial'!L1061</f>
        <v>16</v>
      </c>
      <c r="N52" s="1646"/>
      <c r="O52" s="1646"/>
      <c r="P52" s="329"/>
      <c r="Q52" s="329">
        <f>+'Stock Rawmaterial'!K1061</f>
        <v>0</v>
      </c>
      <c r="R52" s="469"/>
      <c r="S52" s="437"/>
      <c r="T52" s="470"/>
    </row>
    <row r="53" spans="1:20" s="265" customFormat="1" ht="30" customHeight="1" x14ac:dyDescent="0.2">
      <c r="A53" s="2019" t="s">
        <v>594</v>
      </c>
      <c r="B53" s="2020"/>
      <c r="C53" s="88"/>
      <c r="D53" s="864"/>
      <c r="E53" s="864"/>
      <c r="F53" s="865"/>
      <c r="G53" s="865"/>
      <c r="H53" s="230">
        <f t="shared" ref="H53:L53" si="4">+SUM(H48:H52)</f>
        <v>200</v>
      </c>
      <c r="I53" s="230">
        <f t="shared" si="4"/>
        <v>0</v>
      </c>
      <c r="J53" s="230">
        <f t="shared" si="4"/>
        <v>40</v>
      </c>
      <c r="K53" s="230">
        <f t="shared" si="4"/>
        <v>24</v>
      </c>
      <c r="L53" s="230">
        <f t="shared" si="4"/>
        <v>40</v>
      </c>
      <c r="M53" s="230">
        <f>+SUM(M48:M52)</f>
        <v>176</v>
      </c>
      <c r="N53" s="133">
        <f>'Stock Rawmaterial'!M1062</f>
        <v>4.6683333333333339</v>
      </c>
      <c r="O53" s="133">
        <f>'Stock Rawmaterial'!N1062</f>
        <v>37.700821135308814</v>
      </c>
      <c r="P53" s="133">
        <f>'Stock Rawmaterial'!O1062</f>
        <v>0.83333333333333337</v>
      </c>
      <c r="Q53" s="133">
        <f>'Stock Rawmaterial'!P1062</f>
        <v>211.2</v>
      </c>
      <c r="R53" s="466"/>
      <c r="S53" s="264"/>
      <c r="T53" s="467"/>
    </row>
    <row r="54" spans="1:20" s="409" customFormat="1" ht="30" hidden="1" customHeight="1" x14ac:dyDescent="0.2">
      <c r="A54" s="2021" t="str">
        <f>IF(M60=0,"",MAX($A$16:A53)+1)</f>
        <v/>
      </c>
      <c r="B54" s="2153" t="s">
        <v>963</v>
      </c>
      <c r="C54" s="127" t="str">
        <f>+'Stock Rawmaterial'!C1063</f>
        <v>A19.4</v>
      </c>
      <c r="D54" s="881" t="s">
        <v>10</v>
      </c>
      <c r="E54" s="882">
        <f>+'Stock Rawmaterial'!E1063</f>
        <v>45478</v>
      </c>
      <c r="F54" s="71" t="e">
        <f>#REF!-E54</f>
        <v>#REF!</v>
      </c>
      <c r="G54" s="71"/>
      <c r="H54" s="1588"/>
      <c r="I54" s="1589"/>
      <c r="J54" s="1590"/>
      <c r="K54" s="80"/>
      <c r="L54" s="80"/>
      <c r="M54" s="80"/>
      <c r="N54" s="287"/>
      <c r="O54" s="1635"/>
      <c r="P54" s="287"/>
      <c r="Q54" s="287">
        <f>+'Stock Rawmaterial'!K1063</f>
        <v>0</v>
      </c>
      <c r="R54" s="478"/>
      <c r="S54" s="338"/>
      <c r="T54" s="479"/>
    </row>
    <row r="55" spans="1:20" s="409" customFormat="1" ht="30" hidden="1" customHeight="1" x14ac:dyDescent="0.2">
      <c r="A55" s="2022"/>
      <c r="B55" s="2155"/>
      <c r="C55" s="127">
        <f>+'Stock Rawmaterial'!C1064</f>
        <v>0</v>
      </c>
      <c r="D55" s="881" t="s">
        <v>10</v>
      </c>
      <c r="E55" s="882">
        <f>+'Stock Rawmaterial'!E1064</f>
        <v>44379</v>
      </c>
      <c r="F55" s="71" t="e">
        <f>#REF!-E55</f>
        <v>#REF!</v>
      </c>
      <c r="G55" s="71"/>
      <c r="H55" s="1588"/>
      <c r="I55" s="1589"/>
      <c r="J55" s="1590"/>
      <c r="K55" s="80"/>
      <c r="L55" s="80"/>
      <c r="M55" s="80"/>
      <c r="N55" s="287"/>
      <c r="O55" s="1635"/>
      <c r="P55" s="287"/>
      <c r="Q55" s="287">
        <f>+'Stock Rawmaterial'!K1064</f>
        <v>0</v>
      </c>
      <c r="R55" s="478"/>
      <c r="S55" s="338"/>
      <c r="T55" s="479"/>
    </row>
    <row r="56" spans="1:20" s="409" customFormat="1" ht="30" hidden="1" customHeight="1" x14ac:dyDescent="0.2">
      <c r="A56" s="2022"/>
      <c r="B56" s="2155"/>
      <c r="C56" s="127">
        <f>+'Stock Rawmaterial'!C1065</f>
        <v>0</v>
      </c>
      <c r="D56" s="881" t="s">
        <v>10</v>
      </c>
      <c r="E56" s="882">
        <f>+'Stock Rawmaterial'!E1065</f>
        <v>44386</v>
      </c>
      <c r="F56" s="71" t="e">
        <f>#REF!-E56</f>
        <v>#REF!</v>
      </c>
      <c r="G56" s="71"/>
      <c r="H56" s="1588"/>
      <c r="I56" s="1589"/>
      <c r="J56" s="1590"/>
      <c r="K56" s="80"/>
      <c r="L56" s="80"/>
      <c r="M56" s="80"/>
      <c r="N56" s="287"/>
      <c r="O56" s="1635"/>
      <c r="P56" s="287"/>
      <c r="Q56" s="287">
        <f>+'Stock Rawmaterial'!K1065</f>
        <v>0</v>
      </c>
      <c r="R56" s="478"/>
      <c r="S56" s="338"/>
      <c r="T56" s="479"/>
    </row>
    <row r="57" spans="1:20" s="409" customFormat="1" ht="30" hidden="1" customHeight="1" x14ac:dyDescent="0.2">
      <c r="A57" s="2022"/>
      <c r="B57" s="2155"/>
      <c r="C57" s="127">
        <f>+'Stock Rawmaterial'!C1066</f>
        <v>0</v>
      </c>
      <c r="D57" s="881" t="s">
        <v>10</v>
      </c>
      <c r="E57" s="882">
        <f>+'Stock Rawmaterial'!E1066</f>
        <v>44386</v>
      </c>
      <c r="F57" s="71" t="e">
        <f>#REF!-E57</f>
        <v>#REF!</v>
      </c>
      <c r="G57" s="71"/>
      <c r="H57" s="1588"/>
      <c r="I57" s="1589"/>
      <c r="J57" s="1590"/>
      <c r="K57" s="80"/>
      <c r="L57" s="80"/>
      <c r="M57" s="80"/>
      <c r="N57" s="287"/>
      <c r="O57" s="1635"/>
      <c r="P57" s="287"/>
      <c r="Q57" s="287">
        <f>+'Stock Rawmaterial'!K1066</f>
        <v>0</v>
      </c>
      <c r="R57" s="478"/>
      <c r="S57" s="338"/>
      <c r="T57" s="479"/>
    </row>
    <row r="58" spans="1:20" s="409" customFormat="1" ht="30" hidden="1" customHeight="1" x14ac:dyDescent="0.2">
      <c r="A58" s="2022"/>
      <c r="B58" s="2155"/>
      <c r="C58" s="127">
        <f>+'Stock Rawmaterial'!C1067</f>
        <v>0</v>
      </c>
      <c r="D58" s="881" t="s">
        <v>10</v>
      </c>
      <c r="E58" s="882">
        <f>+'Stock Rawmaterial'!E1067</f>
        <v>42593</v>
      </c>
      <c r="F58" s="71" t="e">
        <f>#REF!-E58</f>
        <v>#REF!</v>
      </c>
      <c r="G58" s="71"/>
      <c r="H58" s="1588"/>
      <c r="I58" s="1589"/>
      <c r="J58" s="1590"/>
      <c r="K58" s="80"/>
      <c r="L58" s="80"/>
      <c r="M58" s="80"/>
      <c r="N58" s="287"/>
      <c r="O58" s="1635"/>
      <c r="P58" s="287"/>
      <c r="Q58" s="287">
        <f>+'Stock Rawmaterial'!K1067</f>
        <v>0</v>
      </c>
      <c r="R58" s="478"/>
      <c r="S58" s="338"/>
      <c r="T58" s="479"/>
    </row>
    <row r="59" spans="1:20" s="401" customFormat="1" ht="30" hidden="1" customHeight="1" x14ac:dyDescent="0.2">
      <c r="A59" s="2023"/>
      <c r="B59" s="2157"/>
      <c r="C59" s="97" t="s">
        <v>46</v>
      </c>
      <c r="D59" s="850" t="s">
        <v>10</v>
      </c>
      <c r="E59" s="882">
        <v>44189</v>
      </c>
      <c r="F59" s="42" t="e">
        <f>#REF!-E59</f>
        <v>#REF!</v>
      </c>
      <c r="G59" s="1674"/>
      <c r="H59" s="1592"/>
      <c r="I59" s="1593"/>
      <c r="J59" s="1582"/>
      <c r="K59" s="1583"/>
      <c r="L59" s="80"/>
      <c r="M59" s="1583"/>
      <c r="N59" s="329"/>
      <c r="O59" s="282"/>
      <c r="P59" s="329"/>
      <c r="Q59" s="287">
        <f>+'Stock Rawmaterial'!K1068</f>
        <v>0</v>
      </c>
      <c r="R59" s="469"/>
      <c r="S59" s="437"/>
      <c r="T59" s="470"/>
    </row>
    <row r="60" spans="1:20" s="265" customFormat="1" ht="30" hidden="1" customHeight="1" x14ac:dyDescent="0.2">
      <c r="A60" s="2019" t="s">
        <v>617</v>
      </c>
      <c r="B60" s="2020"/>
      <c r="C60" s="1146"/>
      <c r="D60" s="864"/>
      <c r="E60" s="864"/>
      <c r="F60" s="865"/>
      <c r="G60" s="865"/>
      <c r="H60" s="231">
        <f>SUM(H54:H59)</f>
        <v>0</v>
      </c>
      <c r="I60" s="326"/>
      <c r="J60" s="1594"/>
      <c r="K60" s="230">
        <f>+SUM(K54:K59)</f>
        <v>0</v>
      </c>
      <c r="L60" s="230">
        <f t="shared" ref="L60:M60" si="5">SUM(L54:L59)</f>
        <v>0</v>
      </c>
      <c r="M60" s="230">
        <f t="shared" si="5"/>
        <v>0</v>
      </c>
      <c r="N60" s="133">
        <v>0</v>
      </c>
      <c r="O60" s="133">
        <f t="shared" ref="O60:Q60" si="6">SUM(O54:O59)</f>
        <v>0</v>
      </c>
      <c r="P60" s="133">
        <f t="shared" si="6"/>
        <v>0</v>
      </c>
      <c r="Q60" s="133">
        <f t="shared" si="6"/>
        <v>0</v>
      </c>
      <c r="R60" s="466"/>
      <c r="S60" s="264"/>
      <c r="T60" s="467"/>
    </row>
    <row r="61" spans="1:20" s="409" customFormat="1" ht="30" customHeight="1" x14ac:dyDescent="0.2">
      <c r="A61" s="2021">
        <f>IF(M69=0,"",MAX($A$16:A60)+1)</f>
        <v>5</v>
      </c>
      <c r="B61" s="2153" t="s">
        <v>967</v>
      </c>
      <c r="C61" s="127">
        <f>+'Stock Rawmaterial'!C1070</f>
        <v>0</v>
      </c>
      <c r="D61" s="881" t="s">
        <v>10</v>
      </c>
      <c r="E61" s="882">
        <f>+'Stock Rawmaterial'!E1070</f>
        <v>46200</v>
      </c>
      <c r="F61" s="938">
        <f>+'Stock Rawmaterial'!F1070</f>
        <v>86</v>
      </c>
      <c r="G61" s="1953">
        <v>46907</v>
      </c>
      <c r="H61" s="1589">
        <f>'Stock Rawmaterial'!G1070</f>
        <v>0</v>
      </c>
      <c r="I61" s="1588">
        <f>'Stock Rawmaterial'!H1070</f>
        <v>0</v>
      </c>
      <c r="J61" s="1822">
        <f>'Stock Rawmaterial'!I1070</f>
        <v>0</v>
      </c>
      <c r="K61" s="1822">
        <f>'Stock Rawmaterial'!J1070</f>
        <v>0</v>
      </c>
      <c r="L61" s="1822">
        <f>'Stock Rawmaterial'!K1070</f>
        <v>0</v>
      </c>
      <c r="M61" s="1822">
        <f>'Stock Rawmaterial'!L1070</f>
        <v>0</v>
      </c>
      <c r="N61" s="287"/>
      <c r="O61" s="1635"/>
      <c r="P61" s="287"/>
      <c r="Q61" s="287"/>
      <c r="R61" s="478"/>
      <c r="S61" s="338"/>
      <c r="T61" s="479"/>
    </row>
    <row r="62" spans="1:20" s="409" customFormat="1" ht="30" customHeight="1" x14ac:dyDescent="0.2">
      <c r="A62" s="2022"/>
      <c r="B62" s="2155"/>
      <c r="C62" s="127" t="str">
        <f>+'Stock Rawmaterial'!C1071</f>
        <v>E2</v>
      </c>
      <c r="D62" s="881" t="s">
        <v>10</v>
      </c>
      <c r="E62" s="882">
        <f>+'Stock Rawmaterial'!E1071</f>
        <v>46219</v>
      </c>
      <c r="F62" s="938">
        <f>+'Stock Rawmaterial'!F1071</f>
        <v>67</v>
      </c>
      <c r="G62" s="1953">
        <v>46920</v>
      </c>
      <c r="H62" s="1822">
        <f>'Stock Rawmaterial'!G1071</f>
        <v>3000</v>
      </c>
      <c r="I62" s="1588">
        <f>'Stock Rawmaterial'!H1071</f>
        <v>0</v>
      </c>
      <c r="J62" s="1822">
        <f>'Stock Rawmaterial'!I1071</f>
        <v>0</v>
      </c>
      <c r="K62" s="1822">
        <f>'Stock Rawmaterial'!J1071</f>
        <v>0</v>
      </c>
      <c r="L62" s="1822">
        <f>'Stock Rawmaterial'!K1071</f>
        <v>0</v>
      </c>
      <c r="M62" s="1822">
        <f>'Stock Rawmaterial'!L1071</f>
        <v>3000</v>
      </c>
      <c r="N62" s="287"/>
      <c r="O62" s="1635"/>
      <c r="P62" s="287"/>
      <c r="Q62" s="287"/>
      <c r="R62" s="478"/>
      <c r="S62" s="338"/>
      <c r="T62" s="479"/>
    </row>
    <row r="63" spans="1:20" s="409" customFormat="1" ht="30" hidden="1" customHeight="1" x14ac:dyDescent="0.2">
      <c r="A63" s="2022"/>
      <c r="B63" s="2155"/>
      <c r="C63" s="127">
        <f>+'Stock Rawmaterial'!C1072</f>
        <v>0</v>
      </c>
      <c r="D63" s="881" t="s">
        <v>10</v>
      </c>
      <c r="E63" s="882">
        <f>+'Stock Rawmaterial'!E1072</f>
        <v>45226</v>
      </c>
      <c r="F63" s="938">
        <f>+'Stock Rawmaterial'!F1072</f>
        <v>1060</v>
      </c>
      <c r="G63" s="1685"/>
      <c r="H63" s="1588">
        <f>'Stock Rawmaterial'!G1072</f>
        <v>0</v>
      </c>
      <c r="I63" s="1588">
        <f>'Stock Rawmaterial'!H1072</f>
        <v>0</v>
      </c>
      <c r="J63" s="1822">
        <f>'Stock Rawmaterial'!I1072</f>
        <v>0</v>
      </c>
      <c r="K63" s="1822">
        <f>'Stock Rawmaterial'!J1072</f>
        <v>0</v>
      </c>
      <c r="L63" s="1822">
        <f>'Stock Rawmaterial'!K1072</f>
        <v>0</v>
      </c>
      <c r="M63" s="1822">
        <f>'Stock Rawmaterial'!L1072</f>
        <v>0</v>
      </c>
      <c r="N63" s="287"/>
      <c r="O63" s="1635"/>
      <c r="P63" s="287"/>
      <c r="Q63" s="287"/>
      <c r="R63" s="478"/>
      <c r="S63" s="338"/>
      <c r="T63" s="479"/>
    </row>
    <row r="64" spans="1:20" s="409" customFormat="1" ht="30" hidden="1" customHeight="1" x14ac:dyDescent="0.2">
      <c r="A64" s="2022"/>
      <c r="B64" s="2155"/>
      <c r="C64" s="127">
        <f>+'Stock Rawmaterial'!C1073</f>
        <v>0</v>
      </c>
      <c r="D64" s="881" t="s">
        <v>10</v>
      </c>
      <c r="E64" s="882">
        <f>+'Stock Rawmaterial'!E1073</f>
        <v>45226</v>
      </c>
      <c r="F64" s="938">
        <f>+'Stock Rawmaterial'!F1073</f>
        <v>1060</v>
      </c>
      <c r="G64" s="1685"/>
      <c r="H64" s="1588">
        <f>'Stock Rawmaterial'!G1073</f>
        <v>0</v>
      </c>
      <c r="I64" s="1588">
        <f>'Stock Rawmaterial'!H1073</f>
        <v>0</v>
      </c>
      <c r="J64" s="1822">
        <f>'Stock Rawmaterial'!I1073</f>
        <v>0</v>
      </c>
      <c r="K64" s="1822">
        <f>'Stock Rawmaterial'!J1073</f>
        <v>0</v>
      </c>
      <c r="L64" s="1822">
        <f>'Stock Rawmaterial'!K1073</f>
        <v>0</v>
      </c>
      <c r="M64" s="1822">
        <f>'Stock Rawmaterial'!L1073</f>
        <v>0</v>
      </c>
      <c r="N64" s="287"/>
      <c r="O64" s="1635"/>
      <c r="P64" s="287"/>
      <c r="Q64" s="287"/>
      <c r="R64" s="478"/>
      <c r="S64" s="338"/>
      <c r="T64" s="479"/>
    </row>
    <row r="65" spans="1:20" s="409" customFormat="1" ht="30" hidden="1" customHeight="1" x14ac:dyDescent="0.2">
      <c r="A65" s="2022"/>
      <c r="B65" s="2155"/>
      <c r="C65" s="127">
        <f>+'Stock Rawmaterial'!C1074</f>
        <v>0</v>
      </c>
      <c r="D65" s="881" t="s">
        <v>10</v>
      </c>
      <c r="E65" s="882">
        <f>+'Stock Rawmaterial'!E1074</f>
        <v>45226</v>
      </c>
      <c r="F65" s="938">
        <f>+'Stock Rawmaterial'!F1074</f>
        <v>1060</v>
      </c>
      <c r="G65" s="1685"/>
      <c r="H65" s="1588">
        <f>'Stock Rawmaterial'!G1074</f>
        <v>0</v>
      </c>
      <c r="I65" s="1588">
        <f>'Stock Rawmaterial'!H1074</f>
        <v>0</v>
      </c>
      <c r="J65" s="1822">
        <f>'Stock Rawmaterial'!I1074</f>
        <v>0</v>
      </c>
      <c r="K65" s="1822">
        <f>'Stock Rawmaterial'!J1074</f>
        <v>0</v>
      </c>
      <c r="L65" s="1822">
        <f>'Stock Rawmaterial'!K1074</f>
        <v>0</v>
      </c>
      <c r="M65" s="1822">
        <f>'Stock Rawmaterial'!L1074</f>
        <v>0</v>
      </c>
      <c r="N65" s="287"/>
      <c r="O65" s="1635"/>
      <c r="P65" s="287"/>
      <c r="Q65" s="287"/>
      <c r="R65" s="478"/>
      <c r="S65" s="338"/>
      <c r="T65" s="479"/>
    </row>
    <row r="66" spans="1:20" s="409" customFormat="1" ht="30" hidden="1" customHeight="1" x14ac:dyDescent="0.2">
      <c r="A66" s="2022"/>
      <c r="B66" s="2156"/>
      <c r="C66" s="127">
        <f>+'Stock Rawmaterial'!C1075</f>
        <v>0</v>
      </c>
      <c r="D66" s="881" t="s">
        <v>10</v>
      </c>
      <c r="E66" s="882">
        <f>+'Stock Rawmaterial'!E1075</f>
        <v>45226</v>
      </c>
      <c r="F66" s="938">
        <f>+'Stock Rawmaterial'!F1075</f>
        <v>1060</v>
      </c>
      <c r="G66" s="1685"/>
      <c r="H66" s="1588">
        <f>'Stock Rawmaterial'!G1075</f>
        <v>0</v>
      </c>
      <c r="I66" s="1588">
        <f>'Stock Rawmaterial'!H1075</f>
        <v>0</v>
      </c>
      <c r="J66" s="1822">
        <f>'Stock Rawmaterial'!I1075</f>
        <v>0</v>
      </c>
      <c r="K66" s="1822">
        <f>'Stock Rawmaterial'!J1075</f>
        <v>0</v>
      </c>
      <c r="L66" s="1822">
        <f>'Stock Rawmaterial'!K1075</f>
        <v>0</v>
      </c>
      <c r="M66" s="1822">
        <f>'Stock Rawmaterial'!L1075</f>
        <v>0</v>
      </c>
      <c r="N66" s="287"/>
      <c r="O66" s="1635"/>
      <c r="P66" s="287"/>
      <c r="Q66" s="287"/>
      <c r="R66" s="478"/>
      <c r="S66" s="338"/>
      <c r="T66" s="479"/>
    </row>
    <row r="67" spans="1:20" s="409" customFormat="1" ht="30" hidden="1" customHeight="1" x14ac:dyDescent="0.2">
      <c r="A67" s="2022"/>
      <c r="B67" s="2156"/>
      <c r="C67" s="127">
        <f>+'Stock Rawmaterial'!C1076</f>
        <v>0</v>
      </c>
      <c r="D67" s="881" t="s">
        <v>10</v>
      </c>
      <c r="E67" s="882">
        <f>+'Stock Rawmaterial'!E1076</f>
        <v>45226</v>
      </c>
      <c r="F67" s="938">
        <f>+'Stock Rawmaterial'!F1076</f>
        <v>1060</v>
      </c>
      <c r="G67" s="1685"/>
      <c r="H67" s="1588">
        <f>'Stock Rawmaterial'!G1076</f>
        <v>0</v>
      </c>
      <c r="I67" s="1588">
        <f>'Stock Rawmaterial'!H1076</f>
        <v>0</v>
      </c>
      <c r="J67" s="1822">
        <f>'Stock Rawmaterial'!I1076</f>
        <v>0</v>
      </c>
      <c r="K67" s="1822">
        <f>'Stock Rawmaterial'!J1076</f>
        <v>0</v>
      </c>
      <c r="L67" s="1822">
        <f>'Stock Rawmaterial'!K1076</f>
        <v>0</v>
      </c>
      <c r="M67" s="1822">
        <f>'Stock Rawmaterial'!L1076</f>
        <v>0</v>
      </c>
      <c r="N67" s="287"/>
      <c r="O67" s="1635"/>
      <c r="P67" s="287"/>
      <c r="Q67" s="287"/>
      <c r="R67" s="478"/>
      <c r="S67" s="338"/>
      <c r="T67" s="479"/>
    </row>
    <row r="68" spans="1:20" s="401" customFormat="1" ht="30" customHeight="1" x14ac:dyDescent="0.2">
      <c r="A68" s="2023"/>
      <c r="B68" s="2157"/>
      <c r="C68" s="1153" t="str">
        <f>+'Stock Rawmaterial'!C1077</f>
        <v>Feedmill</v>
      </c>
      <c r="D68" s="1690" t="s">
        <v>10</v>
      </c>
      <c r="E68" s="1695">
        <f>+'Stock Rawmaterial'!E1077</f>
        <v>46219</v>
      </c>
      <c r="F68" s="938">
        <f>+'Stock Rawmaterial'!F1077</f>
        <v>67</v>
      </c>
      <c r="G68" s="1954">
        <v>46907</v>
      </c>
      <c r="H68" s="80">
        <f>'Stock Rawmaterial'!G1077</f>
        <v>942.3</v>
      </c>
      <c r="I68" s="1588">
        <f>'Stock Rawmaterial'!H1077</f>
        <v>0</v>
      </c>
      <c r="J68" s="1822">
        <f>'Stock Rawmaterial'!I1077</f>
        <v>0</v>
      </c>
      <c r="K68" s="1822">
        <f>'Stock Rawmaterial'!J1077</f>
        <v>0</v>
      </c>
      <c r="L68" s="1822">
        <f>'Stock Rawmaterial'!K1077</f>
        <v>0</v>
      </c>
      <c r="M68" s="1822">
        <f>'Stock Rawmaterial'!L1077</f>
        <v>942.3</v>
      </c>
      <c r="N68" s="329"/>
      <c r="O68" s="282"/>
      <c r="P68" s="329"/>
      <c r="Q68" s="287"/>
      <c r="R68" s="469"/>
      <c r="S68" s="437"/>
      <c r="T68" s="470"/>
    </row>
    <row r="69" spans="1:20" s="265" customFormat="1" ht="30" customHeight="1" x14ac:dyDescent="0.2">
      <c r="A69" s="2019" t="s">
        <v>968</v>
      </c>
      <c r="B69" s="2020"/>
      <c r="C69" s="1146"/>
      <c r="D69" s="864"/>
      <c r="E69" s="864"/>
      <c r="F69" s="865"/>
      <c r="G69" s="865"/>
      <c r="H69" s="231">
        <f>SUM(H61:H68)</f>
        <v>3942.3</v>
      </c>
      <c r="I69" s="326"/>
      <c r="J69" s="1823"/>
      <c r="K69" s="230">
        <f>+SUM(K61:K68)</f>
        <v>0</v>
      </c>
      <c r="L69" s="230">
        <f t="shared" ref="L69:M69" si="7">SUM(L61:L68)</f>
        <v>0</v>
      </c>
      <c r="M69" s="230">
        <f t="shared" si="7"/>
        <v>3942.3</v>
      </c>
      <c r="N69" s="133">
        <f>'Stock Rawmaterial'!M1078</f>
        <v>336.66333333333336</v>
      </c>
      <c r="O69" s="133">
        <f>'Stock Rawmaterial'!N1078</f>
        <v>11.709917919979405</v>
      </c>
      <c r="P69" s="133">
        <f>'Stock Rawmaterial'!O1078</f>
        <v>0</v>
      </c>
      <c r="Q69" s="133">
        <f>'Stock Rawmaterial'!P1078</f>
        <v>0</v>
      </c>
      <c r="R69" s="466"/>
      <c r="S69" s="264"/>
      <c r="T69" s="467"/>
    </row>
    <row r="70" spans="1:20" s="409" customFormat="1" ht="30" hidden="1" customHeight="1" x14ac:dyDescent="0.2">
      <c r="A70" s="2021" t="str">
        <f>IF(M75=0,"",MAX($A$16:A60)+1)</f>
        <v/>
      </c>
      <c r="B70" s="2153" t="s">
        <v>457</v>
      </c>
      <c r="C70" s="127" t="str">
        <f>+'Stock Rawmaterial'!C1079</f>
        <v>Y7.1</v>
      </c>
      <c r="D70" s="881" t="s">
        <v>10</v>
      </c>
      <c r="E70" s="882">
        <f>+'Stock Rawmaterial'!E1079</f>
        <v>43614</v>
      </c>
      <c r="F70" s="71" t="e">
        <f>#REF!-E70</f>
        <v>#REF!</v>
      </c>
      <c r="G70" s="1240"/>
      <c r="H70" s="1595"/>
      <c r="I70" s="1596"/>
      <c r="J70" s="1597"/>
      <c r="K70" s="294"/>
      <c r="L70" s="253"/>
      <c r="M70" s="253"/>
      <c r="N70" s="336"/>
      <c r="O70" s="1637"/>
      <c r="P70" s="336"/>
      <c r="Q70" s="336">
        <f>+'Stock Rawmaterial'!K1079</f>
        <v>0</v>
      </c>
      <c r="R70" s="478"/>
      <c r="S70" s="338"/>
      <c r="T70" s="479"/>
    </row>
    <row r="71" spans="1:20" s="409" customFormat="1" ht="30" hidden="1" customHeight="1" x14ac:dyDescent="0.2">
      <c r="A71" s="2022"/>
      <c r="B71" s="2155"/>
      <c r="C71" s="127" t="str">
        <f>+'Stock Rawmaterial'!C1080</f>
        <v>Y7.1</v>
      </c>
      <c r="D71" s="881" t="s">
        <v>10</v>
      </c>
      <c r="E71" s="882">
        <f>+'Stock Rawmaterial'!E1080</f>
        <v>43614</v>
      </c>
      <c r="F71" s="71" t="e">
        <f>#REF!-E71</f>
        <v>#REF!</v>
      </c>
      <c r="G71" s="1240"/>
      <c r="H71" s="1595"/>
      <c r="I71" s="1596"/>
      <c r="J71" s="1598"/>
      <c r="K71" s="294"/>
      <c r="L71" s="80"/>
      <c r="M71" s="80"/>
      <c r="N71" s="287"/>
      <c r="O71" s="1635"/>
      <c r="P71" s="287"/>
      <c r="Q71" s="287">
        <f>+'Stock Rawmaterial'!K1080</f>
        <v>0</v>
      </c>
      <c r="R71" s="478"/>
      <c r="S71" s="338"/>
      <c r="T71" s="479"/>
    </row>
    <row r="72" spans="1:20" s="409" customFormat="1" ht="30" hidden="1" customHeight="1" x14ac:dyDescent="0.2">
      <c r="A72" s="2022"/>
      <c r="B72" s="2155"/>
      <c r="C72" s="127" t="str">
        <f>+'Stock Rawmaterial'!C1081</f>
        <v>Z6.2</v>
      </c>
      <c r="D72" s="881" t="s">
        <v>10</v>
      </c>
      <c r="E72" s="882">
        <f>+'Stock Rawmaterial'!E1081</f>
        <v>43550</v>
      </c>
      <c r="F72" s="71" t="e">
        <f>#REF!-E72</f>
        <v>#REF!</v>
      </c>
      <c r="G72" s="71"/>
      <c r="H72" s="1588"/>
      <c r="I72" s="1589"/>
      <c r="J72" s="1598"/>
      <c r="K72" s="80"/>
      <c r="L72" s="80"/>
      <c r="M72" s="80"/>
      <c r="N72" s="287"/>
      <c r="O72" s="1635"/>
      <c r="P72" s="287"/>
      <c r="Q72" s="287">
        <f>+'Stock Rawmaterial'!K1081</f>
        <v>0</v>
      </c>
      <c r="R72" s="478"/>
      <c r="S72" s="338"/>
      <c r="T72" s="479"/>
    </row>
    <row r="73" spans="1:20" s="409" customFormat="1" ht="30" hidden="1" customHeight="1" x14ac:dyDescent="0.2">
      <c r="A73" s="2022"/>
      <c r="B73" s="2155"/>
      <c r="C73" s="139" t="str">
        <f>+'Stock Rawmaterial'!C1082</f>
        <v>Z6.2</v>
      </c>
      <c r="D73" s="1147" t="s">
        <v>10</v>
      </c>
      <c r="E73" s="937">
        <f>+'Stock Rawmaterial'!E1082</f>
        <v>43550</v>
      </c>
      <c r="F73" s="291" t="e">
        <f>#REF!-E73</f>
        <v>#REF!</v>
      </c>
      <c r="G73" s="1675"/>
      <c r="H73" s="1595"/>
      <c r="I73" s="1596"/>
      <c r="J73" s="1597"/>
      <c r="K73" s="294"/>
      <c r="L73" s="294"/>
      <c r="M73" s="294"/>
      <c r="N73" s="335"/>
      <c r="O73" s="1638"/>
      <c r="P73" s="335"/>
      <c r="Q73" s="335">
        <f>+'Stock Rawmaterial'!K1082</f>
        <v>0</v>
      </c>
      <c r="R73" s="478"/>
      <c r="S73" s="338"/>
      <c r="T73" s="479"/>
    </row>
    <row r="74" spans="1:20" s="401" customFormat="1" ht="30" hidden="1" customHeight="1" x14ac:dyDescent="0.2">
      <c r="A74" s="2023"/>
      <c r="B74" s="2157"/>
      <c r="C74" s="61" t="str">
        <f>+'Stock Rawmaterial'!C1083</f>
        <v>Feedmill</v>
      </c>
      <c r="D74" s="850" t="s">
        <v>10</v>
      </c>
      <c r="E74" s="851">
        <f>+'Stock Rawmaterial'!E1083</f>
        <v>43614</v>
      </c>
      <c r="F74" s="42" t="e">
        <f>#REF!-E74</f>
        <v>#REF!</v>
      </c>
      <c r="G74" s="1674"/>
      <c r="H74" s="1592"/>
      <c r="I74" s="1593"/>
      <c r="J74" s="1599"/>
      <c r="K74" s="79"/>
      <c r="L74" s="79"/>
      <c r="M74" s="79"/>
      <c r="N74" s="329"/>
      <c r="O74" s="329">
        <f>+usage!I145</f>
        <v>0</v>
      </c>
      <c r="P74" s="329"/>
      <c r="Q74" s="329">
        <f>+'Stock Rawmaterial'!K1083</f>
        <v>0</v>
      </c>
      <c r="R74" s="469"/>
      <c r="S74" s="437"/>
      <c r="T74" s="470"/>
    </row>
    <row r="75" spans="1:20" s="265" customFormat="1" ht="30" hidden="1" customHeight="1" x14ac:dyDescent="0.2">
      <c r="A75" s="2019" t="s">
        <v>364</v>
      </c>
      <c r="B75" s="2020"/>
      <c r="C75" s="88"/>
      <c r="D75" s="864"/>
      <c r="E75" s="864"/>
      <c r="F75" s="865"/>
      <c r="G75" s="865"/>
      <c r="H75" s="1584"/>
      <c r="I75" s="324"/>
      <c r="J75" s="714"/>
      <c r="K75" s="230">
        <f>+SUM(K70:K74)</f>
        <v>0</v>
      </c>
      <c r="L75" s="230">
        <f t="shared" ref="L75:Q75" si="8">SUM(L70:L74)</f>
        <v>0</v>
      </c>
      <c r="M75" s="230">
        <f t="shared" si="8"/>
        <v>0</v>
      </c>
      <c r="N75" s="133">
        <v>0</v>
      </c>
      <c r="O75" s="133">
        <f t="shared" si="8"/>
        <v>0</v>
      </c>
      <c r="P75" s="133">
        <f t="shared" si="8"/>
        <v>0</v>
      </c>
      <c r="Q75" s="133">
        <f t="shared" si="8"/>
        <v>0</v>
      </c>
      <c r="R75" s="466"/>
      <c r="S75" s="264"/>
      <c r="T75" s="467"/>
    </row>
    <row r="76" spans="1:20" s="409" customFormat="1" ht="30" hidden="1" customHeight="1" x14ac:dyDescent="0.2">
      <c r="A76" s="2021" t="str">
        <f>IF(M82=0,"",MAX($A$15:A75)+1)</f>
        <v/>
      </c>
      <c r="B76" s="2153" t="s">
        <v>507</v>
      </c>
      <c r="C76" s="127" t="str">
        <f>+'Stock Rawmaterial'!C1085</f>
        <v>V2.1</v>
      </c>
      <c r="D76" s="881" t="s">
        <v>10</v>
      </c>
      <c r="E76" s="882">
        <f>+'Stock Rawmaterial'!E1085</f>
        <v>44580</v>
      </c>
      <c r="F76" s="1148" t="e">
        <f>#REF!-E76</f>
        <v>#REF!</v>
      </c>
      <c r="G76" s="220"/>
      <c r="H76" s="1451"/>
      <c r="I76" s="1451"/>
      <c r="J76" s="1598"/>
      <c r="K76" s="253"/>
      <c r="L76" s="253"/>
      <c r="M76" s="253"/>
      <c r="N76" s="336"/>
      <c r="O76" s="336"/>
      <c r="P76" s="336"/>
      <c r="Q76" s="336">
        <f>+'Stock Rawmaterial'!K1085</f>
        <v>0</v>
      </c>
      <c r="R76" s="478"/>
      <c r="S76" s="338"/>
      <c r="T76" s="479"/>
    </row>
    <row r="77" spans="1:20" s="409" customFormat="1" ht="30" hidden="1" customHeight="1" x14ac:dyDescent="0.2">
      <c r="A77" s="2022"/>
      <c r="B77" s="2155"/>
      <c r="C77" s="127" t="str">
        <f>+'Stock Rawmaterial'!C1086</f>
        <v>V2.1</v>
      </c>
      <c r="D77" s="881" t="s">
        <v>10</v>
      </c>
      <c r="E77" s="882">
        <f>+'Stock Rawmaterial'!E1086</f>
        <v>44622</v>
      </c>
      <c r="F77" s="71" t="e">
        <f>#REF!-E77</f>
        <v>#REF!</v>
      </c>
      <c r="G77" s="71"/>
      <c r="H77" s="1588"/>
      <c r="I77" s="1589"/>
      <c r="J77" s="1597"/>
      <c r="K77" s="80"/>
      <c r="L77" s="80"/>
      <c r="M77" s="80"/>
      <c r="N77" s="287"/>
      <c r="O77" s="287"/>
      <c r="P77" s="287"/>
      <c r="Q77" s="287">
        <f>+'Stock Rawmaterial'!K1086</f>
        <v>0</v>
      </c>
      <c r="R77" s="478"/>
      <c r="S77" s="338"/>
      <c r="T77" s="479"/>
    </row>
    <row r="78" spans="1:20" s="409" customFormat="1" ht="30" hidden="1" customHeight="1" x14ac:dyDescent="0.2">
      <c r="A78" s="2022"/>
      <c r="B78" s="2155"/>
      <c r="C78" s="127">
        <f>+'Stock Rawmaterial'!C1087</f>
        <v>0</v>
      </c>
      <c r="D78" s="881" t="s">
        <v>10</v>
      </c>
      <c r="E78" s="882">
        <f>+'Stock Rawmaterial'!E1087</f>
        <v>44622</v>
      </c>
      <c r="F78" s="71" t="e">
        <f>#REF!-E78</f>
        <v>#REF!</v>
      </c>
      <c r="G78" s="71"/>
      <c r="H78" s="1588"/>
      <c r="I78" s="1589"/>
      <c r="J78" s="1598"/>
      <c r="K78" s="80"/>
      <c r="L78" s="80"/>
      <c r="M78" s="80"/>
      <c r="N78" s="287"/>
      <c r="O78" s="287"/>
      <c r="P78" s="287"/>
      <c r="Q78" s="287">
        <f>+'Stock Rawmaterial'!K1087</f>
        <v>0</v>
      </c>
      <c r="R78" s="478"/>
      <c r="S78" s="338"/>
      <c r="T78" s="479"/>
    </row>
    <row r="79" spans="1:20" s="409" customFormat="1" ht="30" hidden="1" customHeight="1" x14ac:dyDescent="0.2">
      <c r="A79" s="2022"/>
      <c r="B79" s="2155"/>
      <c r="C79" s="127">
        <f>+'Stock Rawmaterial'!C1088</f>
        <v>0</v>
      </c>
      <c r="D79" s="881" t="s">
        <v>10</v>
      </c>
      <c r="E79" s="882">
        <f>+'Stock Rawmaterial'!E1088</f>
        <v>44356</v>
      </c>
      <c r="F79" s="71" t="e">
        <f>#REF!-E79</f>
        <v>#REF!</v>
      </c>
      <c r="G79" s="71"/>
      <c r="H79" s="1588"/>
      <c r="I79" s="1589"/>
      <c r="J79" s="1598"/>
      <c r="K79" s="80"/>
      <c r="L79" s="80"/>
      <c r="M79" s="80"/>
      <c r="N79" s="287"/>
      <c r="O79" s="287"/>
      <c r="P79" s="287"/>
      <c r="Q79" s="287">
        <f>+'Stock Rawmaterial'!K1088</f>
        <v>0</v>
      </c>
      <c r="R79" s="478"/>
      <c r="S79" s="338"/>
      <c r="T79" s="479"/>
    </row>
    <row r="80" spans="1:20" s="409" customFormat="1" ht="30" hidden="1" customHeight="1" x14ac:dyDescent="0.2">
      <c r="A80" s="2022"/>
      <c r="B80" s="2155"/>
      <c r="C80" s="127">
        <f>+'Stock Rawmaterial'!C1089</f>
        <v>0</v>
      </c>
      <c r="D80" s="881" t="s">
        <v>10</v>
      </c>
      <c r="E80" s="882">
        <f>+'Stock Rawmaterial'!E1089</f>
        <v>43895</v>
      </c>
      <c r="F80" s="71" t="e">
        <f>#REF!-E80</f>
        <v>#REF!</v>
      </c>
      <c r="G80" s="71"/>
      <c r="H80" s="1588"/>
      <c r="I80" s="1589"/>
      <c r="J80" s="1598"/>
      <c r="K80" s="80"/>
      <c r="L80" s="80"/>
      <c r="M80" s="80"/>
      <c r="N80" s="287"/>
      <c r="O80" s="287"/>
      <c r="P80" s="287"/>
      <c r="Q80" s="287">
        <f>+'Stock Rawmaterial'!K1089</f>
        <v>0</v>
      </c>
      <c r="R80" s="478"/>
      <c r="S80" s="338"/>
      <c r="T80" s="479"/>
    </row>
    <row r="81" spans="1:20" s="401" customFormat="1" ht="30" hidden="1" customHeight="1" x14ac:dyDescent="0.2">
      <c r="A81" s="2023"/>
      <c r="B81" s="2155"/>
      <c r="C81" s="61" t="str">
        <f>+'Stock Rawmaterial'!C1090</f>
        <v>Feedmill</v>
      </c>
      <c r="D81" s="850" t="s">
        <v>10</v>
      </c>
      <c r="E81" s="851">
        <f>+'Stock Rawmaterial'!E1090</f>
        <v>44622</v>
      </c>
      <c r="F81" s="42" t="e">
        <f>#REF!-E81</f>
        <v>#REF!</v>
      </c>
      <c r="G81" s="1674"/>
      <c r="H81" s="1592"/>
      <c r="I81" s="1593"/>
      <c r="J81" s="1599"/>
      <c r="K81" s="79">
        <f>+'Stock Rawmaterial'!G1090</f>
        <v>0</v>
      </c>
      <c r="L81" s="79">
        <f>+'Stock Rawmaterial'!H1090</f>
        <v>0</v>
      </c>
      <c r="M81" s="79">
        <f>+'Stock Rawmaterial'!I1090</f>
        <v>0</v>
      </c>
      <c r="N81" s="329"/>
      <c r="O81" s="329">
        <f>+'Stock Rawmaterial'!J1090</f>
        <v>0</v>
      </c>
      <c r="P81" s="329"/>
      <c r="Q81" s="329"/>
      <c r="R81" s="469"/>
      <c r="S81" s="437"/>
      <c r="T81" s="470"/>
    </row>
    <row r="82" spans="1:20" s="265" customFormat="1" ht="39" hidden="1" customHeight="1" x14ac:dyDescent="0.2">
      <c r="A82" s="2019" t="s">
        <v>507</v>
      </c>
      <c r="B82" s="2020"/>
      <c r="C82" s="929"/>
      <c r="D82" s="864"/>
      <c r="E82" s="864"/>
      <c r="F82" s="865"/>
      <c r="G82" s="931"/>
      <c r="H82" s="1600"/>
      <c r="I82" s="1601"/>
      <c r="J82" s="1602"/>
      <c r="K82" s="232">
        <f>+SUM(K76:K81)</f>
        <v>0</v>
      </c>
      <c r="L82" s="232">
        <f t="shared" ref="L82:Q82" si="9">+SUM(L76:L81)</f>
        <v>0</v>
      </c>
      <c r="M82" s="232">
        <f t="shared" si="9"/>
        <v>0</v>
      </c>
      <c r="N82" s="1149">
        <f t="shared" si="9"/>
        <v>0</v>
      </c>
      <c r="O82" s="1149">
        <f t="shared" si="9"/>
        <v>0</v>
      </c>
      <c r="P82" s="1149">
        <f t="shared" si="9"/>
        <v>0</v>
      </c>
      <c r="Q82" s="1149">
        <f t="shared" si="9"/>
        <v>0</v>
      </c>
      <c r="R82" s="466"/>
      <c r="S82" s="264"/>
      <c r="T82" s="467"/>
    </row>
    <row r="83" spans="1:20" s="409" customFormat="1" ht="30" hidden="1" customHeight="1" x14ac:dyDescent="0.2">
      <c r="A83" s="2250" t="str">
        <f>IF(M89=0,"",MAX($A$15:A82)+1)</f>
        <v/>
      </c>
      <c r="B83" s="2265" t="s">
        <v>611</v>
      </c>
      <c r="C83" s="129" t="str">
        <f>+'Stock Rawmaterial'!C1107</f>
        <v>E3</v>
      </c>
      <c r="D83" s="881" t="str">
        <f>+'Stock Rawmaterial'!D1107</f>
        <v>Rec.</v>
      </c>
      <c r="E83" s="882">
        <f>+'Stock Rawmaterial'!E1107</f>
        <v>45772</v>
      </c>
      <c r="F83" s="71">
        <f>+'Stock Rawmaterial'!F1107</f>
        <v>514</v>
      </c>
      <c r="G83" s="1685">
        <v>46495</v>
      </c>
      <c r="H83" s="80">
        <f>+'Stock Rawmaterial'!G1107</f>
        <v>0</v>
      </c>
      <c r="I83" s="80">
        <f>+'Stock Rawmaterial'!H1107</f>
        <v>0</v>
      </c>
      <c r="J83" s="80">
        <f>+'Stock Rawmaterial'!I1107</f>
        <v>0</v>
      </c>
      <c r="K83" s="1603">
        <f>+'Stock Rawmaterial'!J1107</f>
        <v>0</v>
      </c>
      <c r="L83" s="1604">
        <f>+'Stock Rawmaterial'!K1107</f>
        <v>0</v>
      </c>
      <c r="M83" s="1575">
        <f>+'Stock Rawmaterial'!L1107</f>
        <v>0</v>
      </c>
      <c r="N83" s="336"/>
      <c r="O83" s="1637"/>
      <c r="P83" s="336"/>
      <c r="Q83" s="336"/>
      <c r="R83" s="478"/>
      <c r="S83" s="338"/>
      <c r="T83" s="479"/>
    </row>
    <row r="84" spans="1:20" s="409" customFormat="1" ht="30" hidden="1" customHeight="1" x14ac:dyDescent="0.2">
      <c r="A84" s="2251"/>
      <c r="B84" s="2266"/>
      <c r="C84" s="129">
        <f>+'Stock Rawmaterial'!C1108</f>
        <v>0</v>
      </c>
      <c r="D84" s="881" t="str">
        <f>+'Stock Rawmaterial'!D1108</f>
        <v>Rec.</v>
      </c>
      <c r="E84" s="882">
        <f>+'Stock Rawmaterial'!E1108</f>
        <v>44000</v>
      </c>
      <c r="F84" s="71">
        <f>+'Stock Rawmaterial'!F1108</f>
        <v>2286</v>
      </c>
      <c r="G84" s="71"/>
      <c r="H84" s="80">
        <f>+'Stock Rawmaterial'!G1108</f>
        <v>0</v>
      </c>
      <c r="I84" s="80">
        <f>+'Stock Rawmaterial'!H1108</f>
        <v>0</v>
      </c>
      <c r="J84" s="80">
        <f>+'Stock Rawmaterial'!I1108</f>
        <v>0</v>
      </c>
      <c r="K84" s="1603">
        <f>+'Stock Rawmaterial'!J1108</f>
        <v>0</v>
      </c>
      <c r="L84" s="1604">
        <f>+'Stock Rawmaterial'!K1108</f>
        <v>0</v>
      </c>
      <c r="M84" s="1575">
        <f>+'Stock Rawmaterial'!L1108</f>
        <v>0</v>
      </c>
      <c r="N84" s="287"/>
      <c r="O84" s="1635"/>
      <c r="P84" s="287"/>
      <c r="Q84" s="287">
        <f>+'Stock Rawmaterial'!K1108</f>
        <v>0</v>
      </c>
      <c r="R84" s="478"/>
      <c r="S84" s="338"/>
      <c r="T84" s="479"/>
    </row>
    <row r="85" spans="1:20" s="409" customFormat="1" ht="30" hidden="1" customHeight="1" x14ac:dyDescent="0.2">
      <c r="A85" s="2251"/>
      <c r="B85" s="2266"/>
      <c r="C85" s="129" t="str">
        <f>+'Stock Rawmaterial'!C1109</f>
        <v>Z5.1</v>
      </c>
      <c r="D85" s="881" t="str">
        <f>+'Stock Rawmaterial'!D1109</f>
        <v>Rec.</v>
      </c>
      <c r="E85" s="882">
        <f>+'Stock Rawmaterial'!E1109</f>
        <v>43978</v>
      </c>
      <c r="F85" s="71">
        <f>+'Stock Rawmaterial'!F1109</f>
        <v>2308</v>
      </c>
      <c r="G85" s="71"/>
      <c r="H85" s="80">
        <f>+'Stock Rawmaterial'!G1109</f>
        <v>0</v>
      </c>
      <c r="I85" s="80">
        <f>+'Stock Rawmaterial'!H1109</f>
        <v>0</v>
      </c>
      <c r="J85" s="80">
        <f>+'Stock Rawmaterial'!I1109</f>
        <v>0</v>
      </c>
      <c r="K85" s="1603">
        <f>+'Stock Rawmaterial'!J1109</f>
        <v>0</v>
      </c>
      <c r="L85" s="1604">
        <f>+'Stock Rawmaterial'!K1109</f>
        <v>0</v>
      </c>
      <c r="M85" s="1575">
        <f>+'Stock Rawmaterial'!L1109</f>
        <v>0</v>
      </c>
      <c r="N85" s="287"/>
      <c r="O85" s="1635"/>
      <c r="P85" s="287"/>
      <c r="Q85" s="287">
        <f>+'Stock Rawmaterial'!K1109</f>
        <v>0</v>
      </c>
      <c r="R85" s="478"/>
      <c r="S85" s="338"/>
      <c r="T85" s="479"/>
    </row>
    <row r="86" spans="1:20" s="409" customFormat="1" ht="30" hidden="1" customHeight="1" x14ac:dyDescent="0.2">
      <c r="A86" s="2251"/>
      <c r="B86" s="2266"/>
      <c r="C86" s="129" t="str">
        <f>+'Stock Rawmaterial'!C1110</f>
        <v>A19.5</v>
      </c>
      <c r="D86" s="881" t="str">
        <f>+'Stock Rawmaterial'!D1110</f>
        <v>Rec.</v>
      </c>
      <c r="E86" s="882">
        <f>+'Stock Rawmaterial'!E1110</f>
        <v>44000</v>
      </c>
      <c r="F86" s="71">
        <f>+'Stock Rawmaterial'!F1110</f>
        <v>2286</v>
      </c>
      <c r="G86" s="71"/>
      <c r="H86" s="80">
        <f>+'Stock Rawmaterial'!G1110</f>
        <v>0</v>
      </c>
      <c r="I86" s="80">
        <f>+'Stock Rawmaterial'!H1110</f>
        <v>0</v>
      </c>
      <c r="J86" s="80">
        <f>+'Stock Rawmaterial'!I1110</f>
        <v>0</v>
      </c>
      <c r="K86" s="1603">
        <f>+'Stock Rawmaterial'!J1110</f>
        <v>0</v>
      </c>
      <c r="L86" s="1604">
        <f>+'Stock Rawmaterial'!K1110</f>
        <v>0</v>
      </c>
      <c r="M86" s="1575">
        <f>+'Stock Rawmaterial'!L1110</f>
        <v>0</v>
      </c>
      <c r="N86" s="287"/>
      <c r="O86" s="1635"/>
      <c r="P86" s="287"/>
      <c r="Q86" s="287">
        <f>+'Stock Rawmaterial'!K1110</f>
        <v>0</v>
      </c>
      <c r="R86" s="478"/>
      <c r="S86" s="338"/>
      <c r="T86" s="479"/>
    </row>
    <row r="87" spans="1:20" s="409" customFormat="1" ht="30" hidden="1" customHeight="1" x14ac:dyDescent="0.2">
      <c r="A87" s="2251"/>
      <c r="B87" s="2266"/>
      <c r="C87" s="129" t="str">
        <f>+'Stock Rawmaterial'!C1111</f>
        <v>Z5.1</v>
      </c>
      <c r="D87" s="881" t="str">
        <f>+'Stock Rawmaterial'!D1111</f>
        <v>Rec.</v>
      </c>
      <c r="E87" s="882">
        <f>+'Stock Rawmaterial'!E1111</f>
        <v>43978</v>
      </c>
      <c r="F87" s="71">
        <f>+'Stock Rawmaterial'!F1111</f>
        <v>2308</v>
      </c>
      <c r="G87" s="71"/>
      <c r="H87" s="80">
        <f>+'Stock Rawmaterial'!G1111</f>
        <v>0</v>
      </c>
      <c r="I87" s="80">
        <f>+'Stock Rawmaterial'!H1111</f>
        <v>0</v>
      </c>
      <c r="J87" s="80">
        <f>+'Stock Rawmaterial'!I1111</f>
        <v>0</v>
      </c>
      <c r="K87" s="1603">
        <f>+'Stock Rawmaterial'!J1111</f>
        <v>0</v>
      </c>
      <c r="L87" s="1604">
        <f>+'Stock Rawmaterial'!K1111</f>
        <v>0</v>
      </c>
      <c r="M87" s="1575">
        <f>+'Stock Rawmaterial'!L1111</f>
        <v>0</v>
      </c>
      <c r="N87" s="287"/>
      <c r="O87" s="287"/>
      <c r="P87" s="287"/>
      <c r="Q87" s="287">
        <f>+'Stock Rawmaterial'!K1111</f>
        <v>0</v>
      </c>
      <c r="R87" s="478"/>
      <c r="S87" s="338"/>
      <c r="T87" s="479"/>
    </row>
    <row r="88" spans="1:20" s="401" customFormat="1" ht="30" hidden="1" customHeight="1" x14ac:dyDescent="0.2">
      <c r="A88" s="2252"/>
      <c r="B88" s="2267"/>
      <c r="C88" s="1835" t="str">
        <f>+'Stock Rawmaterial'!C1112</f>
        <v>Feedmill</v>
      </c>
      <c r="D88" s="1690" t="str">
        <f>+'Stock Rawmaterial'!D1112</f>
        <v>Rec.</v>
      </c>
      <c r="E88" s="1695">
        <f>+'Stock Rawmaterial'!E1112</f>
        <v>45772</v>
      </c>
      <c r="F88" s="938">
        <f>+'Stock Rawmaterial'!F1112</f>
        <v>514</v>
      </c>
      <c r="G88" s="1692">
        <v>46495</v>
      </c>
      <c r="H88" s="80">
        <f>+'Stock Rawmaterial'!G1112</f>
        <v>0</v>
      </c>
      <c r="I88" s="80">
        <f>+'Stock Rawmaterial'!H1112</f>
        <v>0</v>
      </c>
      <c r="J88" s="80">
        <f>+'Stock Rawmaterial'!I1112</f>
        <v>0</v>
      </c>
      <c r="K88" s="1603">
        <f>+'Stock Rawmaterial'!J1112</f>
        <v>0</v>
      </c>
      <c r="L88" s="1604">
        <f>+'Stock Rawmaterial'!K1112</f>
        <v>0</v>
      </c>
      <c r="M88" s="1575">
        <f>+'Stock Rawmaterial'!L1112</f>
        <v>0</v>
      </c>
      <c r="N88" s="287"/>
      <c r="O88" s="287"/>
      <c r="P88" s="287"/>
      <c r="Q88" s="287">
        <f>+'Stock Rawmaterial'!K1112</f>
        <v>0</v>
      </c>
      <c r="R88" s="469"/>
      <c r="S88" s="437"/>
      <c r="T88" s="470"/>
    </row>
    <row r="89" spans="1:20" s="265" customFormat="1" ht="30" hidden="1" customHeight="1" x14ac:dyDescent="0.2">
      <c r="A89" s="2268" t="s">
        <v>1580</v>
      </c>
      <c r="B89" s="2036"/>
      <c r="C89" s="2036"/>
      <c r="D89" s="864"/>
      <c r="E89" s="864"/>
      <c r="F89" s="865"/>
      <c r="G89" s="865"/>
      <c r="H89" s="1576">
        <f>+H83+H88</f>
        <v>0</v>
      </c>
      <c r="I89" s="230">
        <f t="shared" ref="I89:L89" si="10">SUM(I83:I88)</f>
        <v>0</v>
      </c>
      <c r="J89" s="230">
        <f t="shared" si="10"/>
        <v>0</v>
      </c>
      <c r="K89" s="230">
        <f t="shared" si="10"/>
        <v>0</v>
      </c>
      <c r="L89" s="230">
        <f t="shared" si="10"/>
        <v>0</v>
      </c>
      <c r="M89" s="230">
        <f>SUM(M83:M88)</f>
        <v>0</v>
      </c>
      <c r="N89" s="334" t="str">
        <f>'Stock Rawmaterial'!M1113</f>
        <v/>
      </c>
      <c r="O89" s="1639">
        <f>'Stock Rawmaterial'!N1113</f>
        <v>0</v>
      </c>
      <c r="P89" s="334">
        <f>'Stock Rawmaterial'!O1113</f>
        <v>0</v>
      </c>
      <c r="Q89" s="133">
        <f>'Stock Rawmaterial'!P1113</f>
        <v>0</v>
      </c>
      <c r="R89" s="466"/>
      <c r="S89" s="264"/>
      <c r="T89" s="467"/>
    </row>
    <row r="90" spans="1:20" s="409" customFormat="1" ht="30" hidden="1" customHeight="1" x14ac:dyDescent="0.2">
      <c r="A90" s="2250" t="str">
        <f>IF(M96=0,"",MAX($A$15:A89)+1)</f>
        <v/>
      </c>
      <c r="B90" s="2253" t="s">
        <v>1352</v>
      </c>
      <c r="C90" s="190" t="str">
        <f>+'Stock Rawmaterial'!C1114</f>
        <v>E2</v>
      </c>
      <c r="D90" s="881" t="s">
        <v>10</v>
      </c>
      <c r="E90" s="882">
        <f>+'Stock Rawmaterial'!E1114</f>
        <v>45855</v>
      </c>
      <c r="F90" s="882">
        <f>+'Stock Rawmaterial'!F1114</f>
        <v>431</v>
      </c>
      <c r="G90" s="1685">
        <v>45930</v>
      </c>
      <c r="H90" s="1739">
        <f>'Stock Rawmaterial'!G1114</f>
        <v>0</v>
      </c>
      <c r="I90" s="1739">
        <f>'Stock Rawmaterial'!H1114</f>
        <v>0</v>
      </c>
      <c r="J90" s="1739">
        <f>'Stock Rawmaterial'!I1114</f>
        <v>0</v>
      </c>
      <c r="K90" s="1739">
        <f>'Stock Rawmaterial'!J1114</f>
        <v>0</v>
      </c>
      <c r="L90" s="1739">
        <f>'Stock Rawmaterial'!K1114</f>
        <v>0</v>
      </c>
      <c r="M90" s="1739">
        <f>'Stock Rawmaterial'!L1114</f>
        <v>0</v>
      </c>
      <c r="N90" s="336"/>
      <c r="O90" s="1637"/>
      <c r="P90" s="336"/>
      <c r="Q90" s="336"/>
      <c r="R90" s="478"/>
      <c r="S90" s="338"/>
      <c r="T90" s="479"/>
    </row>
    <row r="91" spans="1:20" s="409" customFormat="1" ht="30" hidden="1" customHeight="1" x14ac:dyDescent="0.2">
      <c r="A91" s="2251"/>
      <c r="B91" s="2254"/>
      <c r="C91" s="190">
        <f>+'Stock Rawmaterial'!C1115</f>
        <v>0</v>
      </c>
      <c r="D91" s="881" t="s">
        <v>10</v>
      </c>
      <c r="E91" s="882">
        <f>+'Stock Rawmaterial'!E1115</f>
        <v>44000</v>
      </c>
      <c r="F91" s="882">
        <f>+'Stock Rawmaterial'!F1115</f>
        <v>2286</v>
      </c>
      <c r="G91" s="72"/>
      <c r="H91" s="1840">
        <f>'Stock Rawmaterial'!G1115</f>
        <v>0</v>
      </c>
      <c r="I91" s="1840">
        <f>'Stock Rawmaterial'!H1115</f>
        <v>0</v>
      </c>
      <c r="J91" s="1840">
        <f>'Stock Rawmaterial'!I1115</f>
        <v>0</v>
      </c>
      <c r="K91" s="1840">
        <f>'Stock Rawmaterial'!J1115</f>
        <v>0</v>
      </c>
      <c r="L91" s="1840">
        <f>'Stock Rawmaterial'!K1115</f>
        <v>0</v>
      </c>
      <c r="M91" s="1840">
        <f>'Stock Rawmaterial'!L1115</f>
        <v>0</v>
      </c>
      <c r="N91" s="287"/>
      <c r="O91" s="1635"/>
      <c r="P91" s="287"/>
      <c r="Q91" s="287">
        <f>+'Stock Rawmaterial'!K1115</f>
        <v>0</v>
      </c>
      <c r="R91" s="478"/>
      <c r="S91" s="338"/>
      <c r="T91" s="479"/>
    </row>
    <row r="92" spans="1:20" s="409" customFormat="1" ht="30" hidden="1" customHeight="1" x14ac:dyDescent="0.2">
      <c r="A92" s="2251"/>
      <c r="B92" s="2254"/>
      <c r="C92" s="190">
        <f>+'Stock Rawmaterial'!C1116</f>
        <v>0</v>
      </c>
      <c r="D92" s="881" t="s">
        <v>10</v>
      </c>
      <c r="E92" s="882">
        <f>+'Stock Rawmaterial'!E1116</f>
        <v>43978</v>
      </c>
      <c r="F92" s="882">
        <f>+'Stock Rawmaterial'!F1116</f>
        <v>2308</v>
      </c>
      <c r="G92" s="72"/>
      <c r="H92" s="1840">
        <f>'Stock Rawmaterial'!G1116</f>
        <v>0</v>
      </c>
      <c r="I92" s="1840">
        <f>'Stock Rawmaterial'!H1116</f>
        <v>0</v>
      </c>
      <c r="J92" s="1840">
        <f>'Stock Rawmaterial'!I1116</f>
        <v>0</v>
      </c>
      <c r="K92" s="1840">
        <f>'Stock Rawmaterial'!J1116</f>
        <v>0</v>
      </c>
      <c r="L92" s="1840">
        <f>'Stock Rawmaterial'!K1116</f>
        <v>0</v>
      </c>
      <c r="M92" s="1840">
        <f>'Stock Rawmaterial'!L1116</f>
        <v>0</v>
      </c>
      <c r="N92" s="287"/>
      <c r="O92" s="1635"/>
      <c r="P92" s="287"/>
      <c r="Q92" s="287">
        <f>+'Stock Rawmaterial'!K1116</f>
        <v>0</v>
      </c>
      <c r="R92" s="478"/>
      <c r="S92" s="338"/>
      <c r="T92" s="479"/>
    </row>
    <row r="93" spans="1:20" s="409" customFormat="1" ht="30" hidden="1" customHeight="1" x14ac:dyDescent="0.2">
      <c r="A93" s="2251"/>
      <c r="B93" s="2254"/>
      <c r="C93" s="190">
        <f>+'Stock Rawmaterial'!C1117</f>
        <v>0</v>
      </c>
      <c r="D93" s="881" t="s">
        <v>10</v>
      </c>
      <c r="E93" s="882">
        <f>+'Stock Rawmaterial'!E1117</f>
        <v>44000</v>
      </c>
      <c r="F93" s="882">
        <f>+'Stock Rawmaterial'!F1117</f>
        <v>2286</v>
      </c>
      <c r="G93" s="72"/>
      <c r="H93" s="1840">
        <f>'Stock Rawmaterial'!G1117</f>
        <v>0</v>
      </c>
      <c r="I93" s="1840">
        <f>'Stock Rawmaterial'!H1117</f>
        <v>0</v>
      </c>
      <c r="J93" s="1840">
        <f>'Stock Rawmaterial'!I1117</f>
        <v>0</v>
      </c>
      <c r="K93" s="1840">
        <f>'Stock Rawmaterial'!J1117</f>
        <v>0</v>
      </c>
      <c r="L93" s="1840">
        <f>'Stock Rawmaterial'!K1117</f>
        <v>0</v>
      </c>
      <c r="M93" s="1840">
        <f>'Stock Rawmaterial'!L1117</f>
        <v>0</v>
      </c>
      <c r="N93" s="287"/>
      <c r="O93" s="1635"/>
      <c r="P93" s="287"/>
      <c r="Q93" s="287">
        <f>+'Stock Rawmaterial'!K1117</f>
        <v>0</v>
      </c>
      <c r="R93" s="478"/>
      <c r="S93" s="338"/>
      <c r="T93" s="479"/>
    </row>
    <row r="94" spans="1:20" s="409" customFormat="1" ht="30" hidden="1" customHeight="1" x14ac:dyDescent="0.2">
      <c r="A94" s="2251"/>
      <c r="B94" s="2254"/>
      <c r="C94" s="190">
        <f>+'Stock Rawmaterial'!C1118</f>
        <v>0</v>
      </c>
      <c r="D94" s="881" t="s">
        <v>10</v>
      </c>
      <c r="E94" s="882">
        <f>+'Stock Rawmaterial'!E1118</f>
        <v>43978</v>
      </c>
      <c r="F94" s="882">
        <f>+'Stock Rawmaterial'!F1118</f>
        <v>2308</v>
      </c>
      <c r="G94" s="72"/>
      <c r="H94" s="1840">
        <f>'Stock Rawmaterial'!G1118</f>
        <v>0</v>
      </c>
      <c r="I94" s="1840">
        <f>'Stock Rawmaterial'!H1118</f>
        <v>0</v>
      </c>
      <c r="J94" s="1840">
        <f>'Stock Rawmaterial'!I1118</f>
        <v>0</v>
      </c>
      <c r="K94" s="1840">
        <f>'Stock Rawmaterial'!J1118</f>
        <v>0</v>
      </c>
      <c r="L94" s="1840">
        <f>'Stock Rawmaterial'!K1118</f>
        <v>0</v>
      </c>
      <c r="M94" s="1840">
        <f>'Stock Rawmaterial'!L1118</f>
        <v>0</v>
      </c>
      <c r="N94" s="287"/>
      <c r="O94" s="287"/>
      <c r="P94" s="287"/>
      <c r="Q94" s="287">
        <f>+'Stock Rawmaterial'!K1118</f>
        <v>0</v>
      </c>
      <c r="R94" s="478"/>
      <c r="S94" s="338"/>
      <c r="T94" s="479"/>
    </row>
    <row r="95" spans="1:20" s="401" customFormat="1" ht="30" hidden="1" customHeight="1" x14ac:dyDescent="0.2">
      <c r="A95" s="2252"/>
      <c r="B95" s="2255"/>
      <c r="C95" s="190" t="str">
        <f>+'Stock Rawmaterial'!C1119</f>
        <v>Feedmill</v>
      </c>
      <c r="D95" s="1150" t="s">
        <v>10</v>
      </c>
      <c r="E95" s="882">
        <f>+'Stock Rawmaterial'!E1119</f>
        <v>45855</v>
      </c>
      <c r="F95" s="882">
        <f>+'Stock Rawmaterial'!F1119</f>
        <v>431</v>
      </c>
      <c r="G95" s="1685">
        <v>45930</v>
      </c>
      <c r="H95" s="1840">
        <f>'Stock Rawmaterial'!G1119</f>
        <v>0</v>
      </c>
      <c r="I95" s="1840">
        <f>'Stock Rawmaterial'!H1119</f>
        <v>0</v>
      </c>
      <c r="J95" s="1840">
        <f>'Stock Rawmaterial'!I1119</f>
        <v>0</v>
      </c>
      <c r="K95" s="1840">
        <f>'Stock Rawmaterial'!J1119</f>
        <v>0</v>
      </c>
      <c r="L95" s="1840">
        <f>'Stock Rawmaterial'!K1119</f>
        <v>0</v>
      </c>
      <c r="M95" s="1840">
        <f>'Stock Rawmaterial'!L1119</f>
        <v>0</v>
      </c>
      <c r="N95" s="287"/>
      <c r="O95" s="287"/>
      <c r="P95" s="287"/>
      <c r="Q95" s="287">
        <f>+'Stock Rawmaterial'!K1119</f>
        <v>0</v>
      </c>
      <c r="R95" s="469"/>
      <c r="S95" s="437"/>
      <c r="T95" s="470"/>
    </row>
    <row r="96" spans="1:20" s="265" customFormat="1" ht="30" hidden="1" customHeight="1" x14ac:dyDescent="0.2">
      <c r="A96" s="2268" t="s">
        <v>1353</v>
      </c>
      <c r="B96" s="2036"/>
      <c r="C96" s="2036"/>
      <c r="D96" s="864"/>
      <c r="E96" s="864"/>
      <c r="F96" s="865"/>
      <c r="G96" s="865"/>
      <c r="H96" s="230">
        <f>+SUM(H90:H95)</f>
        <v>0</v>
      </c>
      <c r="I96" s="230">
        <f t="shared" ref="I96:M96" si="11">+SUM(I90:I95)</f>
        <v>0</v>
      </c>
      <c r="J96" s="230">
        <f t="shared" si="11"/>
        <v>0</v>
      </c>
      <c r="K96" s="230">
        <f t="shared" si="11"/>
        <v>0</v>
      </c>
      <c r="L96" s="230">
        <f t="shared" si="11"/>
        <v>0</v>
      </c>
      <c r="M96" s="230">
        <f t="shared" si="11"/>
        <v>0</v>
      </c>
      <c r="N96" s="334"/>
      <c r="O96" s="1639">
        <f>SUM(O90:O95)</f>
        <v>0</v>
      </c>
      <c r="P96" s="334"/>
      <c r="Q96" s="133">
        <f>+SUM(Q90:Q95)</f>
        <v>0</v>
      </c>
      <c r="R96" s="466"/>
      <c r="S96" s="264"/>
      <c r="T96" s="467"/>
    </row>
    <row r="97" spans="1:20" s="409" customFormat="1" ht="30" hidden="1" customHeight="1" x14ac:dyDescent="0.2">
      <c r="A97" s="2250">
        <f>IF(M104=0,"",MAX($A$15:A96)+1)</f>
        <v>6</v>
      </c>
      <c r="B97" s="2253" t="s">
        <v>1345</v>
      </c>
      <c r="C97" s="129">
        <f>+'Stock Rawmaterial'!C1121</f>
        <v>0</v>
      </c>
      <c r="D97" s="881" t="str">
        <f>+'Stock Rawmaterial'!D1121</f>
        <v>Rec.</v>
      </c>
      <c r="E97" s="882">
        <f>+'Stock Rawmaterial'!E1121</f>
        <v>45829</v>
      </c>
      <c r="F97" s="71">
        <f>+'Stock Rawmaterial'!F1121</f>
        <v>457</v>
      </c>
      <c r="G97" s="1686">
        <v>46516</v>
      </c>
      <c r="H97" s="80">
        <f>+'Stock Rawmaterial'!G1121</f>
        <v>0</v>
      </c>
      <c r="I97" s="80">
        <f>+'Stock Rawmaterial'!H1121</f>
        <v>0</v>
      </c>
      <c r="J97" s="80">
        <f>+'Stock Rawmaterial'!I1121</f>
        <v>0</v>
      </c>
      <c r="K97" s="1603">
        <f>+'Stock Rawmaterial'!J1121</f>
        <v>0</v>
      </c>
      <c r="L97" s="1604">
        <f>+'Stock Rawmaterial'!K1121</f>
        <v>0</v>
      </c>
      <c r="M97" s="1671">
        <f>+'Stock Rawmaterial'!L1121</f>
        <v>0</v>
      </c>
      <c r="N97" s="162">
        <f>+'Stock Rawmaterial'!M1121</f>
        <v>0</v>
      </c>
      <c r="O97" s="336">
        <f>+'Stock Rawmaterial'!J1121</f>
        <v>0</v>
      </c>
      <c r="P97" s="336"/>
      <c r="Q97" s="336"/>
      <c r="R97" s="478"/>
      <c r="S97" s="338"/>
      <c r="T97" s="479"/>
    </row>
    <row r="98" spans="1:20" s="409" customFormat="1" ht="30" hidden="1" customHeight="1" x14ac:dyDescent="0.2">
      <c r="A98" s="2251"/>
      <c r="B98" s="2254"/>
      <c r="C98" s="129">
        <f>+'Stock Rawmaterial'!C1122</f>
        <v>0</v>
      </c>
      <c r="D98" s="881" t="str">
        <f>+'Stock Rawmaterial'!D1122</f>
        <v>Rec.</v>
      </c>
      <c r="E98" s="882">
        <f>+'Stock Rawmaterial'!E1122</f>
        <v>46171</v>
      </c>
      <c r="F98" s="71">
        <f>+'Stock Rawmaterial'!F1122</f>
        <v>115</v>
      </c>
      <c r="G98" s="1685">
        <v>46557</v>
      </c>
      <c r="H98" s="80">
        <f>+'Stock Rawmaterial'!G1122</f>
        <v>0</v>
      </c>
      <c r="I98" s="80">
        <f>+'Stock Rawmaterial'!H1122</f>
        <v>0</v>
      </c>
      <c r="J98" s="80">
        <f>+'Stock Rawmaterial'!I1122</f>
        <v>0</v>
      </c>
      <c r="K98" s="1603">
        <f>+'Stock Rawmaterial'!J1122</f>
        <v>0</v>
      </c>
      <c r="L98" s="1604">
        <f>+'Stock Rawmaterial'!K1122</f>
        <v>0</v>
      </c>
      <c r="M98" s="1846">
        <f>+'Stock Rawmaterial'!L1122</f>
        <v>0</v>
      </c>
      <c r="N98" s="162"/>
      <c r="O98" s="1965">
        <f>+'Stock Rawmaterial'!J1122</f>
        <v>0</v>
      </c>
      <c r="P98" s="287"/>
      <c r="Q98" s="287"/>
      <c r="R98" s="478"/>
      <c r="S98" s="338"/>
      <c r="T98" s="479"/>
    </row>
    <row r="99" spans="1:20" s="409" customFormat="1" ht="30" hidden="1" customHeight="1" x14ac:dyDescent="0.2">
      <c r="A99" s="2251"/>
      <c r="B99" s="2254"/>
      <c r="C99" s="129">
        <f>+'Stock Rawmaterial'!C1123</f>
        <v>0</v>
      </c>
      <c r="D99" s="881" t="str">
        <f>+'Stock Rawmaterial'!D1123</f>
        <v>Rec.</v>
      </c>
      <c r="E99" s="882">
        <f>+'Stock Rawmaterial'!E1123</f>
        <v>46199</v>
      </c>
      <c r="F99" s="71">
        <f>+'Stock Rawmaterial'!F1123</f>
        <v>87</v>
      </c>
      <c r="G99" s="1953">
        <v>46880</v>
      </c>
      <c r="H99" s="80">
        <f>+'Stock Rawmaterial'!G1123</f>
        <v>0</v>
      </c>
      <c r="I99" s="80">
        <f>+'Stock Rawmaterial'!H1123</f>
        <v>0</v>
      </c>
      <c r="J99" s="80">
        <f>+'Stock Rawmaterial'!I1123</f>
        <v>0</v>
      </c>
      <c r="K99" s="1603">
        <f>+'Stock Rawmaterial'!J1123</f>
        <v>0</v>
      </c>
      <c r="L99" s="1604">
        <f>+'Stock Rawmaterial'!K1123</f>
        <v>0</v>
      </c>
      <c r="M99" s="1575">
        <f>+'Stock Rawmaterial'!L1123</f>
        <v>0</v>
      </c>
      <c r="N99" s="287"/>
      <c r="O99" s="1967">
        <f>+'Stock Rawmaterial'!J1123</f>
        <v>0</v>
      </c>
      <c r="P99" s="287"/>
      <c r="Q99" s="287"/>
      <c r="R99" s="478"/>
      <c r="S99" s="338"/>
      <c r="T99" s="479"/>
    </row>
    <row r="100" spans="1:20" s="409" customFormat="1" ht="30" customHeight="1" x14ac:dyDescent="0.2">
      <c r="A100" s="2251"/>
      <c r="B100" s="2254"/>
      <c r="C100" s="129" t="str">
        <f>+'Stock Rawmaterial'!C1124</f>
        <v>E1</v>
      </c>
      <c r="D100" s="881" t="str">
        <f>+'Stock Rawmaterial'!D1124</f>
        <v>Rec.</v>
      </c>
      <c r="E100" s="882">
        <f>+'Stock Rawmaterial'!E1124</f>
        <v>46247</v>
      </c>
      <c r="F100" s="71">
        <f>+'Stock Rawmaterial'!F1124</f>
        <v>39</v>
      </c>
      <c r="G100" s="1953">
        <v>46861</v>
      </c>
      <c r="H100" s="80">
        <f>+'Stock Rawmaterial'!G1124</f>
        <v>0</v>
      </c>
      <c r="I100" s="80">
        <f>+'Stock Rawmaterial'!H1124</f>
        <v>0</v>
      </c>
      <c r="J100" s="80">
        <f>+'Stock Rawmaterial'!I1124</f>
        <v>0</v>
      </c>
      <c r="K100" s="1603">
        <f>+'Stock Rawmaterial'!J1124</f>
        <v>0</v>
      </c>
      <c r="L100" s="1604">
        <f>+'Stock Rawmaterial'!K1124</f>
        <v>0</v>
      </c>
      <c r="M100" s="1575">
        <f>+'Stock Rawmaterial'!L1124</f>
        <v>0</v>
      </c>
      <c r="N100" s="287"/>
      <c r="O100" s="1967">
        <f>+'Stock Rawmaterial'!J1124</f>
        <v>0</v>
      </c>
      <c r="P100" s="287"/>
      <c r="Q100" s="287"/>
      <c r="R100" s="478"/>
      <c r="S100" s="338"/>
      <c r="T100" s="479"/>
    </row>
    <row r="101" spans="1:20" s="409" customFormat="1" ht="30" customHeight="1" x14ac:dyDescent="0.2">
      <c r="A101" s="2251"/>
      <c r="B101" s="2254"/>
      <c r="C101" s="129" t="str">
        <f>+'Stock Rawmaterial'!C1125</f>
        <v>E1</v>
      </c>
      <c r="D101" s="881" t="str">
        <f>+'Stock Rawmaterial'!D1125</f>
        <v>Rec.</v>
      </c>
      <c r="E101" s="882">
        <f>+'Stock Rawmaterial'!E1125</f>
        <v>46254</v>
      </c>
      <c r="F101" s="71">
        <f>+'Stock Rawmaterial'!F1125</f>
        <v>32</v>
      </c>
      <c r="G101" s="1953">
        <v>46870</v>
      </c>
      <c r="H101" s="80">
        <f>+'Stock Rawmaterial'!G1125</f>
        <v>820</v>
      </c>
      <c r="I101" s="80">
        <f>+'Stock Rawmaterial'!H1125</f>
        <v>0</v>
      </c>
      <c r="J101" s="80">
        <f>+'Stock Rawmaterial'!I1125</f>
        <v>0</v>
      </c>
      <c r="K101" s="1603">
        <f>+'Stock Rawmaterial'!J1125</f>
        <v>0</v>
      </c>
      <c r="L101" s="1604">
        <f>+'Stock Rawmaterial'!K1125</f>
        <v>20</v>
      </c>
      <c r="M101" s="1575">
        <f>+'Stock Rawmaterial'!L1125</f>
        <v>800</v>
      </c>
      <c r="N101" s="1273"/>
      <c r="O101" s="1966">
        <f>+'Stock Rawmaterial'!J1125</f>
        <v>0</v>
      </c>
      <c r="P101" s="287"/>
      <c r="Q101" s="287"/>
      <c r="R101" s="478"/>
      <c r="S101" s="338"/>
      <c r="T101" s="479"/>
    </row>
    <row r="102" spans="1:20" s="409" customFormat="1" ht="30" customHeight="1" x14ac:dyDescent="0.2">
      <c r="A102" s="2251"/>
      <c r="B102" s="2289"/>
      <c r="C102" s="129" t="str">
        <f>+'Stock Rawmaterial'!C1126</f>
        <v>E1</v>
      </c>
      <c r="D102" s="881" t="str">
        <f>+'Stock Rawmaterial'!D1126</f>
        <v>Rec.</v>
      </c>
      <c r="E102" s="882">
        <f>+'Stock Rawmaterial'!E1126</f>
        <v>46275</v>
      </c>
      <c r="F102" s="71">
        <f>+'Stock Rawmaterial'!F1126</f>
        <v>11</v>
      </c>
      <c r="G102" s="1953">
        <v>46906</v>
      </c>
      <c r="H102" s="80">
        <f>+'Stock Rawmaterial'!G1126</f>
        <v>1000</v>
      </c>
      <c r="I102" s="80">
        <f>+'Stock Rawmaterial'!H1126</f>
        <v>0</v>
      </c>
      <c r="J102" s="80">
        <f>+'Stock Rawmaterial'!I1126</f>
        <v>0</v>
      </c>
      <c r="K102" s="1603">
        <f>+'Stock Rawmaterial'!J1126</f>
        <v>0</v>
      </c>
      <c r="L102" s="1604">
        <f>+'Stock Rawmaterial'!K1126</f>
        <v>0</v>
      </c>
      <c r="M102" s="1575">
        <f>+'Stock Rawmaterial'!L1126</f>
        <v>1000</v>
      </c>
      <c r="N102" s="1273"/>
      <c r="O102" s="333">
        <f>+'Stock Rawmaterial'!J1126</f>
        <v>0</v>
      </c>
      <c r="P102" s="287"/>
      <c r="Q102" s="287"/>
      <c r="R102" s="478"/>
      <c r="S102" s="338"/>
      <c r="T102" s="479"/>
    </row>
    <row r="103" spans="1:20" s="401" customFormat="1" ht="30" customHeight="1" x14ac:dyDescent="0.2">
      <c r="A103" s="2252"/>
      <c r="B103" s="2255"/>
      <c r="C103" s="1835" t="str">
        <f>+'Stock Rawmaterial'!C1127</f>
        <v>Feedmill</v>
      </c>
      <c r="D103" s="1690" t="str">
        <f>+'Stock Rawmaterial'!D1127</f>
        <v>Rec.</v>
      </c>
      <c r="E103" s="1695">
        <f>+'Stock Rawmaterial'!E1127</f>
        <v>46254</v>
      </c>
      <c r="F103" s="938">
        <f>+'Stock Rawmaterial'!F1127</f>
        <v>32</v>
      </c>
      <c r="G103" s="1954">
        <v>46972</v>
      </c>
      <c r="H103" s="80">
        <f>+'Stock Rawmaterial'!G1127</f>
        <v>102.34999999999997</v>
      </c>
      <c r="I103" s="80">
        <f>+'Stock Rawmaterial'!H1127</f>
        <v>0</v>
      </c>
      <c r="J103" s="80">
        <f>+'Stock Rawmaterial'!I1127</f>
        <v>20</v>
      </c>
      <c r="K103" s="1603">
        <f>+'Stock Rawmaterial'!J1127</f>
        <v>42.05</v>
      </c>
      <c r="L103" s="1604">
        <f>+'Stock Rawmaterial'!K1127</f>
        <v>0</v>
      </c>
      <c r="M103" s="1575">
        <f>+'Stock Rawmaterial'!L1127</f>
        <v>80.299999999999969</v>
      </c>
      <c r="N103" s="1274"/>
      <c r="O103" s="1274"/>
      <c r="P103" s="287"/>
      <c r="Q103" s="287">
        <f>+'Stock Rawmaterial'!K1127</f>
        <v>0</v>
      </c>
      <c r="R103" s="469"/>
      <c r="S103" s="437"/>
      <c r="T103" s="470"/>
    </row>
    <row r="104" spans="1:20" s="265" customFormat="1" ht="30" customHeight="1" x14ac:dyDescent="0.2">
      <c r="A104" s="2019" t="s">
        <v>75</v>
      </c>
      <c r="B104" s="2020"/>
      <c r="C104" s="88"/>
      <c r="D104" s="864"/>
      <c r="E104" s="864">
        <f>+'Stock Rawmaterial'!E1128</f>
        <v>0</v>
      </c>
      <c r="F104" s="865"/>
      <c r="G104" s="1824"/>
      <c r="H104" s="231">
        <f>SUM(H97:H103)</f>
        <v>1922.35</v>
      </c>
      <c r="I104" s="231">
        <f t="shared" ref="I104:M104" si="12">SUM(I97:I103)</f>
        <v>0</v>
      </c>
      <c r="J104" s="231">
        <f t="shared" si="12"/>
        <v>20</v>
      </c>
      <c r="K104" s="231">
        <f t="shared" si="12"/>
        <v>42.05</v>
      </c>
      <c r="L104" s="231">
        <f t="shared" si="12"/>
        <v>20</v>
      </c>
      <c r="M104" s="231">
        <f t="shared" si="12"/>
        <v>1880.3</v>
      </c>
      <c r="N104" s="133">
        <f>'Stock Rawmaterial'!M1128</f>
        <v>126.2</v>
      </c>
      <c r="O104" s="133">
        <f>'Stock Rawmaterial'!N1128</f>
        <v>14.899366085578446</v>
      </c>
      <c r="P104" s="133">
        <f>'Stock Rawmaterial'!O1128</f>
        <v>65</v>
      </c>
      <c r="Q104" s="133">
        <f>'Stock Rawmaterial'!P1128</f>
        <v>28.927692307692308</v>
      </c>
      <c r="R104" s="466"/>
      <c r="S104" s="264"/>
      <c r="T104" s="467"/>
    </row>
    <row r="105" spans="1:20" s="409" customFormat="1" ht="30" hidden="1" customHeight="1" x14ac:dyDescent="0.2">
      <c r="A105" s="2250" t="str">
        <f>IF(M109=0,"",MAX($A$15:A104)+1)</f>
        <v/>
      </c>
      <c r="B105" s="2253" t="s">
        <v>1574</v>
      </c>
      <c r="C105" s="129">
        <f>+'Stock Rawmaterial'!C1129</f>
        <v>0</v>
      </c>
      <c r="D105" s="881" t="str">
        <f>+'Stock Rawmaterial'!D1129</f>
        <v>Rec.</v>
      </c>
      <c r="E105" s="882">
        <f>+'Stock Rawmaterial'!E1129</f>
        <v>46132</v>
      </c>
      <c r="F105" s="71">
        <f>+'Stock Rawmaterial'!F1129</f>
        <v>154</v>
      </c>
      <c r="G105" s="1829">
        <v>46861</v>
      </c>
      <c r="H105" s="80">
        <f>+'Stock Rawmaterial'!G1129</f>
        <v>0</v>
      </c>
      <c r="I105" s="80">
        <f>+'Stock Rawmaterial'!H1129</f>
        <v>0</v>
      </c>
      <c r="J105" s="80">
        <f>+'Stock Rawmaterial'!I1129</f>
        <v>0</v>
      </c>
      <c r="K105" s="1603">
        <f>+'Stock Rawmaterial'!J1129</f>
        <v>0</v>
      </c>
      <c r="L105" s="1604">
        <f>+'Stock Rawmaterial'!K1129</f>
        <v>0</v>
      </c>
      <c r="M105" s="1671">
        <f>+'Stock Rawmaterial'!L1129</f>
        <v>0</v>
      </c>
      <c r="N105" s="162">
        <f>+'Stock Rawmaterial'!M1129</f>
        <v>0</v>
      </c>
      <c r="O105" s="336">
        <f>+'Stock Rawmaterial'!J1129</f>
        <v>0</v>
      </c>
      <c r="P105" s="336"/>
      <c r="Q105" s="336"/>
      <c r="R105" s="478"/>
      <c r="S105" s="338"/>
      <c r="T105" s="479"/>
    </row>
    <row r="106" spans="1:20" s="409" customFormat="1" ht="30" hidden="1" customHeight="1" x14ac:dyDescent="0.2">
      <c r="A106" s="2251"/>
      <c r="B106" s="2254"/>
      <c r="C106" s="129">
        <f>+'Stock Rawmaterial'!C1130</f>
        <v>0</v>
      </c>
      <c r="D106" s="881" t="str">
        <f>+'Stock Rawmaterial'!D1130</f>
        <v>Rec.</v>
      </c>
      <c r="E106" s="882">
        <f>+'Stock Rawmaterial'!E1130</f>
        <v>45268</v>
      </c>
      <c r="F106" s="71">
        <f>+'Stock Rawmaterial'!F1130</f>
        <v>1018</v>
      </c>
      <c r="G106" s="71"/>
      <c r="H106" s="80">
        <f>+'Stock Rawmaterial'!G1130</f>
        <v>0</v>
      </c>
      <c r="I106" s="80">
        <f>+'Stock Rawmaterial'!H1130</f>
        <v>0</v>
      </c>
      <c r="J106" s="80">
        <f>+'Stock Rawmaterial'!I1130</f>
        <v>0</v>
      </c>
      <c r="K106" s="1603">
        <f>+'Stock Rawmaterial'!J1130</f>
        <v>0</v>
      </c>
      <c r="L106" s="1604">
        <f>+'Stock Rawmaterial'!K1130</f>
        <v>0</v>
      </c>
      <c r="M106" s="1575">
        <f>+'Stock Rawmaterial'!L1130</f>
        <v>0</v>
      </c>
      <c r="N106" s="162"/>
      <c r="O106" s="336">
        <f>+'Stock Rawmaterial'!J1130</f>
        <v>0</v>
      </c>
      <c r="P106" s="287"/>
      <c r="Q106" s="287">
        <f>+'Stock Rawmaterial'!K1130</f>
        <v>0</v>
      </c>
      <c r="R106" s="478"/>
      <c r="S106" s="338"/>
      <c r="T106" s="479"/>
    </row>
    <row r="107" spans="1:20" s="409" customFormat="1" ht="30" hidden="1" customHeight="1" x14ac:dyDescent="0.2">
      <c r="A107" s="2251"/>
      <c r="B107" s="2254"/>
      <c r="C107" s="129">
        <f>+'Stock Rawmaterial'!C1131</f>
        <v>0</v>
      </c>
      <c r="D107" s="881" t="str">
        <f>+'Stock Rawmaterial'!D1131</f>
        <v>Rec.</v>
      </c>
      <c r="E107" s="882">
        <f>+'Stock Rawmaterial'!E1131</f>
        <v>43021</v>
      </c>
      <c r="F107" s="71">
        <f>+'Stock Rawmaterial'!F1131</f>
        <v>3265</v>
      </c>
      <c r="G107" s="71"/>
      <c r="H107" s="80">
        <f>+'Stock Rawmaterial'!G1131</f>
        <v>0</v>
      </c>
      <c r="I107" s="80">
        <f>+'Stock Rawmaterial'!H1131</f>
        <v>0</v>
      </c>
      <c r="J107" s="80">
        <f>+'Stock Rawmaterial'!I1131</f>
        <v>0</v>
      </c>
      <c r="K107" s="1603">
        <f>+'Stock Rawmaterial'!J1131</f>
        <v>0</v>
      </c>
      <c r="L107" s="1604">
        <f>+'Stock Rawmaterial'!K1131</f>
        <v>0</v>
      </c>
      <c r="M107" s="1575">
        <f>+'Stock Rawmaterial'!L1131</f>
        <v>0</v>
      </c>
      <c r="N107" s="287"/>
      <c r="O107" s="336">
        <f>+'Stock Rawmaterial'!J1131</f>
        <v>0</v>
      </c>
      <c r="P107" s="287"/>
      <c r="Q107" s="287">
        <f>+'Stock Rawmaterial'!K1131</f>
        <v>0</v>
      </c>
      <c r="R107" s="478"/>
      <c r="S107" s="338"/>
      <c r="T107" s="479"/>
    </row>
    <row r="108" spans="1:20" s="401" customFormat="1" ht="30" hidden="1" customHeight="1" x14ac:dyDescent="0.2">
      <c r="A108" s="2252"/>
      <c r="B108" s="2255"/>
      <c r="C108" s="1153" t="str">
        <f>+'Stock Rawmaterial'!C1132</f>
        <v>Feedmill</v>
      </c>
      <c r="D108" s="1690" t="str">
        <f>+'Stock Rawmaterial'!D1132</f>
        <v>Rec.</v>
      </c>
      <c r="E108" s="1695">
        <f>+'Stock Rawmaterial'!E1132</f>
        <v>46132</v>
      </c>
      <c r="F108" s="71">
        <f>+'Stock Rawmaterial'!F1132</f>
        <v>154</v>
      </c>
      <c r="G108" s="1829">
        <v>46861</v>
      </c>
      <c r="H108" s="80">
        <f>+'Stock Rawmaterial'!G1132</f>
        <v>0</v>
      </c>
      <c r="I108" s="80">
        <f>+'Stock Rawmaterial'!H1132</f>
        <v>0</v>
      </c>
      <c r="J108" s="80">
        <f>+'Stock Rawmaterial'!I1132</f>
        <v>0</v>
      </c>
      <c r="K108" s="1603">
        <f>+'Stock Rawmaterial'!J1132</f>
        <v>0</v>
      </c>
      <c r="L108" s="1604">
        <f>+'Stock Rawmaterial'!K1132</f>
        <v>0</v>
      </c>
      <c r="M108" s="1575">
        <f>+'Stock Rawmaterial'!L1132</f>
        <v>0</v>
      </c>
      <c r="N108" s="1274"/>
      <c r="O108" s="1274"/>
      <c r="P108" s="287"/>
      <c r="Q108" s="287">
        <f>+'Stock Rawmaterial'!K1132</f>
        <v>0</v>
      </c>
      <c r="R108" s="469"/>
      <c r="S108" s="437"/>
      <c r="T108" s="470"/>
    </row>
    <row r="109" spans="1:20" s="265" customFormat="1" ht="30" hidden="1" customHeight="1" x14ac:dyDescent="0.2">
      <c r="A109" s="2019" t="s">
        <v>1575</v>
      </c>
      <c r="B109" s="2020"/>
      <c r="C109" s="88"/>
      <c r="D109" s="864"/>
      <c r="E109" s="864">
        <f>+'Stock Rawmaterial'!E1133</f>
        <v>0</v>
      </c>
      <c r="F109" s="865"/>
      <c r="G109" s="931"/>
      <c r="H109" s="231">
        <f t="shared" ref="H109:M109" si="13">SUM(H105:H108)</f>
        <v>0</v>
      </c>
      <c r="I109" s="231">
        <f t="shared" si="13"/>
        <v>0</v>
      </c>
      <c r="J109" s="231">
        <f t="shared" si="13"/>
        <v>0</v>
      </c>
      <c r="K109" s="231">
        <f t="shared" si="13"/>
        <v>0</v>
      </c>
      <c r="L109" s="231">
        <f t="shared" si="13"/>
        <v>0</v>
      </c>
      <c r="M109" s="231">
        <f t="shared" si="13"/>
        <v>0</v>
      </c>
      <c r="N109" s="133" t="str">
        <f>'Stock Rawmaterial'!M1133</f>
        <v/>
      </c>
      <c r="O109" s="133">
        <f>'Stock Rawmaterial'!N1133</f>
        <v>0</v>
      </c>
      <c r="P109" s="133">
        <f>'Stock Rawmaterial'!O1133</f>
        <v>34.666666666666664</v>
      </c>
      <c r="Q109" s="133">
        <f>'Stock Rawmaterial'!P1133</f>
        <v>0</v>
      </c>
      <c r="R109" s="466"/>
      <c r="S109" s="264"/>
      <c r="T109" s="467"/>
    </row>
    <row r="110" spans="1:20" s="265" customFormat="1" ht="30" hidden="1" customHeight="1" x14ac:dyDescent="0.2">
      <c r="A110" s="2027" t="str">
        <f>IF(M115=0,"",MAX($A$15:A104)+1)</f>
        <v/>
      </c>
      <c r="B110" s="2153" t="s">
        <v>408</v>
      </c>
      <c r="C110" s="139">
        <f>+'Stock Rawmaterial'!C1151</f>
        <v>0</v>
      </c>
      <c r="D110" s="881" t="s">
        <v>10</v>
      </c>
      <c r="E110" s="882">
        <f>+'Stock Rawmaterial'!E1151</f>
        <v>44861</v>
      </c>
      <c r="F110" s="71" t="e">
        <f>#REF!-E110</f>
        <v>#REF!</v>
      </c>
      <c r="G110" s="71"/>
      <c r="H110" s="1605"/>
      <c r="I110" s="1589"/>
      <c r="J110" s="1590"/>
      <c r="K110" s="80"/>
      <c r="L110" s="80">
        <f>+'Stock Rawmaterial'!H1151</f>
        <v>0</v>
      </c>
      <c r="M110" s="80">
        <f>+'Stock Rawmaterial'!I1151</f>
        <v>0</v>
      </c>
      <c r="N110" s="287"/>
      <c r="O110" s="1635"/>
      <c r="P110" s="287"/>
      <c r="Q110" s="287">
        <f>+'Stock Rawmaterial'!K1151</f>
        <v>0</v>
      </c>
      <c r="R110" s="466"/>
      <c r="S110" s="264"/>
      <c r="T110" s="467"/>
    </row>
    <row r="111" spans="1:20" s="265" customFormat="1" ht="30" hidden="1" customHeight="1" x14ac:dyDescent="0.2">
      <c r="A111" s="2028"/>
      <c r="B111" s="2155"/>
      <c r="C111" s="127" t="str">
        <f>+'Stock Rawmaterial'!C1152</f>
        <v>V5.1</v>
      </c>
      <c r="D111" s="881" t="s">
        <v>10</v>
      </c>
      <c r="E111" s="882">
        <f>+'Stock Rawmaterial'!E1152</f>
        <v>45205</v>
      </c>
      <c r="F111" s="71" t="e">
        <f>#REF!-E111</f>
        <v>#REF!</v>
      </c>
      <c r="G111" s="71"/>
      <c r="H111" s="1605"/>
      <c r="I111" s="1589"/>
      <c r="J111" s="1590"/>
      <c r="K111" s="80"/>
      <c r="L111" s="80">
        <f>+'Stock Rawmaterial'!H1152</f>
        <v>0</v>
      </c>
      <c r="M111" s="80">
        <f>+'Stock Rawmaterial'!I1152</f>
        <v>0</v>
      </c>
      <c r="N111" s="287"/>
      <c r="O111" s="1635"/>
      <c r="P111" s="287"/>
      <c r="Q111" s="287">
        <f>+'Stock Rawmaterial'!K1152</f>
        <v>0</v>
      </c>
      <c r="R111" s="466"/>
      <c r="S111" s="264"/>
      <c r="T111" s="467"/>
    </row>
    <row r="112" spans="1:20" s="265" customFormat="1" ht="30" hidden="1" customHeight="1" x14ac:dyDescent="0.2">
      <c r="A112" s="2028"/>
      <c r="B112" s="2155"/>
      <c r="C112" s="127"/>
      <c r="D112" s="881" t="s">
        <v>10</v>
      </c>
      <c r="E112" s="882">
        <f>+'Stock Rawmaterial'!E1153</f>
        <v>45205</v>
      </c>
      <c r="F112" s="71" t="e">
        <f>#REF!-E112</f>
        <v>#REF!</v>
      </c>
      <c r="G112" s="71"/>
      <c r="H112" s="1605"/>
      <c r="I112" s="1589"/>
      <c r="J112" s="1590"/>
      <c r="K112" s="80"/>
      <c r="L112" s="80">
        <f>'Stock Rawmaterial'!H1153</f>
        <v>0</v>
      </c>
      <c r="M112" s="80">
        <f>+'Stock Rawmaterial'!I1153</f>
        <v>0</v>
      </c>
      <c r="N112" s="287"/>
      <c r="O112" s="1635"/>
      <c r="P112" s="287"/>
      <c r="Q112" s="287">
        <f>+'Stock Rawmaterial'!K1153</f>
        <v>0</v>
      </c>
      <c r="R112" s="466"/>
      <c r="S112" s="264"/>
      <c r="T112" s="467"/>
    </row>
    <row r="113" spans="1:20" s="265" customFormat="1" ht="30" hidden="1" customHeight="1" x14ac:dyDescent="0.2">
      <c r="A113" s="2028"/>
      <c r="B113" s="2155"/>
      <c r="C113" s="127">
        <f>+'Stock Rawmaterial'!C1154</f>
        <v>0</v>
      </c>
      <c r="D113" s="881" t="s">
        <v>10</v>
      </c>
      <c r="E113" s="882">
        <f>+'Stock Rawmaterial'!E1154</f>
        <v>45205</v>
      </c>
      <c r="F113" s="71" t="e">
        <f>#REF!-E113</f>
        <v>#REF!</v>
      </c>
      <c r="G113" s="71"/>
      <c r="H113" s="1605"/>
      <c r="I113" s="1589"/>
      <c r="J113" s="1590"/>
      <c r="K113" s="80"/>
      <c r="L113" s="80">
        <f>+'Stock Rawmaterial'!H1154</f>
        <v>0</v>
      </c>
      <c r="M113" s="80">
        <f>+'Stock Rawmaterial'!I1154</f>
        <v>0</v>
      </c>
      <c r="N113" s="287"/>
      <c r="O113" s="1635"/>
      <c r="P113" s="287"/>
      <c r="Q113" s="287">
        <f>+'Stock Rawmaterial'!K1154</f>
        <v>0</v>
      </c>
      <c r="R113" s="466"/>
      <c r="S113" s="264"/>
      <c r="T113" s="467"/>
    </row>
    <row r="114" spans="1:20" s="418" customFormat="1" ht="30" hidden="1" customHeight="1" x14ac:dyDescent="0.2">
      <c r="A114" s="2029"/>
      <c r="B114" s="2157"/>
      <c r="C114" s="61" t="str">
        <f>+'Stock Rawmaterial'!C1155</f>
        <v>Feedmil</v>
      </c>
      <c r="D114" s="863" t="s">
        <v>10</v>
      </c>
      <c r="E114" s="886">
        <f>+'Stock Rawmaterial'!E1155</f>
        <v>45205</v>
      </c>
      <c r="F114" s="39" t="e">
        <f>#REF!-E114</f>
        <v>#REF!</v>
      </c>
      <c r="G114" s="1676"/>
      <c r="H114" s="1606"/>
      <c r="I114" s="1593"/>
      <c r="J114" s="1599"/>
      <c r="K114" s="1583"/>
      <c r="L114" s="80">
        <f>+'Stock Rawmaterial'!H1155</f>
        <v>0</v>
      </c>
      <c r="M114" s="1583">
        <f>+'Stock Rawmaterial'!I1155</f>
        <v>0</v>
      </c>
      <c r="N114" s="329"/>
      <c r="O114" s="282">
        <f>+usage!I115</f>
        <v>0</v>
      </c>
      <c r="P114" s="329"/>
      <c r="Q114" s="287">
        <f>+'Stock Rawmaterial'!K1155</f>
        <v>0</v>
      </c>
      <c r="R114" s="492"/>
      <c r="S114" s="493"/>
      <c r="T114" s="494"/>
    </row>
    <row r="115" spans="1:20" s="265" customFormat="1" ht="30" hidden="1" customHeight="1" x14ac:dyDescent="0.2">
      <c r="A115" s="845"/>
      <c r="B115" s="845" t="s">
        <v>458</v>
      </c>
      <c r="C115" s="88"/>
      <c r="D115" s="930"/>
      <c r="E115" s="1003"/>
      <c r="F115" s="1003"/>
      <c r="G115" s="1003"/>
      <c r="H115" s="1600"/>
      <c r="I115" s="537"/>
      <c r="J115" s="1607"/>
      <c r="K115" s="230">
        <f>+SUM(K110:K114)</f>
        <v>0</v>
      </c>
      <c r="L115" s="231">
        <f t="shared" ref="L115:M115" si="14">SUM(L110:L114)</f>
        <v>0</v>
      </c>
      <c r="M115" s="230">
        <f t="shared" si="14"/>
        <v>0</v>
      </c>
      <c r="N115" s="133">
        <v>0</v>
      </c>
      <c r="O115" s="133">
        <f t="shared" ref="O115:Q115" si="15">+SUM(O110:O114)</f>
        <v>0</v>
      </c>
      <c r="P115" s="133">
        <f t="shared" si="15"/>
        <v>0</v>
      </c>
      <c r="Q115" s="133">
        <f t="shared" si="15"/>
        <v>0</v>
      </c>
      <c r="R115" s="466"/>
      <c r="S115" s="264"/>
      <c r="T115" s="467"/>
    </row>
    <row r="116" spans="1:20" s="414" customFormat="1" ht="30" customHeight="1" x14ac:dyDescent="0.2">
      <c r="A116" s="2027">
        <f>IF(M122=0,"",MAX($A$15:A115)+1)</f>
        <v>7</v>
      </c>
      <c r="B116" s="2269" t="s">
        <v>277</v>
      </c>
      <c r="C116" s="127" t="str">
        <f>'Stock Rawmaterial'!C1157</f>
        <v>E3</v>
      </c>
      <c r="D116" s="866" t="str">
        <f>'Stock Rawmaterial'!D1157</f>
        <v>Rec.</v>
      </c>
      <c r="E116" s="867">
        <f>'Stock Rawmaterial'!E1157</f>
        <v>46283</v>
      </c>
      <c r="F116" s="75">
        <f>'Stock Rawmaterial'!F1157</f>
        <v>3</v>
      </c>
      <c r="G116" s="1688">
        <v>46609</v>
      </c>
      <c r="H116" s="80">
        <f>'Stock Rawmaterial'!G1157</f>
        <v>0</v>
      </c>
      <c r="I116" s="80">
        <f>'Stock Rawmaterial'!H1157</f>
        <v>0</v>
      </c>
      <c r="J116" s="80">
        <f>'Stock Rawmaterial'!I1157</f>
        <v>0</v>
      </c>
      <c r="K116" s="1574">
        <f>'Stock Rawmaterial'!J1157</f>
        <v>0</v>
      </c>
      <c r="L116" s="1604">
        <f>'Stock Rawmaterial'!K1157</f>
        <v>0</v>
      </c>
      <c r="M116" s="1671">
        <f>'Stock Rawmaterial'!L1157</f>
        <v>0</v>
      </c>
      <c r="N116" s="163"/>
      <c r="O116" s="1635"/>
      <c r="P116" s="287"/>
      <c r="Q116" s="287"/>
      <c r="R116" s="480"/>
      <c r="S116" s="481"/>
      <c r="T116" s="482"/>
    </row>
    <row r="117" spans="1:20" s="414" customFormat="1" ht="30" hidden="1" customHeight="1" x14ac:dyDescent="0.2">
      <c r="A117" s="2028"/>
      <c r="B117" s="2269"/>
      <c r="C117" s="127">
        <f>'Stock Rawmaterial'!C1158</f>
        <v>0</v>
      </c>
      <c r="D117" s="866" t="str">
        <f>'Stock Rawmaterial'!D1158</f>
        <v>Rec.</v>
      </c>
      <c r="E117" s="867">
        <f>'Stock Rawmaterial'!E1158</f>
        <v>45758</v>
      </c>
      <c r="F117" s="75">
        <f>'Stock Rawmaterial'!F1158</f>
        <v>528</v>
      </c>
      <c r="G117" s="1687">
        <v>46385</v>
      </c>
      <c r="H117" s="80">
        <f>'Stock Rawmaterial'!G1158</f>
        <v>0</v>
      </c>
      <c r="I117" s="80">
        <f>'Stock Rawmaterial'!H1158</f>
        <v>0</v>
      </c>
      <c r="J117" s="80">
        <f>'Stock Rawmaterial'!I1158</f>
        <v>0</v>
      </c>
      <c r="K117" s="1574">
        <f>'Stock Rawmaterial'!J1158</f>
        <v>0</v>
      </c>
      <c r="L117" s="1604">
        <f>'Stock Rawmaterial'!K1158</f>
        <v>0</v>
      </c>
      <c r="M117" s="1671">
        <f>'Stock Rawmaterial'!L1158</f>
        <v>0</v>
      </c>
      <c r="N117" s="287"/>
      <c r="O117" s="1635"/>
      <c r="P117" s="287"/>
      <c r="Q117" s="287"/>
      <c r="R117" s="480"/>
      <c r="S117" s="481"/>
      <c r="T117" s="482"/>
    </row>
    <row r="118" spans="1:20" s="414" customFormat="1" ht="30" hidden="1" customHeight="1" x14ac:dyDescent="0.2">
      <c r="A118" s="2028"/>
      <c r="B118" s="2269"/>
      <c r="C118" s="127">
        <f>'Stock Rawmaterial'!C1159</f>
        <v>0</v>
      </c>
      <c r="D118" s="866" t="str">
        <f>'Stock Rawmaterial'!D1159</f>
        <v>Rec.</v>
      </c>
      <c r="E118" s="867">
        <f>'Stock Rawmaterial'!E1159</f>
        <v>45660</v>
      </c>
      <c r="F118" s="75">
        <f>'Stock Rawmaterial'!F1159</f>
        <v>626</v>
      </c>
      <c r="G118" s="1687">
        <v>46121</v>
      </c>
      <c r="H118" s="80">
        <f>'Stock Rawmaterial'!G1159</f>
        <v>0</v>
      </c>
      <c r="I118" s="80">
        <f>'Stock Rawmaterial'!H1159</f>
        <v>0</v>
      </c>
      <c r="J118" s="80">
        <f>'Stock Rawmaterial'!I1159</f>
        <v>0</v>
      </c>
      <c r="K118" s="1574">
        <f>'Stock Rawmaterial'!J1159</f>
        <v>0</v>
      </c>
      <c r="L118" s="1604">
        <f>'Stock Rawmaterial'!K1159</f>
        <v>0</v>
      </c>
      <c r="M118" s="1671">
        <f>'Stock Rawmaterial'!L1159</f>
        <v>0</v>
      </c>
      <c r="N118" s="287"/>
      <c r="O118" s="1635"/>
      <c r="P118" s="287"/>
      <c r="Q118" s="287"/>
      <c r="R118" s="480"/>
      <c r="S118" s="481"/>
      <c r="T118" s="482"/>
    </row>
    <row r="119" spans="1:20" s="414" customFormat="1" ht="30" hidden="1" customHeight="1" x14ac:dyDescent="0.2">
      <c r="A119" s="2028"/>
      <c r="B119" s="2269"/>
      <c r="C119" s="127">
        <f>'Stock Rawmaterial'!C1160</f>
        <v>0</v>
      </c>
      <c r="D119" s="866" t="str">
        <f>'Stock Rawmaterial'!D1160</f>
        <v>Rec.</v>
      </c>
      <c r="E119" s="867">
        <f>'Stock Rawmaterial'!E1160</f>
        <v>45638</v>
      </c>
      <c r="F119" s="75">
        <f>'Stock Rawmaterial'!F1160</f>
        <v>648</v>
      </c>
      <c r="G119" s="1687">
        <v>46121</v>
      </c>
      <c r="H119" s="80">
        <f>'Stock Rawmaterial'!G1160</f>
        <v>0</v>
      </c>
      <c r="I119" s="80">
        <f>'Stock Rawmaterial'!H1160</f>
        <v>0</v>
      </c>
      <c r="J119" s="80">
        <f>'Stock Rawmaterial'!I1160</f>
        <v>0</v>
      </c>
      <c r="K119" s="1574">
        <f>'Stock Rawmaterial'!J1160</f>
        <v>0</v>
      </c>
      <c r="L119" s="1604">
        <f>'Stock Rawmaterial'!K1160</f>
        <v>0</v>
      </c>
      <c r="M119" s="1671">
        <f>'Stock Rawmaterial'!L1160</f>
        <v>0</v>
      </c>
      <c r="N119" s="287"/>
      <c r="O119" s="1635"/>
      <c r="P119" s="287"/>
      <c r="Q119" s="287"/>
      <c r="R119" s="480"/>
      <c r="S119" s="481"/>
      <c r="T119" s="482"/>
    </row>
    <row r="120" spans="1:20" s="414" customFormat="1" ht="30" hidden="1" customHeight="1" x14ac:dyDescent="0.2">
      <c r="A120" s="2028"/>
      <c r="B120" s="2269"/>
      <c r="C120" s="127">
        <f>'Stock Rawmaterial'!C1161</f>
        <v>0</v>
      </c>
      <c r="D120" s="866" t="str">
        <f>'Stock Rawmaterial'!D1161</f>
        <v>Rec.</v>
      </c>
      <c r="E120" s="867">
        <f>'Stock Rawmaterial'!E1161</f>
        <v>43412</v>
      </c>
      <c r="F120" s="75">
        <f>'Stock Rawmaterial'!F1161</f>
        <v>2874</v>
      </c>
      <c r="G120" s="1681"/>
      <c r="H120" s="80">
        <f>'Stock Rawmaterial'!G1161</f>
        <v>0</v>
      </c>
      <c r="I120" s="80">
        <f>'Stock Rawmaterial'!H1161</f>
        <v>0</v>
      </c>
      <c r="J120" s="80">
        <f>'Stock Rawmaterial'!I1161</f>
        <v>0</v>
      </c>
      <c r="K120" s="1574">
        <f>'Stock Rawmaterial'!J1161</f>
        <v>0</v>
      </c>
      <c r="L120" s="1604">
        <f>'Stock Rawmaterial'!K1161</f>
        <v>0</v>
      </c>
      <c r="M120" s="1671">
        <f>'Stock Rawmaterial'!L1161</f>
        <v>0</v>
      </c>
      <c r="N120" s="287"/>
      <c r="O120" s="1635"/>
      <c r="P120" s="287"/>
      <c r="Q120" s="287"/>
      <c r="R120" s="480"/>
      <c r="S120" s="481"/>
      <c r="T120" s="482"/>
    </row>
    <row r="121" spans="1:20" s="419" customFormat="1" ht="30" customHeight="1" x14ac:dyDescent="0.2">
      <c r="A121" s="2029"/>
      <c r="B121" s="2269"/>
      <c r="C121" s="1747" t="str">
        <f>'Stock Rawmaterial'!C1162</f>
        <v>Feedmill</v>
      </c>
      <c r="D121" s="1154" t="str">
        <f>'Stock Rawmaterial'!D1162</f>
        <v>Rec.</v>
      </c>
      <c r="E121" s="1155">
        <f>'Stock Rawmaterial'!E1162</f>
        <v>46283</v>
      </c>
      <c r="F121" s="566">
        <f>'Stock Rawmaterial'!F1162</f>
        <v>3</v>
      </c>
      <c r="G121" s="1703">
        <v>46609</v>
      </c>
      <c r="H121" s="567">
        <f>'Stock Rawmaterial'!G1162</f>
        <v>25.03</v>
      </c>
      <c r="I121" s="567">
        <f>'Stock Rawmaterial'!H1162</f>
        <v>0</v>
      </c>
      <c r="J121" s="567">
        <f>'Stock Rawmaterial'!I1162</f>
        <v>0</v>
      </c>
      <c r="K121" s="1693">
        <f>'Stock Rawmaterial'!J1162</f>
        <v>6.35</v>
      </c>
      <c r="L121" s="1697">
        <f>'Stock Rawmaterial'!K1162</f>
        <v>0</v>
      </c>
      <c r="M121" s="1694">
        <f>'Stock Rawmaterial'!L1162</f>
        <v>18.68</v>
      </c>
      <c r="N121" s="1005"/>
      <c r="O121" s="1640"/>
      <c r="P121" s="1005"/>
      <c r="Q121" s="287"/>
      <c r="R121" s="495"/>
      <c r="S121" s="496"/>
      <c r="T121" s="497"/>
    </row>
    <row r="122" spans="1:20" s="265" customFormat="1" ht="30" customHeight="1" x14ac:dyDescent="0.2">
      <c r="A122" s="845"/>
      <c r="B122" s="845" t="s">
        <v>179</v>
      </c>
      <c r="C122" s="1749"/>
      <c r="D122" s="930"/>
      <c r="E122" s="930"/>
      <c r="F122" s="931"/>
      <c r="G122" s="931"/>
      <c r="H122" s="230">
        <f t="shared" ref="H122:L122" si="16">SUM(H116:H121)</f>
        <v>25.03</v>
      </c>
      <c r="I122" s="230">
        <f t="shared" si="16"/>
        <v>0</v>
      </c>
      <c r="J122" s="230">
        <f t="shared" si="16"/>
        <v>0</v>
      </c>
      <c r="K122" s="230">
        <f t="shared" si="16"/>
        <v>6.35</v>
      </c>
      <c r="L122" s="230">
        <f t="shared" si="16"/>
        <v>0</v>
      </c>
      <c r="M122" s="230">
        <f>SUM(M116:M121)</f>
        <v>18.68</v>
      </c>
      <c r="N122" s="133">
        <f>'Stock Rawmaterial'!M1163</f>
        <v>1.05</v>
      </c>
      <c r="O122" s="133">
        <f>'Stock Rawmaterial'!N1163</f>
        <v>17.790476190476191</v>
      </c>
      <c r="P122" s="133">
        <f>'Stock Rawmaterial'!O1163</f>
        <v>1.1666666666666667</v>
      </c>
      <c r="Q122" s="133">
        <f>'Stock Rawmaterial'!P1163</f>
        <v>16.011428571428571</v>
      </c>
      <c r="R122" s="466"/>
      <c r="S122" s="264"/>
      <c r="T122" s="467"/>
    </row>
    <row r="123" spans="1:20" s="265" customFormat="1" ht="30" hidden="1" customHeight="1" x14ac:dyDescent="0.2">
      <c r="A123" s="2027" t="str">
        <f>IF(M131=0,"",MAX($A$15:A122)+1)</f>
        <v/>
      </c>
      <c r="B123" s="2269" t="s">
        <v>459</v>
      </c>
      <c r="C123" s="1750" t="str">
        <f>+'Stock Rawmaterial'!C1172</f>
        <v>V7.2</v>
      </c>
      <c r="D123" s="1742" t="s">
        <v>10</v>
      </c>
      <c r="E123" s="888">
        <f>+'Stock Rawmaterial'!E1172</f>
        <v>43630</v>
      </c>
      <c r="F123" s="71" t="e">
        <f>#REF!-E123</f>
        <v>#REF!</v>
      </c>
      <c r="G123" s="1673"/>
      <c r="H123" s="1608"/>
      <c r="I123" s="1591"/>
      <c r="J123" s="1609"/>
      <c r="K123" s="77">
        <f>+'Stock Rawmaterial'!G1172</f>
        <v>0</v>
      </c>
      <c r="L123" s="80">
        <f>+'Stock Rawmaterial'!H1172</f>
        <v>0</v>
      </c>
      <c r="M123" s="80">
        <f>+'Stock Rawmaterial'!I1172</f>
        <v>0</v>
      </c>
      <c r="N123" s="287"/>
      <c r="O123" s="1635"/>
      <c r="P123" s="287"/>
      <c r="Q123" s="287">
        <f>+'Stock Rawmaterial'!K1172</f>
        <v>0</v>
      </c>
      <c r="R123" s="466"/>
      <c r="S123" s="264"/>
      <c r="T123" s="467"/>
    </row>
    <row r="124" spans="1:20" s="265" customFormat="1" ht="30" hidden="1" customHeight="1" x14ac:dyDescent="0.2">
      <c r="A124" s="2028"/>
      <c r="B124" s="2269"/>
      <c r="C124" s="1750" t="str">
        <f>+'Stock Rawmaterial'!C1173</f>
        <v>V7.2</v>
      </c>
      <c r="D124" s="1742" t="s">
        <v>10</v>
      </c>
      <c r="E124" s="888">
        <f>+'Stock Rawmaterial'!E1173</f>
        <v>43630</v>
      </c>
      <c r="F124" s="71" t="e">
        <f>#REF!-E124</f>
        <v>#REF!</v>
      </c>
      <c r="G124" s="1673"/>
      <c r="H124" s="1608"/>
      <c r="I124" s="1591"/>
      <c r="J124" s="1609"/>
      <c r="K124" s="77">
        <f>+'Stock Rawmaterial'!G1173</f>
        <v>0</v>
      </c>
      <c r="L124" s="80">
        <f>+'Stock Rawmaterial'!H1173</f>
        <v>0</v>
      </c>
      <c r="M124" s="80">
        <f>+'Stock Rawmaterial'!I1173</f>
        <v>0</v>
      </c>
      <c r="N124" s="287"/>
      <c r="O124" s="1635"/>
      <c r="P124" s="287"/>
      <c r="Q124" s="287">
        <f>+'Stock Rawmaterial'!K1173</f>
        <v>0</v>
      </c>
      <c r="R124" s="466"/>
      <c r="S124" s="264"/>
      <c r="T124" s="467"/>
    </row>
    <row r="125" spans="1:20" s="265" customFormat="1" ht="30" hidden="1" customHeight="1" x14ac:dyDescent="0.2">
      <c r="A125" s="2028"/>
      <c r="B125" s="2269"/>
      <c r="C125" s="1750" t="str">
        <f>+'Stock Rawmaterial'!C1174</f>
        <v>V7.2</v>
      </c>
      <c r="D125" s="1742" t="s">
        <v>10</v>
      </c>
      <c r="E125" s="888">
        <f>+'Stock Rawmaterial'!E1174</f>
        <v>43630</v>
      </c>
      <c r="F125" s="71" t="e">
        <f>#REF!-E125</f>
        <v>#REF!</v>
      </c>
      <c r="G125" s="1673"/>
      <c r="H125" s="1608"/>
      <c r="I125" s="1591"/>
      <c r="J125" s="1609"/>
      <c r="K125" s="77">
        <f>+'Stock Rawmaterial'!G1174</f>
        <v>0</v>
      </c>
      <c r="L125" s="80">
        <f>+'Stock Rawmaterial'!H1174</f>
        <v>0</v>
      </c>
      <c r="M125" s="80">
        <f>+'Stock Rawmaterial'!I1174</f>
        <v>0</v>
      </c>
      <c r="N125" s="287"/>
      <c r="O125" s="1635"/>
      <c r="P125" s="287"/>
      <c r="Q125" s="287">
        <f>+'Stock Rawmaterial'!K1174</f>
        <v>0</v>
      </c>
      <c r="R125" s="466"/>
      <c r="S125" s="264"/>
      <c r="T125" s="467"/>
    </row>
    <row r="126" spans="1:20" s="265" customFormat="1" ht="30" hidden="1" customHeight="1" x14ac:dyDescent="0.2">
      <c r="A126" s="2028"/>
      <c r="B126" s="2269"/>
      <c r="C126" s="1750" t="str">
        <f>+'Stock Rawmaterial'!C1175</f>
        <v>Z5.1</v>
      </c>
      <c r="D126" s="1742" t="s">
        <v>10</v>
      </c>
      <c r="E126" s="888">
        <f>+'Stock Rawmaterial'!E1175</f>
        <v>43175</v>
      </c>
      <c r="F126" s="71" t="e">
        <f>#REF!-E126</f>
        <v>#REF!</v>
      </c>
      <c r="G126" s="1673"/>
      <c r="H126" s="1608"/>
      <c r="I126" s="1591"/>
      <c r="J126" s="1609"/>
      <c r="K126" s="77">
        <f>+'Stock Rawmaterial'!G1175</f>
        <v>0</v>
      </c>
      <c r="L126" s="80">
        <f>+'Stock Rawmaterial'!H1175</f>
        <v>0</v>
      </c>
      <c r="M126" s="80">
        <f>+'Stock Rawmaterial'!I1175</f>
        <v>0</v>
      </c>
      <c r="N126" s="287"/>
      <c r="O126" s="1635"/>
      <c r="P126" s="287"/>
      <c r="Q126" s="287">
        <f>+'Stock Rawmaterial'!K1175</f>
        <v>0</v>
      </c>
      <c r="R126" s="466"/>
      <c r="S126" s="264"/>
      <c r="T126" s="467"/>
    </row>
    <row r="127" spans="1:20" s="265" customFormat="1" ht="30" hidden="1" customHeight="1" x14ac:dyDescent="0.2">
      <c r="A127" s="2028"/>
      <c r="B127" s="2269"/>
      <c r="C127" s="1750" t="str">
        <f>+'Stock Rawmaterial'!C1176</f>
        <v>Z5.1</v>
      </c>
      <c r="D127" s="1742" t="s">
        <v>10</v>
      </c>
      <c r="E127" s="888">
        <f>+'Stock Rawmaterial'!E1176</f>
        <v>42614</v>
      </c>
      <c r="F127" s="71" t="e">
        <f>#REF!-E127</f>
        <v>#REF!</v>
      </c>
      <c r="G127" s="1673"/>
      <c r="H127" s="1608"/>
      <c r="I127" s="1591"/>
      <c r="J127" s="1609"/>
      <c r="K127" s="77">
        <f>+'Stock Rawmaterial'!G1176</f>
        <v>0</v>
      </c>
      <c r="L127" s="80">
        <f>+'Stock Rawmaterial'!H1176</f>
        <v>0</v>
      </c>
      <c r="M127" s="80">
        <f>+'Stock Rawmaterial'!I1176</f>
        <v>0</v>
      </c>
      <c r="N127" s="287"/>
      <c r="O127" s="1635"/>
      <c r="P127" s="287"/>
      <c r="Q127" s="287">
        <f>+'Stock Rawmaterial'!K1176</f>
        <v>0</v>
      </c>
      <c r="R127" s="466"/>
      <c r="S127" s="264"/>
      <c r="T127" s="467"/>
    </row>
    <row r="128" spans="1:20" s="265" customFormat="1" ht="30" hidden="1" customHeight="1" x14ac:dyDescent="0.2">
      <c r="A128" s="2028"/>
      <c r="B128" s="2269"/>
      <c r="C128" s="1750" t="str">
        <f>+'Stock Rawmaterial'!C1177</f>
        <v>Z5.1</v>
      </c>
      <c r="D128" s="1742" t="s">
        <v>10</v>
      </c>
      <c r="E128" s="888">
        <f>+'Stock Rawmaterial'!E1177</f>
        <v>42448</v>
      </c>
      <c r="F128" s="71" t="e">
        <f>#REF!-E128</f>
        <v>#REF!</v>
      </c>
      <c r="G128" s="1673"/>
      <c r="H128" s="1608"/>
      <c r="I128" s="1591"/>
      <c r="J128" s="1609"/>
      <c r="K128" s="77">
        <f>+'Stock Rawmaterial'!G1177</f>
        <v>0</v>
      </c>
      <c r="L128" s="80">
        <f>+'Stock Rawmaterial'!H1177</f>
        <v>0</v>
      </c>
      <c r="M128" s="80">
        <f>+'Stock Rawmaterial'!I1177</f>
        <v>0</v>
      </c>
      <c r="N128" s="287"/>
      <c r="O128" s="1635"/>
      <c r="P128" s="287"/>
      <c r="Q128" s="287">
        <f>+'Stock Rawmaterial'!K1177</f>
        <v>0</v>
      </c>
      <c r="R128" s="466"/>
      <c r="S128" s="264"/>
      <c r="T128" s="467"/>
    </row>
    <row r="129" spans="1:20" s="265" customFormat="1" ht="30" hidden="1" customHeight="1" x14ac:dyDescent="0.2">
      <c r="A129" s="2028"/>
      <c r="B129" s="2269"/>
      <c r="C129" s="1751" t="str">
        <f>+'Stock Rawmaterial'!C1178</f>
        <v>Feedmil</v>
      </c>
      <c r="D129" s="1743" t="s">
        <v>10</v>
      </c>
      <c r="E129" s="1004">
        <f>+'Stock Rawmaterial'!E1178</f>
        <v>43630</v>
      </c>
      <c r="F129" s="1151" t="e">
        <f>#REF!-E129</f>
        <v>#REF!</v>
      </c>
      <c r="G129" s="1677"/>
      <c r="H129" s="1610"/>
      <c r="I129" s="1611"/>
      <c r="J129" s="1599"/>
      <c r="K129" s="508">
        <f>+'Stock Rawmaterial'!G1178</f>
        <v>0</v>
      </c>
      <c r="L129" s="80">
        <f>+'Stock Rawmaterial'!H1178</f>
        <v>0</v>
      </c>
      <c r="M129" s="1583">
        <f>+'Stock Rawmaterial'!I1178</f>
        <v>0</v>
      </c>
      <c r="N129" s="283"/>
      <c r="O129" s="281">
        <f>+'Stock Rawmaterial'!J1178</f>
        <v>0</v>
      </c>
      <c r="P129" s="287"/>
      <c r="Q129" s="287">
        <f>+'Stock Rawmaterial'!K1178</f>
        <v>0</v>
      </c>
      <c r="R129" s="466"/>
      <c r="S129" s="264"/>
      <c r="T129" s="467"/>
    </row>
    <row r="130" spans="1:20" s="418" customFormat="1" ht="30" hidden="1" customHeight="1" x14ac:dyDescent="0.2">
      <c r="A130" s="2029"/>
      <c r="B130" s="2269"/>
      <c r="C130" s="1750" t="str">
        <f>+'Stock Rawmaterial'!C1179</f>
        <v>Feedmil</v>
      </c>
      <c r="D130" s="1744" t="s">
        <v>10</v>
      </c>
      <c r="E130" s="888">
        <f>+'Stock Rawmaterial'!E1178</f>
        <v>43630</v>
      </c>
      <c r="F130" s="39" t="e">
        <f>#REF!-E130</f>
        <v>#REF!</v>
      </c>
      <c r="G130" s="1676"/>
      <c r="H130" s="1606"/>
      <c r="I130" s="1593"/>
      <c r="J130" s="1599"/>
      <c r="K130" s="1583"/>
      <c r="L130" s="80">
        <f>+'Stock Rawmaterial'!H1179</f>
        <v>0</v>
      </c>
      <c r="M130" s="1583">
        <f>+'Stock Rawmaterial'!I1179</f>
        <v>0</v>
      </c>
      <c r="N130" s="329"/>
      <c r="O130" s="282"/>
      <c r="P130" s="329"/>
      <c r="Q130" s="287">
        <f>+'Stock Rawmaterial'!K1179</f>
        <v>0</v>
      </c>
      <c r="R130" s="492"/>
      <c r="S130" s="493"/>
      <c r="T130" s="494"/>
    </row>
    <row r="131" spans="1:20" s="265" customFormat="1" ht="30" hidden="1" customHeight="1" x14ac:dyDescent="0.2">
      <c r="A131" s="845"/>
      <c r="B131" s="845" t="s">
        <v>180</v>
      </c>
      <c r="C131" s="1752"/>
      <c r="D131" s="1745"/>
      <c r="E131" s="864"/>
      <c r="F131" s="865"/>
      <c r="G131" s="865"/>
      <c r="H131" s="1584"/>
      <c r="I131" s="324"/>
      <c r="J131" s="714"/>
      <c r="K131" s="230">
        <f>+SUM(K123:K130)</f>
        <v>0</v>
      </c>
      <c r="L131" s="230">
        <f t="shared" ref="L131:Q131" si="17">SUM(L123:L130)</f>
        <v>0</v>
      </c>
      <c r="M131" s="230">
        <f t="shared" si="17"/>
        <v>0</v>
      </c>
      <c r="N131" s="133">
        <v>0</v>
      </c>
      <c r="O131" s="133">
        <f t="shared" si="17"/>
        <v>0</v>
      </c>
      <c r="P131" s="133">
        <f t="shared" si="17"/>
        <v>0</v>
      </c>
      <c r="Q131" s="133">
        <f t="shared" si="17"/>
        <v>0</v>
      </c>
      <c r="R131" s="466"/>
      <c r="S131" s="264"/>
      <c r="T131" s="467"/>
    </row>
    <row r="132" spans="1:20" s="265" customFormat="1" ht="30" hidden="1" customHeight="1" x14ac:dyDescent="0.2">
      <c r="A132" s="2027" t="str">
        <f>IF(M139=0,"",MAX($A$15:A131)+1)</f>
        <v/>
      </c>
      <c r="B132" s="2269" t="s">
        <v>237</v>
      </c>
      <c r="C132" s="1753" t="str">
        <f>+'Stock Rawmaterial'!C1181</f>
        <v>Y3.3</v>
      </c>
      <c r="D132" s="1746" t="s">
        <v>10</v>
      </c>
      <c r="E132" s="888">
        <f>+'Stock Rawmaterial'!E1181</f>
        <v>43717</v>
      </c>
      <c r="F132" s="70" t="e">
        <f>#REF!-E132</f>
        <v>#REF!</v>
      </c>
      <c r="G132" s="1673"/>
      <c r="H132" s="1612"/>
      <c r="I132" s="1613"/>
      <c r="J132" s="1614"/>
      <c r="K132" s="130">
        <f>+'Stock Rawmaterial'!G1181</f>
        <v>0</v>
      </c>
      <c r="L132" s="80">
        <f>+'Stock Rawmaterial'!H1181</f>
        <v>0</v>
      </c>
      <c r="M132" s="80">
        <f>+'Stock Rawmaterial'!I1181</f>
        <v>0</v>
      </c>
      <c r="N132" s="287"/>
      <c r="O132" s="1635"/>
      <c r="P132" s="287"/>
      <c r="Q132" s="287">
        <f>+'Stock Rawmaterial'!K1181</f>
        <v>0</v>
      </c>
      <c r="R132" s="466"/>
      <c r="S132" s="264"/>
      <c r="T132" s="467"/>
    </row>
    <row r="133" spans="1:20" s="265" customFormat="1" ht="30" hidden="1" customHeight="1" x14ac:dyDescent="0.2">
      <c r="A133" s="2028"/>
      <c r="B133" s="2269"/>
      <c r="C133" s="1753" t="str">
        <f>+'Stock Rawmaterial'!C1182</f>
        <v>Y3.3</v>
      </c>
      <c r="D133" s="1746" t="s">
        <v>10</v>
      </c>
      <c r="E133" s="888">
        <v>43056</v>
      </c>
      <c r="F133" s="70" t="e">
        <f>#REF!-E133</f>
        <v>#REF!</v>
      </c>
      <c r="G133" s="1673"/>
      <c r="H133" s="1612"/>
      <c r="I133" s="1613"/>
      <c r="J133" s="1614"/>
      <c r="K133" s="130">
        <f>+'Stock Rawmaterial'!G1182</f>
        <v>0</v>
      </c>
      <c r="L133" s="80">
        <f>+'Stock Rawmaterial'!H1182</f>
        <v>0</v>
      </c>
      <c r="M133" s="80">
        <f>+'Stock Rawmaterial'!I1182</f>
        <v>0</v>
      </c>
      <c r="N133" s="287"/>
      <c r="O133" s="1635"/>
      <c r="P133" s="287"/>
      <c r="Q133" s="287">
        <f>+'Stock Rawmaterial'!K1182</f>
        <v>0</v>
      </c>
      <c r="R133" s="466"/>
      <c r="S133" s="264"/>
      <c r="T133" s="467"/>
    </row>
    <row r="134" spans="1:20" s="265" customFormat="1" ht="30" hidden="1" customHeight="1" x14ac:dyDescent="0.2">
      <c r="A134" s="2028"/>
      <c r="B134" s="2269"/>
      <c r="C134" s="1753" t="str">
        <f>+'Stock Rawmaterial'!C1183</f>
        <v>Z5.3</v>
      </c>
      <c r="D134" s="1746" t="s">
        <v>10</v>
      </c>
      <c r="E134" s="888">
        <v>43056</v>
      </c>
      <c r="F134" s="70" t="e">
        <f>#REF!-E134</f>
        <v>#REF!</v>
      </c>
      <c r="G134" s="1673"/>
      <c r="H134" s="1612"/>
      <c r="I134" s="1613"/>
      <c r="J134" s="1614"/>
      <c r="K134" s="130">
        <f>+'Stock Rawmaterial'!G1183</f>
        <v>0</v>
      </c>
      <c r="L134" s="80">
        <f>+'Stock Rawmaterial'!H1183</f>
        <v>0</v>
      </c>
      <c r="M134" s="80">
        <f>+'Stock Rawmaterial'!I1183</f>
        <v>0</v>
      </c>
      <c r="N134" s="287"/>
      <c r="O134" s="1635"/>
      <c r="P134" s="287"/>
      <c r="Q134" s="287">
        <f>+'Stock Rawmaterial'!K1183</f>
        <v>0</v>
      </c>
      <c r="R134" s="466"/>
      <c r="S134" s="264"/>
      <c r="T134" s="467"/>
    </row>
    <row r="135" spans="1:20" s="265" customFormat="1" ht="30" hidden="1" customHeight="1" x14ac:dyDescent="0.2">
      <c r="A135" s="2028"/>
      <c r="B135" s="2269"/>
      <c r="C135" s="1753" t="str">
        <f>+'Stock Rawmaterial'!C1184</f>
        <v>Z5.3</v>
      </c>
      <c r="D135" s="1746" t="s">
        <v>10</v>
      </c>
      <c r="E135" s="888">
        <v>43056</v>
      </c>
      <c r="F135" s="70" t="e">
        <f>#REF!-E135</f>
        <v>#REF!</v>
      </c>
      <c r="G135" s="1673"/>
      <c r="H135" s="1612"/>
      <c r="I135" s="1613"/>
      <c r="J135" s="1614"/>
      <c r="K135" s="130">
        <f>+'Stock Rawmaterial'!G1184</f>
        <v>0</v>
      </c>
      <c r="L135" s="80">
        <f>+'Stock Rawmaterial'!H1184</f>
        <v>0</v>
      </c>
      <c r="M135" s="80">
        <f>+'Stock Rawmaterial'!I1184</f>
        <v>0</v>
      </c>
      <c r="N135" s="287"/>
      <c r="O135" s="1635"/>
      <c r="P135" s="287"/>
      <c r="Q135" s="287">
        <f>+'Stock Rawmaterial'!K1184</f>
        <v>0</v>
      </c>
      <c r="R135" s="466"/>
      <c r="S135" s="264"/>
      <c r="T135" s="467"/>
    </row>
    <row r="136" spans="1:20" s="265" customFormat="1" ht="30" hidden="1" customHeight="1" x14ac:dyDescent="0.2">
      <c r="A136" s="2028"/>
      <c r="B136" s="2269"/>
      <c r="C136" s="1753" t="str">
        <f>+'Stock Rawmaterial'!C1185</f>
        <v>Z5.3</v>
      </c>
      <c r="D136" s="1746" t="s">
        <v>10</v>
      </c>
      <c r="E136" s="888">
        <v>43056</v>
      </c>
      <c r="F136" s="70" t="e">
        <f>#REF!-E136</f>
        <v>#REF!</v>
      </c>
      <c r="G136" s="1673"/>
      <c r="H136" s="1612"/>
      <c r="I136" s="1613"/>
      <c r="J136" s="1614"/>
      <c r="K136" s="130">
        <f>+'Stock Rawmaterial'!G1185</f>
        <v>0</v>
      </c>
      <c r="L136" s="80">
        <f>+'Stock Rawmaterial'!H1185</f>
        <v>0</v>
      </c>
      <c r="M136" s="80">
        <f>+'Stock Rawmaterial'!I1185</f>
        <v>0</v>
      </c>
      <c r="N136" s="332"/>
      <c r="O136" s="286"/>
      <c r="P136" s="332"/>
      <c r="Q136" s="287">
        <f>+'Stock Rawmaterial'!K1185</f>
        <v>0</v>
      </c>
      <c r="R136" s="466"/>
      <c r="S136" s="264"/>
      <c r="T136" s="467"/>
    </row>
    <row r="137" spans="1:20" s="265" customFormat="1" ht="30" hidden="1" customHeight="1" x14ac:dyDescent="0.2">
      <c r="A137" s="2028"/>
      <c r="B137" s="2269"/>
      <c r="C137" s="1753" t="str">
        <f>+'Stock Rawmaterial'!C1186</f>
        <v>V8.2</v>
      </c>
      <c r="D137" s="1746" t="s">
        <v>10</v>
      </c>
      <c r="E137" s="888">
        <v>42971</v>
      </c>
      <c r="F137" s="70" t="e">
        <f>#REF!-E137</f>
        <v>#REF!</v>
      </c>
      <c r="G137" s="1673"/>
      <c r="H137" s="1612"/>
      <c r="I137" s="1613"/>
      <c r="J137" s="1614"/>
      <c r="K137" s="130">
        <f>+'Stock Rawmaterial'!G1186</f>
        <v>0</v>
      </c>
      <c r="L137" s="80">
        <f>+'Stock Rawmaterial'!H1186</f>
        <v>0</v>
      </c>
      <c r="M137" s="80">
        <f>+'Stock Rawmaterial'!I1186</f>
        <v>0</v>
      </c>
      <c r="N137" s="332"/>
      <c r="O137" s="286"/>
      <c r="P137" s="332"/>
      <c r="Q137" s="287">
        <f>+'Stock Rawmaterial'!K1186</f>
        <v>0</v>
      </c>
      <c r="R137" s="466"/>
      <c r="S137" s="264"/>
      <c r="T137" s="467"/>
    </row>
    <row r="138" spans="1:20" s="418" customFormat="1" ht="30" hidden="1" customHeight="1" x14ac:dyDescent="0.2">
      <c r="A138" s="2028"/>
      <c r="B138" s="2269"/>
      <c r="C138" s="1754" t="s">
        <v>76</v>
      </c>
      <c r="D138" s="1744" t="s">
        <v>10</v>
      </c>
      <c r="E138" s="886">
        <f>+'Stock Rawmaterial'!E1187</f>
        <v>43729</v>
      </c>
      <c r="F138" s="39" t="e">
        <f>#REF!-E138</f>
        <v>#REF!</v>
      </c>
      <c r="G138" s="1676"/>
      <c r="H138" s="1606"/>
      <c r="I138" s="1593"/>
      <c r="J138" s="1599"/>
      <c r="K138" s="554">
        <f>+'Stock Rawmaterial'!G1187</f>
        <v>0</v>
      </c>
      <c r="L138" s="80">
        <f>+'Stock Rawmaterial'!H1187</f>
        <v>0</v>
      </c>
      <c r="M138" s="80">
        <f>+'Stock Rawmaterial'!I1187</f>
        <v>0</v>
      </c>
      <c r="N138" s="329"/>
      <c r="O138" s="282">
        <f>+'Stock Rawmaterial'!J1187</f>
        <v>0</v>
      </c>
      <c r="P138" s="329"/>
      <c r="Q138" s="287">
        <f>+'Stock Rawmaterial'!K1187</f>
        <v>0</v>
      </c>
      <c r="R138" s="492"/>
      <c r="S138" s="493"/>
      <c r="T138" s="494"/>
    </row>
    <row r="139" spans="1:20" s="265" customFormat="1" ht="30" hidden="1" customHeight="1" x14ac:dyDescent="0.2">
      <c r="A139" s="184"/>
      <c r="B139" s="845" t="s">
        <v>189</v>
      </c>
      <c r="C139" s="1752"/>
      <c r="D139" s="1745"/>
      <c r="E139" s="901"/>
      <c r="F139" s="902"/>
      <c r="G139" s="902"/>
      <c r="H139" s="1615"/>
      <c r="I139" s="353"/>
      <c r="J139" s="1152"/>
      <c r="K139" s="235">
        <f>+SUM(K132:K138)</f>
        <v>0</v>
      </c>
      <c r="L139" s="235">
        <f t="shared" ref="L139:Q139" si="18">SUM(L132:L138)</f>
        <v>0</v>
      </c>
      <c r="M139" s="235">
        <f t="shared" si="18"/>
        <v>0</v>
      </c>
      <c r="N139" s="928"/>
      <c r="O139" s="928">
        <f t="shared" si="18"/>
        <v>0</v>
      </c>
      <c r="P139" s="928">
        <f t="shared" si="18"/>
        <v>0</v>
      </c>
      <c r="Q139" s="928">
        <f t="shared" si="18"/>
        <v>0</v>
      </c>
      <c r="R139" s="466"/>
      <c r="S139" s="264"/>
      <c r="T139" s="467"/>
    </row>
    <row r="140" spans="1:20" s="265" customFormat="1" ht="30" customHeight="1" x14ac:dyDescent="0.2">
      <c r="A140" s="2027">
        <f>IF(M145=0,"",MAX($A$15:A139)+1)</f>
        <v>8</v>
      </c>
      <c r="B140" s="2263" t="s">
        <v>462</v>
      </c>
      <c r="C140" s="1755" t="str">
        <f>+'Stock Rawmaterial'!C1196</f>
        <v>E3</v>
      </c>
      <c r="D140" s="1742" t="str">
        <f>+'Stock Rawmaterial'!D1196</f>
        <v>Rec.</v>
      </c>
      <c r="E140" s="882">
        <f>+'Stock Rawmaterial'!E1196</f>
        <v>46262</v>
      </c>
      <c r="F140" s="71">
        <f>+'Stock Rawmaterial'!F1196</f>
        <v>24</v>
      </c>
      <c r="G140" s="1688">
        <v>46630</v>
      </c>
      <c r="H140" s="77">
        <f>+'Stock Rawmaterial'!G1196</f>
        <v>150</v>
      </c>
      <c r="I140" s="77">
        <f>+'Stock Rawmaterial'!H1196</f>
        <v>0</v>
      </c>
      <c r="J140" s="77">
        <f>+'Stock Rawmaterial'!I1196</f>
        <v>0</v>
      </c>
      <c r="K140" s="1616">
        <f>+'Stock Rawmaterial'!J1196</f>
        <v>0</v>
      </c>
      <c r="L140" s="77">
        <f>+'Stock Rawmaterial'!K1196</f>
        <v>25</v>
      </c>
      <c r="M140" s="1575">
        <f>+'Stock Rawmaterial'!L1196</f>
        <v>125</v>
      </c>
      <c r="N140" s="287"/>
      <c r="O140" s="1635"/>
      <c r="P140" s="287"/>
      <c r="Q140" s="287"/>
      <c r="R140" s="466"/>
      <c r="S140" s="264"/>
      <c r="T140" s="467"/>
    </row>
    <row r="141" spans="1:20" s="265" customFormat="1" ht="30" customHeight="1" x14ac:dyDescent="0.2">
      <c r="A141" s="2028"/>
      <c r="B141" s="2263"/>
      <c r="C141" s="1755" t="str">
        <f>+'Stock Rawmaterial'!C1197</f>
        <v>E3</v>
      </c>
      <c r="D141" s="1742" t="str">
        <f>+'Stock Rawmaterial'!D1197</f>
        <v>Rec.</v>
      </c>
      <c r="E141" s="882">
        <f>+'Stock Rawmaterial'!E1197</f>
        <v>46283</v>
      </c>
      <c r="F141" s="71">
        <f>+'Stock Rawmaterial'!F1197</f>
        <v>3</v>
      </c>
      <c r="G141" s="1687">
        <v>46630</v>
      </c>
      <c r="H141" s="77">
        <f>+'Stock Rawmaterial'!G1197</f>
        <v>50</v>
      </c>
      <c r="I141" s="77">
        <f>+'Stock Rawmaterial'!H1197</f>
        <v>0</v>
      </c>
      <c r="J141" s="77">
        <f>+'Stock Rawmaterial'!I1197</f>
        <v>0</v>
      </c>
      <c r="K141" s="1616">
        <f>+'Stock Rawmaterial'!J1197</f>
        <v>0</v>
      </c>
      <c r="L141" s="77">
        <f>+'Stock Rawmaterial'!K1197</f>
        <v>0</v>
      </c>
      <c r="M141" s="1671">
        <f>+'Stock Rawmaterial'!L1197</f>
        <v>50</v>
      </c>
      <c r="N141" s="287"/>
      <c r="O141" s="1635"/>
      <c r="P141" s="287"/>
      <c r="Q141" s="287"/>
      <c r="R141" s="466"/>
      <c r="S141" s="264"/>
      <c r="T141" s="467"/>
    </row>
    <row r="142" spans="1:20" s="265" customFormat="1" ht="30" hidden="1" customHeight="1" x14ac:dyDescent="0.2">
      <c r="A142" s="2028"/>
      <c r="B142" s="2263"/>
      <c r="C142" s="1755">
        <f>+'Stock Rawmaterial'!C1198</f>
        <v>0</v>
      </c>
      <c r="D142" s="1742" t="str">
        <f>+'Stock Rawmaterial'!D1198</f>
        <v>Rec.</v>
      </c>
      <c r="E142" s="882">
        <f>+'Stock Rawmaterial'!E1198</f>
        <v>46254</v>
      </c>
      <c r="F142" s="71">
        <f>+'Stock Rawmaterial'!F1198</f>
        <v>32</v>
      </c>
      <c r="G142" s="1687">
        <v>46630</v>
      </c>
      <c r="H142" s="77">
        <f>+'Stock Rawmaterial'!G1198</f>
        <v>0</v>
      </c>
      <c r="I142" s="77">
        <f>+'Stock Rawmaterial'!H1198</f>
        <v>0</v>
      </c>
      <c r="J142" s="77">
        <f>+'Stock Rawmaterial'!I1198</f>
        <v>0</v>
      </c>
      <c r="K142" s="1616">
        <f>+'Stock Rawmaterial'!J1198</f>
        <v>0</v>
      </c>
      <c r="L142" s="77">
        <f>+'Stock Rawmaterial'!K1198</f>
        <v>0</v>
      </c>
      <c r="M142" s="1671">
        <f>+'Stock Rawmaterial'!L1198</f>
        <v>0</v>
      </c>
      <c r="N142" s="332"/>
      <c r="O142" s="286"/>
      <c r="P142" s="332"/>
      <c r="Q142" s="287"/>
      <c r="R142" s="466"/>
      <c r="S142" s="264"/>
      <c r="T142" s="467"/>
    </row>
    <row r="143" spans="1:20" s="265" customFormat="1" ht="30" hidden="1" customHeight="1" x14ac:dyDescent="0.2">
      <c r="A143" s="2028"/>
      <c r="B143" s="2263"/>
      <c r="C143" s="1893">
        <f>+'Stock Rawmaterial'!C1199</f>
        <v>0</v>
      </c>
      <c r="D143" s="1742" t="str">
        <f>+'Stock Rawmaterial'!D1199</f>
        <v>Rec.</v>
      </c>
      <c r="E143" s="882">
        <f>+'Stock Rawmaterial'!E1199</f>
        <v>46247</v>
      </c>
      <c r="F143" s="71">
        <f>+'Stock Rawmaterial'!F1199</f>
        <v>39</v>
      </c>
      <c r="G143" s="1990">
        <v>46630</v>
      </c>
      <c r="H143" s="77">
        <f>+'Stock Rawmaterial'!G1199</f>
        <v>0</v>
      </c>
      <c r="I143" s="77">
        <f>+'Stock Rawmaterial'!H1199</f>
        <v>0</v>
      </c>
      <c r="J143" s="77">
        <f>+'Stock Rawmaterial'!I1199</f>
        <v>0</v>
      </c>
      <c r="K143" s="1616">
        <f>+'Stock Rawmaterial'!J1199</f>
        <v>0</v>
      </c>
      <c r="L143" s="77">
        <f>+'Stock Rawmaterial'!K1199</f>
        <v>0</v>
      </c>
      <c r="M143" s="1575">
        <f>+'Stock Rawmaterial'!L1199</f>
        <v>0</v>
      </c>
      <c r="N143" s="332"/>
      <c r="O143" s="286"/>
      <c r="P143" s="332"/>
      <c r="Q143" s="287">
        <f>+'Stock Rawmaterial'!K1199</f>
        <v>0</v>
      </c>
      <c r="R143" s="466"/>
      <c r="S143" s="264"/>
      <c r="T143" s="467"/>
    </row>
    <row r="144" spans="1:20" s="418" customFormat="1" ht="30" customHeight="1" x14ac:dyDescent="0.2">
      <c r="A144" s="2029"/>
      <c r="B144" s="2264"/>
      <c r="C144" s="1894" t="str">
        <f>+'Stock Rawmaterial'!C1200</f>
        <v>Feedmill</v>
      </c>
      <c r="D144" s="1742" t="str">
        <f>+'Stock Rawmaterial'!D1200</f>
        <v>Rec.</v>
      </c>
      <c r="E144" s="882">
        <f>+'Stock Rawmaterial'!E1200</f>
        <v>46262</v>
      </c>
      <c r="F144" s="71">
        <f>+'Stock Rawmaterial'!F1200</f>
        <v>24</v>
      </c>
      <c r="G144" s="1954">
        <v>46630</v>
      </c>
      <c r="H144" s="77">
        <f>+'Stock Rawmaterial'!G1200</f>
        <v>29.160000000000018</v>
      </c>
      <c r="I144" s="77">
        <f>+'Stock Rawmaterial'!H1200</f>
        <v>0</v>
      </c>
      <c r="J144" s="77">
        <f>+'Stock Rawmaterial'!I1200</f>
        <v>25</v>
      </c>
      <c r="K144" s="1616">
        <f>+'Stock Rawmaterial'!J1200</f>
        <v>22.68</v>
      </c>
      <c r="L144" s="77">
        <f>+'Stock Rawmaterial'!K1200</f>
        <v>0</v>
      </c>
      <c r="M144" s="1575">
        <f>+'Stock Rawmaterial'!L1200</f>
        <v>31.480000000000018</v>
      </c>
      <c r="N144" s="329"/>
      <c r="O144" s="282"/>
      <c r="P144" s="329"/>
      <c r="Q144" s="287">
        <f>+'Stock Rawmaterial'!K1200</f>
        <v>0</v>
      </c>
      <c r="R144" s="492"/>
      <c r="S144" s="493"/>
      <c r="T144" s="494"/>
    </row>
    <row r="145" spans="1:20" s="265" customFormat="1" ht="30" customHeight="1" x14ac:dyDescent="0.2">
      <c r="A145" s="184"/>
      <c r="B145" s="845" t="s">
        <v>184</v>
      </c>
      <c r="C145" s="1748"/>
      <c r="D145" s="900"/>
      <c r="E145" s="901"/>
      <c r="F145" s="902"/>
      <c r="G145" s="902"/>
      <c r="H145" s="230">
        <f t="shared" ref="H145:L145" si="19">SUM(H140:H144)</f>
        <v>229.16000000000003</v>
      </c>
      <c r="I145" s="230">
        <f t="shared" si="19"/>
        <v>0</v>
      </c>
      <c r="J145" s="230">
        <f t="shared" si="19"/>
        <v>25</v>
      </c>
      <c r="K145" s="230">
        <f t="shared" si="19"/>
        <v>22.68</v>
      </c>
      <c r="L145" s="230">
        <f t="shared" si="19"/>
        <v>25</v>
      </c>
      <c r="M145" s="230">
        <f>SUM(M140:M144)</f>
        <v>206.48000000000002</v>
      </c>
      <c r="N145" s="133">
        <f>'Stock Rawmaterial'!M1201</f>
        <v>20</v>
      </c>
      <c r="O145" s="133">
        <f>'Stock Rawmaterial'!N1201</f>
        <v>10.324000000000002</v>
      </c>
      <c r="P145" s="133">
        <f>'Stock Rawmaterial'!O1201</f>
        <v>8.3333333333333339</v>
      </c>
      <c r="Q145" s="133">
        <f>'Stock Rawmaterial'!P1201</f>
        <v>24.7776</v>
      </c>
      <c r="R145" s="466"/>
      <c r="S145" s="264"/>
      <c r="T145" s="467"/>
    </row>
    <row r="146" spans="1:20" s="265" customFormat="1" ht="30" hidden="1" customHeight="1" x14ac:dyDescent="0.2">
      <c r="A146" s="2027">
        <f>IF(M153=0,"",MAX($A$15:A145)+1)</f>
        <v>9</v>
      </c>
      <c r="B146" s="2153" t="s">
        <v>401</v>
      </c>
      <c r="C146" s="1200">
        <f>+'Stock Rawmaterial'!C1242</f>
        <v>0</v>
      </c>
      <c r="D146" s="881" t="str">
        <f>+'Stock Rawmaterial'!D1242</f>
        <v>Rec.</v>
      </c>
      <c r="E146" s="882">
        <f>+'Stock Rawmaterial'!E1242</f>
        <v>44764</v>
      </c>
      <c r="F146" s="71">
        <f>+'Stock Rawmaterial'!F1242</f>
        <v>1522</v>
      </c>
      <c r="G146" s="1673"/>
      <c r="H146" s="77">
        <f>+'Stock Rawmaterial'!G1242</f>
        <v>0</v>
      </c>
      <c r="I146" s="77">
        <f>+'Stock Rawmaterial'!H1242</f>
        <v>0</v>
      </c>
      <c r="J146" s="77">
        <f>+'Stock Rawmaterial'!I1242</f>
        <v>0</v>
      </c>
      <c r="K146" s="1616">
        <f>+'Stock Rawmaterial'!J1242</f>
        <v>0</v>
      </c>
      <c r="L146" s="77">
        <f>+'Stock Rawmaterial'!K1242</f>
        <v>0</v>
      </c>
      <c r="M146" s="1671">
        <f>+'Stock Rawmaterial'!L1242</f>
        <v>0</v>
      </c>
      <c r="N146" s="287"/>
      <c r="O146" s="1635"/>
      <c r="P146" s="287"/>
      <c r="Q146" s="287">
        <f>+'Stock Rawmaterial'!K1242</f>
        <v>0</v>
      </c>
      <c r="R146" s="466"/>
      <c r="S146" s="264"/>
      <c r="T146" s="467"/>
    </row>
    <row r="147" spans="1:20" s="265" customFormat="1" ht="30" hidden="1" customHeight="1" x14ac:dyDescent="0.2">
      <c r="A147" s="2028"/>
      <c r="B147" s="2155"/>
      <c r="C147" s="1200">
        <f>+'Stock Rawmaterial'!C1243</f>
        <v>0</v>
      </c>
      <c r="D147" s="881" t="str">
        <f>+'Stock Rawmaterial'!D1243</f>
        <v>Rec.</v>
      </c>
      <c r="E147" s="882">
        <f>+'Stock Rawmaterial'!E1243</f>
        <v>44837</v>
      </c>
      <c r="F147" s="71">
        <f>+'Stock Rawmaterial'!F1243</f>
        <v>1449</v>
      </c>
      <c r="G147" s="1673"/>
      <c r="H147" s="77">
        <f>+'Stock Rawmaterial'!G1243</f>
        <v>0</v>
      </c>
      <c r="I147" s="77">
        <f>+'Stock Rawmaterial'!H1243</f>
        <v>0</v>
      </c>
      <c r="J147" s="77">
        <f>+'Stock Rawmaterial'!I1243</f>
        <v>0</v>
      </c>
      <c r="K147" s="1616">
        <f>+'Stock Rawmaterial'!J1243</f>
        <v>0</v>
      </c>
      <c r="L147" s="77">
        <f>+'Stock Rawmaterial'!K1243</f>
        <v>0</v>
      </c>
      <c r="M147" s="1671">
        <f>+'Stock Rawmaterial'!L1243</f>
        <v>0</v>
      </c>
      <c r="N147" s="287"/>
      <c r="O147" s="1635"/>
      <c r="P147" s="287"/>
      <c r="Q147" s="287">
        <f>+'Stock Rawmaterial'!K1243</f>
        <v>0</v>
      </c>
      <c r="R147" s="466"/>
      <c r="S147" s="264"/>
      <c r="T147" s="467"/>
    </row>
    <row r="148" spans="1:20" s="265" customFormat="1" ht="30" hidden="1" customHeight="1" x14ac:dyDescent="0.2">
      <c r="A148" s="2028"/>
      <c r="B148" s="2155"/>
      <c r="C148" s="1200">
        <f>+'Stock Rawmaterial'!C1244</f>
        <v>0</v>
      </c>
      <c r="D148" s="881" t="str">
        <f>+'Stock Rawmaterial'!D1244</f>
        <v>Rec.</v>
      </c>
      <c r="E148" s="882">
        <f>+'Stock Rawmaterial'!E1244</f>
        <v>45444</v>
      </c>
      <c r="F148" s="71">
        <f>+'Stock Rawmaterial'!F1244</f>
        <v>842</v>
      </c>
      <c r="G148" s="1673"/>
      <c r="H148" s="77">
        <f>+'Stock Rawmaterial'!G1244</f>
        <v>0</v>
      </c>
      <c r="I148" s="77">
        <f>+'Stock Rawmaterial'!H1244</f>
        <v>0</v>
      </c>
      <c r="J148" s="77">
        <f>+'Stock Rawmaterial'!I1244</f>
        <v>0</v>
      </c>
      <c r="K148" s="1616">
        <f>+'Stock Rawmaterial'!J1244</f>
        <v>0</v>
      </c>
      <c r="L148" s="77">
        <f>+'Stock Rawmaterial'!K1244</f>
        <v>0</v>
      </c>
      <c r="M148" s="1671">
        <f>+'Stock Rawmaterial'!L1244</f>
        <v>0</v>
      </c>
      <c r="N148" s="287"/>
      <c r="O148" s="1635"/>
      <c r="P148" s="287"/>
      <c r="Q148" s="287">
        <f>+'Stock Rawmaterial'!K1244</f>
        <v>0</v>
      </c>
      <c r="R148" s="466"/>
      <c r="S148" s="264"/>
      <c r="T148" s="467"/>
    </row>
    <row r="149" spans="1:20" s="265" customFormat="1" ht="30" hidden="1" customHeight="1" x14ac:dyDescent="0.2">
      <c r="A149" s="2028"/>
      <c r="B149" s="2155"/>
      <c r="C149" s="1200">
        <f>+'Stock Rawmaterial'!C1245</f>
        <v>0</v>
      </c>
      <c r="D149" s="881" t="str">
        <f>+'Stock Rawmaterial'!D1245</f>
        <v>Rec.</v>
      </c>
      <c r="E149" s="882">
        <f>+'Stock Rawmaterial'!E1245</f>
        <v>45801</v>
      </c>
      <c r="F149" s="71">
        <f>+'Stock Rawmaterial'!F1245</f>
        <v>485</v>
      </c>
      <c r="G149" s="1685">
        <v>46331</v>
      </c>
      <c r="H149" s="77">
        <f>+'Stock Rawmaterial'!G1245</f>
        <v>0</v>
      </c>
      <c r="I149" s="77">
        <f>+'Stock Rawmaterial'!H1245</f>
        <v>0</v>
      </c>
      <c r="J149" s="77">
        <f>+'Stock Rawmaterial'!I1245</f>
        <v>0</v>
      </c>
      <c r="K149" s="1616">
        <f>+'Stock Rawmaterial'!J1245</f>
        <v>0</v>
      </c>
      <c r="L149" s="77">
        <f>+'Stock Rawmaterial'!K1245</f>
        <v>0</v>
      </c>
      <c r="M149" s="1671">
        <f>+'Stock Rawmaterial'!L1245</f>
        <v>0</v>
      </c>
      <c r="N149" s="287"/>
      <c r="O149" s="1635"/>
      <c r="P149" s="287"/>
      <c r="Q149" s="287"/>
      <c r="R149" s="466"/>
      <c r="S149" s="264"/>
      <c r="T149" s="467"/>
    </row>
    <row r="150" spans="1:20" s="265" customFormat="1" ht="30" customHeight="1" x14ac:dyDescent="0.2">
      <c r="A150" s="2028"/>
      <c r="B150" s="2155"/>
      <c r="C150" s="1200" t="str">
        <f>+'Stock Rawmaterial'!C1246</f>
        <v>E2</v>
      </c>
      <c r="D150" s="881" t="str">
        <f>+'Stock Rawmaterial'!D1246</f>
        <v>Rec.</v>
      </c>
      <c r="E150" s="882">
        <f>+'Stock Rawmaterial'!E1246</f>
        <v>46127</v>
      </c>
      <c r="F150" s="71">
        <f>+'Stock Rawmaterial'!F1246</f>
        <v>159</v>
      </c>
      <c r="G150" s="1953">
        <v>46856</v>
      </c>
      <c r="H150" s="77">
        <f>+'Stock Rawmaterial'!G1246</f>
        <v>125</v>
      </c>
      <c r="I150" s="77">
        <f>+'Stock Rawmaterial'!H1246</f>
        <v>0</v>
      </c>
      <c r="J150" s="77">
        <f>+'Stock Rawmaterial'!I1246</f>
        <v>0</v>
      </c>
      <c r="K150" s="1616">
        <f>+'Stock Rawmaterial'!J1246</f>
        <v>0</v>
      </c>
      <c r="L150" s="77">
        <f>+'Stock Rawmaterial'!K1246</f>
        <v>0</v>
      </c>
      <c r="M150" s="1671">
        <f>+'Stock Rawmaterial'!L1246</f>
        <v>125</v>
      </c>
      <c r="N150" s="287"/>
      <c r="O150" s="1635"/>
      <c r="P150" s="287"/>
      <c r="Q150" s="287">
        <f>+'Stock Rawmaterial'!K1246</f>
        <v>0</v>
      </c>
      <c r="R150" s="466"/>
      <c r="S150" s="264"/>
      <c r="T150" s="467"/>
    </row>
    <row r="151" spans="1:20" s="265" customFormat="1" ht="30" hidden="1" customHeight="1" x14ac:dyDescent="0.2">
      <c r="A151" s="2028"/>
      <c r="B151" s="2155"/>
      <c r="C151" s="1200">
        <f>+'Stock Rawmaterial'!C1247</f>
        <v>0</v>
      </c>
      <c r="D151" s="881" t="str">
        <f>+'Stock Rawmaterial'!D1247</f>
        <v>Rec.</v>
      </c>
      <c r="E151" s="882">
        <f>+'Stock Rawmaterial'!E1247</f>
        <v>46127</v>
      </c>
      <c r="F151" s="71">
        <f>+'Stock Rawmaterial'!F1247</f>
        <v>159</v>
      </c>
      <c r="G151" s="1953">
        <v>46331</v>
      </c>
      <c r="H151" s="77">
        <f>+'Stock Rawmaterial'!G1247</f>
        <v>0</v>
      </c>
      <c r="I151" s="77">
        <f>+'Stock Rawmaterial'!H1247</f>
        <v>0</v>
      </c>
      <c r="J151" s="77">
        <f>+'Stock Rawmaterial'!I1247</f>
        <v>0</v>
      </c>
      <c r="K151" s="1616">
        <f>+'Stock Rawmaterial'!J1247</f>
        <v>0</v>
      </c>
      <c r="L151" s="77">
        <f>+'Stock Rawmaterial'!K1247</f>
        <v>0</v>
      </c>
      <c r="M151" s="1671">
        <f>+'Stock Rawmaterial'!L1247</f>
        <v>0</v>
      </c>
      <c r="N151" s="287"/>
      <c r="O151" s="1635"/>
      <c r="P151" s="287"/>
      <c r="Q151" s="287">
        <f>+'Stock Rawmaterial'!K1247</f>
        <v>0</v>
      </c>
      <c r="R151" s="466"/>
      <c r="S151" s="264"/>
      <c r="T151" s="467"/>
    </row>
    <row r="152" spans="1:20" s="265" customFormat="1" ht="30" customHeight="1" x14ac:dyDescent="0.2">
      <c r="A152" s="2029"/>
      <c r="B152" s="2157"/>
      <c r="C152" s="1698" t="str">
        <f>+'Stock Rawmaterial'!C1248</f>
        <v>Feedmill</v>
      </c>
      <c r="D152" s="1154" t="str">
        <f>+'Stock Rawmaterial'!D1248</f>
        <v>Rec.</v>
      </c>
      <c r="E152" s="1155">
        <f>+'Stock Rawmaterial'!E1248</f>
        <v>46127</v>
      </c>
      <c r="F152" s="566">
        <f>+'Stock Rawmaterial'!F1248</f>
        <v>159</v>
      </c>
      <c r="G152" s="1954">
        <v>46856</v>
      </c>
      <c r="H152" s="1696">
        <f>+'Stock Rawmaterial'!G1248</f>
        <v>9.9</v>
      </c>
      <c r="I152" s="1696">
        <f>+'Stock Rawmaterial'!H1248</f>
        <v>0</v>
      </c>
      <c r="J152" s="1696">
        <f>+'Stock Rawmaterial'!I1248</f>
        <v>0</v>
      </c>
      <c r="K152" s="1699">
        <f>+'Stock Rawmaterial'!J1248</f>
        <v>0</v>
      </c>
      <c r="L152" s="1696">
        <f>+'Stock Rawmaterial'!K1248</f>
        <v>0</v>
      </c>
      <c r="M152" s="1694">
        <f>+'Stock Rawmaterial'!L1248</f>
        <v>9.9</v>
      </c>
      <c r="N152" s="329"/>
      <c r="O152" s="282"/>
      <c r="P152" s="329"/>
      <c r="Q152" s="287">
        <f>+'Stock Rawmaterial'!K1248</f>
        <v>0</v>
      </c>
      <c r="R152" s="466"/>
      <c r="S152" s="264"/>
      <c r="T152" s="467"/>
    </row>
    <row r="153" spans="1:20" s="265" customFormat="1" ht="30" customHeight="1" x14ac:dyDescent="0.2">
      <c r="A153" s="575"/>
      <c r="B153" s="184" t="s">
        <v>260</v>
      </c>
      <c r="C153" s="575"/>
      <c r="D153" s="900"/>
      <c r="E153" s="901"/>
      <c r="F153" s="902"/>
      <c r="G153" s="902"/>
      <c r="H153" s="235">
        <f t="shared" ref="H153:L153" si="20">+SUM(H146:H152)</f>
        <v>134.9</v>
      </c>
      <c r="I153" s="235">
        <f t="shared" si="20"/>
        <v>0</v>
      </c>
      <c r="J153" s="235">
        <f t="shared" si="20"/>
        <v>0</v>
      </c>
      <c r="K153" s="235">
        <f t="shared" si="20"/>
        <v>0</v>
      </c>
      <c r="L153" s="235">
        <f t="shared" si="20"/>
        <v>0</v>
      </c>
      <c r="M153" s="235">
        <f t="shared" ref="M153" si="21">+SUM(M146:M152)</f>
        <v>134.9</v>
      </c>
      <c r="N153" s="928">
        <f>'Stock Rawmaterial'!M1249</f>
        <v>0</v>
      </c>
      <c r="O153" s="928">
        <f>'Stock Rawmaterial'!N1249</f>
        <v>0</v>
      </c>
      <c r="P153" s="928">
        <f>'Stock Rawmaterial'!O1249</f>
        <v>0</v>
      </c>
      <c r="Q153" s="928">
        <f>'Stock Rawmaterial'!P1249</f>
        <v>0</v>
      </c>
      <c r="R153" s="466"/>
      <c r="S153" s="264"/>
      <c r="T153" s="467"/>
    </row>
    <row r="154" spans="1:20" s="265" customFormat="1" ht="30" hidden="1" customHeight="1" x14ac:dyDescent="0.2">
      <c r="A154" s="2083" t="str">
        <f>IF(M161=0,"",MAX($A$15:A153)+1)</f>
        <v/>
      </c>
      <c r="B154" s="2269" t="s">
        <v>1218</v>
      </c>
      <c r="C154" s="574">
        <f>+'Stock Rawmaterial'!C1273</f>
        <v>0</v>
      </c>
      <c r="D154" s="881" t="s">
        <v>10</v>
      </c>
      <c r="E154" s="882">
        <f>+'Stock Rawmaterial'!E1273</f>
        <v>44736</v>
      </c>
      <c r="F154" s="71" t="e">
        <f>#REF!-E154</f>
        <v>#REF!</v>
      </c>
      <c r="G154" s="71"/>
      <c r="H154" s="1617"/>
      <c r="I154" s="1618"/>
      <c r="J154" s="1619"/>
      <c r="K154" s="80">
        <f>+'Stock Rawmaterial'!G1273</f>
        <v>0</v>
      </c>
      <c r="L154" s="253">
        <f>+'Stock Rawmaterial'!H1273</f>
        <v>0</v>
      </c>
      <c r="M154" s="253">
        <f>+'Stock Rawmaterial'!I1273</f>
        <v>0</v>
      </c>
      <c r="N154" s="336"/>
      <c r="O154" s="1637"/>
      <c r="P154" s="336"/>
      <c r="Q154" s="336">
        <f>+'Stock Rawmaterial'!K1273</f>
        <v>0</v>
      </c>
      <c r="R154" s="466"/>
      <c r="S154" s="264"/>
      <c r="T154" s="467"/>
    </row>
    <row r="155" spans="1:20" s="265" customFormat="1" ht="30" hidden="1" customHeight="1" x14ac:dyDescent="0.2">
      <c r="A155" s="2084"/>
      <c r="B155" s="2269"/>
      <c r="C155" s="574" t="str">
        <f>+'Stock Rawmaterial'!C1274</f>
        <v>A19.3</v>
      </c>
      <c r="D155" s="881" t="s">
        <v>10</v>
      </c>
      <c r="E155" s="882">
        <f>+'Stock Rawmaterial'!E1274</f>
        <v>44935</v>
      </c>
      <c r="F155" s="71" t="e">
        <f>#REF!-E155</f>
        <v>#REF!</v>
      </c>
      <c r="G155" s="71"/>
      <c r="H155" s="1617"/>
      <c r="I155" s="1618"/>
      <c r="J155" s="1619"/>
      <c r="K155" s="80">
        <f>+'Stock Rawmaterial'!G1274</f>
        <v>0</v>
      </c>
      <c r="L155" s="80">
        <f>+'Stock Rawmaterial'!H1274</f>
        <v>0</v>
      </c>
      <c r="M155" s="80">
        <f>+'Stock Rawmaterial'!I1274</f>
        <v>0</v>
      </c>
      <c r="N155" s="287"/>
      <c r="O155" s="1635"/>
      <c r="P155" s="287"/>
      <c r="Q155" s="287">
        <f>+'Stock Rawmaterial'!K1274</f>
        <v>0</v>
      </c>
      <c r="R155" s="466"/>
      <c r="S155" s="264"/>
      <c r="T155" s="467"/>
    </row>
    <row r="156" spans="1:20" s="265" customFormat="1" ht="30" hidden="1" customHeight="1" x14ac:dyDescent="0.2">
      <c r="A156" s="2084"/>
      <c r="B156" s="2269"/>
      <c r="C156" s="574">
        <f>+'Stock Rawmaterial'!C1275</f>
        <v>0</v>
      </c>
      <c r="D156" s="881" t="s">
        <v>10</v>
      </c>
      <c r="E156" s="882">
        <f>+'Stock Rawmaterial'!E1275</f>
        <v>44935</v>
      </c>
      <c r="F156" s="71" t="e">
        <f>#REF!-E156</f>
        <v>#REF!</v>
      </c>
      <c r="G156" s="71"/>
      <c r="H156" s="1617"/>
      <c r="I156" s="1618"/>
      <c r="J156" s="1619"/>
      <c r="K156" s="80">
        <f>+'Stock Rawmaterial'!G1275</f>
        <v>0</v>
      </c>
      <c r="L156" s="80">
        <f>+'Stock Rawmaterial'!H1275</f>
        <v>0</v>
      </c>
      <c r="M156" s="80">
        <f>+'Stock Rawmaterial'!I1275</f>
        <v>0</v>
      </c>
      <c r="N156" s="287"/>
      <c r="O156" s="1635"/>
      <c r="P156" s="287"/>
      <c r="Q156" s="287">
        <f>+'Stock Rawmaterial'!K1275</f>
        <v>0</v>
      </c>
      <c r="R156" s="466"/>
      <c r="S156" s="264"/>
      <c r="T156" s="467"/>
    </row>
    <row r="157" spans="1:20" s="265" customFormat="1" ht="30" hidden="1" customHeight="1" x14ac:dyDescent="0.2">
      <c r="A157" s="2084"/>
      <c r="B157" s="2269"/>
      <c r="C157" s="574">
        <f>'Stock Rawmaterial'!C1276</f>
        <v>0</v>
      </c>
      <c r="D157" s="881" t="s">
        <v>10</v>
      </c>
      <c r="E157" s="882">
        <f>'Stock Rawmaterial'!E1276</f>
        <v>44736</v>
      </c>
      <c r="F157" s="71" t="e">
        <f>#REF!-E157</f>
        <v>#REF!</v>
      </c>
      <c r="G157" s="71"/>
      <c r="H157" s="1617"/>
      <c r="I157" s="1618"/>
      <c r="J157" s="1619"/>
      <c r="K157" s="80">
        <f>'Stock Rawmaterial'!G1276</f>
        <v>0</v>
      </c>
      <c r="L157" s="80">
        <f>+'Stock Rawmaterial'!H1276</f>
        <v>0</v>
      </c>
      <c r="M157" s="80">
        <f>+'Stock Rawmaterial'!I1276</f>
        <v>0</v>
      </c>
      <c r="N157" s="287"/>
      <c r="O157" s="1635"/>
      <c r="P157" s="287"/>
      <c r="Q157" s="287">
        <f>+'Stock Rawmaterial'!K1276</f>
        <v>0</v>
      </c>
      <c r="R157" s="466"/>
      <c r="S157" s="264"/>
      <c r="T157" s="467"/>
    </row>
    <row r="158" spans="1:20" s="265" customFormat="1" ht="30" hidden="1" customHeight="1" x14ac:dyDescent="0.2">
      <c r="A158" s="2084"/>
      <c r="B158" s="2269"/>
      <c r="C158" s="574">
        <f>+'Stock Rawmaterial'!C1277</f>
        <v>0</v>
      </c>
      <c r="D158" s="881" t="s">
        <v>10</v>
      </c>
      <c r="E158" s="882">
        <f>+'Stock Rawmaterial'!E1277</f>
        <v>44610</v>
      </c>
      <c r="F158" s="71" t="e">
        <f>#REF!-E158</f>
        <v>#REF!</v>
      </c>
      <c r="G158" s="71"/>
      <c r="H158" s="1617"/>
      <c r="I158" s="1618"/>
      <c r="J158" s="1619"/>
      <c r="K158" s="80">
        <f>+'Stock Rawmaterial'!G1277</f>
        <v>0</v>
      </c>
      <c r="L158" s="80">
        <f>+'Stock Rawmaterial'!H1277</f>
        <v>0</v>
      </c>
      <c r="M158" s="80">
        <f>+'Stock Rawmaterial'!I1277</f>
        <v>0</v>
      </c>
      <c r="N158" s="287"/>
      <c r="O158" s="1635"/>
      <c r="P158" s="287"/>
      <c r="Q158" s="287">
        <f>+'Stock Rawmaterial'!K1277</f>
        <v>0</v>
      </c>
      <c r="R158" s="466"/>
      <c r="S158" s="264"/>
      <c r="T158" s="467"/>
    </row>
    <row r="159" spans="1:20" s="265" customFormat="1" ht="30" hidden="1" customHeight="1" x14ac:dyDescent="0.2">
      <c r="A159" s="2084"/>
      <c r="B159" s="2269"/>
      <c r="C159" s="1153" t="str">
        <f>+'Stock Rawmaterial'!C1278</f>
        <v>Feedmil</v>
      </c>
      <c r="D159" s="1154" t="s">
        <v>10</v>
      </c>
      <c r="E159" s="1155">
        <f>+'Stock Rawmaterial'!E1278</f>
        <v>44935</v>
      </c>
      <c r="F159" s="73" t="e">
        <f>#REF!-E159</f>
        <v>#REF!</v>
      </c>
      <c r="G159" s="73"/>
      <c r="H159" s="1580"/>
      <c r="I159" s="1581"/>
      <c r="J159" s="1599"/>
      <c r="K159" s="1583">
        <f>+'Stock Rawmaterial'!G1278</f>
        <v>0</v>
      </c>
      <c r="L159" s="77">
        <f>+'Stock Rawmaterial'!H1278</f>
        <v>0</v>
      </c>
      <c r="M159" s="1583">
        <f>+'Stock Rawmaterial'!I1278</f>
        <v>0</v>
      </c>
      <c r="N159" s="283"/>
      <c r="O159" s="281">
        <f>'Stock Rawmaterial'!J1278</f>
        <v>0</v>
      </c>
      <c r="P159" s="283"/>
      <c r="Q159" s="332">
        <f>+'Stock Rawmaterial'!K1278</f>
        <v>0</v>
      </c>
      <c r="R159" s="466"/>
      <c r="S159" s="264"/>
      <c r="T159" s="467"/>
    </row>
    <row r="160" spans="1:20" s="265" customFormat="1" ht="30" hidden="1" customHeight="1" x14ac:dyDescent="0.2">
      <c r="A160" s="2085"/>
      <c r="B160" s="2285"/>
      <c r="C160" s="1007" t="s">
        <v>76</v>
      </c>
      <c r="D160" s="884" t="s">
        <v>10</v>
      </c>
      <c r="E160" s="885">
        <v>42728</v>
      </c>
      <c r="F160" s="293" t="e">
        <f>#REF!-E160</f>
        <v>#REF!</v>
      </c>
      <c r="G160" s="293"/>
      <c r="H160" s="1620"/>
      <c r="I160" s="1621"/>
      <c r="J160" s="1622"/>
      <c r="K160" s="166">
        <v>0</v>
      </c>
      <c r="L160" s="166"/>
      <c r="M160" s="166"/>
      <c r="N160" s="331"/>
      <c r="O160" s="1529"/>
      <c r="P160" s="331"/>
      <c r="Q160" s="331"/>
      <c r="R160" s="466"/>
      <c r="S160" s="264"/>
      <c r="T160" s="467"/>
    </row>
    <row r="161" spans="1:20" s="265" customFormat="1" ht="30" hidden="1" customHeight="1" x14ac:dyDescent="0.2">
      <c r="A161" s="184"/>
      <c r="B161" s="184" t="s">
        <v>301</v>
      </c>
      <c r="C161" s="575"/>
      <c r="D161" s="900"/>
      <c r="E161" s="901"/>
      <c r="F161" s="901"/>
      <c r="G161" s="901"/>
      <c r="H161" s="1623"/>
      <c r="I161" s="1623"/>
      <c r="J161" s="1624"/>
      <c r="K161" s="235">
        <f>+SUM(K154:K159)</f>
        <v>0</v>
      </c>
      <c r="L161" s="235">
        <f t="shared" ref="L161:Q161" si="22">+SUM(L154:L160)</f>
        <v>0</v>
      </c>
      <c r="M161" s="235">
        <f>+SUM(M154:M160)</f>
        <v>0</v>
      </c>
      <c r="N161" s="928">
        <v>0</v>
      </c>
      <c r="O161" s="928">
        <f t="shared" si="22"/>
        <v>0</v>
      </c>
      <c r="P161" s="928">
        <f t="shared" si="22"/>
        <v>0</v>
      </c>
      <c r="Q161" s="928">
        <f t="shared" si="22"/>
        <v>0</v>
      </c>
      <c r="R161" s="466"/>
      <c r="S161" s="264"/>
      <c r="T161" s="467"/>
    </row>
    <row r="162" spans="1:20" s="265" customFormat="1" ht="30" hidden="1" customHeight="1" x14ac:dyDescent="0.2">
      <c r="A162" s="2083">
        <f>IF(M168=0,"",MAX($A$15:A161)+1)</f>
        <v>10</v>
      </c>
      <c r="B162" s="2281" t="s">
        <v>210</v>
      </c>
      <c r="C162" s="127">
        <f>'Stock Rawmaterial'!C1189</f>
        <v>0</v>
      </c>
      <c r="D162" s="881" t="s">
        <v>10</v>
      </c>
      <c r="E162" s="867">
        <f>'Stock Rawmaterial'!E1189</f>
        <v>46038</v>
      </c>
      <c r="F162" s="358">
        <f>'Stock Rawmaterial'!F1189</f>
        <v>248</v>
      </c>
      <c r="G162" s="1685">
        <v>46446</v>
      </c>
      <c r="H162" s="1739">
        <f>'Stock Rawmaterial'!G1189</f>
        <v>0</v>
      </c>
      <c r="I162" s="1739">
        <f>'Stock Rawmaterial'!H1189</f>
        <v>0</v>
      </c>
      <c r="J162" s="1739">
        <f>'Stock Rawmaterial'!I1189</f>
        <v>0</v>
      </c>
      <c r="K162" s="1739">
        <f>'Stock Rawmaterial'!J1189</f>
        <v>0</v>
      </c>
      <c r="L162" s="1739">
        <f>'Stock Rawmaterial'!K1189</f>
        <v>0</v>
      </c>
      <c r="M162" s="1671">
        <f>'Stock Rawmaterial'!L1189</f>
        <v>0</v>
      </c>
      <c r="N162" s="287"/>
      <c r="O162" s="1635"/>
      <c r="P162" s="287"/>
      <c r="Q162" s="287"/>
      <c r="R162" s="466"/>
      <c r="S162" s="264"/>
      <c r="T162" s="467"/>
    </row>
    <row r="163" spans="1:20" s="265" customFormat="1" ht="30" customHeight="1" x14ac:dyDescent="0.2">
      <c r="A163" s="2084"/>
      <c r="B163" s="2282"/>
      <c r="C163" s="127">
        <f>'Stock Rawmaterial'!C1190</f>
        <v>0</v>
      </c>
      <c r="D163" s="881" t="s">
        <v>10</v>
      </c>
      <c r="E163" s="867">
        <f>'Stock Rawmaterial'!E1190</f>
        <v>46233</v>
      </c>
      <c r="F163" s="358">
        <f>'Stock Rawmaterial'!F1190</f>
        <v>53</v>
      </c>
      <c r="G163" s="1953">
        <v>46446</v>
      </c>
      <c r="H163" s="1739">
        <f>'Stock Rawmaterial'!G1190</f>
        <v>0</v>
      </c>
      <c r="I163" s="1739">
        <f>'Stock Rawmaterial'!H1190</f>
        <v>0</v>
      </c>
      <c r="J163" s="1739">
        <f>'Stock Rawmaterial'!I1190</f>
        <v>0</v>
      </c>
      <c r="K163" s="1739">
        <f>'Stock Rawmaterial'!J1190</f>
        <v>0</v>
      </c>
      <c r="L163" s="1739">
        <f>'Stock Rawmaterial'!K1190</f>
        <v>0</v>
      </c>
      <c r="M163" s="1671">
        <f>'Stock Rawmaterial'!L1190</f>
        <v>0</v>
      </c>
      <c r="N163" s="287"/>
      <c r="O163" s="1635"/>
      <c r="P163" s="287"/>
      <c r="Q163" s="287"/>
      <c r="R163" s="466"/>
      <c r="S163" s="264"/>
      <c r="T163" s="467"/>
    </row>
    <row r="164" spans="1:20" s="265" customFormat="1" ht="30" customHeight="1" x14ac:dyDescent="0.2">
      <c r="A164" s="2084"/>
      <c r="B164" s="2282"/>
      <c r="C164" s="127" t="str">
        <f>'Stock Rawmaterial'!C1191</f>
        <v>E3</v>
      </c>
      <c r="D164" s="881" t="s">
        <v>10</v>
      </c>
      <c r="E164" s="867">
        <f>'Stock Rawmaterial'!E1191</f>
        <v>46247</v>
      </c>
      <c r="F164" s="358">
        <f>'Stock Rawmaterial'!F1191</f>
        <v>39</v>
      </c>
      <c r="G164" s="1953">
        <v>46446</v>
      </c>
      <c r="H164" s="1739">
        <f>'Stock Rawmaterial'!G1191</f>
        <v>0</v>
      </c>
      <c r="I164" s="1739">
        <f>'Stock Rawmaterial'!H1191</f>
        <v>0</v>
      </c>
      <c r="J164" s="1739">
        <f>'Stock Rawmaterial'!I1191</f>
        <v>0</v>
      </c>
      <c r="K164" s="1739">
        <f>'Stock Rawmaterial'!J1191</f>
        <v>0</v>
      </c>
      <c r="L164" s="1739">
        <f>'Stock Rawmaterial'!K1191</f>
        <v>0</v>
      </c>
      <c r="M164" s="1671">
        <f>'Stock Rawmaterial'!L1191</f>
        <v>0</v>
      </c>
      <c r="N164" s="287"/>
      <c r="O164" s="1635"/>
      <c r="P164" s="287"/>
      <c r="Q164" s="287"/>
      <c r="R164" s="466"/>
      <c r="S164" s="264"/>
      <c r="T164" s="467"/>
    </row>
    <row r="165" spans="1:20" s="265" customFormat="1" ht="30" customHeight="1" x14ac:dyDescent="0.2">
      <c r="A165" s="2121"/>
      <c r="B165" s="2283"/>
      <c r="C165" s="127" t="str">
        <f>'Stock Rawmaterial'!C1192</f>
        <v>E3</v>
      </c>
      <c r="D165" s="881" t="s">
        <v>10</v>
      </c>
      <c r="E165" s="867">
        <f>'Stock Rawmaterial'!E1192</f>
        <v>46262</v>
      </c>
      <c r="F165" s="358">
        <f>'Stock Rawmaterial'!F1192</f>
        <v>24</v>
      </c>
      <c r="G165" s="1953">
        <v>46446</v>
      </c>
      <c r="H165" s="1739">
        <f>'Stock Rawmaterial'!G1192</f>
        <v>50</v>
      </c>
      <c r="I165" s="1739">
        <f>'Stock Rawmaterial'!H1192</f>
        <v>0</v>
      </c>
      <c r="J165" s="1739">
        <f>'Stock Rawmaterial'!I1192</f>
        <v>0</v>
      </c>
      <c r="K165" s="1739">
        <f>'Stock Rawmaterial'!J1192</f>
        <v>0</v>
      </c>
      <c r="L165" s="1739">
        <f>'Stock Rawmaterial'!K1192</f>
        <v>0</v>
      </c>
      <c r="M165" s="1671">
        <f>'Stock Rawmaterial'!L1192</f>
        <v>50</v>
      </c>
      <c r="N165" s="287"/>
      <c r="O165" s="1635"/>
      <c r="P165" s="287"/>
      <c r="Q165" s="287"/>
      <c r="R165" s="466"/>
      <c r="S165" s="264"/>
      <c r="T165" s="467"/>
    </row>
    <row r="166" spans="1:20" s="265" customFormat="1" ht="30" hidden="1" customHeight="1" x14ac:dyDescent="0.2">
      <c r="A166" s="2084"/>
      <c r="B166" s="2282"/>
      <c r="C166" s="127">
        <f>'Stock Rawmaterial'!C1193</f>
        <v>0</v>
      </c>
      <c r="D166" s="881" t="s">
        <v>10</v>
      </c>
      <c r="E166" s="867">
        <f>'Stock Rawmaterial'!E1193</f>
        <v>46233</v>
      </c>
      <c r="F166" s="358">
        <f>'Stock Rawmaterial'!F1193</f>
        <v>53</v>
      </c>
      <c r="G166" s="1953">
        <v>46446</v>
      </c>
      <c r="H166" s="1739">
        <f>'Stock Rawmaterial'!G1193</f>
        <v>0</v>
      </c>
      <c r="I166" s="1739">
        <f>'Stock Rawmaterial'!H1193</f>
        <v>0</v>
      </c>
      <c r="J166" s="1739">
        <f>'Stock Rawmaterial'!I1193</f>
        <v>0</v>
      </c>
      <c r="K166" s="1739">
        <f>'Stock Rawmaterial'!J1193</f>
        <v>0</v>
      </c>
      <c r="L166" s="1739">
        <f>'Stock Rawmaterial'!K1193</f>
        <v>0</v>
      </c>
      <c r="M166" s="1671">
        <f>'Stock Rawmaterial'!L1193</f>
        <v>0</v>
      </c>
      <c r="N166" s="287"/>
      <c r="O166" s="1635"/>
      <c r="P166" s="287"/>
      <c r="Q166" s="287"/>
      <c r="R166" s="466"/>
      <c r="S166" s="264"/>
      <c r="T166" s="467"/>
    </row>
    <row r="167" spans="1:20" s="265" customFormat="1" ht="30" customHeight="1" x14ac:dyDescent="0.2">
      <c r="A167" s="2085"/>
      <c r="B167" s="2282"/>
      <c r="C167" s="1156" t="str">
        <f>'Stock Rawmaterial'!C1194</f>
        <v>Feedmil</v>
      </c>
      <c r="D167" s="1154" t="s">
        <v>10</v>
      </c>
      <c r="E167" s="1155">
        <f>'Stock Rawmaterial'!E1194</f>
        <v>46247</v>
      </c>
      <c r="F167" s="358">
        <f>'Stock Rawmaterial'!F1194</f>
        <v>39</v>
      </c>
      <c r="G167" s="1954">
        <v>46446</v>
      </c>
      <c r="H167" s="1739">
        <f>'Stock Rawmaterial'!G1194</f>
        <v>31.95</v>
      </c>
      <c r="I167" s="1739">
        <f>'Stock Rawmaterial'!H1194</f>
        <v>0</v>
      </c>
      <c r="J167" s="1739">
        <f>'Stock Rawmaterial'!I1194</f>
        <v>0</v>
      </c>
      <c r="K167" s="1739">
        <f>'Stock Rawmaterial'!J1194</f>
        <v>0</v>
      </c>
      <c r="L167" s="1739">
        <f>'Stock Rawmaterial'!K1194</f>
        <v>0</v>
      </c>
      <c r="M167" s="1671">
        <f>'Stock Rawmaterial'!L1194</f>
        <v>31.95</v>
      </c>
      <c r="N167" s="568"/>
      <c r="O167" s="1641"/>
      <c r="P167" s="568"/>
      <c r="Q167" s="568"/>
      <c r="R167" s="466"/>
      <c r="S167" s="264"/>
      <c r="T167" s="467"/>
    </row>
    <row r="168" spans="1:20" s="265" customFormat="1" ht="30" customHeight="1" x14ac:dyDescent="0.2">
      <c r="A168" s="184"/>
      <c r="B168" s="184" t="s">
        <v>555</v>
      </c>
      <c r="C168" s="575"/>
      <c r="D168" s="900"/>
      <c r="E168" s="901"/>
      <c r="F168" s="902"/>
      <c r="G168" s="902"/>
      <c r="H168" s="235">
        <f t="shared" ref="H168:L168" si="23">+SUM(H162:H167)</f>
        <v>81.95</v>
      </c>
      <c r="I168" s="235">
        <f t="shared" si="23"/>
        <v>0</v>
      </c>
      <c r="J168" s="235">
        <f t="shared" si="23"/>
        <v>0</v>
      </c>
      <c r="K168" s="235">
        <f t="shared" si="23"/>
        <v>0</v>
      </c>
      <c r="L168" s="235">
        <f t="shared" si="23"/>
        <v>0</v>
      </c>
      <c r="M168" s="235">
        <f t="shared" ref="M168" si="24">+SUM(M162:M167)</f>
        <v>81.95</v>
      </c>
      <c r="N168" s="928">
        <f>'Stock Rawmaterial'!M1195</f>
        <v>1.3133333333333332</v>
      </c>
      <c r="O168" s="928">
        <f>'Stock Rawmaterial'!N1195</f>
        <v>62.398477157360411</v>
      </c>
      <c r="P168" s="928">
        <f>'Stock Rawmaterial'!O1195</f>
        <v>2.8333333333333335</v>
      </c>
      <c r="Q168" s="928">
        <f>'Stock Rawmaterial'!P1195</f>
        <v>28.923529411764704</v>
      </c>
      <c r="R168" s="466"/>
      <c r="S168" s="264"/>
      <c r="T168" s="467"/>
    </row>
    <row r="169" spans="1:20" s="265" customFormat="1" ht="30" hidden="1" customHeight="1" x14ac:dyDescent="0.2">
      <c r="A169" s="2083" t="str">
        <f>IF(M174=0,"",MAX($A$15:A168)+1)</f>
        <v/>
      </c>
      <c r="B169" s="2153" t="s">
        <v>563</v>
      </c>
      <c r="C169" s="574">
        <f>'Stock Rawmaterial'!C1325</f>
        <v>0</v>
      </c>
      <c r="D169" s="881" t="str">
        <f>'Stock Rawmaterial'!D1325</f>
        <v>Rec.</v>
      </c>
      <c r="E169" s="882">
        <f>'Stock Rawmaterial'!E1325</f>
        <v>46129</v>
      </c>
      <c r="F169" s="71">
        <f>'Stock Rawmaterial'!F1325</f>
        <v>157</v>
      </c>
      <c r="G169" s="1953">
        <v>46234</v>
      </c>
      <c r="H169" s="80">
        <f>'Stock Rawmaterial'!G1325</f>
        <v>0</v>
      </c>
      <c r="I169" s="80">
        <f>'Stock Rawmaterial'!H1325</f>
        <v>0</v>
      </c>
      <c r="J169" s="80">
        <f>'Stock Rawmaterial'!I1325</f>
        <v>0</v>
      </c>
      <c r="K169" s="1574">
        <f>'Stock Rawmaterial'!J1325</f>
        <v>0</v>
      </c>
      <c r="L169" s="80">
        <f>'Stock Rawmaterial'!K1325</f>
        <v>0</v>
      </c>
      <c r="M169" s="1671">
        <f>'Stock Rawmaterial'!L1325</f>
        <v>0</v>
      </c>
      <c r="N169" s="333"/>
      <c r="O169" s="1642"/>
      <c r="P169" s="333"/>
      <c r="Q169" s="333"/>
      <c r="R169" s="466"/>
      <c r="S169" s="264"/>
      <c r="T169" s="467"/>
    </row>
    <row r="170" spans="1:20" s="265" customFormat="1" ht="30" hidden="1" customHeight="1" x14ac:dyDescent="0.2">
      <c r="A170" s="2084"/>
      <c r="B170" s="2155"/>
      <c r="C170" s="574">
        <f>'Stock Rawmaterial'!C1326</f>
        <v>0</v>
      </c>
      <c r="D170" s="881" t="str">
        <f>'Stock Rawmaterial'!D1326</f>
        <v>Rec.</v>
      </c>
      <c r="E170" s="882">
        <f>'Stock Rawmaterial'!E1326</f>
        <v>46162</v>
      </c>
      <c r="F170" s="71">
        <f>'Stock Rawmaterial'!F1326</f>
        <v>124</v>
      </c>
      <c r="G170" s="1953">
        <v>46599</v>
      </c>
      <c r="H170" s="80">
        <f>'Stock Rawmaterial'!G1326</f>
        <v>0</v>
      </c>
      <c r="I170" s="80">
        <f>'Stock Rawmaterial'!H1326</f>
        <v>0</v>
      </c>
      <c r="J170" s="80">
        <f>'Stock Rawmaterial'!I1326</f>
        <v>0</v>
      </c>
      <c r="K170" s="1574">
        <f>'Stock Rawmaterial'!J1326</f>
        <v>0</v>
      </c>
      <c r="L170" s="80">
        <f>'Stock Rawmaterial'!K1326</f>
        <v>0</v>
      </c>
      <c r="M170" s="1671">
        <f>'Stock Rawmaterial'!L1326</f>
        <v>0</v>
      </c>
      <c r="N170" s="287"/>
      <c r="O170" s="287"/>
      <c r="P170" s="287"/>
      <c r="Q170" s="287"/>
      <c r="R170" s="466"/>
      <c r="S170" s="264"/>
      <c r="T170" s="467"/>
    </row>
    <row r="171" spans="1:20" s="265" customFormat="1" ht="30" hidden="1" customHeight="1" x14ac:dyDescent="0.2">
      <c r="A171" s="2084"/>
      <c r="B171" s="2155"/>
      <c r="C171" s="574" t="str">
        <f>'Stock Rawmaterial'!C1327</f>
        <v>E1</v>
      </c>
      <c r="D171" s="881" t="str">
        <f>'Stock Rawmaterial'!D1327</f>
        <v>Rec.</v>
      </c>
      <c r="E171" s="882">
        <f>'Stock Rawmaterial'!E1327</f>
        <v>46185</v>
      </c>
      <c r="F171" s="71">
        <f>'Stock Rawmaterial'!F1327</f>
        <v>101</v>
      </c>
      <c r="G171" s="1953">
        <v>46234</v>
      </c>
      <c r="H171" s="80">
        <f>'Stock Rawmaterial'!G1327</f>
        <v>0</v>
      </c>
      <c r="I171" s="80">
        <f>'Stock Rawmaterial'!H1327</f>
        <v>0</v>
      </c>
      <c r="J171" s="80">
        <f>'Stock Rawmaterial'!I1327</f>
        <v>0</v>
      </c>
      <c r="K171" s="1574">
        <f>'Stock Rawmaterial'!J1327</f>
        <v>0</v>
      </c>
      <c r="L171" s="80">
        <f>'Stock Rawmaterial'!K1327</f>
        <v>0</v>
      </c>
      <c r="M171" s="1575">
        <f>'Stock Rawmaterial'!L1327</f>
        <v>0</v>
      </c>
      <c r="N171" s="332"/>
      <c r="O171" s="286"/>
      <c r="P171" s="332"/>
      <c r="Q171" s="332"/>
      <c r="R171" s="466"/>
      <c r="S171" s="264"/>
      <c r="T171" s="467"/>
    </row>
    <row r="172" spans="1:20" s="265" customFormat="1" ht="30" hidden="1" customHeight="1" x14ac:dyDescent="0.2">
      <c r="A172" s="2121"/>
      <c r="B172" s="2156"/>
      <c r="C172" s="574">
        <f>'Stock Rawmaterial'!C1328</f>
        <v>0</v>
      </c>
      <c r="D172" s="881" t="str">
        <f>'Stock Rawmaterial'!D1328</f>
        <v>Rec.</v>
      </c>
      <c r="E172" s="882">
        <f>'Stock Rawmaterial'!E1328</f>
        <v>46185</v>
      </c>
      <c r="F172" s="71">
        <f>'Stock Rawmaterial'!F1328</f>
        <v>101</v>
      </c>
      <c r="G172" s="1953">
        <v>46599</v>
      </c>
      <c r="H172" s="80">
        <f>'Stock Rawmaterial'!G1328</f>
        <v>0</v>
      </c>
      <c r="I172" s="80">
        <f>'Stock Rawmaterial'!H1328</f>
        <v>0</v>
      </c>
      <c r="J172" s="80">
        <f>'Stock Rawmaterial'!I1328</f>
        <v>0</v>
      </c>
      <c r="K172" s="1574">
        <f>'Stock Rawmaterial'!J1328</f>
        <v>0</v>
      </c>
      <c r="L172" s="80">
        <f>'Stock Rawmaterial'!K1328</f>
        <v>0</v>
      </c>
      <c r="M172" s="1575">
        <f>'Stock Rawmaterial'!L1328</f>
        <v>0</v>
      </c>
      <c r="N172" s="332"/>
      <c r="O172" s="286"/>
      <c r="P172" s="332"/>
      <c r="Q172" s="332"/>
      <c r="R172" s="466"/>
      <c r="S172" s="264"/>
      <c r="T172" s="467"/>
    </row>
    <row r="173" spans="1:20" s="265" customFormat="1" ht="30" hidden="1" customHeight="1" x14ac:dyDescent="0.2">
      <c r="A173" s="2084"/>
      <c r="B173" s="2155"/>
      <c r="C173" s="1153" t="str">
        <f>'Stock Rawmaterial'!C1329</f>
        <v>Feedmill</v>
      </c>
      <c r="D173" s="1154" t="str">
        <f>'Stock Rawmaterial'!D1329</f>
        <v>Rec.</v>
      </c>
      <c r="E173" s="1155">
        <f>'Stock Rawmaterial'!E1329</f>
        <v>46185</v>
      </c>
      <c r="F173" s="566">
        <f>'Stock Rawmaterial'!F1329</f>
        <v>101</v>
      </c>
      <c r="G173" s="1954">
        <v>46234</v>
      </c>
      <c r="H173" s="567">
        <f>'Stock Rawmaterial'!G1329</f>
        <v>0</v>
      </c>
      <c r="I173" s="567">
        <f>'Stock Rawmaterial'!H1329</f>
        <v>0</v>
      </c>
      <c r="J173" s="567">
        <f>'Stock Rawmaterial'!I1329</f>
        <v>0</v>
      </c>
      <c r="K173" s="1693">
        <f>'Stock Rawmaterial'!J1329</f>
        <v>0</v>
      </c>
      <c r="L173" s="567">
        <f>'Stock Rawmaterial'!K1329</f>
        <v>0</v>
      </c>
      <c r="M173" s="1694">
        <f>'Stock Rawmaterial'!L1329</f>
        <v>0</v>
      </c>
      <c r="N173" s="555"/>
      <c r="O173" s="1643"/>
      <c r="P173" s="555"/>
      <c r="Q173" s="555"/>
      <c r="R173" s="466"/>
      <c r="S173" s="264"/>
      <c r="T173" s="467"/>
    </row>
    <row r="174" spans="1:20" s="265" customFormat="1" ht="30" hidden="1" customHeight="1" x14ac:dyDescent="0.2">
      <c r="A174" s="1144"/>
      <c r="B174" s="184" t="s">
        <v>564</v>
      </c>
      <c r="C174" s="915"/>
      <c r="D174" s="900"/>
      <c r="E174" s="901"/>
      <c r="F174" s="902"/>
      <c r="G174" s="902"/>
      <c r="H174" s="235">
        <f t="shared" ref="H174:L174" si="25">+SUM(H169:H173)</f>
        <v>0</v>
      </c>
      <c r="I174" s="235">
        <f t="shared" si="25"/>
        <v>0</v>
      </c>
      <c r="J174" s="235">
        <f t="shared" si="25"/>
        <v>0</v>
      </c>
      <c r="K174" s="235">
        <f t="shared" si="25"/>
        <v>0</v>
      </c>
      <c r="L174" s="235">
        <f t="shared" si="25"/>
        <v>0</v>
      </c>
      <c r="M174" s="235">
        <f t="shared" ref="M174" si="26">+SUM(M169:M173)</f>
        <v>0</v>
      </c>
      <c r="N174" s="928" t="str">
        <f>'Stock Rawmaterial'!M1330</f>
        <v/>
      </c>
      <c r="O174" s="928">
        <f>'Stock Rawmaterial'!N1330</f>
        <v>0</v>
      </c>
      <c r="P174" s="928">
        <f>'Stock Rawmaterial'!O1330</f>
        <v>0</v>
      </c>
      <c r="Q174" s="928">
        <f>'Stock Rawmaterial'!P1330</f>
        <v>0</v>
      </c>
      <c r="R174" s="466"/>
      <c r="S174" s="264"/>
      <c r="T174" s="467"/>
    </row>
    <row r="175" spans="1:20" s="265" customFormat="1" ht="30" hidden="1" customHeight="1" x14ac:dyDescent="0.2">
      <c r="A175" s="2083" t="str">
        <f>IF(M180=0,"",MAX($A$15:A174)+1)</f>
        <v/>
      </c>
      <c r="B175" s="2281" t="s">
        <v>580</v>
      </c>
      <c r="C175" s="574" t="str">
        <f>'Stock Rawmaterial'!C1134</f>
        <v>V2.1</v>
      </c>
      <c r="D175" s="881" t="s">
        <v>10</v>
      </c>
      <c r="E175" s="882">
        <f>'Stock Rawmaterial'!E1134</f>
        <v>44181</v>
      </c>
      <c r="F175" s="71" t="e">
        <f>#REF!-E175</f>
        <v>#REF!</v>
      </c>
      <c r="G175" s="71"/>
      <c r="H175" s="1617"/>
      <c r="I175" s="1618"/>
      <c r="J175" s="1619"/>
      <c r="K175" s="80">
        <f>'Stock Rawmaterial'!G1134</f>
        <v>0</v>
      </c>
      <c r="L175" s="80">
        <f>'Stock Rawmaterial'!H1134</f>
        <v>0</v>
      </c>
      <c r="M175" s="80">
        <f>'Stock Rawmaterial'!I1134</f>
        <v>0</v>
      </c>
      <c r="N175" s="287"/>
      <c r="O175" s="1635">
        <f>'Stock Rawmaterial'!J1134</f>
        <v>0</v>
      </c>
      <c r="P175" s="287"/>
      <c r="Q175" s="287">
        <f>'Stock Rawmaterial'!K1134</f>
        <v>0</v>
      </c>
      <c r="R175" s="466"/>
      <c r="S175" s="264"/>
      <c r="T175" s="467"/>
    </row>
    <row r="176" spans="1:20" s="265" customFormat="1" ht="30" hidden="1" customHeight="1" x14ac:dyDescent="0.2">
      <c r="A176" s="2084"/>
      <c r="B176" s="2282"/>
      <c r="C176" s="574" t="str">
        <f>'Stock Rawmaterial'!C1135</f>
        <v>V6.1</v>
      </c>
      <c r="D176" s="881" t="s">
        <v>10</v>
      </c>
      <c r="E176" s="882">
        <f>'Stock Rawmaterial'!E1135</f>
        <v>44475</v>
      </c>
      <c r="F176" s="71" t="e">
        <f>#REF!-E176</f>
        <v>#REF!</v>
      </c>
      <c r="G176" s="71"/>
      <c r="H176" s="1617"/>
      <c r="I176" s="1618"/>
      <c r="J176" s="1619"/>
      <c r="K176" s="80">
        <f>'Stock Rawmaterial'!G1135</f>
        <v>0</v>
      </c>
      <c r="L176" s="80">
        <f>'Stock Rawmaterial'!H1135</f>
        <v>0</v>
      </c>
      <c r="M176" s="80">
        <f>'Stock Rawmaterial'!I1135</f>
        <v>0</v>
      </c>
      <c r="N176" s="287"/>
      <c r="O176" s="1635">
        <f>'Stock Rawmaterial'!J1135</f>
        <v>0</v>
      </c>
      <c r="P176" s="287"/>
      <c r="Q176" s="287">
        <f>'Stock Rawmaterial'!K1135</f>
        <v>0</v>
      </c>
      <c r="R176" s="466"/>
      <c r="S176" s="264"/>
      <c r="T176" s="467"/>
    </row>
    <row r="177" spans="1:44" s="265" customFormat="1" ht="30" hidden="1" customHeight="1" x14ac:dyDescent="0.2">
      <c r="A177" s="2084"/>
      <c r="B177" s="2282"/>
      <c r="C177" s="574">
        <f>'Stock Rawmaterial'!C1136</f>
        <v>0</v>
      </c>
      <c r="D177" s="881" t="s">
        <v>10</v>
      </c>
      <c r="E177" s="882">
        <f>'Stock Rawmaterial'!E1136</f>
        <v>44475</v>
      </c>
      <c r="F177" s="71" t="e">
        <f>#REF!-E177</f>
        <v>#REF!</v>
      </c>
      <c r="G177" s="71"/>
      <c r="H177" s="1617"/>
      <c r="I177" s="1618"/>
      <c r="J177" s="1619"/>
      <c r="K177" s="80">
        <f>'Stock Rawmaterial'!G1136</f>
        <v>0</v>
      </c>
      <c r="L177" s="80">
        <f>'Stock Rawmaterial'!H1136</f>
        <v>0</v>
      </c>
      <c r="M177" s="80">
        <f>'Stock Rawmaterial'!I1136</f>
        <v>0</v>
      </c>
      <c r="N177" s="287"/>
      <c r="O177" s="1635">
        <f>'Stock Rawmaterial'!J1136</f>
        <v>0</v>
      </c>
      <c r="P177" s="287"/>
      <c r="Q177" s="287">
        <f>'Stock Rawmaterial'!K1136</f>
        <v>0</v>
      </c>
      <c r="R177" s="466"/>
      <c r="S177" s="264"/>
      <c r="T177" s="467"/>
    </row>
    <row r="178" spans="1:44" s="265" customFormat="1" ht="30" hidden="1" customHeight="1" x14ac:dyDescent="0.2">
      <c r="A178" s="2084"/>
      <c r="B178" s="2282"/>
      <c r="C178" s="1143">
        <f>'Stock Rawmaterial'!C1137</f>
        <v>0</v>
      </c>
      <c r="D178" s="881" t="s">
        <v>10</v>
      </c>
      <c r="E178" s="882">
        <f>'Stock Rawmaterial'!E1137</f>
        <v>44475</v>
      </c>
      <c r="F178" s="71" t="e">
        <f>#REF!-E178</f>
        <v>#REF!</v>
      </c>
      <c r="G178" s="71"/>
      <c r="H178" s="1617"/>
      <c r="I178" s="1618"/>
      <c r="J178" s="1619"/>
      <c r="K178" s="80">
        <f>'Stock Rawmaterial'!G1137</f>
        <v>0</v>
      </c>
      <c r="L178" s="80">
        <f>'Stock Rawmaterial'!H1137</f>
        <v>0</v>
      </c>
      <c r="M178" s="80">
        <f>'Stock Rawmaterial'!I1137</f>
        <v>0</v>
      </c>
      <c r="N178" s="287"/>
      <c r="O178" s="1635">
        <f>'Stock Rawmaterial'!J1137</f>
        <v>0</v>
      </c>
      <c r="P178" s="287"/>
      <c r="Q178" s="287">
        <f>'Stock Rawmaterial'!K1137</f>
        <v>0</v>
      </c>
      <c r="R178" s="466"/>
      <c r="S178" s="264"/>
      <c r="T178" s="467"/>
    </row>
    <row r="179" spans="1:44" s="265" customFormat="1" ht="30" hidden="1" customHeight="1" x14ac:dyDescent="0.2">
      <c r="A179" s="2085"/>
      <c r="B179" s="2282"/>
      <c r="C179" s="138" t="str">
        <f>'Stock Rawmaterial'!C1138</f>
        <v>Feedmill</v>
      </c>
      <c r="D179" s="884" t="str">
        <f>'Stock Rawmaterial'!D1138</f>
        <v>Rec.</v>
      </c>
      <c r="E179" s="885">
        <f>'Stock Rawmaterial'!E1138</f>
        <v>44475</v>
      </c>
      <c r="F179" s="1157" t="e">
        <f>#REF!-E179</f>
        <v>#REF!</v>
      </c>
      <c r="G179" s="1678"/>
      <c r="H179" s="1625"/>
      <c r="I179" s="1626"/>
      <c r="J179" s="1627"/>
      <c r="K179" s="567">
        <f>'Stock Rawmaterial'!G1138</f>
        <v>0</v>
      </c>
      <c r="L179" s="567">
        <f>'Stock Rawmaterial'!H1138</f>
        <v>0</v>
      </c>
      <c r="M179" s="567">
        <f>'Stock Rawmaterial'!I1138</f>
        <v>0</v>
      </c>
      <c r="N179" s="568"/>
      <c r="O179" s="1641">
        <f>'Stock Rawmaterial'!J1138</f>
        <v>0</v>
      </c>
      <c r="P179" s="568"/>
      <c r="Q179" s="568">
        <f>'Stock Rawmaterial'!K1138</f>
        <v>0</v>
      </c>
      <c r="R179" s="466"/>
      <c r="S179" s="264"/>
      <c r="T179" s="467"/>
    </row>
    <row r="180" spans="1:44" s="265" customFormat="1" ht="30" hidden="1" customHeight="1" x14ac:dyDescent="0.2">
      <c r="A180" s="184"/>
      <c r="B180" s="184" t="s">
        <v>582</v>
      </c>
      <c r="C180" s="575"/>
      <c r="D180" s="900"/>
      <c r="E180" s="901"/>
      <c r="F180" s="902"/>
      <c r="G180" s="902"/>
      <c r="H180" s="1615"/>
      <c r="I180" s="353"/>
      <c r="J180" s="1152"/>
      <c r="K180" s="235">
        <f>+SUM(K175:K179)</f>
        <v>0</v>
      </c>
      <c r="L180" s="235">
        <f t="shared" ref="L180:Q180" si="27">+SUM(L175:L179)</f>
        <v>0</v>
      </c>
      <c r="M180" s="235">
        <f t="shared" si="27"/>
        <v>0</v>
      </c>
      <c r="N180" s="928">
        <f t="shared" si="27"/>
        <v>0</v>
      </c>
      <c r="O180" s="928">
        <f t="shared" si="27"/>
        <v>0</v>
      </c>
      <c r="P180" s="928">
        <f t="shared" si="27"/>
        <v>0</v>
      </c>
      <c r="Q180" s="928">
        <f t="shared" si="27"/>
        <v>0</v>
      </c>
      <c r="R180" s="466"/>
      <c r="S180" s="264"/>
      <c r="T180" s="467"/>
    </row>
    <row r="181" spans="1:44" s="265" customFormat="1" ht="30" hidden="1" customHeight="1" x14ac:dyDescent="0.2">
      <c r="A181" s="2083">
        <f>IF(M188=0,"",MAX($A$15:A180)+1)</f>
        <v>11</v>
      </c>
      <c r="B181" s="2281" t="s">
        <v>583</v>
      </c>
      <c r="C181" s="574">
        <f>'Stock Rawmaterial'!C643</f>
        <v>0</v>
      </c>
      <c r="D181" s="881" t="s">
        <v>10</v>
      </c>
      <c r="E181" s="882">
        <f>'Stock Rawmaterial'!E643</f>
        <v>45807</v>
      </c>
      <c r="F181" s="1830">
        <f>'Stock Rawmaterial'!F643</f>
        <v>479</v>
      </c>
      <c r="G181" s="1685">
        <v>46737</v>
      </c>
      <c r="H181" s="1821">
        <f>'Stock Rawmaterial'!G643</f>
        <v>0</v>
      </c>
      <c r="I181" s="1821">
        <f>'Stock Rawmaterial'!H643</f>
        <v>0</v>
      </c>
      <c r="J181" s="1821">
        <f>'Stock Rawmaterial'!I643</f>
        <v>0</v>
      </c>
      <c r="K181" s="1821">
        <f>'Stock Rawmaterial'!J643</f>
        <v>0</v>
      </c>
      <c r="L181" s="1821">
        <f>'Stock Rawmaterial'!K643</f>
        <v>0</v>
      </c>
      <c r="M181" s="1821">
        <f>'Stock Rawmaterial'!L643</f>
        <v>0</v>
      </c>
      <c r="N181" s="287"/>
      <c r="O181" s="287"/>
      <c r="P181" s="287"/>
      <c r="Q181" s="287"/>
      <c r="R181" s="466"/>
      <c r="S181" s="264"/>
      <c r="T181" s="467"/>
    </row>
    <row r="182" spans="1:44" s="265" customFormat="1" ht="30" hidden="1" customHeight="1" x14ac:dyDescent="0.2">
      <c r="A182" s="2084"/>
      <c r="B182" s="2282"/>
      <c r="C182" s="574">
        <f>'Stock Rawmaterial'!C644</f>
        <v>0</v>
      </c>
      <c r="D182" s="881" t="s">
        <v>10</v>
      </c>
      <c r="E182" s="882">
        <f>'Stock Rawmaterial'!E644</f>
        <v>45868</v>
      </c>
      <c r="F182" s="1830">
        <f>'Stock Rawmaterial'!F644</f>
        <v>418</v>
      </c>
      <c r="G182" s="882"/>
      <c r="H182" s="882">
        <f>'Stock Rawmaterial'!G644</f>
        <v>0</v>
      </c>
      <c r="I182" s="1821">
        <f>'Stock Rawmaterial'!H644</f>
        <v>0</v>
      </c>
      <c r="J182" s="1821">
        <f>'Stock Rawmaterial'!I644</f>
        <v>0</v>
      </c>
      <c r="K182" s="1821">
        <f>'Stock Rawmaterial'!J644</f>
        <v>0</v>
      </c>
      <c r="L182" s="1821">
        <f>'Stock Rawmaterial'!K644</f>
        <v>0</v>
      </c>
      <c r="M182" s="1821">
        <f>'Stock Rawmaterial'!L644</f>
        <v>0</v>
      </c>
      <c r="N182" s="287"/>
      <c r="O182" s="287"/>
      <c r="P182" s="287"/>
      <c r="Q182" s="287">
        <f>'Stock Rawmaterial'!K644</f>
        <v>0</v>
      </c>
      <c r="R182" s="466"/>
      <c r="S182" s="264"/>
      <c r="T182" s="467"/>
    </row>
    <row r="183" spans="1:44" s="265" customFormat="1" ht="30" hidden="1" customHeight="1" x14ac:dyDescent="0.2">
      <c r="A183" s="2121"/>
      <c r="B183" s="2283"/>
      <c r="C183" s="574">
        <f>'Stock Rawmaterial'!C645</f>
        <v>0</v>
      </c>
      <c r="D183" s="881" t="s">
        <v>10</v>
      </c>
      <c r="E183" s="882">
        <f>'Stock Rawmaterial'!E645</f>
        <v>45908</v>
      </c>
      <c r="F183" s="1830">
        <f>'Stock Rawmaterial'!F645</f>
        <v>378</v>
      </c>
      <c r="G183" s="882"/>
      <c r="H183" s="882">
        <f>'Stock Rawmaterial'!G645</f>
        <v>0</v>
      </c>
      <c r="I183" s="1821">
        <f>'Stock Rawmaterial'!H645</f>
        <v>0</v>
      </c>
      <c r="J183" s="1821">
        <f>'Stock Rawmaterial'!I645</f>
        <v>0</v>
      </c>
      <c r="K183" s="1821">
        <f>'Stock Rawmaterial'!J645</f>
        <v>0</v>
      </c>
      <c r="L183" s="1821">
        <f>'Stock Rawmaterial'!K645</f>
        <v>0</v>
      </c>
      <c r="M183" s="1821">
        <f>'Stock Rawmaterial'!L645</f>
        <v>0</v>
      </c>
      <c r="N183" s="287"/>
      <c r="O183" s="287"/>
      <c r="P183" s="287"/>
      <c r="Q183" s="287">
        <f>'Stock Rawmaterial'!K645</f>
        <v>0</v>
      </c>
      <c r="R183" s="1166"/>
      <c r="S183" s="264"/>
      <c r="T183" s="1167"/>
    </row>
    <row r="184" spans="1:44" s="265" customFormat="1" ht="30" hidden="1" customHeight="1" x14ac:dyDescent="0.2">
      <c r="A184" s="2121"/>
      <c r="B184" s="2283"/>
      <c r="C184" s="574">
        <f>'Stock Rawmaterial'!C646</f>
        <v>0</v>
      </c>
      <c r="D184" s="881" t="s">
        <v>10</v>
      </c>
      <c r="E184" s="882">
        <f>'Stock Rawmaterial'!E646</f>
        <v>45996</v>
      </c>
      <c r="F184" s="1830">
        <f>'Stock Rawmaterial'!F646</f>
        <v>290</v>
      </c>
      <c r="G184" s="1685">
        <v>46299</v>
      </c>
      <c r="H184" s="1821">
        <f>'Stock Rawmaterial'!G646</f>
        <v>0</v>
      </c>
      <c r="I184" s="1821">
        <f>'Stock Rawmaterial'!H646</f>
        <v>0</v>
      </c>
      <c r="J184" s="1821">
        <f>'Stock Rawmaterial'!I646</f>
        <v>0</v>
      </c>
      <c r="K184" s="1821">
        <f>'Stock Rawmaterial'!J646</f>
        <v>0</v>
      </c>
      <c r="L184" s="1821">
        <f>'Stock Rawmaterial'!K646</f>
        <v>0</v>
      </c>
      <c r="M184" s="1821">
        <f>'Stock Rawmaterial'!L646</f>
        <v>0</v>
      </c>
      <c r="N184" s="287"/>
      <c r="O184" s="287"/>
      <c r="P184" s="287"/>
      <c r="Q184" s="287"/>
      <c r="R184" s="466"/>
      <c r="S184" s="264"/>
      <c r="T184" s="467"/>
    </row>
    <row r="185" spans="1:44" s="265" customFormat="1" ht="28.5" customHeight="1" x14ac:dyDescent="0.2">
      <c r="A185" s="2121"/>
      <c r="B185" s="2283"/>
      <c r="C185" s="574" t="str">
        <f>'Stock Rawmaterial'!C647</f>
        <v>E3</v>
      </c>
      <c r="D185" s="881" t="s">
        <v>10</v>
      </c>
      <c r="E185" s="882">
        <f>'Stock Rawmaterial'!E647</f>
        <v>46216</v>
      </c>
      <c r="F185" s="1830">
        <f>'Stock Rawmaterial'!F647</f>
        <v>70</v>
      </c>
      <c r="G185" s="1953">
        <v>46613</v>
      </c>
      <c r="H185" s="80">
        <f>'Stock Rawmaterial'!G647</f>
        <v>25</v>
      </c>
      <c r="I185" s="1821">
        <f>'Stock Rawmaterial'!H647</f>
        <v>0</v>
      </c>
      <c r="J185" s="1821">
        <f>'Stock Rawmaterial'!I647</f>
        <v>0</v>
      </c>
      <c r="K185" s="1821">
        <f>'Stock Rawmaterial'!J647</f>
        <v>0</v>
      </c>
      <c r="L185" s="1821">
        <f>'Stock Rawmaterial'!K647</f>
        <v>0</v>
      </c>
      <c r="M185" s="1821">
        <f>'Stock Rawmaterial'!L647</f>
        <v>25</v>
      </c>
      <c r="N185" s="287"/>
      <c r="O185" s="287"/>
      <c r="P185" s="287"/>
      <c r="Q185" s="287"/>
      <c r="R185" s="466"/>
      <c r="S185" s="264"/>
      <c r="T185" s="467"/>
    </row>
    <row r="186" spans="1:44" s="265" customFormat="1" ht="28.5" hidden="1" customHeight="1" x14ac:dyDescent="0.2">
      <c r="A186" s="2121"/>
      <c r="B186" s="2283"/>
      <c r="C186" s="574">
        <f>'Stock Rawmaterial'!C648</f>
        <v>0</v>
      </c>
      <c r="D186" s="881" t="s">
        <v>10</v>
      </c>
      <c r="E186" s="882">
        <f>'Stock Rawmaterial'!E648</f>
        <v>46216</v>
      </c>
      <c r="F186" s="1830">
        <f>'Stock Rawmaterial'!F648</f>
        <v>70</v>
      </c>
      <c r="G186" s="1953">
        <v>46612</v>
      </c>
      <c r="H186" s="1821">
        <f>'Stock Rawmaterial'!G648</f>
        <v>0</v>
      </c>
      <c r="I186" s="1821">
        <f>'Stock Rawmaterial'!H648</f>
        <v>0</v>
      </c>
      <c r="J186" s="1821">
        <f>'Stock Rawmaterial'!I648</f>
        <v>0</v>
      </c>
      <c r="K186" s="1821">
        <f>'Stock Rawmaterial'!J648</f>
        <v>0</v>
      </c>
      <c r="L186" s="1821">
        <f>'Stock Rawmaterial'!K648</f>
        <v>0</v>
      </c>
      <c r="M186" s="1821">
        <f>'Stock Rawmaterial'!L648</f>
        <v>0</v>
      </c>
      <c r="N186" s="287"/>
      <c r="O186" s="287"/>
      <c r="P186" s="287"/>
      <c r="Q186" s="287"/>
      <c r="R186" s="466"/>
      <c r="S186" s="264"/>
      <c r="T186" s="467"/>
    </row>
    <row r="187" spans="1:44" s="265" customFormat="1" ht="30" customHeight="1" x14ac:dyDescent="0.2">
      <c r="A187" s="2085"/>
      <c r="B187" s="2284"/>
      <c r="C187" s="1153" t="str">
        <f>'Stock Rawmaterial'!C649</f>
        <v>Feedmill</v>
      </c>
      <c r="D187" s="1154" t="s">
        <v>10</v>
      </c>
      <c r="E187" s="1155">
        <f>'Stock Rawmaterial'!E649</f>
        <v>46216</v>
      </c>
      <c r="F187" s="1830">
        <f>'Stock Rawmaterial'!F649</f>
        <v>70</v>
      </c>
      <c r="G187" s="1953">
        <v>46613</v>
      </c>
      <c r="H187" s="1821">
        <f>'Stock Rawmaterial'!G649</f>
        <v>16.919999999999987</v>
      </c>
      <c r="I187" s="1821">
        <f>'Stock Rawmaterial'!H649</f>
        <v>0</v>
      </c>
      <c r="J187" s="1821">
        <f>'Stock Rawmaterial'!I649</f>
        <v>0</v>
      </c>
      <c r="K187" s="1821">
        <f>'Stock Rawmaterial'!J649</f>
        <v>0</v>
      </c>
      <c r="L187" s="1821">
        <f>'Stock Rawmaterial'!K649</f>
        <v>0</v>
      </c>
      <c r="M187" s="1821">
        <f>'Stock Rawmaterial'!L649</f>
        <v>16.919999999999987</v>
      </c>
      <c r="N187" s="1821">
        <f>'Stock Rawmaterial'!M649</f>
        <v>0</v>
      </c>
      <c r="O187" s="1821">
        <f>'Stock Rawmaterial'!N649</f>
        <v>0</v>
      </c>
      <c r="P187" s="1821">
        <f>'Stock Rawmaterial'!O649</f>
        <v>0</v>
      </c>
      <c r="Q187" s="1821">
        <f>'Stock Rawmaterial'!P649</f>
        <v>0</v>
      </c>
      <c r="R187" s="466"/>
      <c r="S187" s="264"/>
      <c r="T187" s="467"/>
    </row>
    <row r="188" spans="1:44" s="265" customFormat="1" ht="30" customHeight="1" x14ac:dyDescent="0.2">
      <c r="A188" s="184"/>
      <c r="B188" s="184"/>
      <c r="C188" s="575"/>
      <c r="D188" s="900"/>
      <c r="E188" s="901"/>
      <c r="F188" s="902"/>
      <c r="G188" s="902"/>
      <c r="H188" s="235">
        <f t="shared" ref="H188:J188" si="28">SUM(H181:H187)</f>
        <v>41.919999999999987</v>
      </c>
      <c r="I188" s="235">
        <f t="shared" si="28"/>
        <v>0</v>
      </c>
      <c r="J188" s="235">
        <f t="shared" si="28"/>
        <v>0</v>
      </c>
      <c r="K188" s="235">
        <f>SUM(K181:K187)</f>
        <v>0</v>
      </c>
      <c r="L188" s="235">
        <f t="shared" ref="L188:M188" si="29">SUM(L181:L187)</f>
        <v>0</v>
      </c>
      <c r="M188" s="235">
        <f t="shared" si="29"/>
        <v>41.919999999999987</v>
      </c>
      <c r="N188" s="928">
        <f>'Stock Rawmaterial'!M650</f>
        <v>7.456666666666667</v>
      </c>
      <c r="O188" s="928">
        <f>'Stock Rawmaterial'!N650</f>
        <v>5.6218149307107712</v>
      </c>
      <c r="P188" s="928">
        <f>'Stock Rawmaterial'!O650</f>
        <v>0</v>
      </c>
      <c r="Q188" s="928">
        <f>'Stock Rawmaterial'!P650</f>
        <v>0</v>
      </c>
      <c r="R188" s="466"/>
      <c r="S188" s="264"/>
      <c r="T188" s="467"/>
    </row>
    <row r="189" spans="1:44" s="6" customFormat="1" ht="30" hidden="1" customHeight="1" x14ac:dyDescent="0.3">
      <c r="A189" s="2010" t="str">
        <f>IF(M194=0,"",MAX($A$15:A188)+1)</f>
        <v/>
      </c>
      <c r="B189" s="1161" t="s">
        <v>585</v>
      </c>
      <c r="C189" s="150" t="str">
        <f>'Stock Rawmaterial'!C1210</f>
        <v>Z4.1</v>
      </c>
      <c r="D189" s="881" t="s">
        <v>10</v>
      </c>
      <c r="E189" s="882">
        <f>'Stock Rawmaterial'!E1210</f>
        <v>45149</v>
      </c>
      <c r="F189" s="71" t="e">
        <f>#REF!-E189</f>
        <v>#REF!</v>
      </c>
      <c r="G189" s="1673"/>
      <c r="H189" s="1613"/>
      <c r="I189" s="1613"/>
      <c r="J189" s="1614"/>
      <c r="K189" s="130"/>
      <c r="L189" s="82">
        <f>'Stock Rawmaterial'!H1210</f>
        <v>0</v>
      </c>
      <c r="M189" s="82">
        <f>'Stock Rawmaterial'!I1210</f>
        <v>0</v>
      </c>
      <c r="N189" s="330"/>
      <c r="O189" s="1644">
        <f>'Stock Rawmaterial'!J1210</f>
        <v>0</v>
      </c>
      <c r="P189" s="330"/>
      <c r="Q189" s="330">
        <f>'Stock Rawmaterial'!K1210</f>
        <v>0</v>
      </c>
      <c r="R189" s="498"/>
      <c r="T189" s="10"/>
      <c r="AR189" s="180"/>
    </row>
    <row r="190" spans="1:44" s="6" customFormat="1" ht="30" hidden="1" customHeight="1" x14ac:dyDescent="0.3">
      <c r="A190" s="2002"/>
      <c r="B190" s="1162"/>
      <c r="C190" s="150" t="str">
        <f>'Stock Rawmaterial'!C1211</f>
        <v>A18.5</v>
      </c>
      <c r="D190" s="881" t="s">
        <v>10</v>
      </c>
      <c r="E190" s="882">
        <f>'Stock Rawmaterial'!E1211</f>
        <v>44693</v>
      </c>
      <c r="F190" s="71" t="e">
        <f>#REF!-E190</f>
        <v>#REF!</v>
      </c>
      <c r="G190" s="1673"/>
      <c r="H190" s="1613"/>
      <c r="I190" s="1613"/>
      <c r="J190" s="1614"/>
      <c r="K190" s="130"/>
      <c r="L190" s="82">
        <f>'Stock Rawmaterial'!H1211</f>
        <v>0</v>
      </c>
      <c r="M190" s="82">
        <f>'Stock Rawmaterial'!I1211</f>
        <v>0</v>
      </c>
      <c r="N190" s="330"/>
      <c r="O190" s="1644">
        <f>'Stock Rawmaterial'!J1211</f>
        <v>0</v>
      </c>
      <c r="P190" s="330"/>
      <c r="Q190" s="330">
        <f>'Stock Rawmaterial'!K1211</f>
        <v>0</v>
      </c>
      <c r="R190" s="498"/>
      <c r="T190" s="10"/>
      <c r="AR190" s="180"/>
    </row>
    <row r="191" spans="1:44" s="6" customFormat="1" ht="30" hidden="1" customHeight="1" x14ac:dyDescent="0.3">
      <c r="A191" s="2002"/>
      <c r="B191" s="1162"/>
      <c r="C191" s="150">
        <f>'Stock Rawmaterial'!C1212</f>
        <v>0</v>
      </c>
      <c r="D191" s="881" t="s">
        <v>10</v>
      </c>
      <c r="E191" s="882">
        <f>'Stock Rawmaterial'!E1212</f>
        <v>44693</v>
      </c>
      <c r="F191" s="71" t="e">
        <f>#REF!-E191</f>
        <v>#REF!</v>
      </c>
      <c r="G191" s="1673"/>
      <c r="H191" s="1613"/>
      <c r="I191" s="1613"/>
      <c r="J191" s="1614"/>
      <c r="K191" s="130"/>
      <c r="L191" s="82">
        <f>'Stock Rawmaterial'!H1212</f>
        <v>0</v>
      </c>
      <c r="M191" s="82">
        <f>'Stock Rawmaterial'!I1212</f>
        <v>0</v>
      </c>
      <c r="N191" s="330"/>
      <c r="O191" s="1644">
        <f>'Stock Rawmaterial'!J1212</f>
        <v>0</v>
      </c>
      <c r="P191" s="330"/>
      <c r="Q191" s="330">
        <f>'Stock Rawmaterial'!K1212</f>
        <v>0</v>
      </c>
      <c r="R191" s="498"/>
      <c r="T191" s="10"/>
      <c r="AR191" s="180"/>
    </row>
    <row r="192" spans="1:44" s="6" customFormat="1" ht="30" hidden="1" customHeight="1" x14ac:dyDescent="0.3">
      <c r="A192" s="2002"/>
      <c r="B192" s="1162"/>
      <c r="C192" s="150">
        <f>'Stock Rawmaterial'!C1213</f>
        <v>0</v>
      </c>
      <c r="D192" s="881" t="s">
        <v>10</v>
      </c>
      <c r="E192" s="882">
        <f>'Stock Rawmaterial'!E1213</f>
        <v>44693</v>
      </c>
      <c r="F192" s="71" t="e">
        <f>#REF!-E192</f>
        <v>#REF!</v>
      </c>
      <c r="G192" s="1673"/>
      <c r="H192" s="1613"/>
      <c r="I192" s="1613"/>
      <c r="J192" s="1614"/>
      <c r="K192" s="130"/>
      <c r="L192" s="82">
        <f>'Stock Rawmaterial'!H1213</f>
        <v>0</v>
      </c>
      <c r="M192" s="82">
        <f>'Stock Rawmaterial'!I1213</f>
        <v>0</v>
      </c>
      <c r="N192" s="330"/>
      <c r="O192" s="1644">
        <f>'Stock Rawmaterial'!J1213</f>
        <v>0</v>
      </c>
      <c r="P192" s="330"/>
      <c r="Q192" s="330">
        <f>'Stock Rawmaterial'!K1213</f>
        <v>0</v>
      </c>
      <c r="R192" s="498"/>
      <c r="T192" s="10"/>
      <c r="AR192" s="180"/>
    </row>
    <row r="193" spans="1:44" s="6" customFormat="1" ht="30" hidden="1" customHeight="1" x14ac:dyDescent="0.3">
      <c r="A193" s="2002"/>
      <c r="B193" s="1162"/>
      <c r="C193" s="624" t="str">
        <f>'Stock Rawmaterial'!C1214</f>
        <v>Feedmil</v>
      </c>
      <c r="D193" s="1093" t="s">
        <v>10</v>
      </c>
      <c r="E193" s="1158">
        <f>'Stock Rawmaterial'!E1214</f>
        <v>45149</v>
      </c>
      <c r="F193" s="1095" t="e">
        <f>#REF!-E193</f>
        <v>#REF!</v>
      </c>
      <c r="G193" s="1679"/>
      <c r="H193" s="1628"/>
      <c r="I193" s="1628"/>
      <c r="J193" s="1629"/>
      <c r="K193" s="1630"/>
      <c r="L193" s="626">
        <f>'Stock Rawmaterial'!H1214</f>
        <v>0</v>
      </c>
      <c r="M193" s="626">
        <f>'Stock Rawmaterial'!I1214</f>
        <v>0</v>
      </c>
      <c r="N193" s="629"/>
      <c r="O193" s="1645">
        <f>'Stock Rawmaterial'!J1214</f>
        <v>0</v>
      </c>
      <c r="P193" s="629"/>
      <c r="Q193" s="629">
        <f>'Stock Rawmaterial'!K1214</f>
        <v>0</v>
      </c>
      <c r="R193" s="498"/>
      <c r="T193" s="10"/>
      <c r="AR193" s="180"/>
    </row>
    <row r="194" spans="1:44" s="420" customFormat="1" ht="30" hidden="1" customHeight="1" x14ac:dyDescent="0.2">
      <c r="A194" s="2003"/>
      <c r="B194" s="2004"/>
      <c r="C194" s="125"/>
      <c r="D194" s="1027"/>
      <c r="E194" s="1027"/>
      <c r="F194" s="896"/>
      <c r="G194" s="896"/>
      <c r="H194" s="1631"/>
      <c r="I194" s="1631"/>
      <c r="J194" s="1632"/>
      <c r="K194" s="234">
        <f>+SUM(K189:K193)</f>
        <v>0</v>
      </c>
      <c r="L194" s="234">
        <f t="shared" ref="L194:Q194" si="30">+SUM(L189:L193)</f>
        <v>0</v>
      </c>
      <c r="M194" s="234">
        <f t="shared" si="30"/>
        <v>0</v>
      </c>
      <c r="N194" s="1647">
        <f t="shared" si="30"/>
        <v>0</v>
      </c>
      <c r="O194" s="1647">
        <f t="shared" si="30"/>
        <v>0</v>
      </c>
      <c r="P194" s="1647">
        <f t="shared" si="30"/>
        <v>0</v>
      </c>
      <c r="Q194" s="1647">
        <f t="shared" si="30"/>
        <v>0</v>
      </c>
      <c r="R194" s="499"/>
      <c r="T194" s="500"/>
      <c r="AR194" s="181"/>
    </row>
    <row r="195" spans="1:44" s="6" customFormat="1" ht="30" hidden="1" customHeight="1" x14ac:dyDescent="0.2">
      <c r="A195" s="2010">
        <f>IF(M201=0,"",MAX($A$15:A194)+1)</f>
        <v>12</v>
      </c>
      <c r="B195" s="2153" t="s">
        <v>602</v>
      </c>
      <c r="C195" s="574">
        <f>'Stock Rawmaterial'!C1335</f>
        <v>0</v>
      </c>
      <c r="D195" s="881" t="str">
        <f>'Stock Rawmaterial'!D1335</f>
        <v>Rec.</v>
      </c>
      <c r="E195" s="882">
        <f>'Stock Rawmaterial'!E1335</f>
        <v>45715</v>
      </c>
      <c r="F195" s="71">
        <f>'Stock Rawmaterial'!F1335</f>
        <v>571</v>
      </c>
      <c r="G195" s="1685">
        <v>46377</v>
      </c>
      <c r="H195" s="80">
        <f>'Stock Rawmaterial'!G1335</f>
        <v>0</v>
      </c>
      <c r="I195" s="80">
        <f>'Stock Rawmaterial'!H1335</f>
        <v>0</v>
      </c>
      <c r="J195" s="80">
        <f>'Stock Rawmaterial'!I1335</f>
        <v>0</v>
      </c>
      <c r="K195" s="1574">
        <f>'Stock Rawmaterial'!J1335</f>
        <v>0</v>
      </c>
      <c r="L195" s="80">
        <f>'Stock Rawmaterial'!K1335</f>
        <v>0</v>
      </c>
      <c r="M195" s="1671">
        <f>'Stock Rawmaterial'!L1335</f>
        <v>0</v>
      </c>
      <c r="N195" s="330"/>
      <c r="O195" s="1644"/>
      <c r="P195" s="330"/>
      <c r="Q195" s="330"/>
      <c r="R195" s="498"/>
      <c r="T195" s="10"/>
      <c r="AR195" s="180"/>
    </row>
    <row r="196" spans="1:44" s="6" customFormat="1" ht="30" hidden="1" customHeight="1" x14ac:dyDescent="0.2">
      <c r="A196" s="2002"/>
      <c r="B196" s="2156"/>
      <c r="C196" s="574">
        <f>'Stock Rawmaterial'!C1336</f>
        <v>0</v>
      </c>
      <c r="D196" s="881" t="str">
        <f>'Stock Rawmaterial'!D1336</f>
        <v>Rec.</v>
      </c>
      <c r="E196" s="882">
        <f>'Stock Rawmaterial'!E1336</f>
        <v>45764</v>
      </c>
      <c r="F196" s="71">
        <f>'Stock Rawmaterial'!F1336</f>
        <v>522</v>
      </c>
      <c r="G196" s="1685">
        <v>46426</v>
      </c>
      <c r="H196" s="80">
        <f>'Stock Rawmaterial'!G1336</f>
        <v>0</v>
      </c>
      <c r="I196" s="80">
        <f>'Stock Rawmaterial'!H1336</f>
        <v>0</v>
      </c>
      <c r="J196" s="80">
        <f>'Stock Rawmaterial'!I1336</f>
        <v>0</v>
      </c>
      <c r="K196" s="1574">
        <f>'Stock Rawmaterial'!J1336</f>
        <v>0</v>
      </c>
      <c r="L196" s="80">
        <f>'Stock Rawmaterial'!K1336</f>
        <v>0</v>
      </c>
      <c r="M196" s="1671">
        <f>'Stock Rawmaterial'!L1336</f>
        <v>0</v>
      </c>
      <c r="N196" s="330"/>
      <c r="O196" s="1644"/>
      <c r="P196" s="330"/>
      <c r="Q196" s="330"/>
      <c r="R196" s="775"/>
      <c r="T196" s="773"/>
      <c r="AR196" s="180"/>
    </row>
    <row r="197" spans="1:44" s="6" customFormat="1" ht="30" hidden="1" customHeight="1" x14ac:dyDescent="0.2">
      <c r="A197" s="2002"/>
      <c r="B197" s="2156"/>
      <c r="C197" s="574">
        <f>'Stock Rawmaterial'!C1337</f>
        <v>0</v>
      </c>
      <c r="D197" s="881" t="str">
        <f>'Stock Rawmaterial'!D1337</f>
        <v>Rec.</v>
      </c>
      <c r="E197" s="882">
        <f>'Stock Rawmaterial'!E1337</f>
        <v>46114</v>
      </c>
      <c r="F197" s="71">
        <f>'Stock Rawmaterial'!F1337</f>
        <v>172</v>
      </c>
      <c r="G197" s="1953">
        <v>46773</v>
      </c>
      <c r="H197" s="80">
        <f>'Stock Rawmaterial'!G1337</f>
        <v>0</v>
      </c>
      <c r="I197" s="80">
        <f>'Stock Rawmaterial'!H1337</f>
        <v>0</v>
      </c>
      <c r="J197" s="80">
        <f>'Stock Rawmaterial'!I1337</f>
        <v>0</v>
      </c>
      <c r="K197" s="1574">
        <f>'Stock Rawmaterial'!J1337</f>
        <v>0</v>
      </c>
      <c r="L197" s="80">
        <f>'Stock Rawmaterial'!K1337</f>
        <v>0</v>
      </c>
      <c r="M197" s="1671">
        <f>'Stock Rawmaterial'!L1337</f>
        <v>0</v>
      </c>
      <c r="N197" s="330"/>
      <c r="O197" s="1644"/>
      <c r="P197" s="330"/>
      <c r="Q197" s="330"/>
      <c r="R197" s="775"/>
      <c r="T197" s="773"/>
      <c r="AR197" s="180"/>
    </row>
    <row r="198" spans="1:44" s="6" customFormat="1" ht="27" customHeight="1" x14ac:dyDescent="0.2">
      <c r="A198" s="2002"/>
      <c r="B198" s="2155"/>
      <c r="C198" s="574" t="str">
        <f>'Stock Rawmaterial'!C1338</f>
        <v>E2</v>
      </c>
      <c r="D198" s="881" t="str">
        <f>'Stock Rawmaterial'!D1338</f>
        <v>Rec.</v>
      </c>
      <c r="E198" s="882">
        <f>'Stock Rawmaterial'!E1338</f>
        <v>46206</v>
      </c>
      <c r="F198" s="71">
        <f>'Stock Rawmaterial'!F1338</f>
        <v>80</v>
      </c>
      <c r="G198" s="1953">
        <v>46819</v>
      </c>
      <c r="H198" s="80">
        <f>'Stock Rawmaterial'!G1338</f>
        <v>360</v>
      </c>
      <c r="I198" s="80">
        <f>'Stock Rawmaterial'!H1338</f>
        <v>0</v>
      </c>
      <c r="J198" s="80">
        <f>'Stock Rawmaterial'!I1338</f>
        <v>0</v>
      </c>
      <c r="K198" s="1574">
        <f>'Stock Rawmaterial'!J1338</f>
        <v>0</v>
      </c>
      <c r="L198" s="80">
        <f>'Stock Rawmaterial'!K1338</f>
        <v>0</v>
      </c>
      <c r="M198" s="1671">
        <f>'Stock Rawmaterial'!L1338</f>
        <v>360</v>
      </c>
      <c r="N198" s="330"/>
      <c r="O198" s="1644"/>
      <c r="P198" s="330"/>
      <c r="Q198" s="330"/>
      <c r="R198" s="498"/>
      <c r="T198" s="10"/>
      <c r="AR198" s="180"/>
    </row>
    <row r="199" spans="1:44" s="6" customFormat="1" ht="30" customHeight="1" x14ac:dyDescent="0.2">
      <c r="A199" s="2002"/>
      <c r="B199" s="2156"/>
      <c r="C199" s="574" t="str">
        <f>'Stock Rawmaterial'!C1339</f>
        <v>E2</v>
      </c>
      <c r="D199" s="881" t="str">
        <f>'Stock Rawmaterial'!D1339</f>
        <v>Rec.</v>
      </c>
      <c r="E199" s="882">
        <f>'Stock Rawmaterial'!E1339</f>
        <v>46248</v>
      </c>
      <c r="F199" s="71">
        <f>'Stock Rawmaterial'!F1339</f>
        <v>38</v>
      </c>
      <c r="G199" s="1953">
        <v>46975</v>
      </c>
      <c r="H199" s="80">
        <f>'Stock Rawmaterial'!G1339</f>
        <v>1000</v>
      </c>
      <c r="I199" s="80">
        <f>'Stock Rawmaterial'!H1339</f>
        <v>0</v>
      </c>
      <c r="J199" s="80">
        <f>'Stock Rawmaterial'!I1339</f>
        <v>0</v>
      </c>
      <c r="K199" s="1574">
        <f>'Stock Rawmaterial'!J1339</f>
        <v>0</v>
      </c>
      <c r="L199" s="80">
        <f>'Stock Rawmaterial'!K1339</f>
        <v>0</v>
      </c>
      <c r="M199" s="1671">
        <f>'Stock Rawmaterial'!L1339</f>
        <v>1000</v>
      </c>
      <c r="N199" s="330"/>
      <c r="O199" s="1644"/>
      <c r="P199" s="330"/>
      <c r="Q199" s="330"/>
      <c r="R199" s="498"/>
      <c r="T199" s="10"/>
      <c r="AR199" s="180"/>
    </row>
    <row r="200" spans="1:44" s="6" customFormat="1" ht="30" customHeight="1" x14ac:dyDescent="0.2">
      <c r="A200" s="2002"/>
      <c r="B200" s="2155"/>
      <c r="C200" s="1153" t="str">
        <f>'Stock Rawmaterial'!C1340</f>
        <v>Feedmill</v>
      </c>
      <c r="D200" s="1154" t="str">
        <f>'Stock Rawmaterial'!D1340</f>
        <v>Rec.</v>
      </c>
      <c r="E200" s="1155">
        <f>'Stock Rawmaterial'!E1340</f>
        <v>46206</v>
      </c>
      <c r="F200" s="566">
        <f>'Stock Rawmaterial'!F1340</f>
        <v>80</v>
      </c>
      <c r="G200" s="1954">
        <v>46819</v>
      </c>
      <c r="H200" s="567">
        <f>'Stock Rawmaterial'!G1340</f>
        <v>22.900000000000006</v>
      </c>
      <c r="I200" s="567">
        <f>'Stock Rawmaterial'!H1340</f>
        <v>0</v>
      </c>
      <c r="J200" s="567">
        <f>'Stock Rawmaterial'!I1340</f>
        <v>0</v>
      </c>
      <c r="K200" s="1693">
        <f>'Stock Rawmaterial'!J1340</f>
        <v>0</v>
      </c>
      <c r="L200" s="567">
        <f>'Stock Rawmaterial'!K1340</f>
        <v>0</v>
      </c>
      <c r="M200" s="1694">
        <f>'Stock Rawmaterial'!L1340</f>
        <v>22.900000000000006</v>
      </c>
      <c r="N200" s="287"/>
      <c r="O200" s="287"/>
      <c r="P200" s="287"/>
      <c r="Q200" s="287"/>
      <c r="R200" s="498"/>
      <c r="T200" s="10"/>
      <c r="AR200" s="180"/>
    </row>
    <row r="201" spans="1:44" s="420" customFormat="1" ht="30" customHeight="1" x14ac:dyDescent="0.2">
      <c r="A201" s="2288" t="s">
        <v>1372</v>
      </c>
      <c r="B201" s="2087"/>
      <c r="C201" s="125"/>
      <c r="D201" s="1027"/>
      <c r="E201" s="1160"/>
      <c r="F201" s="896"/>
      <c r="G201" s="896"/>
      <c r="H201" s="234">
        <f t="shared" ref="H201:L201" si="31">+SUM(H195:H200)</f>
        <v>1382.9</v>
      </c>
      <c r="I201" s="234">
        <f t="shared" si="31"/>
        <v>0</v>
      </c>
      <c r="J201" s="234">
        <f t="shared" si="31"/>
        <v>0</v>
      </c>
      <c r="K201" s="234">
        <f t="shared" si="31"/>
        <v>0</v>
      </c>
      <c r="L201" s="234">
        <f t="shared" si="31"/>
        <v>0</v>
      </c>
      <c r="M201" s="234">
        <f t="shared" ref="M201" si="32">+SUM(M195:M200)</f>
        <v>1382.9</v>
      </c>
      <c r="N201" s="1647">
        <f>'Stock Rawmaterial'!M1341</f>
        <v>32.200000000000003</v>
      </c>
      <c r="O201" s="1647">
        <f>'Stock Rawmaterial'!N1341</f>
        <v>42.947204968944099</v>
      </c>
      <c r="P201" s="1647">
        <f>'Stock Rawmaterial'!O1341</f>
        <v>26</v>
      </c>
      <c r="Q201" s="1647">
        <f>'Stock Rawmaterial'!P1341</f>
        <v>53.188461538461539</v>
      </c>
      <c r="R201" s="499"/>
      <c r="T201" s="500"/>
      <c r="AR201" s="181"/>
    </row>
    <row r="202" spans="1:44" s="6" customFormat="1" ht="30" hidden="1" customHeight="1" x14ac:dyDescent="0.2">
      <c r="A202" s="2010" t="str">
        <f>IF(M207=0,"",MAX($A$15:A201)+1)</f>
        <v/>
      </c>
      <c r="B202" s="2286" t="s">
        <v>606</v>
      </c>
      <c r="C202" s="150" t="str">
        <f>'Stock Rawmaterial'!C1342</f>
        <v>Y4.1</v>
      </c>
      <c r="D202" s="881" t="s">
        <v>10</v>
      </c>
      <c r="E202" s="1159">
        <f>'Stock Rawmaterial'!E1342</f>
        <v>44217</v>
      </c>
      <c r="F202" s="71" t="e">
        <f>#REF!-E202</f>
        <v>#REF!</v>
      </c>
      <c r="G202" s="1673"/>
      <c r="H202" s="1613"/>
      <c r="I202" s="1613"/>
      <c r="J202" s="1614"/>
      <c r="K202" s="130">
        <f>'Stock Rawmaterial'!G1342</f>
        <v>0</v>
      </c>
      <c r="L202" s="82">
        <f>'Stock Rawmaterial'!H1342</f>
        <v>0</v>
      </c>
      <c r="M202" s="82">
        <f>'Stock Rawmaterial'!I1342</f>
        <v>0</v>
      </c>
      <c r="N202" s="330"/>
      <c r="O202" s="1644">
        <f>'Stock Rawmaterial'!J1342</f>
        <v>0</v>
      </c>
      <c r="P202" s="330"/>
      <c r="Q202" s="330">
        <f>'Stock Rawmaterial'!K1342</f>
        <v>0</v>
      </c>
      <c r="R202" s="498"/>
      <c r="T202" s="10"/>
      <c r="AR202" s="180"/>
    </row>
    <row r="203" spans="1:44" s="6" customFormat="1" ht="30" hidden="1" customHeight="1" x14ac:dyDescent="0.2">
      <c r="A203" s="2002"/>
      <c r="B203" s="2287"/>
      <c r="C203" s="150" t="str">
        <f>'Stock Rawmaterial'!C1343</f>
        <v>Y4.1</v>
      </c>
      <c r="D203" s="881" t="s">
        <v>10</v>
      </c>
      <c r="E203" s="1159">
        <f>'Stock Rawmaterial'!E1343</f>
        <v>44217</v>
      </c>
      <c r="F203" s="71" t="e">
        <f>#REF!-E203</f>
        <v>#REF!</v>
      </c>
      <c r="G203" s="1673"/>
      <c r="H203" s="1613"/>
      <c r="I203" s="1613"/>
      <c r="J203" s="1614"/>
      <c r="K203" s="130">
        <f>'Stock Rawmaterial'!G1343</f>
        <v>0</v>
      </c>
      <c r="L203" s="82">
        <f>'Stock Rawmaterial'!H1343</f>
        <v>0</v>
      </c>
      <c r="M203" s="82">
        <f>'Stock Rawmaterial'!I1343</f>
        <v>0</v>
      </c>
      <c r="N203" s="330"/>
      <c r="O203" s="1644">
        <f>'Stock Rawmaterial'!J1343</f>
        <v>0</v>
      </c>
      <c r="P203" s="330"/>
      <c r="Q203" s="330">
        <f>'Stock Rawmaterial'!K1343</f>
        <v>0</v>
      </c>
      <c r="R203" s="498"/>
      <c r="T203" s="10"/>
      <c r="AR203" s="180"/>
    </row>
    <row r="204" spans="1:44" s="6" customFormat="1" ht="30" hidden="1" customHeight="1" x14ac:dyDescent="0.2">
      <c r="A204" s="2002"/>
      <c r="B204" s="2287"/>
      <c r="C204" s="150" t="str">
        <f>'Stock Rawmaterial'!C1344</f>
        <v>Y4.1</v>
      </c>
      <c r="D204" s="881" t="s">
        <v>10</v>
      </c>
      <c r="E204" s="1159">
        <f>'Stock Rawmaterial'!E1344</f>
        <v>44217</v>
      </c>
      <c r="F204" s="71" t="e">
        <f>#REF!-E204</f>
        <v>#REF!</v>
      </c>
      <c r="G204" s="1673"/>
      <c r="H204" s="1613"/>
      <c r="I204" s="1613"/>
      <c r="J204" s="1614"/>
      <c r="K204" s="130">
        <f>'Stock Rawmaterial'!G1344</f>
        <v>0</v>
      </c>
      <c r="L204" s="82">
        <f>'Stock Rawmaterial'!H1344</f>
        <v>0</v>
      </c>
      <c r="M204" s="82">
        <f>'Stock Rawmaterial'!I1344</f>
        <v>0</v>
      </c>
      <c r="N204" s="330"/>
      <c r="O204" s="1644">
        <f>'Stock Rawmaterial'!J1344</f>
        <v>0</v>
      </c>
      <c r="P204" s="330"/>
      <c r="Q204" s="330">
        <f>'Stock Rawmaterial'!K1344</f>
        <v>0</v>
      </c>
      <c r="R204" s="498"/>
      <c r="T204" s="10"/>
      <c r="AR204" s="180"/>
    </row>
    <row r="205" spans="1:44" s="6" customFormat="1" ht="30" hidden="1" customHeight="1" x14ac:dyDescent="0.2">
      <c r="A205" s="2002"/>
      <c r="B205" s="2287"/>
      <c r="C205" s="150" t="str">
        <f>'Stock Rawmaterial'!C1345</f>
        <v>Y4.1</v>
      </c>
      <c r="D205" s="881" t="s">
        <v>10</v>
      </c>
      <c r="E205" s="1159">
        <f>'Stock Rawmaterial'!E1345</f>
        <v>44217</v>
      </c>
      <c r="F205" s="71" t="e">
        <f>#REF!-E205</f>
        <v>#REF!</v>
      </c>
      <c r="G205" s="1673"/>
      <c r="H205" s="1613"/>
      <c r="I205" s="1613"/>
      <c r="J205" s="1614"/>
      <c r="K205" s="130">
        <f>'Stock Rawmaterial'!G1345</f>
        <v>0</v>
      </c>
      <c r="L205" s="82">
        <f>'Stock Rawmaterial'!H1345</f>
        <v>0</v>
      </c>
      <c r="M205" s="82">
        <f>'Stock Rawmaterial'!I1345</f>
        <v>0</v>
      </c>
      <c r="N205" s="330"/>
      <c r="O205" s="1644">
        <f>'Stock Rawmaterial'!J1345</f>
        <v>0</v>
      </c>
      <c r="P205" s="330"/>
      <c r="Q205" s="330">
        <f>'Stock Rawmaterial'!K1345</f>
        <v>0</v>
      </c>
      <c r="R205" s="498"/>
      <c r="T205" s="10"/>
      <c r="AR205" s="180"/>
    </row>
    <row r="206" spans="1:44" s="6" customFormat="1" ht="30" hidden="1" customHeight="1" x14ac:dyDescent="0.2">
      <c r="A206" s="2002"/>
      <c r="B206" s="2287"/>
      <c r="C206" s="635" t="str">
        <f>'Stock Rawmaterial'!C1346</f>
        <v>Feedmil</v>
      </c>
      <c r="D206" s="1154" t="s">
        <v>10</v>
      </c>
      <c r="E206" s="1290">
        <f>'Stock Rawmaterial'!E1346</f>
        <v>44217</v>
      </c>
      <c r="F206" s="566" t="e">
        <f>#REF!-E206</f>
        <v>#REF!</v>
      </c>
      <c r="G206" s="1680"/>
      <c r="H206" s="1633"/>
      <c r="I206" s="1633"/>
      <c r="J206" s="1634"/>
      <c r="K206" s="130">
        <f>'Stock Rawmaterial'!G1346</f>
        <v>0</v>
      </c>
      <c r="L206" s="82">
        <f>'Stock Rawmaterial'!H1346</f>
        <v>0</v>
      </c>
      <c r="M206" s="82">
        <f>'Stock Rawmaterial'!I1346</f>
        <v>0</v>
      </c>
      <c r="N206" s="330"/>
      <c r="O206" s="1644">
        <f>'Stock Rawmaterial'!J1346</f>
        <v>0</v>
      </c>
      <c r="P206" s="330"/>
      <c r="Q206" s="330">
        <f>'Stock Rawmaterial'!K1346</f>
        <v>0</v>
      </c>
      <c r="R206" s="498"/>
      <c r="T206" s="10"/>
      <c r="AR206" s="180"/>
    </row>
    <row r="207" spans="1:44" s="420" customFormat="1" ht="30" hidden="1" customHeight="1" x14ac:dyDescent="0.2">
      <c r="A207" s="2003"/>
      <c r="B207" s="2004"/>
      <c r="C207" s="125"/>
      <c r="D207" s="1027"/>
      <c r="E207" s="1027"/>
      <c r="F207" s="896"/>
      <c r="G207" s="896"/>
      <c r="H207" s="1631"/>
      <c r="I207" s="1631"/>
      <c r="J207" s="1631"/>
      <c r="K207" s="234">
        <f t="shared" ref="K207:Q207" si="33">+SUM(K202:K206)</f>
        <v>0</v>
      </c>
      <c r="L207" s="234">
        <f t="shared" si="33"/>
        <v>0</v>
      </c>
      <c r="M207" s="234">
        <f t="shared" si="33"/>
        <v>0</v>
      </c>
      <c r="N207" s="1647">
        <f t="shared" si="33"/>
        <v>0</v>
      </c>
      <c r="O207" s="1647">
        <f t="shared" si="33"/>
        <v>0</v>
      </c>
      <c r="P207" s="1647">
        <f t="shared" si="33"/>
        <v>0</v>
      </c>
      <c r="Q207" s="1647">
        <f t="shared" si="33"/>
        <v>0</v>
      </c>
      <c r="R207" s="499"/>
      <c r="T207" s="500"/>
      <c r="AR207" s="181"/>
    </row>
    <row r="208" spans="1:44" s="6" customFormat="1" ht="30" hidden="1" customHeight="1" x14ac:dyDescent="0.2">
      <c r="A208" s="2010" t="str">
        <f>IF(M213=0,"",MAX($A$15:A207)+1)</f>
        <v/>
      </c>
      <c r="B208" s="2286" t="s">
        <v>875</v>
      </c>
      <c r="C208" s="150" t="str">
        <f>'Stock Rawmaterial'!C797</f>
        <v>E2</v>
      </c>
      <c r="D208" s="881" t="s">
        <v>10</v>
      </c>
      <c r="E208" s="1159">
        <f>'Stock Rawmaterial'!E797</f>
        <v>45787</v>
      </c>
      <c r="F208" s="71" t="e">
        <f>#REF!-E208</f>
        <v>#REF!</v>
      </c>
      <c r="G208" s="1673"/>
      <c r="H208" s="1613"/>
      <c r="I208" s="1613"/>
      <c r="J208" s="1614"/>
      <c r="K208" s="130"/>
      <c r="L208" s="130"/>
      <c r="M208" s="130"/>
      <c r="N208" s="1648"/>
      <c r="O208" s="1648"/>
      <c r="P208" s="1648"/>
      <c r="Q208" s="1648">
        <f>'Stock Rawmaterial'!K797</f>
        <v>0</v>
      </c>
      <c r="R208" s="498"/>
      <c r="T208" s="10"/>
      <c r="AR208" s="180"/>
    </row>
    <row r="209" spans="1:44" s="6" customFormat="1" ht="30" hidden="1" customHeight="1" x14ac:dyDescent="0.2">
      <c r="A209" s="2002"/>
      <c r="B209" s="2287"/>
      <c r="C209" s="150">
        <f>'Stock Rawmaterial'!C798</f>
        <v>0</v>
      </c>
      <c r="D209" s="881" t="s">
        <v>10</v>
      </c>
      <c r="E209" s="1159">
        <f>'Stock Rawmaterial'!E798</f>
        <v>44274</v>
      </c>
      <c r="F209" s="71" t="e">
        <f>#REF!-E209</f>
        <v>#REF!</v>
      </c>
      <c r="G209" s="1673"/>
      <c r="H209" s="1613"/>
      <c r="I209" s="1613"/>
      <c r="J209" s="1614"/>
      <c r="K209" s="130"/>
      <c r="L209" s="130"/>
      <c r="M209" s="130"/>
      <c r="N209" s="1648"/>
      <c r="O209" s="1648"/>
      <c r="P209" s="1648"/>
      <c r="Q209" s="1648">
        <f>'Stock Rawmaterial'!K798</f>
        <v>0</v>
      </c>
      <c r="R209" s="498"/>
      <c r="T209" s="10"/>
      <c r="AR209" s="180"/>
    </row>
    <row r="210" spans="1:44" s="6" customFormat="1" ht="30" hidden="1" customHeight="1" x14ac:dyDescent="0.2">
      <c r="A210" s="2002"/>
      <c r="B210" s="2287"/>
      <c r="C210" s="150">
        <f>'Stock Rawmaterial'!C799</f>
        <v>0</v>
      </c>
      <c r="D210" s="881" t="s">
        <v>10</v>
      </c>
      <c r="E210" s="1159">
        <f>'Stock Rawmaterial'!E799</f>
        <v>44281</v>
      </c>
      <c r="F210" s="71" t="e">
        <f>#REF!-E210</f>
        <v>#REF!</v>
      </c>
      <c r="G210" s="1673"/>
      <c r="H210" s="1613"/>
      <c r="I210" s="1613"/>
      <c r="J210" s="1614"/>
      <c r="K210" s="130"/>
      <c r="L210" s="130"/>
      <c r="M210" s="130"/>
      <c r="N210" s="1648"/>
      <c r="O210" s="1648"/>
      <c r="P210" s="1648"/>
      <c r="Q210" s="1648">
        <f>'Stock Rawmaterial'!K799</f>
        <v>0</v>
      </c>
      <c r="R210" s="498"/>
      <c r="T210" s="10"/>
      <c r="AR210" s="180"/>
    </row>
    <row r="211" spans="1:44" s="6" customFormat="1" ht="30" hidden="1" customHeight="1" x14ac:dyDescent="0.2">
      <c r="A211" s="2002"/>
      <c r="B211" s="2287"/>
      <c r="C211" s="150">
        <f>'Stock Rawmaterial'!C800</f>
        <v>0</v>
      </c>
      <c r="D211" s="881" t="s">
        <v>10</v>
      </c>
      <c r="E211" s="1159">
        <f>'Stock Rawmaterial'!E800</f>
        <v>44216</v>
      </c>
      <c r="F211" s="71" t="e">
        <f>#REF!-E211</f>
        <v>#REF!</v>
      </c>
      <c r="G211" s="1673"/>
      <c r="H211" s="1613"/>
      <c r="I211" s="1613"/>
      <c r="J211" s="1614"/>
      <c r="K211" s="130"/>
      <c r="L211" s="130"/>
      <c r="M211" s="130"/>
      <c r="N211" s="1648"/>
      <c r="O211" s="1648"/>
      <c r="P211" s="1648"/>
      <c r="Q211" s="1648">
        <f>'Stock Rawmaterial'!K800</f>
        <v>0</v>
      </c>
      <c r="R211" s="498"/>
      <c r="T211" s="10"/>
      <c r="AR211" s="180"/>
    </row>
    <row r="212" spans="1:44" s="6" customFormat="1" ht="30" hidden="1" customHeight="1" x14ac:dyDescent="0.2">
      <c r="A212" s="2002"/>
      <c r="B212" s="2287"/>
      <c r="C212" s="635" t="str">
        <f>'Stock Rawmaterial'!C801</f>
        <v>Feedmill</v>
      </c>
      <c r="D212" s="1154" t="s">
        <v>10</v>
      </c>
      <c r="E212" s="1290">
        <f>'Stock Rawmaterial'!E801</f>
        <v>45787</v>
      </c>
      <c r="F212" s="566" t="e">
        <f>#REF!-E212</f>
        <v>#REF!</v>
      </c>
      <c r="G212" s="1680"/>
      <c r="H212" s="1633"/>
      <c r="I212" s="1633"/>
      <c r="J212" s="1634"/>
      <c r="K212" s="130"/>
      <c r="L212" s="130"/>
      <c r="M212" s="130"/>
      <c r="N212" s="1648"/>
      <c r="O212" s="1648"/>
      <c r="P212" s="1648"/>
      <c r="Q212" s="1648">
        <f>'Stock Rawmaterial'!K801</f>
        <v>0</v>
      </c>
      <c r="R212" s="498"/>
      <c r="T212" s="10"/>
      <c r="AR212" s="180"/>
    </row>
    <row r="213" spans="1:44" s="420" customFormat="1" ht="29.25" hidden="1" customHeight="1" x14ac:dyDescent="0.2">
      <c r="A213" s="2003"/>
      <c r="B213" s="2004"/>
      <c r="C213" s="125"/>
      <c r="D213" s="1027"/>
      <c r="E213" s="1027"/>
      <c r="F213" s="896"/>
      <c r="G213" s="896"/>
      <c r="H213" s="1631"/>
      <c r="I213" s="1631"/>
      <c r="J213" s="1631"/>
      <c r="K213" s="234">
        <f t="shared" ref="K213:Q213" si="34">+SUM(K208:K212)</f>
        <v>0</v>
      </c>
      <c r="L213" s="234">
        <f t="shared" si="34"/>
        <v>0</v>
      </c>
      <c r="M213" s="234">
        <f t="shared" si="34"/>
        <v>0</v>
      </c>
      <c r="N213" s="1647">
        <f t="shared" si="34"/>
        <v>0</v>
      </c>
      <c r="O213" s="1647">
        <f t="shared" si="34"/>
        <v>0</v>
      </c>
      <c r="P213" s="1647">
        <f t="shared" si="34"/>
        <v>0</v>
      </c>
      <c r="Q213" s="1647">
        <f t="shared" si="34"/>
        <v>0</v>
      </c>
      <c r="R213" s="499"/>
      <c r="T213" s="500"/>
      <c r="AR213" s="181"/>
    </row>
    <row r="214" spans="1:44" s="6" customFormat="1" ht="30" hidden="1" customHeight="1" x14ac:dyDescent="0.2">
      <c r="A214" s="2010">
        <f>IF(M219=0,"",MAX($A$15:A213)+1)</f>
        <v>13</v>
      </c>
      <c r="B214" s="2153" t="s">
        <v>917</v>
      </c>
      <c r="C214" s="150">
        <f>'Stock Rawmaterial'!C803</f>
        <v>0</v>
      </c>
      <c r="D214" s="881" t="s">
        <v>10</v>
      </c>
      <c r="E214" s="1159">
        <f>'Stock Rawmaterial'!E803</f>
        <v>46192</v>
      </c>
      <c r="F214" s="1858">
        <f>'Stock Rawmaterial'!F803</f>
        <v>94</v>
      </c>
      <c r="G214" s="1953">
        <v>46724</v>
      </c>
      <c r="H214" s="1613">
        <f>'Stock Rawmaterial'!G803</f>
        <v>0</v>
      </c>
      <c r="I214" s="1613">
        <f>'Stock Rawmaterial'!H803</f>
        <v>0</v>
      </c>
      <c r="J214" s="1613">
        <f>'Stock Rawmaterial'!I803</f>
        <v>0</v>
      </c>
      <c r="K214" s="1613">
        <f>'Stock Rawmaterial'!J803</f>
        <v>0</v>
      </c>
      <c r="L214" s="1613">
        <f>'Stock Rawmaterial'!K803</f>
        <v>0</v>
      </c>
      <c r="M214" s="1613">
        <f>'Stock Rawmaterial'!L803</f>
        <v>0</v>
      </c>
      <c r="N214" s="1648"/>
      <c r="O214" s="1648"/>
      <c r="P214" s="1648"/>
      <c r="Q214" s="1648"/>
      <c r="R214" s="498"/>
      <c r="T214" s="10"/>
      <c r="AR214" s="180"/>
    </row>
    <row r="215" spans="1:44" s="6" customFormat="1" ht="30" customHeight="1" x14ac:dyDescent="0.2">
      <c r="A215" s="2002"/>
      <c r="B215" s="2156"/>
      <c r="C215" s="150" t="str">
        <f>'Stock Rawmaterial'!C804</f>
        <v>E2</v>
      </c>
      <c r="D215" s="881" t="s">
        <v>10</v>
      </c>
      <c r="E215" s="1159">
        <f>'Stock Rawmaterial'!E804</f>
        <v>46247</v>
      </c>
      <c r="F215" s="1858">
        <f>'Stock Rawmaterial'!F804</f>
        <v>39</v>
      </c>
      <c r="G215" s="1953">
        <v>46880</v>
      </c>
      <c r="H215" s="1613">
        <f>'Stock Rawmaterial'!G804</f>
        <v>40</v>
      </c>
      <c r="I215" s="1613">
        <f>'Stock Rawmaterial'!H804</f>
        <v>0</v>
      </c>
      <c r="J215" s="1613">
        <f>'Stock Rawmaterial'!I804</f>
        <v>0</v>
      </c>
      <c r="K215" s="1613">
        <f>'Stock Rawmaterial'!J804</f>
        <v>0</v>
      </c>
      <c r="L215" s="1613">
        <f>'Stock Rawmaterial'!K804</f>
        <v>40</v>
      </c>
      <c r="M215" s="1613">
        <f>'Stock Rawmaterial'!L804</f>
        <v>0</v>
      </c>
      <c r="N215" s="1613">
        <f>'Stock Rawmaterial'!M804</f>
        <v>0</v>
      </c>
      <c r="O215" s="1613">
        <f>'Stock Rawmaterial'!N804</f>
        <v>0</v>
      </c>
      <c r="P215" s="1613">
        <f>'Stock Rawmaterial'!O804</f>
        <v>0</v>
      </c>
      <c r="Q215" s="1613">
        <f>'Stock Rawmaterial'!P804</f>
        <v>0</v>
      </c>
      <c r="R215" s="775"/>
      <c r="T215" s="773"/>
      <c r="AR215" s="180"/>
    </row>
    <row r="216" spans="1:44" s="6" customFormat="1" ht="30" customHeight="1" x14ac:dyDescent="0.2">
      <c r="A216" s="2002"/>
      <c r="B216" s="2155"/>
      <c r="C216" s="150" t="str">
        <f>'Stock Rawmaterial'!C805</f>
        <v>E2</v>
      </c>
      <c r="D216" s="881" t="s">
        <v>10</v>
      </c>
      <c r="E216" s="1159">
        <f>'Stock Rawmaterial'!E805</f>
        <v>46262</v>
      </c>
      <c r="F216" s="1858">
        <f>'Stock Rawmaterial'!F805</f>
        <v>24</v>
      </c>
      <c r="G216" s="1953">
        <v>46937</v>
      </c>
      <c r="H216" s="1613">
        <f>'Stock Rawmaterial'!G805</f>
        <v>1000</v>
      </c>
      <c r="I216" s="1613">
        <f>'Stock Rawmaterial'!H805</f>
        <v>0</v>
      </c>
      <c r="J216" s="1613">
        <f>'Stock Rawmaterial'!I805</f>
        <v>0</v>
      </c>
      <c r="K216" s="1613">
        <f>'Stock Rawmaterial'!J805</f>
        <v>0</v>
      </c>
      <c r="L216" s="1613">
        <f>'Stock Rawmaterial'!K805</f>
        <v>0</v>
      </c>
      <c r="M216" s="1613">
        <f>'Stock Rawmaterial'!L805</f>
        <v>1000</v>
      </c>
      <c r="N216" s="1613">
        <f>'Stock Rawmaterial'!M805</f>
        <v>0</v>
      </c>
      <c r="O216" s="1613">
        <f>'Stock Rawmaterial'!N805</f>
        <v>0</v>
      </c>
      <c r="P216" s="1613">
        <f>'Stock Rawmaterial'!O805</f>
        <v>0</v>
      </c>
      <c r="Q216" s="1613">
        <f>'Stock Rawmaterial'!P805</f>
        <v>0</v>
      </c>
      <c r="R216" s="498"/>
      <c r="T216" s="10"/>
      <c r="AR216" s="180"/>
    </row>
    <row r="217" spans="1:44" s="6" customFormat="1" ht="30" hidden="1" customHeight="1" x14ac:dyDescent="0.2">
      <c r="A217" s="2002"/>
      <c r="B217" s="2156"/>
      <c r="C217" s="150" t="str">
        <f>'Stock Rawmaterial'!C806</f>
        <v>E2</v>
      </c>
      <c r="D217" s="881" t="s">
        <v>10</v>
      </c>
      <c r="E217" s="1159">
        <f>'Stock Rawmaterial'!E806</f>
        <v>46270</v>
      </c>
      <c r="F217" s="1858">
        <f>'Stock Rawmaterial'!F806</f>
        <v>16</v>
      </c>
      <c r="G217" s="1953">
        <v>46796</v>
      </c>
      <c r="H217" s="1613">
        <f>'Stock Rawmaterial'!G806</f>
        <v>500</v>
      </c>
      <c r="I217" s="1613">
        <f>'Stock Rawmaterial'!H806</f>
        <v>0</v>
      </c>
      <c r="J217" s="1613">
        <f>'Stock Rawmaterial'!I806</f>
        <v>0</v>
      </c>
      <c r="K217" s="1613">
        <f>'Stock Rawmaterial'!J806</f>
        <v>0</v>
      </c>
      <c r="L217" s="1613">
        <f>'Stock Rawmaterial'!K806</f>
        <v>0</v>
      </c>
      <c r="M217" s="1613">
        <f>'Stock Rawmaterial'!L806</f>
        <v>500</v>
      </c>
      <c r="N217" s="1613">
        <f>'Stock Rawmaterial'!M806</f>
        <v>0</v>
      </c>
      <c r="O217" s="1613">
        <f>'Stock Rawmaterial'!N806</f>
        <v>0</v>
      </c>
      <c r="P217" s="1613">
        <f>'Stock Rawmaterial'!O806</f>
        <v>0</v>
      </c>
      <c r="Q217" s="1613">
        <f>'Stock Rawmaterial'!P806</f>
        <v>0</v>
      </c>
      <c r="R217" s="841"/>
      <c r="T217" s="773"/>
      <c r="AR217" s="180"/>
    </row>
    <row r="218" spans="1:44" s="6" customFormat="1" ht="30" customHeight="1" x14ac:dyDescent="0.2">
      <c r="A218" s="2002"/>
      <c r="B218" s="2155"/>
      <c r="C218" s="150" t="str">
        <f>'Stock Rawmaterial'!C807</f>
        <v>Feedmill</v>
      </c>
      <c r="D218" s="881" t="s">
        <v>10</v>
      </c>
      <c r="E218" s="1159">
        <f>'Stock Rawmaterial'!E807</f>
        <v>46247</v>
      </c>
      <c r="F218" s="1858">
        <f>'Stock Rawmaterial'!F807</f>
        <v>39</v>
      </c>
      <c r="G218" s="1953">
        <v>46880</v>
      </c>
      <c r="H218" s="1613">
        <f>'Stock Rawmaterial'!G807</f>
        <v>117.19</v>
      </c>
      <c r="I218" s="1613">
        <f>'Stock Rawmaterial'!H807</f>
        <v>0</v>
      </c>
      <c r="J218" s="1613">
        <f>'Stock Rawmaterial'!I807</f>
        <v>40</v>
      </c>
      <c r="K218" s="1613">
        <f>'Stock Rawmaterial'!J807</f>
        <v>16</v>
      </c>
      <c r="L218" s="1613">
        <f>'Stock Rawmaterial'!K807</f>
        <v>0</v>
      </c>
      <c r="M218" s="1613">
        <f>'Stock Rawmaterial'!L807</f>
        <v>141.19</v>
      </c>
      <c r="N218" s="1613">
        <f>'Stock Rawmaterial'!M807</f>
        <v>0</v>
      </c>
      <c r="O218" s="1613">
        <f>'Stock Rawmaterial'!N807</f>
        <v>0</v>
      </c>
      <c r="P218" s="1613">
        <f>'Stock Rawmaterial'!O807</f>
        <v>0</v>
      </c>
      <c r="Q218" s="1613">
        <f>'Stock Rawmaterial'!P807</f>
        <v>0</v>
      </c>
      <c r="R218" s="498"/>
      <c r="T218" s="10"/>
      <c r="AR218" s="180"/>
    </row>
    <row r="219" spans="1:44" s="420" customFormat="1" ht="30" customHeight="1" x14ac:dyDescent="0.2">
      <c r="A219" s="2003"/>
      <c r="B219" s="2004"/>
      <c r="C219" s="125"/>
      <c r="D219" s="1027"/>
      <c r="E219" s="1027"/>
      <c r="F219" s="896"/>
      <c r="G219" s="896"/>
      <c r="H219" s="1631">
        <f>SUM(H214:H218)</f>
        <v>1657.19</v>
      </c>
      <c r="I219" s="1631"/>
      <c r="J219" s="1631"/>
      <c r="K219" s="234">
        <f t="shared" ref="K219:M219" si="35">+SUM(K214:K218)</f>
        <v>16</v>
      </c>
      <c r="L219" s="234">
        <f t="shared" si="35"/>
        <v>40</v>
      </c>
      <c r="M219" s="234">
        <f t="shared" si="35"/>
        <v>1641.19</v>
      </c>
      <c r="N219" s="1647">
        <f>'Stock Rawmaterial'!M808</f>
        <v>24</v>
      </c>
      <c r="O219" s="1647">
        <f>'Stock Rawmaterial'!N808</f>
        <v>68.382916666666674</v>
      </c>
      <c r="P219" s="1647">
        <f>'Stock Rawmaterial'!O808</f>
        <v>34.666666666666664</v>
      </c>
      <c r="Q219" s="1647">
        <f>'Stock Rawmaterial'!P808</f>
        <v>47.342019230769239</v>
      </c>
      <c r="R219" s="499"/>
      <c r="T219" s="500"/>
      <c r="AR219" s="181"/>
    </row>
    <row r="220" spans="1:44" s="6" customFormat="1" ht="30" hidden="1" customHeight="1" x14ac:dyDescent="0.2">
      <c r="A220" s="2010" t="str">
        <f>IF(M225=0,"",MAX($A$15:A219)+1)</f>
        <v/>
      </c>
      <c r="B220" s="2153" t="s">
        <v>915</v>
      </c>
      <c r="C220" s="150" t="str">
        <f>'Stock Rawmaterial'!C783</f>
        <v>E3</v>
      </c>
      <c r="D220" s="881" t="s">
        <v>10</v>
      </c>
      <c r="E220" s="1159">
        <f>'Stock Rawmaterial'!E783</f>
        <v>45282</v>
      </c>
      <c r="F220" s="71" t="e">
        <f>#REF!-E220</f>
        <v>#REF!</v>
      </c>
      <c r="G220" s="1673"/>
      <c r="H220" s="1613"/>
      <c r="I220" s="1613"/>
      <c r="J220" s="1614"/>
      <c r="K220" s="130"/>
      <c r="L220" s="130"/>
      <c r="M220" s="130"/>
      <c r="N220" s="1648"/>
      <c r="O220" s="1648"/>
      <c r="P220" s="1648"/>
      <c r="Q220" s="1648">
        <f>'Stock Rawmaterial'!K783</f>
        <v>0</v>
      </c>
      <c r="R220" s="498"/>
      <c r="T220" s="10"/>
      <c r="AR220" s="180"/>
    </row>
    <row r="221" spans="1:44" s="6" customFormat="1" ht="30" hidden="1" customHeight="1" x14ac:dyDescent="0.2">
      <c r="A221" s="2002"/>
      <c r="B221" s="2155"/>
      <c r="C221" s="150">
        <f>'Stock Rawmaterial'!C784</f>
        <v>0</v>
      </c>
      <c r="D221" s="881" t="s">
        <v>10</v>
      </c>
      <c r="E221" s="1159">
        <f>'Stock Rawmaterial'!E784</f>
        <v>45282</v>
      </c>
      <c r="F221" s="71" t="e">
        <f>#REF!-E221</f>
        <v>#REF!</v>
      </c>
      <c r="G221" s="1673"/>
      <c r="H221" s="1613"/>
      <c r="I221" s="1613"/>
      <c r="J221" s="1614"/>
      <c r="K221" s="130"/>
      <c r="L221" s="130"/>
      <c r="M221" s="130"/>
      <c r="N221" s="1648"/>
      <c r="O221" s="1648"/>
      <c r="P221" s="1648"/>
      <c r="Q221" s="1648">
        <f>'Stock Rawmaterial'!K784</f>
        <v>0</v>
      </c>
      <c r="R221" s="498"/>
      <c r="T221" s="10"/>
      <c r="AR221" s="180"/>
    </row>
    <row r="222" spans="1:44" s="6" customFormat="1" ht="30" hidden="1" customHeight="1" x14ac:dyDescent="0.2">
      <c r="A222" s="2002"/>
      <c r="B222" s="2154"/>
      <c r="C222" s="150">
        <f>'Stock Rawmaterial'!C785</f>
        <v>0</v>
      </c>
      <c r="D222" s="881" t="s">
        <v>10</v>
      </c>
      <c r="E222" s="1159">
        <f>'Stock Rawmaterial'!E785</f>
        <v>45177</v>
      </c>
      <c r="F222" s="71" t="e">
        <f>#REF!-E222</f>
        <v>#REF!</v>
      </c>
      <c r="G222" s="1673"/>
      <c r="H222" s="1613"/>
      <c r="I222" s="1613"/>
      <c r="J222" s="1614"/>
      <c r="K222" s="130"/>
      <c r="L222" s="130"/>
      <c r="M222" s="130"/>
      <c r="N222" s="1648"/>
      <c r="O222" s="1648"/>
      <c r="P222" s="1648"/>
      <c r="Q222" s="1648">
        <f>'Stock Rawmaterial'!K785</f>
        <v>0</v>
      </c>
      <c r="R222" s="772"/>
      <c r="T222" s="773"/>
      <c r="AR222" s="180"/>
    </row>
    <row r="223" spans="1:44" s="6" customFormat="1" ht="30" hidden="1" customHeight="1" x14ac:dyDescent="0.2">
      <c r="A223" s="2002"/>
      <c r="B223" s="2156"/>
      <c r="C223" s="150">
        <f>'Stock Rawmaterial'!C786</f>
        <v>0</v>
      </c>
      <c r="D223" s="881" t="s">
        <v>10</v>
      </c>
      <c r="E223" s="1159">
        <f>'Stock Rawmaterial'!E786</f>
        <v>44805</v>
      </c>
      <c r="F223" s="71" t="e">
        <f>#REF!-E223</f>
        <v>#REF!</v>
      </c>
      <c r="G223" s="1673"/>
      <c r="H223" s="1613"/>
      <c r="I223" s="1613"/>
      <c r="J223" s="1614"/>
      <c r="K223" s="130"/>
      <c r="L223" s="130"/>
      <c r="M223" s="130"/>
      <c r="N223" s="1648"/>
      <c r="O223" s="1648"/>
      <c r="P223" s="1648"/>
      <c r="Q223" s="1648">
        <f>'Stock Rawmaterial'!K786</f>
        <v>0</v>
      </c>
      <c r="R223" s="772"/>
      <c r="T223" s="773"/>
      <c r="AR223" s="180"/>
    </row>
    <row r="224" spans="1:44" s="6" customFormat="1" ht="30" hidden="1" customHeight="1" x14ac:dyDescent="0.2">
      <c r="A224" s="2002"/>
      <c r="B224" s="2155"/>
      <c r="C224" s="635" t="str">
        <f>'Stock Rawmaterial'!C787</f>
        <v>Feedmill</v>
      </c>
      <c r="D224" s="1154" t="s">
        <v>10</v>
      </c>
      <c r="E224" s="1290">
        <f>'Stock Rawmaterial'!E787</f>
        <v>45282</v>
      </c>
      <c r="F224" s="566" t="e">
        <f>#REF!-E224</f>
        <v>#REF!</v>
      </c>
      <c r="G224" s="1680"/>
      <c r="H224" s="1633"/>
      <c r="I224" s="1633"/>
      <c r="J224" s="1614"/>
      <c r="K224" s="130"/>
      <c r="L224" s="130"/>
      <c r="M224" s="130"/>
      <c r="N224" s="1648"/>
      <c r="O224" s="1648"/>
      <c r="P224" s="1648"/>
      <c r="Q224" s="1648">
        <f>'Stock Rawmaterial'!K787</f>
        <v>0</v>
      </c>
      <c r="R224" s="498"/>
      <c r="T224" s="10"/>
      <c r="AR224" s="180"/>
    </row>
    <row r="225" spans="1:44" s="420" customFormat="1" ht="30" hidden="1" customHeight="1" x14ac:dyDescent="0.2">
      <c r="A225" s="2003" t="s">
        <v>1373</v>
      </c>
      <c r="B225" s="2004"/>
      <c r="C225" s="125"/>
      <c r="D225" s="1027"/>
      <c r="E225" s="1027"/>
      <c r="F225" s="896"/>
      <c r="G225" s="896"/>
      <c r="H225" s="1631"/>
      <c r="I225" s="1631"/>
      <c r="J225" s="1631"/>
      <c r="K225" s="234">
        <f t="shared" ref="K225:Q225" si="36">+SUM(K220:K224)</f>
        <v>0</v>
      </c>
      <c r="L225" s="234">
        <f t="shared" si="36"/>
        <v>0</v>
      </c>
      <c r="M225" s="234">
        <f t="shared" si="36"/>
        <v>0</v>
      </c>
      <c r="N225" s="1647">
        <f t="shared" si="36"/>
        <v>0</v>
      </c>
      <c r="O225" s="1647">
        <f t="shared" si="36"/>
        <v>0</v>
      </c>
      <c r="P225" s="1647">
        <f t="shared" si="36"/>
        <v>0</v>
      </c>
      <c r="Q225" s="1647">
        <f t="shared" si="36"/>
        <v>0</v>
      </c>
      <c r="R225" s="499"/>
      <c r="T225" s="500"/>
      <c r="AR225" s="181"/>
    </row>
    <row r="226" spans="1:44" s="6" customFormat="1" ht="30" hidden="1" customHeight="1" x14ac:dyDescent="0.2">
      <c r="A226" s="2010">
        <f>IF(M231=0,"",MAX($A$15:A225)+1)</f>
        <v>14</v>
      </c>
      <c r="B226" s="2153" t="s">
        <v>1323</v>
      </c>
      <c r="C226" s="114">
        <f>'Stock Rawmaterial'!C809</f>
        <v>0</v>
      </c>
      <c r="D226" s="866" t="str">
        <f>'Stock Rawmaterial'!D809</f>
        <v>Rec.</v>
      </c>
      <c r="E226" s="935">
        <f>'Stock Rawmaterial'!E809</f>
        <v>45638</v>
      </c>
      <c r="F226" s="75">
        <f>'Stock Rawmaterial'!F809</f>
        <v>648</v>
      </c>
      <c r="G226" s="1685">
        <v>46082</v>
      </c>
      <c r="H226" s="77">
        <f>'Stock Rawmaterial'!G809</f>
        <v>0</v>
      </c>
      <c r="I226" s="77">
        <f>'Stock Rawmaterial'!H809</f>
        <v>0</v>
      </c>
      <c r="J226" s="77">
        <f>'Stock Rawmaterial'!I809</f>
        <v>0</v>
      </c>
      <c r="K226" s="1616">
        <f>'Stock Rawmaterial'!J809</f>
        <v>0</v>
      </c>
      <c r="L226" s="80">
        <f>'Stock Rawmaterial'!K809</f>
        <v>0</v>
      </c>
      <c r="M226" s="1671">
        <f>'Stock Rawmaterial'!L809</f>
        <v>0</v>
      </c>
      <c r="N226" s="1648"/>
      <c r="O226" s="1648"/>
      <c r="P226" s="1648"/>
      <c r="Q226" s="1648"/>
      <c r="R226" s="498"/>
      <c r="T226" s="10"/>
      <c r="AR226" s="180"/>
    </row>
    <row r="227" spans="1:44" s="6" customFormat="1" ht="30" hidden="1" customHeight="1" x14ac:dyDescent="0.2">
      <c r="A227" s="2002"/>
      <c r="B227" s="2155"/>
      <c r="C227" s="114">
        <f>'Stock Rawmaterial'!C810</f>
        <v>0</v>
      </c>
      <c r="D227" s="866" t="str">
        <f>'Stock Rawmaterial'!D810</f>
        <v>Rec.</v>
      </c>
      <c r="E227" s="935">
        <f>'Stock Rawmaterial'!E810</f>
        <v>46132</v>
      </c>
      <c r="F227" s="75">
        <f>'Stock Rawmaterial'!F810</f>
        <v>154</v>
      </c>
      <c r="G227" s="1953">
        <v>46712</v>
      </c>
      <c r="H227" s="77">
        <f>'Stock Rawmaterial'!G810</f>
        <v>0</v>
      </c>
      <c r="I227" s="77">
        <f>'Stock Rawmaterial'!H810</f>
        <v>0</v>
      </c>
      <c r="J227" s="77">
        <f>'Stock Rawmaterial'!I810</f>
        <v>0</v>
      </c>
      <c r="K227" s="1616">
        <f>'Stock Rawmaterial'!J810</f>
        <v>0</v>
      </c>
      <c r="L227" s="80">
        <f>'Stock Rawmaterial'!K810</f>
        <v>0</v>
      </c>
      <c r="M227" s="1671">
        <f>'Stock Rawmaterial'!L810</f>
        <v>0</v>
      </c>
      <c r="N227" s="1648"/>
      <c r="O227" s="1648"/>
      <c r="P227" s="1648"/>
      <c r="Q227" s="1648"/>
      <c r="R227" s="498"/>
      <c r="T227" s="10"/>
      <c r="AR227" s="180"/>
    </row>
    <row r="228" spans="1:44" s="6" customFormat="1" ht="30" customHeight="1" x14ac:dyDescent="0.2">
      <c r="A228" s="2002"/>
      <c r="B228" s="2154"/>
      <c r="C228" s="114" t="str">
        <f>'Stock Rawmaterial'!C811</f>
        <v>E3</v>
      </c>
      <c r="D228" s="866" t="str">
        <f>'Stock Rawmaterial'!D811</f>
        <v>Rec.</v>
      </c>
      <c r="E228" s="935">
        <f>'Stock Rawmaterial'!E811</f>
        <v>46245</v>
      </c>
      <c r="F228" s="75">
        <f>'Stock Rawmaterial'!F811</f>
        <v>41</v>
      </c>
      <c r="G228" s="1953">
        <v>46863</v>
      </c>
      <c r="H228" s="77">
        <f>'Stock Rawmaterial'!G811</f>
        <v>250</v>
      </c>
      <c r="I228" s="77">
        <f>'Stock Rawmaterial'!H811</f>
        <v>0</v>
      </c>
      <c r="J228" s="77">
        <f>'Stock Rawmaterial'!I811</f>
        <v>0</v>
      </c>
      <c r="K228" s="1616">
        <f>'Stock Rawmaterial'!J811</f>
        <v>0</v>
      </c>
      <c r="L228" s="80">
        <f>'Stock Rawmaterial'!K811</f>
        <v>0</v>
      </c>
      <c r="M228" s="1671">
        <f>'Stock Rawmaterial'!L811</f>
        <v>250</v>
      </c>
      <c r="N228" s="1648"/>
      <c r="O228" s="1648"/>
      <c r="P228" s="1648"/>
      <c r="Q228" s="1648"/>
      <c r="R228" s="772"/>
      <c r="T228" s="773"/>
      <c r="AR228" s="180"/>
    </row>
    <row r="229" spans="1:44" s="6" customFormat="1" ht="30" customHeight="1" x14ac:dyDescent="0.2">
      <c r="A229" s="2002"/>
      <c r="B229" s="2156"/>
      <c r="C229" s="114" t="str">
        <f>'Stock Rawmaterial'!C812</f>
        <v>E3</v>
      </c>
      <c r="D229" s="866" t="str">
        <f>'Stock Rawmaterial'!D812</f>
        <v>Rec.</v>
      </c>
      <c r="E229" s="935">
        <f>'Stock Rawmaterial'!E812</f>
        <v>46262</v>
      </c>
      <c r="F229" s="75">
        <f>'Stock Rawmaterial'!F812</f>
        <v>24</v>
      </c>
      <c r="G229" s="1953">
        <v>46863</v>
      </c>
      <c r="H229" s="77">
        <f>'Stock Rawmaterial'!G812</f>
        <v>100</v>
      </c>
      <c r="I229" s="77">
        <f>'Stock Rawmaterial'!H812</f>
        <v>0</v>
      </c>
      <c r="J229" s="77">
        <f>'Stock Rawmaterial'!I812</f>
        <v>0</v>
      </c>
      <c r="K229" s="1616">
        <f>'Stock Rawmaterial'!J812</f>
        <v>0</v>
      </c>
      <c r="L229" s="80">
        <f>'Stock Rawmaterial'!K812</f>
        <v>0</v>
      </c>
      <c r="M229" s="1671">
        <f>'Stock Rawmaterial'!L812</f>
        <v>100</v>
      </c>
      <c r="N229" s="1648"/>
      <c r="O229" s="1648"/>
      <c r="P229" s="1648"/>
      <c r="Q229" s="1648"/>
      <c r="R229" s="772"/>
      <c r="T229" s="773"/>
      <c r="AR229" s="180"/>
    </row>
    <row r="230" spans="1:44" s="6" customFormat="1" ht="30" customHeight="1" x14ac:dyDescent="0.2">
      <c r="A230" s="2002"/>
      <c r="B230" s="2155"/>
      <c r="C230" s="1700" t="str">
        <f>'Stock Rawmaterial'!C813</f>
        <v>Feedmill</v>
      </c>
      <c r="D230" s="1154" t="str">
        <f>'Stock Rawmaterial'!D813</f>
        <v>Rec.</v>
      </c>
      <c r="E230" s="1691">
        <f>'Stock Rawmaterial'!E813</f>
        <v>46245</v>
      </c>
      <c r="F230" s="566">
        <f>'Stock Rawmaterial'!F813</f>
        <v>41</v>
      </c>
      <c r="G230" s="1954">
        <v>46863</v>
      </c>
      <c r="H230" s="1696">
        <f>'Stock Rawmaterial'!G813</f>
        <v>11.91</v>
      </c>
      <c r="I230" s="1696">
        <f>'Stock Rawmaterial'!H813</f>
        <v>0</v>
      </c>
      <c r="J230" s="1696">
        <f>'Stock Rawmaterial'!I813</f>
        <v>0</v>
      </c>
      <c r="K230" s="1699">
        <f>'Stock Rawmaterial'!J813</f>
        <v>0</v>
      </c>
      <c r="L230" s="567">
        <f>'Stock Rawmaterial'!K813</f>
        <v>0</v>
      </c>
      <c r="M230" s="1694">
        <f>'Stock Rawmaterial'!L813</f>
        <v>11.91</v>
      </c>
      <c r="N230" s="1649"/>
      <c r="O230" s="1649"/>
      <c r="P230" s="1649"/>
      <c r="Q230" s="1649"/>
      <c r="R230" s="498"/>
      <c r="T230" s="10"/>
      <c r="AR230" s="180"/>
    </row>
    <row r="231" spans="1:44" s="420" customFormat="1" ht="30" customHeight="1" x14ac:dyDescent="0.2">
      <c r="A231" s="2003" t="s">
        <v>1342</v>
      </c>
      <c r="B231" s="2004"/>
      <c r="C231" s="125"/>
      <c r="D231" s="1027"/>
      <c r="E231" s="1027"/>
      <c r="F231" s="896"/>
      <c r="G231" s="896"/>
      <c r="H231" s="234">
        <f t="shared" ref="H231:L231" si="37">+SUM(H226:H230)</f>
        <v>361.91</v>
      </c>
      <c r="I231" s="234">
        <f t="shared" si="37"/>
        <v>0</v>
      </c>
      <c r="J231" s="234">
        <f t="shared" si="37"/>
        <v>0</v>
      </c>
      <c r="K231" s="234">
        <f t="shared" si="37"/>
        <v>0</v>
      </c>
      <c r="L231" s="234">
        <f t="shared" si="37"/>
        <v>0</v>
      </c>
      <c r="M231" s="234">
        <f t="shared" ref="M231" si="38">+SUM(M226:M230)</f>
        <v>361.91</v>
      </c>
      <c r="N231" s="1647">
        <f>'Stock Rawmaterial'!M814</f>
        <v>12.133333333333333</v>
      </c>
      <c r="O231" s="1647">
        <f>'Stock Rawmaterial'!N814</f>
        <v>29.827747252747255</v>
      </c>
      <c r="P231" s="1647">
        <f>'Stock Rawmaterial'!O814</f>
        <v>30.166666666666664</v>
      </c>
      <c r="Q231" s="1647">
        <f>'Stock Rawmaterial'!P814</f>
        <v>11.997016574585636</v>
      </c>
      <c r="R231" s="499"/>
      <c r="T231" s="500"/>
      <c r="AR231" s="181"/>
    </row>
    <row r="232" spans="1:44" s="6" customFormat="1" ht="30" hidden="1" customHeight="1" x14ac:dyDescent="0.2">
      <c r="A232" s="2010">
        <f>IF(M237=0,"",MAX($A$15:A231)+1)</f>
        <v>15</v>
      </c>
      <c r="B232" s="2153" t="s">
        <v>298</v>
      </c>
      <c r="C232" s="114">
        <f>'Stock Rawmaterial'!C1267</f>
        <v>0</v>
      </c>
      <c r="D232" s="866" t="str">
        <f>'Stock Rawmaterial'!D809</f>
        <v>Rec.</v>
      </c>
      <c r="E232" s="935">
        <f>'Stock Rawmaterial'!E1267</f>
        <v>46052</v>
      </c>
      <c r="F232" s="75">
        <f>'Stock Rawmaterial'!F1267</f>
        <v>234</v>
      </c>
      <c r="G232" s="1685">
        <v>46373</v>
      </c>
      <c r="H232" s="77">
        <f>'Stock Rawmaterial'!G1267</f>
        <v>0</v>
      </c>
      <c r="I232" s="77">
        <f>'Stock Rawmaterial'!H1267</f>
        <v>0</v>
      </c>
      <c r="J232" s="77">
        <f>'Stock Rawmaterial'!I1267</f>
        <v>0</v>
      </c>
      <c r="K232" s="77">
        <f>'Stock Rawmaterial'!J1267</f>
        <v>0</v>
      </c>
      <c r="L232" s="77">
        <f>'Stock Rawmaterial'!K1267</f>
        <v>0</v>
      </c>
      <c r="M232" s="77">
        <f>'Stock Rawmaterial'!L1267</f>
        <v>0</v>
      </c>
      <c r="N232" s="1648"/>
      <c r="O232" s="1648"/>
      <c r="P232" s="1648"/>
      <c r="Q232" s="1648"/>
      <c r="R232" s="498"/>
      <c r="T232" s="10"/>
      <c r="AR232" s="180"/>
    </row>
    <row r="233" spans="1:44" s="6" customFormat="1" ht="30" hidden="1" customHeight="1" x14ac:dyDescent="0.2">
      <c r="A233" s="2002"/>
      <c r="B233" s="2155"/>
      <c r="C233" s="114" t="str">
        <f>'Stock Rawmaterial'!C1268</f>
        <v>E3</v>
      </c>
      <c r="D233" s="866" t="str">
        <f>'Stock Rawmaterial'!D810</f>
        <v>Rec.</v>
      </c>
      <c r="E233" s="935">
        <f>'Stock Rawmaterial'!E1268</f>
        <v>46262</v>
      </c>
      <c r="F233" s="75">
        <f>'Stock Rawmaterial'!F1268</f>
        <v>24</v>
      </c>
      <c r="G233" s="1953">
        <v>46373</v>
      </c>
      <c r="H233" s="77">
        <f>'Stock Rawmaterial'!G1268</f>
        <v>100</v>
      </c>
      <c r="I233" s="77">
        <f>'Stock Rawmaterial'!H1268</f>
        <v>0</v>
      </c>
      <c r="J233" s="77">
        <f>'Stock Rawmaterial'!I1268</f>
        <v>0</v>
      </c>
      <c r="K233" s="77">
        <f>'Stock Rawmaterial'!J1268</f>
        <v>0</v>
      </c>
      <c r="L233" s="77">
        <f>'Stock Rawmaterial'!K1268</f>
        <v>0</v>
      </c>
      <c r="M233" s="77">
        <f>'Stock Rawmaterial'!L1268</f>
        <v>100</v>
      </c>
      <c r="N233" s="1648"/>
      <c r="O233" s="1648"/>
      <c r="P233" s="1648"/>
      <c r="Q233" s="1648"/>
      <c r="R233" s="498"/>
      <c r="T233" s="10"/>
      <c r="AR233" s="180"/>
    </row>
    <row r="234" spans="1:44" s="6" customFormat="1" ht="30" customHeight="1" x14ac:dyDescent="0.2">
      <c r="A234" s="2002"/>
      <c r="B234" s="2154"/>
      <c r="C234" s="114">
        <f>'Stock Rawmaterial'!C1269</f>
        <v>0</v>
      </c>
      <c r="D234" s="866" t="str">
        <f>'Stock Rawmaterial'!D811</f>
        <v>Rec.</v>
      </c>
      <c r="E234" s="935">
        <f>'Stock Rawmaterial'!E1269</f>
        <v>46262</v>
      </c>
      <c r="F234" s="75">
        <f>'Stock Rawmaterial'!F1269</f>
        <v>24</v>
      </c>
      <c r="G234" s="1953">
        <v>46373</v>
      </c>
      <c r="H234" s="77">
        <f>'Stock Rawmaterial'!G1269</f>
        <v>0</v>
      </c>
      <c r="I234" s="77">
        <f>'Stock Rawmaterial'!H1269</f>
        <v>0</v>
      </c>
      <c r="J234" s="77">
        <f>'Stock Rawmaterial'!I1269</f>
        <v>0</v>
      </c>
      <c r="K234" s="77">
        <f>'Stock Rawmaterial'!J1269</f>
        <v>0</v>
      </c>
      <c r="L234" s="77">
        <f>'Stock Rawmaterial'!K1269</f>
        <v>0</v>
      </c>
      <c r="M234" s="77">
        <f>'Stock Rawmaterial'!L1269</f>
        <v>0</v>
      </c>
      <c r="N234" s="1648"/>
      <c r="O234" s="1648"/>
      <c r="P234" s="1648"/>
      <c r="Q234" s="1648"/>
      <c r="R234" s="772"/>
      <c r="T234" s="773"/>
      <c r="AR234" s="180"/>
    </row>
    <row r="235" spans="1:44" s="6" customFormat="1" ht="30" customHeight="1" x14ac:dyDescent="0.2">
      <c r="A235" s="2002"/>
      <c r="B235" s="2156"/>
      <c r="C235" s="114">
        <f>'Stock Rawmaterial'!C1270</f>
        <v>0</v>
      </c>
      <c r="D235" s="866" t="str">
        <f>'Stock Rawmaterial'!D812</f>
        <v>Rec.</v>
      </c>
      <c r="E235" s="935">
        <f>'Stock Rawmaterial'!E1270</f>
        <v>46247</v>
      </c>
      <c r="F235" s="75">
        <f>'Stock Rawmaterial'!F1270</f>
        <v>39</v>
      </c>
      <c r="G235" s="1953">
        <v>46373</v>
      </c>
      <c r="H235" s="77">
        <f>'Stock Rawmaterial'!G1270</f>
        <v>0</v>
      </c>
      <c r="I235" s="77">
        <f>'Stock Rawmaterial'!H1270</f>
        <v>0</v>
      </c>
      <c r="J235" s="77">
        <f>'Stock Rawmaterial'!I1270</f>
        <v>0</v>
      </c>
      <c r="K235" s="77">
        <f>'Stock Rawmaterial'!J1270</f>
        <v>0</v>
      </c>
      <c r="L235" s="77">
        <f>'Stock Rawmaterial'!K1270</f>
        <v>0</v>
      </c>
      <c r="M235" s="77">
        <f>'Stock Rawmaterial'!L1270</f>
        <v>0</v>
      </c>
      <c r="N235" s="1648"/>
      <c r="O235" s="1648"/>
      <c r="P235" s="1648"/>
      <c r="Q235" s="1648"/>
      <c r="R235" s="772"/>
      <c r="T235" s="773"/>
      <c r="AR235" s="180"/>
    </row>
    <row r="236" spans="1:44" s="6" customFormat="1" ht="30" customHeight="1" x14ac:dyDescent="0.2">
      <c r="A236" s="2002"/>
      <c r="B236" s="2155"/>
      <c r="C236" s="1700" t="str">
        <f>'Stock Rawmaterial'!C813</f>
        <v>Feedmill</v>
      </c>
      <c r="D236" s="1154" t="str">
        <f>'Stock Rawmaterial'!D813</f>
        <v>Rec.</v>
      </c>
      <c r="E236" s="1691">
        <f>'Stock Rawmaterial'!E1271</f>
        <v>46247</v>
      </c>
      <c r="F236" s="75">
        <f>'Stock Rawmaterial'!F1271</f>
        <v>39</v>
      </c>
      <c r="G236" s="1954">
        <v>46373</v>
      </c>
      <c r="H236" s="77">
        <f>'Stock Rawmaterial'!G1271</f>
        <v>22.14</v>
      </c>
      <c r="I236" s="77">
        <f>'Stock Rawmaterial'!H1271</f>
        <v>0</v>
      </c>
      <c r="J236" s="77">
        <f>'Stock Rawmaterial'!I1271</f>
        <v>0</v>
      </c>
      <c r="K236" s="77">
        <f>'Stock Rawmaterial'!J1271</f>
        <v>8.85</v>
      </c>
      <c r="L236" s="77">
        <f>'Stock Rawmaterial'!K1271</f>
        <v>0</v>
      </c>
      <c r="M236" s="77">
        <f>'Stock Rawmaterial'!L1271</f>
        <v>13.290000000000001</v>
      </c>
      <c r="N236" s="1649"/>
      <c r="O236" s="1649"/>
      <c r="P236" s="1649"/>
      <c r="Q236" s="1649">
        <f>'Stock Rawmaterial'!K813</f>
        <v>0</v>
      </c>
      <c r="R236" s="498"/>
      <c r="T236" s="10"/>
      <c r="AR236" s="180"/>
    </row>
    <row r="237" spans="1:44" s="420" customFormat="1" ht="30" customHeight="1" x14ac:dyDescent="0.2">
      <c r="A237" s="2003" t="s">
        <v>299</v>
      </c>
      <c r="B237" s="2004"/>
      <c r="C237" s="90"/>
      <c r="D237" s="93"/>
      <c r="E237" s="93"/>
      <c r="F237" s="94"/>
      <c r="G237" s="94"/>
      <c r="H237" s="234">
        <f t="shared" ref="H237:M237" si="39">+SUM(H232:H236)</f>
        <v>122.14</v>
      </c>
      <c r="I237" s="234">
        <f t="shared" si="39"/>
        <v>0</v>
      </c>
      <c r="J237" s="234">
        <f t="shared" si="39"/>
        <v>0</v>
      </c>
      <c r="K237" s="234">
        <f t="shared" si="39"/>
        <v>8.85</v>
      </c>
      <c r="L237" s="234">
        <f t="shared" si="39"/>
        <v>0</v>
      </c>
      <c r="M237" s="234">
        <f t="shared" si="39"/>
        <v>113.29</v>
      </c>
      <c r="N237" s="1647">
        <f>'Stock Rawmaterial'!M1272</f>
        <v>3.36</v>
      </c>
      <c r="O237" s="1647">
        <f>'Stock Rawmaterial'!N1272</f>
        <v>33.717261904761905</v>
      </c>
      <c r="P237" s="1647">
        <f>'Stock Rawmaterial'!O1272</f>
        <v>5</v>
      </c>
      <c r="Q237" s="1647">
        <f>'Stock Rawmaterial'!P1272</f>
        <v>22.658000000000001</v>
      </c>
      <c r="R237" s="234" t="str">
        <f>'Stock Rawmaterial'!Q814</f>
        <v>SACOX 120 (Bulgaria)</v>
      </c>
      <c r="S237" s="234" t="str">
        <f>'Stock Rawmaterial'!R814</f>
        <v>0</v>
      </c>
      <c r="T237" s="234">
        <f>'Stock Rawmaterial'!S814</f>
        <v>72.8</v>
      </c>
      <c r="AR237" s="181"/>
    </row>
    <row r="238" spans="1:44" s="6" customFormat="1" ht="30" hidden="1" customHeight="1" x14ac:dyDescent="0.2">
      <c r="A238" s="2010">
        <f>IF(M243=0,"",MAX($A$15:A237)+1)</f>
        <v>16</v>
      </c>
      <c r="B238" s="2153" t="s">
        <v>1370</v>
      </c>
      <c r="C238" s="114">
        <f>'Stock Rawmaterial'!C815</f>
        <v>0</v>
      </c>
      <c r="D238" s="866" t="str">
        <f>'Stock Rawmaterial'!D815</f>
        <v>Rec.</v>
      </c>
      <c r="E238" s="935">
        <f>'Stock Rawmaterial'!E815</f>
        <v>45791</v>
      </c>
      <c r="F238" s="75">
        <f>'Stock Rawmaterial'!F815</f>
        <v>495</v>
      </c>
      <c r="G238" s="1685">
        <v>46363</v>
      </c>
      <c r="H238" s="77">
        <f>'Stock Rawmaterial'!G815</f>
        <v>0</v>
      </c>
      <c r="I238" s="77">
        <f>'Stock Rawmaterial'!H815</f>
        <v>0</v>
      </c>
      <c r="J238" s="77">
        <f>'Stock Rawmaterial'!I815</f>
        <v>0</v>
      </c>
      <c r="K238" s="1616">
        <f>'Stock Rawmaterial'!J815</f>
        <v>0</v>
      </c>
      <c r="L238" s="80">
        <f>'Stock Rawmaterial'!K815</f>
        <v>0</v>
      </c>
      <c r="M238" s="1671">
        <f>'Stock Rawmaterial'!L815</f>
        <v>0</v>
      </c>
      <c r="N238" s="1648"/>
      <c r="O238" s="1648"/>
      <c r="P238" s="1648"/>
      <c r="Q238" s="1648"/>
      <c r="R238" s="498"/>
      <c r="T238" s="10"/>
      <c r="AR238" s="180"/>
    </row>
    <row r="239" spans="1:44" s="6" customFormat="1" ht="30" hidden="1" customHeight="1" x14ac:dyDescent="0.2">
      <c r="A239" s="2002"/>
      <c r="B239" s="2155"/>
      <c r="C239" s="114">
        <f>'Stock Rawmaterial'!C816</f>
        <v>0</v>
      </c>
      <c r="D239" s="866" t="str">
        <f>'Stock Rawmaterial'!D816</f>
        <v>Rec.</v>
      </c>
      <c r="E239" s="935">
        <f>'Stock Rawmaterial'!E816</f>
        <v>45918</v>
      </c>
      <c r="F239" s="75">
        <f>'Stock Rawmaterial'!F816</f>
        <v>368</v>
      </c>
      <c r="G239" s="1685">
        <v>46643</v>
      </c>
      <c r="H239" s="77">
        <f>'Stock Rawmaterial'!G816</f>
        <v>0</v>
      </c>
      <c r="I239" s="77">
        <f>'Stock Rawmaterial'!H816</f>
        <v>0</v>
      </c>
      <c r="J239" s="77">
        <f>'Stock Rawmaterial'!I816</f>
        <v>0</v>
      </c>
      <c r="K239" s="1616">
        <f>'Stock Rawmaterial'!J816</f>
        <v>0</v>
      </c>
      <c r="L239" s="80">
        <f>'Stock Rawmaterial'!K816</f>
        <v>0</v>
      </c>
      <c r="M239" s="1671">
        <f>'Stock Rawmaterial'!L816</f>
        <v>0</v>
      </c>
      <c r="N239" s="1648"/>
      <c r="O239" s="1648"/>
      <c r="P239" s="1648"/>
      <c r="Q239" s="1648"/>
      <c r="R239" s="498"/>
      <c r="T239" s="10"/>
      <c r="AR239" s="180"/>
    </row>
    <row r="240" spans="1:44" s="6" customFormat="1" ht="30" customHeight="1" x14ac:dyDescent="0.2">
      <c r="A240" s="2002"/>
      <c r="B240" s="2154"/>
      <c r="C240" s="114" t="str">
        <f>'Stock Rawmaterial'!C817</f>
        <v>E3</v>
      </c>
      <c r="D240" s="866" t="str">
        <f>'Stock Rawmaterial'!D817</f>
        <v>Rec.</v>
      </c>
      <c r="E240" s="935">
        <f>'Stock Rawmaterial'!E817</f>
        <v>46098</v>
      </c>
      <c r="F240" s="75">
        <f>'Stock Rawmaterial'!F817</f>
        <v>188</v>
      </c>
      <c r="G240" s="1953">
        <v>46695</v>
      </c>
      <c r="H240" s="77">
        <f>'Stock Rawmaterial'!G817</f>
        <v>100</v>
      </c>
      <c r="I240" s="77">
        <f>'Stock Rawmaterial'!H817</f>
        <v>0</v>
      </c>
      <c r="J240" s="77">
        <f>'Stock Rawmaterial'!I817</f>
        <v>0</v>
      </c>
      <c r="K240" s="1616">
        <f>'Stock Rawmaterial'!J817</f>
        <v>0</v>
      </c>
      <c r="L240" s="80">
        <f>'Stock Rawmaterial'!K817</f>
        <v>0</v>
      </c>
      <c r="M240" s="1671">
        <f>'Stock Rawmaterial'!L817</f>
        <v>100</v>
      </c>
      <c r="N240" s="1648"/>
      <c r="O240" s="1648"/>
      <c r="P240" s="1648"/>
      <c r="Q240" s="1648"/>
      <c r="R240" s="772"/>
      <c r="T240" s="773"/>
      <c r="AR240" s="180"/>
    </row>
    <row r="241" spans="1:44" s="6" customFormat="1" ht="30" hidden="1" customHeight="1" x14ac:dyDescent="0.2">
      <c r="A241" s="2002"/>
      <c r="B241" s="2156"/>
      <c r="C241" s="114">
        <f>'Stock Rawmaterial'!C818</f>
        <v>0</v>
      </c>
      <c r="D241" s="866" t="str">
        <f>'Stock Rawmaterial'!D818</f>
        <v>Rec.</v>
      </c>
      <c r="E241" s="935">
        <f>'Stock Rawmaterial'!E818</f>
        <v>46098</v>
      </c>
      <c r="F241" s="75">
        <f>'Stock Rawmaterial'!F818</f>
        <v>188</v>
      </c>
      <c r="G241" s="1955">
        <v>46650</v>
      </c>
      <c r="H241" s="77">
        <f>'Stock Rawmaterial'!G818</f>
        <v>0</v>
      </c>
      <c r="I241" s="77">
        <f>'Stock Rawmaterial'!H818</f>
        <v>0</v>
      </c>
      <c r="J241" s="77">
        <f>'Stock Rawmaterial'!I818</f>
        <v>0</v>
      </c>
      <c r="K241" s="1616">
        <f>'Stock Rawmaterial'!J818</f>
        <v>0</v>
      </c>
      <c r="L241" s="80">
        <f>'Stock Rawmaterial'!K818</f>
        <v>0</v>
      </c>
      <c r="M241" s="1671">
        <f>'Stock Rawmaterial'!L818</f>
        <v>0</v>
      </c>
      <c r="N241" s="1648"/>
      <c r="O241" s="1648"/>
      <c r="P241" s="1648"/>
      <c r="Q241" s="1648">
        <f>'Stock Rawmaterial'!K818</f>
        <v>0</v>
      </c>
      <c r="R241" s="772"/>
      <c r="T241" s="773"/>
      <c r="AR241" s="180"/>
    </row>
    <row r="242" spans="1:44" s="6" customFormat="1" ht="30" customHeight="1" x14ac:dyDescent="0.2">
      <c r="A242" s="2002"/>
      <c r="B242" s="2155"/>
      <c r="C242" s="1700" t="str">
        <f>'Stock Rawmaterial'!C819</f>
        <v>Feedmill</v>
      </c>
      <c r="D242" s="1154" t="str">
        <f>'Stock Rawmaterial'!D819</f>
        <v>Rec.</v>
      </c>
      <c r="E242" s="1691">
        <f>'Stock Rawmaterial'!E819</f>
        <v>46098</v>
      </c>
      <c r="F242" s="566">
        <f>'Stock Rawmaterial'!F819</f>
        <v>188</v>
      </c>
      <c r="G242" s="1954">
        <v>46695</v>
      </c>
      <c r="H242" s="1696">
        <f>'Stock Rawmaterial'!G819</f>
        <v>15.639999999999997</v>
      </c>
      <c r="I242" s="1696">
        <f>'Stock Rawmaterial'!H819</f>
        <v>0</v>
      </c>
      <c r="J242" s="1696">
        <f>'Stock Rawmaterial'!I819</f>
        <v>0</v>
      </c>
      <c r="K242" s="1699">
        <f>'Stock Rawmaterial'!J819</f>
        <v>0</v>
      </c>
      <c r="L242" s="567">
        <f>'Stock Rawmaterial'!K819</f>
        <v>0</v>
      </c>
      <c r="M242" s="1694">
        <f>'Stock Rawmaterial'!L819</f>
        <v>15.639999999999997</v>
      </c>
      <c r="N242" s="1649"/>
      <c r="O242" s="1649"/>
      <c r="P242" s="1649"/>
      <c r="Q242" s="1649">
        <f>'Stock Rawmaterial'!K819</f>
        <v>0</v>
      </c>
      <c r="R242" s="498"/>
      <c r="T242" s="10"/>
      <c r="AR242" s="180"/>
    </row>
    <row r="243" spans="1:44" s="420" customFormat="1" ht="30" customHeight="1" x14ac:dyDescent="0.2">
      <c r="A243" s="2271" t="s">
        <v>1371</v>
      </c>
      <c r="B243" s="2272"/>
      <c r="C243" s="1932"/>
      <c r="D243" s="93"/>
      <c r="E243" s="93"/>
      <c r="F243" s="94"/>
      <c r="G243" s="94"/>
      <c r="H243" s="234">
        <f t="shared" ref="H243:L243" si="40">+SUM(H238:H242)</f>
        <v>115.64</v>
      </c>
      <c r="I243" s="234">
        <f t="shared" si="40"/>
        <v>0</v>
      </c>
      <c r="J243" s="234">
        <f t="shared" si="40"/>
        <v>0</v>
      </c>
      <c r="K243" s="234">
        <f t="shared" si="40"/>
        <v>0</v>
      </c>
      <c r="L243" s="234">
        <f t="shared" si="40"/>
        <v>0</v>
      </c>
      <c r="M243" s="234">
        <f t="shared" ref="M243" si="41">+SUM(M238:M242)</f>
        <v>115.64</v>
      </c>
      <c r="N243" s="1647">
        <f>'Stock Rawmaterial'!M820</f>
        <v>0</v>
      </c>
      <c r="O243" s="1647">
        <f>'Stock Rawmaterial'!N820</f>
        <v>0</v>
      </c>
      <c r="P243" s="1647">
        <f>'Stock Rawmaterial'!O820</f>
        <v>0</v>
      </c>
      <c r="Q243" s="1647">
        <f>'Stock Rawmaterial'!P820</f>
        <v>0</v>
      </c>
      <c r="R243" s="234" t="str">
        <f>'Stock Rawmaterial'!Q820</f>
        <v>APA Enmy P</v>
      </c>
      <c r="S243" s="234">
        <f>'Stock Rawmaterial'!R820</f>
        <v>0</v>
      </c>
      <c r="T243" s="234">
        <f>'Stock Rawmaterial'!S820</f>
        <v>0</v>
      </c>
      <c r="AR243" s="181"/>
    </row>
    <row r="244" spans="1:44" s="6" customFormat="1" ht="30" customHeight="1" x14ac:dyDescent="0.2">
      <c r="A244" s="2278">
        <f>IF(M247=0,"",MAX($A$15:A243)+1)</f>
        <v>17</v>
      </c>
      <c r="B244" s="2275" t="s">
        <v>1756</v>
      </c>
      <c r="C244" s="1934" t="str">
        <f>'Stock Rawmaterial'!C1583</f>
        <v>E3</v>
      </c>
      <c r="D244" s="916" t="str">
        <f>'Stock Rawmaterial'!D821</f>
        <v>Rec.</v>
      </c>
      <c r="E244" s="935">
        <f>'Stock Rawmaterial'!E1583</f>
        <v>46270</v>
      </c>
      <c r="F244" s="75">
        <f>'Stock Rawmaterial'!F1583</f>
        <v>16</v>
      </c>
      <c r="G244" s="1953">
        <v>46938</v>
      </c>
      <c r="H244" s="77">
        <f>'Stock Rawmaterial'!G1583</f>
        <v>20</v>
      </c>
      <c r="I244" s="77">
        <f>'Stock Rawmaterial'!H1583</f>
        <v>0</v>
      </c>
      <c r="J244" s="77">
        <f>'Stock Rawmaterial'!I1583</f>
        <v>0</v>
      </c>
      <c r="K244" s="77">
        <f>'Stock Rawmaterial'!J1583</f>
        <v>0</v>
      </c>
      <c r="L244" s="77">
        <f>'Stock Rawmaterial'!K1583</f>
        <v>0</v>
      </c>
      <c r="M244" s="77">
        <f>'Stock Rawmaterial'!L1583</f>
        <v>20</v>
      </c>
      <c r="N244" s="1648"/>
      <c r="O244" s="1648"/>
      <c r="P244" s="1648"/>
      <c r="Q244" s="1648"/>
      <c r="R244" s="772"/>
      <c r="T244" s="773"/>
      <c r="AR244" s="180"/>
    </row>
    <row r="245" spans="1:44" s="6" customFormat="1" ht="30" hidden="1" customHeight="1" x14ac:dyDescent="0.2">
      <c r="A245" s="2279"/>
      <c r="B245" s="2276"/>
      <c r="C245" s="114">
        <f>'Stock Rawmaterial'!C1584</f>
        <v>0</v>
      </c>
      <c r="D245" s="916" t="str">
        <f>'Stock Rawmaterial'!D822</f>
        <v>Rec.</v>
      </c>
      <c r="E245" s="935">
        <f>'Stock Rawmaterial'!E1584</f>
        <v>46017</v>
      </c>
      <c r="F245" s="75">
        <f>'Stock Rawmaterial'!F1584</f>
        <v>269</v>
      </c>
      <c r="G245" s="1953">
        <v>46207</v>
      </c>
      <c r="H245" s="77">
        <f>'Stock Rawmaterial'!G1584</f>
        <v>0</v>
      </c>
      <c r="I245" s="77">
        <f>'Stock Rawmaterial'!H1584</f>
        <v>0</v>
      </c>
      <c r="J245" s="77">
        <f>'Stock Rawmaterial'!I1584</f>
        <v>0</v>
      </c>
      <c r="K245" s="77">
        <f>'Stock Rawmaterial'!J1584</f>
        <v>0</v>
      </c>
      <c r="L245" s="77">
        <f>'Stock Rawmaterial'!K1584</f>
        <v>0</v>
      </c>
      <c r="M245" s="77">
        <f>'Stock Rawmaterial'!L1584</f>
        <v>0</v>
      </c>
      <c r="N245" s="1648"/>
      <c r="O245" s="1648"/>
      <c r="P245" s="1648"/>
      <c r="Q245" s="1648">
        <f>'Stock Rawmaterial'!K822</f>
        <v>0</v>
      </c>
      <c r="R245" s="772"/>
      <c r="T245" s="773"/>
      <c r="AR245" s="180"/>
    </row>
    <row r="246" spans="1:44" s="6" customFormat="1" ht="30" customHeight="1" x14ac:dyDescent="0.2">
      <c r="A246" s="2280"/>
      <c r="B246" s="2277"/>
      <c r="C246" s="1700" t="str">
        <f>'Stock Rawmaterial'!C1585</f>
        <v>Feedmil</v>
      </c>
      <c r="D246" s="1931" t="str">
        <f>'Stock Rawmaterial'!D823</f>
        <v>Rec.</v>
      </c>
      <c r="E246" s="935">
        <f>'Stock Rawmaterial'!E1585</f>
        <v>46254</v>
      </c>
      <c r="F246" s="75">
        <f>'Stock Rawmaterial'!F1585</f>
        <v>32</v>
      </c>
      <c r="G246" s="1954">
        <v>46938</v>
      </c>
      <c r="H246" s="77">
        <f>'Stock Rawmaterial'!G1585</f>
        <v>7.3999999999999995</v>
      </c>
      <c r="I246" s="77">
        <f>'Stock Rawmaterial'!H1585</f>
        <v>0</v>
      </c>
      <c r="J246" s="77">
        <f>'Stock Rawmaterial'!I1585</f>
        <v>0</v>
      </c>
      <c r="K246" s="77">
        <f>'Stock Rawmaterial'!J1585</f>
        <v>0</v>
      </c>
      <c r="L246" s="77">
        <f>'Stock Rawmaterial'!K1585</f>
        <v>0</v>
      </c>
      <c r="M246" s="77">
        <f>'Stock Rawmaterial'!L1585</f>
        <v>7.3999999999999995</v>
      </c>
      <c r="N246" s="1649"/>
      <c r="O246" s="1649"/>
      <c r="P246" s="1649"/>
      <c r="Q246" s="1649">
        <f>'Stock Rawmaterial'!K823</f>
        <v>0</v>
      </c>
      <c r="R246" s="498"/>
      <c r="T246" s="10"/>
      <c r="AR246" s="180"/>
    </row>
    <row r="247" spans="1:44" s="420" customFormat="1" ht="30" customHeight="1" x14ac:dyDescent="0.2">
      <c r="A247" s="2273" t="s">
        <v>1761</v>
      </c>
      <c r="B247" s="2274"/>
      <c r="C247" s="1933"/>
      <c r="D247" s="93"/>
      <c r="E247" s="93"/>
      <c r="F247" s="94"/>
      <c r="G247" s="94"/>
      <c r="H247" s="234">
        <f>+H246+H245+H244</f>
        <v>27.4</v>
      </c>
      <c r="I247" s="234">
        <f t="shared" ref="I247:M247" si="42">+I246+I245+I244</f>
        <v>0</v>
      </c>
      <c r="J247" s="234">
        <f t="shared" si="42"/>
        <v>0</v>
      </c>
      <c r="K247" s="234">
        <f t="shared" si="42"/>
        <v>0</v>
      </c>
      <c r="L247" s="234">
        <f t="shared" si="42"/>
        <v>0</v>
      </c>
      <c r="M247" s="234">
        <f t="shared" si="42"/>
        <v>27.4</v>
      </c>
      <c r="N247" s="1647">
        <f>'Stock Rawmaterial'!M1586</f>
        <v>0</v>
      </c>
      <c r="O247" s="1647">
        <f>'Stock Rawmaterial'!N1586</f>
        <v>0</v>
      </c>
      <c r="P247" s="1647">
        <f>'Stock Rawmaterial'!O1586</f>
        <v>0</v>
      </c>
      <c r="Q247" s="1647">
        <f>'Stock Rawmaterial'!P1586</f>
        <v>0</v>
      </c>
      <c r="R247" s="234">
        <f>'Stock Rawmaterial'!Q824</f>
        <v>0</v>
      </c>
      <c r="S247" s="234">
        <f>'Stock Rawmaterial'!R824</f>
        <v>0</v>
      </c>
      <c r="T247" s="234">
        <f>'Stock Rawmaterial'!S824</f>
        <v>0</v>
      </c>
      <c r="AR247" s="181"/>
    </row>
    <row r="248" spans="1:44" s="533" customFormat="1" ht="30" customHeight="1" x14ac:dyDescent="0.25">
      <c r="A248" s="2256" t="s">
        <v>453</v>
      </c>
      <c r="B248" s="2270"/>
      <c r="C248" s="2256"/>
      <c r="D248" s="2257"/>
      <c r="E248" s="2257"/>
      <c r="F248" s="2258"/>
      <c r="G248" s="1682"/>
      <c r="H248" s="534">
        <f t="shared" ref="H248:M248" si="43">+H24+H32+H39+H47+H53+H60+H75+H82+H89+H115+H122+H131+H139+H145+H153+H161+H168+H174+H180+H188+H194+H201+H207+H213+H219+H225+H69+H231+H104+H96+H243+H237+H109+H247</f>
        <v>15640.249999999996</v>
      </c>
      <c r="I248" s="534">
        <f t="shared" si="43"/>
        <v>0</v>
      </c>
      <c r="J248" s="534">
        <f t="shared" si="43"/>
        <v>85</v>
      </c>
      <c r="K248" s="534">
        <f t="shared" si="43"/>
        <v>240.67999999999998</v>
      </c>
      <c r="L248" s="534">
        <f t="shared" si="43"/>
        <v>125</v>
      </c>
      <c r="M248" s="534">
        <f t="shared" si="43"/>
        <v>15399.570000000002</v>
      </c>
      <c r="N248" s="534"/>
      <c r="O248" s="534"/>
      <c r="P248" s="534"/>
      <c r="Q248" s="534"/>
    </row>
    <row r="249" spans="1:44" s="423" customFormat="1" ht="12" customHeight="1" x14ac:dyDescent="0.2">
      <c r="A249" s="57"/>
      <c r="B249"/>
      <c r="C249" s="13"/>
      <c r="D249" s="16"/>
      <c r="E249" s="15"/>
      <c r="F249" s="141"/>
      <c r="G249" s="141"/>
      <c r="H249" s="141"/>
      <c r="I249" s="141"/>
      <c r="J249"/>
      <c r="K249" s="216"/>
      <c r="L249" s="228"/>
      <c r="O249" s="213"/>
      <c r="P249" s="220"/>
      <c r="Q249" s="205"/>
      <c r="R249" s="425"/>
      <c r="S249" s="425"/>
      <c r="T249" s="425"/>
      <c r="U249" s="425"/>
      <c r="V249" s="1"/>
      <c r="W249" s="1"/>
      <c r="X249" s="1"/>
    </row>
    <row r="250" spans="1:44" s="3" customFormat="1" x14ac:dyDescent="0.2">
      <c r="A250" s="57"/>
      <c r="B250"/>
      <c r="C250" s="89"/>
      <c r="D250" s="16"/>
      <c r="E250" s="15"/>
      <c r="F250" s="141"/>
      <c r="G250" s="141"/>
      <c r="H250" s="76"/>
      <c r="I250" s="367"/>
      <c r="J250"/>
      <c r="K250" s="202"/>
      <c r="L250" s="200"/>
      <c r="M250" s="202">
        <f>+'Stock Rawmaterial'!L782+'Stock Rawmaterial'!L814+'Stock Rawmaterial'!L820+'Stock Rawmaterial'!L1000+'Stock Rawmaterial'!L1056+'Stock Rawmaterial'!L1128+'Stock Rawmaterial'!L1163+'Stock Rawmaterial'!L1201+'Stock Rawmaterial'!L1249+'Stock Rawmaterial'!L1330+'Stock Rawmaterial'!L1341+'Stock Rawmaterial'!L1195+'Stock Rawmaterial'!L1272+'Stock Rawmaterial'!L1078+'Stock Rawmaterial'!L650+'Stock Rawmaterial'!L1133+'Stock Rawmaterial'!L1113+'Stock Rawmaterial'!L1062+'Stock Rawmaterial'!L808+'Stock Rawmaterial'!L1586</f>
        <v>15399.570000000002</v>
      </c>
      <c r="N250" s="202"/>
      <c r="O250" s="217"/>
      <c r="P250" s="264"/>
      <c r="Q250" s="217"/>
      <c r="R250" s="425"/>
      <c r="S250" s="425"/>
      <c r="T250" s="425"/>
      <c r="U250" s="425"/>
      <c r="V250" s="1"/>
      <c r="W250" s="1"/>
      <c r="X250" s="1"/>
    </row>
    <row r="251" spans="1:44" s="3" customFormat="1" ht="22.5" customHeight="1" x14ac:dyDescent="0.2">
      <c r="A251" s="2181" t="s">
        <v>332</v>
      </c>
      <c r="B251" s="2181"/>
      <c r="C251" s="13"/>
      <c r="D251" s="16"/>
      <c r="E251" s="15"/>
      <c r="F251" s="141"/>
      <c r="G251" s="141"/>
      <c r="H251" s="96"/>
      <c r="I251" s="96"/>
      <c r="J251"/>
      <c r="K251" s="244"/>
      <c r="L251" s="212"/>
      <c r="M251" s="200">
        <f>+M248-M250</f>
        <v>0</v>
      </c>
      <c r="N251" s="337"/>
      <c r="O251" s="217"/>
      <c r="P251" s="141"/>
      <c r="Q251" s="217"/>
      <c r="R251" s="425"/>
      <c r="S251" s="425"/>
      <c r="T251" s="425"/>
      <c r="U251" s="425"/>
      <c r="V251" s="1"/>
      <c r="W251" s="1"/>
      <c r="X251" s="1"/>
    </row>
    <row r="252" spans="1:44" s="3" customFormat="1" x14ac:dyDescent="0.2">
      <c r="A252" s="2181" t="s">
        <v>1471</v>
      </c>
      <c r="B252" s="2181"/>
      <c r="C252" s="13"/>
      <c r="D252" s="16"/>
      <c r="E252" s="15"/>
      <c r="F252" s="141"/>
      <c r="G252" s="141"/>
      <c r="H252" s="96"/>
      <c r="I252" s="96"/>
      <c r="J252"/>
      <c r="K252" s="244"/>
      <c r="L252" s="245"/>
      <c r="M252" s="214"/>
      <c r="N252" s="337"/>
      <c r="O252" s="217"/>
      <c r="P252" s="141"/>
      <c r="Q252" s="215"/>
      <c r="R252" s="425"/>
      <c r="S252" s="425"/>
      <c r="T252" s="425"/>
      <c r="U252" s="425"/>
      <c r="V252" s="1"/>
      <c r="W252" s="1"/>
      <c r="X252" s="1"/>
    </row>
    <row r="253" spans="1:44" s="3" customFormat="1" x14ac:dyDescent="0.2">
      <c r="A253" s="2181" t="s">
        <v>1472</v>
      </c>
      <c r="B253" s="2181"/>
      <c r="C253" s="13"/>
      <c r="D253" s="16"/>
      <c r="E253" s="15"/>
      <c r="F253" s="141"/>
      <c r="G253" s="141"/>
      <c r="H253" s="52"/>
      <c r="I253" s="96"/>
      <c r="J253"/>
      <c r="K253" s="244"/>
      <c r="L253" s="245"/>
      <c r="M253" s="242"/>
      <c r="N253" s="337"/>
      <c r="O253" s="217"/>
      <c r="P253" s="141"/>
      <c r="Q253" s="215"/>
      <c r="R253" s="425"/>
      <c r="S253" s="425"/>
      <c r="T253" s="425"/>
      <c r="U253" s="425"/>
      <c r="V253" s="1"/>
      <c r="W253" s="1"/>
      <c r="X253" s="1"/>
    </row>
    <row r="254" spans="1:44" s="3" customFormat="1" x14ac:dyDescent="0.2">
      <c r="A254" s="2181"/>
      <c r="B254" s="2181"/>
      <c r="C254" s="13"/>
      <c r="D254" s="16"/>
      <c r="E254" s="15"/>
      <c r="F254" s="141"/>
      <c r="G254" s="141"/>
      <c r="H254" s="52"/>
      <c r="I254" s="96"/>
      <c r="J254"/>
      <c r="K254" s="244"/>
      <c r="L254" s="245"/>
      <c r="M254" s="242"/>
      <c r="N254" s="337"/>
      <c r="O254" s="217"/>
      <c r="P254" s="141"/>
      <c r="Q254" s="215"/>
      <c r="R254" s="425"/>
      <c r="S254" s="425"/>
      <c r="T254" s="425"/>
      <c r="U254" s="425"/>
      <c r="V254" s="1"/>
      <c r="W254" s="1"/>
      <c r="X254" s="1"/>
    </row>
    <row r="255" spans="1:44" s="3" customFormat="1" x14ac:dyDescent="0.2">
      <c r="A255" s="2181"/>
      <c r="B255" s="2181"/>
      <c r="C255" s="13"/>
      <c r="D255" s="16"/>
      <c r="E255" s="15"/>
      <c r="F255" s="141"/>
      <c r="G255" s="141"/>
      <c r="H255" s="52"/>
      <c r="I255" s="96"/>
      <c r="J255"/>
      <c r="K255" s="244"/>
      <c r="L255" s="245"/>
      <c r="M255" s="242"/>
      <c r="N255" s="337"/>
      <c r="O255" s="217"/>
      <c r="P255" s="141"/>
      <c r="Q255" s="215"/>
      <c r="R255" s="425"/>
      <c r="S255" s="425"/>
      <c r="T255" s="425"/>
      <c r="U255" s="425"/>
      <c r="V255" s="1"/>
      <c r="W255" s="1"/>
      <c r="X255" s="1"/>
    </row>
    <row r="256" spans="1:44" s="3" customFormat="1" x14ac:dyDescent="0.2">
      <c r="A256" s="2181"/>
      <c r="B256" s="2181"/>
      <c r="C256" s="13"/>
      <c r="D256" s="16"/>
      <c r="E256" s="15"/>
      <c r="F256" s="141"/>
      <c r="G256" s="141"/>
      <c r="H256" s="52"/>
      <c r="I256" s="96"/>
      <c r="J256"/>
      <c r="K256" s="214"/>
      <c r="L256" s="245"/>
      <c r="M256" s="242" t="s">
        <v>450</v>
      </c>
      <c r="N256" s="338"/>
      <c r="O256" s="217"/>
      <c r="P256" s="141"/>
      <c r="Q256" s="215"/>
      <c r="R256" s="425"/>
      <c r="S256" s="425"/>
      <c r="T256" s="425"/>
      <c r="U256" s="425"/>
      <c r="V256" s="1"/>
      <c r="W256" s="1"/>
      <c r="X256" s="1"/>
    </row>
    <row r="257" spans="1:44" x14ac:dyDescent="0.2">
      <c r="H257" s="52"/>
      <c r="I257" s="96"/>
      <c r="K257" s="216"/>
      <c r="L257" s="245"/>
      <c r="M257" s="69"/>
      <c r="N257" s="96"/>
      <c r="P257" s="141"/>
      <c r="Q257" s="215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</row>
    <row r="258" spans="1:44" x14ac:dyDescent="0.2">
      <c r="E258" s="15" t="s">
        <v>353</v>
      </c>
      <c r="K258" s="328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</row>
    <row r="259" spans="1:44" x14ac:dyDescent="0.2"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</row>
    <row r="260" spans="1:44" x14ac:dyDescent="0.2"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</row>
    <row r="261" spans="1:44" x14ac:dyDescent="0.2"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</row>
    <row r="262" spans="1:44" x14ac:dyDescent="0.2"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</row>
    <row r="263" spans="1:44" x14ac:dyDescent="0.2">
      <c r="O263" s="218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</row>
    <row r="264" spans="1:44" ht="15" x14ac:dyDescent="0.2">
      <c r="A264" s="2"/>
      <c r="C264" s="2"/>
      <c r="D264" s="2"/>
      <c r="E264" s="2"/>
      <c r="F264" s="2"/>
      <c r="G264" s="2"/>
      <c r="H264" s="2"/>
      <c r="I264" s="295"/>
      <c r="K264" s="2"/>
      <c r="L264" s="2"/>
      <c r="M264" s="202"/>
      <c r="N264" s="295"/>
      <c r="O264" s="203"/>
      <c r="P264" s="328"/>
      <c r="Q264" s="203"/>
      <c r="R264" s="2"/>
      <c r="S264" s="2"/>
      <c r="T264" s="2"/>
      <c r="U264" s="2"/>
      <c r="V264" s="2"/>
      <c r="W264" s="2"/>
      <c r="X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</row>
    <row r="265" spans="1:44" x14ac:dyDescent="0.2"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</row>
    <row r="266" spans="1:44" x14ac:dyDescent="0.2"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</row>
    <row r="267" spans="1:44" x14ac:dyDescent="0.2"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</row>
    <row r="268" spans="1:44" x14ac:dyDescent="0.2"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</row>
    <row r="269" spans="1:44" x14ac:dyDescent="0.2"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</row>
    <row r="270" spans="1:44" x14ac:dyDescent="0.2"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</row>
    <row r="271" spans="1:44" x14ac:dyDescent="0.2"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</row>
    <row r="272" spans="1:44" ht="15" x14ac:dyDescent="0.2">
      <c r="A272" s="2"/>
      <c r="C272" s="2"/>
      <c r="D272" s="2"/>
      <c r="E272" s="2"/>
      <c r="F272" s="2"/>
      <c r="G272" s="2"/>
      <c r="H272" s="2"/>
      <c r="I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</row>
    <row r="273" spans="2:10" s="2" customFormat="1" ht="15" x14ac:dyDescent="0.2">
      <c r="B273"/>
      <c r="J273"/>
    </row>
    <row r="274" spans="2:10" s="2" customFormat="1" ht="15" x14ac:dyDescent="0.2">
      <c r="B274"/>
      <c r="J274"/>
    </row>
    <row r="275" spans="2:10" s="2" customFormat="1" ht="15" x14ac:dyDescent="0.2">
      <c r="B275"/>
      <c r="J275"/>
    </row>
    <row r="276" spans="2:10" s="2" customFormat="1" ht="15" x14ac:dyDescent="0.2">
      <c r="B276"/>
      <c r="J276"/>
    </row>
    <row r="277" spans="2:10" s="2" customFormat="1" ht="15" x14ac:dyDescent="0.2">
      <c r="B277"/>
      <c r="J277"/>
    </row>
    <row r="278" spans="2:10" s="2" customFormat="1" ht="15" x14ac:dyDescent="0.2">
      <c r="B278"/>
      <c r="J278"/>
    </row>
    <row r="279" spans="2:10" s="2" customFormat="1" ht="15" x14ac:dyDescent="0.2">
      <c r="B279"/>
      <c r="J279"/>
    </row>
    <row r="280" spans="2:10" s="2" customFormat="1" ht="15" x14ac:dyDescent="0.2">
      <c r="B280"/>
      <c r="J280"/>
    </row>
    <row r="281" spans="2:10" s="2" customFormat="1" ht="15" x14ac:dyDescent="0.2">
      <c r="B281"/>
      <c r="J281"/>
    </row>
    <row r="282" spans="2:10" s="2" customFormat="1" ht="15" x14ac:dyDescent="0.2">
      <c r="B282"/>
      <c r="J282"/>
    </row>
    <row r="283" spans="2:10" s="2" customFormat="1" ht="15" x14ac:dyDescent="0.2">
      <c r="B283"/>
      <c r="J283"/>
    </row>
    <row r="284" spans="2:10" s="2" customFormat="1" ht="15" x14ac:dyDescent="0.2">
      <c r="B284"/>
      <c r="J284"/>
    </row>
    <row r="285" spans="2:10" s="2" customFormat="1" ht="15" x14ac:dyDescent="0.2">
      <c r="B285"/>
      <c r="J285"/>
    </row>
    <row r="286" spans="2:10" s="2" customFormat="1" ht="15" x14ac:dyDescent="0.2">
      <c r="B286"/>
      <c r="J286"/>
    </row>
    <row r="287" spans="2:10" s="2" customFormat="1" ht="15" x14ac:dyDescent="0.2">
      <c r="B287"/>
      <c r="J287"/>
    </row>
    <row r="288" spans="2:10" s="2" customFormat="1" ht="15" x14ac:dyDescent="0.2">
      <c r="B288"/>
      <c r="J288"/>
    </row>
    <row r="289" spans="2:10" s="2" customFormat="1" ht="15" x14ac:dyDescent="0.2">
      <c r="B289"/>
      <c r="J289"/>
    </row>
    <row r="290" spans="2:10" s="2" customFormat="1" ht="15" x14ac:dyDescent="0.2">
      <c r="B290"/>
      <c r="J290"/>
    </row>
    <row r="291" spans="2:10" s="2" customFormat="1" ht="15" x14ac:dyDescent="0.2">
      <c r="B291"/>
      <c r="J291"/>
    </row>
    <row r="292" spans="2:10" s="2" customFormat="1" ht="15" x14ac:dyDescent="0.2">
      <c r="B292"/>
      <c r="J292"/>
    </row>
    <row r="293" spans="2:10" s="2" customFormat="1" ht="15" x14ac:dyDescent="0.2">
      <c r="B293"/>
      <c r="J293"/>
    </row>
    <row r="294" spans="2:10" s="2" customFormat="1" ht="15" x14ac:dyDescent="0.2">
      <c r="B294"/>
      <c r="J294"/>
    </row>
    <row r="295" spans="2:10" s="2" customFormat="1" ht="15" x14ac:dyDescent="0.2">
      <c r="B295"/>
      <c r="J295"/>
    </row>
    <row r="296" spans="2:10" s="2" customFormat="1" ht="15" x14ac:dyDescent="0.2">
      <c r="B296"/>
      <c r="J296"/>
    </row>
    <row r="297" spans="2:10" s="2" customFormat="1" ht="15" x14ac:dyDescent="0.2">
      <c r="B297"/>
      <c r="J297"/>
    </row>
    <row r="298" spans="2:10" s="2" customFormat="1" ht="15" x14ac:dyDescent="0.2">
      <c r="B298"/>
      <c r="J298"/>
    </row>
    <row r="299" spans="2:10" s="2" customFormat="1" ht="15" x14ac:dyDescent="0.2">
      <c r="B299"/>
      <c r="J299"/>
    </row>
    <row r="300" spans="2:10" s="2" customFormat="1" ht="15" x14ac:dyDescent="0.2">
      <c r="B300"/>
      <c r="J300"/>
    </row>
    <row r="301" spans="2:10" s="2" customFormat="1" ht="15" x14ac:dyDescent="0.2">
      <c r="B301"/>
      <c r="J301"/>
    </row>
    <row r="302" spans="2:10" s="2" customFormat="1" ht="15" x14ac:dyDescent="0.2">
      <c r="B302"/>
      <c r="J302"/>
    </row>
    <row r="303" spans="2:10" s="2" customFormat="1" ht="15" x14ac:dyDescent="0.2">
      <c r="B303"/>
      <c r="J303"/>
    </row>
    <row r="304" spans="2:10" s="2" customFormat="1" ht="15" x14ac:dyDescent="0.2">
      <c r="B304"/>
      <c r="J304"/>
    </row>
    <row r="305" spans="2:10" s="2" customFormat="1" ht="15" x14ac:dyDescent="0.2">
      <c r="B305"/>
      <c r="J305"/>
    </row>
    <row r="306" spans="2:10" s="2" customFormat="1" ht="15" x14ac:dyDescent="0.2">
      <c r="B306"/>
      <c r="J306"/>
    </row>
    <row r="307" spans="2:10" s="2" customFormat="1" ht="15" x14ac:dyDescent="0.2">
      <c r="B307"/>
      <c r="J307"/>
    </row>
    <row r="308" spans="2:10" s="2" customFormat="1" ht="15" x14ac:dyDescent="0.2">
      <c r="B308"/>
      <c r="J308"/>
    </row>
    <row r="309" spans="2:10" s="2" customFormat="1" ht="15" x14ac:dyDescent="0.2">
      <c r="B309"/>
      <c r="J309"/>
    </row>
    <row r="310" spans="2:10" s="2" customFormat="1" ht="15" x14ac:dyDescent="0.2">
      <c r="B310"/>
      <c r="J310"/>
    </row>
    <row r="311" spans="2:10" s="2" customFormat="1" ht="15" x14ac:dyDescent="0.2">
      <c r="B311"/>
      <c r="J311"/>
    </row>
    <row r="312" spans="2:10" s="2" customFormat="1" ht="15" x14ac:dyDescent="0.2">
      <c r="B312"/>
      <c r="J312"/>
    </row>
    <row r="313" spans="2:10" s="2" customFormat="1" ht="15" x14ac:dyDescent="0.2">
      <c r="B313"/>
      <c r="J313"/>
    </row>
    <row r="314" spans="2:10" s="2" customFormat="1" ht="15" x14ac:dyDescent="0.2">
      <c r="B314"/>
      <c r="J314"/>
    </row>
    <row r="315" spans="2:10" s="2" customFormat="1" ht="15" x14ac:dyDescent="0.2">
      <c r="B315"/>
      <c r="J315"/>
    </row>
    <row r="316" spans="2:10" s="2" customFormat="1" ht="15" x14ac:dyDescent="0.2">
      <c r="B316"/>
      <c r="J316"/>
    </row>
    <row r="317" spans="2:10" s="2" customFormat="1" ht="15" x14ac:dyDescent="0.2">
      <c r="B317"/>
      <c r="J317"/>
    </row>
    <row r="318" spans="2:10" s="2" customFormat="1" ht="15" x14ac:dyDescent="0.2">
      <c r="B318"/>
      <c r="J318"/>
    </row>
    <row r="319" spans="2:10" s="2" customFormat="1" ht="15" x14ac:dyDescent="0.2">
      <c r="B319"/>
      <c r="J319"/>
    </row>
    <row r="320" spans="2:10" s="2" customFormat="1" ht="15" x14ac:dyDescent="0.2">
      <c r="B320"/>
      <c r="J320"/>
    </row>
    <row r="321" spans="2:10" s="2" customFormat="1" ht="15" x14ac:dyDescent="0.2">
      <c r="B321"/>
      <c r="J321"/>
    </row>
    <row r="322" spans="2:10" s="2" customFormat="1" ht="15" x14ac:dyDescent="0.2">
      <c r="B322"/>
      <c r="J322"/>
    </row>
    <row r="323" spans="2:10" s="2" customFormat="1" ht="15" x14ac:dyDescent="0.2">
      <c r="B323"/>
      <c r="J323"/>
    </row>
    <row r="324" spans="2:10" s="2" customFormat="1" ht="15" x14ac:dyDescent="0.2">
      <c r="B324"/>
      <c r="J324"/>
    </row>
    <row r="325" spans="2:10" s="2" customFormat="1" ht="15" x14ac:dyDescent="0.2">
      <c r="B325"/>
      <c r="J325"/>
    </row>
    <row r="326" spans="2:10" s="2" customFormat="1" ht="15" x14ac:dyDescent="0.2">
      <c r="B326"/>
      <c r="J326"/>
    </row>
    <row r="327" spans="2:10" s="2" customFormat="1" ht="15" x14ac:dyDescent="0.2">
      <c r="B327"/>
      <c r="J327"/>
    </row>
    <row r="328" spans="2:10" s="2" customFormat="1" ht="15" x14ac:dyDescent="0.2">
      <c r="B328"/>
      <c r="J328"/>
    </row>
    <row r="329" spans="2:10" s="2" customFormat="1" ht="15" x14ac:dyDescent="0.2">
      <c r="B329"/>
      <c r="J329"/>
    </row>
    <row r="330" spans="2:10" s="2" customFormat="1" ht="15" x14ac:dyDescent="0.2">
      <c r="B330"/>
      <c r="J330"/>
    </row>
    <row r="331" spans="2:10" s="2" customFormat="1" ht="15" x14ac:dyDescent="0.2">
      <c r="B331"/>
      <c r="J331"/>
    </row>
    <row r="332" spans="2:10" s="2" customFormat="1" ht="15" x14ac:dyDescent="0.2">
      <c r="B332"/>
      <c r="J332"/>
    </row>
    <row r="333" spans="2:10" s="2" customFormat="1" ht="15" x14ac:dyDescent="0.2">
      <c r="B333"/>
      <c r="J333"/>
    </row>
    <row r="334" spans="2:10" s="2" customFormat="1" ht="15" x14ac:dyDescent="0.2">
      <c r="B334"/>
      <c r="J334"/>
    </row>
    <row r="335" spans="2:10" s="2" customFormat="1" ht="15" x14ac:dyDescent="0.2">
      <c r="B335"/>
      <c r="J335"/>
    </row>
    <row r="336" spans="2:10" s="2" customFormat="1" ht="15" x14ac:dyDescent="0.2">
      <c r="B336"/>
      <c r="J336"/>
    </row>
    <row r="337" spans="2:10" s="2" customFormat="1" ht="15" x14ac:dyDescent="0.2">
      <c r="B337"/>
      <c r="J337"/>
    </row>
    <row r="338" spans="2:10" s="2" customFormat="1" ht="15" x14ac:dyDescent="0.2">
      <c r="B338"/>
      <c r="J338"/>
    </row>
    <row r="339" spans="2:10" s="2" customFormat="1" ht="15" x14ac:dyDescent="0.2">
      <c r="B339"/>
      <c r="J339"/>
    </row>
    <row r="340" spans="2:10" s="2" customFormat="1" ht="15" x14ac:dyDescent="0.2">
      <c r="B340"/>
      <c r="J340"/>
    </row>
    <row r="341" spans="2:10" s="2" customFormat="1" ht="15" x14ac:dyDescent="0.2">
      <c r="B341"/>
      <c r="J341"/>
    </row>
    <row r="342" spans="2:10" s="2" customFormat="1" ht="15" x14ac:dyDescent="0.2">
      <c r="B342"/>
      <c r="J342"/>
    </row>
    <row r="343" spans="2:10" s="2" customFormat="1" ht="15" x14ac:dyDescent="0.2">
      <c r="B343"/>
      <c r="J343"/>
    </row>
    <row r="344" spans="2:10" s="2" customFormat="1" ht="15" x14ac:dyDescent="0.2">
      <c r="B344"/>
      <c r="J344"/>
    </row>
    <row r="345" spans="2:10" s="2" customFormat="1" ht="15" x14ac:dyDescent="0.2">
      <c r="B345"/>
      <c r="J345"/>
    </row>
    <row r="346" spans="2:10" s="2" customFormat="1" ht="15" x14ac:dyDescent="0.2">
      <c r="B346"/>
      <c r="J346"/>
    </row>
    <row r="347" spans="2:10" s="2" customFormat="1" ht="15" x14ac:dyDescent="0.2">
      <c r="B347"/>
      <c r="J347"/>
    </row>
    <row r="348" spans="2:10" s="2" customFormat="1" ht="15" x14ac:dyDescent="0.2">
      <c r="B348"/>
      <c r="J348"/>
    </row>
    <row r="349" spans="2:10" s="2" customFormat="1" ht="15" x14ac:dyDescent="0.2">
      <c r="B349"/>
      <c r="J349"/>
    </row>
    <row r="350" spans="2:10" s="2" customFormat="1" ht="15" x14ac:dyDescent="0.2">
      <c r="B350"/>
      <c r="J350"/>
    </row>
    <row r="351" spans="2:10" s="2" customFormat="1" ht="15" x14ac:dyDescent="0.2">
      <c r="B351"/>
      <c r="J351"/>
    </row>
    <row r="352" spans="2:10" s="2" customFormat="1" ht="15" x14ac:dyDescent="0.2">
      <c r="B352"/>
      <c r="J352"/>
    </row>
    <row r="353" spans="2:10" s="2" customFormat="1" ht="15" x14ac:dyDescent="0.2">
      <c r="B353"/>
      <c r="J353"/>
    </row>
    <row r="354" spans="2:10" s="2" customFormat="1" ht="15" x14ac:dyDescent="0.2">
      <c r="B354"/>
      <c r="J354"/>
    </row>
    <row r="355" spans="2:10" s="2" customFormat="1" ht="15" x14ac:dyDescent="0.2">
      <c r="B355"/>
      <c r="J355"/>
    </row>
    <row r="356" spans="2:10" s="2" customFormat="1" ht="15" x14ac:dyDescent="0.2">
      <c r="B356"/>
      <c r="J356"/>
    </row>
    <row r="357" spans="2:10" s="2" customFormat="1" ht="15" x14ac:dyDescent="0.2">
      <c r="B357"/>
      <c r="J357"/>
    </row>
    <row r="358" spans="2:10" s="2" customFormat="1" ht="15" x14ac:dyDescent="0.2">
      <c r="B358"/>
      <c r="J358"/>
    </row>
    <row r="359" spans="2:10" s="2" customFormat="1" ht="15" x14ac:dyDescent="0.2">
      <c r="B359"/>
      <c r="J359"/>
    </row>
    <row r="360" spans="2:10" s="2" customFormat="1" ht="15" x14ac:dyDescent="0.2">
      <c r="B360"/>
      <c r="J360"/>
    </row>
    <row r="361" spans="2:10" s="2" customFormat="1" ht="15" x14ac:dyDescent="0.2">
      <c r="B361"/>
      <c r="J361"/>
    </row>
    <row r="362" spans="2:10" s="2" customFormat="1" ht="15" x14ac:dyDescent="0.2">
      <c r="B362"/>
      <c r="J362"/>
    </row>
    <row r="363" spans="2:10" s="2" customFormat="1" ht="15" x14ac:dyDescent="0.2">
      <c r="B363"/>
      <c r="J363"/>
    </row>
    <row r="364" spans="2:10" s="2" customFormat="1" ht="15" x14ac:dyDescent="0.2">
      <c r="B364"/>
      <c r="J364"/>
    </row>
    <row r="365" spans="2:10" s="2" customFormat="1" ht="15" x14ac:dyDescent="0.2">
      <c r="B365"/>
      <c r="J365"/>
    </row>
    <row r="366" spans="2:10" s="2" customFormat="1" ht="15" x14ac:dyDescent="0.2">
      <c r="B366"/>
      <c r="J366"/>
    </row>
    <row r="367" spans="2:10" s="2" customFormat="1" ht="15" x14ac:dyDescent="0.2">
      <c r="B367"/>
      <c r="J367"/>
    </row>
    <row r="368" spans="2:10" s="2" customFormat="1" ht="15" x14ac:dyDescent="0.2">
      <c r="B368"/>
      <c r="J368"/>
    </row>
    <row r="369" spans="2:10" s="2" customFormat="1" ht="15" x14ac:dyDescent="0.2">
      <c r="B369"/>
      <c r="J369"/>
    </row>
    <row r="370" spans="2:10" s="2" customFormat="1" ht="15" x14ac:dyDescent="0.2">
      <c r="B370"/>
      <c r="J370"/>
    </row>
    <row r="371" spans="2:10" s="2" customFormat="1" ht="15" x14ac:dyDescent="0.2">
      <c r="B371"/>
      <c r="J371"/>
    </row>
    <row r="372" spans="2:10" s="2" customFormat="1" ht="15" x14ac:dyDescent="0.2">
      <c r="B372"/>
      <c r="J372"/>
    </row>
    <row r="373" spans="2:10" s="2" customFormat="1" ht="15" x14ac:dyDescent="0.2">
      <c r="B373"/>
      <c r="J373"/>
    </row>
    <row r="374" spans="2:10" s="2" customFormat="1" ht="15" x14ac:dyDescent="0.2">
      <c r="B374"/>
      <c r="J374"/>
    </row>
    <row r="375" spans="2:10" s="2" customFormat="1" ht="15" x14ac:dyDescent="0.2">
      <c r="B375"/>
      <c r="J375"/>
    </row>
    <row r="376" spans="2:10" s="2" customFormat="1" ht="15" x14ac:dyDescent="0.2">
      <c r="B376"/>
      <c r="J376"/>
    </row>
    <row r="377" spans="2:10" s="2" customFormat="1" ht="15" x14ac:dyDescent="0.2">
      <c r="B377"/>
      <c r="J377"/>
    </row>
    <row r="378" spans="2:10" s="2" customFormat="1" ht="15" x14ac:dyDescent="0.2">
      <c r="B378"/>
      <c r="J378"/>
    </row>
    <row r="379" spans="2:10" s="2" customFormat="1" ht="15" x14ac:dyDescent="0.2">
      <c r="B379"/>
      <c r="J379"/>
    </row>
    <row r="380" spans="2:10" s="2" customFormat="1" ht="15" x14ac:dyDescent="0.2">
      <c r="B380"/>
      <c r="J380"/>
    </row>
    <row r="381" spans="2:10" s="2" customFormat="1" ht="15" x14ac:dyDescent="0.2">
      <c r="B381"/>
      <c r="J381"/>
    </row>
    <row r="382" spans="2:10" s="2" customFormat="1" ht="15" x14ac:dyDescent="0.2">
      <c r="B382"/>
      <c r="J382"/>
    </row>
    <row r="383" spans="2:10" s="2" customFormat="1" ht="15" x14ac:dyDescent="0.2">
      <c r="B383"/>
      <c r="J383"/>
    </row>
    <row r="384" spans="2:10" s="2" customFormat="1" ht="15" x14ac:dyDescent="0.2">
      <c r="B384"/>
      <c r="J384"/>
    </row>
    <row r="385" spans="2:10" s="2" customFormat="1" ht="15" x14ac:dyDescent="0.2">
      <c r="B385"/>
      <c r="J385"/>
    </row>
    <row r="386" spans="2:10" s="2" customFormat="1" ht="15" x14ac:dyDescent="0.2">
      <c r="B386"/>
      <c r="J386"/>
    </row>
    <row r="387" spans="2:10" s="2" customFormat="1" ht="15" x14ac:dyDescent="0.2">
      <c r="B387"/>
      <c r="J387"/>
    </row>
    <row r="388" spans="2:10" s="2" customFormat="1" ht="15" x14ac:dyDescent="0.2">
      <c r="B388"/>
      <c r="J388"/>
    </row>
    <row r="389" spans="2:10" s="2" customFormat="1" ht="15" x14ac:dyDescent="0.2">
      <c r="B389"/>
      <c r="J389"/>
    </row>
    <row r="390" spans="2:10" s="2" customFormat="1" ht="15" x14ac:dyDescent="0.2">
      <c r="B390"/>
      <c r="J390"/>
    </row>
    <row r="391" spans="2:10" s="2" customFormat="1" ht="15" x14ac:dyDescent="0.2">
      <c r="B391"/>
      <c r="J391"/>
    </row>
    <row r="392" spans="2:10" s="2" customFormat="1" ht="15" x14ac:dyDescent="0.2">
      <c r="B392"/>
      <c r="J392"/>
    </row>
    <row r="393" spans="2:10" s="2" customFormat="1" ht="15" x14ac:dyDescent="0.2">
      <c r="B393"/>
      <c r="J393"/>
    </row>
    <row r="394" spans="2:10" s="2" customFormat="1" ht="15" x14ac:dyDescent="0.2">
      <c r="B394"/>
      <c r="J394"/>
    </row>
    <row r="395" spans="2:10" s="2" customFormat="1" ht="15" x14ac:dyDescent="0.2">
      <c r="B395"/>
      <c r="J395"/>
    </row>
    <row r="396" spans="2:10" s="2" customFormat="1" ht="15" x14ac:dyDescent="0.2">
      <c r="B396"/>
      <c r="J396"/>
    </row>
    <row r="397" spans="2:10" s="2" customFormat="1" ht="15" x14ac:dyDescent="0.2">
      <c r="B397"/>
      <c r="J397"/>
    </row>
    <row r="398" spans="2:10" s="2" customFormat="1" ht="15" x14ac:dyDescent="0.2">
      <c r="B398"/>
      <c r="J398"/>
    </row>
    <row r="399" spans="2:10" s="2" customFormat="1" ht="15" x14ac:dyDescent="0.2">
      <c r="B399"/>
      <c r="J399"/>
    </row>
    <row r="400" spans="2:10" s="2" customFormat="1" ht="15" x14ac:dyDescent="0.2">
      <c r="B400"/>
      <c r="J400"/>
    </row>
    <row r="401" spans="2:10" s="2" customFormat="1" ht="15" x14ac:dyDescent="0.2">
      <c r="B401"/>
      <c r="J401"/>
    </row>
    <row r="402" spans="2:10" s="2" customFormat="1" ht="15" x14ac:dyDescent="0.2">
      <c r="B402"/>
      <c r="J402"/>
    </row>
    <row r="403" spans="2:10" s="2" customFormat="1" ht="15" x14ac:dyDescent="0.2">
      <c r="B403"/>
      <c r="J403"/>
    </row>
    <row r="404" spans="2:10" s="2" customFormat="1" ht="15" x14ac:dyDescent="0.2">
      <c r="B404"/>
      <c r="J404"/>
    </row>
    <row r="405" spans="2:10" s="2" customFormat="1" ht="15" x14ac:dyDescent="0.2">
      <c r="B405"/>
      <c r="J405"/>
    </row>
    <row r="406" spans="2:10" s="2" customFormat="1" ht="15" x14ac:dyDescent="0.2">
      <c r="B406"/>
      <c r="J406"/>
    </row>
    <row r="407" spans="2:10" s="2" customFormat="1" ht="15" x14ac:dyDescent="0.2">
      <c r="B407"/>
      <c r="J407"/>
    </row>
    <row r="408" spans="2:10" s="2" customFormat="1" ht="15" x14ac:dyDescent="0.2">
      <c r="B408"/>
      <c r="J408"/>
    </row>
    <row r="409" spans="2:10" s="2" customFormat="1" ht="15" x14ac:dyDescent="0.2">
      <c r="B409"/>
      <c r="J409"/>
    </row>
    <row r="410" spans="2:10" s="2" customFormat="1" ht="15" x14ac:dyDescent="0.2">
      <c r="B410"/>
      <c r="J410"/>
    </row>
    <row r="411" spans="2:10" s="2" customFormat="1" ht="15" x14ac:dyDescent="0.2">
      <c r="B411"/>
      <c r="J411"/>
    </row>
    <row r="412" spans="2:10" s="2" customFormat="1" ht="15" x14ac:dyDescent="0.2">
      <c r="B412"/>
      <c r="J412"/>
    </row>
    <row r="413" spans="2:10" s="2" customFormat="1" ht="15" x14ac:dyDescent="0.2">
      <c r="B413"/>
      <c r="J413"/>
    </row>
    <row r="414" spans="2:10" s="2" customFormat="1" ht="15" x14ac:dyDescent="0.2">
      <c r="B414"/>
      <c r="J414"/>
    </row>
    <row r="415" spans="2:10" s="2" customFormat="1" ht="15" x14ac:dyDescent="0.2">
      <c r="B415"/>
      <c r="J415"/>
    </row>
    <row r="416" spans="2:10" s="2" customFormat="1" ht="15" x14ac:dyDescent="0.2">
      <c r="B416"/>
      <c r="J416"/>
    </row>
    <row r="417" spans="2:10" s="2" customFormat="1" ht="15" x14ac:dyDescent="0.2">
      <c r="B417"/>
      <c r="J417"/>
    </row>
    <row r="418" spans="2:10" s="2" customFormat="1" ht="15" x14ac:dyDescent="0.2">
      <c r="B418"/>
      <c r="J418"/>
    </row>
    <row r="419" spans="2:10" s="2" customFormat="1" ht="15" x14ac:dyDescent="0.2">
      <c r="B419"/>
      <c r="J419"/>
    </row>
    <row r="420" spans="2:10" s="2" customFormat="1" ht="15" x14ac:dyDescent="0.2">
      <c r="B420"/>
      <c r="J420"/>
    </row>
    <row r="421" spans="2:10" s="2" customFormat="1" ht="15" x14ac:dyDescent="0.2">
      <c r="B421"/>
      <c r="J421"/>
    </row>
    <row r="422" spans="2:10" s="2" customFormat="1" ht="15" x14ac:dyDescent="0.2">
      <c r="B422"/>
      <c r="J422"/>
    </row>
    <row r="423" spans="2:10" s="2" customFormat="1" ht="15" x14ac:dyDescent="0.2">
      <c r="B423"/>
      <c r="J423"/>
    </row>
    <row r="424" spans="2:10" s="2" customFormat="1" ht="15" x14ac:dyDescent="0.2">
      <c r="B424"/>
      <c r="J424"/>
    </row>
    <row r="425" spans="2:10" s="2" customFormat="1" ht="15" x14ac:dyDescent="0.2">
      <c r="B425"/>
      <c r="J425"/>
    </row>
    <row r="426" spans="2:10" s="2" customFormat="1" ht="15" x14ac:dyDescent="0.2">
      <c r="B426"/>
      <c r="J426"/>
    </row>
    <row r="427" spans="2:10" s="2" customFormat="1" ht="15" x14ac:dyDescent="0.2">
      <c r="B427"/>
      <c r="J427"/>
    </row>
    <row r="428" spans="2:10" s="2" customFormat="1" ht="15" x14ac:dyDescent="0.2">
      <c r="B428"/>
      <c r="J428"/>
    </row>
    <row r="429" spans="2:10" s="2" customFormat="1" ht="15" x14ac:dyDescent="0.2">
      <c r="B429"/>
      <c r="J429"/>
    </row>
    <row r="430" spans="2:10" s="2" customFormat="1" ht="15" x14ac:dyDescent="0.2">
      <c r="B430"/>
      <c r="J430"/>
    </row>
    <row r="431" spans="2:10" s="2" customFormat="1" ht="15" x14ac:dyDescent="0.2">
      <c r="B431"/>
      <c r="J431"/>
    </row>
    <row r="432" spans="2:10" s="2" customFormat="1" ht="15" x14ac:dyDescent="0.2">
      <c r="B432"/>
      <c r="J432"/>
    </row>
    <row r="433" spans="2:10" s="2" customFormat="1" ht="15" x14ac:dyDescent="0.2">
      <c r="B433"/>
      <c r="J433"/>
    </row>
    <row r="434" spans="2:10" s="2" customFormat="1" ht="15" x14ac:dyDescent="0.2">
      <c r="B434"/>
      <c r="J434"/>
    </row>
    <row r="435" spans="2:10" s="2" customFormat="1" ht="15" x14ac:dyDescent="0.2">
      <c r="B435"/>
      <c r="J435"/>
    </row>
    <row r="436" spans="2:10" s="2" customFormat="1" ht="15" x14ac:dyDescent="0.2">
      <c r="B436"/>
      <c r="J436"/>
    </row>
    <row r="437" spans="2:10" s="2" customFormat="1" ht="15" x14ac:dyDescent="0.2">
      <c r="B437"/>
      <c r="J437"/>
    </row>
    <row r="438" spans="2:10" s="2" customFormat="1" ht="15" x14ac:dyDescent="0.2">
      <c r="B438"/>
      <c r="J438"/>
    </row>
    <row r="439" spans="2:10" s="2" customFormat="1" ht="15" x14ac:dyDescent="0.2">
      <c r="B439"/>
      <c r="J439"/>
    </row>
    <row r="440" spans="2:10" s="2" customFormat="1" ht="15" x14ac:dyDescent="0.2">
      <c r="B440"/>
      <c r="J440"/>
    </row>
    <row r="441" spans="2:10" s="2" customFormat="1" ht="15" x14ac:dyDescent="0.2">
      <c r="B441"/>
      <c r="J441"/>
    </row>
    <row r="442" spans="2:10" s="2" customFormat="1" ht="15" x14ac:dyDescent="0.2">
      <c r="B442"/>
      <c r="J442"/>
    </row>
    <row r="443" spans="2:10" s="2" customFormat="1" ht="15" x14ac:dyDescent="0.2">
      <c r="B443"/>
      <c r="J443"/>
    </row>
    <row r="444" spans="2:10" s="2" customFormat="1" ht="15" x14ac:dyDescent="0.2">
      <c r="B444"/>
      <c r="J444"/>
    </row>
    <row r="445" spans="2:10" s="2" customFormat="1" ht="15" x14ac:dyDescent="0.2">
      <c r="B445"/>
      <c r="J445"/>
    </row>
    <row r="446" spans="2:10" s="2" customFormat="1" ht="15" x14ac:dyDescent="0.2">
      <c r="B446"/>
      <c r="J446"/>
    </row>
    <row r="447" spans="2:10" s="2" customFormat="1" ht="15" x14ac:dyDescent="0.2">
      <c r="B447"/>
      <c r="J447"/>
    </row>
    <row r="448" spans="2:10" s="2" customFormat="1" ht="15" x14ac:dyDescent="0.2">
      <c r="B448"/>
      <c r="J448"/>
    </row>
    <row r="449" spans="2:10" s="2" customFormat="1" ht="15" x14ac:dyDescent="0.2">
      <c r="B449"/>
      <c r="J449"/>
    </row>
    <row r="450" spans="2:10" s="2" customFormat="1" ht="15" x14ac:dyDescent="0.2">
      <c r="B450"/>
      <c r="J450"/>
    </row>
    <row r="451" spans="2:10" s="2" customFormat="1" ht="15" x14ac:dyDescent="0.2">
      <c r="B451"/>
      <c r="J451"/>
    </row>
    <row r="452" spans="2:10" s="2" customFormat="1" ht="15" x14ac:dyDescent="0.2">
      <c r="B452"/>
      <c r="J452"/>
    </row>
    <row r="453" spans="2:10" s="2" customFormat="1" ht="15" x14ac:dyDescent="0.2">
      <c r="B453"/>
      <c r="J453"/>
    </row>
    <row r="454" spans="2:10" s="2" customFormat="1" ht="15" x14ac:dyDescent="0.2">
      <c r="B454"/>
      <c r="J454"/>
    </row>
    <row r="455" spans="2:10" s="2" customFormat="1" ht="15" x14ac:dyDescent="0.2">
      <c r="B455"/>
      <c r="J455"/>
    </row>
    <row r="456" spans="2:10" s="2" customFormat="1" ht="15" x14ac:dyDescent="0.2">
      <c r="B456"/>
      <c r="J456"/>
    </row>
    <row r="457" spans="2:10" s="2" customFormat="1" ht="15" x14ac:dyDescent="0.2">
      <c r="B457"/>
      <c r="J457"/>
    </row>
    <row r="458" spans="2:10" s="2" customFormat="1" ht="15" x14ac:dyDescent="0.2">
      <c r="B458"/>
      <c r="J458"/>
    </row>
    <row r="459" spans="2:10" s="2" customFormat="1" ht="15" x14ac:dyDescent="0.2">
      <c r="B459"/>
      <c r="J459"/>
    </row>
    <row r="460" spans="2:10" s="2" customFormat="1" ht="15" x14ac:dyDescent="0.2">
      <c r="B460"/>
      <c r="J460"/>
    </row>
    <row r="461" spans="2:10" s="2" customFormat="1" ht="15" x14ac:dyDescent="0.2">
      <c r="B461"/>
      <c r="J461"/>
    </row>
    <row r="462" spans="2:10" s="2" customFormat="1" ht="15" x14ac:dyDescent="0.2">
      <c r="B462"/>
      <c r="J462"/>
    </row>
    <row r="463" spans="2:10" s="2" customFormat="1" ht="15" x14ac:dyDescent="0.2">
      <c r="B463"/>
      <c r="J463"/>
    </row>
    <row r="464" spans="2:10" s="2" customFormat="1" ht="15" x14ac:dyDescent="0.2">
      <c r="B464"/>
      <c r="J464"/>
    </row>
    <row r="465" spans="2:10" s="2" customFormat="1" ht="15" x14ac:dyDescent="0.2">
      <c r="B465"/>
      <c r="J465"/>
    </row>
    <row r="466" spans="2:10" s="2" customFormat="1" ht="15" x14ac:dyDescent="0.2">
      <c r="B466"/>
      <c r="J466"/>
    </row>
    <row r="467" spans="2:10" s="2" customFormat="1" ht="15" x14ac:dyDescent="0.2">
      <c r="B467"/>
      <c r="J467"/>
    </row>
    <row r="468" spans="2:10" s="2" customFormat="1" ht="15" x14ac:dyDescent="0.2">
      <c r="B468"/>
      <c r="J468"/>
    </row>
    <row r="469" spans="2:10" s="2" customFormat="1" ht="15" x14ac:dyDescent="0.2">
      <c r="B469"/>
      <c r="J469"/>
    </row>
    <row r="470" spans="2:10" s="2" customFormat="1" ht="15" x14ac:dyDescent="0.2">
      <c r="B470"/>
      <c r="J470"/>
    </row>
    <row r="471" spans="2:10" s="2" customFormat="1" ht="15" x14ac:dyDescent="0.2">
      <c r="B471"/>
      <c r="J471"/>
    </row>
    <row r="472" spans="2:10" s="2" customFormat="1" ht="15" x14ac:dyDescent="0.2">
      <c r="B472"/>
      <c r="J472"/>
    </row>
    <row r="473" spans="2:10" s="2" customFormat="1" ht="15" x14ac:dyDescent="0.2">
      <c r="B473"/>
      <c r="J473"/>
    </row>
    <row r="474" spans="2:10" s="2" customFormat="1" ht="15" x14ac:dyDescent="0.2">
      <c r="B474"/>
      <c r="J474"/>
    </row>
    <row r="475" spans="2:10" s="2" customFormat="1" ht="15" x14ac:dyDescent="0.2">
      <c r="B475"/>
      <c r="J475"/>
    </row>
    <row r="476" spans="2:10" s="2" customFormat="1" ht="15" x14ac:dyDescent="0.2">
      <c r="B476"/>
      <c r="J476"/>
    </row>
    <row r="477" spans="2:10" s="2" customFormat="1" ht="15" x14ac:dyDescent="0.2">
      <c r="B477"/>
      <c r="J477"/>
    </row>
    <row r="478" spans="2:10" s="2" customFormat="1" ht="15" x14ac:dyDescent="0.2">
      <c r="B478"/>
      <c r="J478"/>
    </row>
    <row r="479" spans="2:10" s="2" customFormat="1" ht="15" x14ac:dyDescent="0.2">
      <c r="B479"/>
      <c r="J479"/>
    </row>
    <row r="480" spans="2:10" s="2" customFormat="1" ht="15" x14ac:dyDescent="0.2">
      <c r="B480"/>
      <c r="J480"/>
    </row>
    <row r="481" spans="2:10" s="2" customFormat="1" ht="15" x14ac:dyDescent="0.2">
      <c r="B481"/>
      <c r="J481"/>
    </row>
    <row r="482" spans="2:10" s="2" customFormat="1" ht="15" x14ac:dyDescent="0.2">
      <c r="B482"/>
      <c r="J482"/>
    </row>
    <row r="483" spans="2:10" s="2" customFormat="1" ht="15" x14ac:dyDescent="0.2">
      <c r="B483"/>
      <c r="J483"/>
    </row>
    <row r="484" spans="2:10" s="2" customFormat="1" ht="15" x14ac:dyDescent="0.2">
      <c r="B484"/>
      <c r="J484"/>
    </row>
    <row r="485" spans="2:10" s="2" customFormat="1" ht="15" x14ac:dyDescent="0.2">
      <c r="B485"/>
      <c r="J485"/>
    </row>
    <row r="486" spans="2:10" s="2" customFormat="1" ht="15" x14ac:dyDescent="0.2">
      <c r="B486"/>
      <c r="J486"/>
    </row>
    <row r="487" spans="2:10" s="2" customFormat="1" ht="15" x14ac:dyDescent="0.2">
      <c r="B487"/>
      <c r="J487"/>
    </row>
    <row r="488" spans="2:10" s="2" customFormat="1" ht="15" x14ac:dyDescent="0.2">
      <c r="B488"/>
      <c r="J488"/>
    </row>
    <row r="489" spans="2:10" s="2" customFormat="1" ht="15" x14ac:dyDescent="0.2">
      <c r="B489"/>
      <c r="J489"/>
    </row>
    <row r="490" spans="2:10" s="2" customFormat="1" ht="15" x14ac:dyDescent="0.2">
      <c r="B490"/>
      <c r="J490"/>
    </row>
    <row r="491" spans="2:10" s="2" customFormat="1" ht="15" x14ac:dyDescent="0.2">
      <c r="B491"/>
      <c r="J491"/>
    </row>
    <row r="492" spans="2:10" s="2" customFormat="1" ht="15" x14ac:dyDescent="0.2">
      <c r="B492"/>
      <c r="J492"/>
    </row>
    <row r="493" spans="2:10" s="2" customFormat="1" ht="15" x14ac:dyDescent="0.2">
      <c r="B493"/>
      <c r="J493"/>
    </row>
    <row r="494" spans="2:10" s="2" customFormat="1" ht="15" x14ac:dyDescent="0.2">
      <c r="B494"/>
      <c r="J494"/>
    </row>
    <row r="495" spans="2:10" s="2" customFormat="1" ht="15" x14ac:dyDescent="0.2">
      <c r="B495"/>
      <c r="J495"/>
    </row>
    <row r="496" spans="2:10" s="2" customFormat="1" ht="15" x14ac:dyDescent="0.2">
      <c r="B496"/>
      <c r="J496"/>
    </row>
    <row r="497" spans="2:10" s="2" customFormat="1" ht="15" x14ac:dyDescent="0.2">
      <c r="B497"/>
      <c r="J497"/>
    </row>
    <row r="498" spans="2:10" s="2" customFormat="1" ht="15" x14ac:dyDescent="0.2">
      <c r="B498"/>
      <c r="J498"/>
    </row>
    <row r="499" spans="2:10" s="2" customFormat="1" ht="15" x14ac:dyDescent="0.2">
      <c r="B499"/>
      <c r="J499"/>
    </row>
    <row r="500" spans="2:10" s="2" customFormat="1" ht="15" x14ac:dyDescent="0.2">
      <c r="B500"/>
      <c r="J500"/>
    </row>
    <row r="501" spans="2:10" s="2" customFormat="1" ht="15" x14ac:dyDescent="0.2">
      <c r="B501"/>
      <c r="J501"/>
    </row>
    <row r="502" spans="2:10" s="2" customFormat="1" ht="15" x14ac:dyDescent="0.2">
      <c r="B502"/>
      <c r="J502"/>
    </row>
    <row r="503" spans="2:10" s="2" customFormat="1" ht="15" x14ac:dyDescent="0.2">
      <c r="B503"/>
      <c r="J503"/>
    </row>
    <row r="504" spans="2:10" s="2" customFormat="1" ht="15" x14ac:dyDescent="0.2">
      <c r="B504"/>
      <c r="J504"/>
    </row>
    <row r="505" spans="2:10" s="2" customFormat="1" ht="15" x14ac:dyDescent="0.2">
      <c r="B505"/>
      <c r="J505"/>
    </row>
    <row r="506" spans="2:10" s="2" customFormat="1" ht="15" x14ac:dyDescent="0.2">
      <c r="B506"/>
      <c r="J506"/>
    </row>
    <row r="507" spans="2:10" s="2" customFormat="1" ht="15" x14ac:dyDescent="0.2">
      <c r="B507"/>
      <c r="J507"/>
    </row>
    <row r="508" spans="2:10" s="2" customFormat="1" ht="15" x14ac:dyDescent="0.2">
      <c r="B508"/>
      <c r="J508"/>
    </row>
    <row r="509" spans="2:10" s="2" customFormat="1" ht="15" x14ac:dyDescent="0.2">
      <c r="B509"/>
      <c r="J509"/>
    </row>
    <row r="510" spans="2:10" s="2" customFormat="1" ht="15" x14ac:dyDescent="0.2">
      <c r="B510"/>
      <c r="J510"/>
    </row>
    <row r="511" spans="2:10" s="2" customFormat="1" ht="15" x14ac:dyDescent="0.2">
      <c r="B511"/>
      <c r="J511"/>
    </row>
    <row r="512" spans="2:10" s="2" customFormat="1" ht="15" x14ac:dyDescent="0.2">
      <c r="B512"/>
      <c r="J512"/>
    </row>
    <row r="513" spans="2:10" s="2" customFormat="1" ht="15" x14ac:dyDescent="0.2">
      <c r="B513"/>
      <c r="J513"/>
    </row>
    <row r="514" spans="2:10" s="2" customFormat="1" ht="15" x14ac:dyDescent="0.2">
      <c r="B514"/>
      <c r="J514"/>
    </row>
    <row r="515" spans="2:10" s="2" customFormat="1" ht="15" x14ac:dyDescent="0.2">
      <c r="B515"/>
      <c r="J515"/>
    </row>
    <row r="516" spans="2:10" s="2" customFormat="1" ht="15" x14ac:dyDescent="0.2">
      <c r="B516"/>
      <c r="J516"/>
    </row>
    <row r="517" spans="2:10" s="2" customFormat="1" ht="15" x14ac:dyDescent="0.2">
      <c r="B517"/>
      <c r="J517"/>
    </row>
    <row r="518" spans="2:10" s="2" customFormat="1" ht="15" x14ac:dyDescent="0.2">
      <c r="B518"/>
      <c r="J518"/>
    </row>
    <row r="519" spans="2:10" s="2" customFormat="1" ht="15" x14ac:dyDescent="0.2">
      <c r="B519"/>
      <c r="J519"/>
    </row>
    <row r="520" spans="2:10" s="2" customFormat="1" ht="15" x14ac:dyDescent="0.2">
      <c r="B520"/>
      <c r="J520"/>
    </row>
    <row r="521" spans="2:10" s="2" customFormat="1" ht="15" x14ac:dyDescent="0.2">
      <c r="B521"/>
      <c r="J521"/>
    </row>
    <row r="522" spans="2:10" s="2" customFormat="1" ht="15" x14ac:dyDescent="0.2">
      <c r="B522"/>
      <c r="J522"/>
    </row>
    <row r="523" spans="2:10" s="2" customFormat="1" ht="15" x14ac:dyDescent="0.2">
      <c r="B523"/>
      <c r="J523"/>
    </row>
    <row r="524" spans="2:10" s="2" customFormat="1" ht="15" x14ac:dyDescent="0.2">
      <c r="B524"/>
      <c r="J524"/>
    </row>
    <row r="525" spans="2:10" s="2" customFormat="1" ht="15" x14ac:dyDescent="0.2">
      <c r="B525"/>
      <c r="J525"/>
    </row>
    <row r="526" spans="2:10" s="2" customFormat="1" ht="15" x14ac:dyDescent="0.2">
      <c r="B526"/>
      <c r="J526"/>
    </row>
    <row r="527" spans="2:10" s="2" customFormat="1" ht="15" x14ac:dyDescent="0.2">
      <c r="B527"/>
      <c r="J527"/>
    </row>
    <row r="528" spans="2:10" s="2" customFormat="1" ht="15" x14ac:dyDescent="0.2">
      <c r="B528"/>
      <c r="J528"/>
    </row>
    <row r="529" spans="2:10" s="2" customFormat="1" ht="15" x14ac:dyDescent="0.2">
      <c r="B529"/>
      <c r="J529"/>
    </row>
    <row r="530" spans="2:10" s="2" customFormat="1" ht="15" x14ac:dyDescent="0.2">
      <c r="B530"/>
      <c r="J530"/>
    </row>
    <row r="531" spans="2:10" s="2" customFormat="1" ht="15" x14ac:dyDescent="0.2">
      <c r="B531"/>
      <c r="J531"/>
    </row>
    <row r="532" spans="2:10" s="2" customFormat="1" ht="15" x14ac:dyDescent="0.2">
      <c r="B532"/>
      <c r="J532"/>
    </row>
    <row r="533" spans="2:10" s="2" customFormat="1" ht="15" x14ac:dyDescent="0.2">
      <c r="B533"/>
      <c r="J533"/>
    </row>
    <row r="534" spans="2:10" s="2" customFormat="1" ht="15" x14ac:dyDescent="0.2">
      <c r="B534"/>
      <c r="J534"/>
    </row>
    <row r="535" spans="2:10" s="2" customFormat="1" ht="15" x14ac:dyDescent="0.2">
      <c r="B535"/>
      <c r="J535"/>
    </row>
    <row r="536" spans="2:10" s="2" customFormat="1" ht="15" x14ac:dyDescent="0.2">
      <c r="B536"/>
      <c r="J536"/>
    </row>
    <row r="537" spans="2:10" s="2" customFormat="1" ht="15" x14ac:dyDescent="0.2">
      <c r="B537"/>
      <c r="J537"/>
    </row>
    <row r="538" spans="2:10" s="2" customFormat="1" ht="15" x14ac:dyDescent="0.2">
      <c r="B538"/>
      <c r="J538"/>
    </row>
    <row r="539" spans="2:10" s="2" customFormat="1" ht="15" x14ac:dyDescent="0.2">
      <c r="B539"/>
      <c r="J539"/>
    </row>
    <row r="540" spans="2:10" s="2" customFormat="1" ht="15" x14ac:dyDescent="0.2">
      <c r="B540"/>
      <c r="J540"/>
    </row>
    <row r="541" spans="2:10" s="2" customFormat="1" ht="15" x14ac:dyDescent="0.2">
      <c r="B541"/>
      <c r="J541"/>
    </row>
    <row r="542" spans="2:10" s="2" customFormat="1" ht="15" x14ac:dyDescent="0.2">
      <c r="B542"/>
      <c r="J542"/>
    </row>
    <row r="543" spans="2:10" s="2" customFormat="1" ht="15" x14ac:dyDescent="0.2">
      <c r="B543"/>
      <c r="J543"/>
    </row>
    <row r="544" spans="2:10" s="2" customFormat="1" ht="15" x14ac:dyDescent="0.2">
      <c r="B544"/>
      <c r="J544"/>
    </row>
    <row r="545" spans="2:10" s="2" customFormat="1" ht="15" x14ac:dyDescent="0.2">
      <c r="B545"/>
      <c r="J545"/>
    </row>
    <row r="546" spans="2:10" s="2" customFormat="1" ht="15" x14ac:dyDescent="0.2">
      <c r="B546"/>
      <c r="J546"/>
    </row>
    <row r="547" spans="2:10" s="2" customFormat="1" ht="15" x14ac:dyDescent="0.2">
      <c r="B547"/>
      <c r="J547"/>
    </row>
    <row r="548" spans="2:10" s="2" customFormat="1" ht="15" x14ac:dyDescent="0.2">
      <c r="B548"/>
      <c r="J548"/>
    </row>
    <row r="549" spans="2:10" s="2" customFormat="1" ht="15" x14ac:dyDescent="0.2">
      <c r="B549"/>
      <c r="J549"/>
    </row>
    <row r="550" spans="2:10" s="2" customFormat="1" ht="15" x14ac:dyDescent="0.2">
      <c r="B550"/>
      <c r="J550"/>
    </row>
    <row r="551" spans="2:10" s="2" customFormat="1" ht="15" x14ac:dyDescent="0.2">
      <c r="B551"/>
      <c r="J551"/>
    </row>
    <row r="552" spans="2:10" s="2" customFormat="1" ht="15" x14ac:dyDescent="0.2">
      <c r="B552"/>
      <c r="J552"/>
    </row>
    <row r="553" spans="2:10" s="2" customFormat="1" ht="15" x14ac:dyDescent="0.2">
      <c r="B553"/>
      <c r="J553"/>
    </row>
    <row r="554" spans="2:10" s="2" customFormat="1" ht="15" x14ac:dyDescent="0.2">
      <c r="B554"/>
      <c r="J554"/>
    </row>
    <row r="555" spans="2:10" s="2" customFormat="1" ht="15" x14ac:dyDescent="0.2">
      <c r="B555"/>
      <c r="J555"/>
    </row>
    <row r="556" spans="2:10" s="2" customFormat="1" ht="15" x14ac:dyDescent="0.2">
      <c r="B556"/>
      <c r="J556"/>
    </row>
    <row r="557" spans="2:10" s="2" customFormat="1" ht="15" x14ac:dyDescent="0.2">
      <c r="B557"/>
      <c r="J557"/>
    </row>
    <row r="558" spans="2:10" s="2" customFormat="1" ht="15" x14ac:dyDescent="0.2">
      <c r="B558"/>
      <c r="J558"/>
    </row>
    <row r="559" spans="2:10" s="2" customFormat="1" ht="15" x14ac:dyDescent="0.2">
      <c r="B559"/>
      <c r="J559"/>
    </row>
    <row r="560" spans="2:10" s="2" customFormat="1" ht="15" x14ac:dyDescent="0.2">
      <c r="B560"/>
      <c r="J560"/>
    </row>
    <row r="561" spans="2:10" s="2" customFormat="1" ht="15" x14ac:dyDescent="0.2">
      <c r="B561"/>
      <c r="J561"/>
    </row>
    <row r="562" spans="2:10" s="2" customFormat="1" ht="15" x14ac:dyDescent="0.2">
      <c r="B562"/>
      <c r="J562"/>
    </row>
    <row r="563" spans="2:10" s="2" customFormat="1" ht="15" x14ac:dyDescent="0.2">
      <c r="B563"/>
      <c r="J563"/>
    </row>
    <row r="564" spans="2:10" s="2" customFormat="1" ht="15" x14ac:dyDescent="0.2">
      <c r="B564"/>
      <c r="J564"/>
    </row>
    <row r="565" spans="2:10" s="2" customFormat="1" ht="15" x14ac:dyDescent="0.2">
      <c r="B565"/>
      <c r="J565"/>
    </row>
    <row r="566" spans="2:10" s="2" customFormat="1" ht="15" x14ac:dyDescent="0.2">
      <c r="B566"/>
      <c r="J566"/>
    </row>
    <row r="567" spans="2:10" s="2" customFormat="1" ht="15" x14ac:dyDescent="0.2">
      <c r="B567"/>
      <c r="J567"/>
    </row>
    <row r="568" spans="2:10" s="2" customFormat="1" ht="15" x14ac:dyDescent="0.2">
      <c r="B568"/>
      <c r="J568"/>
    </row>
    <row r="569" spans="2:10" s="2" customFormat="1" ht="15" x14ac:dyDescent="0.2">
      <c r="B569"/>
      <c r="J569"/>
    </row>
    <row r="570" spans="2:10" s="2" customFormat="1" ht="15" x14ac:dyDescent="0.2">
      <c r="B570"/>
      <c r="J570"/>
    </row>
    <row r="571" spans="2:10" s="2" customFormat="1" ht="15" x14ac:dyDescent="0.2">
      <c r="B571"/>
      <c r="J571"/>
    </row>
    <row r="572" spans="2:10" s="2" customFormat="1" ht="15" x14ac:dyDescent="0.2">
      <c r="B572"/>
      <c r="J572"/>
    </row>
    <row r="573" spans="2:10" s="2" customFormat="1" ht="15" x14ac:dyDescent="0.2">
      <c r="B573"/>
      <c r="J573"/>
    </row>
    <row r="574" spans="2:10" s="2" customFormat="1" ht="15" x14ac:dyDescent="0.2">
      <c r="B574"/>
      <c r="J574"/>
    </row>
    <row r="575" spans="2:10" s="2" customFormat="1" ht="15" x14ac:dyDescent="0.2">
      <c r="B575"/>
      <c r="J575"/>
    </row>
    <row r="576" spans="2:10" s="2" customFormat="1" ht="15" x14ac:dyDescent="0.2">
      <c r="B576"/>
      <c r="J576"/>
    </row>
    <row r="577" spans="2:10" s="2" customFormat="1" ht="15" x14ac:dyDescent="0.2">
      <c r="B577"/>
      <c r="J577"/>
    </row>
    <row r="578" spans="2:10" s="2" customFormat="1" ht="15" x14ac:dyDescent="0.2">
      <c r="B578"/>
      <c r="J578"/>
    </row>
    <row r="579" spans="2:10" s="2" customFormat="1" ht="15" x14ac:dyDescent="0.2">
      <c r="B579"/>
      <c r="J579"/>
    </row>
    <row r="580" spans="2:10" s="2" customFormat="1" ht="15" x14ac:dyDescent="0.2">
      <c r="B580"/>
      <c r="J580"/>
    </row>
    <row r="581" spans="2:10" s="2" customFormat="1" ht="15" x14ac:dyDescent="0.2">
      <c r="B581"/>
      <c r="J581"/>
    </row>
    <row r="582" spans="2:10" s="2" customFormat="1" ht="15" x14ac:dyDescent="0.2">
      <c r="B582"/>
      <c r="J582"/>
    </row>
    <row r="583" spans="2:10" s="2" customFormat="1" ht="15" x14ac:dyDescent="0.2">
      <c r="B583"/>
      <c r="J583"/>
    </row>
    <row r="584" spans="2:10" s="2" customFormat="1" ht="15" x14ac:dyDescent="0.2">
      <c r="B584"/>
      <c r="J584"/>
    </row>
    <row r="585" spans="2:10" s="2" customFormat="1" ht="15" x14ac:dyDescent="0.2">
      <c r="B585"/>
      <c r="J585"/>
    </row>
    <row r="586" spans="2:10" s="2" customFormat="1" ht="15" x14ac:dyDescent="0.2">
      <c r="B586"/>
      <c r="J586"/>
    </row>
    <row r="587" spans="2:10" s="2" customFormat="1" ht="15" x14ac:dyDescent="0.2">
      <c r="B587"/>
      <c r="J587"/>
    </row>
    <row r="588" spans="2:10" s="2" customFormat="1" ht="15" x14ac:dyDescent="0.2">
      <c r="B588"/>
      <c r="J588"/>
    </row>
    <row r="589" spans="2:10" s="2" customFormat="1" ht="15" x14ac:dyDescent="0.2">
      <c r="B589"/>
      <c r="J589"/>
    </row>
    <row r="590" spans="2:10" s="2" customFormat="1" ht="15" x14ac:dyDescent="0.2">
      <c r="B590"/>
      <c r="J590"/>
    </row>
    <row r="591" spans="2:10" s="2" customFormat="1" ht="15" x14ac:dyDescent="0.2">
      <c r="B591"/>
      <c r="J591"/>
    </row>
    <row r="592" spans="2:10" s="2" customFormat="1" ht="15" x14ac:dyDescent="0.2">
      <c r="B592"/>
      <c r="J592"/>
    </row>
    <row r="593" spans="2:10" s="2" customFormat="1" ht="15" x14ac:dyDescent="0.2">
      <c r="B593"/>
      <c r="J593"/>
    </row>
    <row r="594" spans="2:10" s="2" customFormat="1" ht="15" x14ac:dyDescent="0.2">
      <c r="B594"/>
      <c r="J594"/>
    </row>
    <row r="595" spans="2:10" s="2" customFormat="1" ht="15" x14ac:dyDescent="0.2">
      <c r="B595"/>
      <c r="J595"/>
    </row>
    <row r="596" spans="2:10" s="2" customFormat="1" ht="15" x14ac:dyDescent="0.2">
      <c r="B596"/>
      <c r="J596"/>
    </row>
    <row r="597" spans="2:10" s="2" customFormat="1" ht="15" x14ac:dyDescent="0.2">
      <c r="B597"/>
      <c r="J597"/>
    </row>
    <row r="598" spans="2:10" s="2" customFormat="1" ht="15" x14ac:dyDescent="0.2">
      <c r="B598"/>
      <c r="J598"/>
    </row>
    <row r="599" spans="2:10" s="2" customFormat="1" ht="15" x14ac:dyDescent="0.2">
      <c r="B599"/>
      <c r="J599"/>
    </row>
    <row r="600" spans="2:10" s="2" customFormat="1" ht="15" x14ac:dyDescent="0.2">
      <c r="B600"/>
      <c r="J600"/>
    </row>
    <row r="601" spans="2:10" s="2" customFormat="1" ht="15" x14ac:dyDescent="0.2">
      <c r="B601"/>
      <c r="J601"/>
    </row>
    <row r="602" spans="2:10" s="2" customFormat="1" ht="15" x14ac:dyDescent="0.2">
      <c r="B602"/>
      <c r="J602"/>
    </row>
    <row r="603" spans="2:10" s="2" customFormat="1" ht="15" x14ac:dyDescent="0.2">
      <c r="B603"/>
      <c r="J603"/>
    </row>
    <row r="604" spans="2:10" s="2" customFormat="1" ht="15" x14ac:dyDescent="0.2">
      <c r="B604"/>
      <c r="J604"/>
    </row>
    <row r="605" spans="2:10" s="2" customFormat="1" ht="15" x14ac:dyDescent="0.2">
      <c r="B605"/>
      <c r="J605"/>
    </row>
    <row r="606" spans="2:10" s="2" customFormat="1" ht="15" x14ac:dyDescent="0.2">
      <c r="B606"/>
      <c r="J606"/>
    </row>
    <row r="607" spans="2:10" s="2" customFormat="1" ht="15" x14ac:dyDescent="0.2">
      <c r="B607"/>
      <c r="J607"/>
    </row>
    <row r="608" spans="2:10" s="2" customFormat="1" ht="15" x14ac:dyDescent="0.2">
      <c r="B608"/>
      <c r="J608"/>
    </row>
    <row r="609" spans="2:10" s="2" customFormat="1" ht="15" x14ac:dyDescent="0.2">
      <c r="B609"/>
      <c r="J609"/>
    </row>
    <row r="610" spans="2:10" s="2" customFormat="1" ht="15" x14ac:dyDescent="0.2">
      <c r="B610"/>
      <c r="J610"/>
    </row>
    <row r="611" spans="2:10" s="2" customFormat="1" ht="15" x14ac:dyDescent="0.2">
      <c r="B611"/>
      <c r="J611"/>
    </row>
    <row r="612" spans="2:10" s="2" customFormat="1" ht="15" x14ac:dyDescent="0.2">
      <c r="B612"/>
      <c r="J612"/>
    </row>
    <row r="613" spans="2:10" s="2" customFormat="1" ht="15" x14ac:dyDescent="0.2">
      <c r="B613"/>
      <c r="J613"/>
    </row>
    <row r="614" spans="2:10" s="2" customFormat="1" ht="15" x14ac:dyDescent="0.2">
      <c r="B614"/>
      <c r="J614"/>
    </row>
    <row r="615" spans="2:10" s="2" customFormat="1" ht="15" x14ac:dyDescent="0.2">
      <c r="B615"/>
      <c r="J615"/>
    </row>
    <row r="616" spans="2:10" s="2" customFormat="1" ht="15" x14ac:dyDescent="0.2">
      <c r="B616"/>
      <c r="J616"/>
    </row>
    <row r="617" spans="2:10" s="2" customFormat="1" ht="15" x14ac:dyDescent="0.2">
      <c r="B617"/>
      <c r="J617"/>
    </row>
    <row r="618" spans="2:10" s="2" customFormat="1" ht="15" x14ac:dyDescent="0.2">
      <c r="B618"/>
      <c r="J618"/>
    </row>
    <row r="619" spans="2:10" s="2" customFormat="1" ht="15" x14ac:dyDescent="0.2">
      <c r="B619"/>
      <c r="J619"/>
    </row>
    <row r="620" spans="2:10" s="2" customFormat="1" ht="15" x14ac:dyDescent="0.2">
      <c r="B620"/>
      <c r="J620"/>
    </row>
    <row r="621" spans="2:10" s="2" customFormat="1" ht="15" x14ac:dyDescent="0.2">
      <c r="B621"/>
      <c r="J621"/>
    </row>
    <row r="622" spans="2:10" s="2" customFormat="1" ht="15" x14ac:dyDescent="0.2">
      <c r="B622"/>
      <c r="J622"/>
    </row>
    <row r="623" spans="2:10" s="2" customFormat="1" ht="15" x14ac:dyDescent="0.2">
      <c r="B623"/>
      <c r="J623"/>
    </row>
    <row r="624" spans="2:10" s="2" customFormat="1" ht="15" x14ac:dyDescent="0.2">
      <c r="B624"/>
      <c r="J624"/>
    </row>
    <row r="625" spans="2:10" s="2" customFormat="1" ht="15" x14ac:dyDescent="0.2">
      <c r="B625"/>
      <c r="J625"/>
    </row>
    <row r="626" spans="2:10" s="2" customFormat="1" ht="15" x14ac:dyDescent="0.2">
      <c r="B626"/>
      <c r="J626"/>
    </row>
    <row r="627" spans="2:10" s="2" customFormat="1" ht="15" x14ac:dyDescent="0.2">
      <c r="B627"/>
      <c r="J627"/>
    </row>
    <row r="628" spans="2:10" s="2" customFormat="1" ht="15" x14ac:dyDescent="0.2">
      <c r="B628"/>
      <c r="J628"/>
    </row>
    <row r="629" spans="2:10" s="2" customFormat="1" ht="15" x14ac:dyDescent="0.2">
      <c r="B629"/>
      <c r="J629"/>
    </row>
    <row r="630" spans="2:10" s="2" customFormat="1" ht="15" x14ac:dyDescent="0.2">
      <c r="B630"/>
      <c r="J630"/>
    </row>
    <row r="631" spans="2:10" s="2" customFormat="1" ht="15" x14ac:dyDescent="0.2">
      <c r="B631"/>
      <c r="J631"/>
    </row>
    <row r="632" spans="2:10" s="2" customFormat="1" ht="15" x14ac:dyDescent="0.2">
      <c r="B632"/>
      <c r="J632"/>
    </row>
    <row r="633" spans="2:10" s="2" customFormat="1" ht="15" x14ac:dyDescent="0.2">
      <c r="B633"/>
      <c r="J633"/>
    </row>
    <row r="634" spans="2:10" s="2" customFormat="1" ht="15" x14ac:dyDescent="0.2">
      <c r="B634"/>
      <c r="J634"/>
    </row>
    <row r="635" spans="2:10" s="2" customFormat="1" ht="15" x14ac:dyDescent="0.2">
      <c r="B635"/>
      <c r="J635"/>
    </row>
    <row r="636" spans="2:10" s="2" customFormat="1" ht="15" x14ac:dyDescent="0.2">
      <c r="B636"/>
      <c r="J636"/>
    </row>
    <row r="637" spans="2:10" s="2" customFormat="1" ht="15" x14ac:dyDescent="0.2">
      <c r="B637"/>
      <c r="J637"/>
    </row>
    <row r="638" spans="2:10" s="2" customFormat="1" ht="15" x14ac:dyDescent="0.2">
      <c r="B638"/>
      <c r="J638"/>
    </row>
    <row r="639" spans="2:10" s="2" customFormat="1" ht="15" x14ac:dyDescent="0.2">
      <c r="B639"/>
      <c r="J639"/>
    </row>
    <row r="640" spans="2:10" s="2" customFormat="1" ht="15" x14ac:dyDescent="0.2">
      <c r="B640"/>
      <c r="J640"/>
    </row>
    <row r="641" spans="2:10" s="2" customFormat="1" ht="15" x14ac:dyDescent="0.2">
      <c r="B641"/>
      <c r="J641"/>
    </row>
    <row r="642" spans="2:10" s="2" customFormat="1" ht="15" x14ac:dyDescent="0.2">
      <c r="B642"/>
      <c r="J642"/>
    </row>
    <row r="643" spans="2:10" s="2" customFormat="1" ht="15" x14ac:dyDescent="0.2">
      <c r="B643"/>
      <c r="J643"/>
    </row>
    <row r="644" spans="2:10" s="2" customFormat="1" ht="15" x14ac:dyDescent="0.2">
      <c r="B644"/>
      <c r="J644"/>
    </row>
    <row r="645" spans="2:10" s="2" customFormat="1" ht="15" x14ac:dyDescent="0.2">
      <c r="B645"/>
      <c r="J645"/>
    </row>
    <row r="646" spans="2:10" s="2" customFormat="1" ht="15" x14ac:dyDescent="0.2">
      <c r="B646"/>
      <c r="J646"/>
    </row>
    <row r="647" spans="2:10" s="2" customFormat="1" ht="15" x14ac:dyDescent="0.2">
      <c r="B647"/>
      <c r="J647"/>
    </row>
    <row r="648" spans="2:10" s="2" customFormat="1" ht="15" x14ac:dyDescent="0.2">
      <c r="B648"/>
      <c r="J648"/>
    </row>
    <row r="649" spans="2:10" s="2" customFormat="1" ht="15" x14ac:dyDescent="0.2">
      <c r="B649"/>
      <c r="J649"/>
    </row>
    <row r="650" spans="2:10" s="2" customFormat="1" ht="15" x14ac:dyDescent="0.2">
      <c r="B650"/>
      <c r="J650"/>
    </row>
    <row r="651" spans="2:10" s="2" customFormat="1" ht="15" x14ac:dyDescent="0.2">
      <c r="B651"/>
      <c r="J651"/>
    </row>
    <row r="652" spans="2:10" s="2" customFormat="1" ht="15" x14ac:dyDescent="0.2">
      <c r="B652"/>
      <c r="J652"/>
    </row>
    <row r="653" spans="2:10" s="2" customFormat="1" ht="15" x14ac:dyDescent="0.2">
      <c r="B653"/>
      <c r="J653"/>
    </row>
    <row r="654" spans="2:10" s="2" customFormat="1" ht="15" x14ac:dyDescent="0.2">
      <c r="B654"/>
      <c r="J654"/>
    </row>
    <row r="655" spans="2:10" s="2" customFormat="1" ht="15" x14ac:dyDescent="0.2">
      <c r="B655"/>
      <c r="J655"/>
    </row>
    <row r="656" spans="2:10" s="2" customFormat="1" ht="15" x14ac:dyDescent="0.2">
      <c r="B656"/>
      <c r="J656"/>
    </row>
    <row r="657" spans="2:10" s="2" customFormat="1" ht="15" x14ac:dyDescent="0.2">
      <c r="B657"/>
      <c r="J657"/>
    </row>
    <row r="658" spans="2:10" s="2" customFormat="1" ht="15" x14ac:dyDescent="0.2">
      <c r="B658"/>
      <c r="J658"/>
    </row>
    <row r="659" spans="2:10" s="2" customFormat="1" ht="15" x14ac:dyDescent="0.2">
      <c r="B659"/>
      <c r="J659"/>
    </row>
    <row r="660" spans="2:10" s="2" customFormat="1" ht="15" x14ac:dyDescent="0.2">
      <c r="B660"/>
      <c r="J660"/>
    </row>
    <row r="661" spans="2:10" s="2" customFormat="1" ht="15" x14ac:dyDescent="0.2">
      <c r="B661"/>
      <c r="J661"/>
    </row>
    <row r="662" spans="2:10" s="2" customFormat="1" ht="15" x14ac:dyDescent="0.2">
      <c r="B662"/>
      <c r="J662"/>
    </row>
    <row r="663" spans="2:10" s="2" customFormat="1" ht="15" x14ac:dyDescent="0.2">
      <c r="B663"/>
      <c r="J663"/>
    </row>
    <row r="664" spans="2:10" s="2" customFormat="1" ht="15" x14ac:dyDescent="0.2">
      <c r="B664"/>
      <c r="J664"/>
    </row>
    <row r="665" spans="2:10" s="2" customFormat="1" ht="15" x14ac:dyDescent="0.2">
      <c r="B665"/>
      <c r="J665"/>
    </row>
    <row r="666" spans="2:10" s="2" customFormat="1" ht="15" x14ac:dyDescent="0.2">
      <c r="B666"/>
      <c r="J666"/>
    </row>
    <row r="667" spans="2:10" s="2" customFormat="1" ht="15" x14ac:dyDescent="0.2">
      <c r="B667"/>
      <c r="J667"/>
    </row>
    <row r="668" spans="2:10" s="2" customFormat="1" ht="15" x14ac:dyDescent="0.2">
      <c r="B668"/>
      <c r="J668"/>
    </row>
    <row r="669" spans="2:10" s="2" customFormat="1" ht="15" x14ac:dyDescent="0.2">
      <c r="B669"/>
      <c r="J669"/>
    </row>
    <row r="670" spans="2:10" s="2" customFormat="1" ht="15" x14ac:dyDescent="0.2">
      <c r="B670"/>
      <c r="J670"/>
    </row>
    <row r="671" spans="2:10" s="2" customFormat="1" ht="15" x14ac:dyDescent="0.2">
      <c r="B671"/>
      <c r="J671"/>
    </row>
    <row r="672" spans="2:10" s="2" customFormat="1" ht="15" x14ac:dyDescent="0.2">
      <c r="B672"/>
      <c r="J672"/>
    </row>
    <row r="673" spans="2:10" s="2" customFormat="1" ht="15" x14ac:dyDescent="0.2">
      <c r="B673"/>
      <c r="J673"/>
    </row>
    <row r="674" spans="2:10" s="2" customFormat="1" ht="15" x14ac:dyDescent="0.2">
      <c r="B674"/>
      <c r="J674"/>
    </row>
    <row r="675" spans="2:10" s="2" customFormat="1" ht="15" x14ac:dyDescent="0.2">
      <c r="B675"/>
      <c r="J675"/>
    </row>
    <row r="676" spans="2:10" s="2" customFormat="1" ht="15" x14ac:dyDescent="0.2">
      <c r="B676"/>
      <c r="J676"/>
    </row>
    <row r="677" spans="2:10" s="2" customFormat="1" ht="15" x14ac:dyDescent="0.2">
      <c r="B677"/>
      <c r="J677"/>
    </row>
    <row r="678" spans="2:10" s="2" customFormat="1" ht="15" x14ac:dyDescent="0.2">
      <c r="B678"/>
      <c r="J678"/>
    </row>
    <row r="679" spans="2:10" s="2" customFormat="1" ht="15" x14ac:dyDescent="0.2">
      <c r="B679"/>
      <c r="J679"/>
    </row>
    <row r="680" spans="2:10" s="2" customFormat="1" ht="15" x14ac:dyDescent="0.2">
      <c r="B680"/>
      <c r="J680"/>
    </row>
    <row r="681" spans="2:10" s="2" customFormat="1" ht="15" x14ac:dyDescent="0.2">
      <c r="B681"/>
      <c r="J681"/>
    </row>
    <row r="682" spans="2:10" s="2" customFormat="1" ht="15" x14ac:dyDescent="0.2">
      <c r="B682"/>
      <c r="J682"/>
    </row>
    <row r="683" spans="2:10" s="2" customFormat="1" ht="15" x14ac:dyDescent="0.2">
      <c r="B683"/>
      <c r="J683"/>
    </row>
    <row r="684" spans="2:10" s="2" customFormat="1" ht="15" x14ac:dyDescent="0.2">
      <c r="B684"/>
      <c r="J684"/>
    </row>
    <row r="685" spans="2:10" s="2" customFormat="1" ht="15" x14ac:dyDescent="0.2">
      <c r="B685"/>
      <c r="J685"/>
    </row>
    <row r="686" spans="2:10" s="2" customFormat="1" ht="15" x14ac:dyDescent="0.2">
      <c r="B686"/>
      <c r="J686"/>
    </row>
    <row r="687" spans="2:10" s="2" customFormat="1" ht="15" x14ac:dyDescent="0.2">
      <c r="B687"/>
      <c r="J687"/>
    </row>
    <row r="688" spans="2:10" s="2" customFormat="1" ht="15" x14ac:dyDescent="0.2">
      <c r="B688"/>
      <c r="J688"/>
    </row>
    <row r="689" spans="2:10" s="2" customFormat="1" ht="15" x14ac:dyDescent="0.2">
      <c r="B689"/>
      <c r="J689"/>
    </row>
    <row r="690" spans="2:10" s="2" customFormat="1" ht="15" x14ac:dyDescent="0.2">
      <c r="B690"/>
      <c r="J690"/>
    </row>
    <row r="691" spans="2:10" s="2" customFormat="1" ht="15" x14ac:dyDescent="0.2">
      <c r="B691"/>
      <c r="J691"/>
    </row>
    <row r="692" spans="2:10" s="2" customFormat="1" ht="15" x14ac:dyDescent="0.2">
      <c r="B692"/>
      <c r="J692"/>
    </row>
    <row r="693" spans="2:10" s="2" customFormat="1" ht="15" x14ac:dyDescent="0.2">
      <c r="B693"/>
      <c r="J693"/>
    </row>
    <row r="694" spans="2:10" s="2" customFormat="1" ht="15" x14ac:dyDescent="0.2">
      <c r="B694"/>
      <c r="J694"/>
    </row>
    <row r="695" spans="2:10" s="2" customFormat="1" ht="15" x14ac:dyDescent="0.2">
      <c r="B695"/>
      <c r="J695"/>
    </row>
    <row r="696" spans="2:10" s="2" customFormat="1" ht="15" x14ac:dyDescent="0.2">
      <c r="B696"/>
      <c r="J696"/>
    </row>
    <row r="697" spans="2:10" s="2" customFormat="1" ht="15" x14ac:dyDescent="0.2">
      <c r="B697"/>
      <c r="J697"/>
    </row>
    <row r="698" spans="2:10" s="2" customFormat="1" ht="15" x14ac:dyDescent="0.2">
      <c r="B698"/>
      <c r="J698"/>
    </row>
    <row r="699" spans="2:10" s="2" customFormat="1" ht="15" x14ac:dyDescent="0.2">
      <c r="B699"/>
      <c r="J699"/>
    </row>
    <row r="700" spans="2:10" s="2" customFormat="1" ht="15" x14ac:dyDescent="0.2">
      <c r="B700"/>
      <c r="J700"/>
    </row>
    <row r="701" spans="2:10" s="2" customFormat="1" ht="15" x14ac:dyDescent="0.2">
      <c r="B701"/>
      <c r="J701"/>
    </row>
    <row r="702" spans="2:10" s="2" customFormat="1" ht="15" x14ac:dyDescent="0.2">
      <c r="B702"/>
      <c r="J702"/>
    </row>
    <row r="703" spans="2:10" s="2" customFormat="1" ht="15" x14ac:dyDescent="0.2">
      <c r="B703"/>
      <c r="J703"/>
    </row>
    <row r="704" spans="2:10" s="2" customFormat="1" ht="15" x14ac:dyDescent="0.2">
      <c r="B704"/>
      <c r="J704"/>
    </row>
    <row r="705" spans="2:10" s="2" customFormat="1" ht="15" x14ac:dyDescent="0.2">
      <c r="B705"/>
      <c r="J705"/>
    </row>
    <row r="706" spans="2:10" s="2" customFormat="1" ht="15" x14ac:dyDescent="0.2">
      <c r="B706"/>
      <c r="J706"/>
    </row>
    <row r="707" spans="2:10" s="2" customFormat="1" ht="15" x14ac:dyDescent="0.2">
      <c r="B707"/>
      <c r="J707"/>
    </row>
    <row r="708" spans="2:10" s="2" customFormat="1" ht="15" x14ac:dyDescent="0.2">
      <c r="B708"/>
      <c r="J708"/>
    </row>
    <row r="709" spans="2:10" s="2" customFormat="1" ht="15" x14ac:dyDescent="0.2">
      <c r="B709"/>
      <c r="J709"/>
    </row>
    <row r="710" spans="2:10" s="2" customFormat="1" ht="15" x14ac:dyDescent="0.2">
      <c r="B710"/>
      <c r="J710"/>
    </row>
    <row r="711" spans="2:10" s="2" customFormat="1" ht="15" x14ac:dyDescent="0.2">
      <c r="B711"/>
      <c r="J711"/>
    </row>
    <row r="712" spans="2:10" s="2" customFormat="1" ht="15" x14ac:dyDescent="0.2">
      <c r="B712"/>
      <c r="J712"/>
    </row>
    <row r="713" spans="2:10" s="2" customFormat="1" ht="15" x14ac:dyDescent="0.2">
      <c r="B713"/>
      <c r="J713"/>
    </row>
    <row r="714" spans="2:10" s="2" customFormat="1" ht="15" x14ac:dyDescent="0.2">
      <c r="B714"/>
      <c r="J714"/>
    </row>
    <row r="715" spans="2:10" s="2" customFormat="1" ht="15" x14ac:dyDescent="0.2">
      <c r="B715"/>
      <c r="J715"/>
    </row>
    <row r="716" spans="2:10" s="2" customFormat="1" ht="15" x14ac:dyDescent="0.2">
      <c r="B716"/>
      <c r="J716"/>
    </row>
    <row r="717" spans="2:10" s="2" customFormat="1" ht="15" x14ac:dyDescent="0.2">
      <c r="B717"/>
      <c r="J717"/>
    </row>
    <row r="718" spans="2:10" s="2" customFormat="1" ht="15" x14ac:dyDescent="0.2">
      <c r="B718"/>
      <c r="J718"/>
    </row>
    <row r="719" spans="2:10" s="2" customFormat="1" ht="15" x14ac:dyDescent="0.2">
      <c r="B719"/>
      <c r="J719"/>
    </row>
    <row r="720" spans="2:10" s="2" customFormat="1" ht="15" x14ac:dyDescent="0.2">
      <c r="B720"/>
      <c r="J720"/>
    </row>
    <row r="721" spans="2:10" s="2" customFormat="1" ht="15" x14ac:dyDescent="0.2">
      <c r="B721"/>
      <c r="J721"/>
    </row>
    <row r="722" spans="2:10" s="2" customFormat="1" ht="15" x14ac:dyDescent="0.2">
      <c r="B722"/>
      <c r="J722"/>
    </row>
    <row r="723" spans="2:10" s="2" customFormat="1" ht="15" x14ac:dyDescent="0.2">
      <c r="B723"/>
      <c r="J723"/>
    </row>
    <row r="724" spans="2:10" s="2" customFormat="1" ht="15" x14ac:dyDescent="0.2">
      <c r="B724"/>
      <c r="J724"/>
    </row>
    <row r="725" spans="2:10" s="2" customFormat="1" ht="15" x14ac:dyDescent="0.2">
      <c r="B725"/>
      <c r="J725"/>
    </row>
    <row r="726" spans="2:10" s="2" customFormat="1" ht="15" x14ac:dyDescent="0.2">
      <c r="B726"/>
      <c r="J726"/>
    </row>
    <row r="727" spans="2:10" s="2" customFormat="1" ht="15" x14ac:dyDescent="0.2">
      <c r="B727"/>
      <c r="J727"/>
    </row>
    <row r="728" spans="2:10" s="2" customFormat="1" ht="15" x14ac:dyDescent="0.2">
      <c r="B728"/>
      <c r="J728"/>
    </row>
    <row r="729" spans="2:10" s="2" customFormat="1" ht="15" x14ac:dyDescent="0.2">
      <c r="B729"/>
      <c r="J729"/>
    </row>
    <row r="730" spans="2:10" s="2" customFormat="1" ht="15" x14ac:dyDescent="0.2">
      <c r="B730"/>
      <c r="J730"/>
    </row>
    <row r="731" spans="2:10" s="2" customFormat="1" ht="15" x14ac:dyDescent="0.2">
      <c r="B731"/>
      <c r="J731"/>
    </row>
    <row r="732" spans="2:10" s="2" customFormat="1" ht="15" x14ac:dyDescent="0.2">
      <c r="B732"/>
      <c r="J732"/>
    </row>
    <row r="733" spans="2:10" s="2" customFormat="1" ht="15" x14ac:dyDescent="0.2">
      <c r="B733"/>
      <c r="J733"/>
    </row>
    <row r="734" spans="2:10" s="2" customFormat="1" ht="15" x14ac:dyDescent="0.2">
      <c r="B734"/>
      <c r="J734"/>
    </row>
    <row r="735" spans="2:10" s="2" customFormat="1" ht="15" x14ac:dyDescent="0.2">
      <c r="B735"/>
      <c r="J735"/>
    </row>
    <row r="736" spans="2:10" s="2" customFormat="1" ht="15" x14ac:dyDescent="0.2">
      <c r="B736"/>
      <c r="J736"/>
    </row>
    <row r="737" spans="2:10" s="2" customFormat="1" ht="15" x14ac:dyDescent="0.2">
      <c r="B737"/>
      <c r="J737"/>
    </row>
    <row r="738" spans="2:10" s="2" customFormat="1" ht="15" x14ac:dyDescent="0.2">
      <c r="B738"/>
      <c r="J738"/>
    </row>
    <row r="739" spans="2:10" s="2" customFormat="1" ht="15" x14ac:dyDescent="0.2">
      <c r="B739"/>
      <c r="J739"/>
    </row>
    <row r="740" spans="2:10" s="2" customFormat="1" ht="15" x14ac:dyDescent="0.2">
      <c r="B740"/>
      <c r="J740"/>
    </row>
    <row r="741" spans="2:10" s="2" customFormat="1" ht="15" x14ac:dyDescent="0.2">
      <c r="B741"/>
      <c r="J741"/>
    </row>
    <row r="742" spans="2:10" s="2" customFormat="1" ht="15" x14ac:dyDescent="0.2">
      <c r="B742"/>
      <c r="J742"/>
    </row>
    <row r="743" spans="2:10" s="2" customFormat="1" ht="15" x14ac:dyDescent="0.2">
      <c r="B743"/>
      <c r="J743"/>
    </row>
    <row r="744" spans="2:10" s="2" customFormat="1" ht="15" x14ac:dyDescent="0.2">
      <c r="B744"/>
      <c r="J744"/>
    </row>
    <row r="745" spans="2:10" s="2" customFormat="1" ht="15" x14ac:dyDescent="0.2">
      <c r="B745"/>
      <c r="J745"/>
    </row>
    <row r="746" spans="2:10" s="2" customFormat="1" ht="15" x14ac:dyDescent="0.2">
      <c r="B746"/>
      <c r="J746"/>
    </row>
    <row r="747" spans="2:10" s="2" customFormat="1" ht="15" x14ac:dyDescent="0.2">
      <c r="B747"/>
      <c r="J747"/>
    </row>
    <row r="748" spans="2:10" s="2" customFormat="1" ht="15" x14ac:dyDescent="0.2">
      <c r="B748"/>
      <c r="J748"/>
    </row>
    <row r="749" spans="2:10" s="2" customFormat="1" ht="15" x14ac:dyDescent="0.2">
      <c r="B749"/>
      <c r="J749"/>
    </row>
    <row r="750" spans="2:10" s="2" customFormat="1" ht="15" x14ac:dyDescent="0.2">
      <c r="B750"/>
      <c r="J750"/>
    </row>
    <row r="751" spans="2:10" s="2" customFormat="1" ht="15" x14ac:dyDescent="0.2">
      <c r="B751"/>
      <c r="J751"/>
    </row>
    <row r="752" spans="2:10" s="2" customFormat="1" ht="15" x14ac:dyDescent="0.2">
      <c r="B752"/>
      <c r="J752"/>
    </row>
    <row r="753" spans="2:10" s="2" customFormat="1" ht="15" x14ac:dyDescent="0.2">
      <c r="B753"/>
      <c r="J753"/>
    </row>
    <row r="754" spans="2:10" s="2" customFormat="1" ht="15" x14ac:dyDescent="0.2">
      <c r="B754"/>
      <c r="J754"/>
    </row>
    <row r="755" spans="2:10" s="2" customFormat="1" ht="15" x14ac:dyDescent="0.2">
      <c r="B755"/>
      <c r="J755"/>
    </row>
    <row r="756" spans="2:10" s="2" customFormat="1" ht="15" x14ac:dyDescent="0.2">
      <c r="B756"/>
      <c r="J756"/>
    </row>
    <row r="757" spans="2:10" s="2" customFormat="1" ht="15" x14ac:dyDescent="0.2">
      <c r="B757"/>
      <c r="J757"/>
    </row>
    <row r="758" spans="2:10" s="2" customFormat="1" ht="15" x14ac:dyDescent="0.2">
      <c r="B758"/>
      <c r="J758"/>
    </row>
    <row r="759" spans="2:10" s="2" customFormat="1" ht="15" x14ac:dyDescent="0.2">
      <c r="B759"/>
      <c r="J759"/>
    </row>
    <row r="760" spans="2:10" s="2" customFormat="1" ht="15" x14ac:dyDescent="0.2">
      <c r="B760"/>
      <c r="J760"/>
    </row>
    <row r="761" spans="2:10" s="2" customFormat="1" ht="15" x14ac:dyDescent="0.2">
      <c r="B761"/>
      <c r="J761"/>
    </row>
    <row r="762" spans="2:10" s="2" customFormat="1" ht="15" x14ac:dyDescent="0.2">
      <c r="B762"/>
      <c r="J762"/>
    </row>
    <row r="763" spans="2:10" s="2" customFormat="1" ht="15" x14ac:dyDescent="0.2">
      <c r="B763"/>
      <c r="J763"/>
    </row>
    <row r="764" spans="2:10" s="2" customFormat="1" ht="15" x14ac:dyDescent="0.2">
      <c r="B764"/>
      <c r="J764"/>
    </row>
    <row r="765" spans="2:10" s="2" customFormat="1" ht="15" x14ac:dyDescent="0.2">
      <c r="B765"/>
      <c r="J765"/>
    </row>
    <row r="766" spans="2:10" s="2" customFormat="1" ht="15" x14ac:dyDescent="0.2">
      <c r="B766"/>
      <c r="J766"/>
    </row>
    <row r="767" spans="2:10" s="2" customFormat="1" ht="15" x14ac:dyDescent="0.2">
      <c r="B767"/>
      <c r="J767"/>
    </row>
    <row r="768" spans="2:10" s="2" customFormat="1" ht="15" x14ac:dyDescent="0.2">
      <c r="B768"/>
      <c r="J768"/>
    </row>
    <row r="769" spans="2:10" s="2" customFormat="1" ht="15" x14ac:dyDescent="0.2">
      <c r="B769"/>
      <c r="J769"/>
    </row>
    <row r="770" spans="2:10" s="2" customFormat="1" ht="15" x14ac:dyDescent="0.2">
      <c r="B770"/>
      <c r="J770"/>
    </row>
  </sheetData>
  <sheetProtection formatRows="0" insertColumns="0" insertRows="0" insertHyperlinks="0" deleteColumns="0" deleteRows="0" sort="0" autoFilter="0" pivotTables="0"/>
  <mergeCells count="123">
    <mergeCell ref="O12:O13"/>
    <mergeCell ref="Q12:Q13"/>
    <mergeCell ref="C14:C15"/>
    <mergeCell ref="D14:E15"/>
    <mergeCell ref="F14:F15"/>
    <mergeCell ref="O14:O15"/>
    <mergeCell ref="Q14:Q15"/>
    <mergeCell ref="A1:Q1"/>
    <mergeCell ref="A2:Q2"/>
    <mergeCell ref="C6:K6"/>
    <mergeCell ref="C7:K7"/>
    <mergeCell ref="N7:O7"/>
    <mergeCell ref="P7:Q7"/>
    <mergeCell ref="N8:O8"/>
    <mergeCell ref="P8:Q8"/>
    <mergeCell ref="A10:Q10"/>
    <mergeCell ref="D12:E13"/>
    <mergeCell ref="F12:F13"/>
    <mergeCell ref="C12:C13"/>
    <mergeCell ref="A40:A46"/>
    <mergeCell ref="B40:B46"/>
    <mergeCell ref="B12:B13"/>
    <mergeCell ref="A47:B47"/>
    <mergeCell ref="A48:A52"/>
    <mergeCell ref="B48:B52"/>
    <mergeCell ref="A75:B75"/>
    <mergeCell ref="A76:A81"/>
    <mergeCell ref="A82:B82"/>
    <mergeCell ref="A14:A15"/>
    <mergeCell ref="B14:B15"/>
    <mergeCell ref="A33:A38"/>
    <mergeCell ref="B33:B38"/>
    <mergeCell ref="A39:B39"/>
    <mergeCell ref="A32:B32"/>
    <mergeCell ref="A24:B24"/>
    <mergeCell ref="A16:A23"/>
    <mergeCell ref="B16:B23"/>
    <mergeCell ref="A25:A31"/>
    <mergeCell ref="B25:B31"/>
    <mergeCell ref="A12:A13"/>
    <mergeCell ref="A97:A103"/>
    <mergeCell ref="B97:B103"/>
    <mergeCell ref="A104:B104"/>
    <mergeCell ref="A90:A95"/>
    <mergeCell ref="B90:B95"/>
    <mergeCell ref="A96:C96"/>
    <mergeCell ref="B76:B81"/>
    <mergeCell ref="A53:B53"/>
    <mergeCell ref="A54:A59"/>
    <mergeCell ref="A60:B60"/>
    <mergeCell ref="A70:A74"/>
    <mergeCell ref="B70:B74"/>
    <mergeCell ref="B54:B59"/>
    <mergeCell ref="A61:A68"/>
    <mergeCell ref="B61:B68"/>
    <mergeCell ref="A69:B69"/>
    <mergeCell ref="A256:B256"/>
    <mergeCell ref="A189:A193"/>
    <mergeCell ref="A194:B194"/>
    <mergeCell ref="A175:A179"/>
    <mergeCell ref="B175:B179"/>
    <mergeCell ref="A181:A187"/>
    <mergeCell ref="B181:B187"/>
    <mergeCell ref="A154:A160"/>
    <mergeCell ref="B154:B160"/>
    <mergeCell ref="A162:A167"/>
    <mergeCell ref="B162:B167"/>
    <mergeCell ref="A169:A173"/>
    <mergeCell ref="B169:B173"/>
    <mergeCell ref="A208:A212"/>
    <mergeCell ref="B208:B212"/>
    <mergeCell ref="A232:A236"/>
    <mergeCell ref="B232:B236"/>
    <mergeCell ref="A237:B237"/>
    <mergeCell ref="A202:A206"/>
    <mergeCell ref="B202:B206"/>
    <mergeCell ref="A207:B207"/>
    <mergeCell ref="A195:A200"/>
    <mergeCell ref="A201:B201"/>
    <mergeCell ref="B195:B200"/>
    <mergeCell ref="A255:B255"/>
    <mergeCell ref="A248:B248"/>
    <mergeCell ref="A213:B213"/>
    <mergeCell ref="A214:A218"/>
    <mergeCell ref="B214:B218"/>
    <mergeCell ref="A219:B219"/>
    <mergeCell ref="A220:A224"/>
    <mergeCell ref="B220:B224"/>
    <mergeCell ref="A225:B225"/>
    <mergeCell ref="A226:A230"/>
    <mergeCell ref="B226:B230"/>
    <mergeCell ref="A231:B231"/>
    <mergeCell ref="A238:A242"/>
    <mergeCell ref="B238:B242"/>
    <mergeCell ref="A243:B243"/>
    <mergeCell ref="A254:B254"/>
    <mergeCell ref="A247:B247"/>
    <mergeCell ref="B244:B246"/>
    <mergeCell ref="A244:A246"/>
    <mergeCell ref="A105:A108"/>
    <mergeCell ref="B105:B108"/>
    <mergeCell ref="A109:B109"/>
    <mergeCell ref="C248:F248"/>
    <mergeCell ref="A251:B251"/>
    <mergeCell ref="A252:B252"/>
    <mergeCell ref="A253:B253"/>
    <mergeCell ref="G14:G15"/>
    <mergeCell ref="G12:G13"/>
    <mergeCell ref="A140:A144"/>
    <mergeCell ref="B140:B144"/>
    <mergeCell ref="A146:A152"/>
    <mergeCell ref="B146:B152"/>
    <mergeCell ref="A83:A88"/>
    <mergeCell ref="B83:B88"/>
    <mergeCell ref="A89:C89"/>
    <mergeCell ref="A132:A138"/>
    <mergeCell ref="B132:B138"/>
    <mergeCell ref="A110:A114"/>
    <mergeCell ref="B110:B114"/>
    <mergeCell ref="A116:A121"/>
    <mergeCell ref="B116:B121"/>
    <mergeCell ref="A123:A130"/>
    <mergeCell ref="B123:B130"/>
  </mergeCells>
  <printOptions horizontalCentered="1"/>
  <pageMargins left="0.2" right="0.2" top="0" bottom="0" header="0" footer="0"/>
  <pageSetup paperSize="9" scale="4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9" tint="-0.249977111117893"/>
  </sheetPr>
  <dimension ref="A1:AS617"/>
  <sheetViews>
    <sheetView showGridLines="0" showZeros="0" zoomScale="60" zoomScaleNormal="60" workbookViewId="0">
      <pane xSplit="2" ySplit="13" topLeftCell="C98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H49" sqref="H49"/>
    </sheetView>
  </sheetViews>
  <sheetFormatPr defaultColWidth="9.140625" defaultRowHeight="18.75" x14ac:dyDescent="0.2"/>
  <cols>
    <col min="1" max="1" width="12.28515625" style="57" customWidth="1"/>
    <col min="2" max="2" width="43.28515625" style="2" customWidth="1"/>
    <col min="3" max="3" width="25.5703125" style="13" customWidth="1"/>
    <col min="4" max="4" width="13.42578125" style="16" customWidth="1"/>
    <col min="5" max="5" width="11" style="15" customWidth="1"/>
    <col min="6" max="6" width="9.42578125" style="141" customWidth="1"/>
    <col min="7" max="7" width="19.5703125" style="13" customWidth="1"/>
    <col min="8" max="8" width="19.5703125" style="328" customWidth="1"/>
    <col min="9" max="9" width="19.5703125" style="202" customWidth="1"/>
    <col min="10" max="10" width="19.5703125" style="228" customWidth="1"/>
    <col min="11" max="11" width="23.140625" style="228" customWidth="1"/>
    <col min="12" max="13" width="19.5703125" style="203" customWidth="1"/>
    <col min="14" max="14" width="13.7109375" style="217" customWidth="1"/>
    <col min="15" max="15" width="19.5703125" style="205" customWidth="1"/>
    <col min="16" max="16" width="13.28515625" style="203" customWidth="1"/>
    <col min="17" max="17" width="14" style="424" hidden="1" customWidth="1"/>
    <col min="18" max="18" width="7.140625" style="426" hidden="1" customWidth="1"/>
    <col min="19" max="19" width="7.140625" style="427" hidden="1" customWidth="1"/>
    <col min="20" max="20" width="8.5703125" style="428" hidden="1" customWidth="1"/>
    <col min="21" max="21" width="8.5703125" style="429" hidden="1" customWidth="1"/>
    <col min="22" max="22" width="8.5703125" style="430" hidden="1" customWidth="1"/>
    <col min="23" max="25" width="0" style="1" hidden="1" customWidth="1"/>
    <col min="26" max="28" width="0" style="2" hidden="1" customWidth="1"/>
    <col min="29" max="30" width="9.140625" style="2"/>
    <col min="31" max="45" width="9.140625" style="179"/>
    <col min="46" max="16384" width="9.140625" style="2"/>
  </cols>
  <sheetData>
    <row r="1" spans="1:45" ht="15.75" x14ac:dyDescent="0.25">
      <c r="A1" s="2148" t="s">
        <v>445</v>
      </c>
      <c r="B1" s="2148"/>
      <c r="C1" s="2148"/>
      <c r="D1" s="2148"/>
      <c r="E1" s="2148"/>
      <c r="F1" s="2148"/>
      <c r="G1" s="2148"/>
      <c r="H1" s="2148"/>
      <c r="I1" s="2148"/>
      <c r="J1" s="2148"/>
      <c r="K1" s="2148"/>
      <c r="L1" s="2148"/>
      <c r="M1" s="2148"/>
      <c r="N1" s="2148"/>
      <c r="O1" s="2148"/>
      <c r="P1" s="2148"/>
      <c r="Q1" s="784"/>
      <c r="R1" s="785"/>
      <c r="S1" s="1570"/>
      <c r="T1" s="794"/>
      <c r="U1" s="794"/>
      <c r="V1" s="794"/>
      <c r="W1" s="1571"/>
      <c r="X1" s="1572"/>
      <c r="Y1" s="790"/>
      <c r="Z1" s="791"/>
      <c r="AA1" s="792"/>
      <c r="AB1" s="793"/>
      <c r="AC1" s="679"/>
      <c r="AD1" s="679"/>
      <c r="AE1" s="679"/>
      <c r="AF1" s="679"/>
      <c r="AG1" s="679"/>
      <c r="AH1" s="679"/>
      <c r="AI1" s="682"/>
      <c r="AJ1" s="682"/>
      <c r="AK1" s="682"/>
      <c r="AL1" s="682"/>
      <c r="AM1" s="682"/>
      <c r="AN1" s="682"/>
      <c r="AO1" s="682"/>
      <c r="AP1" s="682"/>
      <c r="AQ1" s="682"/>
      <c r="AR1" s="682"/>
      <c r="AS1" s="682"/>
    </row>
    <row r="2" spans="1:45" ht="15.75" x14ac:dyDescent="0.25">
      <c r="A2" s="2149" t="s">
        <v>446</v>
      </c>
      <c r="B2" s="2149"/>
      <c r="C2" s="2149"/>
      <c r="D2" s="2149"/>
      <c r="E2" s="2149"/>
      <c r="F2" s="2149"/>
      <c r="G2" s="2149"/>
      <c r="H2" s="2149"/>
      <c r="I2" s="2149"/>
      <c r="J2" s="2149"/>
      <c r="K2" s="2149"/>
      <c r="L2" s="2149"/>
      <c r="M2" s="2149"/>
      <c r="N2" s="2149"/>
      <c r="O2" s="2149"/>
      <c r="P2" s="2149"/>
      <c r="Q2" s="784"/>
      <c r="R2" s="785"/>
      <c r="S2" s="1238"/>
      <c r="T2" s="794"/>
      <c r="U2" s="794"/>
      <c r="V2" s="794"/>
      <c r="W2" s="1571"/>
      <c r="X2" s="1572"/>
      <c r="Y2" s="790"/>
      <c r="Z2" s="791"/>
      <c r="AA2" s="787"/>
      <c r="AB2" s="787"/>
      <c r="AC2" s="679"/>
      <c r="AD2" s="679"/>
      <c r="AE2" s="679"/>
      <c r="AF2" s="679"/>
      <c r="AG2" s="679"/>
      <c r="AH2" s="679"/>
      <c r="AI2" s="682"/>
      <c r="AJ2" s="682"/>
      <c r="AK2" s="682"/>
      <c r="AL2" s="682"/>
      <c r="AM2" s="682"/>
      <c r="AN2" s="682"/>
      <c r="AO2" s="682"/>
      <c r="AP2" s="682"/>
      <c r="AQ2" s="682"/>
      <c r="AR2" s="682"/>
      <c r="AS2" s="682"/>
    </row>
    <row r="3" spans="1:45" ht="31.5" x14ac:dyDescent="0.25">
      <c r="A3" s="1509" t="s">
        <v>133</v>
      </c>
      <c r="B3" s="1509"/>
      <c r="C3" s="1509"/>
      <c r="D3" s="1509"/>
      <c r="E3" s="1509"/>
      <c r="F3" s="1510"/>
      <c r="G3" s="1511"/>
      <c r="H3" s="1512"/>
      <c r="I3" s="1511"/>
      <c r="J3" s="1513"/>
      <c r="K3" s="1514" t="s">
        <v>1483</v>
      </c>
      <c r="L3" s="1511"/>
      <c r="M3" s="1515" t="s">
        <v>1481</v>
      </c>
      <c r="N3" s="1458">
        <f>'Stock Rawmaterial'!N3</f>
        <v>46279</v>
      </c>
      <c r="O3" s="323" t="s">
        <v>463</v>
      </c>
      <c r="P3" s="1516">
        <f>'Stock Rawmaterial'!P3</f>
        <v>46284</v>
      </c>
      <c r="Q3" s="784"/>
      <c r="R3" s="785"/>
      <c r="S3" s="1570"/>
      <c r="T3" s="794"/>
      <c r="U3" s="1571"/>
      <c r="V3" s="794"/>
      <c r="W3" s="1571"/>
      <c r="X3" s="1572"/>
      <c r="Y3" s="790"/>
      <c r="Z3" s="791"/>
      <c r="AA3" s="787"/>
      <c r="AB3" s="550"/>
      <c r="AC3" s="679"/>
      <c r="AD3" s="679"/>
      <c r="AE3" s="679"/>
      <c r="AF3" s="679"/>
      <c r="AG3" s="679"/>
      <c r="AH3" s="679"/>
      <c r="AI3" s="682"/>
      <c r="AJ3" s="682"/>
      <c r="AK3" s="682"/>
      <c r="AL3" s="682"/>
      <c r="AM3" s="682"/>
      <c r="AN3" s="682"/>
      <c r="AO3" s="682"/>
      <c r="AP3" s="682"/>
      <c r="AQ3" s="682"/>
      <c r="AR3" s="682"/>
      <c r="AS3" s="682"/>
    </row>
    <row r="4" spans="1:45" ht="31.5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1517" t="s">
        <v>1484</v>
      </c>
      <c r="L4" s="7"/>
      <c r="M4" s="1515" t="s">
        <v>1481</v>
      </c>
      <c r="N4" s="1458">
        <f>'Stock Rawmaterial'!N4</f>
        <v>46286</v>
      </c>
      <c r="O4" s="323" t="s">
        <v>463</v>
      </c>
      <c r="P4" s="1516">
        <f>'Stock Rawmaterial'!P4</f>
        <v>46291</v>
      </c>
      <c r="Q4" s="784"/>
      <c r="R4" s="785"/>
      <c r="S4" s="1570"/>
      <c r="T4" s="794"/>
      <c r="U4" s="794"/>
      <c r="V4" s="794"/>
      <c r="W4" s="1571"/>
      <c r="X4" s="1572"/>
      <c r="Y4" s="794"/>
      <c r="Z4" s="791"/>
      <c r="AA4" s="787"/>
      <c r="AB4" s="787"/>
      <c r="AC4" s="679"/>
      <c r="AD4" s="679"/>
      <c r="AE4" s="679"/>
      <c r="AF4" s="679"/>
      <c r="AG4" s="679"/>
      <c r="AH4" s="679"/>
      <c r="AI4" s="682"/>
      <c r="AJ4" s="682"/>
      <c r="AK4" s="682"/>
      <c r="AL4" s="682"/>
      <c r="AM4" s="682"/>
      <c r="AN4" s="682"/>
      <c r="AO4" s="682"/>
      <c r="AP4" s="682"/>
      <c r="AQ4" s="682"/>
      <c r="AR4" s="682"/>
      <c r="AS4" s="682"/>
    </row>
    <row r="5" spans="1:45" x14ac:dyDescent="0.25">
      <c r="B5" s="7"/>
      <c r="C5" s="14"/>
      <c r="G5" s="200"/>
      <c r="H5" s="229"/>
      <c r="I5" s="205"/>
      <c r="J5" s="204"/>
      <c r="K5" s="205"/>
      <c r="L5" s="200"/>
      <c r="M5" s="1518"/>
      <c r="N5" s="1519"/>
      <c r="O5" s="368"/>
      <c r="P5" s="1516"/>
      <c r="Q5" s="784"/>
      <c r="R5" s="785"/>
      <c r="S5" s="1570"/>
      <c r="T5" s="794"/>
      <c r="U5" s="794"/>
      <c r="V5" s="794"/>
      <c r="W5" s="1571"/>
      <c r="X5" s="1573"/>
      <c r="Y5" s="794"/>
      <c r="Z5" s="842"/>
      <c r="AA5" s="787"/>
      <c r="AB5" s="787"/>
      <c r="AC5" s="679"/>
      <c r="AD5" s="679"/>
      <c r="AE5" s="679"/>
      <c r="AF5" s="679"/>
      <c r="AG5" s="679"/>
      <c r="AH5" s="679"/>
      <c r="AI5" s="682"/>
      <c r="AJ5" s="682"/>
      <c r="AK5" s="682"/>
      <c r="AL5" s="682"/>
      <c r="AM5" s="682"/>
      <c r="AN5" s="682"/>
      <c r="AO5" s="682"/>
      <c r="AP5" s="682"/>
      <c r="AQ5" s="682"/>
      <c r="AR5" s="682"/>
      <c r="AS5" s="682"/>
    </row>
    <row r="6" spans="1:45" ht="33.75" customHeight="1" thickBot="1" x14ac:dyDescent="0.3">
      <c r="A6" s="1506" t="s">
        <v>1478</v>
      </c>
      <c r="B6" s="6" t="s">
        <v>1798</v>
      </c>
      <c r="C6" s="2168" t="s">
        <v>134</v>
      </c>
      <c r="D6" s="2168"/>
      <c r="E6" s="2168"/>
      <c r="F6" s="2168"/>
      <c r="G6" s="2168"/>
      <c r="H6" s="2168"/>
      <c r="I6" s="2168"/>
      <c r="J6" s="2168"/>
      <c r="K6" s="153"/>
      <c r="L6" s="623"/>
      <c r="M6" s="1443"/>
      <c r="N6" s="545"/>
      <c r="O6" s="1443"/>
      <c r="P6" s="1519"/>
      <c r="Q6" s="784"/>
      <c r="R6" s="785"/>
      <c r="S6" s="1570"/>
      <c r="T6" s="794"/>
      <c r="U6" s="794"/>
      <c r="V6" s="794"/>
      <c r="W6" s="794"/>
      <c r="X6" s="794"/>
      <c r="Y6" s="794"/>
      <c r="Z6" s="791"/>
      <c r="AA6" s="787"/>
      <c r="AB6" s="787"/>
      <c r="AC6" s="679"/>
      <c r="AD6" s="679"/>
      <c r="AE6" s="679"/>
      <c r="AF6" s="679"/>
      <c r="AG6" s="679"/>
      <c r="AH6" s="679"/>
      <c r="AI6" s="682"/>
      <c r="AJ6" s="682"/>
      <c r="AK6" s="682"/>
      <c r="AL6" s="682"/>
      <c r="AM6" s="682"/>
      <c r="AN6" s="682"/>
      <c r="AO6" s="682"/>
      <c r="AP6" s="682"/>
      <c r="AQ6" s="682"/>
      <c r="AR6" s="682"/>
      <c r="AS6" s="682"/>
    </row>
    <row r="7" spans="1:45" ht="34.5" customHeight="1" x14ac:dyDescent="0.25">
      <c r="A7" s="1506" t="s">
        <v>1479</v>
      </c>
      <c r="B7" s="6" t="s">
        <v>1799</v>
      </c>
      <c r="C7" s="2168" t="s">
        <v>1448</v>
      </c>
      <c r="D7" s="2168"/>
      <c r="E7" s="2168"/>
      <c r="F7" s="2168"/>
      <c r="G7" s="2168"/>
      <c r="H7" s="2168"/>
      <c r="I7" s="2168"/>
      <c r="J7" s="2168"/>
      <c r="K7" s="1503" t="s">
        <v>1482</v>
      </c>
      <c r="L7" s="386">
        <f>'Stock Rawmaterial'!L7</f>
        <v>46286</v>
      </c>
      <c r="M7" s="2173" t="s">
        <v>1462</v>
      </c>
      <c r="N7" s="2174"/>
      <c r="O7" s="2171" t="s">
        <v>1464</v>
      </c>
      <c r="P7" s="2172"/>
      <c r="Q7" s="784"/>
      <c r="R7" s="785"/>
      <c r="S7" s="786"/>
      <c r="T7" s="787"/>
      <c r="U7" s="787"/>
      <c r="V7" s="787"/>
      <c r="W7" s="787"/>
      <c r="X7" s="787"/>
      <c r="Y7" s="787"/>
      <c r="Z7" s="791"/>
      <c r="AA7" s="787"/>
      <c r="AB7" s="787"/>
      <c r="AC7" s="679"/>
      <c r="AD7" s="679"/>
      <c r="AE7" s="679"/>
      <c r="AF7" s="679"/>
      <c r="AG7" s="679"/>
      <c r="AH7" s="679"/>
      <c r="AI7" s="682"/>
      <c r="AJ7" s="682"/>
      <c r="AK7" s="682"/>
      <c r="AL7" s="682"/>
      <c r="AM7" s="682"/>
      <c r="AN7" s="682"/>
      <c r="AO7" s="682"/>
      <c r="AP7" s="682"/>
      <c r="AQ7" s="682"/>
      <c r="AR7" s="682"/>
      <c r="AS7" s="682"/>
    </row>
    <row r="8" spans="1:45" ht="33.75" customHeight="1" x14ac:dyDescent="0.25">
      <c r="A8" s="1506" t="s">
        <v>1480</v>
      </c>
      <c r="B8" s="6" t="s">
        <v>1470</v>
      </c>
      <c r="C8" s="14"/>
      <c r="D8" s="27"/>
      <c r="E8" s="9"/>
      <c r="F8" s="220"/>
      <c r="G8" s="200"/>
      <c r="H8" s="229"/>
      <c r="I8" s="205"/>
      <c r="J8" s="204"/>
      <c r="K8" s="205"/>
      <c r="L8" s="200"/>
      <c r="M8" s="2176" t="s">
        <v>1463</v>
      </c>
      <c r="N8" s="2177"/>
      <c r="O8" s="2169" t="s">
        <v>1465</v>
      </c>
      <c r="P8" s="2170"/>
      <c r="Q8" s="784"/>
      <c r="R8" s="786"/>
      <c r="S8" s="786"/>
      <c r="T8" s="787"/>
      <c r="U8" s="787"/>
      <c r="V8" s="787"/>
      <c r="W8" s="787"/>
      <c r="X8" s="787"/>
      <c r="Y8" s="787"/>
      <c r="Z8" s="791"/>
      <c r="AA8" s="787"/>
      <c r="AB8" s="787"/>
      <c r="AC8" s="679"/>
      <c r="AD8" s="679"/>
      <c r="AE8" s="679"/>
      <c r="AF8" s="679"/>
      <c r="AG8" s="679"/>
      <c r="AH8" s="679"/>
      <c r="AI8" s="682"/>
      <c r="AJ8" s="682"/>
      <c r="AK8" s="682"/>
      <c r="AL8" s="682"/>
      <c r="AM8" s="682"/>
      <c r="AN8" s="682"/>
      <c r="AO8" s="682"/>
      <c r="AP8" s="682"/>
      <c r="AQ8" s="682"/>
      <c r="AR8" s="682"/>
      <c r="AS8" s="682"/>
    </row>
    <row r="9" spans="1:45" ht="15.75" hidden="1" customHeight="1" x14ac:dyDescent="0.2">
      <c r="B9" s="7"/>
      <c r="C9" s="14"/>
      <c r="G9" s="14"/>
      <c r="H9" s="220"/>
      <c r="I9" s="200"/>
      <c r="J9" s="229"/>
      <c r="K9" s="229"/>
      <c r="L9" s="205"/>
      <c r="M9" s="205"/>
      <c r="N9" s="204"/>
      <c r="P9" s="205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ht="27.75" hidden="1" customHeight="1" x14ac:dyDescent="0.2">
      <c r="A10" s="2150"/>
      <c r="B10" s="2150"/>
      <c r="C10" s="2150"/>
      <c r="D10" s="2150"/>
      <c r="E10" s="2150"/>
      <c r="F10" s="2150"/>
      <c r="G10" s="2150"/>
      <c r="H10" s="2150"/>
      <c r="I10" s="2150"/>
      <c r="J10" s="2150"/>
      <c r="K10" s="2150"/>
      <c r="L10" s="2150"/>
      <c r="M10" s="2150"/>
      <c r="N10" s="2150"/>
      <c r="O10" s="2150"/>
      <c r="P10" s="2150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ht="20.25" hidden="1" customHeight="1" x14ac:dyDescent="0.2">
      <c r="B11" s="6"/>
      <c r="C11" s="14"/>
      <c r="G11" s="14"/>
      <c r="H11" s="220"/>
      <c r="I11" s="200"/>
      <c r="J11" s="229"/>
      <c r="K11" s="229"/>
      <c r="L11" s="205"/>
      <c r="M11" s="205"/>
      <c r="N11" s="204"/>
      <c r="P11" s="205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s="397" customFormat="1" ht="38.25" customHeight="1" x14ac:dyDescent="0.2">
      <c r="A12" s="2151" t="s">
        <v>1449</v>
      </c>
      <c r="B12" s="2136" t="s">
        <v>1</v>
      </c>
      <c r="C12" s="2164" t="s">
        <v>41</v>
      </c>
      <c r="D12" s="2142" t="s">
        <v>1447</v>
      </c>
      <c r="E12" s="2162"/>
      <c r="F12" s="2134" t="s">
        <v>6</v>
      </c>
      <c r="G12" s="1508" t="s">
        <v>5</v>
      </c>
      <c r="H12" s="1508" t="s">
        <v>11</v>
      </c>
      <c r="I12" s="1525" t="s">
        <v>316</v>
      </c>
      <c r="J12" s="1526" t="s">
        <v>307</v>
      </c>
      <c r="K12" s="1525" t="s">
        <v>315</v>
      </c>
      <c r="L12" s="1525" t="s">
        <v>12</v>
      </c>
      <c r="M12" s="1505" t="s">
        <v>313</v>
      </c>
      <c r="N12" s="2178" t="s">
        <v>1458</v>
      </c>
      <c r="O12" s="1505" t="s">
        <v>314</v>
      </c>
      <c r="P12" s="2131" t="s">
        <v>1458</v>
      </c>
      <c r="Q12" s="432"/>
      <c r="R12" s="433"/>
      <c r="S12" s="434"/>
      <c r="T12" s="2304"/>
      <c r="U12" s="2304"/>
      <c r="V12" s="2304"/>
    </row>
    <row r="13" spans="1:45" s="397" customFormat="1" ht="34.5" customHeight="1" x14ac:dyDescent="0.2">
      <c r="A13" s="2152"/>
      <c r="B13" s="2137"/>
      <c r="C13" s="2165"/>
      <c r="D13" s="2143"/>
      <c r="E13" s="2163"/>
      <c r="F13" s="2135"/>
      <c r="G13" s="1499" t="s">
        <v>1455</v>
      </c>
      <c r="H13" s="1499" t="s">
        <v>1485</v>
      </c>
      <c r="I13" s="1498" t="s">
        <v>1466</v>
      </c>
      <c r="J13" s="1521" t="s">
        <v>1461</v>
      </c>
      <c r="K13" s="1498" t="s">
        <v>1467</v>
      </c>
      <c r="L13" s="1498" t="s">
        <v>1456</v>
      </c>
      <c r="M13" s="1522" t="s">
        <v>1457</v>
      </c>
      <c r="N13" s="2179"/>
      <c r="O13" s="1522" t="s">
        <v>1460</v>
      </c>
      <c r="P13" s="2132"/>
      <c r="Q13" s="432"/>
      <c r="R13" s="433"/>
      <c r="S13" s="434"/>
    </row>
    <row r="14" spans="1:45" s="397" customFormat="1" ht="34.5" customHeight="1" x14ac:dyDescent="0.2">
      <c r="A14" s="2140" t="s">
        <v>1450</v>
      </c>
      <c r="B14" s="2138" t="s">
        <v>1451</v>
      </c>
      <c r="C14" s="2142" t="s">
        <v>1452</v>
      </c>
      <c r="D14" s="2140" t="s">
        <v>1453</v>
      </c>
      <c r="E14" s="2144"/>
      <c r="F14" s="2146" t="s">
        <v>1454</v>
      </c>
      <c r="G14" s="1499" t="s">
        <v>303</v>
      </c>
      <c r="H14" s="1499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500" t="s">
        <v>308</v>
      </c>
      <c r="N14" s="2180" t="s">
        <v>1459</v>
      </c>
      <c r="O14" s="1501" t="s">
        <v>308</v>
      </c>
      <c r="P14" s="2138" t="s">
        <v>1459</v>
      </c>
      <c r="Q14" s="432"/>
      <c r="R14" s="433"/>
      <c r="S14" s="434"/>
    </row>
    <row r="15" spans="1:45" s="397" customFormat="1" ht="34.5" customHeight="1" x14ac:dyDescent="0.2">
      <c r="A15" s="2141"/>
      <c r="B15" s="2139"/>
      <c r="C15" s="2143"/>
      <c r="D15" s="2296"/>
      <c r="E15" s="2297"/>
      <c r="F15" s="2298"/>
      <c r="G15" s="1527" t="s">
        <v>1468</v>
      </c>
      <c r="H15" s="1527" t="s">
        <v>1468</v>
      </c>
      <c r="I15" s="1527" t="s">
        <v>1468</v>
      </c>
      <c r="J15" s="1527" t="s">
        <v>1468</v>
      </c>
      <c r="K15" s="1527" t="s">
        <v>1468</v>
      </c>
      <c r="L15" s="1527" t="s">
        <v>1468</v>
      </c>
      <c r="M15" s="1522" t="s">
        <v>1469</v>
      </c>
      <c r="N15" s="2299"/>
      <c r="O15" s="1528" t="s">
        <v>1469</v>
      </c>
      <c r="P15" s="2300"/>
      <c r="Q15" s="432"/>
      <c r="R15" s="433"/>
      <c r="S15" s="434"/>
    </row>
    <row r="16" spans="1:45" ht="30" customHeight="1" x14ac:dyDescent="0.2">
      <c r="A16" s="2078">
        <v>1</v>
      </c>
      <c r="B16" s="2065" t="s">
        <v>882</v>
      </c>
      <c r="C16" s="109" t="str">
        <f>'Stock Rawmaterial'!C597</f>
        <v>LM2</v>
      </c>
      <c r="D16" s="943" t="s">
        <v>10</v>
      </c>
      <c r="E16" s="1532">
        <f>'Stock Rawmaterial'!E597</f>
        <v>46191</v>
      </c>
      <c r="F16" s="1530">
        <f>'Stock Rawmaterial'!F597</f>
        <v>95</v>
      </c>
      <c r="G16" s="1650">
        <f>'Stock Rawmaterial'!G597</f>
        <v>234027</v>
      </c>
      <c r="H16" s="1651">
        <f>'Stock Rawmaterial'!H597</f>
        <v>0</v>
      </c>
      <c r="I16" s="1651">
        <f>'Stock Rawmaterial'!I597</f>
        <v>0</v>
      </c>
      <c r="J16" s="1651">
        <f>'Stock Rawmaterial'!J597</f>
        <v>5888</v>
      </c>
      <c r="K16" s="1651">
        <f>'Stock Rawmaterial'!K597</f>
        <v>0</v>
      </c>
      <c r="L16" s="1650">
        <f>'Stock Rawmaterial'!L597</f>
        <v>228139</v>
      </c>
      <c r="M16" s="1531">
        <f>'Stock Rawmaterial'!M597</f>
        <v>0</v>
      </c>
      <c r="N16" s="1531">
        <f>'Stock Rawmaterial'!N597</f>
        <v>0</v>
      </c>
      <c r="O16" s="1531">
        <f>'Stock Rawmaterial'!O597</f>
        <v>0</v>
      </c>
      <c r="P16" s="1531">
        <f>'Stock Rawmaterial'!P597</f>
        <v>0</v>
      </c>
      <c r="Q16" s="202"/>
      <c r="R16" s="445"/>
      <c r="S16" s="446"/>
      <c r="T16" s="447"/>
      <c r="U16" s="447"/>
      <c r="V16" s="447"/>
      <c r="W16" s="2"/>
      <c r="X16" s="2"/>
      <c r="Y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ht="30" hidden="1" customHeight="1" x14ac:dyDescent="0.2">
      <c r="A17" s="2064"/>
      <c r="B17" s="2044"/>
      <c r="C17" s="61" t="s">
        <v>178</v>
      </c>
      <c r="D17" s="884" t="s">
        <v>10</v>
      </c>
      <c r="E17" s="885"/>
      <c r="F17" s="356"/>
      <c r="G17" s="1652"/>
      <c r="H17" s="1621"/>
      <c r="I17" s="303">
        <v>0</v>
      </c>
      <c r="J17" s="303"/>
      <c r="K17" s="303"/>
      <c r="L17" s="303"/>
      <c r="M17" s="331"/>
      <c r="N17" s="1529"/>
      <c r="O17" s="331"/>
      <c r="P17" s="161"/>
      <c r="Q17" s="202"/>
      <c r="R17" s="445"/>
      <c r="S17" s="446"/>
      <c r="T17" s="447"/>
      <c r="U17" s="447"/>
      <c r="V17" s="447"/>
      <c r="W17" s="2"/>
      <c r="X17" s="2"/>
      <c r="Y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s="402" customFormat="1" ht="30" customHeight="1" x14ac:dyDescent="0.2">
      <c r="A18" s="2019" t="s">
        <v>116</v>
      </c>
      <c r="B18" s="2020"/>
      <c r="C18" s="88"/>
      <c r="D18" s="864"/>
      <c r="E18" s="864"/>
      <c r="F18" s="865"/>
      <c r="G18" s="1585">
        <f>'Stock Rawmaterial'!G599</f>
        <v>234027</v>
      </c>
      <c r="H18" s="1585">
        <f>'Stock Rawmaterial'!H599</f>
        <v>0</v>
      </c>
      <c r="I18" s="1585">
        <f>'Stock Rawmaterial'!I599</f>
        <v>0</v>
      </c>
      <c r="J18" s="1585">
        <f>'Stock Rawmaterial'!J599</f>
        <v>5888</v>
      </c>
      <c r="K18" s="1585">
        <f>'Stock Rawmaterial'!K599</f>
        <v>0</v>
      </c>
      <c r="L18" s="1585">
        <f>'Stock Rawmaterial'!L599</f>
        <v>228139</v>
      </c>
      <c r="M18" s="1789">
        <f>'Stock Rawmaterial'!M599</f>
        <v>6792.666666666667</v>
      </c>
      <c r="N18" s="1534">
        <f>'Stock Rawmaterial'!N599</f>
        <v>33.586073216213563</v>
      </c>
      <c r="O18" s="1789">
        <f>'Stock Rawmaterial'!O599</f>
        <v>6920.166666666667</v>
      </c>
      <c r="P18" s="1534">
        <f>'Stock Rawmaterial'!P599</f>
        <v>32.967269574432216</v>
      </c>
      <c r="Q18" s="438"/>
      <c r="R18" s="439"/>
      <c r="S18" s="440"/>
      <c r="T18" s="441"/>
      <c r="U18" s="442"/>
      <c r="V18" s="443"/>
    </row>
    <row r="19" spans="1:45" s="400" customFormat="1" ht="30" customHeight="1" x14ac:dyDescent="0.2">
      <c r="A19" s="2123">
        <v>2</v>
      </c>
      <c r="B19" s="2043" t="s">
        <v>55</v>
      </c>
      <c r="C19" s="197" t="s">
        <v>56</v>
      </c>
      <c r="D19" s="943" t="s">
        <v>10</v>
      </c>
      <c r="E19" s="944">
        <f>'Stock Rawmaterial'!E600</f>
        <v>46133</v>
      </c>
      <c r="F19" s="945">
        <f>'Stock Rawmaterial'!F600</f>
        <v>153</v>
      </c>
      <c r="G19" s="1653">
        <f>'Stock Rawmaterial'!G600</f>
        <v>16553</v>
      </c>
      <c r="H19" s="1653">
        <f>'Stock Rawmaterial'!H600</f>
        <v>0</v>
      </c>
      <c r="I19" s="1653">
        <f>'Stock Rawmaterial'!I600</f>
        <v>0</v>
      </c>
      <c r="J19" s="1653">
        <f>'Stock Rawmaterial'!J600</f>
        <v>0</v>
      </c>
      <c r="K19" s="1653">
        <f>'Stock Rawmaterial'!K600</f>
        <v>0</v>
      </c>
      <c r="L19" s="1653">
        <f>'Stock Rawmaterial'!L600</f>
        <v>16553</v>
      </c>
      <c r="M19" s="1790"/>
      <c r="N19" s="1536"/>
      <c r="O19" s="1790"/>
      <c r="P19" s="1535"/>
      <c r="Q19" s="450"/>
      <c r="R19" s="451"/>
      <c r="S19" s="452"/>
      <c r="T19" s="453"/>
      <c r="U19" s="454"/>
      <c r="V19" s="455"/>
    </row>
    <row r="20" spans="1:45" s="400" customFormat="1" ht="30" hidden="1" customHeight="1" x14ac:dyDescent="0.2">
      <c r="A20" s="2124"/>
      <c r="B20" s="2044"/>
      <c r="C20" s="138"/>
      <c r="D20" s="946" t="s">
        <v>10</v>
      </c>
      <c r="E20" s="947"/>
      <c r="F20" s="39"/>
      <c r="G20" s="1654"/>
      <c r="H20" s="35"/>
      <c r="I20" s="299">
        <v>0</v>
      </c>
      <c r="J20" s="299"/>
      <c r="K20" s="299"/>
      <c r="L20" s="299"/>
      <c r="M20" s="43"/>
      <c r="N20" s="1538"/>
      <c r="O20" s="43"/>
      <c r="P20" s="1537"/>
      <c r="Q20" s="450"/>
      <c r="R20" s="451"/>
      <c r="S20" s="452"/>
      <c r="T20" s="453"/>
      <c r="U20" s="454"/>
      <c r="V20" s="455"/>
    </row>
    <row r="21" spans="1:45" s="402" customFormat="1" ht="30" customHeight="1" x14ac:dyDescent="0.2">
      <c r="A21" s="2019" t="s">
        <v>131</v>
      </c>
      <c r="B21" s="2020"/>
      <c r="C21" s="88"/>
      <c r="D21" s="864"/>
      <c r="E21" s="864"/>
      <c r="F21" s="865"/>
      <c r="G21" s="1585">
        <f>'Stock Rawmaterial'!G602</f>
        <v>16553</v>
      </c>
      <c r="H21" s="1585">
        <f>'Stock Rawmaterial'!H602</f>
        <v>0</v>
      </c>
      <c r="I21" s="1585">
        <f>'Stock Rawmaterial'!I602</f>
        <v>0</v>
      </c>
      <c r="J21" s="1585">
        <f>'Stock Rawmaterial'!J602</f>
        <v>0</v>
      </c>
      <c r="K21" s="1585">
        <f>'Stock Rawmaterial'!K602</f>
        <v>0</v>
      </c>
      <c r="L21" s="1585">
        <f>'Stock Rawmaterial'!L602</f>
        <v>16553</v>
      </c>
      <c r="M21" s="1789">
        <f>'Stock Rawmaterial'!M602</f>
        <v>1701.3333333333333</v>
      </c>
      <c r="N21" s="1534">
        <f>'Stock Rawmaterial'!N602</f>
        <v>9.7294278996865202</v>
      </c>
      <c r="O21" s="1789">
        <f>'Stock Rawmaterial'!O602</f>
        <v>1366.6666666666665</v>
      </c>
      <c r="P21" s="1534">
        <f>'Stock Rawmaterial'!P602</f>
        <v>12.111951219512196</v>
      </c>
      <c r="Q21" s="438"/>
      <c r="R21" s="439"/>
      <c r="S21" s="440"/>
      <c r="T21" s="441"/>
      <c r="U21" s="442"/>
      <c r="V21" s="443"/>
    </row>
    <row r="22" spans="1:45" s="412" customFormat="1" ht="30" customHeight="1" x14ac:dyDescent="0.2">
      <c r="A22" s="2021">
        <v>3</v>
      </c>
      <c r="B22" s="2066" t="s">
        <v>92</v>
      </c>
      <c r="C22" s="118" t="s">
        <v>77</v>
      </c>
      <c r="D22" s="910" t="s">
        <v>10</v>
      </c>
      <c r="E22" s="890">
        <f>+'Stock Rawmaterial'!E603</f>
        <v>46284</v>
      </c>
      <c r="F22" s="856">
        <f>'Stock Rawmaterial'!F603</f>
        <v>2</v>
      </c>
      <c r="G22" s="304">
        <f>'Stock Rawmaterial'!G603</f>
        <v>35920</v>
      </c>
      <c r="H22" s="304">
        <f>'Stock Rawmaterial'!H603</f>
        <v>0</v>
      </c>
      <c r="I22" s="304">
        <f>'Stock Rawmaterial'!I603</f>
        <v>0</v>
      </c>
      <c r="J22" s="304">
        <f>'Stock Rawmaterial'!J603</f>
        <v>0</v>
      </c>
      <c r="K22" s="304">
        <f>'Stock Rawmaterial'!K603</f>
        <v>0</v>
      </c>
      <c r="L22" s="304">
        <f>'Stock Rawmaterial'!L603</f>
        <v>35920</v>
      </c>
      <c r="M22" s="1791"/>
      <c r="N22" s="1540"/>
      <c r="O22" s="1791"/>
      <c r="P22" s="1539"/>
      <c r="Q22" s="471"/>
      <c r="R22" s="472"/>
      <c r="S22" s="446"/>
      <c r="T22" s="473"/>
      <c r="U22" s="473"/>
      <c r="V22" s="473"/>
    </row>
    <row r="23" spans="1:45" s="412" customFormat="1" ht="30" customHeight="1" x14ac:dyDescent="0.2">
      <c r="A23" s="2022"/>
      <c r="B23" s="2067"/>
      <c r="C23" s="118" t="s">
        <v>78</v>
      </c>
      <c r="D23" s="852" t="s">
        <v>10</v>
      </c>
      <c r="E23" s="890">
        <f>+'Stock Rawmaterial'!E604</f>
        <v>46129</v>
      </c>
      <c r="F23" s="856">
        <f>'Stock Rawmaterial'!F604</f>
        <v>157</v>
      </c>
      <c r="G23" s="304">
        <f>'Stock Rawmaterial'!G604</f>
        <v>188427</v>
      </c>
      <c r="H23" s="304">
        <f>'Stock Rawmaterial'!H604</f>
        <v>0</v>
      </c>
      <c r="I23" s="304">
        <f>'Stock Rawmaterial'!I604</f>
        <v>0</v>
      </c>
      <c r="J23" s="304">
        <f>'Stock Rawmaterial'!J604</f>
        <v>12312</v>
      </c>
      <c r="K23" s="304">
        <f>'Stock Rawmaterial'!K604</f>
        <v>0</v>
      </c>
      <c r="L23" s="304">
        <f>'Stock Rawmaterial'!L604</f>
        <v>176115</v>
      </c>
      <c r="M23" s="1791"/>
      <c r="N23" s="1540"/>
      <c r="O23" s="1791"/>
      <c r="P23" s="1541"/>
      <c r="Q23" s="471"/>
      <c r="R23" s="472"/>
      <c r="S23" s="446"/>
      <c r="T23" s="473"/>
      <c r="U23" s="473"/>
      <c r="V23" s="473"/>
    </row>
    <row r="24" spans="1:45" s="412" customFormat="1" ht="30" hidden="1" customHeight="1" x14ac:dyDescent="0.2">
      <c r="A24" s="2022"/>
      <c r="B24" s="2067"/>
      <c r="C24" s="118" t="s">
        <v>127</v>
      </c>
      <c r="D24" s="852" t="s">
        <v>10</v>
      </c>
      <c r="E24" s="853"/>
      <c r="F24" s="856"/>
      <c r="G24" s="1655"/>
      <c r="H24" s="172"/>
      <c r="I24" s="297">
        <v>0</v>
      </c>
      <c r="J24" s="297"/>
      <c r="K24" s="297"/>
      <c r="L24" s="297"/>
      <c r="M24" s="1791"/>
      <c r="N24" s="1542"/>
      <c r="O24" s="1792"/>
      <c r="P24" s="1541"/>
      <c r="Q24" s="471"/>
      <c r="R24" s="472"/>
      <c r="S24" s="446"/>
      <c r="T24" s="473"/>
      <c r="U24" s="473"/>
      <c r="V24" s="473"/>
    </row>
    <row r="25" spans="1:45" s="412" customFormat="1" ht="30" hidden="1" customHeight="1" x14ac:dyDescent="0.2">
      <c r="A25" s="2022"/>
      <c r="B25" s="2067"/>
      <c r="C25" s="118" t="s">
        <v>209</v>
      </c>
      <c r="D25" s="852" t="s">
        <v>10</v>
      </c>
      <c r="E25" s="853"/>
      <c r="F25" s="856"/>
      <c r="G25" s="1655"/>
      <c r="H25" s="172"/>
      <c r="I25" s="297">
        <v>0</v>
      </c>
      <c r="J25" s="297"/>
      <c r="K25" s="297"/>
      <c r="L25" s="297"/>
      <c r="M25" s="1791"/>
      <c r="N25" s="1542"/>
      <c r="O25" s="1792"/>
      <c r="P25" s="1541"/>
      <c r="Q25" s="471"/>
      <c r="R25" s="472"/>
      <c r="S25" s="446"/>
      <c r="T25" s="473"/>
      <c r="U25" s="473"/>
      <c r="V25" s="473"/>
    </row>
    <row r="26" spans="1:45" s="412" customFormat="1" ht="30" hidden="1" customHeight="1" x14ac:dyDescent="0.2">
      <c r="A26" s="2023"/>
      <c r="B26" s="2068"/>
      <c r="C26" s="118"/>
      <c r="D26" s="852" t="s">
        <v>10</v>
      </c>
      <c r="E26" s="853"/>
      <c r="F26" s="856"/>
      <c r="G26" s="1655"/>
      <c r="H26" s="172"/>
      <c r="I26" s="297">
        <v>0</v>
      </c>
      <c r="J26" s="297"/>
      <c r="K26" s="297"/>
      <c r="L26" s="297"/>
      <c r="M26" s="1791"/>
      <c r="N26" s="1542"/>
      <c r="O26" s="1792"/>
      <c r="P26" s="1541"/>
      <c r="Q26" s="471"/>
      <c r="R26" s="472"/>
      <c r="S26" s="446"/>
      <c r="T26" s="473"/>
      <c r="U26" s="473"/>
      <c r="V26" s="473"/>
    </row>
    <row r="27" spans="1:45" s="402" customFormat="1" ht="30" hidden="1" customHeight="1" x14ac:dyDescent="0.2">
      <c r="A27" s="182"/>
      <c r="B27" s="170" t="s">
        <v>117</v>
      </c>
      <c r="C27" s="897"/>
      <c r="D27" s="898"/>
      <c r="E27" s="898"/>
      <c r="F27" s="899"/>
      <c r="G27" s="1656"/>
      <c r="H27" s="1657"/>
      <c r="I27" s="325"/>
      <c r="J27" s="325">
        <f t="shared" ref="J27:P27" si="0">+SUM(J22:J26)</f>
        <v>12312</v>
      </c>
      <c r="K27" s="325">
        <f t="shared" si="0"/>
        <v>0</v>
      </c>
      <c r="L27" s="325">
        <f t="shared" si="0"/>
        <v>212035</v>
      </c>
      <c r="M27" s="1793">
        <f t="shared" si="0"/>
        <v>0</v>
      </c>
      <c r="N27" s="1665">
        <f t="shared" si="0"/>
        <v>0</v>
      </c>
      <c r="O27" s="1793">
        <f t="shared" si="0"/>
        <v>0</v>
      </c>
      <c r="P27" s="1665">
        <f t="shared" si="0"/>
        <v>0</v>
      </c>
      <c r="Q27" s="438"/>
      <c r="R27" s="439"/>
      <c r="S27" s="440"/>
      <c r="T27" s="441"/>
      <c r="U27" s="442"/>
      <c r="V27" s="443"/>
    </row>
    <row r="28" spans="1:45" s="400" customFormat="1" ht="30" hidden="1" customHeight="1" x14ac:dyDescent="0.2">
      <c r="A28" s="182"/>
      <c r="B28" s="169"/>
      <c r="C28" s="117"/>
      <c r="D28" s="1053"/>
      <c r="E28" s="1054"/>
      <c r="F28" s="1055"/>
      <c r="G28" s="1658"/>
      <c r="H28" s="1659"/>
      <c r="I28" s="1056">
        <v>0</v>
      </c>
      <c r="J28" s="1056"/>
      <c r="K28" s="1056"/>
      <c r="L28" s="1056"/>
      <c r="M28" s="1810"/>
      <c r="N28" s="1543"/>
      <c r="O28" s="1794"/>
      <c r="P28" s="1544"/>
      <c r="Q28" s="450"/>
      <c r="R28" s="451"/>
      <c r="S28" s="452"/>
      <c r="T28" s="453"/>
      <c r="U28" s="454"/>
      <c r="V28" s="455"/>
    </row>
    <row r="29" spans="1:45" s="402" customFormat="1" ht="30" customHeight="1" x14ac:dyDescent="0.2">
      <c r="A29" s="2019" t="s">
        <v>348</v>
      </c>
      <c r="B29" s="2020"/>
      <c r="C29" s="88"/>
      <c r="D29" s="864"/>
      <c r="E29" s="864"/>
      <c r="F29" s="865"/>
      <c r="G29" s="1585">
        <f>G22+G23</f>
        <v>224347</v>
      </c>
      <c r="H29" s="1585">
        <f t="shared" ref="H29:L29" si="1">H22+H23</f>
        <v>0</v>
      </c>
      <c r="I29" s="1585">
        <f t="shared" si="1"/>
        <v>0</v>
      </c>
      <c r="J29" s="1585">
        <f t="shared" si="1"/>
        <v>12312</v>
      </c>
      <c r="K29" s="1585">
        <f t="shared" si="1"/>
        <v>0</v>
      </c>
      <c r="L29" s="1585">
        <f t="shared" si="1"/>
        <v>212035</v>
      </c>
      <c r="M29" s="133">
        <f>'Stock Rawmaterial'!M608</f>
        <v>14507.5</v>
      </c>
      <c r="N29" s="1545">
        <f>'Stock Rawmaterial'!N608</f>
        <v>14.615543684301224</v>
      </c>
      <c r="O29" s="133">
        <f>'Stock Rawmaterial'!O608</f>
        <v>14644.833333333334</v>
      </c>
      <c r="P29" s="1545">
        <f>'Stock Rawmaterial'!P608</f>
        <v>14.478485017469186</v>
      </c>
      <c r="Q29" s="438"/>
      <c r="R29" s="439"/>
      <c r="S29" s="440"/>
      <c r="T29" s="441"/>
      <c r="U29" s="442"/>
      <c r="V29" s="443"/>
    </row>
    <row r="30" spans="1:45" s="412" customFormat="1" ht="30" customHeight="1" x14ac:dyDescent="0.2">
      <c r="A30" s="290">
        <v>4</v>
      </c>
      <c r="B30" s="349" t="s">
        <v>240</v>
      </c>
      <c r="C30" s="256" t="s">
        <v>65</v>
      </c>
      <c r="D30" s="940" t="s">
        <v>10</v>
      </c>
      <c r="E30" s="941">
        <f>+'Stock Rawmaterial'!E609</f>
        <v>46228</v>
      </c>
      <c r="F30" s="856">
        <f>'Stock Rawmaterial'!F609</f>
        <v>58</v>
      </c>
      <c r="G30" s="304">
        <f>'Stock Rawmaterial'!G609</f>
        <v>414869</v>
      </c>
      <c r="H30" s="304">
        <f>'Stock Rawmaterial'!H609</f>
        <v>0</v>
      </c>
      <c r="I30" s="304">
        <f>'Stock Rawmaterial'!I609</f>
        <v>0</v>
      </c>
      <c r="J30" s="304">
        <f>'Stock Rawmaterial'!J609</f>
        <v>29997.75</v>
      </c>
      <c r="K30" s="304">
        <f>'Stock Rawmaterial'!K609</f>
        <v>0</v>
      </c>
      <c r="L30" s="304">
        <f>'Stock Rawmaterial'!L609</f>
        <v>384871.25</v>
      </c>
      <c r="M30" s="1795"/>
      <c r="N30" s="1546"/>
      <c r="O30" s="1795">
        <f>+'Stock Rawmaterial'!K609</f>
        <v>0</v>
      </c>
      <c r="P30" s="1547"/>
      <c r="Q30" s="471"/>
      <c r="R30" s="472"/>
      <c r="S30" s="446"/>
      <c r="T30" s="473"/>
      <c r="U30" s="473"/>
      <c r="V30" s="473"/>
    </row>
    <row r="31" spans="1:45" s="412" customFormat="1" ht="30" customHeight="1" x14ac:dyDescent="0.2">
      <c r="A31" s="2019" t="s">
        <v>118</v>
      </c>
      <c r="B31" s="2020"/>
      <c r="C31" s="949"/>
      <c r="D31" s="950"/>
      <c r="E31" s="951"/>
      <c r="F31" s="952"/>
      <c r="G31" s="1585">
        <f>G30</f>
        <v>414869</v>
      </c>
      <c r="H31" s="1585">
        <f t="shared" ref="H31:L31" si="2">H30</f>
        <v>0</v>
      </c>
      <c r="I31" s="1585">
        <f t="shared" si="2"/>
        <v>0</v>
      </c>
      <c r="J31" s="1585">
        <f t="shared" si="2"/>
        <v>29997.75</v>
      </c>
      <c r="K31" s="1585">
        <f t="shared" si="2"/>
        <v>0</v>
      </c>
      <c r="L31" s="1585">
        <f t="shared" si="2"/>
        <v>384871.25</v>
      </c>
      <c r="M31" s="133">
        <f>'Stock Rawmaterial'!M610</f>
        <v>27530.166666666668</v>
      </c>
      <c r="N31" s="1545">
        <f>'Stock Rawmaterial'!N610</f>
        <v>13.979982564580672</v>
      </c>
      <c r="O31" s="133">
        <f>'Stock Rawmaterial'!O610</f>
        <v>28685.000000000004</v>
      </c>
      <c r="P31" s="1545">
        <f>'Stock Rawmaterial'!P610</f>
        <v>13.417160536865957</v>
      </c>
      <c r="Q31" s="471"/>
      <c r="R31" s="472"/>
      <c r="S31" s="446"/>
      <c r="T31" s="473"/>
      <c r="U31" s="473"/>
      <c r="V31" s="473"/>
    </row>
    <row r="32" spans="1:45" s="6" customFormat="1" ht="30" hidden="1" customHeight="1" x14ac:dyDescent="0.2">
      <c r="A32" s="2070">
        <v>5</v>
      </c>
      <c r="B32" s="2043" t="s">
        <v>206</v>
      </c>
      <c r="C32" s="122"/>
      <c r="D32" s="887"/>
      <c r="E32" s="962"/>
      <c r="F32" s="74"/>
      <c r="G32" s="1660"/>
      <c r="H32" s="1613"/>
      <c r="I32" s="130"/>
      <c r="J32" s="130"/>
      <c r="K32" s="130"/>
      <c r="L32" s="130"/>
      <c r="M32" s="1796"/>
      <c r="N32" s="1549">
        <f>+'Stock Rawmaterial'!J748</f>
        <v>0</v>
      </c>
      <c r="O32" s="1796">
        <f>+'Stock Rawmaterial'!K748</f>
        <v>0</v>
      </c>
      <c r="P32" s="1548"/>
      <c r="Q32" s="431"/>
      <c r="R32" s="426"/>
      <c r="S32" s="474"/>
      <c r="T32" s="459"/>
      <c r="U32" s="459"/>
      <c r="V32" s="459"/>
    </row>
    <row r="33" spans="1:45" s="6" customFormat="1" ht="30" hidden="1" customHeight="1" x14ac:dyDescent="0.2">
      <c r="A33" s="2070"/>
      <c r="B33" s="2065"/>
      <c r="C33" s="122"/>
      <c r="D33" s="887"/>
      <c r="E33" s="962"/>
      <c r="F33" s="74"/>
      <c r="G33" s="1660"/>
      <c r="H33" s="1613"/>
      <c r="I33" s="130"/>
      <c r="J33" s="130"/>
      <c r="K33" s="130"/>
      <c r="L33" s="130"/>
      <c r="M33" s="1796"/>
      <c r="N33" s="1549">
        <f>+'Stock Rawmaterial'!J749</f>
        <v>0</v>
      </c>
      <c r="O33" s="1796">
        <f>+'Stock Rawmaterial'!K749</f>
        <v>0</v>
      </c>
      <c r="P33" s="1548"/>
      <c r="Q33" s="431"/>
      <c r="R33" s="426"/>
      <c r="S33" s="474"/>
      <c r="T33" s="459"/>
      <c r="U33" s="459"/>
      <c r="V33" s="459"/>
    </row>
    <row r="34" spans="1:45" s="6" customFormat="1" ht="30" hidden="1" customHeight="1" x14ac:dyDescent="0.2">
      <c r="A34" s="2070"/>
      <c r="B34" s="2065"/>
      <c r="C34" s="122"/>
      <c r="D34" s="887"/>
      <c r="E34" s="962"/>
      <c r="F34" s="74"/>
      <c r="G34" s="1660"/>
      <c r="H34" s="1613"/>
      <c r="I34" s="130"/>
      <c r="J34" s="130"/>
      <c r="K34" s="130"/>
      <c r="L34" s="130"/>
      <c r="M34" s="1796"/>
      <c r="N34" s="1549">
        <f>+'Stock Rawmaterial'!J750</f>
        <v>0</v>
      </c>
      <c r="O34" s="1796">
        <f>+'Stock Rawmaterial'!K750</f>
        <v>0</v>
      </c>
      <c r="P34" s="1548"/>
      <c r="Q34" s="431"/>
      <c r="R34" s="426"/>
      <c r="S34" s="474"/>
      <c r="T34" s="459"/>
      <c r="U34" s="459"/>
      <c r="V34" s="459"/>
    </row>
    <row r="35" spans="1:45" s="6" customFormat="1" ht="30" hidden="1" customHeight="1" x14ac:dyDescent="0.2">
      <c r="A35" s="2070"/>
      <c r="B35" s="2065"/>
      <c r="C35" s="149">
        <f>+'Stock Rawmaterial'!C751</f>
        <v>0</v>
      </c>
      <c r="D35" s="850" t="s">
        <v>10</v>
      </c>
      <c r="E35" s="960">
        <f>+'Stock Rawmaterial'!E751</f>
        <v>45576</v>
      </c>
      <c r="F35" s="42">
        <f>'Stock Rawmaterial'!F751</f>
        <v>710</v>
      </c>
      <c r="G35" s="1219">
        <f>'Stock Rawmaterial'!G751</f>
        <v>0</v>
      </c>
      <c r="H35" s="1219">
        <f>'Stock Rawmaterial'!H751</f>
        <v>0</v>
      </c>
      <c r="I35" s="1219">
        <f>'Stock Rawmaterial'!I751</f>
        <v>0</v>
      </c>
      <c r="J35" s="1219">
        <f>'Stock Rawmaterial'!J751</f>
        <v>0</v>
      </c>
      <c r="K35" s="1219">
        <f>'Stock Rawmaterial'!K751</f>
        <v>0</v>
      </c>
      <c r="L35" s="1219">
        <f>'Stock Rawmaterial'!L751</f>
        <v>0</v>
      </c>
      <c r="M35" s="1796"/>
      <c r="N35" s="1549">
        <f>+'Stock Rawmaterial'!J751</f>
        <v>0</v>
      </c>
      <c r="O35" s="1796"/>
      <c r="P35" s="1549"/>
      <c r="Q35" s="431"/>
      <c r="R35" s="426"/>
      <c r="S35" s="474"/>
      <c r="T35" s="459"/>
      <c r="U35" s="459"/>
      <c r="V35" s="459"/>
    </row>
    <row r="36" spans="1:45" s="6" customFormat="1" ht="30" hidden="1" customHeight="1" x14ac:dyDescent="0.2">
      <c r="A36" s="2070"/>
      <c r="B36" s="2065"/>
      <c r="C36" s="149">
        <f>+'Stock Rawmaterial'!C752</f>
        <v>0</v>
      </c>
      <c r="D36" s="850" t="s">
        <v>10</v>
      </c>
      <c r="E36" s="960">
        <f>+'Stock Rawmaterial'!E752</f>
        <v>45668</v>
      </c>
      <c r="F36" s="42">
        <f>'Stock Rawmaterial'!F752</f>
        <v>618</v>
      </c>
      <c r="G36" s="1219">
        <f>'Stock Rawmaterial'!G752</f>
        <v>1.7053025658242404E-13</v>
      </c>
      <c r="H36" s="1219">
        <f>'Stock Rawmaterial'!H752</f>
        <v>0</v>
      </c>
      <c r="I36" s="1219">
        <f>'Stock Rawmaterial'!I752</f>
        <v>0</v>
      </c>
      <c r="J36" s="1219">
        <f>'Stock Rawmaterial'!J752</f>
        <v>0</v>
      </c>
      <c r="K36" s="1219">
        <f>'Stock Rawmaterial'!K752</f>
        <v>0</v>
      </c>
      <c r="L36" s="1219">
        <f>'Stock Rawmaterial'!L752</f>
        <v>1.7053025658242404E-13</v>
      </c>
      <c r="M36" s="1180">
        <f>'Stock Rawmaterial'!M752</f>
        <v>0</v>
      </c>
      <c r="N36" s="1550"/>
      <c r="O36" s="1796">
        <f>+'Stock Rawmaterial'!K752</f>
        <v>0</v>
      </c>
      <c r="P36" s="1549"/>
      <c r="Q36" s="431"/>
      <c r="R36" s="426"/>
      <c r="S36" s="474"/>
      <c r="T36" s="459"/>
      <c r="U36" s="459"/>
      <c r="V36" s="459"/>
    </row>
    <row r="37" spans="1:45" s="6" customFormat="1" ht="30" customHeight="1" x14ac:dyDescent="0.2">
      <c r="A37" s="2070"/>
      <c r="B37" s="2065"/>
      <c r="C37" s="1215" t="str">
        <f>+'Stock Rawmaterial'!C753</f>
        <v>LA3</v>
      </c>
      <c r="D37" s="852" t="s">
        <v>10</v>
      </c>
      <c r="E37" s="968">
        <f>+'Stock Rawmaterial'!E753</f>
        <v>46206</v>
      </c>
      <c r="F37" s="1216">
        <f>'Stock Rawmaterial'!F753</f>
        <v>80</v>
      </c>
      <c r="G37" s="304">
        <f>'Stock Rawmaterial'!G753</f>
        <v>26900.000000000004</v>
      </c>
      <c r="H37" s="304">
        <f>'Stock Rawmaterial'!H753</f>
        <v>0</v>
      </c>
      <c r="I37" s="304">
        <f>'Stock Rawmaterial'!I753</f>
        <v>0</v>
      </c>
      <c r="J37" s="304">
        <f>'Stock Rawmaterial'!J753</f>
        <v>0</v>
      </c>
      <c r="K37" s="304">
        <f>'Stock Rawmaterial'!K753</f>
        <v>0</v>
      </c>
      <c r="L37" s="304">
        <f>'Stock Rawmaterial'!L753</f>
        <v>26900.000000000004</v>
      </c>
      <c r="M37" s="1796"/>
      <c r="N37" s="1550"/>
      <c r="O37" s="1796"/>
      <c r="P37" s="1549"/>
      <c r="Q37" s="431"/>
      <c r="R37" s="426"/>
      <c r="S37" s="474"/>
      <c r="T37" s="459"/>
      <c r="U37" s="459"/>
      <c r="V37" s="459"/>
    </row>
    <row r="38" spans="1:45" s="6" customFormat="1" ht="30" customHeight="1" x14ac:dyDescent="0.2">
      <c r="A38" s="2070"/>
      <c r="B38" s="2065"/>
      <c r="C38" s="1215" t="str">
        <f>+'Stock Rawmaterial'!C754</f>
        <v>LA7</v>
      </c>
      <c r="D38" s="852" t="s">
        <v>10</v>
      </c>
      <c r="E38" s="968">
        <f>+'Stock Rawmaterial'!E754</f>
        <v>46248</v>
      </c>
      <c r="F38" s="1216">
        <f>'Stock Rawmaterial'!F754</f>
        <v>38</v>
      </c>
      <c r="G38" s="304">
        <f>'Stock Rawmaterial'!G754</f>
        <v>23129.270000000004</v>
      </c>
      <c r="H38" s="304">
        <f>'Stock Rawmaterial'!H754</f>
        <v>0</v>
      </c>
      <c r="I38" s="304">
        <f>'Stock Rawmaterial'!I754</f>
        <v>0</v>
      </c>
      <c r="J38" s="304">
        <f>'Stock Rawmaterial'!J754</f>
        <v>980.09</v>
      </c>
      <c r="K38" s="304">
        <f>'Stock Rawmaterial'!K754</f>
        <v>0</v>
      </c>
      <c r="L38" s="304">
        <f>'Stock Rawmaterial'!L754</f>
        <v>22149.180000000004</v>
      </c>
      <c r="M38" s="1796"/>
      <c r="N38" s="1549"/>
      <c r="O38" s="1796">
        <f>+'Stock Rawmaterial'!K754</f>
        <v>0</v>
      </c>
      <c r="P38" s="1549"/>
      <c r="Q38" s="431"/>
      <c r="R38" s="426"/>
      <c r="S38" s="474"/>
      <c r="T38" s="459"/>
      <c r="U38" s="459"/>
      <c r="V38" s="459"/>
    </row>
    <row r="39" spans="1:45" ht="30" hidden="1" customHeight="1" x14ac:dyDescent="0.2">
      <c r="A39" s="2070"/>
      <c r="B39" s="2044"/>
      <c r="C39" s="1212" t="str">
        <f>+'Stock Rawmaterial'!C755</f>
        <v>LA3</v>
      </c>
      <c r="D39" s="884" t="s">
        <v>10</v>
      </c>
      <c r="E39" s="1213">
        <f>+'Stock Rawmaterial'!E755</f>
        <v>45726</v>
      </c>
      <c r="F39" s="1216">
        <f>'Stock Rawmaterial'!F755</f>
        <v>560</v>
      </c>
      <c r="G39" s="304">
        <f>'Stock Rawmaterial'!G755</f>
        <v>0</v>
      </c>
      <c r="H39" s="304">
        <f>'Stock Rawmaterial'!H755</f>
        <v>0</v>
      </c>
      <c r="I39" s="304">
        <f>'Stock Rawmaterial'!I755</f>
        <v>0</v>
      </c>
      <c r="J39" s="304">
        <f>'Stock Rawmaterial'!J755</f>
        <v>0</v>
      </c>
      <c r="K39" s="304">
        <f>'Stock Rawmaterial'!K755</f>
        <v>0</v>
      </c>
      <c r="L39" s="304">
        <f>'Stock Rawmaterial'!L755</f>
        <v>0</v>
      </c>
      <c r="M39" s="1796"/>
      <c r="N39" s="1537">
        <f>+'Stock Rawmaterial'!J755</f>
        <v>0</v>
      </c>
      <c r="O39" s="1796">
        <f>+'Stock Rawmaterial'!K755</f>
        <v>0</v>
      </c>
      <c r="P39" s="1537"/>
      <c r="Q39" s="202"/>
      <c r="R39" s="2"/>
      <c r="S39" s="473"/>
      <c r="T39" s="447"/>
      <c r="U39" s="447"/>
      <c r="V39" s="447"/>
      <c r="W39" s="2"/>
      <c r="X39" s="2"/>
      <c r="Y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 s="265" customFormat="1" ht="30" customHeight="1" x14ac:dyDescent="0.2">
      <c r="A40" s="2019" t="s">
        <v>205</v>
      </c>
      <c r="B40" s="2020"/>
      <c r="C40" s="88"/>
      <c r="D40" s="864"/>
      <c r="E40" s="864"/>
      <c r="F40" s="865"/>
      <c r="G40" s="1585">
        <f>+SUM(G32:G39)</f>
        <v>50029.270000000004</v>
      </c>
      <c r="H40" s="1585">
        <f t="shared" ref="H40:L40" si="3">+SUM(H32:H39)</f>
        <v>0</v>
      </c>
      <c r="I40" s="1585">
        <f t="shared" si="3"/>
        <v>0</v>
      </c>
      <c r="J40" s="1585">
        <f t="shared" si="3"/>
        <v>980.09</v>
      </c>
      <c r="K40" s="1585">
        <f t="shared" si="3"/>
        <v>0</v>
      </c>
      <c r="L40" s="1585">
        <f t="shared" si="3"/>
        <v>49049.180000000008</v>
      </c>
      <c r="M40" s="133">
        <f>'Stock Rawmaterial'!M756</f>
        <v>1030.5</v>
      </c>
      <c r="N40" s="1545">
        <f>'Stock Rawmaterial'!N756</f>
        <v>47.597457544881131</v>
      </c>
      <c r="O40" s="133">
        <f>'Stock Rawmaterial'!O756</f>
        <v>1088.6666666666667</v>
      </c>
      <c r="P40" s="1545">
        <f>'Stock Rawmaterial'!P756</f>
        <v>45.054360073484389</v>
      </c>
      <c r="Q40" s="438"/>
      <c r="R40" s="444"/>
      <c r="S40" s="464"/>
      <c r="T40" s="465"/>
      <c r="U40" s="465"/>
      <c r="V40" s="465"/>
    </row>
    <row r="41" spans="1:45" s="6" customFormat="1" ht="30" hidden="1" customHeight="1" x14ac:dyDescent="0.2">
      <c r="A41" s="1997">
        <v>6</v>
      </c>
      <c r="B41" s="2066" t="s">
        <v>327</v>
      </c>
      <c r="C41" s="226">
        <f>+'Stock Rawmaterial'!C862</f>
        <v>0</v>
      </c>
      <c r="D41" s="875" t="s">
        <v>10</v>
      </c>
      <c r="E41" s="973">
        <f>+'Stock Rawmaterial'!E862</f>
        <v>0</v>
      </c>
      <c r="F41" s="938">
        <f>'Stock Rawmaterial'!F862</f>
        <v>0</v>
      </c>
      <c r="G41" s="1661">
        <f>'Stock Rawmaterial'!G862</f>
        <v>0</v>
      </c>
      <c r="H41" s="1661">
        <f>'Stock Rawmaterial'!H862</f>
        <v>0</v>
      </c>
      <c r="I41" s="1661">
        <f>'Stock Rawmaterial'!I862</f>
        <v>0</v>
      </c>
      <c r="J41" s="1661">
        <f>'Stock Rawmaterial'!J862</f>
        <v>0</v>
      </c>
      <c r="K41" s="1661">
        <f>'Stock Rawmaterial'!K862</f>
        <v>0</v>
      </c>
      <c r="L41" s="1661">
        <f>'Stock Rawmaterial'!L862</f>
        <v>0</v>
      </c>
      <c r="M41" s="1811"/>
      <c r="N41" s="1550">
        <f>'Stock Rawmaterial'!J862</f>
        <v>0</v>
      </c>
      <c r="O41" s="1797">
        <f>'Stock Rawmaterial'!K862</f>
        <v>0</v>
      </c>
      <c r="P41" s="1551"/>
      <c r="Q41" s="431"/>
      <c r="R41" s="426"/>
      <c r="S41" s="474"/>
      <c r="T41" s="459"/>
      <c r="U41" s="459"/>
      <c r="V41" s="459"/>
    </row>
    <row r="42" spans="1:45" s="6" customFormat="1" ht="30" customHeight="1" x14ac:dyDescent="0.2">
      <c r="A42" s="1998"/>
      <c r="B42" s="2067"/>
      <c r="C42" s="226" t="str">
        <f>+'Stock Rawmaterial'!C863</f>
        <v>LF7</v>
      </c>
      <c r="D42" s="875" t="s">
        <v>10</v>
      </c>
      <c r="E42" s="973">
        <f>+'Stock Rawmaterial'!E863</f>
        <v>46246</v>
      </c>
      <c r="F42" s="938">
        <f>'Stock Rawmaterial'!F863</f>
        <v>40</v>
      </c>
      <c r="G42" s="1219">
        <f>'Stock Rawmaterial'!G863</f>
        <v>22727.799999999992</v>
      </c>
      <c r="H42" s="1219">
        <f>'Stock Rawmaterial'!H863</f>
        <v>0</v>
      </c>
      <c r="I42" s="1219">
        <f>'Stock Rawmaterial'!I863</f>
        <v>0</v>
      </c>
      <c r="J42" s="1219">
        <f>'Stock Rawmaterial'!J863</f>
        <v>1695.2</v>
      </c>
      <c r="K42" s="1219">
        <f>'Stock Rawmaterial'!K863</f>
        <v>0</v>
      </c>
      <c r="L42" s="1219">
        <f>'Stock Rawmaterial'!L863</f>
        <v>21032.599999999991</v>
      </c>
      <c r="M42" s="1798"/>
      <c r="N42" s="1550"/>
      <c r="O42" s="1798"/>
      <c r="P42" s="1551"/>
      <c r="Q42" s="431"/>
      <c r="R42" s="426"/>
      <c r="S42" s="474"/>
      <c r="T42" s="459"/>
      <c r="U42" s="459"/>
      <c r="V42" s="459"/>
    </row>
    <row r="43" spans="1:45" s="6" customFormat="1" ht="30" customHeight="1" x14ac:dyDescent="0.2">
      <c r="A43" s="1998"/>
      <c r="B43" s="2067"/>
      <c r="C43" s="226" t="str">
        <f>+'Stock Rawmaterial'!C864</f>
        <v>LF8</v>
      </c>
      <c r="D43" s="875" t="s">
        <v>10</v>
      </c>
      <c r="E43" s="973">
        <f>+'Stock Rawmaterial'!E864</f>
        <v>46258</v>
      </c>
      <c r="F43" s="938">
        <f>'Stock Rawmaterial'!F864</f>
        <v>28</v>
      </c>
      <c r="G43" s="1219">
        <f>'Stock Rawmaterial'!G864</f>
        <v>71760</v>
      </c>
      <c r="H43" s="1219">
        <f>'Stock Rawmaterial'!H864</f>
        <v>0</v>
      </c>
      <c r="I43" s="1219">
        <f>'Stock Rawmaterial'!I864</f>
        <v>0</v>
      </c>
      <c r="J43" s="1219">
        <f>'Stock Rawmaterial'!J864</f>
        <v>0</v>
      </c>
      <c r="K43" s="1219">
        <f>'Stock Rawmaterial'!K864</f>
        <v>0</v>
      </c>
      <c r="L43" s="1219">
        <f>'Stock Rawmaterial'!L864</f>
        <v>71760</v>
      </c>
      <c r="M43" s="1798"/>
      <c r="N43" s="1550"/>
      <c r="O43" s="1798"/>
      <c r="P43" s="1551"/>
      <c r="Q43" s="431"/>
      <c r="R43" s="426"/>
      <c r="S43" s="474"/>
      <c r="T43" s="459"/>
      <c r="U43" s="459"/>
      <c r="V43" s="459"/>
    </row>
    <row r="44" spans="1:45" s="6" customFormat="1" ht="30" hidden="1" customHeight="1" x14ac:dyDescent="0.2">
      <c r="A44" s="1998"/>
      <c r="B44" s="2067"/>
      <c r="C44" s="226">
        <f>+'Stock Rawmaterial'!C865</f>
        <v>0</v>
      </c>
      <c r="D44" s="875" t="s">
        <v>10</v>
      </c>
      <c r="E44" s="973">
        <f>+'Stock Rawmaterial'!E865</f>
        <v>44673</v>
      </c>
      <c r="F44" s="938" t="e">
        <f>#REF!-E44</f>
        <v>#REF!</v>
      </c>
      <c r="G44" s="1661">
        <f>'Stock Rawmaterial'!G865</f>
        <v>0</v>
      </c>
      <c r="H44" s="1661">
        <f>'Stock Rawmaterial'!H865</f>
        <v>0</v>
      </c>
      <c r="I44" s="1661">
        <f>'Stock Rawmaterial'!I865</f>
        <v>0</v>
      </c>
      <c r="J44" s="1661">
        <f>'Stock Rawmaterial'!J865</f>
        <v>0</v>
      </c>
      <c r="K44" s="1661">
        <f>'Stock Rawmaterial'!K865</f>
        <v>0</v>
      </c>
      <c r="L44" s="1661">
        <f>'Stock Rawmaterial'!L865</f>
        <v>0</v>
      </c>
      <c r="M44" s="1798" t="e">
        <f>+'Stock Rawmaterial'!#REF!</f>
        <v>#REF!</v>
      </c>
      <c r="N44" s="1550">
        <f>'Stock Rawmaterial'!J865</f>
        <v>0</v>
      </c>
      <c r="O44" s="1798">
        <f>+'Stock Rawmaterial'!K865</f>
        <v>0</v>
      </c>
      <c r="P44" s="1551"/>
      <c r="Q44" s="431"/>
      <c r="R44" s="426"/>
      <c r="S44" s="474"/>
      <c r="T44" s="459"/>
      <c r="U44" s="459"/>
      <c r="V44" s="459"/>
    </row>
    <row r="45" spans="1:45" s="6" customFormat="1" ht="30" hidden="1" customHeight="1" x14ac:dyDescent="0.2">
      <c r="A45" s="1998"/>
      <c r="B45" s="2067"/>
      <c r="C45" s="226" t="str">
        <f>+'Stock Rawmaterial'!C866</f>
        <v>LA7</v>
      </c>
      <c r="D45" s="875" t="s">
        <v>10</v>
      </c>
      <c r="E45" s="973">
        <f>+'Stock Rawmaterial'!E866</f>
        <v>0</v>
      </c>
      <c r="F45" s="938" t="e">
        <f>#REF!-E45</f>
        <v>#REF!</v>
      </c>
      <c r="G45" s="1661">
        <f>'Stock Rawmaterial'!G866</f>
        <v>0</v>
      </c>
      <c r="H45" s="1661">
        <f>'Stock Rawmaterial'!H866</f>
        <v>0</v>
      </c>
      <c r="I45" s="1661">
        <f>'Stock Rawmaterial'!I866</f>
        <v>0</v>
      </c>
      <c r="J45" s="1661">
        <f>'Stock Rawmaterial'!J866</f>
        <v>0</v>
      </c>
      <c r="K45" s="1661">
        <f>'Stock Rawmaterial'!K866</f>
        <v>0</v>
      </c>
      <c r="L45" s="1661">
        <f>'Stock Rawmaterial'!L866</f>
        <v>0</v>
      </c>
      <c r="M45" s="1798" t="e">
        <f>+'Stock Rawmaterial'!#REF!</f>
        <v>#REF!</v>
      </c>
      <c r="N45" s="1550">
        <f>'Stock Rawmaterial'!J866</f>
        <v>0</v>
      </c>
      <c r="O45" s="1798">
        <f>+'Stock Rawmaterial'!K866</f>
        <v>0</v>
      </c>
      <c r="P45" s="1551"/>
      <c r="Q45" s="431"/>
      <c r="R45" s="426"/>
      <c r="S45" s="474"/>
      <c r="T45" s="459"/>
      <c r="U45" s="459"/>
      <c r="V45" s="459"/>
    </row>
    <row r="46" spans="1:45" s="265" customFormat="1" ht="30" customHeight="1" x14ac:dyDescent="0.2">
      <c r="A46" s="2019" t="s">
        <v>224</v>
      </c>
      <c r="B46" s="2020"/>
      <c r="C46" s="88"/>
      <c r="D46" s="864"/>
      <c r="E46" s="864"/>
      <c r="F46" s="865"/>
      <c r="G46" s="1585">
        <f>SUM(G41:G43)</f>
        <v>94487.799999999988</v>
      </c>
      <c r="H46" s="1585">
        <f t="shared" ref="H46:L46" si="4">SUM(H41:H43)</f>
        <v>0</v>
      </c>
      <c r="I46" s="1585">
        <f t="shared" si="4"/>
        <v>0</v>
      </c>
      <c r="J46" s="1585">
        <f t="shared" si="4"/>
        <v>1695.2</v>
      </c>
      <c r="K46" s="1585">
        <f t="shared" si="4"/>
        <v>0</v>
      </c>
      <c r="L46" s="1585">
        <f t="shared" si="4"/>
        <v>92792.599999999991</v>
      </c>
      <c r="M46" s="133">
        <f>'Stock Rawmaterial'!M867</f>
        <v>2024.2333333333333</v>
      </c>
      <c r="N46" s="1545">
        <f>'Stock Rawmaterial'!N867</f>
        <v>45.840861560755506</v>
      </c>
      <c r="O46" s="133">
        <f>'Stock Rawmaterial'!O867</f>
        <v>1991.8333333333333</v>
      </c>
      <c r="P46" s="1545">
        <f>'Stock Rawmaterial'!P867</f>
        <v>46.586528323989619</v>
      </c>
      <c r="Q46" s="438"/>
      <c r="R46" s="444"/>
      <c r="S46" s="464"/>
      <c r="T46" s="465"/>
      <c r="U46" s="465"/>
      <c r="V46" s="465"/>
    </row>
    <row r="47" spans="1:45" s="6" customFormat="1" ht="30" customHeight="1" x14ac:dyDescent="0.2">
      <c r="A47" s="1997">
        <v>7</v>
      </c>
      <c r="B47" s="2015" t="s">
        <v>239</v>
      </c>
      <c r="C47" s="143">
        <f>+'Stock Rawmaterial'!C942</f>
        <v>0</v>
      </c>
      <c r="D47" s="881" t="s">
        <v>10</v>
      </c>
      <c r="E47" s="882">
        <f>+'Stock Rawmaterial'!E942</f>
        <v>46186</v>
      </c>
      <c r="F47" s="938">
        <f>+'Stock Rawmaterial'!F942</f>
        <v>100</v>
      </c>
      <c r="G47" s="1704">
        <f>+'Stock Rawmaterial'!G942</f>
        <v>0</v>
      </c>
      <c r="H47" s="1219">
        <f>+'Stock Rawmaterial'!H942</f>
        <v>0</v>
      </c>
      <c r="I47" s="1219">
        <f>+'Stock Rawmaterial'!I942</f>
        <v>0</v>
      </c>
      <c r="J47" s="1219">
        <f>+'Stock Rawmaterial'!J942</f>
        <v>0</v>
      </c>
      <c r="K47" s="1219">
        <f>+'Stock Rawmaterial'!K942</f>
        <v>0</v>
      </c>
      <c r="L47" s="1704">
        <f>+'Stock Rawmaterial'!L942</f>
        <v>0</v>
      </c>
      <c r="M47" s="1799"/>
      <c r="N47" s="1559">
        <f>+'Stock Rawmaterial'!J942</f>
        <v>0</v>
      </c>
      <c r="O47" s="1799"/>
      <c r="P47" s="1552"/>
      <c r="Q47" s="431"/>
      <c r="R47" s="426"/>
      <c r="S47" s="474"/>
      <c r="T47" s="459"/>
      <c r="U47" s="459"/>
      <c r="V47" s="459"/>
    </row>
    <row r="48" spans="1:45" s="6" customFormat="1" ht="30" customHeight="1" x14ac:dyDescent="0.2">
      <c r="A48" s="1998"/>
      <c r="B48" s="2016"/>
      <c r="C48" s="143" t="str">
        <f>+'Stock Rawmaterial'!C943</f>
        <v>A16.2A</v>
      </c>
      <c r="D48" s="881" t="s">
        <v>10</v>
      </c>
      <c r="E48" s="882">
        <f>+'Stock Rawmaterial'!E943</f>
        <v>46191</v>
      </c>
      <c r="F48" s="938">
        <f>+'Stock Rawmaterial'!F943</f>
        <v>95</v>
      </c>
      <c r="G48" s="1704">
        <f>+'Stock Rawmaterial'!G943</f>
        <v>14000</v>
      </c>
      <c r="H48" s="1219">
        <f>+'Stock Rawmaterial'!H943</f>
        <v>0</v>
      </c>
      <c r="I48" s="1713">
        <f>+'Stock Rawmaterial'!I943</f>
        <v>0</v>
      </c>
      <c r="J48" s="1219">
        <f>+'Stock Rawmaterial'!J943</f>
        <v>0</v>
      </c>
      <c r="K48" s="1219">
        <f>+'Stock Rawmaterial'!K943</f>
        <v>0</v>
      </c>
      <c r="L48" s="1704">
        <f>+'Stock Rawmaterial'!L943</f>
        <v>14000</v>
      </c>
      <c r="M48" s="1800"/>
      <c r="N48" s="1553">
        <f>+'Stock Rawmaterial'!J943</f>
        <v>0</v>
      </c>
      <c r="O48" s="1800"/>
      <c r="P48" s="1549"/>
      <c r="Q48" s="431"/>
      <c r="R48" s="426"/>
      <c r="S48" s="474"/>
      <c r="T48" s="459"/>
      <c r="U48" s="459"/>
      <c r="V48" s="459"/>
    </row>
    <row r="49" spans="1:45" s="6" customFormat="1" ht="30" customHeight="1" x14ac:dyDescent="0.2">
      <c r="A49" s="1998"/>
      <c r="B49" s="2016"/>
      <c r="C49" s="143" t="str">
        <f>+'Stock Rawmaterial'!C944</f>
        <v>A16.2A</v>
      </c>
      <c r="D49" s="881" t="s">
        <v>10</v>
      </c>
      <c r="E49" s="882">
        <f>+'Stock Rawmaterial'!E944</f>
        <v>46213</v>
      </c>
      <c r="F49" s="938">
        <f>+'Stock Rawmaterial'!F944</f>
        <v>73</v>
      </c>
      <c r="G49" s="1704">
        <f>+'Stock Rawmaterial'!G944</f>
        <v>18000</v>
      </c>
      <c r="H49" s="1704">
        <f>+'Stock Rawmaterial'!H944</f>
        <v>0</v>
      </c>
      <c r="I49" s="1704">
        <f>+'Stock Rawmaterial'!I944</f>
        <v>0</v>
      </c>
      <c r="J49" s="1704">
        <f>+'Stock Rawmaterial'!J944</f>
        <v>0</v>
      </c>
      <c r="K49" s="1704">
        <f>+'Stock Rawmaterial'!K944</f>
        <v>0</v>
      </c>
      <c r="L49" s="1704">
        <f>+'Stock Rawmaterial'!L944</f>
        <v>18000</v>
      </c>
      <c r="M49" s="1799"/>
      <c r="N49" s="1554">
        <f>+'Stock Rawmaterial'!J944</f>
        <v>0</v>
      </c>
      <c r="O49" s="1799"/>
      <c r="P49" s="1552"/>
      <c r="Q49" s="431"/>
      <c r="R49" s="426"/>
      <c r="S49" s="474"/>
      <c r="T49" s="459"/>
      <c r="U49" s="459"/>
      <c r="V49" s="459"/>
    </row>
    <row r="50" spans="1:45" s="6" customFormat="1" ht="30" customHeight="1" x14ac:dyDescent="0.2">
      <c r="A50" s="1998"/>
      <c r="B50" s="2017"/>
      <c r="C50" s="143" t="str">
        <f>+'Stock Rawmaterial'!C945</f>
        <v>A16.1B</v>
      </c>
      <c r="D50" s="881" t="s">
        <v>10</v>
      </c>
      <c r="E50" s="882">
        <f>+'Stock Rawmaterial'!E945</f>
        <v>46233</v>
      </c>
      <c r="F50" s="938">
        <f>+'Stock Rawmaterial'!F945</f>
        <v>53</v>
      </c>
      <c r="G50" s="1704">
        <f>+'Stock Rawmaterial'!G945</f>
        <v>18000</v>
      </c>
      <c r="H50" s="1704">
        <f>+'Stock Rawmaterial'!H945</f>
        <v>0</v>
      </c>
      <c r="I50" s="1704">
        <f>+'Stock Rawmaterial'!I945</f>
        <v>0</v>
      </c>
      <c r="J50" s="1704">
        <f>+'Stock Rawmaterial'!J945</f>
        <v>0</v>
      </c>
      <c r="K50" s="1704">
        <f>+'Stock Rawmaterial'!K945</f>
        <v>0</v>
      </c>
      <c r="L50" s="1704">
        <f>+'Stock Rawmaterial'!L945</f>
        <v>18000</v>
      </c>
      <c r="M50" s="1799"/>
      <c r="N50" s="1554">
        <f>+'Stock Rawmaterial'!J945</f>
        <v>0</v>
      </c>
      <c r="O50" s="1799"/>
      <c r="P50" s="1552"/>
      <c r="Q50" s="431"/>
      <c r="R50" s="426"/>
      <c r="S50" s="474"/>
      <c r="T50" s="459"/>
      <c r="U50" s="459"/>
      <c r="V50" s="459"/>
    </row>
    <row r="51" spans="1:45" s="6" customFormat="1" ht="30" customHeight="1" x14ac:dyDescent="0.2">
      <c r="A51" s="1998"/>
      <c r="B51" s="2016"/>
      <c r="C51" s="143" t="str">
        <f>+'Stock Rawmaterial'!C946</f>
        <v>B14.3</v>
      </c>
      <c r="D51" s="881" t="s">
        <v>10</v>
      </c>
      <c r="E51" s="882">
        <f>+'Stock Rawmaterial'!E946</f>
        <v>46239</v>
      </c>
      <c r="F51" s="938">
        <f>+'Stock Rawmaterial'!F946</f>
        <v>47</v>
      </c>
      <c r="G51" s="1704">
        <f>+'Stock Rawmaterial'!G946</f>
        <v>18000</v>
      </c>
      <c r="H51" s="1704">
        <f>+'Stock Rawmaterial'!H946</f>
        <v>0</v>
      </c>
      <c r="I51" s="1704">
        <f>+'Stock Rawmaterial'!I946</f>
        <v>0</v>
      </c>
      <c r="J51" s="1704">
        <f>+'Stock Rawmaterial'!J946</f>
        <v>0</v>
      </c>
      <c r="K51" s="1704">
        <f>+'Stock Rawmaterial'!K946</f>
        <v>0</v>
      </c>
      <c r="L51" s="1704">
        <f>+'Stock Rawmaterial'!L946</f>
        <v>18000</v>
      </c>
      <c r="M51" s="1799"/>
      <c r="N51" s="1554"/>
      <c r="O51" s="1799"/>
      <c r="P51" s="1552"/>
      <c r="Q51" s="431"/>
      <c r="R51" s="426"/>
      <c r="S51" s="474"/>
      <c r="T51" s="459"/>
      <c r="U51" s="459"/>
      <c r="V51" s="459"/>
    </row>
    <row r="52" spans="1:45" s="6" customFormat="1" ht="30" customHeight="1" x14ac:dyDescent="0.2">
      <c r="A52" s="1998"/>
      <c r="B52" s="2018"/>
      <c r="C52" s="143" t="str">
        <f>+'Stock Rawmaterial'!C947</f>
        <v>A16.1A</v>
      </c>
      <c r="D52" s="881" t="s">
        <v>10</v>
      </c>
      <c r="E52" s="882">
        <f>+'Stock Rawmaterial'!E947</f>
        <v>46270</v>
      </c>
      <c r="F52" s="938">
        <f>+'Stock Rawmaterial'!F947</f>
        <v>16</v>
      </c>
      <c r="G52" s="1704">
        <f>+'Stock Rawmaterial'!G947</f>
        <v>18000</v>
      </c>
      <c r="H52" s="1704">
        <f>+'Stock Rawmaterial'!H947</f>
        <v>0</v>
      </c>
      <c r="I52" s="1704">
        <f>+'Stock Rawmaterial'!I947</f>
        <v>0</v>
      </c>
      <c r="J52" s="1704">
        <f>+'Stock Rawmaterial'!J947</f>
        <v>0</v>
      </c>
      <c r="K52" s="1704">
        <f>+'Stock Rawmaterial'!K947</f>
        <v>0</v>
      </c>
      <c r="L52" s="1704">
        <f>+'Stock Rawmaterial'!L947</f>
        <v>18000</v>
      </c>
      <c r="M52" s="1799"/>
      <c r="N52" s="1554"/>
      <c r="O52" s="1799"/>
      <c r="P52" s="1552"/>
      <c r="Q52" s="431"/>
      <c r="R52" s="426"/>
      <c r="S52" s="474"/>
      <c r="T52" s="459"/>
      <c r="U52" s="459"/>
      <c r="V52" s="459"/>
    </row>
    <row r="53" spans="1:45" s="6" customFormat="1" ht="30" customHeight="1" x14ac:dyDescent="0.2">
      <c r="A53" s="1998"/>
      <c r="B53" s="2017"/>
      <c r="C53" s="143" t="str">
        <f>+'Stock Rawmaterial'!C948</f>
        <v>A16.1A</v>
      </c>
      <c r="D53" s="881" t="s">
        <v>10</v>
      </c>
      <c r="E53" s="882">
        <f>+'Stock Rawmaterial'!E948</f>
        <v>46272</v>
      </c>
      <c r="F53" s="938">
        <f>+'Stock Rawmaterial'!F948</f>
        <v>14</v>
      </c>
      <c r="G53" s="1704">
        <f>+'Stock Rawmaterial'!G948</f>
        <v>18000</v>
      </c>
      <c r="H53" s="1704">
        <f>+'Stock Rawmaterial'!H948</f>
        <v>0</v>
      </c>
      <c r="I53" s="1704">
        <f>+'Stock Rawmaterial'!I948</f>
        <v>0</v>
      </c>
      <c r="J53" s="1704">
        <f>+'Stock Rawmaterial'!J948</f>
        <v>0</v>
      </c>
      <c r="K53" s="1704">
        <f>+'Stock Rawmaterial'!K948</f>
        <v>0</v>
      </c>
      <c r="L53" s="1704">
        <f>+'Stock Rawmaterial'!L948</f>
        <v>18000</v>
      </c>
      <c r="M53" s="1799"/>
      <c r="N53" s="1554"/>
      <c r="O53" s="1799"/>
      <c r="P53" s="1552"/>
      <c r="Q53" s="431"/>
      <c r="R53" s="426"/>
      <c r="S53" s="474"/>
      <c r="T53" s="459"/>
      <c r="U53" s="459"/>
      <c r="V53" s="459"/>
    </row>
    <row r="54" spans="1:45" s="6" customFormat="1" ht="30" customHeight="1" x14ac:dyDescent="0.2">
      <c r="A54" s="1998"/>
      <c r="B54" s="2016"/>
      <c r="C54" s="149" t="str">
        <f>+'Stock Rawmaterial'!C949</f>
        <v>Silo</v>
      </c>
      <c r="D54" s="881" t="s">
        <v>10</v>
      </c>
      <c r="E54" s="882">
        <f>+'Stock Rawmaterial'!E949</f>
        <v>46158</v>
      </c>
      <c r="F54" s="938">
        <f>+'Stock Rawmaterial'!F949</f>
        <v>128</v>
      </c>
      <c r="G54" s="1219">
        <f>+'Stock Rawmaterial'!G949</f>
        <v>162</v>
      </c>
      <c r="H54" s="1219">
        <f>+'Stock Rawmaterial'!H949</f>
        <v>0</v>
      </c>
      <c r="I54" s="1219">
        <f>+'Stock Rawmaterial'!I949</f>
        <v>0</v>
      </c>
      <c r="J54" s="1219">
        <f>+'Stock Rawmaterial'!J949</f>
        <v>0</v>
      </c>
      <c r="K54" s="1219">
        <f>+'Stock Rawmaterial'!K949</f>
        <v>0</v>
      </c>
      <c r="L54" s="1219">
        <f>+'Stock Rawmaterial'!L949</f>
        <v>162</v>
      </c>
      <c r="M54" s="1799"/>
      <c r="N54" s="1552"/>
      <c r="O54" s="1801"/>
      <c r="P54" s="1552"/>
      <c r="Q54" s="431"/>
      <c r="R54" s="426"/>
      <c r="S54" s="474"/>
      <c r="T54" s="459"/>
      <c r="U54" s="459"/>
      <c r="V54" s="459"/>
    </row>
    <row r="55" spans="1:45" s="6" customFormat="1" ht="30" customHeight="1" x14ac:dyDescent="0.2">
      <c r="A55" s="1998"/>
      <c r="B55" s="2016"/>
      <c r="C55" s="149" t="str">
        <f>+'Stock Rawmaterial'!C950</f>
        <v>LA4</v>
      </c>
      <c r="D55" s="881" t="s">
        <v>10</v>
      </c>
      <c r="E55" s="882">
        <f>+'Stock Rawmaterial'!E950</f>
        <v>46214</v>
      </c>
      <c r="F55" s="938">
        <f>+'Stock Rawmaterial'!F950</f>
        <v>72</v>
      </c>
      <c r="G55" s="1219">
        <f>+'Stock Rawmaterial'!G950</f>
        <v>28782.699999999997</v>
      </c>
      <c r="H55" s="1219">
        <f>+'Stock Rawmaterial'!H950</f>
        <v>0</v>
      </c>
      <c r="I55" s="1219">
        <f>+'Stock Rawmaterial'!I950</f>
        <v>0</v>
      </c>
      <c r="J55" s="1219">
        <f>+'Stock Rawmaterial'!J950</f>
        <v>1100</v>
      </c>
      <c r="K55" s="1219">
        <f>+'Stock Rawmaterial'!K950</f>
        <v>0</v>
      </c>
      <c r="L55" s="1219">
        <f>+'Stock Rawmaterial'!L950</f>
        <v>27682.699999999997</v>
      </c>
      <c r="M55" s="1799"/>
      <c r="N55" s="1554"/>
      <c r="O55" s="1799"/>
      <c r="P55" s="1552"/>
      <c r="Q55" s="431"/>
      <c r="R55" s="426"/>
      <c r="S55" s="474"/>
      <c r="T55" s="459"/>
      <c r="U55" s="459"/>
      <c r="V55" s="459"/>
    </row>
    <row r="56" spans="1:45" s="6" customFormat="1" ht="30" customHeight="1" x14ac:dyDescent="0.2">
      <c r="A56" s="1998"/>
      <c r="B56" s="2016"/>
      <c r="C56" s="149" t="str">
        <f>+'Stock Rawmaterial'!C951</f>
        <v>LA2</v>
      </c>
      <c r="D56" s="881" t="s">
        <v>10</v>
      </c>
      <c r="E56" s="882">
        <f>+'Stock Rawmaterial'!E951</f>
        <v>46255</v>
      </c>
      <c r="F56" s="938">
        <f>+'Stock Rawmaterial'!F951</f>
        <v>31</v>
      </c>
      <c r="G56" s="1219">
        <f>+'Stock Rawmaterial'!G951</f>
        <v>27463.03</v>
      </c>
      <c r="H56" s="1219">
        <f>+'Stock Rawmaterial'!H951</f>
        <v>0</v>
      </c>
      <c r="I56" s="1219">
        <f>+'Stock Rawmaterial'!I951</f>
        <v>0</v>
      </c>
      <c r="J56" s="1219">
        <f>+'Stock Rawmaterial'!J951</f>
        <v>808.51</v>
      </c>
      <c r="K56" s="1219">
        <f>+'Stock Rawmaterial'!K951</f>
        <v>0</v>
      </c>
      <c r="L56" s="1219">
        <f>+'Stock Rawmaterial'!L951</f>
        <v>26654.52</v>
      </c>
      <c r="M56" s="1802"/>
      <c r="N56" s="1555"/>
      <c r="O56" s="1802"/>
      <c r="P56" s="1541"/>
      <c r="Q56" s="431"/>
      <c r="R56" s="426"/>
      <c r="S56" s="474"/>
      <c r="T56" s="459"/>
      <c r="U56" s="459"/>
      <c r="V56" s="459"/>
    </row>
    <row r="57" spans="1:45" ht="30" hidden="1" customHeight="1" x14ac:dyDescent="0.2">
      <c r="A57" s="1998"/>
      <c r="B57" s="2016"/>
      <c r="C57" s="149" t="str">
        <f>'Stock Rawmaterial'!C952</f>
        <v>Silo</v>
      </c>
      <c r="D57" s="977" t="s">
        <v>10</v>
      </c>
      <c r="E57" s="851">
        <f>'Stock Rawmaterial'!E952</f>
        <v>44818</v>
      </c>
      <c r="F57" s="41" t="e">
        <f>#REF!-E57</f>
        <v>#REF!</v>
      </c>
      <c r="G57" s="1662"/>
      <c r="H57" s="1662"/>
      <c r="I57" s="140">
        <f>'Stock Rawmaterial'!G952</f>
        <v>0</v>
      </c>
      <c r="J57" s="140">
        <f>'Stock Rawmaterial'!H952</f>
        <v>0</v>
      </c>
      <c r="K57" s="140"/>
      <c r="L57" s="140">
        <f>'Stock Rawmaterial'!I952</f>
        <v>0</v>
      </c>
      <c r="M57" s="1802"/>
      <c r="N57" s="1556">
        <f>'Stock Rawmaterial'!J952</f>
        <v>0</v>
      </c>
      <c r="O57" s="1802">
        <f>'Stock Rawmaterial'!K952</f>
        <v>0</v>
      </c>
      <c r="P57" s="1555"/>
      <c r="Q57" s="202"/>
      <c r="R57" s="2"/>
      <c r="S57" s="473"/>
      <c r="T57" s="447"/>
      <c r="U57" s="447"/>
      <c r="V57" s="447"/>
      <c r="W57" s="2"/>
      <c r="X57" s="2"/>
      <c r="Y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 s="265" customFormat="1" ht="30" hidden="1" customHeight="1" x14ac:dyDescent="0.2">
      <c r="A58" s="1998"/>
      <c r="B58" s="2016"/>
      <c r="C58" s="978"/>
      <c r="D58" s="979"/>
      <c r="E58" s="980"/>
      <c r="F58" s="981"/>
      <c r="G58" s="1663"/>
      <c r="H58" s="365"/>
      <c r="I58" s="355"/>
      <c r="J58" s="233">
        <f t="shared" ref="J58:P58" si="5">SUM(J47:J57)</f>
        <v>1908.51</v>
      </c>
      <c r="K58" s="233">
        <f t="shared" si="5"/>
        <v>0</v>
      </c>
      <c r="L58" s="355">
        <f t="shared" si="5"/>
        <v>158499.22</v>
      </c>
      <c r="M58" s="1803">
        <f t="shared" si="5"/>
        <v>0</v>
      </c>
      <c r="N58" s="1666">
        <f t="shared" si="5"/>
        <v>0</v>
      </c>
      <c r="O58" s="1803">
        <f t="shared" si="5"/>
        <v>0</v>
      </c>
      <c r="P58" s="1666">
        <f t="shared" si="5"/>
        <v>0</v>
      </c>
      <c r="Q58" s="438"/>
      <c r="R58" s="444"/>
      <c r="S58" s="464"/>
      <c r="T58" s="465"/>
      <c r="U58" s="465"/>
      <c r="V58" s="465"/>
    </row>
    <row r="59" spans="1:45" s="13" customFormat="1" ht="30" hidden="1" customHeight="1" x14ac:dyDescent="0.2">
      <c r="A59" s="2303"/>
      <c r="B59" s="2196"/>
      <c r="C59" s="2305"/>
      <c r="D59" s="2306"/>
      <c r="E59" s="2307"/>
      <c r="F59" s="856"/>
      <c r="G59" s="1662"/>
      <c r="H59" s="1662"/>
      <c r="I59" s="140">
        <v>0</v>
      </c>
      <c r="J59" s="140"/>
      <c r="K59" s="140"/>
      <c r="L59" s="140"/>
      <c r="M59" s="1802"/>
      <c r="N59" s="1556"/>
      <c r="O59" s="1792"/>
      <c r="P59" s="1541"/>
      <c r="Q59" s="203"/>
      <c r="S59" s="460"/>
      <c r="T59" s="457"/>
      <c r="U59" s="457"/>
      <c r="V59" s="457"/>
    </row>
    <row r="60" spans="1:45" s="265" customFormat="1" ht="30" customHeight="1" x14ac:dyDescent="0.2">
      <c r="A60" s="2019" t="s">
        <v>132</v>
      </c>
      <c r="B60" s="2020"/>
      <c r="C60" s="88"/>
      <c r="D60" s="864"/>
      <c r="E60" s="864"/>
      <c r="F60" s="865"/>
      <c r="G60" s="1585">
        <f t="shared" ref="G60:L60" si="6">SUM(G47:G56)</f>
        <v>160407.73000000001</v>
      </c>
      <c r="H60" s="1585">
        <f t="shared" si="6"/>
        <v>0</v>
      </c>
      <c r="I60" s="1585">
        <f t="shared" si="6"/>
        <v>0</v>
      </c>
      <c r="J60" s="1585">
        <f t="shared" si="6"/>
        <v>1908.51</v>
      </c>
      <c r="K60" s="1585">
        <f t="shared" si="6"/>
        <v>0</v>
      </c>
      <c r="L60" s="1585">
        <f t="shared" si="6"/>
        <v>158499.22</v>
      </c>
      <c r="M60" s="133">
        <f>'Stock Rawmaterial'!M953</f>
        <v>3043.1583333333333</v>
      </c>
      <c r="N60" s="1545">
        <f>'Stock Rawmaterial'!N953</f>
        <v>52.083790141273184</v>
      </c>
      <c r="O60" s="133">
        <f>'Stock Rawmaterial'!O953</f>
        <v>2032.833333333333</v>
      </c>
      <c r="P60" s="1545">
        <f>'Stock Rawmaterial'!P953</f>
        <v>77.969608920226293</v>
      </c>
      <c r="Q60" s="438"/>
      <c r="R60" s="444"/>
      <c r="S60" s="464"/>
      <c r="T60" s="465"/>
      <c r="U60" s="465"/>
      <c r="V60" s="465"/>
    </row>
    <row r="61" spans="1:45" s="405" customFormat="1" ht="30" hidden="1" customHeight="1" x14ac:dyDescent="0.2">
      <c r="A61" s="2063">
        <v>8</v>
      </c>
      <c r="B61" s="2015" t="s">
        <v>496</v>
      </c>
      <c r="C61" s="143">
        <f>+'Stock Rawmaterial'!C957</f>
        <v>0</v>
      </c>
      <c r="D61" s="881" t="s">
        <v>10</v>
      </c>
      <c r="E61" s="882">
        <f>+'Stock Rawmaterial'!E957</f>
        <v>45807</v>
      </c>
      <c r="F61" s="938">
        <f>+'Stock Rawmaterial'!F957</f>
        <v>479</v>
      </c>
      <c r="G61" s="1704">
        <f>+'Stock Rawmaterial'!G957</f>
        <v>0</v>
      </c>
      <c r="H61" s="1219">
        <f>+'Stock Rawmaterial'!H957</f>
        <v>0</v>
      </c>
      <c r="I61" s="1219">
        <f>+'Stock Rawmaterial'!I957</f>
        <v>0</v>
      </c>
      <c r="J61" s="1219">
        <f>+'Stock Rawmaterial'!J957</f>
        <v>0</v>
      </c>
      <c r="K61" s="1219">
        <f>+'Stock Rawmaterial'!K957</f>
        <v>0</v>
      </c>
      <c r="L61" s="1704">
        <f>+'Stock Rawmaterial'!L957</f>
        <v>0</v>
      </c>
      <c r="M61" s="1800"/>
      <c r="N61" s="1548"/>
      <c r="O61" s="1804"/>
      <c r="P61" s="1557"/>
      <c r="Q61" s="448"/>
      <c r="S61" s="463"/>
      <c r="T61" s="449"/>
      <c r="U61" s="449"/>
      <c r="V61" s="449"/>
    </row>
    <row r="62" spans="1:45" s="415" customFormat="1" ht="30" hidden="1" customHeight="1" x14ac:dyDescent="0.2">
      <c r="A62" s="2078"/>
      <c r="B62" s="2016"/>
      <c r="C62" s="143">
        <f>+'Stock Rawmaterial'!C958</f>
        <v>0</v>
      </c>
      <c r="D62" s="881" t="s">
        <v>10</v>
      </c>
      <c r="E62" s="882">
        <f>+'Stock Rawmaterial'!E958</f>
        <v>45834</v>
      </c>
      <c r="F62" s="938">
        <f>+'Stock Rawmaterial'!F958</f>
        <v>452</v>
      </c>
      <c r="G62" s="1704">
        <f>+'Stock Rawmaterial'!G958</f>
        <v>0</v>
      </c>
      <c r="H62" s="1219">
        <f>+'Stock Rawmaterial'!H958</f>
        <v>0</v>
      </c>
      <c r="I62" s="1219">
        <f>+'Stock Rawmaterial'!I958</f>
        <v>0</v>
      </c>
      <c r="J62" s="1219">
        <f>+'Stock Rawmaterial'!J958</f>
        <v>0</v>
      </c>
      <c r="K62" s="1219">
        <f>+'Stock Rawmaterial'!K958</f>
        <v>0</v>
      </c>
      <c r="L62" s="1704">
        <f>+'Stock Rawmaterial'!L958</f>
        <v>0</v>
      </c>
      <c r="M62" s="1800"/>
      <c r="N62" s="1558"/>
      <c r="O62" s="1800"/>
      <c r="P62" s="1549"/>
      <c r="Q62" s="483"/>
      <c r="S62" s="484"/>
      <c r="T62" s="485"/>
      <c r="U62" s="485"/>
      <c r="V62" s="485"/>
    </row>
    <row r="63" spans="1:45" s="415" customFormat="1" ht="30" customHeight="1" x14ac:dyDescent="0.2">
      <c r="A63" s="2078"/>
      <c r="B63" s="2017"/>
      <c r="C63" s="143" t="str">
        <f>+'Stock Rawmaterial'!C959</f>
        <v>B15.1</v>
      </c>
      <c r="D63" s="881" t="s">
        <v>10</v>
      </c>
      <c r="E63" s="882">
        <f>+'Stock Rawmaterial'!E959</f>
        <v>46261</v>
      </c>
      <c r="F63" s="938">
        <f>+'Stock Rawmaterial'!F959</f>
        <v>25</v>
      </c>
      <c r="G63" s="1219">
        <f>+'Stock Rawmaterial'!G959</f>
        <v>12000</v>
      </c>
      <c r="H63" s="1219">
        <f>+'Stock Rawmaterial'!H959</f>
        <v>0</v>
      </c>
      <c r="I63" s="1219">
        <f>+'Stock Rawmaterial'!I959</f>
        <v>0</v>
      </c>
      <c r="J63" s="1219">
        <f>+'Stock Rawmaterial'!J959</f>
        <v>0</v>
      </c>
      <c r="K63" s="1219">
        <f>+'Stock Rawmaterial'!K959</f>
        <v>0</v>
      </c>
      <c r="L63" s="1704">
        <f>+'Stock Rawmaterial'!L959</f>
        <v>12000</v>
      </c>
      <c r="M63" s="1800"/>
      <c r="N63" s="1558"/>
      <c r="O63" s="1800"/>
      <c r="P63" s="1549"/>
      <c r="Q63" s="483"/>
      <c r="S63" s="484"/>
      <c r="T63" s="485"/>
      <c r="U63" s="485"/>
      <c r="V63" s="485"/>
    </row>
    <row r="64" spans="1:45" s="415" customFormat="1" ht="30" customHeight="1" x14ac:dyDescent="0.2">
      <c r="A64" s="2078"/>
      <c r="B64" s="2016"/>
      <c r="C64" s="143">
        <f>+'Stock Rawmaterial'!C960</f>
        <v>0</v>
      </c>
      <c r="D64" s="881" t="s">
        <v>10</v>
      </c>
      <c r="E64" s="882">
        <f>+'Stock Rawmaterial'!E960</f>
        <v>46261</v>
      </c>
      <c r="F64" s="938">
        <f>+'Stock Rawmaterial'!F960</f>
        <v>25</v>
      </c>
      <c r="G64" s="1219">
        <f>+'Stock Rawmaterial'!G960</f>
        <v>0</v>
      </c>
      <c r="H64" s="1219">
        <f>+'Stock Rawmaterial'!H960</f>
        <v>0</v>
      </c>
      <c r="I64" s="1219">
        <f>+'Stock Rawmaterial'!I960</f>
        <v>0</v>
      </c>
      <c r="J64" s="1219">
        <f>+'Stock Rawmaterial'!J960</f>
        <v>0</v>
      </c>
      <c r="K64" s="1219">
        <f>+'Stock Rawmaterial'!K960</f>
        <v>0</v>
      </c>
      <c r="L64" s="1219">
        <f>+'Stock Rawmaterial'!L960</f>
        <v>0</v>
      </c>
      <c r="M64" s="1800"/>
      <c r="N64" s="1558"/>
      <c r="O64" s="1800"/>
      <c r="P64" s="1549"/>
      <c r="Q64" s="483"/>
      <c r="S64" s="484"/>
      <c r="T64" s="485"/>
      <c r="U64" s="485"/>
      <c r="V64" s="485"/>
    </row>
    <row r="65" spans="1:22" s="415" customFormat="1" ht="30" hidden="1" customHeight="1" x14ac:dyDescent="0.2">
      <c r="A65" s="2078"/>
      <c r="B65" s="2016"/>
      <c r="C65" s="143">
        <f>+'Stock Rawmaterial'!C961</f>
        <v>0</v>
      </c>
      <c r="D65" s="881" t="s">
        <v>10</v>
      </c>
      <c r="E65" s="882">
        <f>+'Stock Rawmaterial'!E961</f>
        <v>46058</v>
      </c>
      <c r="F65" s="938">
        <f>+'Stock Rawmaterial'!F961</f>
        <v>228</v>
      </c>
      <c r="G65" s="1219">
        <f>+'Stock Rawmaterial'!G961</f>
        <v>0</v>
      </c>
      <c r="H65" s="1219">
        <f>+'Stock Rawmaterial'!H961</f>
        <v>0</v>
      </c>
      <c r="I65" s="1219">
        <f>+'Stock Rawmaterial'!I961</f>
        <v>0</v>
      </c>
      <c r="J65" s="1219">
        <f>+'Stock Rawmaterial'!J961</f>
        <v>0</v>
      </c>
      <c r="K65" s="1219">
        <f>+'Stock Rawmaterial'!K961</f>
        <v>0</v>
      </c>
      <c r="L65" s="1219">
        <f>+'Stock Rawmaterial'!L961</f>
        <v>0</v>
      </c>
      <c r="M65" s="1800"/>
      <c r="N65" s="1558"/>
      <c r="O65" s="1800"/>
      <c r="P65" s="1549"/>
      <c r="Q65" s="483"/>
      <c r="S65" s="484"/>
      <c r="T65" s="485"/>
      <c r="U65" s="485"/>
      <c r="V65" s="485"/>
    </row>
    <row r="66" spans="1:22" s="415" customFormat="1" ht="30" customHeight="1" x14ac:dyDescent="0.2">
      <c r="A66" s="2064"/>
      <c r="B66" s="2016"/>
      <c r="C66" s="149" t="str">
        <f>+'Stock Rawmaterial'!C962</f>
        <v>LA1</v>
      </c>
      <c r="D66" s="881" t="s">
        <v>10</v>
      </c>
      <c r="E66" s="882">
        <f>+'Stock Rawmaterial'!E962</f>
        <v>46261</v>
      </c>
      <c r="F66" s="938">
        <f>+'Stock Rawmaterial'!F962</f>
        <v>25</v>
      </c>
      <c r="G66" s="1219">
        <f>+'Stock Rawmaterial'!G962</f>
        <v>27253.9</v>
      </c>
      <c r="H66" s="1219">
        <f>+'Stock Rawmaterial'!H962</f>
        <v>0</v>
      </c>
      <c r="I66" s="1219">
        <f>+'Stock Rawmaterial'!I962</f>
        <v>0</v>
      </c>
      <c r="J66" s="1219">
        <f>+'Stock Rawmaterial'!J962</f>
        <v>356.4</v>
      </c>
      <c r="K66" s="1219">
        <f>+'Stock Rawmaterial'!K962</f>
        <v>0</v>
      </c>
      <c r="L66" s="1219">
        <f>+'Stock Rawmaterial'!L962</f>
        <v>26897.5</v>
      </c>
      <c r="M66" s="1799"/>
      <c r="N66" s="1560"/>
      <c r="O66" s="1799">
        <f>+'Stock Rawmaterial'!K962</f>
        <v>0</v>
      </c>
      <c r="P66" s="1552"/>
      <c r="Q66" s="483"/>
      <c r="S66" s="484"/>
      <c r="T66" s="485"/>
      <c r="U66" s="485"/>
      <c r="V66" s="485"/>
    </row>
    <row r="67" spans="1:22" s="265" customFormat="1" ht="30" customHeight="1" x14ac:dyDescent="0.2">
      <c r="A67" s="2019" t="s">
        <v>498</v>
      </c>
      <c r="B67" s="2020"/>
      <c r="C67" s="983"/>
      <c r="D67" s="864"/>
      <c r="E67" s="864"/>
      <c r="F67" s="865"/>
      <c r="G67" s="1585">
        <f>SUM(G61:G66)</f>
        <v>39253.9</v>
      </c>
      <c r="H67" s="1585">
        <f t="shared" ref="H67:L67" si="7">SUM(H61:H66)</f>
        <v>0</v>
      </c>
      <c r="I67" s="1585">
        <f t="shared" si="7"/>
        <v>0</v>
      </c>
      <c r="J67" s="1585">
        <f t="shared" si="7"/>
        <v>356.4</v>
      </c>
      <c r="K67" s="1585">
        <f t="shared" si="7"/>
        <v>0</v>
      </c>
      <c r="L67" s="1585">
        <f t="shared" si="7"/>
        <v>38897.5</v>
      </c>
      <c r="M67" s="133">
        <f>'Stock Rawmaterial'!M963</f>
        <v>932.35</v>
      </c>
      <c r="N67" s="1545">
        <f>'Stock Rawmaterial'!N963</f>
        <v>41.719847696680432</v>
      </c>
      <c r="O67" s="133">
        <f>'Stock Rawmaterial'!O963</f>
        <v>903.50000000000011</v>
      </c>
      <c r="P67" s="1545">
        <f>'Stock Rawmaterial'!P963</f>
        <v>43.052019922523513</v>
      </c>
      <c r="Q67" s="438"/>
      <c r="R67" s="444"/>
      <c r="S67" s="464"/>
      <c r="T67" s="465"/>
      <c r="U67" s="465"/>
      <c r="V67" s="465"/>
    </row>
    <row r="68" spans="1:22" s="405" customFormat="1" ht="30" hidden="1" customHeight="1" x14ac:dyDescent="0.2">
      <c r="A68" s="2021">
        <v>9</v>
      </c>
      <c r="B68" s="2310" t="s">
        <v>1359</v>
      </c>
      <c r="C68" s="143">
        <f>+'Stock Rawmaterial'!C988</f>
        <v>0</v>
      </c>
      <c r="D68" s="881" t="str">
        <f>+'Stock Rawmaterial'!D988</f>
        <v>Rec.</v>
      </c>
      <c r="E68" s="882">
        <f>+'Stock Rawmaterial'!E988</f>
        <v>45035</v>
      </c>
      <c r="F68" s="938">
        <f>+'Stock Rawmaterial'!F988</f>
        <v>1251</v>
      </c>
      <c r="G68" s="1219">
        <f>+'Stock Rawmaterial'!G988</f>
        <v>0</v>
      </c>
      <c r="H68" s="1219">
        <f>+'Stock Rawmaterial'!H988</f>
        <v>0</v>
      </c>
      <c r="I68" s="1219">
        <f>+'Stock Rawmaterial'!I988</f>
        <v>0</v>
      </c>
      <c r="J68" s="1219">
        <f>+'Stock Rawmaterial'!J988</f>
        <v>0</v>
      </c>
      <c r="K68" s="1219">
        <f>+'Stock Rawmaterial'!K988</f>
        <v>0</v>
      </c>
      <c r="L68" s="1219">
        <f>+'Stock Rawmaterial'!L988</f>
        <v>0</v>
      </c>
      <c r="M68" s="1805"/>
      <c r="N68" s="1564">
        <f>+'Stock Rawmaterial'!J988</f>
        <v>0</v>
      </c>
      <c r="O68" s="1805">
        <f>+'Stock Rawmaterial'!K988</f>
        <v>0</v>
      </c>
      <c r="P68" s="1561"/>
      <c r="Q68" s="448"/>
      <c r="S68" s="463"/>
      <c r="T68" s="449"/>
      <c r="U68" s="449"/>
      <c r="V68" s="449"/>
    </row>
    <row r="69" spans="1:22" s="405" customFormat="1" ht="30" customHeight="1" x14ac:dyDescent="0.2">
      <c r="A69" s="2022"/>
      <c r="B69" s="2028"/>
      <c r="C69" s="143" t="str">
        <f>+'Stock Rawmaterial'!C989</f>
        <v>ENZYME ROOM (H)</v>
      </c>
      <c r="D69" s="881" t="str">
        <f>+'Stock Rawmaterial'!D989</f>
        <v>Rec.</v>
      </c>
      <c r="E69" s="882">
        <f>+'Stock Rawmaterial'!E989</f>
        <v>46213</v>
      </c>
      <c r="F69" s="938">
        <f>+'Stock Rawmaterial'!F989</f>
        <v>73</v>
      </c>
      <c r="G69" s="1704">
        <f>+'Stock Rawmaterial'!G989</f>
        <v>912</v>
      </c>
      <c r="H69" s="1219">
        <f>+'Stock Rawmaterial'!H989</f>
        <v>0</v>
      </c>
      <c r="I69" s="1219">
        <f>+'Stock Rawmaterial'!I989</f>
        <v>0</v>
      </c>
      <c r="J69" s="1219">
        <f>+'Stock Rawmaterial'!J989</f>
        <v>0</v>
      </c>
      <c r="K69" s="1219">
        <f>+'Stock Rawmaterial'!K989</f>
        <v>0</v>
      </c>
      <c r="L69" s="1704">
        <f>+'Stock Rawmaterial'!L989</f>
        <v>912</v>
      </c>
      <c r="M69" s="1805"/>
      <c r="N69" s="1564">
        <f>+'Stock Rawmaterial'!J989</f>
        <v>0</v>
      </c>
      <c r="O69" s="1805"/>
      <c r="P69" s="1561"/>
      <c r="Q69" s="448"/>
      <c r="S69" s="463"/>
      <c r="T69" s="449"/>
      <c r="U69" s="449"/>
      <c r="V69" s="449"/>
    </row>
    <row r="70" spans="1:22" s="405" customFormat="1" ht="30" customHeight="1" x14ac:dyDescent="0.2">
      <c r="A70" s="2022"/>
      <c r="B70" s="2028"/>
      <c r="C70" s="143" t="str">
        <f>+'Stock Rawmaterial'!C990</f>
        <v>ENZYME ROOM (H)</v>
      </c>
      <c r="D70" s="881" t="str">
        <f>+'Stock Rawmaterial'!D990</f>
        <v>Rec.</v>
      </c>
      <c r="E70" s="882">
        <f>+'Stock Rawmaterial'!E990</f>
        <v>46247</v>
      </c>
      <c r="F70" s="938">
        <f>+'Stock Rawmaterial'!F990</f>
        <v>39</v>
      </c>
      <c r="G70" s="1704">
        <f>+'Stock Rawmaterial'!G990</f>
        <v>7296</v>
      </c>
      <c r="H70" s="1219">
        <f>+'Stock Rawmaterial'!H990</f>
        <v>0</v>
      </c>
      <c r="I70" s="1219">
        <f>+'Stock Rawmaterial'!I990</f>
        <v>0</v>
      </c>
      <c r="J70" s="1219">
        <f>+'Stock Rawmaterial'!J990</f>
        <v>0</v>
      </c>
      <c r="K70" s="1219">
        <f>+'Stock Rawmaterial'!K990</f>
        <v>0</v>
      </c>
      <c r="L70" s="1704">
        <f>+'Stock Rawmaterial'!L990</f>
        <v>7296</v>
      </c>
      <c r="M70" s="1805"/>
      <c r="N70" s="1564">
        <f>+'Stock Rawmaterial'!J990</f>
        <v>0</v>
      </c>
      <c r="O70" s="1805"/>
      <c r="P70" s="1561"/>
      <c r="Q70" s="448"/>
      <c r="S70" s="463"/>
      <c r="T70" s="449"/>
      <c r="U70" s="449"/>
      <c r="V70" s="449"/>
    </row>
    <row r="71" spans="1:22" s="13" customFormat="1" ht="30" customHeight="1" x14ac:dyDescent="0.2">
      <c r="A71" s="2022"/>
      <c r="B71" s="2028"/>
      <c r="C71" s="143" t="str">
        <f>+'Stock Rawmaterial'!C991</f>
        <v>ENZYME ROOM (H)</v>
      </c>
      <c r="D71" s="881" t="str">
        <f>+'Stock Rawmaterial'!D991</f>
        <v>Rec.</v>
      </c>
      <c r="E71" s="882">
        <f>+'Stock Rawmaterial'!E991</f>
        <v>46275</v>
      </c>
      <c r="F71" s="938">
        <f>+'Stock Rawmaterial'!F991</f>
        <v>11</v>
      </c>
      <c r="G71" s="1704">
        <f>+'Stock Rawmaterial'!G991</f>
        <v>7296</v>
      </c>
      <c r="H71" s="1219">
        <f>+'Stock Rawmaterial'!H991</f>
        <v>0</v>
      </c>
      <c r="I71" s="1219">
        <f>+'Stock Rawmaterial'!I991</f>
        <v>0</v>
      </c>
      <c r="J71" s="1219">
        <f>+'Stock Rawmaterial'!J991</f>
        <v>0</v>
      </c>
      <c r="K71" s="1219">
        <f>+'Stock Rawmaterial'!K991</f>
        <v>0</v>
      </c>
      <c r="L71" s="1219">
        <f>+'Stock Rawmaterial'!L991</f>
        <v>7296</v>
      </c>
      <c r="M71" s="1805"/>
      <c r="N71" s="1564">
        <f>+'Stock Rawmaterial'!J991</f>
        <v>0</v>
      </c>
      <c r="O71" s="1805"/>
      <c r="P71" s="1561"/>
      <c r="Q71" s="203"/>
      <c r="S71" s="460"/>
      <c r="T71" s="457"/>
      <c r="U71" s="457"/>
      <c r="V71" s="457"/>
    </row>
    <row r="72" spans="1:22" s="415" customFormat="1" ht="30" customHeight="1" x14ac:dyDescent="0.2">
      <c r="A72" s="2022"/>
      <c r="B72" s="2028"/>
      <c r="C72" s="149" t="str">
        <f>+'Stock Rawmaterial'!C992</f>
        <v>LA10</v>
      </c>
      <c r="D72" s="881" t="str">
        <f>+'Stock Rawmaterial'!D992</f>
        <v>Rec.</v>
      </c>
      <c r="E72" s="882">
        <f>+'Stock Rawmaterial'!E992</f>
        <v>46213</v>
      </c>
      <c r="F72" s="938">
        <f>+'Stock Rawmaterial'!F992</f>
        <v>73</v>
      </c>
      <c r="G72" s="1219">
        <f>+'Stock Rawmaterial'!G992</f>
        <v>3016.47</v>
      </c>
      <c r="H72" s="1219">
        <f>+'Stock Rawmaterial'!H992</f>
        <v>0</v>
      </c>
      <c r="I72" s="1219">
        <f>+'Stock Rawmaterial'!I992</f>
        <v>0</v>
      </c>
      <c r="J72" s="1219">
        <f>+'Stock Rawmaterial'!J992</f>
        <v>183</v>
      </c>
      <c r="K72" s="1219">
        <f>+'Stock Rawmaterial'!K992</f>
        <v>0</v>
      </c>
      <c r="L72" s="1219">
        <f>+'Stock Rawmaterial'!L992</f>
        <v>2833.47</v>
      </c>
      <c r="M72" s="1798"/>
      <c r="N72" s="1562"/>
      <c r="O72" s="1798">
        <f>+'Stock Rawmaterial'!K992</f>
        <v>0</v>
      </c>
      <c r="P72" s="1562"/>
      <c r="Q72" s="483"/>
      <c r="S72" s="484"/>
      <c r="T72" s="485"/>
      <c r="U72" s="485"/>
      <c r="V72" s="485"/>
    </row>
    <row r="73" spans="1:22" s="265" customFormat="1" ht="30" customHeight="1" x14ac:dyDescent="0.2">
      <c r="A73" s="2019" t="s">
        <v>201</v>
      </c>
      <c r="B73" s="2020"/>
      <c r="C73" s="88"/>
      <c r="D73" s="864"/>
      <c r="E73" s="864"/>
      <c r="F73" s="865"/>
      <c r="G73" s="1585">
        <f>SUM(G68:G72)</f>
        <v>18520.47</v>
      </c>
      <c r="H73" s="1585">
        <f t="shared" ref="H73:L73" si="8">SUM(H68:H72)</f>
        <v>0</v>
      </c>
      <c r="I73" s="1585">
        <f t="shared" si="8"/>
        <v>0</v>
      </c>
      <c r="J73" s="1585">
        <f t="shared" si="8"/>
        <v>183</v>
      </c>
      <c r="K73" s="1585">
        <f t="shared" si="8"/>
        <v>0</v>
      </c>
      <c r="L73" s="1585">
        <f t="shared" si="8"/>
        <v>18337.47</v>
      </c>
      <c r="M73" s="133">
        <f>'Stock Rawmaterial'!M993</f>
        <v>283.66666666666669</v>
      </c>
      <c r="N73" s="1545">
        <f>'Stock Rawmaterial'!N993</f>
        <v>64.644430082256164</v>
      </c>
      <c r="O73" s="133">
        <f>'Stock Rawmaterial'!O993</f>
        <v>274.33333333333331</v>
      </c>
      <c r="P73" s="1545">
        <f>'Stock Rawmaterial'!P993</f>
        <v>66.843754556500613</v>
      </c>
      <c r="Q73" s="438"/>
      <c r="R73" s="444"/>
      <c r="S73" s="464"/>
      <c r="T73" s="465"/>
      <c r="U73" s="465"/>
      <c r="V73" s="465"/>
    </row>
    <row r="74" spans="1:22" s="409" customFormat="1" ht="30" hidden="1" customHeight="1" x14ac:dyDescent="0.2">
      <c r="A74" s="2021">
        <v>10</v>
      </c>
      <c r="B74" s="2024" t="s">
        <v>349</v>
      </c>
      <c r="C74" s="143">
        <f>+'Stock Rawmaterial'!C1092</f>
        <v>0</v>
      </c>
      <c r="D74" s="881" t="str">
        <f>+'Stock Rawmaterial'!D1092</f>
        <v>Rec.</v>
      </c>
      <c r="E74" s="882">
        <f>+'Stock Rawmaterial'!E1092</f>
        <v>45953</v>
      </c>
      <c r="F74" s="938">
        <f>+'Stock Rawmaterial'!F1092</f>
        <v>333</v>
      </c>
      <c r="G74" s="1704">
        <f>+'Stock Rawmaterial'!G1092</f>
        <v>0</v>
      </c>
      <c r="H74" s="1219">
        <f>+'Stock Rawmaterial'!H1092</f>
        <v>0</v>
      </c>
      <c r="I74" s="1219">
        <f>+'Stock Rawmaterial'!I1092</f>
        <v>0</v>
      </c>
      <c r="J74" s="1219">
        <f>+'Stock Rawmaterial'!J1092</f>
        <v>0</v>
      </c>
      <c r="K74" s="1219">
        <f>+'Stock Rawmaterial'!K1092</f>
        <v>0</v>
      </c>
      <c r="L74" s="1704">
        <f>+'Stock Rawmaterial'!L1092</f>
        <v>0</v>
      </c>
      <c r="M74" s="1806"/>
      <c r="N74" s="1561">
        <f>+'Stock Rawmaterial'!J1092</f>
        <v>0</v>
      </c>
      <c r="O74" s="1806"/>
      <c r="P74" s="1563"/>
      <c r="Q74" s="450"/>
      <c r="R74" s="456"/>
      <c r="S74" s="477"/>
      <c r="T74" s="458"/>
      <c r="U74" s="458"/>
      <c r="V74" s="458"/>
    </row>
    <row r="75" spans="1:22" s="409" customFormat="1" ht="30" hidden="1" customHeight="1" x14ac:dyDescent="0.2">
      <c r="A75" s="2022"/>
      <c r="B75" s="2025"/>
      <c r="C75" s="143">
        <f>+'Stock Rawmaterial'!C1093</f>
        <v>0</v>
      </c>
      <c r="D75" s="881" t="str">
        <f>+'Stock Rawmaterial'!D1093</f>
        <v>Rec.</v>
      </c>
      <c r="E75" s="882">
        <f>+'Stock Rawmaterial'!E1093</f>
        <v>45999</v>
      </c>
      <c r="F75" s="938">
        <f>+'Stock Rawmaterial'!F1093</f>
        <v>287</v>
      </c>
      <c r="G75" s="1704">
        <f>+'Stock Rawmaterial'!G1093</f>
        <v>0</v>
      </c>
      <c r="H75" s="1219">
        <f>+'Stock Rawmaterial'!H1093</f>
        <v>0</v>
      </c>
      <c r="I75" s="1219">
        <f>+'Stock Rawmaterial'!I1093</f>
        <v>0</v>
      </c>
      <c r="J75" s="1219">
        <f>+'Stock Rawmaterial'!J1093</f>
        <v>0</v>
      </c>
      <c r="K75" s="1219">
        <f>+'Stock Rawmaterial'!K1093</f>
        <v>0</v>
      </c>
      <c r="L75" s="1704">
        <f>+'Stock Rawmaterial'!L1093</f>
        <v>0</v>
      </c>
      <c r="M75" s="1806"/>
      <c r="N75" s="1561">
        <f>+'Stock Rawmaterial'!J1093</f>
        <v>0</v>
      </c>
      <c r="O75" s="1806"/>
      <c r="P75" s="1561"/>
      <c r="Q75" s="450"/>
      <c r="R75" s="456"/>
      <c r="S75" s="477"/>
      <c r="T75" s="458"/>
      <c r="U75" s="458"/>
      <c r="V75" s="458"/>
    </row>
    <row r="76" spans="1:22" s="409" customFormat="1" ht="30" customHeight="1" x14ac:dyDescent="0.2">
      <c r="A76" s="2022"/>
      <c r="B76" s="2025"/>
      <c r="C76" s="143" t="str">
        <f>+'Stock Rawmaterial'!C1094</f>
        <v>A15.1</v>
      </c>
      <c r="D76" s="881" t="str">
        <f>+'Stock Rawmaterial'!D1094</f>
        <v>Rec.</v>
      </c>
      <c r="E76" s="882">
        <f>+'Stock Rawmaterial'!E1094</f>
        <v>46205</v>
      </c>
      <c r="F76" s="938">
        <f>+'Stock Rawmaterial'!F1094</f>
        <v>81</v>
      </c>
      <c r="G76" s="1704">
        <f>+'Stock Rawmaterial'!G1094</f>
        <v>2700</v>
      </c>
      <c r="H76" s="1704">
        <f>+'Stock Rawmaterial'!H1094</f>
        <v>0</v>
      </c>
      <c r="I76" s="1704">
        <f>+'Stock Rawmaterial'!I1094</f>
        <v>0</v>
      </c>
      <c r="J76" s="1704">
        <f>+'Stock Rawmaterial'!J1094</f>
        <v>0</v>
      </c>
      <c r="K76" s="1704">
        <f>+'Stock Rawmaterial'!K1094</f>
        <v>0</v>
      </c>
      <c r="L76" s="1704">
        <f>+'Stock Rawmaterial'!L1094</f>
        <v>2700</v>
      </c>
      <c r="M76" s="1806"/>
      <c r="N76" s="1561">
        <f>+'Stock Rawmaterial'!J1094</f>
        <v>0</v>
      </c>
      <c r="O76" s="1806"/>
      <c r="P76" s="1561"/>
      <c r="Q76" s="450"/>
      <c r="R76" s="456"/>
      <c r="S76" s="477"/>
      <c r="T76" s="458"/>
      <c r="U76" s="458"/>
      <c r="V76" s="458"/>
    </row>
    <row r="77" spans="1:22" s="409" customFormat="1" ht="30" customHeight="1" x14ac:dyDescent="0.2">
      <c r="A77" s="2022"/>
      <c r="B77" s="2025"/>
      <c r="C77" s="143" t="str">
        <f>+'Stock Rawmaterial'!C1095</f>
        <v>A15.1</v>
      </c>
      <c r="D77" s="881" t="str">
        <f>+'Stock Rawmaterial'!D1095</f>
        <v>Rec.</v>
      </c>
      <c r="E77" s="882">
        <f>+'Stock Rawmaterial'!E1095</f>
        <v>46233</v>
      </c>
      <c r="F77" s="938">
        <f>+'Stock Rawmaterial'!F1095</f>
        <v>53</v>
      </c>
      <c r="G77" s="1704">
        <f>+'Stock Rawmaterial'!G1095</f>
        <v>16200</v>
      </c>
      <c r="H77" s="1219">
        <f>+'Stock Rawmaterial'!H1095</f>
        <v>0</v>
      </c>
      <c r="I77" s="1219">
        <f>+'Stock Rawmaterial'!I1095</f>
        <v>0</v>
      </c>
      <c r="J77" s="1219">
        <f>+'Stock Rawmaterial'!J1095</f>
        <v>0</v>
      </c>
      <c r="K77" s="1219">
        <f>+'Stock Rawmaterial'!K1095</f>
        <v>0</v>
      </c>
      <c r="L77" s="1219">
        <f>+'Stock Rawmaterial'!L1095</f>
        <v>16200</v>
      </c>
      <c r="M77" s="1806"/>
      <c r="N77" s="1561">
        <f>+'Stock Rawmaterial'!J1095</f>
        <v>0</v>
      </c>
      <c r="O77" s="1806"/>
      <c r="P77" s="1561"/>
      <c r="Q77" s="450"/>
      <c r="R77" s="456"/>
      <c r="S77" s="477"/>
      <c r="T77" s="458"/>
      <c r="U77" s="458"/>
      <c r="V77" s="458"/>
    </row>
    <row r="78" spans="1:22" s="409" customFormat="1" ht="30" hidden="1" customHeight="1" x14ac:dyDescent="0.2">
      <c r="A78" s="2022"/>
      <c r="B78" s="2025"/>
      <c r="C78" s="143">
        <f>+'Stock Rawmaterial'!C1096</f>
        <v>0</v>
      </c>
      <c r="D78" s="881" t="str">
        <f>+'Stock Rawmaterial'!D1096</f>
        <v>Rec.</v>
      </c>
      <c r="E78" s="882">
        <f>+'Stock Rawmaterial'!E1096</f>
        <v>46233</v>
      </c>
      <c r="F78" s="938">
        <f>+'Stock Rawmaterial'!F1096</f>
        <v>53</v>
      </c>
      <c r="G78" s="1704">
        <f>+'Stock Rawmaterial'!G1096</f>
        <v>0</v>
      </c>
      <c r="H78" s="1219">
        <f>+'Stock Rawmaterial'!H1096</f>
        <v>0</v>
      </c>
      <c r="I78" s="1219">
        <f>+'Stock Rawmaterial'!I1096</f>
        <v>0</v>
      </c>
      <c r="J78" s="1219">
        <f>+'Stock Rawmaterial'!J1096</f>
        <v>0</v>
      </c>
      <c r="K78" s="1219">
        <f>+'Stock Rawmaterial'!K1096</f>
        <v>0</v>
      </c>
      <c r="L78" s="1219">
        <f>+'Stock Rawmaterial'!L1096</f>
        <v>0</v>
      </c>
      <c r="M78" s="1806"/>
      <c r="N78" s="1561">
        <f>+'Stock Rawmaterial'!J1096</f>
        <v>0</v>
      </c>
      <c r="O78" s="1806">
        <f>+'Stock Rawmaterial'!K1096</f>
        <v>0</v>
      </c>
      <c r="P78" s="1561"/>
      <c r="Q78" s="450"/>
      <c r="R78" s="456"/>
      <c r="S78" s="477"/>
      <c r="T78" s="458"/>
      <c r="U78" s="458"/>
      <c r="V78" s="458"/>
    </row>
    <row r="79" spans="1:22" s="401" customFormat="1" ht="30" customHeight="1" x14ac:dyDescent="0.2">
      <c r="A79" s="2023"/>
      <c r="B79" s="2026"/>
      <c r="C79" s="149" t="str">
        <f>+'Stock Rawmaterial'!C1097</f>
        <v>LA8</v>
      </c>
      <c r="D79" s="881" t="str">
        <f>+'Stock Rawmaterial'!D1097</f>
        <v>Rec.</v>
      </c>
      <c r="E79" s="882">
        <f>+'Stock Rawmaterial'!E1097</f>
        <v>46205</v>
      </c>
      <c r="F79" s="938">
        <f>+'Stock Rawmaterial'!F1097</f>
        <v>81</v>
      </c>
      <c r="G79" s="1219">
        <f>+'Stock Rawmaterial'!G1097</f>
        <v>1275.02</v>
      </c>
      <c r="H79" s="1219">
        <f>+'Stock Rawmaterial'!H1097</f>
        <v>0</v>
      </c>
      <c r="I79" s="1219">
        <f>+'Stock Rawmaterial'!I1097</f>
        <v>0</v>
      </c>
      <c r="J79" s="1219">
        <f>+'Stock Rawmaterial'!J1097</f>
        <v>253.9</v>
      </c>
      <c r="K79" s="1219">
        <f>+'Stock Rawmaterial'!K1097</f>
        <v>0</v>
      </c>
      <c r="L79" s="1219">
        <f>+'Stock Rawmaterial'!L1097</f>
        <v>1021.12</v>
      </c>
      <c r="M79" s="43"/>
      <c r="N79" s="1537"/>
      <c r="O79" s="43">
        <f>+'Stock Rawmaterial'!K1097</f>
        <v>0</v>
      </c>
      <c r="P79" s="1537"/>
      <c r="Q79" s="435"/>
      <c r="S79" s="468"/>
      <c r="T79" s="436"/>
      <c r="U79" s="436"/>
      <c r="V79" s="436"/>
    </row>
    <row r="80" spans="1:22" s="265" customFormat="1" ht="30" customHeight="1" x14ac:dyDescent="0.2">
      <c r="A80" s="2019" t="s">
        <v>329</v>
      </c>
      <c r="B80" s="2020"/>
      <c r="C80" s="88"/>
      <c r="D80" s="864"/>
      <c r="E80" s="864"/>
      <c r="F80" s="865"/>
      <c r="G80" s="1585">
        <f>SUM(G74:G79)</f>
        <v>20175.02</v>
      </c>
      <c r="H80" s="1585">
        <f t="shared" ref="H80:L80" si="9">SUM(H74:H79)</f>
        <v>0</v>
      </c>
      <c r="I80" s="1585">
        <f t="shared" si="9"/>
        <v>0</v>
      </c>
      <c r="J80" s="1585">
        <f t="shared" si="9"/>
        <v>253.9</v>
      </c>
      <c r="K80" s="1585">
        <f t="shared" si="9"/>
        <v>0</v>
      </c>
      <c r="L80" s="1585">
        <f t="shared" si="9"/>
        <v>19921.12</v>
      </c>
      <c r="M80" s="133">
        <f>'Stock Rawmaterial'!M1098</f>
        <v>303.58333333333331</v>
      </c>
      <c r="N80" s="1545">
        <f>'Stock Rawmaterial'!N1098</f>
        <v>65.619939610211361</v>
      </c>
      <c r="O80" s="133">
        <f>'Stock Rawmaterial'!O1098</f>
        <v>285.33333333333331</v>
      </c>
      <c r="P80" s="1545">
        <f>'Stock Rawmaterial'!P1098</f>
        <v>69.817009345794389</v>
      </c>
      <c r="Q80" s="438"/>
      <c r="R80" s="444"/>
      <c r="S80" s="464"/>
      <c r="T80" s="465"/>
      <c r="U80" s="465"/>
      <c r="V80" s="465"/>
    </row>
    <row r="81" spans="1:25" s="409" customFormat="1" ht="30" customHeight="1" x14ac:dyDescent="0.2">
      <c r="A81" s="2021">
        <v>11</v>
      </c>
      <c r="B81" s="2024" t="s">
        <v>516</v>
      </c>
      <c r="C81" s="143" t="str">
        <f>'Stock Rawmaterial'!C1296</f>
        <v>A15.2</v>
      </c>
      <c r="D81" s="881" t="s">
        <v>10</v>
      </c>
      <c r="E81" s="882">
        <f>'Stock Rawmaterial'!E1296</f>
        <v>46178</v>
      </c>
      <c r="F81" s="938">
        <f>'Stock Rawmaterial'!F1296</f>
        <v>108</v>
      </c>
      <c r="G81" s="1704">
        <f>'Stock Rawmaterial'!G1296</f>
        <v>6000</v>
      </c>
      <c r="H81" s="1219">
        <f>'Stock Rawmaterial'!H1296</f>
        <v>0</v>
      </c>
      <c r="I81" s="1219">
        <f>'Stock Rawmaterial'!I1296</f>
        <v>0</v>
      </c>
      <c r="J81" s="1219">
        <f>'Stock Rawmaterial'!J1296</f>
        <v>0</v>
      </c>
      <c r="K81" s="1219">
        <f>'Stock Rawmaterial'!K1296</f>
        <v>0</v>
      </c>
      <c r="L81" s="1704">
        <f>'Stock Rawmaterial'!L1296</f>
        <v>6000</v>
      </c>
      <c r="M81" s="1805"/>
      <c r="N81" s="1565">
        <f>'Stock Rawmaterial'!J1296</f>
        <v>0</v>
      </c>
      <c r="O81" s="1806"/>
      <c r="P81" s="1561"/>
      <c r="Q81" s="450"/>
      <c r="R81" s="456"/>
      <c r="S81" s="477"/>
      <c r="T81" s="458"/>
      <c r="U81" s="458"/>
      <c r="V81" s="458"/>
    </row>
    <row r="82" spans="1:25" s="409" customFormat="1" ht="30" customHeight="1" x14ac:dyDescent="0.2">
      <c r="A82" s="2022"/>
      <c r="B82" s="2025"/>
      <c r="C82" s="143" t="str">
        <f>'Stock Rawmaterial'!C1297</f>
        <v>A15.2</v>
      </c>
      <c r="D82" s="881" t="s">
        <v>10</v>
      </c>
      <c r="E82" s="882">
        <f>'Stock Rawmaterial'!E1297</f>
        <v>46241</v>
      </c>
      <c r="F82" s="938">
        <f>'Stock Rawmaterial'!F1297</f>
        <v>45</v>
      </c>
      <c r="G82" s="1704">
        <f>'Stock Rawmaterial'!G1297</f>
        <v>10000</v>
      </c>
      <c r="H82" s="1219">
        <f>'Stock Rawmaterial'!H1297</f>
        <v>0</v>
      </c>
      <c r="I82" s="1219">
        <f>'Stock Rawmaterial'!I1297</f>
        <v>0</v>
      </c>
      <c r="J82" s="1219">
        <f>'Stock Rawmaterial'!J1297</f>
        <v>0</v>
      </c>
      <c r="K82" s="1219">
        <f>'Stock Rawmaterial'!K1297</f>
        <v>0</v>
      </c>
      <c r="L82" s="1704">
        <f>'Stock Rawmaterial'!L1297</f>
        <v>10000</v>
      </c>
      <c r="M82" s="1805"/>
      <c r="N82" s="1565">
        <f>'Stock Rawmaterial'!J1297</f>
        <v>0</v>
      </c>
      <c r="O82" s="1806"/>
      <c r="P82" s="1561"/>
      <c r="Q82" s="450"/>
      <c r="R82" s="456"/>
      <c r="S82" s="477"/>
      <c r="T82" s="458"/>
      <c r="U82" s="458"/>
      <c r="V82" s="458"/>
    </row>
    <row r="83" spans="1:25" s="409" customFormat="1" ht="30" hidden="1" customHeight="1" x14ac:dyDescent="0.2">
      <c r="A83" s="2022"/>
      <c r="B83" s="2025"/>
      <c r="C83" s="143">
        <f>'Stock Rawmaterial'!C1298</f>
        <v>0</v>
      </c>
      <c r="D83" s="881" t="s">
        <v>10</v>
      </c>
      <c r="E83" s="882">
        <f>'Stock Rawmaterial'!E1298</f>
        <v>45839</v>
      </c>
      <c r="F83" s="938">
        <f>'Stock Rawmaterial'!F1298</f>
        <v>447</v>
      </c>
      <c r="G83" s="1704">
        <f>'Stock Rawmaterial'!G1298</f>
        <v>0</v>
      </c>
      <c r="H83" s="1219">
        <f>'Stock Rawmaterial'!H1298</f>
        <v>0</v>
      </c>
      <c r="I83" s="1219">
        <f>'Stock Rawmaterial'!I1298</f>
        <v>0</v>
      </c>
      <c r="J83" s="1219">
        <f>'Stock Rawmaterial'!J1298</f>
        <v>0</v>
      </c>
      <c r="K83" s="1219">
        <f>'Stock Rawmaterial'!K1298</f>
        <v>0</v>
      </c>
      <c r="L83" s="1219">
        <f>'Stock Rawmaterial'!L1298</f>
        <v>0</v>
      </c>
      <c r="M83" s="1805"/>
      <c r="N83" s="1565">
        <f>'Stock Rawmaterial'!J1298</f>
        <v>0</v>
      </c>
      <c r="O83" s="1806">
        <f>'Stock Rawmaterial'!K1298</f>
        <v>0</v>
      </c>
      <c r="P83" s="1561"/>
      <c r="Q83" s="450"/>
      <c r="R83" s="456"/>
      <c r="S83" s="477"/>
      <c r="T83" s="458"/>
      <c r="U83" s="458"/>
      <c r="V83" s="458"/>
    </row>
    <row r="84" spans="1:25" s="409" customFormat="1" ht="30" customHeight="1" x14ac:dyDescent="0.2">
      <c r="A84" s="2022"/>
      <c r="B84" s="2025"/>
      <c r="C84" s="149" t="str">
        <f>'Stock Rawmaterial'!C1299</f>
        <v>LA9</v>
      </c>
      <c r="D84" s="881" t="s">
        <v>10</v>
      </c>
      <c r="E84" s="882">
        <f>'Stock Rawmaterial'!E1299</f>
        <v>46178</v>
      </c>
      <c r="F84" s="938">
        <f>'Stock Rawmaterial'!F1299</f>
        <v>108</v>
      </c>
      <c r="G84" s="1219">
        <f>'Stock Rawmaterial'!G1299</f>
        <v>2433.4800000000005</v>
      </c>
      <c r="H84" s="1219">
        <f>'Stock Rawmaterial'!H1299</f>
        <v>0</v>
      </c>
      <c r="I84" s="1219">
        <f>'Stock Rawmaterial'!I1299</f>
        <v>0</v>
      </c>
      <c r="J84" s="1219">
        <f>'Stock Rawmaterial'!J1299</f>
        <v>56</v>
      </c>
      <c r="K84" s="1219">
        <f>'Stock Rawmaterial'!K1299</f>
        <v>0</v>
      </c>
      <c r="L84" s="1219">
        <f>'Stock Rawmaterial'!L1299</f>
        <v>2377.4800000000005</v>
      </c>
      <c r="M84" s="1805"/>
      <c r="N84" s="1565"/>
      <c r="O84" s="1806"/>
      <c r="P84" s="1561"/>
      <c r="Q84" s="450"/>
      <c r="R84" s="456"/>
      <c r="S84" s="477"/>
      <c r="T84" s="458"/>
      <c r="U84" s="458"/>
      <c r="V84" s="458"/>
    </row>
    <row r="85" spans="1:25" s="265" customFormat="1" ht="30" customHeight="1" x14ac:dyDescent="0.2">
      <c r="A85" s="2019"/>
      <c r="B85" s="2020"/>
      <c r="C85" s="88"/>
      <c r="D85" s="864"/>
      <c r="E85" s="864"/>
      <c r="F85" s="865"/>
      <c r="G85" s="1585">
        <f>SUM(G81:G84)</f>
        <v>18433.48</v>
      </c>
      <c r="H85" s="1585">
        <f t="shared" ref="H85:L85" si="10">SUM(H81:H84)</f>
        <v>0</v>
      </c>
      <c r="I85" s="1585">
        <f t="shared" si="10"/>
        <v>0</v>
      </c>
      <c r="J85" s="1585">
        <f t="shared" si="10"/>
        <v>56</v>
      </c>
      <c r="K85" s="1585">
        <f t="shared" si="10"/>
        <v>0</v>
      </c>
      <c r="L85" s="1585">
        <f t="shared" si="10"/>
        <v>18377.48</v>
      </c>
      <c r="M85" s="133">
        <f>'Stock Rawmaterial'!M1300</f>
        <v>70.5</v>
      </c>
      <c r="N85" s="1545">
        <f>'Stock Rawmaterial'!N1300</f>
        <v>260.67347517730497</v>
      </c>
      <c r="O85" s="133">
        <f>'Stock Rawmaterial'!O1300</f>
        <v>4</v>
      </c>
      <c r="P85" s="1545">
        <f>'Stock Rawmaterial'!P1300</f>
        <v>4594.37</v>
      </c>
      <c r="Q85" s="438"/>
      <c r="R85" s="444"/>
      <c r="S85" s="464"/>
      <c r="T85" s="465"/>
      <c r="U85" s="465"/>
      <c r="V85" s="465"/>
    </row>
    <row r="86" spans="1:25" s="409" customFormat="1" ht="30" hidden="1" customHeight="1" x14ac:dyDescent="0.2">
      <c r="A86" s="2021">
        <v>12</v>
      </c>
      <c r="B86" s="2024" t="s">
        <v>1311</v>
      </c>
      <c r="C86" s="143">
        <f>'Stock Rawmaterial'!C661</f>
        <v>0</v>
      </c>
      <c r="D86" s="881" t="str">
        <f>'Stock Rawmaterial'!D661</f>
        <v>Rec.</v>
      </c>
      <c r="E86" s="882">
        <f>'Stock Rawmaterial'!E661</f>
        <v>45281</v>
      </c>
      <c r="F86" s="938">
        <f>'Stock Rawmaterial'!F661</f>
        <v>1005</v>
      </c>
      <c r="G86" s="1219">
        <f>'Stock Rawmaterial'!G661</f>
        <v>0</v>
      </c>
      <c r="H86" s="1219">
        <f>'Stock Rawmaterial'!H661</f>
        <v>0</v>
      </c>
      <c r="I86" s="1219">
        <f>'Stock Rawmaterial'!I661</f>
        <v>0</v>
      </c>
      <c r="J86" s="1219">
        <f>'Stock Rawmaterial'!J661</f>
        <v>0</v>
      </c>
      <c r="K86" s="1219">
        <f>'Stock Rawmaterial'!K661</f>
        <v>0</v>
      </c>
      <c r="L86" s="1219">
        <f>'Stock Rawmaterial'!L661</f>
        <v>0</v>
      </c>
      <c r="M86" s="1807"/>
      <c r="N86" s="1566"/>
      <c r="O86" s="1807"/>
      <c r="P86" s="1566"/>
      <c r="Q86" s="450"/>
      <c r="R86" s="456"/>
      <c r="S86" s="477"/>
      <c r="T86" s="458"/>
      <c r="U86" s="458"/>
      <c r="V86" s="458"/>
    </row>
    <row r="87" spans="1:25" s="409" customFormat="1" ht="30" customHeight="1" x14ac:dyDescent="0.2">
      <c r="A87" s="2022"/>
      <c r="B87" s="2025"/>
      <c r="C87" s="149" t="str">
        <f>'Stock Rawmaterial'!C662</f>
        <v>LA5</v>
      </c>
      <c r="D87" s="881" t="str">
        <f>'Stock Rawmaterial'!D662</f>
        <v>Rec.</v>
      </c>
      <c r="E87" s="882">
        <f>'Stock Rawmaterial'!E662</f>
        <v>46230</v>
      </c>
      <c r="F87" s="938">
        <f>'Stock Rawmaterial'!F662</f>
        <v>56</v>
      </c>
      <c r="G87" s="1219">
        <f>'Stock Rawmaterial'!G662</f>
        <v>12931.02</v>
      </c>
      <c r="H87" s="1219">
        <f>'Stock Rawmaterial'!H662</f>
        <v>0</v>
      </c>
      <c r="I87" s="1219">
        <f>'Stock Rawmaterial'!I662</f>
        <v>0</v>
      </c>
      <c r="J87" s="1219">
        <f>'Stock Rawmaterial'!J662</f>
        <v>1040.9100000000001</v>
      </c>
      <c r="K87" s="1219">
        <f>'Stock Rawmaterial'!K662</f>
        <v>0</v>
      </c>
      <c r="L87" s="1219">
        <f>'Stock Rawmaterial'!L662</f>
        <v>11890.11</v>
      </c>
      <c r="M87" s="1808"/>
      <c r="N87" s="1567"/>
      <c r="O87" s="1808"/>
      <c r="P87" s="1567"/>
      <c r="Q87" s="450"/>
      <c r="R87" s="456"/>
      <c r="S87" s="477"/>
      <c r="T87" s="458"/>
      <c r="U87" s="458"/>
      <c r="V87" s="458"/>
    </row>
    <row r="88" spans="1:25" s="409" customFormat="1" ht="30" customHeight="1" x14ac:dyDescent="0.2">
      <c r="A88" s="2022"/>
      <c r="B88" s="2025"/>
      <c r="C88" s="149" t="str">
        <f>'Stock Rawmaterial'!C663</f>
        <v>LA6</v>
      </c>
      <c r="D88" s="881" t="str">
        <f>'Stock Rawmaterial'!D663</f>
        <v>Rec.</v>
      </c>
      <c r="E88" s="882">
        <f>'Stock Rawmaterial'!E663</f>
        <v>46270</v>
      </c>
      <c r="F88" s="938">
        <f>'Stock Rawmaterial'!F663</f>
        <v>16</v>
      </c>
      <c r="G88" s="1219">
        <f>'Stock Rawmaterial'!G663</f>
        <v>23080</v>
      </c>
      <c r="H88" s="1219">
        <f>'Stock Rawmaterial'!H663</f>
        <v>0</v>
      </c>
      <c r="I88" s="1219">
        <f>'Stock Rawmaterial'!I663</f>
        <v>0</v>
      </c>
      <c r="J88" s="1219">
        <f>'Stock Rawmaterial'!J663</f>
        <v>0</v>
      </c>
      <c r="K88" s="1219">
        <f>'Stock Rawmaterial'!K663</f>
        <v>0</v>
      </c>
      <c r="L88" s="1219">
        <f>'Stock Rawmaterial'!L663</f>
        <v>23080</v>
      </c>
      <c r="M88" s="1812"/>
      <c r="N88" s="1569"/>
      <c r="O88" s="1809"/>
      <c r="P88" s="1568"/>
      <c r="Q88" s="450"/>
      <c r="R88" s="456"/>
      <c r="S88" s="477"/>
      <c r="T88" s="458"/>
      <c r="U88" s="458"/>
      <c r="V88" s="458"/>
    </row>
    <row r="89" spans="1:25" s="265" customFormat="1" ht="30" customHeight="1" x14ac:dyDescent="0.2">
      <c r="A89" s="2019" t="s">
        <v>1312</v>
      </c>
      <c r="B89" s="2020"/>
      <c r="C89" s="2020"/>
      <c r="D89" s="91"/>
      <c r="E89" s="91"/>
      <c r="F89" s="221"/>
      <c r="G89" s="1664">
        <f>SUM(G86:G88)</f>
        <v>36011.020000000004</v>
      </c>
      <c r="H89" s="1664">
        <f t="shared" ref="H89:L89" si="11">SUM(H86:H88)</f>
        <v>0</v>
      </c>
      <c r="I89" s="1664">
        <f t="shared" si="11"/>
        <v>0</v>
      </c>
      <c r="J89" s="1664">
        <f t="shared" si="11"/>
        <v>1040.9100000000001</v>
      </c>
      <c r="K89" s="1664">
        <f t="shared" si="11"/>
        <v>0</v>
      </c>
      <c r="L89" s="1664">
        <f t="shared" si="11"/>
        <v>34970.11</v>
      </c>
      <c r="M89" s="133">
        <f>'Stock Rawmaterial'!M664</f>
        <v>1054.5916666666667</v>
      </c>
      <c r="N89" s="1545">
        <f>'Stock Rawmaterial'!N664</f>
        <v>33.159858080931798</v>
      </c>
      <c r="O89" s="133">
        <f>'Stock Rawmaterial'!O664</f>
        <v>886</v>
      </c>
      <c r="P89" s="1545">
        <f>'Stock Rawmaterial'!P664</f>
        <v>39.469650112866816</v>
      </c>
      <c r="Q89" s="438"/>
      <c r="R89" s="444"/>
      <c r="S89" s="464"/>
      <c r="T89" s="465"/>
      <c r="U89" s="465"/>
      <c r="V89" s="465"/>
    </row>
    <row r="90" spans="1:25" s="409" customFormat="1" ht="30" customHeight="1" x14ac:dyDescent="0.2">
      <c r="A90" s="2021">
        <v>13</v>
      </c>
      <c r="B90" s="2024" t="s">
        <v>1817</v>
      </c>
      <c r="C90" s="190" t="str">
        <f>'Stock Rawmaterial'!C623</f>
        <v>A16.2B</v>
      </c>
      <c r="D90" s="881" t="str">
        <f>'Stock Rawmaterial'!D665</f>
        <v>Rec.</v>
      </c>
      <c r="E90" s="19">
        <f>'Stock Rawmaterial'!E623</f>
        <v>46153</v>
      </c>
      <c r="F90" s="938">
        <f>'Stock Rawmaterial'!F623</f>
        <v>133</v>
      </c>
      <c r="G90" s="1968">
        <f>'Stock Rawmaterial'!G623</f>
        <v>18000</v>
      </c>
      <c r="H90" s="1968">
        <f>'Stock Rawmaterial'!H623</f>
        <v>0</v>
      </c>
      <c r="I90" s="1968">
        <f>'Stock Rawmaterial'!I623</f>
        <v>0</v>
      </c>
      <c r="J90" s="1968">
        <f>'Stock Rawmaterial'!J623</f>
        <v>0</v>
      </c>
      <c r="K90" s="1968">
        <f>'Stock Rawmaterial'!K623</f>
        <v>0</v>
      </c>
      <c r="L90" s="1968">
        <f>'Stock Rawmaterial'!L623</f>
        <v>18000</v>
      </c>
      <c r="M90" s="78"/>
      <c r="N90" s="210"/>
      <c r="O90" s="78"/>
      <c r="P90" s="78"/>
      <c r="Q90" s="450"/>
      <c r="R90" s="456"/>
      <c r="S90" s="477"/>
      <c r="T90" s="458"/>
      <c r="U90" s="458"/>
      <c r="V90" s="458"/>
    </row>
    <row r="91" spans="1:25" s="409" customFormat="1" ht="30" hidden="1" customHeight="1" x14ac:dyDescent="0.2">
      <c r="A91" s="2022"/>
      <c r="B91" s="2025"/>
      <c r="C91" s="190">
        <f>'Stock Rawmaterial'!C624</f>
        <v>0</v>
      </c>
      <c r="D91" s="881" t="str">
        <f>'Stock Rawmaterial'!D666</f>
        <v>Rec.</v>
      </c>
      <c r="E91" s="19">
        <f>'Stock Rawmaterial'!E624</f>
        <v>46153</v>
      </c>
      <c r="F91" s="1968">
        <f>'Stock Rawmaterial'!F624</f>
        <v>133</v>
      </c>
      <c r="G91" s="1968">
        <f>'Stock Rawmaterial'!G624</f>
        <v>0</v>
      </c>
      <c r="H91" s="1968">
        <f>'Stock Rawmaterial'!H624</f>
        <v>0</v>
      </c>
      <c r="I91" s="1968">
        <f>'Stock Rawmaterial'!I624</f>
        <v>0</v>
      </c>
      <c r="J91" s="1968">
        <f>'Stock Rawmaterial'!J624</f>
        <v>0</v>
      </c>
      <c r="K91" s="1968">
        <f>'Stock Rawmaterial'!K624</f>
        <v>0</v>
      </c>
      <c r="L91" s="1968">
        <f>'Stock Rawmaterial'!L624</f>
        <v>0</v>
      </c>
      <c r="M91" s="1971"/>
      <c r="N91" s="1972"/>
      <c r="O91" s="1971"/>
      <c r="P91" s="1971"/>
      <c r="Q91" s="450"/>
      <c r="R91" s="456"/>
      <c r="S91" s="477"/>
      <c r="T91" s="458"/>
      <c r="U91" s="458"/>
      <c r="V91" s="458"/>
    </row>
    <row r="92" spans="1:25" s="409" customFormat="1" ht="30" customHeight="1" x14ac:dyDescent="0.2">
      <c r="A92" s="2022"/>
      <c r="B92" s="2025"/>
      <c r="C92" s="1974" t="str">
        <f>'Stock Rawmaterial'!C625</f>
        <v>FM</v>
      </c>
      <c r="D92" s="1093" t="str">
        <f>'Stock Rawmaterial'!D667</f>
        <v>Rec.</v>
      </c>
      <c r="E92" s="1975">
        <f>'Stock Rawmaterial'!E625</f>
        <v>46153</v>
      </c>
      <c r="F92" s="938">
        <f>'Stock Rawmaterial'!F625</f>
        <v>133</v>
      </c>
      <c r="G92" s="1976">
        <f>'Stock Rawmaterial'!G625</f>
        <v>2585.2000000000012</v>
      </c>
      <c r="H92" s="1976">
        <f>'Stock Rawmaterial'!H625</f>
        <v>0</v>
      </c>
      <c r="I92" s="1976">
        <f>'Stock Rawmaterial'!I625</f>
        <v>0</v>
      </c>
      <c r="J92" s="1976">
        <f>'Stock Rawmaterial'!J625</f>
        <v>493</v>
      </c>
      <c r="K92" s="1976">
        <f>'Stock Rawmaterial'!K625</f>
        <v>0</v>
      </c>
      <c r="L92" s="1976">
        <f>'Stock Rawmaterial'!L625</f>
        <v>2092.2000000000012</v>
      </c>
      <c r="M92" s="1969"/>
      <c r="N92" s="1970"/>
      <c r="O92" s="1969"/>
      <c r="P92" s="1969"/>
      <c r="Q92" s="450"/>
      <c r="R92" s="456"/>
      <c r="S92" s="477"/>
      <c r="T92" s="458"/>
      <c r="U92" s="458"/>
      <c r="V92" s="458"/>
    </row>
    <row r="93" spans="1:25" s="265" customFormat="1" ht="30" customHeight="1" x14ac:dyDescent="0.2">
      <c r="A93" s="2019" t="s">
        <v>1845</v>
      </c>
      <c r="B93" s="2020"/>
      <c r="C93" s="2020"/>
      <c r="D93" s="91"/>
      <c r="E93" s="91"/>
      <c r="F93" s="221"/>
      <c r="G93" s="1973">
        <f>+G92+G91+G90</f>
        <v>20585.2</v>
      </c>
      <c r="H93" s="1973">
        <f t="shared" ref="H93:L93" si="12">+H92+H91+H90</f>
        <v>0</v>
      </c>
      <c r="I93" s="1973">
        <f t="shared" si="12"/>
        <v>0</v>
      </c>
      <c r="J93" s="1973">
        <f t="shared" si="12"/>
        <v>493</v>
      </c>
      <c r="K93" s="1973">
        <f t="shared" si="12"/>
        <v>0</v>
      </c>
      <c r="L93" s="1973">
        <f t="shared" si="12"/>
        <v>20092.2</v>
      </c>
      <c r="M93" s="1977">
        <f>'Stock Rawmaterial'!M626</f>
        <v>298.36666666666667</v>
      </c>
      <c r="N93" s="1977">
        <f>'Stock Rawmaterial'!N626</f>
        <v>67.340632331583066</v>
      </c>
      <c r="O93" s="1977">
        <f>'Stock Rawmaterial'!O626</f>
        <v>429.66666666666663</v>
      </c>
      <c r="P93" s="1977">
        <f>'Stock Rawmaterial'!P626</f>
        <v>46.762296353762615</v>
      </c>
      <c r="Q93" s="438"/>
      <c r="R93" s="444"/>
      <c r="S93" s="464"/>
      <c r="T93" s="465"/>
      <c r="U93" s="465"/>
      <c r="V93" s="465"/>
    </row>
    <row r="94" spans="1:25" s="422" customFormat="1" ht="30" customHeight="1" x14ac:dyDescent="0.2">
      <c r="A94" s="2308" t="s">
        <v>468</v>
      </c>
      <c r="B94" s="2309"/>
      <c r="C94" s="2309"/>
      <c r="D94" s="2309"/>
      <c r="E94" s="2309"/>
      <c r="F94" s="2301">
        <f>G89+G85+G80+G73+G67+G60+G46+G40+G31+G29+G21+G18</f>
        <v>1327114.69</v>
      </c>
      <c r="G94" s="2302"/>
      <c r="H94" s="354"/>
      <c r="I94" s="211">
        <f>+I18+I21+I29+I31+I40+I46+I60+I73+I80+I67+I85+I93+I89</f>
        <v>0</v>
      </c>
      <c r="J94" s="211">
        <f>+J18+J21+J29+J31+J40+J46+J60+J73+J80+J67+J85+J93+J89</f>
        <v>55164.76</v>
      </c>
      <c r="K94" s="211">
        <f>+K18+K21+K29+K31+K40+K46+K60+K73+K80+K67+K85+K93+K89</f>
        <v>0</v>
      </c>
      <c r="L94" s="211">
        <f>+L18+L21+L29+L31+L40+L46+L60+L73+L80+L67+L85+L93+L89</f>
        <v>1292535.1300000001</v>
      </c>
      <c r="M94" s="211"/>
      <c r="N94" s="211"/>
      <c r="O94" s="211"/>
      <c r="P94" s="211"/>
      <c r="Q94" s="501"/>
      <c r="R94" s="502"/>
      <c r="S94"/>
      <c r="T94"/>
      <c r="U94"/>
      <c r="V94"/>
    </row>
    <row r="95" spans="1:25" s="423" customFormat="1" ht="12" customHeight="1" x14ac:dyDescent="0.2">
      <c r="A95" s="57"/>
      <c r="B95" s="2"/>
      <c r="C95" s="13"/>
      <c r="D95" s="16"/>
      <c r="E95" s="15"/>
      <c r="F95" s="141"/>
      <c r="G95" s="141"/>
      <c r="H95" s="141"/>
      <c r="K95" s="319"/>
      <c r="L95"/>
      <c r="M95" s="228"/>
      <c r="N95" s="213"/>
      <c r="O95" s="205"/>
      <c r="P95" s="203"/>
      <c r="Q95" s="424"/>
      <c r="R95" s="504"/>
      <c r="S95" s="427"/>
      <c r="T95" s="428"/>
      <c r="U95" s="429"/>
      <c r="V95" s="430"/>
      <c r="W95" s="1"/>
      <c r="X95" s="1"/>
      <c r="Y95" s="1"/>
    </row>
    <row r="96" spans="1:25" s="3" customFormat="1" x14ac:dyDescent="0.2">
      <c r="A96" s="57"/>
      <c r="B96" s="5"/>
      <c r="C96" s="89"/>
      <c r="D96" s="16"/>
      <c r="E96" s="15"/>
      <c r="F96" s="141"/>
      <c r="G96" s="76"/>
      <c r="H96" s="367"/>
      <c r="I96" s="503"/>
      <c r="J96" s="244"/>
      <c r="K96" s="295"/>
      <c r="L96" s="244">
        <f>+'Stock Rawmaterial'!L1300+'Stock Rawmaterial'!L1098+'Stock Rawmaterial'!L993+'Stock Rawmaterial'!L963+'Stock Rawmaterial'!L953+'Stock Rawmaterial'!L867+'Stock Rawmaterial'!L756+'Stock Rawmaterial'!L664+'Stock Rawmaterial'!L610+'Stock Rawmaterial'!L608+'Stock Rawmaterial'!L602+'Stock Rawmaterial'!L599+'Stock Rawmaterial'!L626</f>
        <v>1292535.1299999999</v>
      </c>
      <c r="M96" s="202"/>
      <c r="N96" s="543"/>
      <c r="O96" s="217"/>
      <c r="P96" s="203"/>
      <c r="Q96" s="505"/>
      <c r="R96" s="506"/>
      <c r="S96" s="427"/>
      <c r="T96" s="428"/>
      <c r="U96" s="429"/>
      <c r="V96" s="430"/>
      <c r="W96" s="1"/>
      <c r="X96" s="1"/>
      <c r="Y96" s="1"/>
    </row>
    <row r="97" spans="1:45" s="3" customFormat="1" ht="22.5" customHeight="1" x14ac:dyDescent="0.2">
      <c r="A97" s="100"/>
      <c r="B97" s="100"/>
      <c r="C97" s="13"/>
      <c r="D97" s="16"/>
      <c r="E97" s="15"/>
      <c r="F97" s="141"/>
      <c r="G97" s="96"/>
      <c r="H97" s="96"/>
      <c r="I97" s="244"/>
      <c r="J97" s="540"/>
      <c r="K97" s="202"/>
      <c r="L97" s="202">
        <f>+L94-L96</f>
        <v>0</v>
      </c>
      <c r="M97" s="242"/>
      <c r="N97" s="543"/>
      <c r="O97" s="228"/>
      <c r="P97" s="69"/>
      <c r="Q97" s="505"/>
      <c r="R97" s="506"/>
      <c r="S97" s="427"/>
      <c r="T97" s="428"/>
      <c r="U97" s="429"/>
      <c r="V97" s="430"/>
      <c r="W97" s="1"/>
      <c r="X97" s="1"/>
      <c r="Y97" s="1"/>
    </row>
    <row r="98" spans="1:45" s="3" customFormat="1" x14ac:dyDescent="0.2">
      <c r="A98" s="100"/>
      <c r="B98" s="100"/>
      <c r="C98" s="13"/>
      <c r="D98" s="16"/>
      <c r="E98" s="15"/>
      <c r="F98" s="141"/>
      <c r="G98" s="96"/>
      <c r="H98" s="96"/>
      <c r="I98" s="244"/>
      <c r="J98" s="245"/>
      <c r="K98" s="245"/>
      <c r="L98" s="200"/>
      <c r="M98" s="242"/>
      <c r="N98" s="544"/>
      <c r="O98" s="423"/>
      <c r="P98" s="217"/>
      <c r="Q98" s="505"/>
      <c r="R98" s="506"/>
      <c r="S98" s="427"/>
      <c r="T98" s="428"/>
      <c r="U98" s="429"/>
      <c r="V98" s="430"/>
      <c r="W98" s="1"/>
      <c r="X98" s="1"/>
      <c r="Y98" s="1"/>
    </row>
    <row r="99" spans="1:45" s="3" customFormat="1" x14ac:dyDescent="0.2">
      <c r="A99" s="57"/>
      <c r="C99" s="13"/>
      <c r="D99" s="16"/>
      <c r="E99" s="15"/>
      <c r="F99" s="141"/>
      <c r="G99" s="52"/>
      <c r="H99" s="96"/>
      <c r="I99" s="244"/>
      <c r="J99" s="245"/>
      <c r="K99" s="245"/>
      <c r="L99" s="214"/>
      <c r="M99" s="242"/>
      <c r="N99" s="544"/>
      <c r="O99" s="215"/>
      <c r="P99" s="69"/>
      <c r="Q99" s="505"/>
      <c r="R99" s="506"/>
      <c r="S99" s="427"/>
      <c r="T99" s="428"/>
      <c r="U99" s="429"/>
      <c r="V99" s="430"/>
      <c r="W99" s="1"/>
      <c r="X99" s="1"/>
      <c r="Y99" s="1"/>
    </row>
    <row r="100" spans="1:45" s="3" customFormat="1" x14ac:dyDescent="0.2">
      <c r="A100" s="2181" t="s">
        <v>332</v>
      </c>
      <c r="B100" s="2181"/>
      <c r="C100" s="13"/>
      <c r="D100" s="16"/>
      <c r="E100" s="15"/>
      <c r="F100" s="141"/>
      <c r="G100" s="52"/>
      <c r="H100" s="96"/>
      <c r="I100" s="244"/>
      <c r="J100" s="245"/>
      <c r="K100" s="245"/>
      <c r="L100" s="202"/>
      <c r="M100" s="242"/>
      <c r="N100" s="543"/>
      <c r="O100" s="215"/>
      <c r="P100" s="69"/>
      <c r="Q100" s="505"/>
      <c r="R100" s="506"/>
      <c r="S100" s="427"/>
      <c r="T100" s="428"/>
      <c r="U100" s="429"/>
      <c r="V100" s="430"/>
      <c r="W100" s="1"/>
      <c r="X100" s="1"/>
      <c r="Y100" s="1"/>
    </row>
    <row r="101" spans="1:45" s="3" customFormat="1" x14ac:dyDescent="0.2">
      <c r="A101" s="2181" t="s">
        <v>1471</v>
      </c>
      <c r="B101" s="2181"/>
      <c r="C101" s="13"/>
      <c r="D101" s="16"/>
      <c r="E101" s="15"/>
      <c r="F101" s="141"/>
      <c r="G101" s="52"/>
      <c r="H101" s="96"/>
      <c r="I101" s="244"/>
      <c r="J101" s="245"/>
      <c r="K101" s="245"/>
      <c r="L101" s="242"/>
      <c r="M101" s="242"/>
      <c r="N101" s="544"/>
      <c r="O101" s="215"/>
      <c r="P101" s="69"/>
      <c r="Q101" s="505"/>
      <c r="R101" s="506"/>
      <c r="S101" s="427"/>
      <c r="T101" s="428"/>
      <c r="U101" s="429"/>
      <c r="V101" s="430"/>
      <c r="W101" s="1"/>
      <c r="X101" s="1"/>
      <c r="Y101" s="1"/>
    </row>
    <row r="102" spans="1:45" s="3" customFormat="1" x14ac:dyDescent="0.2">
      <c r="A102" s="2181" t="s">
        <v>1472</v>
      </c>
      <c r="B102" s="2181"/>
      <c r="C102" s="13"/>
      <c r="D102" s="16"/>
      <c r="E102" s="15"/>
      <c r="F102" s="141"/>
      <c r="G102" s="52"/>
      <c r="H102" s="96"/>
      <c r="I102" s="214"/>
      <c r="J102" s="245"/>
      <c r="K102" s="245"/>
      <c r="L102" s="242"/>
      <c r="M102" s="250"/>
      <c r="N102"/>
      <c r="O102" s="215"/>
      <c r="P102" s="289"/>
      <c r="Q102" s="505"/>
      <c r="R102" s="506"/>
      <c r="S102" s="427"/>
      <c r="T102" s="428"/>
      <c r="U102" s="429"/>
      <c r="V102" s="430"/>
      <c r="W102" s="1"/>
      <c r="X102" s="1"/>
      <c r="Y102" s="1"/>
    </row>
    <row r="103" spans="1:45" x14ac:dyDescent="0.2">
      <c r="B103" s="3"/>
      <c r="G103" s="52"/>
      <c r="H103" s="96"/>
      <c r="I103" s="216"/>
      <c r="J103" s="245"/>
      <c r="K103" s="245"/>
      <c r="L103" s="242"/>
      <c r="M103" s="69"/>
      <c r="N103"/>
      <c r="O103" s="215"/>
      <c r="P103" s="69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spans="1:45" x14ac:dyDescent="0.2">
      <c r="E104" s="15" t="s">
        <v>353</v>
      </c>
      <c r="I104" s="328"/>
      <c r="L104" s="69"/>
      <c r="N104"/>
      <c r="Q104" s="1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spans="1:45" x14ac:dyDescent="0.2"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5" x14ac:dyDescent="0.2"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spans="1:45" x14ac:dyDescent="0.2"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spans="1:45" x14ac:dyDescent="0.2"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spans="1:45" x14ac:dyDescent="0.2">
      <c r="N109" s="218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5" ht="15" x14ac:dyDescent="0.2">
      <c r="A110" s="2"/>
      <c r="C110" s="2"/>
      <c r="D110" s="2"/>
      <c r="E110" s="2"/>
      <c r="F110" s="2"/>
      <c r="G110" s="2"/>
      <c r="H110" s="295"/>
      <c r="I110" s="2"/>
      <c r="J110" s="2"/>
      <c r="K110" s="2"/>
      <c r="M110" s="2"/>
      <c r="N110" s="203"/>
      <c r="O110" s="203"/>
      <c r="P110" s="2"/>
      <c r="Q110" s="2"/>
      <c r="R110" s="2"/>
      <c r="S110" s="2"/>
      <c r="T110" s="2"/>
      <c r="U110" s="2"/>
      <c r="V110" s="2"/>
      <c r="W110" s="2"/>
      <c r="X110" s="2"/>
      <c r="Y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5" x14ac:dyDescent="0.2">
      <c r="L111" s="20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spans="1:45" x14ac:dyDescent="0.2"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spans="1:45" x14ac:dyDescent="0.2"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spans="1:45" x14ac:dyDescent="0.2"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spans="1:45" x14ac:dyDescent="0.2"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spans="1:45" x14ac:dyDescent="0.2"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spans="1:45" x14ac:dyDescent="0.2"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spans="1:45" ht="15" x14ac:dyDescent="0.2">
      <c r="A118" s="2"/>
      <c r="C118" s="2"/>
      <c r="D118" s="2"/>
      <c r="E118" s="2"/>
      <c r="F118" s="2"/>
      <c r="G118" s="2"/>
      <c r="H118" s="2"/>
      <c r="I118" s="2"/>
      <c r="J118" s="2"/>
      <c r="K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:45" ht="15" x14ac:dyDescent="0.2">
      <c r="A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spans="1:45" ht="15" x14ac:dyDescent="0.2">
      <c r="A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spans="1:45" ht="15" x14ac:dyDescent="0.2">
      <c r="A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spans="1:45" ht="15" x14ac:dyDescent="0.2">
      <c r="A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spans="1:45" ht="15" x14ac:dyDescent="0.2">
      <c r="A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spans="1:45" ht="15" x14ac:dyDescent="0.2">
      <c r="A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spans="1:45" ht="15" x14ac:dyDescent="0.2">
      <c r="A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spans="1:45" ht="15" x14ac:dyDescent="0.2">
      <c r="A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spans="1:45" ht="15" x14ac:dyDescent="0.2">
      <c r="A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:45" ht="15" x14ac:dyDescent="0.2">
      <c r="A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s="2" customFormat="1" ht="15" x14ac:dyDescent="0.2"/>
    <row r="130" s="2" customFormat="1" ht="15" x14ac:dyDescent="0.2"/>
    <row r="131" s="2" customFormat="1" ht="15" x14ac:dyDescent="0.2"/>
    <row r="132" s="2" customFormat="1" ht="15" x14ac:dyDescent="0.2"/>
    <row r="133" s="2" customFormat="1" ht="15" x14ac:dyDescent="0.2"/>
    <row r="134" s="2" customFormat="1" ht="15" x14ac:dyDescent="0.2"/>
    <row r="135" s="2" customFormat="1" ht="15" x14ac:dyDescent="0.2"/>
    <row r="136" s="2" customFormat="1" ht="15" x14ac:dyDescent="0.2"/>
    <row r="137" s="2" customFormat="1" ht="15" x14ac:dyDescent="0.2"/>
    <row r="138" s="2" customFormat="1" ht="15" x14ac:dyDescent="0.2"/>
    <row r="139" s="2" customFormat="1" ht="15" x14ac:dyDescent="0.2"/>
    <row r="140" s="2" customFormat="1" ht="15" x14ac:dyDescent="0.2"/>
    <row r="141" s="2" customFormat="1" ht="15" x14ac:dyDescent="0.2"/>
    <row r="142" s="2" customFormat="1" ht="15" x14ac:dyDescent="0.2"/>
    <row r="143" s="2" customFormat="1" ht="15" x14ac:dyDescent="0.2"/>
    <row r="144" s="2" customFormat="1" ht="15" x14ac:dyDescent="0.2"/>
    <row r="145" s="2" customFormat="1" ht="15" x14ac:dyDescent="0.2"/>
    <row r="146" s="2" customFormat="1" ht="15" x14ac:dyDescent="0.2"/>
    <row r="147" s="2" customFormat="1" ht="15" x14ac:dyDescent="0.2"/>
    <row r="148" s="2" customFormat="1" ht="15" x14ac:dyDescent="0.2"/>
    <row r="149" s="2" customFormat="1" ht="15" x14ac:dyDescent="0.2"/>
    <row r="150" s="2" customFormat="1" ht="15" x14ac:dyDescent="0.2"/>
    <row r="151" s="2" customFormat="1" ht="15" x14ac:dyDescent="0.2"/>
    <row r="152" s="2" customFormat="1" ht="15" x14ac:dyDescent="0.2"/>
    <row r="153" s="2" customFormat="1" ht="15" x14ac:dyDescent="0.2"/>
    <row r="154" s="2" customFormat="1" ht="15" x14ac:dyDescent="0.2"/>
    <row r="155" s="2" customFormat="1" ht="15" x14ac:dyDescent="0.2"/>
    <row r="156" s="2" customFormat="1" ht="15" x14ac:dyDescent="0.2"/>
    <row r="157" s="2" customFormat="1" ht="15" x14ac:dyDescent="0.2"/>
    <row r="158" s="2" customFormat="1" ht="15" x14ac:dyDescent="0.2"/>
    <row r="159" s="2" customFormat="1" ht="15" x14ac:dyDescent="0.2"/>
    <row r="160" s="2" customFormat="1" ht="15" x14ac:dyDescent="0.2"/>
    <row r="161" s="2" customFormat="1" ht="15" x14ac:dyDescent="0.2"/>
    <row r="162" s="2" customFormat="1" ht="15" x14ac:dyDescent="0.2"/>
    <row r="163" s="2" customFormat="1" ht="15" x14ac:dyDescent="0.2"/>
    <row r="164" s="2" customFormat="1" ht="15" x14ac:dyDescent="0.2"/>
    <row r="165" s="2" customFormat="1" ht="15" x14ac:dyDescent="0.2"/>
    <row r="166" s="2" customFormat="1" ht="15" x14ac:dyDescent="0.2"/>
    <row r="167" s="2" customFormat="1" ht="15" x14ac:dyDescent="0.2"/>
    <row r="168" s="2" customFormat="1" ht="15" x14ac:dyDescent="0.2"/>
    <row r="169" s="2" customFormat="1" ht="15" x14ac:dyDescent="0.2"/>
    <row r="170" s="2" customFormat="1" ht="15" x14ac:dyDescent="0.2"/>
    <row r="171" s="2" customFormat="1" ht="15" x14ac:dyDescent="0.2"/>
    <row r="172" s="2" customFormat="1" ht="15" x14ac:dyDescent="0.2"/>
    <row r="173" s="2" customFormat="1" ht="15" x14ac:dyDescent="0.2"/>
    <row r="174" s="2" customFormat="1" ht="15" x14ac:dyDescent="0.2"/>
    <row r="175" s="2" customFormat="1" ht="15" x14ac:dyDescent="0.2"/>
    <row r="176" s="2" customFormat="1" ht="15" x14ac:dyDescent="0.2"/>
    <row r="177" s="2" customFormat="1" ht="15" x14ac:dyDescent="0.2"/>
    <row r="178" s="2" customFormat="1" ht="15" x14ac:dyDescent="0.2"/>
    <row r="179" s="2" customFormat="1" ht="15" x14ac:dyDescent="0.2"/>
    <row r="180" s="2" customFormat="1" ht="15" x14ac:dyDescent="0.2"/>
    <row r="181" s="2" customFormat="1" ht="15" x14ac:dyDescent="0.2"/>
    <row r="182" s="2" customFormat="1" ht="15" x14ac:dyDescent="0.2"/>
    <row r="183" s="2" customFormat="1" ht="15" x14ac:dyDescent="0.2"/>
    <row r="184" s="2" customFormat="1" ht="15" x14ac:dyDescent="0.2"/>
    <row r="185" s="2" customFormat="1" ht="15" x14ac:dyDescent="0.2"/>
    <row r="186" s="2" customFormat="1" ht="15" x14ac:dyDescent="0.2"/>
    <row r="187" s="2" customFormat="1" ht="15" x14ac:dyDescent="0.2"/>
    <row r="188" s="2" customFormat="1" ht="15" x14ac:dyDescent="0.2"/>
    <row r="189" s="2" customFormat="1" ht="15" x14ac:dyDescent="0.2"/>
    <row r="190" s="2" customFormat="1" ht="15" x14ac:dyDescent="0.2"/>
    <row r="191" s="2" customFormat="1" ht="15" x14ac:dyDescent="0.2"/>
    <row r="192" s="2" customFormat="1" ht="15" x14ac:dyDescent="0.2"/>
    <row r="193" s="2" customFormat="1" ht="15" x14ac:dyDescent="0.2"/>
    <row r="194" s="2" customFormat="1" ht="15" x14ac:dyDescent="0.2"/>
    <row r="195" s="2" customFormat="1" ht="15" x14ac:dyDescent="0.2"/>
    <row r="196" s="2" customFormat="1" ht="15" x14ac:dyDescent="0.2"/>
    <row r="197" s="2" customFormat="1" ht="15" x14ac:dyDescent="0.2"/>
    <row r="198" s="2" customFormat="1" ht="15" x14ac:dyDescent="0.2"/>
    <row r="199" s="2" customFormat="1" ht="15" x14ac:dyDescent="0.2"/>
    <row r="200" s="2" customFormat="1" ht="15" x14ac:dyDescent="0.2"/>
    <row r="201" s="2" customFormat="1" ht="15" x14ac:dyDescent="0.2"/>
    <row r="202" s="2" customFormat="1" ht="15" x14ac:dyDescent="0.2"/>
    <row r="203" s="2" customFormat="1" ht="15" x14ac:dyDescent="0.2"/>
    <row r="204" s="2" customFormat="1" ht="15" x14ac:dyDescent="0.2"/>
    <row r="205" s="2" customFormat="1" ht="15" x14ac:dyDescent="0.2"/>
    <row r="206" s="2" customFormat="1" ht="15" x14ac:dyDescent="0.2"/>
    <row r="207" s="2" customFormat="1" ht="15" x14ac:dyDescent="0.2"/>
    <row r="208" s="2" customFormat="1" ht="15" x14ac:dyDescent="0.2"/>
    <row r="209" s="2" customFormat="1" ht="15" x14ac:dyDescent="0.2"/>
    <row r="210" s="2" customFormat="1" ht="15" x14ac:dyDescent="0.2"/>
    <row r="211" s="2" customFormat="1" ht="15" x14ac:dyDescent="0.2"/>
    <row r="212" s="2" customFormat="1" ht="15" x14ac:dyDescent="0.2"/>
    <row r="213" s="2" customFormat="1" ht="15" x14ac:dyDescent="0.2"/>
    <row r="214" s="2" customFormat="1" ht="15" x14ac:dyDescent="0.2"/>
    <row r="215" s="2" customFormat="1" ht="15" x14ac:dyDescent="0.2"/>
    <row r="216" s="2" customFormat="1" ht="15" x14ac:dyDescent="0.2"/>
    <row r="217" s="2" customFormat="1" ht="15" x14ac:dyDescent="0.2"/>
    <row r="218" s="2" customFormat="1" ht="15" x14ac:dyDescent="0.2"/>
    <row r="219" s="2" customFormat="1" ht="15" x14ac:dyDescent="0.2"/>
    <row r="220" s="2" customFormat="1" ht="15" x14ac:dyDescent="0.2"/>
    <row r="221" s="2" customFormat="1" ht="15" x14ac:dyDescent="0.2"/>
    <row r="222" s="2" customFormat="1" ht="15" x14ac:dyDescent="0.2"/>
    <row r="223" s="2" customFormat="1" ht="15" x14ac:dyDescent="0.2"/>
    <row r="224" s="2" customFormat="1" ht="15" x14ac:dyDescent="0.2"/>
    <row r="225" s="2" customFormat="1" ht="15" x14ac:dyDescent="0.2"/>
    <row r="226" s="2" customFormat="1" ht="15" x14ac:dyDescent="0.2"/>
    <row r="227" s="2" customFormat="1" ht="15" x14ac:dyDescent="0.2"/>
    <row r="228" s="2" customFormat="1" ht="15" x14ac:dyDescent="0.2"/>
    <row r="229" s="2" customFormat="1" ht="15" x14ac:dyDescent="0.2"/>
    <row r="230" s="2" customFormat="1" ht="15" x14ac:dyDescent="0.2"/>
    <row r="231" s="2" customFormat="1" ht="15" x14ac:dyDescent="0.2"/>
    <row r="232" s="2" customFormat="1" ht="15" x14ac:dyDescent="0.2"/>
    <row r="233" s="2" customFormat="1" ht="15" x14ac:dyDescent="0.2"/>
    <row r="234" s="2" customFormat="1" ht="15" x14ac:dyDescent="0.2"/>
    <row r="235" s="2" customFormat="1" ht="15" x14ac:dyDescent="0.2"/>
    <row r="236" s="2" customFormat="1" ht="15" x14ac:dyDescent="0.2"/>
    <row r="237" s="2" customFormat="1" ht="15" x14ac:dyDescent="0.2"/>
    <row r="238" s="2" customFormat="1" ht="15" x14ac:dyDescent="0.2"/>
    <row r="239" s="2" customFormat="1" ht="15" x14ac:dyDescent="0.2"/>
    <row r="240" s="2" customFormat="1" ht="15" x14ac:dyDescent="0.2"/>
    <row r="241" s="2" customFormat="1" ht="15" x14ac:dyDescent="0.2"/>
    <row r="242" s="2" customFormat="1" ht="15" x14ac:dyDescent="0.2"/>
    <row r="243" s="2" customFormat="1" ht="15" x14ac:dyDescent="0.2"/>
    <row r="244" s="2" customFormat="1" ht="15" x14ac:dyDescent="0.2"/>
    <row r="245" s="2" customFormat="1" ht="15" x14ac:dyDescent="0.2"/>
    <row r="246" s="2" customFormat="1" ht="15" x14ac:dyDescent="0.2"/>
    <row r="247" s="2" customFormat="1" ht="15" x14ac:dyDescent="0.2"/>
    <row r="248" s="2" customFormat="1" ht="15" x14ac:dyDescent="0.2"/>
    <row r="249" s="2" customFormat="1" ht="15" x14ac:dyDescent="0.2"/>
    <row r="250" s="2" customFormat="1" ht="15" x14ac:dyDescent="0.2"/>
    <row r="251" s="2" customFormat="1" ht="15" x14ac:dyDescent="0.2"/>
    <row r="252" s="2" customFormat="1" ht="15" x14ac:dyDescent="0.2"/>
    <row r="253" s="2" customFormat="1" ht="15" x14ac:dyDescent="0.2"/>
    <row r="254" s="2" customFormat="1" ht="15" x14ac:dyDescent="0.2"/>
    <row r="255" s="2" customFormat="1" ht="15" x14ac:dyDescent="0.2"/>
    <row r="256" s="2" customFormat="1" ht="15" x14ac:dyDescent="0.2"/>
    <row r="257" s="2" customFormat="1" ht="15" x14ac:dyDescent="0.2"/>
    <row r="258" s="2" customFormat="1" ht="15" x14ac:dyDescent="0.2"/>
    <row r="259" s="2" customFormat="1" ht="15" x14ac:dyDescent="0.2"/>
    <row r="260" s="2" customFormat="1" ht="15" x14ac:dyDescent="0.2"/>
    <row r="261" s="2" customFormat="1" ht="15" x14ac:dyDescent="0.2"/>
    <row r="262" s="2" customFormat="1" ht="15" x14ac:dyDescent="0.2"/>
    <row r="263" s="2" customFormat="1" ht="15" x14ac:dyDescent="0.2"/>
    <row r="264" s="2" customFormat="1" ht="15" x14ac:dyDescent="0.2"/>
    <row r="265" s="2" customFormat="1" ht="15" x14ac:dyDescent="0.2"/>
    <row r="266" s="2" customFormat="1" ht="15" x14ac:dyDescent="0.2"/>
    <row r="267" s="2" customFormat="1" ht="15" x14ac:dyDescent="0.2"/>
    <row r="268" s="2" customFormat="1" ht="15" x14ac:dyDescent="0.2"/>
    <row r="269" s="2" customFormat="1" ht="15" x14ac:dyDescent="0.2"/>
    <row r="270" s="2" customFormat="1" ht="15" x14ac:dyDescent="0.2"/>
    <row r="271" s="2" customFormat="1" ht="15" x14ac:dyDescent="0.2"/>
    <row r="272" s="2" customFormat="1" ht="15" x14ac:dyDescent="0.2"/>
    <row r="273" s="2" customFormat="1" ht="15" x14ac:dyDescent="0.2"/>
    <row r="274" s="2" customFormat="1" ht="15" x14ac:dyDescent="0.2"/>
    <row r="275" s="2" customFormat="1" ht="15" x14ac:dyDescent="0.2"/>
    <row r="276" s="2" customFormat="1" ht="15" x14ac:dyDescent="0.2"/>
    <row r="277" s="2" customFormat="1" ht="15" x14ac:dyDescent="0.2"/>
    <row r="278" s="2" customFormat="1" ht="15" x14ac:dyDescent="0.2"/>
    <row r="279" s="2" customFormat="1" ht="15" x14ac:dyDescent="0.2"/>
    <row r="280" s="2" customFormat="1" ht="15" x14ac:dyDescent="0.2"/>
    <row r="281" s="2" customFormat="1" ht="15" x14ac:dyDescent="0.2"/>
    <row r="282" s="2" customFormat="1" ht="15" x14ac:dyDescent="0.2"/>
    <row r="283" s="2" customFormat="1" ht="15" x14ac:dyDescent="0.2"/>
    <row r="284" s="2" customFormat="1" ht="15" x14ac:dyDescent="0.2"/>
    <row r="285" s="2" customFormat="1" ht="15" x14ac:dyDescent="0.2"/>
    <row r="286" s="2" customFormat="1" ht="15" x14ac:dyDescent="0.2"/>
    <row r="287" s="2" customFormat="1" ht="15" x14ac:dyDescent="0.2"/>
    <row r="288" s="2" customFormat="1" ht="15" x14ac:dyDescent="0.2"/>
    <row r="289" s="2" customFormat="1" ht="15" x14ac:dyDescent="0.2"/>
    <row r="290" s="2" customFormat="1" ht="15" x14ac:dyDescent="0.2"/>
    <row r="291" s="2" customFormat="1" ht="15" x14ac:dyDescent="0.2"/>
    <row r="292" s="2" customFormat="1" ht="15" x14ac:dyDescent="0.2"/>
    <row r="293" s="2" customFormat="1" ht="15" x14ac:dyDescent="0.2"/>
    <row r="294" s="2" customFormat="1" ht="15" x14ac:dyDescent="0.2"/>
    <row r="295" s="2" customFormat="1" ht="15" x14ac:dyDescent="0.2"/>
    <row r="296" s="2" customFormat="1" ht="15" x14ac:dyDescent="0.2"/>
    <row r="297" s="2" customFormat="1" ht="15" x14ac:dyDescent="0.2"/>
    <row r="298" s="2" customFormat="1" ht="15" x14ac:dyDescent="0.2"/>
    <row r="299" s="2" customFormat="1" ht="15" x14ac:dyDescent="0.2"/>
    <row r="300" s="2" customFormat="1" ht="15" x14ac:dyDescent="0.2"/>
    <row r="301" s="2" customFormat="1" ht="15" x14ac:dyDescent="0.2"/>
    <row r="302" s="2" customFormat="1" ht="15" x14ac:dyDescent="0.2"/>
    <row r="303" s="2" customFormat="1" ht="15" x14ac:dyDescent="0.2"/>
    <row r="304" s="2" customFormat="1" ht="15" x14ac:dyDescent="0.2"/>
    <row r="305" s="2" customFormat="1" ht="15" x14ac:dyDescent="0.2"/>
    <row r="306" s="2" customFormat="1" ht="15" x14ac:dyDescent="0.2"/>
    <row r="307" s="2" customFormat="1" ht="15" x14ac:dyDescent="0.2"/>
    <row r="308" s="2" customFormat="1" ht="15" x14ac:dyDescent="0.2"/>
    <row r="309" s="2" customFormat="1" ht="15" x14ac:dyDescent="0.2"/>
    <row r="310" s="2" customFormat="1" ht="15" x14ac:dyDescent="0.2"/>
    <row r="311" s="2" customFormat="1" ht="15" x14ac:dyDescent="0.2"/>
    <row r="312" s="2" customFormat="1" ht="15" x14ac:dyDescent="0.2"/>
    <row r="313" s="2" customFormat="1" ht="15" x14ac:dyDescent="0.2"/>
    <row r="314" s="2" customFormat="1" ht="15" x14ac:dyDescent="0.2"/>
    <row r="315" s="2" customFormat="1" ht="15" x14ac:dyDescent="0.2"/>
    <row r="316" s="2" customFormat="1" ht="15" x14ac:dyDescent="0.2"/>
    <row r="317" s="2" customFormat="1" ht="15" x14ac:dyDescent="0.2"/>
    <row r="318" s="2" customFormat="1" ht="15" x14ac:dyDescent="0.2"/>
    <row r="319" s="2" customFormat="1" ht="15" x14ac:dyDescent="0.2"/>
    <row r="320" s="2" customFormat="1" ht="15" x14ac:dyDescent="0.2"/>
    <row r="321" s="2" customFormat="1" ht="15" x14ac:dyDescent="0.2"/>
    <row r="322" s="2" customFormat="1" ht="15" x14ac:dyDescent="0.2"/>
    <row r="323" s="2" customFormat="1" ht="15" x14ac:dyDescent="0.2"/>
    <row r="324" s="2" customFormat="1" ht="15" x14ac:dyDescent="0.2"/>
    <row r="325" s="2" customFormat="1" ht="15" x14ac:dyDescent="0.2"/>
    <row r="326" s="2" customFormat="1" ht="15" x14ac:dyDescent="0.2"/>
    <row r="327" s="2" customFormat="1" ht="15" x14ac:dyDescent="0.2"/>
    <row r="328" s="2" customFormat="1" ht="15" x14ac:dyDescent="0.2"/>
    <row r="329" s="2" customFormat="1" ht="15" x14ac:dyDescent="0.2"/>
    <row r="330" s="2" customFormat="1" ht="15" x14ac:dyDescent="0.2"/>
    <row r="331" s="2" customFormat="1" ht="15" x14ac:dyDescent="0.2"/>
    <row r="332" s="2" customFormat="1" ht="15" x14ac:dyDescent="0.2"/>
    <row r="333" s="2" customFormat="1" ht="15" x14ac:dyDescent="0.2"/>
    <row r="334" s="2" customFormat="1" ht="15" x14ac:dyDescent="0.2"/>
    <row r="335" s="2" customFormat="1" ht="15" x14ac:dyDescent="0.2"/>
    <row r="336" s="2" customFormat="1" ht="15" x14ac:dyDescent="0.2"/>
    <row r="337" s="2" customFormat="1" ht="15" x14ac:dyDescent="0.2"/>
    <row r="338" s="2" customFormat="1" ht="15" x14ac:dyDescent="0.2"/>
    <row r="339" s="2" customFormat="1" ht="15" x14ac:dyDescent="0.2"/>
    <row r="340" s="2" customFormat="1" ht="15" x14ac:dyDescent="0.2"/>
    <row r="341" s="2" customFormat="1" ht="15" x14ac:dyDescent="0.2"/>
    <row r="342" s="2" customFormat="1" ht="15" x14ac:dyDescent="0.2"/>
    <row r="343" s="2" customFormat="1" ht="15" x14ac:dyDescent="0.2"/>
    <row r="344" s="2" customFormat="1" ht="15" x14ac:dyDescent="0.2"/>
    <row r="345" s="2" customFormat="1" ht="15" x14ac:dyDescent="0.2"/>
    <row r="346" s="2" customFormat="1" ht="15" x14ac:dyDescent="0.2"/>
    <row r="347" s="2" customFormat="1" ht="15" x14ac:dyDescent="0.2"/>
    <row r="348" s="2" customFormat="1" ht="15" x14ac:dyDescent="0.2"/>
    <row r="349" s="2" customFormat="1" ht="15" x14ac:dyDescent="0.2"/>
    <row r="350" s="2" customFormat="1" ht="15" x14ac:dyDescent="0.2"/>
    <row r="351" s="2" customFormat="1" ht="15" x14ac:dyDescent="0.2"/>
    <row r="352" s="2" customFormat="1" ht="15" x14ac:dyDescent="0.2"/>
    <row r="353" s="2" customFormat="1" ht="15" x14ac:dyDescent="0.2"/>
    <row r="354" s="2" customFormat="1" ht="15" x14ac:dyDescent="0.2"/>
    <row r="355" s="2" customFormat="1" ht="15" x14ac:dyDescent="0.2"/>
    <row r="356" s="2" customFormat="1" ht="15" x14ac:dyDescent="0.2"/>
    <row r="357" s="2" customFormat="1" ht="15" x14ac:dyDescent="0.2"/>
    <row r="358" s="2" customFormat="1" ht="15" x14ac:dyDescent="0.2"/>
    <row r="359" s="2" customFormat="1" ht="15" x14ac:dyDescent="0.2"/>
    <row r="360" s="2" customFormat="1" ht="15" x14ac:dyDescent="0.2"/>
    <row r="361" s="2" customFormat="1" ht="15" x14ac:dyDescent="0.2"/>
    <row r="362" s="2" customFormat="1" ht="15" x14ac:dyDescent="0.2"/>
    <row r="363" s="2" customFormat="1" ht="15" x14ac:dyDescent="0.2"/>
    <row r="364" s="2" customFormat="1" ht="15" x14ac:dyDescent="0.2"/>
    <row r="365" s="2" customFormat="1" ht="15" x14ac:dyDescent="0.2"/>
    <row r="366" s="2" customFormat="1" ht="15" x14ac:dyDescent="0.2"/>
    <row r="367" s="2" customFormat="1" ht="15" x14ac:dyDescent="0.2"/>
    <row r="368" s="2" customFormat="1" ht="15" x14ac:dyDescent="0.2"/>
    <row r="369" s="2" customFormat="1" ht="15" x14ac:dyDescent="0.2"/>
    <row r="370" s="2" customFormat="1" ht="15" x14ac:dyDescent="0.2"/>
    <row r="371" s="2" customFormat="1" ht="15" x14ac:dyDescent="0.2"/>
    <row r="372" s="2" customFormat="1" ht="15" x14ac:dyDescent="0.2"/>
    <row r="373" s="2" customFormat="1" ht="15" x14ac:dyDescent="0.2"/>
    <row r="374" s="2" customFormat="1" ht="15" x14ac:dyDescent="0.2"/>
    <row r="375" s="2" customFormat="1" ht="15" x14ac:dyDescent="0.2"/>
    <row r="376" s="2" customFormat="1" ht="15" x14ac:dyDescent="0.2"/>
    <row r="377" s="2" customFormat="1" ht="15" x14ac:dyDescent="0.2"/>
    <row r="378" s="2" customFormat="1" ht="15" x14ac:dyDescent="0.2"/>
    <row r="379" s="2" customFormat="1" ht="15" x14ac:dyDescent="0.2"/>
    <row r="380" s="2" customFormat="1" ht="15" x14ac:dyDescent="0.2"/>
    <row r="381" s="2" customFormat="1" ht="15" x14ac:dyDescent="0.2"/>
    <row r="382" s="2" customFormat="1" ht="15" x14ac:dyDescent="0.2"/>
    <row r="383" s="2" customFormat="1" ht="15" x14ac:dyDescent="0.2"/>
    <row r="384" s="2" customFormat="1" ht="15" x14ac:dyDescent="0.2"/>
    <row r="385" s="2" customFormat="1" ht="15" x14ac:dyDescent="0.2"/>
    <row r="386" s="2" customFormat="1" ht="15" x14ac:dyDescent="0.2"/>
    <row r="387" s="2" customFormat="1" ht="15" x14ac:dyDescent="0.2"/>
    <row r="388" s="2" customFormat="1" ht="15" x14ac:dyDescent="0.2"/>
    <row r="389" s="2" customFormat="1" ht="15" x14ac:dyDescent="0.2"/>
    <row r="390" s="2" customFormat="1" ht="15" x14ac:dyDescent="0.2"/>
    <row r="391" s="2" customFormat="1" ht="15" x14ac:dyDescent="0.2"/>
    <row r="392" s="2" customFormat="1" ht="15" x14ac:dyDescent="0.2"/>
    <row r="393" s="2" customFormat="1" ht="15" x14ac:dyDescent="0.2"/>
    <row r="394" s="2" customFormat="1" ht="15" x14ac:dyDescent="0.2"/>
    <row r="395" s="2" customFormat="1" ht="15" x14ac:dyDescent="0.2"/>
    <row r="396" s="2" customFormat="1" ht="15" x14ac:dyDescent="0.2"/>
    <row r="397" s="2" customFormat="1" ht="15" x14ac:dyDescent="0.2"/>
    <row r="398" s="2" customFormat="1" ht="15" x14ac:dyDescent="0.2"/>
    <row r="399" s="2" customFormat="1" ht="15" x14ac:dyDescent="0.2"/>
    <row r="400" s="2" customFormat="1" ht="15" x14ac:dyDescent="0.2"/>
    <row r="401" s="2" customFormat="1" ht="15" x14ac:dyDescent="0.2"/>
    <row r="402" s="2" customFormat="1" ht="15" x14ac:dyDescent="0.2"/>
    <row r="403" s="2" customFormat="1" ht="15" x14ac:dyDescent="0.2"/>
    <row r="404" s="2" customFormat="1" ht="15" x14ac:dyDescent="0.2"/>
    <row r="405" s="2" customFormat="1" ht="15" x14ac:dyDescent="0.2"/>
    <row r="406" s="2" customFormat="1" ht="15" x14ac:dyDescent="0.2"/>
    <row r="407" s="2" customFormat="1" ht="15" x14ac:dyDescent="0.2"/>
    <row r="408" s="2" customFormat="1" ht="15" x14ac:dyDescent="0.2"/>
    <row r="409" s="2" customFormat="1" ht="15" x14ac:dyDescent="0.2"/>
    <row r="410" s="2" customFormat="1" ht="15" x14ac:dyDescent="0.2"/>
    <row r="411" s="2" customFormat="1" ht="15" x14ac:dyDescent="0.2"/>
    <row r="412" s="2" customFormat="1" ht="15" x14ac:dyDescent="0.2"/>
    <row r="413" s="2" customFormat="1" ht="15" x14ac:dyDescent="0.2"/>
    <row r="414" s="2" customFormat="1" ht="15" x14ac:dyDescent="0.2"/>
    <row r="415" s="2" customFormat="1" ht="15" x14ac:dyDescent="0.2"/>
    <row r="416" s="2" customFormat="1" ht="15" x14ac:dyDescent="0.2"/>
    <row r="417" s="2" customFormat="1" ht="15" x14ac:dyDescent="0.2"/>
    <row r="418" s="2" customFormat="1" ht="15" x14ac:dyDescent="0.2"/>
    <row r="419" s="2" customFormat="1" ht="15" x14ac:dyDescent="0.2"/>
    <row r="420" s="2" customFormat="1" ht="15" x14ac:dyDescent="0.2"/>
    <row r="421" s="2" customFormat="1" ht="15" x14ac:dyDescent="0.2"/>
    <row r="422" s="2" customFormat="1" ht="15" x14ac:dyDescent="0.2"/>
    <row r="423" s="2" customFormat="1" ht="15" x14ac:dyDescent="0.2"/>
    <row r="424" s="2" customFormat="1" ht="15" x14ac:dyDescent="0.2"/>
    <row r="425" s="2" customFormat="1" ht="15" x14ac:dyDescent="0.2"/>
    <row r="426" s="2" customFormat="1" ht="15" x14ac:dyDescent="0.2"/>
    <row r="427" s="2" customFormat="1" ht="15" x14ac:dyDescent="0.2"/>
    <row r="428" s="2" customFormat="1" ht="15" x14ac:dyDescent="0.2"/>
    <row r="429" s="2" customFormat="1" ht="15" x14ac:dyDescent="0.2"/>
    <row r="430" s="2" customFormat="1" ht="15" x14ac:dyDescent="0.2"/>
    <row r="431" s="2" customFormat="1" ht="15" x14ac:dyDescent="0.2"/>
    <row r="432" s="2" customFormat="1" ht="15" x14ac:dyDescent="0.2"/>
    <row r="433" s="2" customFormat="1" ht="15" x14ac:dyDescent="0.2"/>
    <row r="434" s="2" customFormat="1" ht="15" x14ac:dyDescent="0.2"/>
    <row r="435" s="2" customFormat="1" ht="15" x14ac:dyDescent="0.2"/>
    <row r="436" s="2" customFormat="1" ht="15" x14ac:dyDescent="0.2"/>
    <row r="437" s="2" customFormat="1" ht="15" x14ac:dyDescent="0.2"/>
    <row r="438" s="2" customFormat="1" ht="15" x14ac:dyDescent="0.2"/>
    <row r="439" s="2" customFormat="1" ht="15" x14ac:dyDescent="0.2"/>
    <row r="440" s="2" customFormat="1" ht="15" x14ac:dyDescent="0.2"/>
    <row r="441" s="2" customFormat="1" ht="15" x14ac:dyDescent="0.2"/>
    <row r="442" s="2" customFormat="1" ht="15" x14ac:dyDescent="0.2"/>
    <row r="443" s="2" customFormat="1" ht="15" x14ac:dyDescent="0.2"/>
    <row r="444" s="2" customFormat="1" ht="15" x14ac:dyDescent="0.2"/>
    <row r="445" s="2" customFormat="1" ht="15" x14ac:dyDescent="0.2"/>
    <row r="446" s="2" customFormat="1" ht="15" x14ac:dyDescent="0.2"/>
    <row r="447" s="2" customFormat="1" ht="15" x14ac:dyDescent="0.2"/>
    <row r="448" s="2" customFormat="1" ht="15" x14ac:dyDescent="0.2"/>
    <row r="449" s="2" customFormat="1" ht="15" x14ac:dyDescent="0.2"/>
    <row r="450" s="2" customFormat="1" ht="15" x14ac:dyDescent="0.2"/>
    <row r="451" s="2" customFormat="1" ht="15" x14ac:dyDescent="0.2"/>
    <row r="452" s="2" customFormat="1" ht="15" x14ac:dyDescent="0.2"/>
    <row r="453" s="2" customFormat="1" ht="15" x14ac:dyDescent="0.2"/>
    <row r="454" s="2" customFormat="1" ht="15" x14ac:dyDescent="0.2"/>
    <row r="455" s="2" customFormat="1" ht="15" x14ac:dyDescent="0.2"/>
    <row r="456" s="2" customFormat="1" ht="15" x14ac:dyDescent="0.2"/>
    <row r="457" s="2" customFormat="1" ht="15" x14ac:dyDescent="0.2"/>
    <row r="458" s="2" customFormat="1" ht="15" x14ac:dyDescent="0.2"/>
    <row r="459" s="2" customFormat="1" ht="15" x14ac:dyDescent="0.2"/>
    <row r="460" s="2" customFormat="1" ht="15" x14ac:dyDescent="0.2"/>
    <row r="461" s="2" customFormat="1" ht="15" x14ac:dyDescent="0.2"/>
    <row r="462" s="2" customFormat="1" ht="15" x14ac:dyDescent="0.2"/>
    <row r="463" s="2" customFormat="1" ht="15" x14ac:dyDescent="0.2"/>
    <row r="464" s="2" customFormat="1" ht="15" x14ac:dyDescent="0.2"/>
    <row r="465" s="2" customFormat="1" ht="15" x14ac:dyDescent="0.2"/>
    <row r="466" s="2" customFormat="1" ht="15" x14ac:dyDescent="0.2"/>
    <row r="467" s="2" customFormat="1" ht="15" x14ac:dyDescent="0.2"/>
    <row r="468" s="2" customFormat="1" ht="15" x14ac:dyDescent="0.2"/>
    <row r="469" s="2" customFormat="1" ht="15" x14ac:dyDescent="0.2"/>
    <row r="470" s="2" customFormat="1" ht="15" x14ac:dyDescent="0.2"/>
    <row r="471" s="2" customFormat="1" ht="15" x14ac:dyDescent="0.2"/>
    <row r="472" s="2" customFormat="1" ht="15" x14ac:dyDescent="0.2"/>
    <row r="473" s="2" customFormat="1" ht="15" x14ac:dyDescent="0.2"/>
    <row r="474" s="2" customFormat="1" ht="15" x14ac:dyDescent="0.2"/>
    <row r="475" s="2" customFormat="1" ht="15" x14ac:dyDescent="0.2"/>
    <row r="476" s="2" customFormat="1" ht="15" x14ac:dyDescent="0.2"/>
    <row r="477" s="2" customFormat="1" ht="15" x14ac:dyDescent="0.2"/>
    <row r="478" s="2" customFormat="1" ht="15" x14ac:dyDescent="0.2"/>
    <row r="479" s="2" customFormat="1" ht="15" x14ac:dyDescent="0.2"/>
    <row r="480" s="2" customFormat="1" ht="15" x14ac:dyDescent="0.2"/>
    <row r="481" s="2" customFormat="1" ht="15" x14ac:dyDescent="0.2"/>
    <row r="482" s="2" customFormat="1" ht="15" x14ac:dyDescent="0.2"/>
    <row r="483" s="2" customFormat="1" ht="15" x14ac:dyDescent="0.2"/>
    <row r="484" s="2" customFormat="1" ht="15" x14ac:dyDescent="0.2"/>
    <row r="485" s="2" customFormat="1" ht="15" x14ac:dyDescent="0.2"/>
    <row r="486" s="2" customFormat="1" ht="15" x14ac:dyDescent="0.2"/>
    <row r="487" s="2" customFormat="1" ht="15" x14ac:dyDescent="0.2"/>
    <row r="488" s="2" customFormat="1" ht="15" x14ac:dyDescent="0.2"/>
    <row r="489" s="2" customFormat="1" ht="15" x14ac:dyDescent="0.2"/>
    <row r="490" s="2" customFormat="1" ht="15" x14ac:dyDescent="0.2"/>
    <row r="491" s="2" customFormat="1" ht="15" x14ac:dyDescent="0.2"/>
    <row r="492" s="2" customFormat="1" ht="15" x14ac:dyDescent="0.2"/>
    <row r="493" s="2" customFormat="1" ht="15" x14ac:dyDescent="0.2"/>
    <row r="494" s="2" customFormat="1" ht="15" x14ac:dyDescent="0.2"/>
    <row r="495" s="2" customFormat="1" ht="15" x14ac:dyDescent="0.2"/>
    <row r="496" s="2" customFormat="1" ht="15" x14ac:dyDescent="0.2"/>
    <row r="497" s="2" customFormat="1" ht="15" x14ac:dyDescent="0.2"/>
    <row r="498" s="2" customFormat="1" ht="15" x14ac:dyDescent="0.2"/>
    <row r="499" s="2" customFormat="1" ht="15" x14ac:dyDescent="0.2"/>
    <row r="500" s="2" customFormat="1" ht="15" x14ac:dyDescent="0.2"/>
    <row r="501" s="2" customFormat="1" ht="15" x14ac:dyDescent="0.2"/>
    <row r="502" s="2" customFormat="1" ht="15" x14ac:dyDescent="0.2"/>
    <row r="503" s="2" customFormat="1" ht="15" x14ac:dyDescent="0.2"/>
    <row r="504" s="2" customFormat="1" ht="15" x14ac:dyDescent="0.2"/>
    <row r="505" s="2" customFormat="1" ht="15" x14ac:dyDescent="0.2"/>
    <row r="506" s="2" customFormat="1" ht="15" x14ac:dyDescent="0.2"/>
    <row r="507" s="2" customFormat="1" ht="15" x14ac:dyDescent="0.2"/>
    <row r="508" s="2" customFormat="1" ht="15" x14ac:dyDescent="0.2"/>
    <row r="509" s="2" customFormat="1" ht="15" x14ac:dyDescent="0.2"/>
    <row r="510" s="2" customFormat="1" ht="15" x14ac:dyDescent="0.2"/>
    <row r="511" s="2" customFormat="1" ht="15" x14ac:dyDescent="0.2"/>
    <row r="512" s="2" customFormat="1" ht="15" x14ac:dyDescent="0.2"/>
    <row r="513" s="2" customFormat="1" ht="15" x14ac:dyDescent="0.2"/>
    <row r="514" s="2" customFormat="1" ht="15" x14ac:dyDescent="0.2"/>
    <row r="515" s="2" customFormat="1" ht="15" x14ac:dyDescent="0.2"/>
    <row r="516" s="2" customFormat="1" ht="15" x14ac:dyDescent="0.2"/>
    <row r="517" s="2" customFormat="1" ht="15" x14ac:dyDescent="0.2"/>
    <row r="518" s="2" customFormat="1" ht="15" x14ac:dyDescent="0.2"/>
    <row r="519" s="2" customFormat="1" ht="15" x14ac:dyDescent="0.2"/>
    <row r="520" s="2" customFormat="1" ht="15" x14ac:dyDescent="0.2"/>
    <row r="521" s="2" customFormat="1" ht="15" x14ac:dyDescent="0.2"/>
    <row r="522" s="2" customFormat="1" ht="15" x14ac:dyDescent="0.2"/>
    <row r="523" s="2" customFormat="1" ht="15" x14ac:dyDescent="0.2"/>
    <row r="524" s="2" customFormat="1" ht="15" x14ac:dyDescent="0.2"/>
    <row r="525" s="2" customFormat="1" ht="15" x14ac:dyDescent="0.2"/>
    <row r="526" s="2" customFormat="1" ht="15" x14ac:dyDescent="0.2"/>
    <row r="527" s="2" customFormat="1" ht="15" x14ac:dyDescent="0.2"/>
    <row r="528" s="2" customFormat="1" ht="15" x14ac:dyDescent="0.2"/>
    <row r="529" s="2" customFormat="1" ht="15" x14ac:dyDescent="0.2"/>
    <row r="530" s="2" customFormat="1" ht="15" x14ac:dyDescent="0.2"/>
    <row r="531" s="2" customFormat="1" ht="15" x14ac:dyDescent="0.2"/>
    <row r="532" s="2" customFormat="1" ht="15" x14ac:dyDescent="0.2"/>
    <row r="533" s="2" customFormat="1" ht="15" x14ac:dyDescent="0.2"/>
    <row r="534" s="2" customFormat="1" ht="15" x14ac:dyDescent="0.2"/>
    <row r="535" s="2" customFormat="1" ht="15" x14ac:dyDescent="0.2"/>
    <row r="536" s="2" customFormat="1" ht="15" x14ac:dyDescent="0.2"/>
    <row r="537" s="2" customFormat="1" ht="15" x14ac:dyDescent="0.2"/>
    <row r="538" s="2" customFormat="1" ht="15" x14ac:dyDescent="0.2"/>
    <row r="539" s="2" customFormat="1" ht="15" x14ac:dyDescent="0.2"/>
    <row r="540" s="2" customFormat="1" ht="15" x14ac:dyDescent="0.2"/>
    <row r="541" s="2" customFormat="1" ht="15" x14ac:dyDescent="0.2"/>
    <row r="542" s="2" customFormat="1" ht="15" x14ac:dyDescent="0.2"/>
    <row r="543" s="2" customFormat="1" ht="15" x14ac:dyDescent="0.2"/>
    <row r="544" s="2" customFormat="1" ht="15" x14ac:dyDescent="0.2"/>
    <row r="545" s="2" customFormat="1" ht="15" x14ac:dyDescent="0.2"/>
    <row r="546" s="2" customFormat="1" ht="15" x14ac:dyDescent="0.2"/>
    <row r="547" s="2" customFormat="1" ht="15" x14ac:dyDescent="0.2"/>
    <row r="548" s="2" customFormat="1" ht="15" x14ac:dyDescent="0.2"/>
    <row r="549" s="2" customFormat="1" ht="15" x14ac:dyDescent="0.2"/>
    <row r="550" s="2" customFormat="1" ht="15" x14ac:dyDescent="0.2"/>
    <row r="551" s="2" customFormat="1" ht="15" x14ac:dyDescent="0.2"/>
    <row r="552" s="2" customFormat="1" ht="15" x14ac:dyDescent="0.2"/>
    <row r="553" s="2" customFormat="1" ht="15" x14ac:dyDescent="0.2"/>
    <row r="554" s="2" customFormat="1" ht="15" x14ac:dyDescent="0.2"/>
    <row r="555" s="2" customFormat="1" ht="15" x14ac:dyDescent="0.2"/>
    <row r="556" s="2" customFormat="1" ht="15" x14ac:dyDescent="0.2"/>
    <row r="557" s="2" customFormat="1" ht="15" x14ac:dyDescent="0.2"/>
    <row r="558" s="2" customFormat="1" ht="15" x14ac:dyDescent="0.2"/>
    <row r="559" s="2" customFormat="1" ht="15" x14ac:dyDescent="0.2"/>
    <row r="560" s="2" customFormat="1" ht="15" x14ac:dyDescent="0.2"/>
    <row r="561" s="2" customFormat="1" ht="15" x14ac:dyDescent="0.2"/>
    <row r="562" s="2" customFormat="1" ht="15" x14ac:dyDescent="0.2"/>
    <row r="563" s="2" customFormat="1" ht="15" x14ac:dyDescent="0.2"/>
    <row r="564" s="2" customFormat="1" ht="15" x14ac:dyDescent="0.2"/>
    <row r="565" s="2" customFormat="1" ht="15" x14ac:dyDescent="0.2"/>
    <row r="566" s="2" customFormat="1" ht="15" x14ac:dyDescent="0.2"/>
    <row r="567" s="2" customFormat="1" ht="15" x14ac:dyDescent="0.2"/>
    <row r="568" s="2" customFormat="1" ht="15" x14ac:dyDescent="0.2"/>
    <row r="569" s="2" customFormat="1" ht="15" x14ac:dyDescent="0.2"/>
    <row r="570" s="2" customFormat="1" ht="15" x14ac:dyDescent="0.2"/>
    <row r="571" s="2" customFormat="1" ht="15" x14ac:dyDescent="0.2"/>
    <row r="572" s="2" customFormat="1" ht="15" x14ac:dyDescent="0.2"/>
    <row r="573" s="2" customFormat="1" ht="15" x14ac:dyDescent="0.2"/>
    <row r="574" s="2" customFormat="1" ht="15" x14ac:dyDescent="0.2"/>
    <row r="575" s="2" customFormat="1" ht="15" x14ac:dyDescent="0.2"/>
    <row r="576" s="2" customFormat="1" ht="15" x14ac:dyDescent="0.2"/>
    <row r="577" s="2" customFormat="1" ht="15" x14ac:dyDescent="0.2"/>
    <row r="578" s="2" customFormat="1" ht="15" x14ac:dyDescent="0.2"/>
    <row r="579" s="2" customFormat="1" ht="15" x14ac:dyDescent="0.2"/>
    <row r="580" s="2" customFormat="1" ht="15" x14ac:dyDescent="0.2"/>
    <row r="581" s="2" customFormat="1" ht="15" x14ac:dyDescent="0.2"/>
    <row r="582" s="2" customFormat="1" ht="15" x14ac:dyDescent="0.2"/>
    <row r="583" s="2" customFormat="1" ht="15" x14ac:dyDescent="0.2"/>
    <row r="584" s="2" customFormat="1" ht="15" x14ac:dyDescent="0.2"/>
    <row r="585" s="2" customFormat="1" ht="15" x14ac:dyDescent="0.2"/>
    <row r="586" s="2" customFormat="1" ht="15" x14ac:dyDescent="0.2"/>
    <row r="587" s="2" customFormat="1" ht="15" x14ac:dyDescent="0.2"/>
    <row r="588" s="2" customFormat="1" ht="15" x14ac:dyDescent="0.2"/>
    <row r="589" s="2" customFormat="1" ht="15" x14ac:dyDescent="0.2"/>
    <row r="590" s="2" customFormat="1" ht="15" x14ac:dyDescent="0.2"/>
    <row r="591" s="2" customFormat="1" ht="15" x14ac:dyDescent="0.2"/>
    <row r="592" s="2" customFormat="1" ht="15" x14ac:dyDescent="0.2"/>
    <row r="593" s="2" customFormat="1" ht="15" x14ac:dyDescent="0.2"/>
    <row r="594" s="2" customFormat="1" ht="15" x14ac:dyDescent="0.2"/>
    <row r="595" s="2" customFormat="1" ht="15" x14ac:dyDescent="0.2"/>
    <row r="596" s="2" customFormat="1" ht="15" x14ac:dyDescent="0.2"/>
    <row r="597" s="2" customFormat="1" ht="15" x14ac:dyDescent="0.2"/>
    <row r="598" s="2" customFormat="1" ht="15" x14ac:dyDescent="0.2"/>
    <row r="599" s="2" customFormat="1" ht="15" x14ac:dyDescent="0.2"/>
    <row r="600" s="2" customFormat="1" ht="15" x14ac:dyDescent="0.2"/>
    <row r="601" s="2" customFormat="1" ht="15" x14ac:dyDescent="0.2"/>
    <row r="602" s="2" customFormat="1" ht="15" x14ac:dyDescent="0.2"/>
    <row r="603" s="2" customFormat="1" ht="15" x14ac:dyDescent="0.2"/>
    <row r="604" s="2" customFormat="1" ht="15" x14ac:dyDescent="0.2"/>
    <row r="605" s="2" customFormat="1" ht="15" x14ac:dyDescent="0.2"/>
    <row r="606" s="2" customFormat="1" ht="15" x14ac:dyDescent="0.2"/>
    <row r="607" s="2" customFormat="1" ht="15" x14ac:dyDescent="0.2"/>
    <row r="608" s="2" customFormat="1" ht="15" x14ac:dyDescent="0.2"/>
    <row r="609" spans="1:45" ht="15" x14ac:dyDescent="0.2">
      <c r="A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</row>
    <row r="610" spans="1:45" ht="15" x14ac:dyDescent="0.2">
      <c r="A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</row>
    <row r="611" spans="1:45" ht="15" x14ac:dyDescent="0.2">
      <c r="A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</row>
    <row r="612" spans="1:45" ht="15" x14ac:dyDescent="0.2">
      <c r="A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</row>
    <row r="613" spans="1:45" ht="15" x14ac:dyDescent="0.2">
      <c r="A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</row>
    <row r="614" spans="1:45" ht="15" x14ac:dyDescent="0.2">
      <c r="A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</row>
    <row r="615" spans="1:45" ht="15" x14ac:dyDescent="0.2">
      <c r="A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</row>
    <row r="616" spans="1:45" ht="15" x14ac:dyDescent="0.2">
      <c r="A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</row>
    <row r="617" spans="1:45" x14ac:dyDescent="0.2">
      <c r="L617" s="2"/>
    </row>
  </sheetData>
  <sheetProtection formatRows="0" insertColumns="0" insertRows="0" insertHyperlinks="0" deleteColumns="0" deleteRows="0" sort="0" autoFilter="0" pivotTables="0"/>
  <mergeCells count="67">
    <mergeCell ref="A90:A92"/>
    <mergeCell ref="B90:B92"/>
    <mergeCell ref="B81:B84"/>
    <mergeCell ref="A60:B60"/>
    <mergeCell ref="A67:B67"/>
    <mergeCell ref="A68:A72"/>
    <mergeCell ref="B68:B72"/>
    <mergeCell ref="A74:A79"/>
    <mergeCell ref="B74:B79"/>
    <mergeCell ref="A80:B80"/>
    <mergeCell ref="A81:A84"/>
    <mergeCell ref="A85:B85"/>
    <mergeCell ref="A86:A88"/>
    <mergeCell ref="B86:B88"/>
    <mergeCell ref="A89:C89"/>
    <mergeCell ref="B61:B66"/>
    <mergeCell ref="A93:C93"/>
    <mergeCell ref="A100:B100"/>
    <mergeCell ref="A101:B101"/>
    <mergeCell ref="A102:B102"/>
    <mergeCell ref="A94:E94"/>
    <mergeCell ref="A61:A66"/>
    <mergeCell ref="A73:B73"/>
    <mergeCell ref="A47:A59"/>
    <mergeCell ref="B47:B59"/>
    <mergeCell ref="T12:V12"/>
    <mergeCell ref="A16:A17"/>
    <mergeCell ref="B16:B17"/>
    <mergeCell ref="A18:B18"/>
    <mergeCell ref="C59:E59"/>
    <mergeCell ref="A46:B46"/>
    <mergeCell ref="A41:A45"/>
    <mergeCell ref="B41:B45"/>
    <mergeCell ref="A40:B40"/>
    <mergeCell ref="A14:A15"/>
    <mergeCell ref="B14:B15"/>
    <mergeCell ref="C14:C15"/>
    <mergeCell ref="A31:B31"/>
    <mergeCell ref="A32:A39"/>
    <mergeCell ref="B32:B39"/>
    <mergeCell ref="A29:B29"/>
    <mergeCell ref="A19:A20"/>
    <mergeCell ref="B19:B20"/>
    <mergeCell ref="A21:B21"/>
    <mergeCell ref="A22:A26"/>
    <mergeCell ref="B22:B26"/>
    <mergeCell ref="A1:P1"/>
    <mergeCell ref="A2:P2"/>
    <mergeCell ref="A10:P10"/>
    <mergeCell ref="A12:A13"/>
    <mergeCell ref="C12:C13"/>
    <mergeCell ref="D12:E13"/>
    <mergeCell ref="F12:F13"/>
    <mergeCell ref="B12:B13"/>
    <mergeCell ref="N12:N13"/>
    <mergeCell ref="P12:P13"/>
    <mergeCell ref="C6:J6"/>
    <mergeCell ref="C7:J7"/>
    <mergeCell ref="M7:N7"/>
    <mergeCell ref="O7:P7"/>
    <mergeCell ref="M8:N8"/>
    <mergeCell ref="O8:P8"/>
    <mergeCell ref="D14:E15"/>
    <mergeCell ref="F14:F15"/>
    <mergeCell ref="N14:N15"/>
    <mergeCell ref="P14:P15"/>
    <mergeCell ref="F94:G94"/>
  </mergeCells>
  <printOptions horizontalCentered="1"/>
  <pageMargins left="0.2" right="0.2" top="0" bottom="0" header="0" footer="0"/>
  <pageSetup paperSize="9" scale="45" orientation="landscape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tabColor rgb="FF00B050"/>
  </sheetPr>
  <dimension ref="A1:DL682"/>
  <sheetViews>
    <sheetView showGridLines="0" showZeros="0" zoomScale="60" zoomScaleNormal="60" workbookViewId="0">
      <pane xSplit="2" ySplit="13" topLeftCell="C152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N174" sqref="N174"/>
    </sheetView>
  </sheetViews>
  <sheetFormatPr defaultColWidth="9.140625" defaultRowHeight="18.75" x14ac:dyDescent="0.25"/>
  <cols>
    <col min="1" max="1" width="8.85546875" style="57" customWidth="1"/>
    <col min="2" max="2" width="41.7109375" style="2" customWidth="1"/>
    <col min="3" max="3" width="13.28515625" style="13" customWidth="1"/>
    <col min="4" max="4" width="9.42578125" style="16" customWidth="1"/>
    <col min="5" max="5" width="11.140625" style="15" customWidth="1"/>
    <col min="6" max="6" width="11.85546875" style="141" customWidth="1"/>
    <col min="7" max="7" width="9.7109375" style="328" hidden="1" customWidth="1"/>
    <col min="8" max="8" width="18.85546875" style="202" customWidth="1"/>
    <col min="9" max="9" width="14.5703125" style="295" hidden="1" customWidth="1"/>
    <col min="10" max="10" width="16.85546875" style="228" customWidth="1"/>
    <col min="11" max="12" width="11.42578125" style="228" hidden="1" customWidth="1"/>
    <col min="13" max="13" width="6.5703125" style="322" hidden="1" customWidth="1"/>
    <col min="14" max="14" width="17.140625" style="203" customWidth="1"/>
    <col min="15" max="15" width="6" style="203" hidden="1" customWidth="1"/>
    <col min="16" max="16" width="9.28515625" style="203" hidden="1" customWidth="1"/>
    <col min="17" max="17" width="5.42578125" style="328" hidden="1" customWidth="1"/>
    <col min="18" max="18" width="16.85546875" style="217" customWidth="1"/>
    <col min="19" max="19" width="5.42578125" style="220" hidden="1" customWidth="1"/>
    <col min="20" max="20" width="17.7109375" style="205" customWidth="1"/>
    <col min="21" max="21" width="8.7109375" style="220" hidden="1" customWidth="1"/>
    <col min="22" max="22" width="18.5703125" style="203" hidden="1" customWidth="1"/>
    <col min="23" max="23" width="11.140625" style="328" hidden="1" customWidth="1"/>
    <col min="24" max="24" width="19.28515625" style="202" customWidth="1"/>
    <col min="25" max="25" width="11.42578125" style="263" customWidth="1"/>
    <col min="26" max="26" width="12.7109375" customWidth="1"/>
    <col min="27" max="27" width="14.42578125" style="263" customWidth="1"/>
    <col min="28" max="28" width="14.5703125" style="723" customWidth="1"/>
    <col min="29" max="29" width="39.85546875" style="784" hidden="1" customWidth="1"/>
    <col min="30" max="30" width="15" style="823" customWidth="1"/>
    <col min="31" max="31" width="20.7109375" style="823" customWidth="1"/>
    <col min="32" max="32" width="9.140625" style="553" customWidth="1"/>
    <col min="33" max="33" width="13.7109375" style="712" customWidth="1"/>
    <col min="34" max="34" width="15" style="713" customWidth="1"/>
    <col min="35" max="35" width="14.5703125" style="712" customWidth="1"/>
    <col min="36" max="36" width="12.42578125" style="712" customWidth="1"/>
    <col min="37" max="37" width="9.140625" style="553" customWidth="1"/>
    <col min="38" max="38" width="9.140625" style="690" customWidth="1"/>
    <col min="39" max="43" width="9.140625" style="679" customWidth="1"/>
    <col min="44" max="54" width="9.140625" style="682" customWidth="1"/>
    <col min="55" max="16384" width="9.140625" style="2"/>
  </cols>
  <sheetData>
    <row r="1" spans="1:54" ht="17.25" customHeight="1" x14ac:dyDescent="0.25">
      <c r="A1" s="2148" t="s">
        <v>445</v>
      </c>
      <c r="B1" s="2148"/>
      <c r="C1" s="2148"/>
      <c r="D1" s="2148"/>
      <c r="E1" s="2148"/>
      <c r="F1" s="2148"/>
      <c r="G1" s="2148"/>
      <c r="H1" s="2148"/>
      <c r="I1" s="2148"/>
      <c r="J1" s="2148"/>
      <c r="K1" s="2148"/>
      <c r="L1" s="2148"/>
      <c r="M1" s="2148"/>
      <c r="N1" s="2148"/>
      <c r="O1" s="2148"/>
      <c r="P1" s="2148"/>
      <c r="Q1" s="2148"/>
      <c r="R1" s="2148"/>
      <c r="S1" s="2148"/>
      <c r="T1" s="2148"/>
      <c r="U1" s="2148"/>
      <c r="V1" s="2148"/>
      <c r="W1" s="2148"/>
      <c r="X1" s="2148"/>
      <c r="Y1" s="2148"/>
      <c r="Z1" s="2148"/>
      <c r="AA1" s="2148"/>
      <c r="AB1" s="2148"/>
      <c r="AD1" s="792"/>
      <c r="AE1" s="793"/>
      <c r="AF1" s="550"/>
      <c r="AG1" s="697"/>
      <c r="AH1" s="698"/>
      <c r="AI1" s="697"/>
      <c r="AJ1" s="697"/>
      <c r="AK1" s="550"/>
      <c r="AL1" s="679"/>
    </row>
    <row r="2" spans="1:54" ht="15.75" x14ac:dyDescent="0.25">
      <c r="A2" s="2329" t="s">
        <v>446</v>
      </c>
      <c r="B2" s="2329"/>
      <c r="C2" s="2329"/>
      <c r="D2" s="2329"/>
      <c r="E2" s="2329"/>
      <c r="F2" s="2329"/>
      <c r="G2" s="2329"/>
      <c r="H2" s="2329"/>
      <c r="I2" s="2329"/>
      <c r="J2" s="2329"/>
      <c r="K2" s="2329"/>
      <c r="L2" s="2329"/>
      <c r="M2" s="2329"/>
      <c r="N2" s="2329"/>
      <c r="O2" s="2329"/>
      <c r="P2" s="2329"/>
      <c r="Q2" s="2329"/>
      <c r="R2" s="2329"/>
      <c r="S2" s="2329"/>
      <c r="T2" s="2329"/>
      <c r="U2" s="2329"/>
      <c r="V2" s="2329"/>
      <c r="W2" s="2329"/>
      <c r="X2" s="2329"/>
      <c r="Y2" s="2329"/>
      <c r="Z2" s="2329"/>
      <c r="AA2" s="2329"/>
      <c r="AB2" s="2329"/>
      <c r="AD2" s="787"/>
      <c r="AE2" s="787"/>
      <c r="AF2" s="550"/>
      <c r="AG2" s="697"/>
      <c r="AH2" s="698"/>
      <c r="AI2" s="697"/>
      <c r="AJ2" s="697"/>
      <c r="AK2" s="550"/>
      <c r="AL2" s="679"/>
    </row>
    <row r="3" spans="1:54" ht="15.75" x14ac:dyDescent="0.25">
      <c r="A3" s="152" t="s">
        <v>133</v>
      </c>
      <c r="B3" s="152"/>
      <c r="C3" s="152"/>
      <c r="D3" s="152"/>
      <c r="E3" s="152"/>
      <c r="F3" s="219"/>
      <c r="G3" s="219"/>
      <c r="H3" s="201"/>
      <c r="I3" s="219"/>
      <c r="J3" s="227"/>
      <c r="K3" s="227"/>
      <c r="L3" s="227"/>
      <c r="M3" s="263"/>
      <c r="N3" s="201"/>
      <c r="O3" s="201"/>
      <c r="P3" s="201"/>
      <c r="Q3" s="219"/>
      <c r="R3" s="530"/>
      <c r="S3" s="339"/>
      <c r="T3" s="609" t="s">
        <v>317</v>
      </c>
      <c r="U3" s="339"/>
      <c r="V3" s="343"/>
      <c r="W3" s="339"/>
      <c r="X3" s="201"/>
      <c r="Y3" s="538" t="s">
        <v>319</v>
      </c>
      <c r="Z3" s="695">
        <f>'Stock Rawmaterial'!N3</f>
        <v>46279</v>
      </c>
      <c r="AA3" s="328" t="s">
        <v>463</v>
      </c>
      <c r="AB3" s="722">
        <f>'Stock Rawmaterial'!P3</f>
        <v>46284</v>
      </c>
      <c r="AD3" s="787"/>
      <c r="AE3" s="787"/>
      <c r="AF3" s="550"/>
      <c r="AG3" s="697"/>
      <c r="AH3" s="698"/>
      <c r="AI3" s="697"/>
      <c r="AJ3" s="697"/>
      <c r="AK3" s="550"/>
      <c r="AL3" s="679"/>
    </row>
    <row r="4" spans="1:54" ht="15.75" x14ac:dyDescent="0.25">
      <c r="A4" s="3" t="s">
        <v>4</v>
      </c>
      <c r="B4" s="3"/>
      <c r="C4" s="3"/>
      <c r="D4" s="3"/>
      <c r="E4" s="3"/>
      <c r="F4" s="3"/>
      <c r="G4" s="320"/>
      <c r="H4" s="3"/>
      <c r="I4" s="320"/>
      <c r="J4" s="3"/>
      <c r="K4" s="3"/>
      <c r="L4" s="3"/>
      <c r="M4" s="320"/>
      <c r="N4" s="3"/>
      <c r="O4" s="3"/>
      <c r="P4" s="3"/>
      <c r="Q4" s="320"/>
      <c r="R4" s="3"/>
      <c r="S4" s="320"/>
      <c r="T4" s="610" t="s">
        <v>318</v>
      </c>
      <c r="U4" s="3"/>
      <c r="V4" s="342"/>
      <c r="W4" s="320"/>
      <c r="X4" s="3"/>
      <c r="Y4" s="538" t="s">
        <v>319</v>
      </c>
      <c r="Z4" s="695">
        <f>'Stock Rawmaterial'!N4</f>
        <v>46286</v>
      </c>
      <c r="AA4" s="328" t="s">
        <v>463</v>
      </c>
      <c r="AB4" s="722">
        <f>'Stock Rawmaterial'!P4</f>
        <v>46291</v>
      </c>
      <c r="AD4" s="787"/>
      <c r="AE4" s="787"/>
      <c r="AF4" s="550"/>
      <c r="AG4" s="697"/>
      <c r="AH4" s="698"/>
      <c r="AI4" s="697"/>
      <c r="AJ4" s="697"/>
      <c r="AK4" s="550"/>
      <c r="AL4" s="679"/>
    </row>
    <row r="5" spans="1:54" x14ac:dyDescent="0.25">
      <c r="B5" s="3"/>
      <c r="R5" s="204"/>
      <c r="T5" s="203"/>
      <c r="Y5" s="548"/>
      <c r="AD5" s="787"/>
      <c r="AE5" s="787"/>
      <c r="AF5" s="550"/>
      <c r="AG5" s="697"/>
      <c r="AH5" s="698"/>
      <c r="AI5" s="697"/>
      <c r="AJ5" s="697"/>
      <c r="AK5" s="550"/>
      <c r="AL5" s="679"/>
    </row>
    <row r="6" spans="1:54" ht="23.25" thickBot="1" x14ac:dyDescent="0.3">
      <c r="A6" s="57" t="s">
        <v>30</v>
      </c>
      <c r="B6" s="192" t="s">
        <v>553</v>
      </c>
      <c r="C6" s="2168" t="s">
        <v>134</v>
      </c>
      <c r="D6" s="2168"/>
      <c r="E6" s="2168"/>
      <c r="F6" s="2168"/>
      <c r="G6" s="2168"/>
      <c r="H6" s="2168"/>
      <c r="I6" s="2168"/>
      <c r="J6" s="2168"/>
      <c r="K6" s="2168"/>
      <c r="L6" s="2168"/>
      <c r="M6" s="2168"/>
      <c r="N6" s="2168"/>
      <c r="O6" s="2168"/>
      <c r="P6" s="2168"/>
      <c r="Q6" s="2168"/>
      <c r="R6" s="2168"/>
      <c r="S6" s="350"/>
      <c r="T6" s="153"/>
      <c r="U6" s="153"/>
      <c r="V6" s="153"/>
      <c r="W6" s="350"/>
      <c r="X6" s="623"/>
      <c r="Y6" s="350"/>
      <c r="Z6" s="545"/>
      <c r="AA6" s="350"/>
      <c r="AB6" s="724"/>
      <c r="AD6" s="787"/>
      <c r="AE6" s="787"/>
      <c r="AF6" s="550"/>
      <c r="AG6" s="697"/>
      <c r="AH6" s="698"/>
      <c r="AI6" s="697"/>
      <c r="AJ6" s="697"/>
      <c r="AK6" s="550"/>
      <c r="AL6" s="679"/>
    </row>
    <row r="7" spans="1:54" ht="18" customHeight="1" x14ac:dyDescent="0.25">
      <c r="A7" s="57" t="s">
        <v>32</v>
      </c>
      <c r="B7" s="192" t="s">
        <v>31</v>
      </c>
      <c r="C7" s="153"/>
      <c r="D7" s="153"/>
      <c r="E7" s="153"/>
      <c r="F7" s="153"/>
      <c r="G7" s="350"/>
      <c r="H7" s="153"/>
      <c r="I7" s="350"/>
      <c r="J7" s="153"/>
      <c r="K7" s="153"/>
      <c r="L7" s="153"/>
      <c r="M7" s="350"/>
      <c r="N7" s="153"/>
      <c r="O7" s="153"/>
      <c r="P7" s="153"/>
      <c r="Q7" s="350"/>
      <c r="R7" s="153"/>
      <c r="S7" s="350"/>
      <c r="T7" s="608" t="s">
        <v>320</v>
      </c>
      <c r="U7" s="153"/>
      <c r="V7" s="344"/>
      <c r="W7" s="350"/>
      <c r="X7" s="386">
        <f>'Stock Rawmaterial'!L7</f>
        <v>46286</v>
      </c>
      <c r="Y7" s="2173" t="s">
        <v>310</v>
      </c>
      <c r="Z7" s="2174"/>
      <c r="AA7" s="2171" t="s">
        <v>311</v>
      </c>
      <c r="AB7" s="2172"/>
      <c r="AD7" s="787"/>
      <c r="AE7" s="787"/>
      <c r="AF7" s="550"/>
      <c r="AG7" s="697"/>
      <c r="AH7" s="698"/>
      <c r="AI7" s="697"/>
      <c r="AJ7" s="697"/>
      <c r="AK7" s="550"/>
      <c r="AL7" s="679"/>
    </row>
    <row r="8" spans="1:54" ht="18" customHeight="1" thickBot="1" x14ac:dyDescent="0.3">
      <c r="A8" s="57" t="s">
        <v>2</v>
      </c>
      <c r="B8" s="191" t="s">
        <v>196</v>
      </c>
      <c r="C8" s="14"/>
      <c r="D8" s="27"/>
      <c r="E8" s="9"/>
      <c r="F8" s="220"/>
      <c r="G8" s="220"/>
      <c r="H8" s="200"/>
      <c r="I8" s="8"/>
      <c r="J8" s="229"/>
      <c r="K8" s="229"/>
      <c r="L8" s="229"/>
      <c r="M8" s="323"/>
      <c r="N8" s="205"/>
      <c r="O8" s="205"/>
      <c r="P8" s="205"/>
      <c r="Q8" s="220"/>
      <c r="R8" s="204"/>
      <c r="V8" s="205"/>
      <c r="W8" s="220"/>
      <c r="X8" s="200"/>
      <c r="Y8" s="2330" t="s">
        <v>307</v>
      </c>
      <c r="Z8" s="2331"/>
      <c r="AA8" s="2327" t="s">
        <v>307</v>
      </c>
      <c r="AB8" s="2328"/>
      <c r="AD8" s="787"/>
      <c r="AE8" s="787"/>
      <c r="AF8" s="550"/>
      <c r="AG8" s="697"/>
      <c r="AH8" s="698"/>
      <c r="AI8" s="697"/>
      <c r="AJ8" s="697"/>
      <c r="AK8" s="550"/>
      <c r="AL8" s="679"/>
    </row>
    <row r="9" spans="1:54" ht="15.75" hidden="1" customHeight="1" x14ac:dyDescent="0.25">
      <c r="B9" s="7"/>
      <c r="C9" s="14"/>
      <c r="G9" s="220"/>
      <c r="H9" s="200"/>
      <c r="I9" s="8"/>
      <c r="J9" s="229"/>
      <c r="K9" s="229"/>
      <c r="L9" s="229"/>
      <c r="M9" s="323"/>
      <c r="N9" s="205"/>
      <c r="O9" s="205"/>
      <c r="P9" s="205"/>
      <c r="Q9" s="220"/>
      <c r="R9" s="204"/>
      <c r="V9" s="205"/>
      <c r="W9" s="220"/>
      <c r="X9" s="200"/>
      <c r="Y9" s="368"/>
      <c r="AA9" s="368"/>
      <c r="AD9" s="787"/>
      <c r="AE9" s="787"/>
      <c r="AF9" s="550"/>
      <c r="AG9" s="697"/>
      <c r="AH9" s="698"/>
      <c r="AI9" s="697"/>
      <c r="AJ9" s="697"/>
      <c r="AK9" s="550"/>
      <c r="AL9" s="679"/>
    </row>
    <row r="10" spans="1:54" ht="27.75" hidden="1" customHeight="1" x14ac:dyDescent="0.25">
      <c r="A10" s="2150"/>
      <c r="B10" s="2150"/>
      <c r="C10" s="2150"/>
      <c r="D10" s="2150"/>
      <c r="E10" s="2150"/>
      <c r="F10" s="2150"/>
      <c r="G10" s="2150"/>
      <c r="H10" s="2150"/>
      <c r="I10" s="2150"/>
      <c r="J10" s="2150"/>
      <c r="K10" s="2150"/>
      <c r="L10" s="2150"/>
      <c r="M10" s="2150"/>
      <c r="N10" s="2150"/>
      <c r="O10" s="2150"/>
      <c r="P10" s="2150"/>
      <c r="Q10" s="2150"/>
      <c r="R10" s="2150"/>
      <c r="S10" s="2150"/>
      <c r="T10" s="2150"/>
      <c r="U10" s="2150"/>
      <c r="V10" s="2150"/>
      <c r="W10" s="2150"/>
      <c r="X10" s="2150"/>
      <c r="Y10" s="2150"/>
      <c r="Z10" s="2150"/>
      <c r="AA10" s="2150"/>
      <c r="AB10" s="2150"/>
      <c r="AD10" s="787"/>
      <c r="AE10" s="787"/>
      <c r="AF10" s="550"/>
      <c r="AG10" s="697"/>
      <c r="AH10" s="698"/>
      <c r="AI10" s="697"/>
      <c r="AJ10" s="697"/>
      <c r="AK10" s="550"/>
      <c r="AL10" s="679"/>
    </row>
    <row r="11" spans="1:54" ht="20.25" hidden="1" customHeight="1" thickBot="1" x14ac:dyDescent="0.3">
      <c r="B11" s="6"/>
      <c r="C11" s="14"/>
      <c r="G11" s="220"/>
      <c r="H11" s="200"/>
      <c r="I11" s="8"/>
      <c r="J11" s="229"/>
      <c r="K11" s="229"/>
      <c r="L11" s="229"/>
      <c r="M11" s="323"/>
      <c r="N11" s="205"/>
      <c r="O11" s="205"/>
      <c r="P11" s="205"/>
      <c r="Q11" s="220"/>
      <c r="R11" s="204"/>
      <c r="V11" s="205"/>
      <c r="W11" s="220"/>
      <c r="X11" s="200"/>
      <c r="Y11" s="368"/>
      <c r="AA11" s="368"/>
      <c r="AD11" s="787"/>
      <c r="AE11" s="787"/>
      <c r="AF11" s="550"/>
      <c r="AG11" s="697"/>
      <c r="AH11" s="698"/>
      <c r="AI11" s="697"/>
      <c r="AJ11" s="697"/>
      <c r="AK11" s="550"/>
      <c r="AL11" s="679"/>
    </row>
    <row r="12" spans="1:54" s="397" customFormat="1" ht="38.25" customHeight="1" x14ac:dyDescent="0.25">
      <c r="A12" s="2311" t="s">
        <v>0</v>
      </c>
      <c r="B12" s="652" t="s">
        <v>1</v>
      </c>
      <c r="C12" s="2313" t="s">
        <v>41</v>
      </c>
      <c r="D12" s="2315" t="s">
        <v>321</v>
      </c>
      <c r="E12" s="2316"/>
      <c r="F12" s="2319" t="s">
        <v>6</v>
      </c>
      <c r="G12" s="2321" t="s">
        <v>5</v>
      </c>
      <c r="H12" s="2322"/>
      <c r="I12" s="2321" t="s">
        <v>11</v>
      </c>
      <c r="J12" s="2322"/>
      <c r="K12" s="2323" t="s">
        <v>304</v>
      </c>
      <c r="L12" s="2324"/>
      <c r="M12" s="2323" t="s">
        <v>316</v>
      </c>
      <c r="N12" s="2324"/>
      <c r="O12" s="2323" t="s">
        <v>305</v>
      </c>
      <c r="P12" s="2324"/>
      <c r="Q12" s="2325" t="s">
        <v>307</v>
      </c>
      <c r="R12" s="2326"/>
      <c r="S12" s="2323" t="s">
        <v>315</v>
      </c>
      <c r="T12" s="2324"/>
      <c r="U12" s="2323" t="s">
        <v>306</v>
      </c>
      <c r="V12" s="2324"/>
      <c r="W12" s="2323" t="s">
        <v>12</v>
      </c>
      <c r="X12" s="2324"/>
      <c r="Y12" s="653" t="s">
        <v>313</v>
      </c>
      <c r="Z12" s="654" t="s">
        <v>312</v>
      </c>
      <c r="AA12" s="655" t="s">
        <v>314</v>
      </c>
      <c r="AB12" s="725" t="s">
        <v>312</v>
      </c>
      <c r="AC12" s="795"/>
      <c r="AD12" s="797"/>
      <c r="AE12" s="797"/>
      <c r="AF12" s="551"/>
      <c r="AG12" s="699"/>
      <c r="AH12" s="700"/>
      <c r="AI12" s="699"/>
      <c r="AJ12" s="699"/>
      <c r="AK12" s="551"/>
      <c r="AL12" s="680"/>
      <c r="AM12" s="680"/>
      <c r="AN12" s="680"/>
      <c r="AO12" s="680"/>
      <c r="AP12" s="680"/>
      <c r="AQ12" s="680"/>
      <c r="AR12" s="701"/>
      <c r="AS12" s="701"/>
      <c r="AT12" s="701"/>
      <c r="AU12" s="701"/>
      <c r="AV12" s="701"/>
      <c r="AW12" s="701"/>
      <c r="AX12" s="701"/>
      <c r="AY12" s="701"/>
      <c r="AZ12" s="701"/>
      <c r="BA12" s="701"/>
      <c r="BB12" s="701"/>
    </row>
    <row r="13" spans="1:54" s="397" customFormat="1" ht="34.5" customHeight="1" thickBot="1" x14ac:dyDescent="0.3">
      <c r="A13" s="2312"/>
      <c r="B13" s="656" t="s">
        <v>322</v>
      </c>
      <c r="C13" s="2314"/>
      <c r="D13" s="2317"/>
      <c r="E13" s="2318"/>
      <c r="F13" s="2320"/>
      <c r="G13" s="657" t="s">
        <v>302</v>
      </c>
      <c r="H13" s="658" t="s">
        <v>303</v>
      </c>
      <c r="I13" s="657" t="s">
        <v>302</v>
      </c>
      <c r="J13" s="658" t="s">
        <v>303</v>
      </c>
      <c r="K13" s="659" t="s">
        <v>302</v>
      </c>
      <c r="L13" s="658" t="s">
        <v>303</v>
      </c>
      <c r="M13" s="657" t="s">
        <v>302</v>
      </c>
      <c r="N13" s="658" t="s">
        <v>303</v>
      </c>
      <c r="O13" s="659" t="s">
        <v>302</v>
      </c>
      <c r="P13" s="658" t="s">
        <v>303</v>
      </c>
      <c r="Q13" s="657" t="s">
        <v>302</v>
      </c>
      <c r="R13" s="658" t="s">
        <v>303</v>
      </c>
      <c r="S13" s="657" t="s">
        <v>302</v>
      </c>
      <c r="T13" s="658" t="s">
        <v>303</v>
      </c>
      <c r="U13" s="659" t="s">
        <v>302</v>
      </c>
      <c r="V13" s="658" t="s">
        <v>303</v>
      </c>
      <c r="W13" s="657" t="s">
        <v>302</v>
      </c>
      <c r="X13" s="658" t="s">
        <v>303</v>
      </c>
      <c r="Y13" s="660" t="s">
        <v>308</v>
      </c>
      <c r="Z13" s="661" t="s">
        <v>309</v>
      </c>
      <c r="AA13" s="660" t="s">
        <v>308</v>
      </c>
      <c r="AB13" s="726" t="s">
        <v>309</v>
      </c>
      <c r="AC13" s="795"/>
      <c r="AD13" s="797"/>
      <c r="AE13" s="797"/>
      <c r="AF13" s="551"/>
      <c r="AG13" s="699"/>
      <c r="AH13" s="700"/>
      <c r="AI13" s="699"/>
      <c r="AJ13" s="699"/>
      <c r="AK13" s="551"/>
      <c r="AL13" s="680"/>
      <c r="AM13" s="680"/>
      <c r="AN13" s="680"/>
      <c r="AO13" s="680"/>
      <c r="AP13" s="680"/>
      <c r="AQ13" s="680"/>
      <c r="AR13" s="701"/>
      <c r="AS13" s="701"/>
      <c r="AT13" s="701"/>
      <c r="AU13" s="701"/>
      <c r="AV13" s="701"/>
      <c r="AW13" s="701"/>
      <c r="AX13" s="701"/>
      <c r="AY13" s="701"/>
      <c r="AZ13" s="701"/>
      <c r="BA13" s="701"/>
      <c r="BB13" s="701"/>
    </row>
    <row r="14" spans="1:54" s="265" customFormat="1" ht="30" customHeight="1" x14ac:dyDescent="0.25">
      <c r="A14" s="2083" t="e">
        <f>IF(X19=0,"",MAX(A13)+1)</f>
        <v>#REF!</v>
      </c>
      <c r="B14" s="2075"/>
      <c r="C14" s="574"/>
      <c r="D14" s="881"/>
      <c r="E14" s="882"/>
      <c r="F14" s="71"/>
      <c r="G14" s="71"/>
      <c r="H14" s="80"/>
      <c r="I14" s="318"/>
      <c r="J14" s="80"/>
      <c r="K14" s="80"/>
      <c r="L14" s="80"/>
      <c r="M14" s="310"/>
      <c r="N14" s="68"/>
      <c r="O14" s="68"/>
      <c r="P14" s="68"/>
      <c r="Q14" s="287"/>
      <c r="R14" s="208"/>
      <c r="S14" s="287"/>
      <c r="T14" s="68"/>
      <c r="U14" s="336" t="e">
        <f>'Stock Rawmaterial'!#REF!</f>
        <v>#REF!</v>
      </c>
      <c r="V14" s="254" t="e">
        <f>'Stock Rawmaterial'!#REF!</f>
        <v>#REF!</v>
      </c>
      <c r="W14" s="352" t="e">
        <f>'Stock Rawmaterial'!#REF!</f>
        <v>#REF!</v>
      </c>
      <c r="X14" s="346" t="e">
        <f>+(H14+J14+L14+N14+P14)-(R14+T14+V14)</f>
        <v>#REF!</v>
      </c>
      <c r="Y14" s="48"/>
      <c r="Z14" s="163"/>
      <c r="AA14" s="48"/>
      <c r="AB14" s="750"/>
      <c r="AC14" s="795"/>
      <c r="AD14" s="797"/>
      <c r="AE14" s="797"/>
      <c r="AF14" s="551"/>
      <c r="AG14" s="699"/>
      <c r="AH14" s="700"/>
      <c r="AI14" s="699"/>
      <c r="AJ14" s="699"/>
      <c r="AK14" s="551"/>
      <c r="AL14" s="551"/>
      <c r="AM14" s="551"/>
      <c r="AN14" s="551"/>
      <c r="AO14" s="551"/>
      <c r="AP14" s="551"/>
      <c r="AQ14" s="551"/>
      <c r="AR14" s="704"/>
      <c r="AS14" s="704"/>
      <c r="AT14" s="704"/>
      <c r="AU14" s="704"/>
      <c r="AV14" s="704"/>
      <c r="AW14" s="704"/>
      <c r="AX14" s="704"/>
      <c r="AY14" s="704"/>
      <c r="AZ14" s="704"/>
      <c r="BA14" s="704"/>
      <c r="BB14" s="704"/>
    </row>
    <row r="15" spans="1:54" s="265" customFormat="1" ht="30" customHeight="1" x14ac:dyDescent="0.25">
      <c r="A15" s="2084"/>
      <c r="B15" s="2076"/>
      <c r="C15" s="574"/>
      <c r="D15" s="881"/>
      <c r="E15" s="882"/>
      <c r="F15" s="71"/>
      <c r="G15" s="71"/>
      <c r="H15" s="80"/>
      <c r="I15" s="318"/>
      <c r="J15" s="80"/>
      <c r="K15" s="80"/>
      <c r="L15" s="80"/>
      <c r="M15" s="310"/>
      <c r="N15" s="68"/>
      <c r="O15" s="68"/>
      <c r="P15" s="68"/>
      <c r="Q15" s="287"/>
      <c r="R15" s="208"/>
      <c r="S15" s="287"/>
      <c r="T15" s="68"/>
      <c r="U15" s="336" t="e">
        <f>'Stock Rawmaterial'!#REF!</f>
        <v>#REF!</v>
      </c>
      <c r="V15" s="254" t="e">
        <f>'Stock Rawmaterial'!#REF!</f>
        <v>#REF!</v>
      </c>
      <c r="W15" s="352" t="e">
        <f>'Stock Rawmaterial'!#REF!</f>
        <v>#REF!</v>
      </c>
      <c r="X15" s="346" t="e">
        <f>+(H15+J15+L15+N15+P15)-(R15+T15+V15)</f>
        <v>#REF!</v>
      </c>
      <c r="Y15" s="48"/>
      <c r="Z15" s="163"/>
      <c r="AA15" s="48"/>
      <c r="AB15" s="750"/>
      <c r="AC15" s="795"/>
      <c r="AD15" s="797"/>
      <c r="AE15" s="797"/>
      <c r="AF15" s="551"/>
      <c r="AG15" s="699"/>
      <c r="AH15" s="700"/>
      <c r="AI15" s="699"/>
      <c r="AJ15" s="699"/>
      <c r="AK15" s="551"/>
      <c r="AL15" s="551"/>
      <c r="AM15" s="551"/>
      <c r="AN15" s="551"/>
      <c r="AO15" s="551"/>
      <c r="AP15" s="551"/>
      <c r="AQ15" s="551"/>
      <c r="AR15" s="704"/>
      <c r="AS15" s="704"/>
      <c r="AT15" s="704"/>
      <c r="AU15" s="704"/>
      <c r="AV15" s="704"/>
      <c r="AW15" s="704"/>
      <c r="AX15" s="704"/>
      <c r="AY15" s="704"/>
      <c r="AZ15" s="704"/>
      <c r="BA15" s="704"/>
      <c r="BB15" s="704"/>
    </row>
    <row r="16" spans="1:54" s="265" customFormat="1" ht="30" customHeight="1" x14ac:dyDescent="0.25">
      <c r="A16" s="2121"/>
      <c r="B16" s="2082"/>
      <c r="C16" s="574"/>
      <c r="D16" s="881"/>
      <c r="E16" s="882"/>
      <c r="F16" s="71"/>
      <c r="G16" s="71"/>
      <c r="H16" s="80"/>
      <c r="I16" s="318"/>
      <c r="J16" s="80"/>
      <c r="K16" s="80"/>
      <c r="L16" s="80"/>
      <c r="M16" s="310"/>
      <c r="N16" s="68"/>
      <c r="O16" s="68"/>
      <c r="P16" s="68"/>
      <c r="Q16" s="287"/>
      <c r="R16" s="208"/>
      <c r="S16" s="287"/>
      <c r="T16" s="68"/>
      <c r="U16" s="336" t="e">
        <f>'Stock Rawmaterial'!#REF!</f>
        <v>#REF!</v>
      </c>
      <c r="V16" s="254" t="e">
        <f>'Stock Rawmaterial'!#REF!</f>
        <v>#REF!</v>
      </c>
      <c r="W16" s="352" t="e">
        <f>'Stock Rawmaterial'!#REF!</f>
        <v>#REF!</v>
      </c>
      <c r="X16" s="346" t="e">
        <f>+(H16+J16+L16+N16+P16)-(R16+T16+V16)</f>
        <v>#REF!</v>
      </c>
      <c r="Y16" s="48"/>
      <c r="Z16" s="163"/>
      <c r="AA16" s="48"/>
      <c r="AB16" s="750"/>
      <c r="AC16" s="795"/>
      <c r="AD16" s="797"/>
      <c r="AE16" s="797"/>
      <c r="AF16" s="551"/>
      <c r="AG16" s="699"/>
      <c r="AH16" s="700"/>
      <c r="AI16" s="699"/>
      <c r="AJ16" s="699"/>
      <c r="AK16" s="551"/>
      <c r="AL16" s="551"/>
      <c r="AM16" s="551"/>
      <c r="AN16" s="551"/>
      <c r="AO16" s="551"/>
      <c r="AP16" s="551"/>
      <c r="AQ16" s="551"/>
      <c r="AR16" s="704"/>
      <c r="AS16" s="704"/>
      <c r="AT16" s="704"/>
      <c r="AU16" s="704"/>
      <c r="AV16" s="704"/>
      <c r="AW16" s="704"/>
      <c r="AX16" s="704"/>
      <c r="AY16" s="704"/>
      <c r="AZ16" s="704"/>
      <c r="BA16" s="704"/>
      <c r="BB16" s="704"/>
    </row>
    <row r="17" spans="1:54" s="265" customFormat="1" ht="30" customHeight="1" x14ac:dyDescent="0.25">
      <c r="A17" s="2121"/>
      <c r="B17" s="2082"/>
      <c r="C17" s="574"/>
      <c r="D17" s="881"/>
      <c r="E17" s="882"/>
      <c r="F17" s="71"/>
      <c r="G17" s="71"/>
      <c r="H17" s="80"/>
      <c r="I17" s="318"/>
      <c r="J17" s="80"/>
      <c r="K17" s="80"/>
      <c r="L17" s="80"/>
      <c r="M17" s="310"/>
      <c r="N17" s="68"/>
      <c r="O17" s="68"/>
      <c r="P17" s="68"/>
      <c r="Q17" s="287"/>
      <c r="R17" s="208"/>
      <c r="S17" s="287"/>
      <c r="T17" s="68"/>
      <c r="U17" s="336" t="e">
        <f>'Stock Rawmaterial'!#REF!</f>
        <v>#REF!</v>
      </c>
      <c r="V17" s="254" t="e">
        <f>'Stock Rawmaterial'!#REF!</f>
        <v>#REF!</v>
      </c>
      <c r="W17" s="352" t="e">
        <f>'Stock Rawmaterial'!#REF!</f>
        <v>#REF!</v>
      </c>
      <c r="X17" s="346" t="e">
        <f>+(H17+J17+L17+N17+P17)-(R17+T17+V17)</f>
        <v>#REF!</v>
      </c>
      <c r="Y17" s="48"/>
      <c r="Z17" s="163"/>
      <c r="AA17" s="48"/>
      <c r="AB17" s="750"/>
      <c r="AC17" s="795"/>
      <c r="AD17" s="797"/>
      <c r="AE17" s="797"/>
      <c r="AF17" s="551"/>
      <c r="AG17" s="699"/>
      <c r="AH17" s="700"/>
      <c r="AI17" s="699"/>
      <c r="AJ17" s="699"/>
      <c r="AK17" s="551"/>
      <c r="AL17" s="551"/>
      <c r="AM17" s="551"/>
      <c r="AN17" s="551"/>
      <c r="AO17" s="551"/>
      <c r="AP17" s="551"/>
      <c r="AQ17" s="551"/>
      <c r="AR17" s="704"/>
      <c r="AS17" s="704"/>
      <c r="AT17" s="704"/>
      <c r="AU17" s="704"/>
      <c r="AV17" s="704"/>
      <c r="AW17" s="704"/>
      <c r="AX17" s="704"/>
      <c r="AY17" s="704"/>
      <c r="AZ17" s="704"/>
      <c r="BA17" s="704"/>
      <c r="BB17" s="704"/>
    </row>
    <row r="18" spans="1:54" s="265" customFormat="1" ht="30" customHeight="1" x14ac:dyDescent="0.25">
      <c r="A18" s="2085"/>
      <c r="B18" s="2068"/>
      <c r="C18" s="1092" t="str">
        <f>'Stock Rawmaterial'!C1308</f>
        <v>Feedmill</v>
      </c>
      <c r="D18" s="1093" t="s">
        <v>10</v>
      </c>
      <c r="E18" s="1094">
        <f>'Stock Rawmaterial'!E1308</f>
        <v>46270</v>
      </c>
      <c r="F18" s="1095">
        <f t="shared" ref="F18:F124" si="0">$X$7-E18</f>
        <v>16</v>
      </c>
      <c r="G18" s="1095" t="e">
        <f>'Stock Rawmaterial'!#REF!</f>
        <v>#REF!</v>
      </c>
      <c r="H18" s="626"/>
      <c r="I18" s="1096" t="e">
        <f>'Stock Rawmaterial'!#REF!</f>
        <v>#REF!</v>
      </c>
      <c r="J18" s="626">
        <f>'Stock Rawmaterial'!H1308</f>
        <v>0</v>
      </c>
      <c r="K18" s="626" t="e">
        <f>'Stock Rawmaterial'!#REF!</f>
        <v>#REF!</v>
      </c>
      <c r="L18" s="626" t="e">
        <f>'Stock Rawmaterial'!#REF!</f>
        <v>#REF!</v>
      </c>
      <c r="M18" s="627" t="e">
        <f>'Stock Rawmaterial'!#REF!</f>
        <v>#REF!</v>
      </c>
      <c r="N18" s="628"/>
      <c r="O18" s="628" t="e">
        <f>'Stock Rawmaterial'!#REF!</f>
        <v>#REF!</v>
      </c>
      <c r="P18" s="628" t="e">
        <f>'Stock Rawmaterial'!#REF!</f>
        <v>#REF!</v>
      </c>
      <c r="Q18" s="629" t="e">
        <f>'Stock Rawmaterial'!#REF!</f>
        <v>#REF!</v>
      </c>
      <c r="R18" s="630"/>
      <c r="S18" s="629" t="e">
        <f>'Stock Rawmaterial'!#REF!</f>
        <v>#REF!</v>
      </c>
      <c r="T18" s="628">
        <f>'Stock Rawmaterial'!K1308</f>
        <v>0</v>
      </c>
      <c r="U18" s="1097" t="e">
        <f>'Stock Rawmaterial'!#REF!</f>
        <v>#REF!</v>
      </c>
      <c r="V18" s="1098" t="e">
        <f>'Stock Rawmaterial'!#REF!</f>
        <v>#REF!</v>
      </c>
      <c r="W18" s="631" t="e">
        <f>'Stock Rawmaterial'!#REF!</f>
        <v>#REF!</v>
      </c>
      <c r="X18" s="632" t="e">
        <f>+(H18+J18+L18+N18+P18)-(R18+T18+V18)</f>
        <v>#REF!</v>
      </c>
      <c r="Y18" s="35"/>
      <c r="Z18" s="871"/>
      <c r="AA18" s="35"/>
      <c r="AB18" s="1013"/>
      <c r="AC18" s="795"/>
      <c r="AD18" s="797"/>
      <c r="AE18" s="797"/>
      <c r="AF18" s="551"/>
      <c r="AG18" s="699"/>
      <c r="AH18" s="700"/>
      <c r="AI18" s="699"/>
      <c r="AJ18" s="699"/>
      <c r="AK18" s="551"/>
      <c r="AL18" s="551"/>
      <c r="AM18" s="551"/>
      <c r="AN18" s="551"/>
      <c r="AO18" s="551"/>
      <c r="AP18" s="551"/>
      <c r="AQ18" s="551"/>
      <c r="AR18" s="704"/>
      <c r="AS18" s="704"/>
      <c r="AT18" s="704"/>
      <c r="AU18" s="704"/>
      <c r="AV18" s="704"/>
      <c r="AW18" s="704"/>
      <c r="AX18" s="704"/>
      <c r="AY18" s="704"/>
      <c r="AZ18" s="704"/>
      <c r="BA18" s="704"/>
      <c r="BB18" s="704"/>
    </row>
    <row r="19" spans="1:54" s="265" customFormat="1" ht="30" customHeight="1" x14ac:dyDescent="0.25">
      <c r="A19" s="184"/>
      <c r="B19" s="184" t="s">
        <v>566</v>
      </c>
      <c r="C19" s="575"/>
      <c r="D19" s="900"/>
      <c r="E19" s="901"/>
      <c r="F19" s="902"/>
      <c r="G19" s="353"/>
      <c r="H19" s="235">
        <f>+SUM(H14:H18)</f>
        <v>0</v>
      </c>
      <c r="I19" s="235" t="e">
        <f t="shared" ref="I19:W19" si="1">+SUM(I14:I18)</f>
        <v>#REF!</v>
      </c>
      <c r="J19" s="235">
        <f t="shared" si="1"/>
        <v>0</v>
      </c>
      <c r="K19" s="235" t="e">
        <f t="shared" si="1"/>
        <v>#REF!</v>
      </c>
      <c r="L19" s="235" t="e">
        <f t="shared" si="1"/>
        <v>#REF!</v>
      </c>
      <c r="M19" s="235" t="e">
        <f t="shared" si="1"/>
        <v>#REF!</v>
      </c>
      <c r="N19" s="235">
        <f t="shared" si="1"/>
        <v>0</v>
      </c>
      <c r="O19" s="235" t="e">
        <f t="shared" si="1"/>
        <v>#REF!</v>
      </c>
      <c r="P19" s="235" t="e">
        <f t="shared" si="1"/>
        <v>#REF!</v>
      </c>
      <c r="Q19" s="235" t="e">
        <f t="shared" si="1"/>
        <v>#REF!</v>
      </c>
      <c r="R19" s="235">
        <f t="shared" si="1"/>
        <v>0</v>
      </c>
      <c r="S19" s="235" t="e">
        <f t="shared" si="1"/>
        <v>#REF!</v>
      </c>
      <c r="T19" s="235">
        <f t="shared" si="1"/>
        <v>0</v>
      </c>
      <c r="U19" s="235" t="e">
        <f t="shared" si="1"/>
        <v>#REF!</v>
      </c>
      <c r="V19" s="235" t="e">
        <f t="shared" si="1"/>
        <v>#REF!</v>
      </c>
      <c r="W19" s="235" t="e">
        <f t="shared" si="1"/>
        <v>#REF!</v>
      </c>
      <c r="X19" s="235" t="e">
        <f>+SUM(X14:X18)</f>
        <v>#REF!</v>
      </c>
      <c r="Y19" s="59"/>
      <c r="Z19" s="366" t="str">
        <f>IFERROR(X19/Y19,"")</f>
        <v/>
      </c>
      <c r="AA19" s="59"/>
      <c r="AB19" s="880">
        <f>IFERROR(X19/AA19,0)</f>
        <v>0</v>
      </c>
      <c r="AC19" s="795" t="s">
        <v>845</v>
      </c>
      <c r="AD19" s="797"/>
      <c r="AE19" s="797"/>
      <c r="AF19" s="551"/>
      <c r="AG19" s="699"/>
      <c r="AH19" s="700"/>
      <c r="AI19" s="699"/>
      <c r="AJ19" s="699"/>
      <c r="AK19" s="551"/>
      <c r="AL19" s="683"/>
      <c r="AM19" s="551"/>
      <c r="AN19" s="551"/>
      <c r="AO19" s="551"/>
      <c r="AP19" s="551"/>
      <c r="AQ19" s="551"/>
      <c r="AR19" s="704"/>
      <c r="AS19" s="704"/>
      <c r="AT19" s="704"/>
      <c r="AU19" s="704"/>
      <c r="AV19" s="704"/>
      <c r="AW19" s="704"/>
      <c r="AX19" s="704"/>
      <c r="AY19" s="704"/>
      <c r="AZ19" s="704"/>
      <c r="BA19" s="704"/>
      <c r="BB19" s="704"/>
    </row>
    <row r="20" spans="1:54" s="265" customFormat="1" ht="30" customHeight="1" x14ac:dyDescent="0.25">
      <c r="A20" s="2083" t="e">
        <f>IF(X25=0,"",MAX($A$14:A19)+1)</f>
        <v>#REF!</v>
      </c>
      <c r="B20" s="2075" t="s">
        <v>970</v>
      </c>
      <c r="C20" s="574">
        <f>'Stock Rawmaterial'!C1348</f>
        <v>0</v>
      </c>
      <c r="D20" s="881" t="s">
        <v>10</v>
      </c>
      <c r="E20" s="882">
        <f>'Stock Rawmaterial'!E1348</f>
        <v>44398</v>
      </c>
      <c r="F20" s="71">
        <f t="shared" si="0"/>
        <v>1888</v>
      </c>
      <c r="G20" s="71" t="e">
        <f>'Stock Rawmaterial'!#REF!</f>
        <v>#REF!</v>
      </c>
      <c r="H20" s="80">
        <f>'Stock Rawmaterial'!G1348</f>
        <v>0</v>
      </c>
      <c r="I20" s="318" t="e">
        <f>'Stock Rawmaterial'!#REF!</f>
        <v>#REF!</v>
      </c>
      <c r="J20" s="80">
        <f>'Stock Rawmaterial'!H1348</f>
        <v>0</v>
      </c>
      <c r="K20" s="80" t="e">
        <f>'Stock Rawmaterial'!#REF!</f>
        <v>#REF!</v>
      </c>
      <c r="L20" s="80" t="e">
        <f>'Stock Rawmaterial'!#REF!</f>
        <v>#REF!</v>
      </c>
      <c r="M20" s="310" t="e">
        <f>'Stock Rawmaterial'!#REF!</f>
        <v>#REF!</v>
      </c>
      <c r="N20" s="68">
        <f>'Stock Rawmaterial'!I1348</f>
        <v>0</v>
      </c>
      <c r="O20" s="68" t="e">
        <f>'Stock Rawmaterial'!#REF!</f>
        <v>#REF!</v>
      </c>
      <c r="P20" s="68" t="e">
        <f>'Stock Rawmaterial'!#REF!</f>
        <v>#REF!</v>
      </c>
      <c r="Q20" s="287" t="e">
        <f>'Stock Rawmaterial'!#REF!</f>
        <v>#REF!</v>
      </c>
      <c r="R20" s="208">
        <f>'Stock Rawmaterial'!J1348</f>
        <v>0</v>
      </c>
      <c r="S20" s="287" t="e">
        <f>'Stock Rawmaterial'!#REF!</f>
        <v>#REF!</v>
      </c>
      <c r="T20" s="68">
        <f>'Stock Rawmaterial'!K1348</f>
        <v>0</v>
      </c>
      <c r="U20" s="336" t="e">
        <f>'Stock Rawmaterial'!#REF!</f>
        <v>#REF!</v>
      </c>
      <c r="V20" s="254" t="e">
        <f>'Stock Rawmaterial'!#REF!</f>
        <v>#REF!</v>
      </c>
      <c r="W20" s="352" t="e">
        <f>'Stock Rawmaterial'!#REF!</f>
        <v>#REF!</v>
      </c>
      <c r="X20" s="346" t="e">
        <f>+(H20+J20+L20+N20+P20)-(R20+T20+V20)</f>
        <v>#REF!</v>
      </c>
      <c r="Y20" s="48"/>
      <c r="Z20" s="163"/>
      <c r="AA20" s="48"/>
      <c r="AB20" s="750"/>
      <c r="AC20" s="795"/>
      <c r="AD20" s="797"/>
      <c r="AE20" s="797"/>
      <c r="AF20" s="551"/>
      <c r="AG20" s="699"/>
      <c r="AH20" s="700"/>
      <c r="AI20" s="699"/>
      <c r="AJ20" s="699"/>
      <c r="AK20" s="551"/>
      <c r="AL20" s="551"/>
      <c r="AM20" s="551"/>
      <c r="AN20" s="551"/>
      <c r="AO20" s="551"/>
      <c r="AP20" s="551"/>
      <c r="AQ20" s="551"/>
      <c r="AR20" s="704"/>
      <c r="AS20" s="704"/>
      <c r="AT20" s="704"/>
      <c r="AU20" s="704"/>
      <c r="AV20" s="704"/>
      <c r="AW20" s="704"/>
      <c r="AX20" s="704"/>
      <c r="AY20" s="704"/>
      <c r="AZ20" s="704"/>
      <c r="BA20" s="704"/>
      <c r="BB20" s="704"/>
    </row>
    <row r="21" spans="1:54" s="265" customFormat="1" ht="30" customHeight="1" x14ac:dyDescent="0.25">
      <c r="A21" s="2084"/>
      <c r="B21" s="2076"/>
      <c r="C21" s="574">
        <f>'Stock Rawmaterial'!C1349</f>
        <v>0</v>
      </c>
      <c r="D21" s="881" t="s">
        <v>10</v>
      </c>
      <c r="E21" s="882">
        <f>'Stock Rawmaterial'!E1349</f>
        <v>44398</v>
      </c>
      <c r="F21" s="71">
        <f t="shared" si="0"/>
        <v>1888</v>
      </c>
      <c r="G21" s="71" t="e">
        <f>'Stock Rawmaterial'!#REF!</f>
        <v>#REF!</v>
      </c>
      <c r="H21" s="80">
        <f>'Stock Rawmaterial'!G1349</f>
        <v>0</v>
      </c>
      <c r="I21" s="318" t="e">
        <f>'Stock Rawmaterial'!#REF!</f>
        <v>#REF!</v>
      </c>
      <c r="J21" s="80">
        <f>'Stock Rawmaterial'!H1349</f>
        <v>0</v>
      </c>
      <c r="K21" s="80" t="e">
        <f>'Stock Rawmaterial'!#REF!</f>
        <v>#REF!</v>
      </c>
      <c r="L21" s="80" t="e">
        <f>'Stock Rawmaterial'!#REF!</f>
        <v>#REF!</v>
      </c>
      <c r="M21" s="310" t="e">
        <f>'Stock Rawmaterial'!#REF!</f>
        <v>#REF!</v>
      </c>
      <c r="N21" s="68">
        <f>'Stock Rawmaterial'!I1349</f>
        <v>0</v>
      </c>
      <c r="O21" s="68" t="e">
        <f>'Stock Rawmaterial'!#REF!</f>
        <v>#REF!</v>
      </c>
      <c r="P21" s="68" t="e">
        <f>'Stock Rawmaterial'!#REF!</f>
        <v>#REF!</v>
      </c>
      <c r="Q21" s="287" t="e">
        <f>'Stock Rawmaterial'!#REF!</f>
        <v>#REF!</v>
      </c>
      <c r="R21" s="208">
        <f>'Stock Rawmaterial'!J1349</f>
        <v>0</v>
      </c>
      <c r="S21" s="287" t="e">
        <f>'Stock Rawmaterial'!#REF!</f>
        <v>#REF!</v>
      </c>
      <c r="T21" s="68">
        <f>'Stock Rawmaterial'!K1349</f>
        <v>0</v>
      </c>
      <c r="U21" s="336" t="e">
        <f>'Stock Rawmaterial'!#REF!</f>
        <v>#REF!</v>
      </c>
      <c r="V21" s="254" t="e">
        <f>'Stock Rawmaterial'!#REF!</f>
        <v>#REF!</v>
      </c>
      <c r="W21" s="352" t="e">
        <f>'Stock Rawmaterial'!#REF!</f>
        <v>#REF!</v>
      </c>
      <c r="X21" s="346" t="e">
        <f>+(H21+J21+L21+N21+P21)-(R21+T21+V21)</f>
        <v>#REF!</v>
      </c>
      <c r="Y21" s="48"/>
      <c r="Z21" s="163"/>
      <c r="AA21" s="48"/>
      <c r="AB21" s="750"/>
      <c r="AC21" s="795"/>
      <c r="AD21" s="797"/>
      <c r="AE21" s="797"/>
      <c r="AF21" s="551"/>
      <c r="AG21" s="699"/>
      <c r="AH21" s="700"/>
      <c r="AI21" s="699"/>
      <c r="AJ21" s="699"/>
      <c r="AK21" s="551"/>
      <c r="AL21" s="551"/>
      <c r="AM21" s="551"/>
      <c r="AN21" s="551"/>
      <c r="AO21" s="551"/>
      <c r="AP21" s="551"/>
      <c r="AQ21" s="551"/>
      <c r="AR21" s="704"/>
      <c r="AS21" s="704"/>
      <c r="AT21" s="704"/>
      <c r="AU21" s="704"/>
      <c r="AV21" s="704"/>
      <c r="AW21" s="704"/>
      <c r="AX21" s="704"/>
      <c r="AY21" s="704"/>
      <c r="AZ21" s="704"/>
      <c r="BA21" s="704"/>
      <c r="BB21" s="704"/>
    </row>
    <row r="22" spans="1:54" s="265" customFormat="1" ht="30" customHeight="1" x14ac:dyDescent="0.25">
      <c r="A22" s="2084"/>
      <c r="B22" s="2076"/>
      <c r="C22" s="574" t="str">
        <f>'Stock Rawmaterial'!C1350</f>
        <v>Y4.1</v>
      </c>
      <c r="D22" s="881" t="s">
        <v>10</v>
      </c>
      <c r="E22" s="882">
        <f>'Stock Rawmaterial'!E1350</f>
        <v>44217</v>
      </c>
      <c r="F22" s="71">
        <f t="shared" si="0"/>
        <v>2069</v>
      </c>
      <c r="G22" s="71" t="e">
        <f>'Stock Rawmaterial'!#REF!</f>
        <v>#REF!</v>
      </c>
      <c r="H22" s="80">
        <f>'Stock Rawmaterial'!G1350</f>
        <v>0</v>
      </c>
      <c r="I22" s="318" t="e">
        <f>'Stock Rawmaterial'!#REF!</f>
        <v>#REF!</v>
      </c>
      <c r="J22" s="80">
        <f>'Stock Rawmaterial'!H1350</f>
        <v>0</v>
      </c>
      <c r="K22" s="80" t="e">
        <f>'Stock Rawmaterial'!#REF!</f>
        <v>#REF!</v>
      </c>
      <c r="L22" s="80" t="e">
        <f>'Stock Rawmaterial'!#REF!</f>
        <v>#REF!</v>
      </c>
      <c r="M22" s="310" t="e">
        <f>'Stock Rawmaterial'!#REF!</f>
        <v>#REF!</v>
      </c>
      <c r="N22" s="68">
        <f>'Stock Rawmaterial'!I1350</f>
        <v>0</v>
      </c>
      <c r="O22" s="68" t="e">
        <f>'Stock Rawmaterial'!#REF!</f>
        <v>#REF!</v>
      </c>
      <c r="P22" s="68" t="e">
        <f>'Stock Rawmaterial'!#REF!</f>
        <v>#REF!</v>
      </c>
      <c r="Q22" s="287" t="e">
        <f>'Stock Rawmaterial'!#REF!</f>
        <v>#REF!</v>
      </c>
      <c r="R22" s="208">
        <f>'Stock Rawmaterial'!J1350</f>
        <v>0</v>
      </c>
      <c r="S22" s="287" t="e">
        <f>'Stock Rawmaterial'!#REF!</f>
        <v>#REF!</v>
      </c>
      <c r="T22" s="68">
        <f>'Stock Rawmaterial'!K1350</f>
        <v>0</v>
      </c>
      <c r="U22" s="336" t="e">
        <f>'Stock Rawmaterial'!#REF!</f>
        <v>#REF!</v>
      </c>
      <c r="V22" s="254" t="e">
        <f>'Stock Rawmaterial'!#REF!</f>
        <v>#REF!</v>
      </c>
      <c r="W22" s="352" t="e">
        <f>'Stock Rawmaterial'!#REF!</f>
        <v>#REF!</v>
      </c>
      <c r="X22" s="346" t="e">
        <f>+(H22+J22+L22+N22+P22)-(R22+T22+V22)</f>
        <v>#REF!</v>
      </c>
      <c r="Y22" s="48"/>
      <c r="Z22" s="163"/>
      <c r="AA22" s="48"/>
      <c r="AB22" s="750"/>
      <c r="AC22" s="795"/>
      <c r="AD22" s="797"/>
      <c r="AE22" s="797"/>
      <c r="AF22" s="551"/>
      <c r="AG22" s="699"/>
      <c r="AH22" s="700"/>
      <c r="AI22" s="699"/>
      <c r="AJ22" s="699"/>
      <c r="AK22" s="551"/>
      <c r="AL22" s="551"/>
      <c r="AM22" s="551"/>
      <c r="AN22" s="551"/>
      <c r="AO22" s="551"/>
      <c r="AP22" s="551"/>
      <c r="AQ22" s="551"/>
      <c r="AR22" s="704"/>
      <c r="AS22" s="704"/>
      <c r="AT22" s="704"/>
      <c r="AU22" s="704"/>
      <c r="AV22" s="704"/>
      <c r="AW22" s="704"/>
      <c r="AX22" s="704"/>
      <c r="AY22" s="704"/>
      <c r="AZ22" s="704"/>
      <c r="BA22" s="704"/>
      <c r="BB22" s="704"/>
    </row>
    <row r="23" spans="1:54" s="265" customFormat="1" ht="30" customHeight="1" x14ac:dyDescent="0.25">
      <c r="A23" s="2084"/>
      <c r="B23" s="2076"/>
      <c r="C23" s="574" t="str">
        <f>'Stock Rawmaterial'!C1351</f>
        <v>Y4.1</v>
      </c>
      <c r="D23" s="881" t="s">
        <v>10</v>
      </c>
      <c r="E23" s="882">
        <f>'Stock Rawmaterial'!E1351</f>
        <v>44217</v>
      </c>
      <c r="F23" s="71">
        <f t="shared" si="0"/>
        <v>2069</v>
      </c>
      <c r="G23" s="71" t="e">
        <f>'Stock Rawmaterial'!#REF!</f>
        <v>#REF!</v>
      </c>
      <c r="H23" s="80">
        <f>'Stock Rawmaterial'!G1351</f>
        <v>0</v>
      </c>
      <c r="I23" s="318" t="e">
        <f>'Stock Rawmaterial'!#REF!</f>
        <v>#REF!</v>
      </c>
      <c r="J23" s="80">
        <f>'Stock Rawmaterial'!H1351</f>
        <v>0</v>
      </c>
      <c r="K23" s="80" t="e">
        <f>'Stock Rawmaterial'!#REF!</f>
        <v>#REF!</v>
      </c>
      <c r="L23" s="80" t="e">
        <f>'Stock Rawmaterial'!#REF!</f>
        <v>#REF!</v>
      </c>
      <c r="M23" s="310" t="e">
        <f>'Stock Rawmaterial'!#REF!</f>
        <v>#REF!</v>
      </c>
      <c r="N23" s="68">
        <f>'Stock Rawmaterial'!I1351</f>
        <v>0</v>
      </c>
      <c r="O23" s="68" t="e">
        <f>'Stock Rawmaterial'!#REF!</f>
        <v>#REF!</v>
      </c>
      <c r="P23" s="68" t="e">
        <f>'Stock Rawmaterial'!#REF!</f>
        <v>#REF!</v>
      </c>
      <c r="Q23" s="287" t="e">
        <f>'Stock Rawmaterial'!#REF!</f>
        <v>#REF!</v>
      </c>
      <c r="R23" s="208">
        <f>'Stock Rawmaterial'!J1351</f>
        <v>0</v>
      </c>
      <c r="S23" s="287" t="e">
        <f>'Stock Rawmaterial'!#REF!</f>
        <v>#REF!</v>
      </c>
      <c r="T23" s="68">
        <f>'Stock Rawmaterial'!K1351</f>
        <v>0</v>
      </c>
      <c r="U23" s="336" t="e">
        <f>'Stock Rawmaterial'!#REF!</f>
        <v>#REF!</v>
      </c>
      <c r="V23" s="254" t="e">
        <f>'Stock Rawmaterial'!#REF!</f>
        <v>#REF!</v>
      </c>
      <c r="W23" s="352" t="e">
        <f>'Stock Rawmaterial'!#REF!</f>
        <v>#REF!</v>
      </c>
      <c r="X23" s="346" t="e">
        <f>+(H23+J23+L23+N23+P23)-(R23+T23+V23)</f>
        <v>#REF!</v>
      </c>
      <c r="Y23" s="48"/>
      <c r="Z23" s="163"/>
      <c r="AA23" s="48"/>
      <c r="AB23" s="750"/>
      <c r="AC23" s="795"/>
      <c r="AD23" s="797"/>
      <c r="AE23" s="797"/>
      <c r="AF23" s="551"/>
      <c r="AG23" s="699"/>
      <c r="AH23" s="700"/>
      <c r="AI23" s="699"/>
      <c r="AJ23" s="699"/>
      <c r="AK23" s="551"/>
      <c r="AL23" s="551"/>
      <c r="AM23" s="551"/>
      <c r="AN23" s="551"/>
      <c r="AO23" s="551"/>
      <c r="AP23" s="551"/>
      <c r="AQ23" s="551"/>
      <c r="AR23" s="704"/>
      <c r="AS23" s="704"/>
      <c r="AT23" s="704"/>
      <c r="AU23" s="704"/>
      <c r="AV23" s="704"/>
      <c r="AW23" s="704"/>
      <c r="AX23" s="704"/>
      <c r="AY23" s="704"/>
      <c r="AZ23" s="704"/>
      <c r="BA23" s="704"/>
      <c r="BB23" s="704"/>
    </row>
    <row r="24" spans="1:54" s="265" customFormat="1" ht="30" customHeight="1" x14ac:dyDescent="0.25">
      <c r="A24" s="2085"/>
      <c r="B24" s="2068"/>
      <c r="C24" s="1092" t="str">
        <f>'Stock Rawmaterial'!C1352</f>
        <v>Feedmil</v>
      </c>
      <c r="D24" s="1093" t="s">
        <v>10</v>
      </c>
      <c r="E24" s="1094">
        <f>'Stock Rawmaterial'!E1352</f>
        <v>44398</v>
      </c>
      <c r="F24" s="1095">
        <f t="shared" si="0"/>
        <v>1888</v>
      </c>
      <c r="G24" s="1095" t="e">
        <f>'Stock Rawmaterial'!#REF!</f>
        <v>#REF!</v>
      </c>
      <c r="H24" s="626">
        <f>'Stock Rawmaterial'!G1352</f>
        <v>0</v>
      </c>
      <c r="I24" s="1096" t="e">
        <f>'Stock Rawmaterial'!#REF!</f>
        <v>#REF!</v>
      </c>
      <c r="J24" s="626">
        <f>'Stock Rawmaterial'!H1352</f>
        <v>0</v>
      </c>
      <c r="K24" s="626" t="e">
        <f>'Stock Rawmaterial'!#REF!</f>
        <v>#REF!</v>
      </c>
      <c r="L24" s="626" t="e">
        <f>'Stock Rawmaterial'!#REF!</f>
        <v>#REF!</v>
      </c>
      <c r="M24" s="627" t="e">
        <f>'Stock Rawmaterial'!#REF!</f>
        <v>#REF!</v>
      </c>
      <c r="N24" s="628">
        <f>'Stock Rawmaterial'!I1352</f>
        <v>0</v>
      </c>
      <c r="O24" s="628" t="e">
        <f>'Stock Rawmaterial'!#REF!</f>
        <v>#REF!</v>
      </c>
      <c r="P24" s="628" t="e">
        <f>'Stock Rawmaterial'!#REF!</f>
        <v>#REF!</v>
      </c>
      <c r="Q24" s="629" t="e">
        <f>'Stock Rawmaterial'!#REF!</f>
        <v>#REF!</v>
      </c>
      <c r="R24" s="630">
        <f>'Stock Rawmaterial'!J1352</f>
        <v>0</v>
      </c>
      <c r="S24" s="629" t="e">
        <f>'Stock Rawmaterial'!#REF!</f>
        <v>#REF!</v>
      </c>
      <c r="T24" s="628">
        <f>'Stock Rawmaterial'!K1352</f>
        <v>0</v>
      </c>
      <c r="U24" s="1097" t="e">
        <f>'Stock Rawmaterial'!#REF!</f>
        <v>#REF!</v>
      </c>
      <c r="V24" s="1098" t="e">
        <f>'Stock Rawmaterial'!#REF!</f>
        <v>#REF!</v>
      </c>
      <c r="W24" s="631" t="e">
        <f>'Stock Rawmaterial'!#REF!</f>
        <v>#REF!</v>
      </c>
      <c r="X24" s="632" t="e">
        <f>+(H24+J24+L24+N24+P24)-(R24+T24+V24)</f>
        <v>#REF!</v>
      </c>
      <c r="Y24" s="35"/>
      <c r="Z24" s="871"/>
      <c r="AA24" s="35"/>
      <c r="AB24" s="1013"/>
      <c r="AC24" s="795" t="s">
        <v>964</v>
      </c>
      <c r="AD24" s="797"/>
      <c r="AE24" s="797"/>
      <c r="AF24" s="551"/>
      <c r="AG24" s="699"/>
      <c r="AH24" s="700"/>
      <c r="AI24" s="699"/>
      <c r="AJ24" s="699"/>
      <c r="AK24" s="551"/>
      <c r="AL24" s="551"/>
      <c r="AM24" s="551"/>
      <c r="AN24" s="551"/>
      <c r="AO24" s="551"/>
      <c r="AP24" s="551"/>
      <c r="AQ24" s="551"/>
      <c r="AR24" s="704"/>
      <c r="AS24" s="704"/>
      <c r="AT24" s="704"/>
      <c r="AU24" s="704"/>
      <c r="AV24" s="704"/>
      <c r="AW24" s="704"/>
      <c r="AX24" s="704"/>
      <c r="AY24" s="704"/>
      <c r="AZ24" s="704"/>
      <c r="BA24" s="704"/>
      <c r="BB24" s="704"/>
    </row>
    <row r="25" spans="1:54" s="265" customFormat="1" ht="30" customHeight="1" x14ac:dyDescent="0.25">
      <c r="A25" s="184"/>
      <c r="B25" s="184" t="s">
        <v>869</v>
      </c>
      <c r="C25" s="575"/>
      <c r="D25" s="900"/>
      <c r="E25" s="901"/>
      <c r="F25" s="902"/>
      <c r="G25" s="353"/>
      <c r="H25" s="235">
        <f>+SUM(H20:H24)</f>
        <v>0</v>
      </c>
      <c r="I25" s="235" t="e">
        <f t="shared" ref="I25:X25" si="2">+SUM(I20:I24)</f>
        <v>#REF!</v>
      </c>
      <c r="J25" s="235">
        <f t="shared" si="2"/>
        <v>0</v>
      </c>
      <c r="K25" s="235" t="e">
        <f t="shared" si="2"/>
        <v>#REF!</v>
      </c>
      <c r="L25" s="235" t="e">
        <f t="shared" si="2"/>
        <v>#REF!</v>
      </c>
      <c r="M25" s="235" t="e">
        <f t="shared" si="2"/>
        <v>#REF!</v>
      </c>
      <c r="N25" s="235">
        <f t="shared" si="2"/>
        <v>0</v>
      </c>
      <c r="O25" s="235" t="e">
        <f t="shared" si="2"/>
        <v>#REF!</v>
      </c>
      <c r="P25" s="235" t="e">
        <f t="shared" si="2"/>
        <v>#REF!</v>
      </c>
      <c r="Q25" s="235" t="e">
        <f t="shared" si="2"/>
        <v>#REF!</v>
      </c>
      <c r="R25" s="235">
        <f t="shared" si="2"/>
        <v>0</v>
      </c>
      <c r="S25" s="235" t="e">
        <f t="shared" si="2"/>
        <v>#REF!</v>
      </c>
      <c r="T25" s="235">
        <f t="shared" si="2"/>
        <v>0</v>
      </c>
      <c r="U25" s="235" t="e">
        <f t="shared" si="2"/>
        <v>#REF!</v>
      </c>
      <c r="V25" s="235" t="e">
        <f t="shared" si="2"/>
        <v>#REF!</v>
      </c>
      <c r="W25" s="235" t="e">
        <f t="shared" si="2"/>
        <v>#REF!</v>
      </c>
      <c r="X25" s="235" t="e">
        <f t="shared" si="2"/>
        <v>#REF!</v>
      </c>
      <c r="Y25" s="59" t="str">
        <f>'Stock Rawmaterial'!M1353</f>
        <v/>
      </c>
      <c r="Z25" s="366">
        <f>IFERROR(X25/Y25,0)</f>
        <v>0</v>
      </c>
      <c r="AA25" s="59">
        <f>'Stock Rawmaterial'!O1353</f>
        <v>0</v>
      </c>
      <c r="AB25" s="880">
        <f>IFERROR(X25/AA25,0)</f>
        <v>0</v>
      </c>
      <c r="AC25" s="795" t="s">
        <v>880</v>
      </c>
      <c r="AD25" s="797"/>
      <c r="AE25" s="797"/>
      <c r="AF25" s="551"/>
      <c r="AG25" s="699"/>
      <c r="AH25" s="700"/>
      <c r="AI25" s="699"/>
      <c r="AJ25" s="699"/>
      <c r="AK25" s="551"/>
      <c r="AL25" s="683"/>
      <c r="AM25" s="551"/>
      <c r="AN25" s="551"/>
      <c r="AO25" s="551"/>
      <c r="AP25" s="551"/>
      <c r="AQ25" s="551"/>
      <c r="AR25" s="704"/>
      <c r="AS25" s="704"/>
      <c r="AT25" s="704"/>
      <c r="AU25" s="704"/>
      <c r="AV25" s="704"/>
      <c r="AW25" s="704"/>
      <c r="AX25" s="704"/>
      <c r="AY25" s="704"/>
      <c r="AZ25" s="704"/>
      <c r="BA25" s="704"/>
      <c r="BB25" s="704"/>
    </row>
    <row r="26" spans="1:54" s="265" customFormat="1" ht="30" customHeight="1" x14ac:dyDescent="0.25">
      <c r="A26" s="2083" t="e">
        <f>IF(X33=0,"",MAX($A$14:A25)+1)</f>
        <v>#REF!</v>
      </c>
      <c r="B26" s="2075"/>
      <c r="C26" s="574"/>
      <c r="D26" s="881"/>
      <c r="E26" s="882"/>
      <c r="F26" s="71"/>
      <c r="G26" s="71"/>
      <c r="H26" s="80"/>
      <c r="I26" s="318"/>
      <c r="J26" s="80"/>
      <c r="K26" s="80"/>
      <c r="L26" s="80"/>
      <c r="M26" s="310"/>
      <c r="N26" s="68"/>
      <c r="O26" s="68"/>
      <c r="P26" s="68"/>
      <c r="Q26" s="287"/>
      <c r="R26" s="208"/>
      <c r="S26" s="287"/>
      <c r="T26" s="68"/>
      <c r="U26" s="336" t="e">
        <f>'Stock Rawmaterial'!#REF!</f>
        <v>#REF!</v>
      </c>
      <c r="V26" s="254" t="e">
        <f>'Stock Rawmaterial'!#REF!</f>
        <v>#REF!</v>
      </c>
      <c r="W26" s="352" t="e">
        <f>'Stock Rawmaterial'!#REF!</f>
        <v>#REF!</v>
      </c>
      <c r="X26" s="346" t="e">
        <f t="shared" ref="X26:X32" si="3">+(H26+J26+L26+N26+P26)-(R26+T26+V26)</f>
        <v>#REF!</v>
      </c>
      <c r="Y26" s="48"/>
      <c r="Z26" s="163"/>
      <c r="AA26" s="48"/>
      <c r="AB26" s="750"/>
      <c r="AC26" s="795"/>
      <c r="AD26" s="797"/>
      <c r="AE26" s="797"/>
      <c r="AF26" s="551"/>
      <c r="AG26" s="699"/>
      <c r="AH26" s="700"/>
      <c r="AI26" s="699"/>
      <c r="AJ26" s="699"/>
      <c r="AK26" s="551"/>
      <c r="AL26" s="551"/>
      <c r="AM26" s="551"/>
      <c r="AN26" s="551"/>
      <c r="AO26" s="551"/>
      <c r="AP26" s="551"/>
      <c r="AQ26" s="551"/>
      <c r="AR26" s="704"/>
      <c r="AS26" s="704"/>
      <c r="AT26" s="704"/>
      <c r="AU26" s="704"/>
      <c r="AV26" s="704"/>
      <c r="AW26" s="704"/>
      <c r="AX26" s="704"/>
      <c r="AY26" s="704"/>
      <c r="AZ26" s="704"/>
      <c r="BA26" s="704"/>
      <c r="BB26" s="704"/>
    </row>
    <row r="27" spans="1:54" s="265" customFormat="1" ht="30" customHeight="1" x14ac:dyDescent="0.25">
      <c r="A27" s="2084"/>
      <c r="B27" s="2076"/>
      <c r="C27" s="574"/>
      <c r="D27" s="881"/>
      <c r="E27" s="882"/>
      <c r="F27" s="71"/>
      <c r="G27" s="71"/>
      <c r="H27" s="80"/>
      <c r="I27" s="318"/>
      <c r="J27" s="80"/>
      <c r="K27" s="80"/>
      <c r="L27" s="80"/>
      <c r="M27" s="310"/>
      <c r="N27" s="68"/>
      <c r="O27" s="68"/>
      <c r="P27" s="68"/>
      <c r="Q27" s="287"/>
      <c r="R27" s="208"/>
      <c r="S27" s="287"/>
      <c r="T27" s="68"/>
      <c r="U27" s="336" t="e">
        <f>'Stock Rawmaterial'!#REF!</f>
        <v>#REF!</v>
      </c>
      <c r="V27" s="254" t="e">
        <f>'Stock Rawmaterial'!#REF!</f>
        <v>#REF!</v>
      </c>
      <c r="W27" s="352" t="e">
        <f>'Stock Rawmaterial'!#REF!</f>
        <v>#REF!</v>
      </c>
      <c r="X27" s="346" t="e">
        <f t="shared" si="3"/>
        <v>#REF!</v>
      </c>
      <c r="Y27" s="48"/>
      <c r="Z27" s="163"/>
      <c r="AA27" s="48"/>
      <c r="AB27" s="750"/>
      <c r="AC27" s="795"/>
      <c r="AD27" s="797"/>
      <c r="AE27" s="797"/>
      <c r="AF27" s="551"/>
      <c r="AG27" s="699"/>
      <c r="AH27" s="700"/>
      <c r="AI27" s="699"/>
      <c r="AJ27" s="699"/>
      <c r="AK27" s="551"/>
      <c r="AL27" s="551"/>
      <c r="AM27" s="551"/>
      <c r="AN27" s="551"/>
      <c r="AO27" s="551"/>
      <c r="AP27" s="551"/>
      <c r="AQ27" s="551"/>
      <c r="AR27" s="704"/>
      <c r="AS27" s="704"/>
      <c r="AT27" s="704"/>
      <c r="AU27" s="704"/>
      <c r="AV27" s="704"/>
      <c r="AW27" s="704"/>
      <c r="AX27" s="704"/>
      <c r="AY27" s="704"/>
      <c r="AZ27" s="704"/>
      <c r="BA27" s="704"/>
      <c r="BB27" s="704"/>
    </row>
    <row r="28" spans="1:54" s="265" customFormat="1" ht="30" customHeight="1" x14ac:dyDescent="0.25">
      <c r="A28" s="2084"/>
      <c r="B28" s="2076"/>
      <c r="C28" s="574"/>
      <c r="D28" s="881"/>
      <c r="E28" s="882"/>
      <c r="F28" s="71"/>
      <c r="G28" s="71"/>
      <c r="H28" s="80"/>
      <c r="I28" s="318"/>
      <c r="J28" s="80"/>
      <c r="K28" s="80"/>
      <c r="L28" s="80"/>
      <c r="M28" s="310"/>
      <c r="N28" s="68"/>
      <c r="O28" s="68"/>
      <c r="P28" s="68"/>
      <c r="Q28" s="287"/>
      <c r="R28" s="208"/>
      <c r="S28" s="287"/>
      <c r="T28" s="68"/>
      <c r="U28" s="336" t="e">
        <f>'Stock Rawmaterial'!#REF!</f>
        <v>#REF!</v>
      </c>
      <c r="V28" s="254" t="e">
        <f>'Stock Rawmaterial'!#REF!</f>
        <v>#REF!</v>
      </c>
      <c r="W28" s="352" t="e">
        <f>'Stock Rawmaterial'!#REF!</f>
        <v>#REF!</v>
      </c>
      <c r="X28" s="346" t="e">
        <f t="shared" si="3"/>
        <v>#REF!</v>
      </c>
      <c r="Y28" s="48"/>
      <c r="Z28" s="163"/>
      <c r="AA28" s="48"/>
      <c r="AB28" s="750"/>
      <c r="AC28" s="795"/>
      <c r="AD28" s="797"/>
      <c r="AE28" s="797"/>
      <c r="AF28" s="551"/>
      <c r="AG28" s="699"/>
      <c r="AH28" s="700"/>
      <c r="AI28" s="699"/>
      <c r="AJ28" s="699"/>
      <c r="AK28" s="551"/>
      <c r="AL28" s="551"/>
      <c r="AM28" s="551"/>
      <c r="AN28" s="551"/>
      <c r="AO28" s="551"/>
      <c r="AP28" s="551"/>
      <c r="AQ28" s="551"/>
      <c r="AR28" s="704"/>
      <c r="AS28" s="704"/>
      <c r="AT28" s="704"/>
      <c r="AU28" s="704"/>
      <c r="AV28" s="704"/>
      <c r="AW28" s="704"/>
      <c r="AX28" s="704"/>
      <c r="AY28" s="704"/>
      <c r="AZ28" s="704"/>
      <c r="BA28" s="704"/>
      <c r="BB28" s="704"/>
    </row>
    <row r="29" spans="1:54" s="265" customFormat="1" ht="30" customHeight="1" x14ac:dyDescent="0.25">
      <c r="A29" s="2084"/>
      <c r="B29" s="2076"/>
      <c r="C29" s="574"/>
      <c r="D29" s="881"/>
      <c r="E29" s="882"/>
      <c r="F29" s="71"/>
      <c r="G29" s="71"/>
      <c r="H29" s="80"/>
      <c r="I29" s="318"/>
      <c r="J29" s="80"/>
      <c r="K29" s="80"/>
      <c r="L29" s="80"/>
      <c r="M29" s="310"/>
      <c r="N29" s="68"/>
      <c r="O29" s="68"/>
      <c r="P29" s="68"/>
      <c r="Q29" s="287"/>
      <c r="R29" s="208"/>
      <c r="S29" s="287"/>
      <c r="T29" s="68"/>
      <c r="U29" s="336" t="e">
        <f>'Stock Rawmaterial'!#REF!</f>
        <v>#REF!</v>
      </c>
      <c r="V29" s="254" t="e">
        <f>'Stock Rawmaterial'!#REF!</f>
        <v>#REF!</v>
      </c>
      <c r="W29" s="352" t="e">
        <f>'Stock Rawmaterial'!#REF!</f>
        <v>#REF!</v>
      </c>
      <c r="X29" s="346" t="e">
        <f t="shared" si="3"/>
        <v>#REF!</v>
      </c>
      <c r="Y29" s="48"/>
      <c r="Z29" s="163"/>
      <c r="AA29" s="48"/>
      <c r="AB29" s="750"/>
      <c r="AC29" s="795"/>
      <c r="AD29" s="797"/>
      <c r="AE29" s="797"/>
      <c r="AF29" s="551"/>
      <c r="AG29" s="699"/>
      <c r="AH29" s="700"/>
      <c r="AI29" s="699"/>
      <c r="AJ29" s="699"/>
      <c r="AK29" s="551"/>
      <c r="AL29" s="551"/>
      <c r="AM29" s="551"/>
      <c r="AN29" s="551"/>
      <c r="AO29" s="551"/>
      <c r="AP29" s="551"/>
      <c r="AQ29" s="551"/>
      <c r="AR29" s="704"/>
      <c r="AS29" s="704"/>
      <c r="AT29" s="704"/>
      <c r="AU29" s="704"/>
      <c r="AV29" s="704"/>
      <c r="AW29" s="704"/>
      <c r="AX29" s="704"/>
      <c r="AY29" s="704"/>
      <c r="AZ29" s="704"/>
      <c r="BA29" s="704"/>
      <c r="BB29" s="704"/>
    </row>
    <row r="30" spans="1:54" s="265" customFormat="1" ht="30" customHeight="1" x14ac:dyDescent="0.25">
      <c r="A30" s="2121"/>
      <c r="B30" s="2082"/>
      <c r="C30" s="574"/>
      <c r="D30" s="881"/>
      <c r="E30" s="882"/>
      <c r="F30" s="71"/>
      <c r="G30" s="71"/>
      <c r="H30" s="80"/>
      <c r="I30" s="318"/>
      <c r="J30" s="80"/>
      <c r="K30" s="80"/>
      <c r="L30" s="80"/>
      <c r="M30" s="310"/>
      <c r="N30" s="68"/>
      <c r="O30" s="68"/>
      <c r="P30" s="68"/>
      <c r="Q30" s="287"/>
      <c r="R30" s="208"/>
      <c r="S30" s="287"/>
      <c r="T30" s="68"/>
      <c r="U30" s="336" t="e">
        <f>'Stock Rawmaterial'!#REF!</f>
        <v>#REF!</v>
      </c>
      <c r="V30" s="254" t="e">
        <f>'Stock Rawmaterial'!#REF!</f>
        <v>#REF!</v>
      </c>
      <c r="W30" s="352" t="e">
        <f>'Stock Rawmaterial'!#REF!</f>
        <v>#REF!</v>
      </c>
      <c r="X30" s="346" t="e">
        <f t="shared" si="3"/>
        <v>#REF!</v>
      </c>
      <c r="Y30" s="48"/>
      <c r="Z30" s="163"/>
      <c r="AA30" s="48"/>
      <c r="AB30" s="750"/>
      <c r="AC30" s="795"/>
      <c r="AD30" s="797"/>
      <c r="AE30" s="797"/>
      <c r="AF30" s="551"/>
      <c r="AG30" s="699"/>
      <c r="AH30" s="700"/>
      <c r="AI30" s="699"/>
      <c r="AJ30" s="699"/>
      <c r="AK30" s="551"/>
      <c r="AL30" s="551"/>
      <c r="AM30" s="551"/>
      <c r="AN30" s="551"/>
      <c r="AO30" s="551"/>
      <c r="AP30" s="551"/>
      <c r="AQ30" s="551"/>
      <c r="AR30" s="704"/>
      <c r="AS30" s="704"/>
      <c r="AT30" s="704"/>
      <c r="AU30" s="704"/>
      <c r="AV30" s="704"/>
      <c r="AW30" s="704"/>
      <c r="AX30" s="704"/>
      <c r="AY30" s="704"/>
      <c r="AZ30" s="704"/>
      <c r="BA30" s="704"/>
      <c r="BB30" s="704"/>
    </row>
    <row r="31" spans="1:54" s="265" customFormat="1" ht="30" customHeight="1" x14ac:dyDescent="0.25">
      <c r="A31" s="2121"/>
      <c r="B31" s="2082"/>
      <c r="C31" s="574"/>
      <c r="D31" s="881"/>
      <c r="E31" s="882"/>
      <c r="F31" s="71"/>
      <c r="G31" s="71"/>
      <c r="H31" s="80"/>
      <c r="I31" s="318"/>
      <c r="J31" s="80"/>
      <c r="K31" s="80"/>
      <c r="L31" s="80"/>
      <c r="M31" s="310"/>
      <c r="N31" s="68"/>
      <c r="O31" s="68"/>
      <c r="P31" s="68"/>
      <c r="Q31" s="287"/>
      <c r="R31" s="208"/>
      <c r="S31" s="287"/>
      <c r="T31" s="68"/>
      <c r="U31" s="336" t="e">
        <f>'Stock Rawmaterial'!#REF!</f>
        <v>#REF!</v>
      </c>
      <c r="V31" s="254" t="e">
        <f>'Stock Rawmaterial'!#REF!</f>
        <v>#REF!</v>
      </c>
      <c r="W31" s="352" t="e">
        <f>'Stock Rawmaterial'!#REF!</f>
        <v>#REF!</v>
      </c>
      <c r="X31" s="346" t="e">
        <f t="shared" ref="X31" si="4">+(H31+J31+L31+N31+P31)-(R31+T31+V31)</f>
        <v>#REF!</v>
      </c>
      <c r="Y31" s="48"/>
      <c r="Z31" s="163"/>
      <c r="AA31" s="48"/>
      <c r="AB31" s="750"/>
      <c r="AC31" s="795"/>
      <c r="AD31" s="797"/>
      <c r="AE31" s="797"/>
      <c r="AF31" s="551"/>
      <c r="AG31" s="699"/>
      <c r="AH31" s="700"/>
      <c r="AI31" s="699"/>
      <c r="AJ31" s="699"/>
      <c r="AK31" s="551"/>
      <c r="AL31" s="551"/>
      <c r="AM31" s="551"/>
      <c r="AN31" s="551"/>
      <c r="AO31" s="551"/>
      <c r="AP31" s="551"/>
      <c r="AQ31" s="551"/>
      <c r="AR31" s="704"/>
      <c r="AS31" s="704"/>
      <c r="AT31" s="704"/>
      <c r="AU31" s="704"/>
      <c r="AV31" s="704"/>
      <c r="AW31" s="704"/>
      <c r="AX31" s="704"/>
      <c r="AY31" s="704"/>
      <c r="AZ31" s="704"/>
      <c r="BA31" s="704"/>
      <c r="BB31" s="704"/>
    </row>
    <row r="32" spans="1:54" s="265" customFormat="1" ht="30" customHeight="1" x14ac:dyDescent="0.25">
      <c r="A32" s="2085"/>
      <c r="B32" s="2068"/>
      <c r="C32" s="1092"/>
      <c r="D32" s="1093"/>
      <c r="E32" s="1094"/>
      <c r="F32" s="1095">
        <f t="shared" si="0"/>
        <v>46286</v>
      </c>
      <c r="G32" s="1095" t="e">
        <f>'Stock Rawmaterial'!#REF!</f>
        <v>#REF!</v>
      </c>
      <c r="H32" s="626"/>
      <c r="I32" s="1096"/>
      <c r="J32" s="626"/>
      <c r="K32" s="626"/>
      <c r="L32" s="626"/>
      <c r="M32" s="627"/>
      <c r="N32" s="628"/>
      <c r="O32" s="628"/>
      <c r="P32" s="628"/>
      <c r="Q32" s="629"/>
      <c r="R32" s="630"/>
      <c r="S32" s="629"/>
      <c r="T32" s="628"/>
      <c r="U32" s="1097" t="e">
        <f>'Stock Rawmaterial'!#REF!</f>
        <v>#REF!</v>
      </c>
      <c r="V32" s="1098" t="e">
        <f>'Stock Rawmaterial'!#REF!</f>
        <v>#REF!</v>
      </c>
      <c r="W32" s="631" t="e">
        <f>'Stock Rawmaterial'!#REF!</f>
        <v>#REF!</v>
      </c>
      <c r="X32" s="632" t="e">
        <f t="shared" si="3"/>
        <v>#REF!</v>
      </c>
      <c r="Y32" s="35"/>
      <c r="Z32" s="871"/>
      <c r="AA32" s="35"/>
      <c r="AB32" s="1013"/>
      <c r="AC32" s="795"/>
      <c r="AD32" s="797"/>
      <c r="AE32" s="797"/>
      <c r="AF32" s="551"/>
      <c r="AG32" s="699"/>
      <c r="AH32" s="700"/>
      <c r="AI32" s="699"/>
      <c r="AJ32" s="699"/>
      <c r="AK32" s="551"/>
      <c r="AL32" s="551"/>
      <c r="AM32" s="551"/>
      <c r="AN32" s="551"/>
      <c r="AO32" s="551"/>
      <c r="AP32" s="551"/>
      <c r="AQ32" s="551"/>
      <c r="AR32" s="704"/>
      <c r="AS32" s="704"/>
      <c r="AT32" s="704"/>
      <c r="AU32" s="704"/>
      <c r="AV32" s="704"/>
      <c r="AW32" s="704"/>
      <c r="AX32" s="704"/>
      <c r="AY32" s="704"/>
      <c r="AZ32" s="704"/>
      <c r="BA32" s="704"/>
      <c r="BB32" s="704"/>
    </row>
    <row r="33" spans="1:54" s="265" customFormat="1" ht="30" customHeight="1" x14ac:dyDescent="0.25">
      <c r="A33" s="184"/>
      <c r="B33" s="184" t="s">
        <v>873</v>
      </c>
      <c r="C33" s="575"/>
      <c r="D33" s="900"/>
      <c r="E33" s="901"/>
      <c r="F33" s="902"/>
      <c r="G33" s="353"/>
      <c r="H33" s="235">
        <f>+SUM(H26:H32)</f>
        <v>0</v>
      </c>
      <c r="I33" s="235">
        <f t="shared" ref="I33:X33" si="5">+SUM(I26:I32)</f>
        <v>0</v>
      </c>
      <c r="J33" s="235">
        <f t="shared" si="5"/>
        <v>0</v>
      </c>
      <c r="K33" s="235">
        <f t="shared" si="5"/>
        <v>0</v>
      </c>
      <c r="L33" s="235">
        <f t="shared" si="5"/>
        <v>0</v>
      </c>
      <c r="M33" s="235">
        <f t="shared" si="5"/>
        <v>0</v>
      </c>
      <c r="N33" s="235">
        <f t="shared" si="5"/>
        <v>0</v>
      </c>
      <c r="O33" s="235">
        <f t="shared" si="5"/>
        <v>0</v>
      </c>
      <c r="P33" s="235">
        <f t="shared" si="5"/>
        <v>0</v>
      </c>
      <c r="Q33" s="235">
        <f t="shared" si="5"/>
        <v>0</v>
      </c>
      <c r="R33" s="235">
        <f t="shared" si="5"/>
        <v>0</v>
      </c>
      <c r="S33" s="235">
        <f t="shared" si="5"/>
        <v>0</v>
      </c>
      <c r="T33" s="235">
        <f t="shared" si="5"/>
        <v>0</v>
      </c>
      <c r="U33" s="235" t="e">
        <f t="shared" si="5"/>
        <v>#REF!</v>
      </c>
      <c r="V33" s="235" t="e">
        <f t="shared" si="5"/>
        <v>#REF!</v>
      </c>
      <c r="W33" s="235" t="e">
        <f t="shared" si="5"/>
        <v>#REF!</v>
      </c>
      <c r="X33" s="235" t="e">
        <f t="shared" si="5"/>
        <v>#REF!</v>
      </c>
      <c r="Y33" s="59"/>
      <c r="Z33" s="366">
        <f>IFERROR(X33/Y33,0)</f>
        <v>0</v>
      </c>
      <c r="AA33" s="59"/>
      <c r="AB33" s="880">
        <f>IFERROR(X33/AA33,0)</f>
        <v>0</v>
      </c>
      <c r="AC33" s="795" t="s">
        <v>879</v>
      </c>
      <c r="AD33" s="797"/>
      <c r="AE33" s="797"/>
      <c r="AF33" s="551"/>
      <c r="AG33" s="699"/>
      <c r="AH33" s="700"/>
      <c r="AI33" s="699"/>
      <c r="AJ33" s="699"/>
      <c r="AK33" s="551"/>
      <c r="AL33" s="683"/>
      <c r="AM33" s="551"/>
      <c r="AN33" s="551"/>
      <c r="AO33" s="551"/>
      <c r="AP33" s="551"/>
      <c r="AQ33" s="551"/>
      <c r="AR33" s="704"/>
      <c r="AS33" s="704"/>
      <c r="AT33" s="704"/>
      <c r="AU33" s="704"/>
      <c r="AV33" s="704"/>
      <c r="AW33" s="704"/>
      <c r="AX33" s="704"/>
      <c r="AY33" s="704"/>
      <c r="AZ33" s="704"/>
      <c r="BA33" s="704"/>
      <c r="BB33" s="704"/>
    </row>
    <row r="34" spans="1:54" s="265" customFormat="1" ht="30" customHeight="1" x14ac:dyDescent="0.25">
      <c r="A34" s="2083" t="e">
        <f>IF(X39=0,"",MAX($A$14:A33)+1)</f>
        <v>#REF!</v>
      </c>
      <c r="B34" s="2075" t="s">
        <v>897</v>
      </c>
      <c r="C34" s="574" t="str">
        <f>'Stock Rawmaterial'!C1362</f>
        <v>Z6.1</v>
      </c>
      <c r="D34" s="881" t="s">
        <v>10</v>
      </c>
      <c r="E34" s="882">
        <f>'Stock Rawmaterial'!E1362</f>
        <v>44790</v>
      </c>
      <c r="F34" s="71">
        <f t="shared" si="0"/>
        <v>1496</v>
      </c>
      <c r="G34" s="71" t="e">
        <f>'Stock Rawmaterial'!#REF!</f>
        <v>#REF!</v>
      </c>
      <c r="H34" s="80">
        <f>'Stock Rawmaterial'!G1362</f>
        <v>0</v>
      </c>
      <c r="I34" s="318" t="e">
        <f>'Stock Rawmaterial'!#REF!</f>
        <v>#REF!</v>
      </c>
      <c r="J34" s="80">
        <f>'Stock Rawmaterial'!H1362</f>
        <v>0</v>
      </c>
      <c r="K34" s="80" t="e">
        <f>'Stock Rawmaterial'!#REF!</f>
        <v>#REF!</v>
      </c>
      <c r="L34" s="80" t="e">
        <f>'Stock Rawmaterial'!#REF!</f>
        <v>#REF!</v>
      </c>
      <c r="M34" s="310" t="e">
        <f>'Stock Rawmaterial'!#REF!</f>
        <v>#REF!</v>
      </c>
      <c r="N34" s="68">
        <f>'Stock Rawmaterial'!I1362</f>
        <v>0</v>
      </c>
      <c r="O34" s="68" t="e">
        <f>'Stock Rawmaterial'!#REF!</f>
        <v>#REF!</v>
      </c>
      <c r="P34" s="68" t="e">
        <f>'Stock Rawmaterial'!#REF!</f>
        <v>#REF!</v>
      </c>
      <c r="Q34" s="287" t="e">
        <f>'Stock Rawmaterial'!#REF!</f>
        <v>#REF!</v>
      </c>
      <c r="R34" s="208">
        <f>'Stock Rawmaterial'!J1362</f>
        <v>0</v>
      </c>
      <c r="S34" s="287" t="e">
        <f>'Stock Rawmaterial'!#REF!</f>
        <v>#REF!</v>
      </c>
      <c r="T34" s="68">
        <f>'Stock Rawmaterial'!K1362</f>
        <v>0</v>
      </c>
      <c r="U34" s="336" t="e">
        <f>'Stock Rawmaterial'!#REF!</f>
        <v>#REF!</v>
      </c>
      <c r="V34" s="254" t="e">
        <f>'Stock Rawmaterial'!#REF!</f>
        <v>#REF!</v>
      </c>
      <c r="W34" s="352" t="e">
        <f>'Stock Rawmaterial'!#REF!</f>
        <v>#REF!</v>
      </c>
      <c r="X34" s="346" t="e">
        <f>+(H34+J34+L34+N34+P34)-(R34+T34+V34)</f>
        <v>#REF!</v>
      </c>
      <c r="Y34" s="48"/>
      <c r="Z34" s="163"/>
      <c r="AA34" s="48"/>
      <c r="AB34" s="750"/>
      <c r="AC34" s="795"/>
      <c r="AD34" s="797"/>
      <c r="AE34" s="797"/>
      <c r="AF34" s="551"/>
      <c r="AG34" s="699"/>
      <c r="AH34" s="700"/>
      <c r="AI34" s="699"/>
      <c r="AJ34" s="699"/>
      <c r="AK34" s="551"/>
      <c r="AL34" s="551"/>
      <c r="AM34" s="551"/>
      <c r="AN34" s="551"/>
      <c r="AO34" s="551"/>
      <c r="AP34" s="551"/>
      <c r="AQ34" s="551"/>
      <c r="AR34" s="704"/>
      <c r="AS34" s="704"/>
      <c r="AT34" s="704"/>
      <c r="AU34" s="704"/>
      <c r="AV34" s="704"/>
      <c r="AW34" s="704"/>
      <c r="AX34" s="704"/>
      <c r="AY34" s="704"/>
      <c r="AZ34" s="704"/>
      <c r="BA34" s="704"/>
      <c r="BB34" s="704"/>
    </row>
    <row r="35" spans="1:54" s="265" customFormat="1" ht="30" customHeight="1" x14ac:dyDescent="0.25">
      <c r="A35" s="2084"/>
      <c r="B35" s="2076"/>
      <c r="C35" s="574">
        <f>'Stock Rawmaterial'!C1363</f>
        <v>0</v>
      </c>
      <c r="D35" s="881" t="s">
        <v>10</v>
      </c>
      <c r="E35" s="882">
        <f>'Stock Rawmaterial'!E1363</f>
        <v>0</v>
      </c>
      <c r="F35" s="71">
        <f t="shared" si="0"/>
        <v>46286</v>
      </c>
      <c r="G35" s="71" t="e">
        <f>'Stock Rawmaterial'!#REF!</f>
        <v>#REF!</v>
      </c>
      <c r="H35" s="80">
        <f>'Stock Rawmaterial'!G1363</f>
        <v>0</v>
      </c>
      <c r="I35" s="318" t="e">
        <f>'Stock Rawmaterial'!#REF!</f>
        <v>#REF!</v>
      </c>
      <c r="J35" s="80">
        <f>'Stock Rawmaterial'!H1363</f>
        <v>0</v>
      </c>
      <c r="K35" s="80" t="e">
        <f>'Stock Rawmaterial'!#REF!</f>
        <v>#REF!</v>
      </c>
      <c r="L35" s="80" t="e">
        <f>'Stock Rawmaterial'!#REF!</f>
        <v>#REF!</v>
      </c>
      <c r="M35" s="310" t="e">
        <f>'Stock Rawmaterial'!#REF!</f>
        <v>#REF!</v>
      </c>
      <c r="N35" s="68">
        <f>'Stock Rawmaterial'!I1363</f>
        <v>0</v>
      </c>
      <c r="O35" s="68" t="e">
        <f>'Stock Rawmaterial'!#REF!</f>
        <v>#REF!</v>
      </c>
      <c r="P35" s="68" t="e">
        <f>'Stock Rawmaterial'!#REF!</f>
        <v>#REF!</v>
      </c>
      <c r="Q35" s="287" t="e">
        <f>'Stock Rawmaterial'!#REF!</f>
        <v>#REF!</v>
      </c>
      <c r="R35" s="208">
        <f>'Stock Rawmaterial'!J1363</f>
        <v>0</v>
      </c>
      <c r="S35" s="287" t="e">
        <f>'Stock Rawmaterial'!#REF!</f>
        <v>#REF!</v>
      </c>
      <c r="T35" s="68">
        <f>'Stock Rawmaterial'!K1363</f>
        <v>0</v>
      </c>
      <c r="U35" s="336" t="e">
        <f>'Stock Rawmaterial'!#REF!</f>
        <v>#REF!</v>
      </c>
      <c r="V35" s="254" t="e">
        <f>'Stock Rawmaterial'!#REF!</f>
        <v>#REF!</v>
      </c>
      <c r="W35" s="352" t="e">
        <f>'Stock Rawmaterial'!#REF!</f>
        <v>#REF!</v>
      </c>
      <c r="X35" s="346" t="e">
        <f>+(H35+J35+L35+N35+P35)-(R35+T35+V35)</f>
        <v>#REF!</v>
      </c>
      <c r="Y35" s="48"/>
      <c r="Z35" s="163"/>
      <c r="AA35" s="48"/>
      <c r="AB35" s="750"/>
      <c r="AC35" s="795"/>
      <c r="AD35" s="797"/>
      <c r="AE35" s="797"/>
      <c r="AF35" s="551"/>
      <c r="AG35" s="699"/>
      <c r="AH35" s="700"/>
      <c r="AI35" s="699"/>
      <c r="AJ35" s="699"/>
      <c r="AK35" s="551"/>
      <c r="AL35" s="551"/>
      <c r="AM35" s="551"/>
      <c r="AN35" s="551"/>
      <c r="AO35" s="551"/>
      <c r="AP35" s="551"/>
      <c r="AQ35" s="551"/>
      <c r="AR35" s="704"/>
      <c r="AS35" s="704"/>
      <c r="AT35" s="704"/>
      <c r="AU35" s="704"/>
      <c r="AV35" s="704"/>
      <c r="AW35" s="704"/>
      <c r="AX35" s="704"/>
      <c r="AY35" s="704"/>
      <c r="AZ35" s="704"/>
      <c r="BA35" s="704"/>
      <c r="BB35" s="704"/>
    </row>
    <row r="36" spans="1:54" s="265" customFormat="1" ht="30" customHeight="1" x14ac:dyDescent="0.25">
      <c r="A36" s="2084"/>
      <c r="B36" s="2076"/>
      <c r="C36" s="574">
        <f>'Stock Rawmaterial'!C1364</f>
        <v>0</v>
      </c>
      <c r="D36" s="881" t="s">
        <v>10</v>
      </c>
      <c r="E36" s="882">
        <f>'Stock Rawmaterial'!E1364</f>
        <v>0</v>
      </c>
      <c r="F36" s="71">
        <f t="shared" si="0"/>
        <v>46286</v>
      </c>
      <c r="G36" s="71" t="e">
        <f>'Stock Rawmaterial'!#REF!</f>
        <v>#REF!</v>
      </c>
      <c r="H36" s="80">
        <f>'Stock Rawmaterial'!G1364</f>
        <v>0</v>
      </c>
      <c r="I36" s="318" t="e">
        <f>'Stock Rawmaterial'!#REF!</f>
        <v>#REF!</v>
      </c>
      <c r="J36" s="80">
        <f>'Stock Rawmaterial'!H1364</f>
        <v>0</v>
      </c>
      <c r="K36" s="80" t="e">
        <f>'Stock Rawmaterial'!#REF!</f>
        <v>#REF!</v>
      </c>
      <c r="L36" s="80" t="e">
        <f>'Stock Rawmaterial'!#REF!</f>
        <v>#REF!</v>
      </c>
      <c r="M36" s="310" t="e">
        <f>'Stock Rawmaterial'!#REF!</f>
        <v>#REF!</v>
      </c>
      <c r="N36" s="68">
        <f>'Stock Rawmaterial'!I1364</f>
        <v>0</v>
      </c>
      <c r="O36" s="68" t="e">
        <f>'Stock Rawmaterial'!#REF!</f>
        <v>#REF!</v>
      </c>
      <c r="P36" s="68" t="e">
        <f>'Stock Rawmaterial'!#REF!</f>
        <v>#REF!</v>
      </c>
      <c r="Q36" s="287" t="e">
        <f>'Stock Rawmaterial'!#REF!</f>
        <v>#REF!</v>
      </c>
      <c r="R36" s="208">
        <f>'Stock Rawmaterial'!J1364</f>
        <v>0</v>
      </c>
      <c r="S36" s="287" t="e">
        <f>'Stock Rawmaterial'!#REF!</f>
        <v>#REF!</v>
      </c>
      <c r="T36" s="68">
        <f>'Stock Rawmaterial'!K1364</f>
        <v>0</v>
      </c>
      <c r="U36" s="336" t="e">
        <f>'Stock Rawmaterial'!#REF!</f>
        <v>#REF!</v>
      </c>
      <c r="V36" s="254" t="e">
        <f>'Stock Rawmaterial'!#REF!</f>
        <v>#REF!</v>
      </c>
      <c r="W36" s="352" t="e">
        <f>'Stock Rawmaterial'!#REF!</f>
        <v>#REF!</v>
      </c>
      <c r="X36" s="346" t="e">
        <f>+(H36+J36+L36+N36+P36)-(R36+T36+V36)</f>
        <v>#REF!</v>
      </c>
      <c r="Y36" s="48"/>
      <c r="Z36" s="163"/>
      <c r="AA36" s="48"/>
      <c r="AB36" s="750"/>
      <c r="AC36" s="795"/>
      <c r="AD36" s="797"/>
      <c r="AE36" s="797"/>
      <c r="AF36" s="551"/>
      <c r="AG36" s="699"/>
      <c r="AH36" s="700"/>
      <c r="AI36" s="699"/>
      <c r="AJ36" s="699"/>
      <c r="AK36" s="551"/>
      <c r="AL36" s="551"/>
      <c r="AM36" s="551"/>
      <c r="AN36" s="551"/>
      <c r="AO36" s="551"/>
      <c r="AP36" s="551"/>
      <c r="AQ36" s="551"/>
      <c r="AR36" s="704"/>
      <c r="AS36" s="704"/>
      <c r="AT36" s="704"/>
      <c r="AU36" s="704"/>
      <c r="AV36" s="704"/>
      <c r="AW36" s="704"/>
      <c r="AX36" s="704"/>
      <c r="AY36" s="704"/>
      <c r="AZ36" s="704"/>
      <c r="BA36" s="704"/>
      <c r="BB36" s="704"/>
    </row>
    <row r="37" spans="1:54" s="265" customFormat="1" ht="30" customHeight="1" x14ac:dyDescent="0.25">
      <c r="A37" s="2084"/>
      <c r="B37" s="2076"/>
      <c r="C37" s="574">
        <f>'Stock Rawmaterial'!C1365</f>
        <v>0</v>
      </c>
      <c r="D37" s="881" t="s">
        <v>10</v>
      </c>
      <c r="E37" s="882">
        <f>'Stock Rawmaterial'!E1365</f>
        <v>0</v>
      </c>
      <c r="F37" s="71">
        <f t="shared" si="0"/>
        <v>46286</v>
      </c>
      <c r="G37" s="71" t="e">
        <f>'Stock Rawmaterial'!#REF!</f>
        <v>#REF!</v>
      </c>
      <c r="H37" s="80">
        <f>'Stock Rawmaterial'!G1365</f>
        <v>0</v>
      </c>
      <c r="I37" s="318" t="e">
        <f>'Stock Rawmaterial'!#REF!</f>
        <v>#REF!</v>
      </c>
      <c r="J37" s="80">
        <f>'Stock Rawmaterial'!H1365</f>
        <v>0</v>
      </c>
      <c r="K37" s="80" t="e">
        <f>'Stock Rawmaterial'!#REF!</f>
        <v>#REF!</v>
      </c>
      <c r="L37" s="80" t="e">
        <f>'Stock Rawmaterial'!#REF!</f>
        <v>#REF!</v>
      </c>
      <c r="M37" s="310" t="e">
        <f>'Stock Rawmaterial'!#REF!</f>
        <v>#REF!</v>
      </c>
      <c r="N37" s="68">
        <f>'Stock Rawmaterial'!I1365</f>
        <v>0</v>
      </c>
      <c r="O37" s="68" t="e">
        <f>'Stock Rawmaterial'!#REF!</f>
        <v>#REF!</v>
      </c>
      <c r="P37" s="68" t="e">
        <f>'Stock Rawmaterial'!#REF!</f>
        <v>#REF!</v>
      </c>
      <c r="Q37" s="287" t="e">
        <f>'Stock Rawmaterial'!#REF!</f>
        <v>#REF!</v>
      </c>
      <c r="R37" s="208">
        <f>'Stock Rawmaterial'!J1365</f>
        <v>0</v>
      </c>
      <c r="S37" s="287" t="e">
        <f>'Stock Rawmaterial'!#REF!</f>
        <v>#REF!</v>
      </c>
      <c r="T37" s="68">
        <f>'Stock Rawmaterial'!K1365</f>
        <v>0</v>
      </c>
      <c r="U37" s="336" t="e">
        <f>'Stock Rawmaterial'!#REF!</f>
        <v>#REF!</v>
      </c>
      <c r="V37" s="254" t="e">
        <f>'Stock Rawmaterial'!#REF!</f>
        <v>#REF!</v>
      </c>
      <c r="W37" s="352" t="e">
        <f>'Stock Rawmaterial'!#REF!</f>
        <v>#REF!</v>
      </c>
      <c r="X37" s="346" t="e">
        <f>+(H37+J37+L37+N37+P37)-(R37+T37+V37)</f>
        <v>#REF!</v>
      </c>
      <c r="Y37" s="48"/>
      <c r="Z37" s="163"/>
      <c r="AA37" s="48"/>
      <c r="AB37" s="750"/>
      <c r="AC37" s="795"/>
      <c r="AD37" s="797"/>
      <c r="AE37" s="797"/>
      <c r="AF37" s="551"/>
      <c r="AG37" s="699"/>
      <c r="AH37" s="700"/>
      <c r="AI37" s="699"/>
      <c r="AJ37" s="699"/>
      <c r="AK37" s="551"/>
      <c r="AL37" s="551"/>
      <c r="AM37" s="551"/>
      <c r="AN37" s="551"/>
      <c r="AO37" s="551"/>
      <c r="AP37" s="551"/>
      <c r="AQ37" s="551"/>
      <c r="AR37" s="704"/>
      <c r="AS37" s="704"/>
      <c r="AT37" s="704"/>
      <c r="AU37" s="704"/>
      <c r="AV37" s="704"/>
      <c r="AW37" s="704"/>
      <c r="AX37" s="704"/>
      <c r="AY37" s="704"/>
      <c r="AZ37" s="704"/>
      <c r="BA37" s="704"/>
      <c r="BB37" s="704"/>
    </row>
    <row r="38" spans="1:54" s="265" customFormat="1" ht="30" customHeight="1" x14ac:dyDescent="0.25">
      <c r="A38" s="2085"/>
      <c r="B38" s="2068"/>
      <c r="C38" s="1092" t="str">
        <f>'Stock Rawmaterial'!C1366</f>
        <v>Feedmil</v>
      </c>
      <c r="D38" s="1093" t="s">
        <v>10</v>
      </c>
      <c r="E38" s="1094">
        <f>'Stock Rawmaterial'!E1366</f>
        <v>44790</v>
      </c>
      <c r="F38" s="1095">
        <f t="shared" si="0"/>
        <v>1496</v>
      </c>
      <c r="G38" s="1095" t="e">
        <f>'Stock Rawmaterial'!#REF!</f>
        <v>#REF!</v>
      </c>
      <c r="H38" s="626">
        <f>'Stock Rawmaterial'!G1366</f>
        <v>0</v>
      </c>
      <c r="I38" s="1096" t="e">
        <f>'Stock Rawmaterial'!#REF!</f>
        <v>#REF!</v>
      </c>
      <c r="J38" s="626">
        <f>'Stock Rawmaterial'!H1366</f>
        <v>0</v>
      </c>
      <c r="K38" s="626" t="e">
        <f>'Stock Rawmaterial'!#REF!</f>
        <v>#REF!</v>
      </c>
      <c r="L38" s="626" t="e">
        <f>'Stock Rawmaterial'!#REF!</f>
        <v>#REF!</v>
      </c>
      <c r="M38" s="627" t="e">
        <f>'Stock Rawmaterial'!#REF!</f>
        <v>#REF!</v>
      </c>
      <c r="N38" s="628">
        <f>'Stock Rawmaterial'!I1366</f>
        <v>0</v>
      </c>
      <c r="O38" s="628" t="e">
        <f>'Stock Rawmaterial'!#REF!</f>
        <v>#REF!</v>
      </c>
      <c r="P38" s="628" t="e">
        <f>'Stock Rawmaterial'!#REF!</f>
        <v>#REF!</v>
      </c>
      <c r="Q38" s="629" t="e">
        <f>'Stock Rawmaterial'!#REF!</f>
        <v>#REF!</v>
      </c>
      <c r="R38" s="630">
        <f>'Stock Rawmaterial'!J1366</f>
        <v>0</v>
      </c>
      <c r="S38" s="629" t="e">
        <f>'Stock Rawmaterial'!#REF!</f>
        <v>#REF!</v>
      </c>
      <c r="T38" s="628">
        <f>'Stock Rawmaterial'!K1366</f>
        <v>0</v>
      </c>
      <c r="U38" s="1097" t="e">
        <f>'Stock Rawmaterial'!#REF!</f>
        <v>#REF!</v>
      </c>
      <c r="V38" s="1098" t="e">
        <f>'Stock Rawmaterial'!#REF!</f>
        <v>#REF!</v>
      </c>
      <c r="W38" s="631" t="e">
        <f>'Stock Rawmaterial'!#REF!</f>
        <v>#REF!</v>
      </c>
      <c r="X38" s="632" t="e">
        <f>+(H38+J38+L38+N38+P38)-(R38+T38+V38)</f>
        <v>#REF!</v>
      </c>
      <c r="Y38" s="35"/>
      <c r="Z38" s="871"/>
      <c r="AA38" s="35"/>
      <c r="AB38" s="1013"/>
      <c r="AC38" s="795"/>
      <c r="AD38" s="797"/>
      <c r="AE38" s="797"/>
      <c r="AF38" s="551"/>
      <c r="AG38" s="699"/>
      <c r="AH38" s="700"/>
      <c r="AI38" s="699"/>
      <c r="AJ38" s="699"/>
      <c r="AK38" s="551"/>
      <c r="AL38" s="551"/>
      <c r="AM38" s="551"/>
      <c r="AN38" s="551"/>
      <c r="AO38" s="551"/>
      <c r="AP38" s="551"/>
      <c r="AQ38" s="551"/>
      <c r="AR38" s="704"/>
      <c r="AS38" s="704"/>
      <c r="AT38" s="704"/>
      <c r="AU38" s="704"/>
      <c r="AV38" s="704"/>
      <c r="AW38" s="704"/>
      <c r="AX38" s="704"/>
      <c r="AY38" s="704"/>
      <c r="AZ38" s="704"/>
      <c r="BA38" s="704"/>
      <c r="BB38" s="704"/>
    </row>
    <row r="39" spans="1:54" s="265" customFormat="1" ht="30" customHeight="1" x14ac:dyDescent="0.25">
      <c r="A39" s="184"/>
      <c r="B39" s="184" t="s">
        <v>899</v>
      </c>
      <c r="C39" s="575"/>
      <c r="D39" s="900"/>
      <c r="E39" s="901"/>
      <c r="F39" s="902"/>
      <c r="G39" s="353"/>
      <c r="H39" s="235">
        <f>+SUM(H34:H38)</f>
        <v>0</v>
      </c>
      <c r="I39" s="235" t="e">
        <f t="shared" ref="I39:X39" si="6">+SUM(I34:I38)</f>
        <v>#REF!</v>
      </c>
      <c r="J39" s="235">
        <f t="shared" si="6"/>
        <v>0</v>
      </c>
      <c r="K39" s="235" t="e">
        <f t="shared" si="6"/>
        <v>#REF!</v>
      </c>
      <c r="L39" s="235" t="e">
        <f t="shared" si="6"/>
        <v>#REF!</v>
      </c>
      <c r="M39" s="235" t="e">
        <f t="shared" si="6"/>
        <v>#REF!</v>
      </c>
      <c r="N39" s="235">
        <f t="shared" si="6"/>
        <v>0</v>
      </c>
      <c r="O39" s="235" t="e">
        <f t="shared" si="6"/>
        <v>#REF!</v>
      </c>
      <c r="P39" s="235" t="e">
        <f t="shared" si="6"/>
        <v>#REF!</v>
      </c>
      <c r="Q39" s="235" t="e">
        <f t="shared" si="6"/>
        <v>#REF!</v>
      </c>
      <c r="R39" s="235">
        <f t="shared" si="6"/>
        <v>0</v>
      </c>
      <c r="S39" s="235" t="e">
        <f t="shared" si="6"/>
        <v>#REF!</v>
      </c>
      <c r="T39" s="235">
        <f t="shared" si="6"/>
        <v>0</v>
      </c>
      <c r="U39" s="235" t="e">
        <f t="shared" si="6"/>
        <v>#REF!</v>
      </c>
      <c r="V39" s="235" t="e">
        <f t="shared" si="6"/>
        <v>#REF!</v>
      </c>
      <c r="W39" s="235" t="e">
        <f t="shared" si="6"/>
        <v>#REF!</v>
      </c>
      <c r="X39" s="235" t="e">
        <f t="shared" si="6"/>
        <v>#REF!</v>
      </c>
      <c r="Y39" s="59" t="str">
        <f>'Stock Rawmaterial'!M1367</f>
        <v/>
      </c>
      <c r="Z39" s="366">
        <f>IFERROR(X39/Y39,0)</f>
        <v>0</v>
      </c>
      <c r="AA39" s="59">
        <f>'Stock Rawmaterial'!O1367</f>
        <v>0</v>
      </c>
      <c r="AB39" s="880">
        <f>IFERROR(X39/AA39,0)</f>
        <v>0</v>
      </c>
      <c r="AC39" s="795" t="s">
        <v>900</v>
      </c>
      <c r="AD39" s="797"/>
      <c r="AE39" s="797"/>
      <c r="AF39" s="551"/>
      <c r="AG39" s="699"/>
      <c r="AH39" s="700"/>
      <c r="AI39" s="699"/>
      <c r="AJ39" s="699"/>
      <c r="AK39" s="551"/>
      <c r="AL39" s="683"/>
      <c r="AM39" s="551"/>
      <c r="AN39" s="551"/>
      <c r="AO39" s="551"/>
      <c r="AP39" s="551"/>
      <c r="AQ39" s="551"/>
      <c r="AR39" s="704"/>
      <c r="AS39" s="704"/>
      <c r="AT39" s="704"/>
      <c r="AU39" s="704"/>
      <c r="AV39" s="704"/>
      <c r="AW39" s="704"/>
      <c r="AX39" s="704"/>
      <c r="AY39" s="704"/>
      <c r="AZ39" s="704"/>
      <c r="BA39" s="704"/>
      <c r="BB39" s="704"/>
    </row>
    <row r="40" spans="1:54" s="265" customFormat="1" ht="30" customHeight="1" x14ac:dyDescent="0.25">
      <c r="A40" s="2083" t="e">
        <f>IF(X45=0,"",MAX($A$14:A39)+1)</f>
        <v>#REF!</v>
      </c>
      <c r="B40" s="2075" t="s">
        <v>898</v>
      </c>
      <c r="C40" s="574" t="str">
        <f>'Stock Rawmaterial'!C1368</f>
        <v>Z7.3</v>
      </c>
      <c r="D40" s="881" t="s">
        <v>10</v>
      </c>
      <c r="E40" s="882">
        <f>'Stock Rawmaterial'!E1368</f>
        <v>44294</v>
      </c>
      <c r="F40" s="71">
        <f t="shared" si="0"/>
        <v>1992</v>
      </c>
      <c r="G40" s="71" t="e">
        <f>'Stock Rawmaterial'!#REF!</f>
        <v>#REF!</v>
      </c>
      <c r="H40" s="80">
        <f>'Stock Rawmaterial'!G1368</f>
        <v>0</v>
      </c>
      <c r="I40" s="318" t="e">
        <f>'Stock Rawmaterial'!#REF!</f>
        <v>#REF!</v>
      </c>
      <c r="J40" s="80">
        <f>'Stock Rawmaterial'!H1368</f>
        <v>0</v>
      </c>
      <c r="K40" s="80" t="e">
        <f>'Stock Rawmaterial'!#REF!</f>
        <v>#REF!</v>
      </c>
      <c r="L40" s="80" t="e">
        <f>'Stock Rawmaterial'!#REF!</f>
        <v>#REF!</v>
      </c>
      <c r="M40" s="310" t="e">
        <f>'Stock Rawmaterial'!#REF!</f>
        <v>#REF!</v>
      </c>
      <c r="N40" s="68">
        <f>'Stock Rawmaterial'!I1368</f>
        <v>0</v>
      </c>
      <c r="O40" s="68" t="e">
        <f>'Stock Rawmaterial'!#REF!</f>
        <v>#REF!</v>
      </c>
      <c r="P40" s="68" t="e">
        <f>'Stock Rawmaterial'!#REF!</f>
        <v>#REF!</v>
      </c>
      <c r="Q40" s="287" t="e">
        <f>'Stock Rawmaterial'!#REF!</f>
        <v>#REF!</v>
      </c>
      <c r="R40" s="208">
        <f>'Stock Rawmaterial'!J1368</f>
        <v>0</v>
      </c>
      <c r="S40" s="287" t="e">
        <f>'Stock Rawmaterial'!#REF!</f>
        <v>#REF!</v>
      </c>
      <c r="T40" s="68">
        <f>'Stock Rawmaterial'!K1368</f>
        <v>0</v>
      </c>
      <c r="U40" s="336" t="e">
        <f>'Stock Rawmaterial'!#REF!</f>
        <v>#REF!</v>
      </c>
      <c r="V40" s="254" t="e">
        <f>'Stock Rawmaterial'!#REF!</f>
        <v>#REF!</v>
      </c>
      <c r="W40" s="352" t="e">
        <f>'Stock Rawmaterial'!#REF!</f>
        <v>#REF!</v>
      </c>
      <c r="X40" s="346" t="e">
        <f>+(H40+J40+L40+N40+P40)-(R40+T40+V40)</f>
        <v>#REF!</v>
      </c>
      <c r="Y40" s="48"/>
      <c r="Z40" s="163"/>
      <c r="AA40" s="48"/>
      <c r="AB40" s="750"/>
      <c r="AC40" s="795"/>
      <c r="AD40" s="797"/>
      <c r="AE40" s="797"/>
      <c r="AF40" s="551"/>
      <c r="AG40" s="699"/>
      <c r="AH40" s="700"/>
      <c r="AI40" s="699"/>
      <c r="AJ40" s="699"/>
      <c r="AK40" s="551"/>
      <c r="AL40" s="551"/>
      <c r="AM40" s="551"/>
      <c r="AN40" s="551"/>
      <c r="AO40" s="551"/>
      <c r="AP40" s="551"/>
      <c r="AQ40" s="551"/>
      <c r="AR40" s="704"/>
      <c r="AS40" s="704"/>
      <c r="AT40" s="704"/>
      <c r="AU40" s="704"/>
      <c r="AV40" s="704"/>
      <c r="AW40" s="704"/>
      <c r="AX40" s="704"/>
      <c r="AY40" s="704"/>
      <c r="AZ40" s="704"/>
      <c r="BA40" s="704"/>
      <c r="BB40" s="704"/>
    </row>
    <row r="41" spans="1:54" s="265" customFormat="1" ht="30" customHeight="1" x14ac:dyDescent="0.25">
      <c r="A41" s="2084"/>
      <c r="B41" s="2076"/>
      <c r="C41" s="574" t="str">
        <f>'Stock Rawmaterial'!C1369</f>
        <v>Y4.1</v>
      </c>
      <c r="D41" s="881" t="s">
        <v>10</v>
      </c>
      <c r="E41" s="882">
        <f>'Stock Rawmaterial'!E1369</f>
        <v>44217</v>
      </c>
      <c r="F41" s="71">
        <f t="shared" si="0"/>
        <v>2069</v>
      </c>
      <c r="G41" s="71" t="e">
        <f>'Stock Rawmaterial'!#REF!</f>
        <v>#REF!</v>
      </c>
      <c r="H41" s="80">
        <f>'Stock Rawmaterial'!G1369</f>
        <v>0</v>
      </c>
      <c r="I41" s="318" t="e">
        <f>'Stock Rawmaterial'!#REF!</f>
        <v>#REF!</v>
      </c>
      <c r="J41" s="80">
        <f>'Stock Rawmaterial'!H1369</f>
        <v>0</v>
      </c>
      <c r="K41" s="80" t="e">
        <f>'Stock Rawmaterial'!#REF!</f>
        <v>#REF!</v>
      </c>
      <c r="L41" s="80" t="e">
        <f>'Stock Rawmaterial'!#REF!</f>
        <v>#REF!</v>
      </c>
      <c r="M41" s="310" t="e">
        <f>'Stock Rawmaterial'!#REF!</f>
        <v>#REF!</v>
      </c>
      <c r="N41" s="68">
        <f>'Stock Rawmaterial'!I1369</f>
        <v>0</v>
      </c>
      <c r="O41" s="68" t="e">
        <f>'Stock Rawmaterial'!#REF!</f>
        <v>#REF!</v>
      </c>
      <c r="P41" s="68" t="e">
        <f>'Stock Rawmaterial'!#REF!</f>
        <v>#REF!</v>
      </c>
      <c r="Q41" s="287" t="e">
        <f>'Stock Rawmaterial'!#REF!</f>
        <v>#REF!</v>
      </c>
      <c r="R41" s="208">
        <f>'Stock Rawmaterial'!J1369</f>
        <v>0</v>
      </c>
      <c r="S41" s="287" t="e">
        <f>'Stock Rawmaterial'!#REF!</f>
        <v>#REF!</v>
      </c>
      <c r="T41" s="68">
        <f>'Stock Rawmaterial'!K1369</f>
        <v>0</v>
      </c>
      <c r="U41" s="336" t="e">
        <f>'Stock Rawmaterial'!#REF!</f>
        <v>#REF!</v>
      </c>
      <c r="V41" s="254" t="e">
        <f>'Stock Rawmaterial'!#REF!</f>
        <v>#REF!</v>
      </c>
      <c r="W41" s="352" t="e">
        <f>'Stock Rawmaterial'!#REF!</f>
        <v>#REF!</v>
      </c>
      <c r="X41" s="346" t="e">
        <f>+(H41+J41+L41+N41+P41)-(R41+T41+V41)</f>
        <v>#REF!</v>
      </c>
      <c r="Y41" s="48"/>
      <c r="Z41" s="163"/>
      <c r="AA41" s="48"/>
      <c r="AB41" s="750"/>
      <c r="AC41" s="795"/>
      <c r="AD41" s="797"/>
      <c r="AE41" s="797"/>
      <c r="AF41" s="551"/>
      <c r="AG41" s="699"/>
      <c r="AH41" s="700"/>
      <c r="AI41" s="699"/>
      <c r="AJ41" s="699"/>
      <c r="AK41" s="551"/>
      <c r="AL41" s="551"/>
      <c r="AM41" s="551"/>
      <c r="AN41" s="551"/>
      <c r="AO41" s="551"/>
      <c r="AP41" s="551"/>
      <c r="AQ41" s="551"/>
      <c r="AR41" s="704"/>
      <c r="AS41" s="704"/>
      <c r="AT41" s="704"/>
      <c r="AU41" s="704"/>
      <c r="AV41" s="704"/>
      <c r="AW41" s="704"/>
      <c r="AX41" s="704"/>
      <c r="AY41" s="704"/>
      <c r="AZ41" s="704"/>
      <c r="BA41" s="704"/>
      <c r="BB41" s="704"/>
    </row>
    <row r="42" spans="1:54" s="265" customFormat="1" ht="30" customHeight="1" x14ac:dyDescent="0.25">
      <c r="A42" s="2084"/>
      <c r="B42" s="2076"/>
      <c r="C42" s="574" t="str">
        <f>'Stock Rawmaterial'!C1370</f>
        <v>Y4.1</v>
      </c>
      <c r="D42" s="881" t="s">
        <v>10</v>
      </c>
      <c r="E42" s="882">
        <f>'Stock Rawmaterial'!E1370</f>
        <v>44217</v>
      </c>
      <c r="F42" s="71">
        <f t="shared" si="0"/>
        <v>2069</v>
      </c>
      <c r="G42" s="71" t="e">
        <f>'Stock Rawmaterial'!#REF!</f>
        <v>#REF!</v>
      </c>
      <c r="H42" s="80">
        <f>'Stock Rawmaterial'!G1370</f>
        <v>0</v>
      </c>
      <c r="I42" s="318" t="e">
        <f>'Stock Rawmaterial'!#REF!</f>
        <v>#REF!</v>
      </c>
      <c r="J42" s="80">
        <f>'Stock Rawmaterial'!H1370</f>
        <v>0</v>
      </c>
      <c r="K42" s="80" t="e">
        <f>'Stock Rawmaterial'!#REF!</f>
        <v>#REF!</v>
      </c>
      <c r="L42" s="80" t="e">
        <f>'Stock Rawmaterial'!#REF!</f>
        <v>#REF!</v>
      </c>
      <c r="M42" s="310" t="e">
        <f>'Stock Rawmaterial'!#REF!</f>
        <v>#REF!</v>
      </c>
      <c r="N42" s="68">
        <f>'Stock Rawmaterial'!I1370</f>
        <v>0</v>
      </c>
      <c r="O42" s="68" t="e">
        <f>'Stock Rawmaterial'!#REF!</f>
        <v>#REF!</v>
      </c>
      <c r="P42" s="68" t="e">
        <f>'Stock Rawmaterial'!#REF!</f>
        <v>#REF!</v>
      </c>
      <c r="Q42" s="287" t="e">
        <f>'Stock Rawmaterial'!#REF!</f>
        <v>#REF!</v>
      </c>
      <c r="R42" s="208">
        <f>'Stock Rawmaterial'!J1370</f>
        <v>0</v>
      </c>
      <c r="S42" s="287" t="e">
        <f>'Stock Rawmaterial'!#REF!</f>
        <v>#REF!</v>
      </c>
      <c r="T42" s="68">
        <f>'Stock Rawmaterial'!K1370</f>
        <v>0</v>
      </c>
      <c r="U42" s="336" t="e">
        <f>'Stock Rawmaterial'!#REF!</f>
        <v>#REF!</v>
      </c>
      <c r="V42" s="254" t="e">
        <f>'Stock Rawmaterial'!#REF!</f>
        <v>#REF!</v>
      </c>
      <c r="W42" s="352" t="e">
        <f>'Stock Rawmaterial'!#REF!</f>
        <v>#REF!</v>
      </c>
      <c r="X42" s="346" t="e">
        <f>+(H42+J42+L42+N42+P42)-(R42+T42+V42)</f>
        <v>#REF!</v>
      </c>
      <c r="Y42" s="48"/>
      <c r="Z42" s="163"/>
      <c r="AA42" s="48"/>
      <c r="AB42" s="750"/>
      <c r="AC42" s="795"/>
      <c r="AD42" s="797"/>
      <c r="AE42" s="797"/>
      <c r="AF42" s="551"/>
      <c r="AG42" s="699"/>
      <c r="AH42" s="700"/>
      <c r="AI42" s="699"/>
      <c r="AJ42" s="699"/>
      <c r="AK42" s="551"/>
      <c r="AL42" s="551"/>
      <c r="AM42" s="551"/>
      <c r="AN42" s="551"/>
      <c r="AO42" s="551"/>
      <c r="AP42" s="551"/>
      <c r="AQ42" s="551"/>
      <c r="AR42" s="704"/>
      <c r="AS42" s="704"/>
      <c r="AT42" s="704"/>
      <c r="AU42" s="704"/>
      <c r="AV42" s="704"/>
      <c r="AW42" s="704"/>
      <c r="AX42" s="704"/>
      <c r="AY42" s="704"/>
      <c r="AZ42" s="704"/>
      <c r="BA42" s="704"/>
      <c r="BB42" s="704"/>
    </row>
    <row r="43" spans="1:54" s="265" customFormat="1" ht="30" customHeight="1" x14ac:dyDescent="0.25">
      <c r="A43" s="2084"/>
      <c r="B43" s="2076"/>
      <c r="C43" s="574" t="str">
        <f>'Stock Rawmaterial'!C1371</f>
        <v>Y4.1</v>
      </c>
      <c r="D43" s="881" t="s">
        <v>10</v>
      </c>
      <c r="E43" s="882">
        <f>'Stock Rawmaterial'!E1371</f>
        <v>44217</v>
      </c>
      <c r="F43" s="71">
        <f t="shared" si="0"/>
        <v>2069</v>
      </c>
      <c r="G43" s="71" t="e">
        <f>'Stock Rawmaterial'!#REF!</f>
        <v>#REF!</v>
      </c>
      <c r="H43" s="80">
        <f>'Stock Rawmaterial'!G1371</f>
        <v>0</v>
      </c>
      <c r="I43" s="318" t="e">
        <f>'Stock Rawmaterial'!#REF!</f>
        <v>#REF!</v>
      </c>
      <c r="J43" s="80">
        <f>'Stock Rawmaterial'!H1371</f>
        <v>0</v>
      </c>
      <c r="K43" s="80" t="e">
        <f>'Stock Rawmaterial'!#REF!</f>
        <v>#REF!</v>
      </c>
      <c r="L43" s="80" t="e">
        <f>'Stock Rawmaterial'!#REF!</f>
        <v>#REF!</v>
      </c>
      <c r="M43" s="310" t="e">
        <f>'Stock Rawmaterial'!#REF!</f>
        <v>#REF!</v>
      </c>
      <c r="N43" s="68">
        <f>'Stock Rawmaterial'!I1371</f>
        <v>0</v>
      </c>
      <c r="O43" s="68" t="e">
        <f>'Stock Rawmaterial'!#REF!</f>
        <v>#REF!</v>
      </c>
      <c r="P43" s="68" t="e">
        <f>'Stock Rawmaterial'!#REF!</f>
        <v>#REF!</v>
      </c>
      <c r="Q43" s="287" t="e">
        <f>'Stock Rawmaterial'!#REF!</f>
        <v>#REF!</v>
      </c>
      <c r="R43" s="208">
        <f>'Stock Rawmaterial'!J1371</f>
        <v>0</v>
      </c>
      <c r="S43" s="287" t="e">
        <f>'Stock Rawmaterial'!#REF!</f>
        <v>#REF!</v>
      </c>
      <c r="T43" s="68">
        <f>'Stock Rawmaterial'!K1371</f>
        <v>0</v>
      </c>
      <c r="U43" s="336" t="e">
        <f>'Stock Rawmaterial'!#REF!</f>
        <v>#REF!</v>
      </c>
      <c r="V43" s="254" t="e">
        <f>'Stock Rawmaterial'!#REF!</f>
        <v>#REF!</v>
      </c>
      <c r="W43" s="352" t="e">
        <f>'Stock Rawmaterial'!#REF!</f>
        <v>#REF!</v>
      </c>
      <c r="X43" s="346" t="e">
        <f>+(H43+J43+L43+N43+P43)-(R43+T43+V43)</f>
        <v>#REF!</v>
      </c>
      <c r="Y43" s="48"/>
      <c r="Z43" s="163"/>
      <c r="AA43" s="48"/>
      <c r="AB43" s="750"/>
      <c r="AC43" s="795"/>
      <c r="AD43" s="797"/>
      <c r="AE43" s="797"/>
      <c r="AF43" s="551"/>
      <c r="AG43" s="699"/>
      <c r="AH43" s="700"/>
      <c r="AI43" s="699"/>
      <c r="AJ43" s="699"/>
      <c r="AK43" s="551"/>
      <c r="AL43" s="551"/>
      <c r="AM43" s="551"/>
      <c r="AN43" s="551"/>
      <c r="AO43" s="551"/>
      <c r="AP43" s="551"/>
      <c r="AQ43" s="551"/>
      <c r="AR43" s="704"/>
      <c r="AS43" s="704"/>
      <c r="AT43" s="704"/>
      <c r="AU43" s="704"/>
      <c r="AV43" s="704"/>
      <c r="AW43" s="704"/>
      <c r="AX43" s="704"/>
      <c r="AY43" s="704"/>
      <c r="AZ43" s="704"/>
      <c r="BA43" s="704"/>
      <c r="BB43" s="704"/>
    </row>
    <row r="44" spans="1:54" s="265" customFormat="1" ht="30" customHeight="1" x14ac:dyDescent="0.25">
      <c r="A44" s="2085"/>
      <c r="B44" s="2068"/>
      <c r="C44" s="1092" t="str">
        <f>'Stock Rawmaterial'!C1372</f>
        <v>Feedmil</v>
      </c>
      <c r="D44" s="1093" t="s">
        <v>10</v>
      </c>
      <c r="E44" s="1094">
        <f>'Stock Rawmaterial'!E1372</f>
        <v>44294</v>
      </c>
      <c r="F44" s="1095">
        <f t="shared" si="0"/>
        <v>1992</v>
      </c>
      <c r="G44" s="1095" t="e">
        <f>'Stock Rawmaterial'!#REF!</f>
        <v>#REF!</v>
      </c>
      <c r="H44" s="626">
        <f>'Stock Rawmaterial'!G1372</f>
        <v>0</v>
      </c>
      <c r="I44" s="1096" t="e">
        <f>'Stock Rawmaterial'!#REF!</f>
        <v>#REF!</v>
      </c>
      <c r="J44" s="626">
        <f>'Stock Rawmaterial'!H1372</f>
        <v>0</v>
      </c>
      <c r="K44" s="626" t="e">
        <f>'Stock Rawmaterial'!#REF!</f>
        <v>#REF!</v>
      </c>
      <c r="L44" s="626" t="e">
        <f>'Stock Rawmaterial'!#REF!</f>
        <v>#REF!</v>
      </c>
      <c r="M44" s="627" t="e">
        <f>'Stock Rawmaterial'!#REF!</f>
        <v>#REF!</v>
      </c>
      <c r="N44" s="628">
        <f>'Stock Rawmaterial'!I1372</f>
        <v>0</v>
      </c>
      <c r="O44" s="628" t="e">
        <f>'Stock Rawmaterial'!#REF!</f>
        <v>#REF!</v>
      </c>
      <c r="P44" s="628" t="e">
        <f>'Stock Rawmaterial'!#REF!</f>
        <v>#REF!</v>
      </c>
      <c r="Q44" s="629" t="e">
        <f>'Stock Rawmaterial'!#REF!</f>
        <v>#REF!</v>
      </c>
      <c r="R44" s="630">
        <f>'Stock Rawmaterial'!J1372</f>
        <v>0</v>
      </c>
      <c r="S44" s="629" t="e">
        <f>'Stock Rawmaterial'!#REF!</f>
        <v>#REF!</v>
      </c>
      <c r="T44" s="628">
        <f>'Stock Rawmaterial'!K1372</f>
        <v>0</v>
      </c>
      <c r="U44" s="1097" t="e">
        <f>'Stock Rawmaterial'!#REF!</f>
        <v>#REF!</v>
      </c>
      <c r="V44" s="1098" t="e">
        <f>'Stock Rawmaterial'!#REF!</f>
        <v>#REF!</v>
      </c>
      <c r="W44" s="631" t="e">
        <f>'Stock Rawmaterial'!#REF!</f>
        <v>#REF!</v>
      </c>
      <c r="X44" s="632" t="e">
        <f>+(H44+J44+L44+N44+P44)-(R44+T44+V44)</f>
        <v>#REF!</v>
      </c>
      <c r="Y44" s="35"/>
      <c r="Z44" s="871"/>
      <c r="AA44" s="35"/>
      <c r="AB44" s="1013"/>
      <c r="AC44" s="795"/>
      <c r="AD44" s="797"/>
      <c r="AE44" s="797"/>
      <c r="AF44" s="551"/>
      <c r="AG44" s="699"/>
      <c r="AH44" s="700"/>
      <c r="AI44" s="699"/>
      <c r="AJ44" s="699"/>
      <c r="AK44" s="551"/>
      <c r="AL44" s="551"/>
      <c r="AM44" s="551"/>
      <c r="AN44" s="551"/>
      <c r="AO44" s="551"/>
      <c r="AP44" s="551"/>
      <c r="AQ44" s="551"/>
      <c r="AR44" s="704"/>
      <c r="AS44" s="704"/>
      <c r="AT44" s="704"/>
      <c r="AU44" s="704"/>
      <c r="AV44" s="704"/>
      <c r="AW44" s="704"/>
      <c r="AX44" s="704"/>
      <c r="AY44" s="704"/>
      <c r="AZ44" s="704"/>
      <c r="BA44" s="704"/>
      <c r="BB44" s="704"/>
    </row>
    <row r="45" spans="1:54" s="265" customFormat="1" ht="30" customHeight="1" x14ac:dyDescent="0.25">
      <c r="A45" s="184"/>
      <c r="B45" s="184" t="s">
        <v>902</v>
      </c>
      <c r="C45" s="575"/>
      <c r="D45" s="900"/>
      <c r="E45" s="901"/>
      <c r="F45" s="902"/>
      <c r="G45" s="353"/>
      <c r="H45" s="235">
        <f>+SUM(H40:H44)</f>
        <v>0</v>
      </c>
      <c r="I45" s="235" t="e">
        <f t="shared" ref="I45:X45" si="7">+SUM(I40:I44)</f>
        <v>#REF!</v>
      </c>
      <c r="J45" s="235">
        <f t="shared" si="7"/>
        <v>0</v>
      </c>
      <c r="K45" s="235" t="e">
        <f t="shared" si="7"/>
        <v>#REF!</v>
      </c>
      <c r="L45" s="235" t="e">
        <f t="shared" si="7"/>
        <v>#REF!</v>
      </c>
      <c r="M45" s="235" t="e">
        <f t="shared" si="7"/>
        <v>#REF!</v>
      </c>
      <c r="N45" s="235">
        <f t="shared" si="7"/>
        <v>0</v>
      </c>
      <c r="O45" s="235" t="e">
        <f t="shared" si="7"/>
        <v>#REF!</v>
      </c>
      <c r="P45" s="235" t="e">
        <f t="shared" si="7"/>
        <v>#REF!</v>
      </c>
      <c r="Q45" s="235" t="e">
        <f t="shared" si="7"/>
        <v>#REF!</v>
      </c>
      <c r="R45" s="235">
        <f t="shared" si="7"/>
        <v>0</v>
      </c>
      <c r="S45" s="235" t="e">
        <f t="shared" si="7"/>
        <v>#REF!</v>
      </c>
      <c r="T45" s="235">
        <f t="shared" si="7"/>
        <v>0</v>
      </c>
      <c r="U45" s="235" t="e">
        <f t="shared" si="7"/>
        <v>#REF!</v>
      </c>
      <c r="V45" s="235" t="e">
        <f t="shared" si="7"/>
        <v>#REF!</v>
      </c>
      <c r="W45" s="235" t="e">
        <f t="shared" si="7"/>
        <v>#REF!</v>
      </c>
      <c r="X45" s="235" t="e">
        <f t="shared" si="7"/>
        <v>#REF!</v>
      </c>
      <c r="Y45" s="59" t="str">
        <f>'Stock Rawmaterial'!M1373</f>
        <v/>
      </c>
      <c r="Z45" s="366">
        <f>IFERROR(X45/Y45,0)</f>
        <v>0</v>
      </c>
      <c r="AA45" s="59">
        <f>'Stock Rawmaterial'!O1373</f>
        <v>0</v>
      </c>
      <c r="AB45" s="880">
        <f>IFERROR(X45/AA45,0)</f>
        <v>0</v>
      </c>
      <c r="AC45" s="795" t="s">
        <v>901</v>
      </c>
      <c r="AD45" s="797"/>
      <c r="AE45" s="797"/>
      <c r="AF45" s="551"/>
      <c r="AG45" s="699"/>
      <c r="AH45" s="700"/>
      <c r="AI45" s="699"/>
      <c r="AJ45" s="699"/>
      <c r="AK45" s="551"/>
      <c r="AL45" s="683"/>
      <c r="AM45" s="551"/>
      <c r="AN45" s="551"/>
      <c r="AO45" s="551"/>
      <c r="AP45" s="551"/>
      <c r="AQ45" s="551"/>
      <c r="AR45" s="704"/>
      <c r="AS45" s="704"/>
      <c r="AT45" s="704"/>
      <c r="AU45" s="704"/>
      <c r="AV45" s="704"/>
      <c r="AW45" s="704"/>
      <c r="AX45" s="704"/>
      <c r="AY45" s="704"/>
      <c r="AZ45" s="704"/>
      <c r="BA45" s="704"/>
      <c r="BB45" s="704"/>
    </row>
    <row r="46" spans="1:54" s="265" customFormat="1" ht="30" customHeight="1" x14ac:dyDescent="0.25">
      <c r="A46" s="2083" t="e">
        <f>IF(X52=0,"",MAX($A$14:A45)+1)</f>
        <v>#REF!</v>
      </c>
      <c r="B46" s="2075"/>
      <c r="C46" s="574"/>
      <c r="D46" s="881"/>
      <c r="E46" s="882"/>
      <c r="F46" s="71"/>
      <c r="G46" s="71"/>
      <c r="H46" s="80"/>
      <c r="I46" s="318"/>
      <c r="J46" s="80"/>
      <c r="K46" s="80"/>
      <c r="L46" s="80"/>
      <c r="M46" s="310"/>
      <c r="N46" s="68"/>
      <c r="O46" s="68"/>
      <c r="P46" s="68"/>
      <c r="Q46" s="287"/>
      <c r="R46" s="208"/>
      <c r="S46" s="287"/>
      <c r="T46" s="68"/>
      <c r="U46" s="336" t="e">
        <f>'Stock Rawmaterial'!#REF!</f>
        <v>#REF!</v>
      </c>
      <c r="V46" s="254" t="e">
        <f>'Stock Rawmaterial'!#REF!</f>
        <v>#REF!</v>
      </c>
      <c r="W46" s="352" t="e">
        <f>'Stock Rawmaterial'!#REF!</f>
        <v>#REF!</v>
      </c>
      <c r="X46" s="346" t="e">
        <f t="shared" ref="X46:X51" si="8">+(H46+J46+L46+N46+P46)-(R46+T46+V46)</f>
        <v>#REF!</v>
      </c>
      <c r="Y46" s="48"/>
      <c r="Z46" s="163"/>
      <c r="AA46" s="48"/>
      <c r="AB46" s="750"/>
      <c r="AC46" s="795"/>
      <c r="AD46" s="797"/>
      <c r="AE46" s="797"/>
      <c r="AF46" s="551"/>
      <c r="AG46" s="699"/>
      <c r="AH46" s="700"/>
      <c r="AI46" s="699"/>
      <c r="AJ46" s="699"/>
      <c r="AK46" s="551"/>
      <c r="AL46" s="551"/>
      <c r="AM46" s="551"/>
      <c r="AN46" s="551"/>
      <c r="AO46" s="551"/>
      <c r="AP46" s="551"/>
      <c r="AQ46" s="551"/>
      <c r="AR46" s="704"/>
      <c r="AS46" s="704"/>
      <c r="AT46" s="704"/>
      <c r="AU46" s="704"/>
      <c r="AV46" s="704"/>
      <c r="AW46" s="704"/>
      <c r="AX46" s="704"/>
      <c r="AY46" s="704"/>
      <c r="AZ46" s="704"/>
      <c r="BA46" s="704"/>
      <c r="BB46" s="704"/>
    </row>
    <row r="47" spans="1:54" s="265" customFormat="1" ht="30" customHeight="1" x14ac:dyDescent="0.25">
      <c r="A47" s="2084"/>
      <c r="B47" s="2076"/>
      <c r="C47" s="574"/>
      <c r="D47" s="881"/>
      <c r="E47" s="882"/>
      <c r="F47" s="71"/>
      <c r="G47" s="71"/>
      <c r="H47" s="80"/>
      <c r="I47" s="318"/>
      <c r="J47" s="80"/>
      <c r="K47" s="80"/>
      <c r="L47" s="80"/>
      <c r="M47" s="310"/>
      <c r="N47" s="68"/>
      <c r="O47" s="68"/>
      <c r="P47" s="68"/>
      <c r="Q47" s="287"/>
      <c r="R47" s="208"/>
      <c r="S47" s="287"/>
      <c r="T47" s="68"/>
      <c r="U47" s="336" t="e">
        <f>'Stock Rawmaterial'!#REF!</f>
        <v>#REF!</v>
      </c>
      <c r="V47" s="254" t="e">
        <f>'Stock Rawmaterial'!#REF!</f>
        <v>#REF!</v>
      </c>
      <c r="W47" s="352" t="e">
        <f>'Stock Rawmaterial'!#REF!</f>
        <v>#REF!</v>
      </c>
      <c r="X47" s="346" t="e">
        <f t="shared" si="8"/>
        <v>#REF!</v>
      </c>
      <c r="Y47" s="48"/>
      <c r="Z47" s="163"/>
      <c r="AA47" s="48"/>
      <c r="AB47" s="750"/>
      <c r="AC47" s="795"/>
      <c r="AD47" s="797"/>
      <c r="AE47" s="797"/>
      <c r="AF47" s="551"/>
      <c r="AG47" s="699"/>
      <c r="AH47" s="700"/>
      <c r="AI47" s="699"/>
      <c r="AJ47" s="699"/>
      <c r="AK47" s="551"/>
      <c r="AL47" s="551"/>
      <c r="AM47" s="551"/>
      <c r="AN47" s="551"/>
      <c r="AO47" s="551"/>
      <c r="AP47" s="551"/>
      <c r="AQ47" s="551"/>
      <c r="AR47" s="704"/>
      <c r="AS47" s="704"/>
      <c r="AT47" s="704"/>
      <c r="AU47" s="704"/>
      <c r="AV47" s="704"/>
      <c r="AW47" s="704"/>
      <c r="AX47" s="704"/>
      <c r="AY47" s="704"/>
      <c r="AZ47" s="704"/>
      <c r="BA47" s="704"/>
      <c r="BB47" s="704"/>
    </row>
    <row r="48" spans="1:54" s="265" customFormat="1" ht="30" customHeight="1" x14ac:dyDescent="0.25">
      <c r="A48" s="2084"/>
      <c r="B48" s="2076"/>
      <c r="C48" s="574"/>
      <c r="D48" s="881"/>
      <c r="E48" s="882"/>
      <c r="F48" s="71"/>
      <c r="G48" s="71"/>
      <c r="H48" s="80"/>
      <c r="I48" s="318"/>
      <c r="J48" s="80"/>
      <c r="K48" s="80"/>
      <c r="L48" s="80"/>
      <c r="M48" s="310"/>
      <c r="N48" s="68"/>
      <c r="O48" s="68"/>
      <c r="P48" s="68"/>
      <c r="Q48" s="287"/>
      <c r="R48" s="208"/>
      <c r="S48" s="287"/>
      <c r="T48" s="68"/>
      <c r="U48" s="336" t="e">
        <f>'Stock Rawmaterial'!#REF!</f>
        <v>#REF!</v>
      </c>
      <c r="V48" s="254" t="e">
        <f>'Stock Rawmaterial'!#REF!</f>
        <v>#REF!</v>
      </c>
      <c r="W48" s="352" t="e">
        <f>'Stock Rawmaterial'!#REF!</f>
        <v>#REF!</v>
      </c>
      <c r="X48" s="346" t="e">
        <f t="shared" si="8"/>
        <v>#REF!</v>
      </c>
      <c r="Y48" s="48"/>
      <c r="Z48" s="163"/>
      <c r="AA48" s="48"/>
      <c r="AB48" s="750"/>
      <c r="AC48" s="795"/>
      <c r="AD48" s="797"/>
      <c r="AE48" s="797"/>
      <c r="AF48" s="551"/>
      <c r="AG48" s="699"/>
      <c r="AH48" s="700"/>
      <c r="AI48" s="699"/>
      <c r="AJ48" s="699"/>
      <c r="AK48" s="551"/>
      <c r="AL48" s="551"/>
      <c r="AM48" s="551"/>
      <c r="AN48" s="551"/>
      <c r="AO48" s="551"/>
      <c r="AP48" s="551"/>
      <c r="AQ48" s="551"/>
      <c r="AR48" s="704"/>
      <c r="AS48" s="704"/>
      <c r="AT48" s="704"/>
      <c r="AU48" s="704"/>
      <c r="AV48" s="704"/>
      <c r="AW48" s="704"/>
      <c r="AX48" s="704"/>
      <c r="AY48" s="704"/>
      <c r="AZ48" s="704"/>
      <c r="BA48" s="704"/>
      <c r="BB48" s="704"/>
    </row>
    <row r="49" spans="1:54" s="265" customFormat="1" ht="30" customHeight="1" x14ac:dyDescent="0.25">
      <c r="A49" s="2121"/>
      <c r="B49" s="2082"/>
      <c r="C49" s="574"/>
      <c r="D49" s="881"/>
      <c r="E49" s="882"/>
      <c r="F49" s="71"/>
      <c r="G49" s="71"/>
      <c r="H49" s="80"/>
      <c r="I49" s="318"/>
      <c r="J49" s="80"/>
      <c r="K49" s="80"/>
      <c r="L49" s="80"/>
      <c r="M49" s="310"/>
      <c r="N49" s="68"/>
      <c r="O49" s="68"/>
      <c r="P49" s="68"/>
      <c r="Q49" s="287"/>
      <c r="R49" s="208"/>
      <c r="S49" s="287"/>
      <c r="T49" s="68"/>
      <c r="U49" s="336" t="e">
        <f>'Stock Rawmaterial'!#REF!</f>
        <v>#REF!</v>
      </c>
      <c r="V49" s="254" t="e">
        <f>'Stock Rawmaterial'!#REF!</f>
        <v>#REF!</v>
      </c>
      <c r="W49" s="352" t="e">
        <f>'Stock Rawmaterial'!#REF!</f>
        <v>#REF!</v>
      </c>
      <c r="X49" s="346" t="e">
        <f t="shared" si="8"/>
        <v>#REF!</v>
      </c>
      <c r="Y49" s="48"/>
      <c r="Z49" s="163"/>
      <c r="AA49" s="48"/>
      <c r="AB49" s="750"/>
      <c r="AC49" s="795"/>
      <c r="AD49" s="797"/>
      <c r="AE49" s="797"/>
      <c r="AF49" s="551"/>
      <c r="AG49" s="699"/>
      <c r="AH49" s="700"/>
      <c r="AI49" s="699"/>
      <c r="AJ49" s="699"/>
      <c r="AK49" s="551"/>
      <c r="AL49" s="551"/>
      <c r="AM49" s="551"/>
      <c r="AN49" s="551"/>
      <c r="AO49" s="551"/>
      <c r="AP49" s="551"/>
      <c r="AQ49" s="551"/>
      <c r="AR49" s="704"/>
      <c r="AS49" s="704"/>
      <c r="AT49" s="704"/>
      <c r="AU49" s="704"/>
      <c r="AV49" s="704"/>
      <c r="AW49" s="704"/>
      <c r="AX49" s="704"/>
      <c r="AY49" s="704"/>
      <c r="AZ49" s="704"/>
      <c r="BA49" s="704"/>
      <c r="BB49" s="704"/>
    </row>
    <row r="50" spans="1:54" s="265" customFormat="1" ht="30" customHeight="1" x14ac:dyDescent="0.25">
      <c r="A50" s="2084"/>
      <c r="B50" s="2076"/>
      <c r="C50" s="574"/>
      <c r="D50" s="881"/>
      <c r="E50" s="882"/>
      <c r="F50" s="71"/>
      <c r="G50" s="71"/>
      <c r="H50" s="80"/>
      <c r="I50" s="318"/>
      <c r="J50" s="80"/>
      <c r="K50" s="80"/>
      <c r="L50" s="80"/>
      <c r="M50" s="310"/>
      <c r="N50" s="68"/>
      <c r="O50" s="68"/>
      <c r="P50" s="68"/>
      <c r="Q50" s="287"/>
      <c r="R50" s="208"/>
      <c r="S50" s="287"/>
      <c r="T50" s="68"/>
      <c r="U50" s="336" t="e">
        <f>'Stock Rawmaterial'!#REF!</f>
        <v>#REF!</v>
      </c>
      <c r="V50" s="254" t="e">
        <f>'Stock Rawmaterial'!#REF!</f>
        <v>#REF!</v>
      </c>
      <c r="W50" s="352" t="e">
        <f>'Stock Rawmaterial'!#REF!</f>
        <v>#REF!</v>
      </c>
      <c r="X50" s="346" t="e">
        <f t="shared" si="8"/>
        <v>#REF!</v>
      </c>
      <c r="Y50" s="48"/>
      <c r="Z50" s="163"/>
      <c r="AA50" s="48"/>
      <c r="AB50" s="750"/>
      <c r="AC50" s="795"/>
      <c r="AD50" s="797"/>
      <c r="AE50" s="797"/>
      <c r="AF50" s="551"/>
      <c r="AG50" s="699"/>
      <c r="AH50" s="700"/>
      <c r="AI50" s="699"/>
      <c r="AJ50" s="699"/>
      <c r="AK50" s="551"/>
      <c r="AL50" s="551"/>
      <c r="AM50" s="551"/>
      <c r="AN50" s="551"/>
      <c r="AO50" s="551"/>
      <c r="AP50" s="551"/>
      <c r="AQ50" s="551"/>
      <c r="AR50" s="704"/>
      <c r="AS50" s="704"/>
      <c r="AT50" s="704"/>
      <c r="AU50" s="704"/>
      <c r="AV50" s="704"/>
      <c r="AW50" s="704"/>
      <c r="AX50" s="704"/>
      <c r="AY50" s="704"/>
      <c r="AZ50" s="704"/>
      <c r="BA50" s="704"/>
      <c r="BB50" s="704"/>
    </row>
    <row r="51" spans="1:54" s="265" customFormat="1" ht="30" customHeight="1" x14ac:dyDescent="0.25">
      <c r="A51" s="2085"/>
      <c r="B51" s="2068"/>
      <c r="C51" s="1092"/>
      <c r="D51" s="1093"/>
      <c r="E51" s="1094"/>
      <c r="F51" s="1095"/>
      <c r="G51" s="1095"/>
      <c r="H51" s="626"/>
      <c r="I51" s="1096"/>
      <c r="J51" s="626"/>
      <c r="K51" s="626"/>
      <c r="L51" s="626"/>
      <c r="M51" s="627"/>
      <c r="N51" s="628"/>
      <c r="O51" s="628"/>
      <c r="P51" s="628"/>
      <c r="Q51" s="629"/>
      <c r="R51" s="630"/>
      <c r="S51" s="629"/>
      <c r="T51" s="628"/>
      <c r="U51" s="1097" t="e">
        <f>'Stock Rawmaterial'!#REF!</f>
        <v>#REF!</v>
      </c>
      <c r="V51" s="1098" t="e">
        <f>'Stock Rawmaterial'!#REF!</f>
        <v>#REF!</v>
      </c>
      <c r="W51" s="631" t="e">
        <f>'Stock Rawmaterial'!#REF!</f>
        <v>#REF!</v>
      </c>
      <c r="X51" s="632" t="e">
        <f t="shared" si="8"/>
        <v>#REF!</v>
      </c>
      <c r="Y51" s="35"/>
      <c r="Z51" s="871"/>
      <c r="AA51" s="35"/>
      <c r="AB51" s="1013"/>
      <c r="AC51" s="795"/>
      <c r="AD51" s="797"/>
      <c r="AE51" s="797"/>
      <c r="AF51" s="551"/>
      <c r="AG51" s="699"/>
      <c r="AH51" s="700"/>
      <c r="AI51" s="699"/>
      <c r="AJ51" s="699"/>
      <c r="AK51" s="551"/>
      <c r="AL51" s="551"/>
      <c r="AM51" s="551"/>
      <c r="AN51" s="551"/>
      <c r="AO51" s="551"/>
      <c r="AP51" s="551"/>
      <c r="AQ51" s="551"/>
      <c r="AR51" s="704"/>
      <c r="AS51" s="704"/>
      <c r="AT51" s="704"/>
      <c r="AU51" s="704"/>
      <c r="AV51" s="704"/>
      <c r="AW51" s="704"/>
      <c r="AX51" s="704"/>
      <c r="AY51" s="704"/>
      <c r="AZ51" s="704"/>
      <c r="BA51" s="704"/>
      <c r="BB51" s="704"/>
    </row>
    <row r="52" spans="1:54" s="265" customFormat="1" ht="30" customHeight="1" x14ac:dyDescent="0.25">
      <c r="A52" s="184"/>
      <c r="B52" s="184" t="s">
        <v>904</v>
      </c>
      <c r="C52" s="575"/>
      <c r="D52" s="900"/>
      <c r="E52" s="901"/>
      <c r="F52" s="902"/>
      <c r="G52" s="353"/>
      <c r="H52" s="235">
        <f>+SUM(H46:H51)</f>
        <v>0</v>
      </c>
      <c r="I52" s="235">
        <f t="shared" ref="I52:X52" si="9">+SUM(I46:I51)</f>
        <v>0</v>
      </c>
      <c r="J52" s="235">
        <f t="shared" si="9"/>
        <v>0</v>
      </c>
      <c r="K52" s="235">
        <f t="shared" si="9"/>
        <v>0</v>
      </c>
      <c r="L52" s="235">
        <f t="shared" si="9"/>
        <v>0</v>
      </c>
      <c r="M52" s="235">
        <f t="shared" si="9"/>
        <v>0</v>
      </c>
      <c r="N52" s="235">
        <f t="shared" si="9"/>
        <v>0</v>
      </c>
      <c r="O52" s="235">
        <f t="shared" si="9"/>
        <v>0</v>
      </c>
      <c r="P52" s="235">
        <f t="shared" si="9"/>
        <v>0</v>
      </c>
      <c r="Q52" s="235">
        <f t="shared" si="9"/>
        <v>0</v>
      </c>
      <c r="R52" s="235">
        <f t="shared" si="9"/>
        <v>0</v>
      </c>
      <c r="S52" s="235">
        <f t="shared" si="9"/>
        <v>0</v>
      </c>
      <c r="T52" s="235">
        <f t="shared" si="9"/>
        <v>0</v>
      </c>
      <c r="U52" s="235" t="e">
        <f t="shared" si="9"/>
        <v>#REF!</v>
      </c>
      <c r="V52" s="235" t="e">
        <f t="shared" si="9"/>
        <v>#REF!</v>
      </c>
      <c r="W52" s="235" t="e">
        <f t="shared" si="9"/>
        <v>#REF!</v>
      </c>
      <c r="X52" s="235" t="e">
        <f t="shared" si="9"/>
        <v>#REF!</v>
      </c>
      <c r="Y52" s="59"/>
      <c r="Z52" s="366">
        <f>IFERROR(X52/Y52,0)</f>
        <v>0</v>
      </c>
      <c r="AA52" s="59"/>
      <c r="AB52" s="880">
        <f>IFERROR(X52/AA52,0)</f>
        <v>0</v>
      </c>
      <c r="AC52" s="795" t="s">
        <v>903</v>
      </c>
      <c r="AD52" s="797"/>
      <c r="AE52" s="797"/>
      <c r="AF52" s="551"/>
      <c r="AG52" s="699"/>
      <c r="AH52" s="700"/>
      <c r="AI52" s="699"/>
      <c r="AJ52" s="699"/>
      <c r="AK52" s="551"/>
      <c r="AL52" s="683"/>
      <c r="AM52" s="551"/>
      <c r="AN52" s="551"/>
      <c r="AO52" s="551"/>
      <c r="AP52" s="551"/>
      <c r="AQ52" s="551"/>
      <c r="AR52" s="704"/>
      <c r="AS52" s="704"/>
      <c r="AT52" s="704"/>
      <c r="AU52" s="704"/>
      <c r="AV52" s="704"/>
      <c r="AW52" s="704"/>
      <c r="AX52" s="704"/>
      <c r="AY52" s="704"/>
      <c r="AZ52" s="704"/>
      <c r="BA52" s="704"/>
      <c r="BB52" s="704"/>
    </row>
    <row r="53" spans="1:54" s="265" customFormat="1" ht="30" customHeight="1" x14ac:dyDescent="0.25">
      <c r="A53" s="2083" t="e">
        <f>IF(X58=0,"",MAX($A$14:A52)+1)</f>
        <v>#REF!</v>
      </c>
      <c r="B53" s="2075" t="s">
        <v>905</v>
      </c>
      <c r="C53" s="574">
        <f>'Stock Rawmaterial'!C1383</f>
        <v>0</v>
      </c>
      <c r="D53" s="881" t="s">
        <v>10</v>
      </c>
      <c r="E53" s="882">
        <f>'Stock Rawmaterial'!E1383</f>
        <v>44918</v>
      </c>
      <c r="F53" s="71">
        <f t="shared" si="0"/>
        <v>1368</v>
      </c>
      <c r="G53" s="71" t="e">
        <f>'Stock Rawmaterial'!#REF!</f>
        <v>#REF!</v>
      </c>
      <c r="H53" s="80">
        <f>'Stock Rawmaterial'!G1383</f>
        <v>0</v>
      </c>
      <c r="I53" s="318" t="e">
        <f>'Stock Rawmaterial'!#REF!</f>
        <v>#REF!</v>
      </c>
      <c r="J53" s="80">
        <f>'Stock Rawmaterial'!H1383</f>
        <v>0</v>
      </c>
      <c r="K53" s="80" t="e">
        <f>'Stock Rawmaterial'!#REF!</f>
        <v>#REF!</v>
      </c>
      <c r="L53" s="80" t="e">
        <f>'Stock Rawmaterial'!#REF!</f>
        <v>#REF!</v>
      </c>
      <c r="M53" s="310" t="e">
        <f>'Stock Rawmaterial'!#REF!</f>
        <v>#REF!</v>
      </c>
      <c r="N53" s="68">
        <f>'Stock Rawmaterial'!I1383</f>
        <v>0</v>
      </c>
      <c r="O53" s="68" t="e">
        <f>'Stock Rawmaterial'!#REF!</f>
        <v>#REF!</v>
      </c>
      <c r="P53" s="68" t="e">
        <f>'Stock Rawmaterial'!#REF!</f>
        <v>#REF!</v>
      </c>
      <c r="Q53" s="287" t="e">
        <f>'Stock Rawmaterial'!#REF!</f>
        <v>#REF!</v>
      </c>
      <c r="R53" s="208">
        <f>'Stock Rawmaterial'!J1383</f>
        <v>0</v>
      </c>
      <c r="S53" s="287" t="e">
        <f>'Stock Rawmaterial'!#REF!</f>
        <v>#REF!</v>
      </c>
      <c r="T53" s="68">
        <f>'Stock Rawmaterial'!K1383</f>
        <v>0</v>
      </c>
      <c r="U53" s="336" t="e">
        <f>'Stock Rawmaterial'!#REF!</f>
        <v>#REF!</v>
      </c>
      <c r="V53" s="254" t="e">
        <f>'Stock Rawmaterial'!#REF!</f>
        <v>#REF!</v>
      </c>
      <c r="W53" s="352" t="e">
        <f>'Stock Rawmaterial'!#REF!</f>
        <v>#REF!</v>
      </c>
      <c r="X53" s="346" t="e">
        <f>+(H53+J53+L53+N53+P53)-(R53+T53+V53)</f>
        <v>#REF!</v>
      </c>
      <c r="Y53" s="48"/>
      <c r="Z53" s="163"/>
      <c r="AA53" s="48"/>
      <c r="AB53" s="750"/>
      <c r="AC53" s="795"/>
      <c r="AD53" s="797"/>
      <c r="AE53" s="797"/>
      <c r="AF53" s="551"/>
      <c r="AG53" s="699"/>
      <c r="AH53" s="700"/>
      <c r="AI53" s="699"/>
      <c r="AJ53" s="699"/>
      <c r="AK53" s="551"/>
      <c r="AL53" s="551"/>
      <c r="AM53" s="551"/>
      <c r="AN53" s="551"/>
      <c r="AO53" s="551"/>
      <c r="AP53" s="551"/>
      <c r="AQ53" s="551"/>
      <c r="AR53" s="704"/>
      <c r="AS53" s="704"/>
      <c r="AT53" s="704"/>
      <c r="AU53" s="704"/>
      <c r="AV53" s="704"/>
      <c r="AW53" s="704"/>
      <c r="AX53" s="704"/>
      <c r="AY53" s="704"/>
      <c r="AZ53" s="704"/>
      <c r="BA53" s="704"/>
      <c r="BB53" s="704"/>
    </row>
    <row r="54" spans="1:54" s="265" customFormat="1" ht="30" customHeight="1" x14ac:dyDescent="0.25">
      <c r="A54" s="2084"/>
      <c r="B54" s="2076"/>
      <c r="C54" s="574" t="str">
        <f>'Stock Rawmaterial'!C1384</f>
        <v>V6.2</v>
      </c>
      <c r="D54" s="881" t="s">
        <v>10</v>
      </c>
      <c r="E54" s="882">
        <f>'Stock Rawmaterial'!E1384</f>
        <v>44918</v>
      </c>
      <c r="F54" s="71">
        <f t="shared" si="0"/>
        <v>1368</v>
      </c>
      <c r="G54" s="71" t="e">
        <f>'Stock Rawmaterial'!#REF!</f>
        <v>#REF!</v>
      </c>
      <c r="H54" s="80">
        <f>'Stock Rawmaterial'!G1384</f>
        <v>0</v>
      </c>
      <c r="I54" s="318" t="e">
        <f>'Stock Rawmaterial'!#REF!</f>
        <v>#REF!</v>
      </c>
      <c r="J54" s="80">
        <f>'Stock Rawmaterial'!H1384</f>
        <v>0</v>
      </c>
      <c r="K54" s="80" t="e">
        <f>'Stock Rawmaterial'!#REF!</f>
        <v>#REF!</v>
      </c>
      <c r="L54" s="80" t="e">
        <f>'Stock Rawmaterial'!#REF!</f>
        <v>#REF!</v>
      </c>
      <c r="M54" s="310" t="e">
        <f>'Stock Rawmaterial'!#REF!</f>
        <v>#REF!</v>
      </c>
      <c r="N54" s="68">
        <f>'Stock Rawmaterial'!I1384</f>
        <v>0</v>
      </c>
      <c r="O54" s="68" t="e">
        <f>'Stock Rawmaterial'!#REF!</f>
        <v>#REF!</v>
      </c>
      <c r="P54" s="68" t="e">
        <f>'Stock Rawmaterial'!#REF!</f>
        <v>#REF!</v>
      </c>
      <c r="Q54" s="287" t="e">
        <f>'Stock Rawmaterial'!#REF!</f>
        <v>#REF!</v>
      </c>
      <c r="R54" s="208">
        <f>'Stock Rawmaterial'!J1384</f>
        <v>0</v>
      </c>
      <c r="S54" s="287" t="e">
        <f>'Stock Rawmaterial'!#REF!</f>
        <v>#REF!</v>
      </c>
      <c r="T54" s="68">
        <f>'Stock Rawmaterial'!K1384</f>
        <v>0</v>
      </c>
      <c r="U54" s="336" t="e">
        <f>'Stock Rawmaterial'!#REF!</f>
        <v>#REF!</v>
      </c>
      <c r="V54" s="254" t="e">
        <f>'Stock Rawmaterial'!#REF!</f>
        <v>#REF!</v>
      </c>
      <c r="W54" s="352" t="e">
        <f>'Stock Rawmaterial'!#REF!</f>
        <v>#REF!</v>
      </c>
      <c r="X54" s="346" t="e">
        <f>+(H54+J54+L54+N54+P54)-(R54+T54+V54)</f>
        <v>#REF!</v>
      </c>
      <c r="Y54" s="48"/>
      <c r="Z54" s="163"/>
      <c r="AA54" s="48"/>
      <c r="AB54" s="750"/>
      <c r="AC54" s="795"/>
      <c r="AD54" s="797"/>
      <c r="AE54" s="797"/>
      <c r="AF54" s="551"/>
      <c r="AG54" s="699"/>
      <c r="AH54" s="700"/>
      <c r="AI54" s="699"/>
      <c r="AJ54" s="699"/>
      <c r="AK54" s="551"/>
      <c r="AL54" s="551"/>
      <c r="AM54" s="551"/>
      <c r="AN54" s="551"/>
      <c r="AO54" s="551"/>
      <c r="AP54" s="551"/>
      <c r="AQ54" s="551"/>
      <c r="AR54" s="704"/>
      <c r="AS54" s="704"/>
      <c r="AT54" s="704"/>
      <c r="AU54" s="704"/>
      <c r="AV54" s="704"/>
      <c r="AW54" s="704"/>
      <c r="AX54" s="704"/>
      <c r="AY54" s="704"/>
      <c r="AZ54" s="704"/>
      <c r="BA54" s="704"/>
      <c r="BB54" s="704"/>
    </row>
    <row r="55" spans="1:54" s="265" customFormat="1" ht="30" customHeight="1" x14ac:dyDescent="0.25">
      <c r="A55" s="2084"/>
      <c r="B55" s="2076"/>
      <c r="C55" s="574">
        <f>'Stock Rawmaterial'!C1385</f>
        <v>0</v>
      </c>
      <c r="D55" s="881" t="s">
        <v>10</v>
      </c>
      <c r="E55" s="882">
        <f>'Stock Rawmaterial'!E1385</f>
        <v>44217</v>
      </c>
      <c r="F55" s="71">
        <f t="shared" si="0"/>
        <v>2069</v>
      </c>
      <c r="G55" s="71" t="e">
        <f>'Stock Rawmaterial'!#REF!</f>
        <v>#REF!</v>
      </c>
      <c r="H55" s="80">
        <f>'Stock Rawmaterial'!G1385</f>
        <v>0</v>
      </c>
      <c r="I55" s="318" t="e">
        <f>'Stock Rawmaterial'!#REF!</f>
        <v>#REF!</v>
      </c>
      <c r="J55" s="80">
        <f>'Stock Rawmaterial'!H1385</f>
        <v>0</v>
      </c>
      <c r="K55" s="80" t="e">
        <f>'Stock Rawmaterial'!#REF!</f>
        <v>#REF!</v>
      </c>
      <c r="L55" s="80" t="e">
        <f>'Stock Rawmaterial'!#REF!</f>
        <v>#REF!</v>
      </c>
      <c r="M55" s="310" t="e">
        <f>'Stock Rawmaterial'!#REF!</f>
        <v>#REF!</v>
      </c>
      <c r="N55" s="68">
        <f>'Stock Rawmaterial'!I1385</f>
        <v>0</v>
      </c>
      <c r="O55" s="68" t="e">
        <f>'Stock Rawmaterial'!#REF!</f>
        <v>#REF!</v>
      </c>
      <c r="P55" s="68" t="e">
        <f>'Stock Rawmaterial'!#REF!</f>
        <v>#REF!</v>
      </c>
      <c r="Q55" s="287" t="e">
        <f>'Stock Rawmaterial'!#REF!</f>
        <v>#REF!</v>
      </c>
      <c r="R55" s="208">
        <f>'Stock Rawmaterial'!J1385</f>
        <v>0</v>
      </c>
      <c r="S55" s="287" t="e">
        <f>'Stock Rawmaterial'!#REF!</f>
        <v>#REF!</v>
      </c>
      <c r="T55" s="68">
        <f>'Stock Rawmaterial'!K1385</f>
        <v>0</v>
      </c>
      <c r="U55" s="336" t="e">
        <f>'Stock Rawmaterial'!#REF!</f>
        <v>#REF!</v>
      </c>
      <c r="V55" s="254" t="e">
        <f>'Stock Rawmaterial'!#REF!</f>
        <v>#REF!</v>
      </c>
      <c r="W55" s="352" t="e">
        <f>'Stock Rawmaterial'!#REF!</f>
        <v>#REF!</v>
      </c>
      <c r="X55" s="346" t="e">
        <f>+(H55+J55+L55+N55+P55)-(R55+T55+V55)</f>
        <v>#REF!</v>
      </c>
      <c r="Y55" s="48"/>
      <c r="Z55" s="163"/>
      <c r="AA55" s="48"/>
      <c r="AB55" s="750"/>
      <c r="AC55" s="795"/>
      <c r="AD55" s="797"/>
      <c r="AE55" s="797"/>
      <c r="AF55" s="551"/>
      <c r="AG55" s="699"/>
      <c r="AH55" s="700"/>
      <c r="AI55" s="699"/>
      <c r="AJ55" s="699"/>
      <c r="AK55" s="551"/>
      <c r="AL55" s="551"/>
      <c r="AM55" s="551"/>
      <c r="AN55" s="551"/>
      <c r="AO55" s="551"/>
      <c r="AP55" s="551"/>
      <c r="AQ55" s="551"/>
      <c r="AR55" s="704"/>
      <c r="AS55" s="704"/>
      <c r="AT55" s="704"/>
      <c r="AU55" s="704"/>
      <c r="AV55" s="704"/>
      <c r="AW55" s="704"/>
      <c r="AX55" s="704"/>
      <c r="AY55" s="704"/>
      <c r="AZ55" s="704"/>
      <c r="BA55" s="704"/>
      <c r="BB55" s="704"/>
    </row>
    <row r="56" spans="1:54" s="265" customFormat="1" ht="30" customHeight="1" x14ac:dyDescent="0.25">
      <c r="A56" s="2084"/>
      <c r="B56" s="2076"/>
      <c r="C56" s="574">
        <f>'Stock Rawmaterial'!C1386</f>
        <v>0</v>
      </c>
      <c r="D56" s="881" t="s">
        <v>10</v>
      </c>
      <c r="E56" s="882">
        <f>'Stock Rawmaterial'!E1386</f>
        <v>44217</v>
      </c>
      <c r="F56" s="71">
        <f t="shared" si="0"/>
        <v>2069</v>
      </c>
      <c r="G56" s="71" t="e">
        <f>'Stock Rawmaterial'!#REF!</f>
        <v>#REF!</v>
      </c>
      <c r="H56" s="80">
        <f>'Stock Rawmaterial'!G1386</f>
        <v>0</v>
      </c>
      <c r="I56" s="318" t="e">
        <f>'Stock Rawmaterial'!#REF!</f>
        <v>#REF!</v>
      </c>
      <c r="J56" s="80">
        <f>'Stock Rawmaterial'!H1386</f>
        <v>0</v>
      </c>
      <c r="K56" s="80" t="e">
        <f>'Stock Rawmaterial'!#REF!</f>
        <v>#REF!</v>
      </c>
      <c r="L56" s="80" t="e">
        <f>'Stock Rawmaterial'!#REF!</f>
        <v>#REF!</v>
      </c>
      <c r="M56" s="310" t="e">
        <f>'Stock Rawmaterial'!#REF!</f>
        <v>#REF!</v>
      </c>
      <c r="N56" s="68">
        <f>'Stock Rawmaterial'!I1386</f>
        <v>0</v>
      </c>
      <c r="O56" s="68" t="e">
        <f>'Stock Rawmaterial'!#REF!</f>
        <v>#REF!</v>
      </c>
      <c r="P56" s="68" t="e">
        <f>'Stock Rawmaterial'!#REF!</f>
        <v>#REF!</v>
      </c>
      <c r="Q56" s="287" t="e">
        <f>'Stock Rawmaterial'!#REF!</f>
        <v>#REF!</v>
      </c>
      <c r="R56" s="208">
        <f>'Stock Rawmaterial'!J1386</f>
        <v>0</v>
      </c>
      <c r="S56" s="287" t="e">
        <f>'Stock Rawmaterial'!#REF!</f>
        <v>#REF!</v>
      </c>
      <c r="T56" s="68">
        <f>'Stock Rawmaterial'!K1386</f>
        <v>0</v>
      </c>
      <c r="U56" s="336" t="e">
        <f>'Stock Rawmaterial'!#REF!</f>
        <v>#REF!</v>
      </c>
      <c r="V56" s="254" t="e">
        <f>'Stock Rawmaterial'!#REF!</f>
        <v>#REF!</v>
      </c>
      <c r="W56" s="352" t="e">
        <f>'Stock Rawmaterial'!#REF!</f>
        <v>#REF!</v>
      </c>
      <c r="X56" s="346" t="e">
        <f>+(H56+J56+L56+N56+P56)-(R56+T56+V56)</f>
        <v>#REF!</v>
      </c>
      <c r="Y56" s="48"/>
      <c r="Z56" s="163"/>
      <c r="AA56" s="48"/>
      <c r="AB56" s="750"/>
      <c r="AC56" s="795"/>
      <c r="AD56" s="797"/>
      <c r="AE56" s="797"/>
      <c r="AF56" s="551"/>
      <c r="AG56" s="699"/>
      <c r="AH56" s="700"/>
      <c r="AI56" s="699"/>
      <c r="AJ56" s="699"/>
      <c r="AK56" s="551"/>
      <c r="AL56" s="551"/>
      <c r="AM56" s="551"/>
      <c r="AN56" s="551"/>
      <c r="AO56" s="551"/>
      <c r="AP56" s="551"/>
      <c r="AQ56" s="551"/>
      <c r="AR56" s="704"/>
      <c r="AS56" s="704"/>
      <c r="AT56" s="704"/>
      <c r="AU56" s="704"/>
      <c r="AV56" s="704"/>
      <c r="AW56" s="704"/>
      <c r="AX56" s="704"/>
      <c r="AY56" s="704"/>
      <c r="AZ56" s="704"/>
      <c r="BA56" s="704"/>
      <c r="BB56" s="704"/>
    </row>
    <row r="57" spans="1:54" s="265" customFormat="1" ht="30" customHeight="1" x14ac:dyDescent="0.25">
      <c r="A57" s="2085"/>
      <c r="B57" s="2068"/>
      <c r="C57" s="1092" t="str">
        <f>'Stock Rawmaterial'!C1387</f>
        <v>Feedmil</v>
      </c>
      <c r="D57" s="1093" t="s">
        <v>10</v>
      </c>
      <c r="E57" s="1094">
        <f>'Stock Rawmaterial'!E1387</f>
        <v>44918</v>
      </c>
      <c r="F57" s="1095">
        <f t="shared" si="0"/>
        <v>1368</v>
      </c>
      <c r="G57" s="1095" t="e">
        <f>'Stock Rawmaterial'!#REF!</f>
        <v>#REF!</v>
      </c>
      <c r="H57" s="626">
        <f>'Stock Rawmaterial'!G1387</f>
        <v>0</v>
      </c>
      <c r="I57" s="1096" t="e">
        <f>'Stock Rawmaterial'!#REF!</f>
        <v>#REF!</v>
      </c>
      <c r="J57" s="626">
        <f>'Stock Rawmaterial'!H1387</f>
        <v>0</v>
      </c>
      <c r="K57" s="626" t="e">
        <f>'Stock Rawmaterial'!#REF!</f>
        <v>#REF!</v>
      </c>
      <c r="L57" s="626" t="e">
        <f>'Stock Rawmaterial'!#REF!</f>
        <v>#REF!</v>
      </c>
      <c r="M57" s="627" t="e">
        <f>'Stock Rawmaterial'!#REF!</f>
        <v>#REF!</v>
      </c>
      <c r="N57" s="628">
        <f>'Stock Rawmaterial'!I1387</f>
        <v>0</v>
      </c>
      <c r="O57" s="628" t="e">
        <f>'Stock Rawmaterial'!#REF!</f>
        <v>#REF!</v>
      </c>
      <c r="P57" s="628" t="e">
        <f>'Stock Rawmaterial'!#REF!</f>
        <v>#REF!</v>
      </c>
      <c r="Q57" s="629" t="e">
        <f>'Stock Rawmaterial'!#REF!</f>
        <v>#REF!</v>
      </c>
      <c r="R57" s="630">
        <f>'Stock Rawmaterial'!J1387</f>
        <v>0</v>
      </c>
      <c r="S57" s="629" t="e">
        <f>'Stock Rawmaterial'!#REF!</f>
        <v>#REF!</v>
      </c>
      <c r="T57" s="628">
        <f>'Stock Rawmaterial'!K1387</f>
        <v>0</v>
      </c>
      <c r="U57" s="1097" t="e">
        <f>'Stock Rawmaterial'!#REF!</f>
        <v>#REF!</v>
      </c>
      <c r="V57" s="1098" t="e">
        <f>'Stock Rawmaterial'!#REF!</f>
        <v>#REF!</v>
      </c>
      <c r="W57" s="631" t="e">
        <f>'Stock Rawmaterial'!#REF!</f>
        <v>#REF!</v>
      </c>
      <c r="X57" s="632" t="e">
        <f>+(H57+J57+L57+N57+P57)-(R57+T57+V57)</f>
        <v>#REF!</v>
      </c>
      <c r="Y57" s="35"/>
      <c r="Z57" s="871"/>
      <c r="AA57" s="35"/>
      <c r="AB57" s="1013"/>
      <c r="AC57" s="795"/>
      <c r="AD57" s="797"/>
      <c r="AE57" s="797"/>
      <c r="AF57" s="551"/>
      <c r="AG57" s="699"/>
      <c r="AH57" s="700"/>
      <c r="AI57" s="699"/>
      <c r="AJ57" s="699"/>
      <c r="AK57" s="551"/>
      <c r="AL57" s="551"/>
      <c r="AM57" s="551"/>
      <c r="AN57" s="551"/>
      <c r="AO57" s="551"/>
      <c r="AP57" s="551"/>
      <c r="AQ57" s="551"/>
      <c r="AR57" s="704"/>
      <c r="AS57" s="704"/>
      <c r="AT57" s="704"/>
      <c r="AU57" s="704"/>
      <c r="AV57" s="704"/>
      <c r="AW57" s="704"/>
      <c r="AX57" s="704"/>
      <c r="AY57" s="704"/>
      <c r="AZ57" s="704"/>
      <c r="BA57" s="704"/>
      <c r="BB57" s="704"/>
    </row>
    <row r="58" spans="1:54" s="265" customFormat="1" ht="30" customHeight="1" x14ac:dyDescent="0.25">
      <c r="A58" s="184"/>
      <c r="B58" s="184" t="s">
        <v>906</v>
      </c>
      <c r="C58" s="575"/>
      <c r="D58" s="900"/>
      <c r="E58" s="901"/>
      <c r="F58" s="902"/>
      <c r="G58" s="353"/>
      <c r="H58" s="235">
        <f>+SUM(H53:H57)</f>
        <v>0</v>
      </c>
      <c r="I58" s="235" t="e">
        <f t="shared" ref="I58:X58" si="10">+SUM(I53:I57)</f>
        <v>#REF!</v>
      </c>
      <c r="J58" s="235">
        <f t="shared" si="10"/>
        <v>0</v>
      </c>
      <c r="K58" s="235" t="e">
        <f t="shared" si="10"/>
        <v>#REF!</v>
      </c>
      <c r="L58" s="235" t="e">
        <f t="shared" si="10"/>
        <v>#REF!</v>
      </c>
      <c r="M58" s="235" t="e">
        <f t="shared" si="10"/>
        <v>#REF!</v>
      </c>
      <c r="N58" s="235">
        <f t="shared" si="10"/>
        <v>0</v>
      </c>
      <c r="O58" s="235" t="e">
        <f t="shared" si="10"/>
        <v>#REF!</v>
      </c>
      <c r="P58" s="235" t="e">
        <f t="shared" si="10"/>
        <v>#REF!</v>
      </c>
      <c r="Q58" s="235" t="e">
        <f t="shared" si="10"/>
        <v>#REF!</v>
      </c>
      <c r="R58" s="235">
        <f t="shared" si="10"/>
        <v>0</v>
      </c>
      <c r="S58" s="235" t="e">
        <f t="shared" si="10"/>
        <v>#REF!</v>
      </c>
      <c r="T58" s="235">
        <f t="shared" si="10"/>
        <v>0</v>
      </c>
      <c r="U58" s="235" t="e">
        <f t="shared" si="10"/>
        <v>#REF!</v>
      </c>
      <c r="V58" s="235" t="e">
        <f t="shared" si="10"/>
        <v>#REF!</v>
      </c>
      <c r="W58" s="235" t="e">
        <f t="shared" si="10"/>
        <v>#REF!</v>
      </c>
      <c r="X58" s="235" t="e">
        <f t="shared" si="10"/>
        <v>#REF!</v>
      </c>
      <c r="Y58" s="59" t="str">
        <f>'Stock Rawmaterial'!M1388</f>
        <v/>
      </c>
      <c r="Z58" s="366">
        <f>IFERROR(X58/Y58,0)</f>
        <v>0</v>
      </c>
      <c r="AA58" s="59">
        <f>'Stock Rawmaterial'!O1388</f>
        <v>0</v>
      </c>
      <c r="AB58" s="880">
        <f>IFERROR(X58/AA58,0)</f>
        <v>0</v>
      </c>
      <c r="AC58" s="795" t="s">
        <v>923</v>
      </c>
      <c r="AD58" s="797"/>
      <c r="AE58" s="797"/>
      <c r="AF58" s="551"/>
      <c r="AG58" s="699"/>
      <c r="AH58" s="700"/>
      <c r="AI58" s="699"/>
      <c r="AJ58" s="699"/>
      <c r="AK58" s="551"/>
      <c r="AL58" s="683"/>
      <c r="AM58" s="551"/>
      <c r="AN58" s="551"/>
      <c r="AO58" s="551"/>
      <c r="AP58" s="551"/>
      <c r="AQ58" s="551"/>
      <c r="AR58" s="704"/>
      <c r="AS58" s="704"/>
      <c r="AT58" s="704"/>
      <c r="AU58" s="704"/>
      <c r="AV58" s="704"/>
      <c r="AW58" s="704"/>
      <c r="AX58" s="704"/>
      <c r="AY58" s="704"/>
      <c r="AZ58" s="704"/>
      <c r="BA58" s="704"/>
      <c r="BB58" s="704"/>
    </row>
    <row r="59" spans="1:54" s="265" customFormat="1" ht="30" customHeight="1" x14ac:dyDescent="0.25">
      <c r="A59" s="2083" t="e">
        <f>IF(X64=0,"",MAX($A$14:A58)+1)</f>
        <v>#REF!</v>
      </c>
      <c r="B59" s="2075" t="s">
        <v>1115</v>
      </c>
      <c r="C59" s="574" t="str">
        <f>'Stock Rawmaterial'!C1389</f>
        <v>A16.2</v>
      </c>
      <c r="D59" s="881" t="s">
        <v>10</v>
      </c>
      <c r="E59" s="882">
        <f>'Stock Rawmaterial'!E1389</f>
        <v>44553</v>
      </c>
      <c r="F59" s="71">
        <f t="shared" ref="F59:F63" si="11">$X$7-E59</f>
        <v>1733</v>
      </c>
      <c r="G59" s="71" t="e">
        <f>'Stock Rawmaterial'!#REF!</f>
        <v>#REF!</v>
      </c>
      <c r="H59" s="80">
        <f>'Stock Rawmaterial'!G1389</f>
        <v>0</v>
      </c>
      <c r="I59" s="318" t="e">
        <f>'Stock Rawmaterial'!#REF!</f>
        <v>#REF!</v>
      </c>
      <c r="J59" s="80">
        <f>'Stock Rawmaterial'!H1389</f>
        <v>0</v>
      </c>
      <c r="K59" s="80" t="e">
        <f>'Stock Rawmaterial'!#REF!</f>
        <v>#REF!</v>
      </c>
      <c r="L59" s="80" t="e">
        <f>'Stock Rawmaterial'!#REF!</f>
        <v>#REF!</v>
      </c>
      <c r="M59" s="310" t="e">
        <f>'Stock Rawmaterial'!#REF!</f>
        <v>#REF!</v>
      </c>
      <c r="N59" s="68">
        <f>'Stock Rawmaterial'!I1389</f>
        <v>0</v>
      </c>
      <c r="O59" s="68" t="e">
        <f>'Stock Rawmaterial'!#REF!</f>
        <v>#REF!</v>
      </c>
      <c r="P59" s="68" t="e">
        <f>'Stock Rawmaterial'!#REF!</f>
        <v>#REF!</v>
      </c>
      <c r="Q59" s="287" t="e">
        <f>'Stock Rawmaterial'!#REF!</f>
        <v>#REF!</v>
      </c>
      <c r="R59" s="208">
        <f>'Stock Rawmaterial'!J1389</f>
        <v>0</v>
      </c>
      <c r="S59" s="287" t="e">
        <f>'Stock Rawmaterial'!#REF!</f>
        <v>#REF!</v>
      </c>
      <c r="T59" s="68">
        <f>'Stock Rawmaterial'!K1389</f>
        <v>0</v>
      </c>
      <c r="U59" s="336" t="e">
        <f>'Stock Rawmaterial'!#REF!</f>
        <v>#REF!</v>
      </c>
      <c r="V59" s="254" t="e">
        <f>'Stock Rawmaterial'!#REF!</f>
        <v>#REF!</v>
      </c>
      <c r="W59" s="352" t="e">
        <f>'Stock Rawmaterial'!#REF!</f>
        <v>#REF!</v>
      </c>
      <c r="X59" s="346" t="e">
        <f>+(H59+J59+L59+N59+P59)-(R59+T59+V59)</f>
        <v>#REF!</v>
      </c>
      <c r="Y59" s="48"/>
      <c r="Z59" s="163"/>
      <c r="AA59" s="48"/>
      <c r="AB59" s="750"/>
      <c r="AC59" s="795"/>
      <c r="AD59" s="797"/>
      <c r="AE59" s="797"/>
      <c r="AF59" s="551"/>
      <c r="AG59" s="699"/>
      <c r="AH59" s="700"/>
      <c r="AI59" s="699"/>
      <c r="AJ59" s="699"/>
      <c r="AK59" s="551"/>
      <c r="AL59" s="551"/>
      <c r="AM59" s="551"/>
      <c r="AN59" s="551"/>
      <c r="AO59" s="551"/>
      <c r="AP59" s="551"/>
      <c r="AQ59" s="551"/>
      <c r="AR59" s="704"/>
      <c r="AS59" s="704"/>
      <c r="AT59" s="704"/>
      <c r="AU59" s="704"/>
      <c r="AV59" s="704"/>
      <c r="AW59" s="704"/>
      <c r="AX59" s="704"/>
      <c r="AY59" s="704"/>
      <c r="AZ59" s="704"/>
      <c r="BA59" s="704"/>
      <c r="BB59" s="704"/>
    </row>
    <row r="60" spans="1:54" s="265" customFormat="1" ht="30" customHeight="1" x14ac:dyDescent="0.25">
      <c r="A60" s="2084"/>
      <c r="B60" s="2076"/>
      <c r="C60" s="574">
        <f>'Stock Rawmaterial'!C1390</f>
        <v>0</v>
      </c>
      <c r="D60" s="881" t="s">
        <v>10</v>
      </c>
      <c r="E60" s="882">
        <f>'Stock Rawmaterial'!E1390</f>
        <v>44217</v>
      </c>
      <c r="F60" s="71">
        <f t="shared" si="11"/>
        <v>2069</v>
      </c>
      <c r="G60" s="71" t="e">
        <f>'Stock Rawmaterial'!#REF!</f>
        <v>#REF!</v>
      </c>
      <c r="H60" s="80">
        <f>'Stock Rawmaterial'!G1390</f>
        <v>0</v>
      </c>
      <c r="I60" s="318" t="e">
        <f>'Stock Rawmaterial'!#REF!</f>
        <v>#REF!</v>
      </c>
      <c r="J60" s="80">
        <f>'Stock Rawmaterial'!H1390</f>
        <v>0</v>
      </c>
      <c r="K60" s="80" t="e">
        <f>'Stock Rawmaterial'!#REF!</f>
        <v>#REF!</v>
      </c>
      <c r="L60" s="80" t="e">
        <f>'Stock Rawmaterial'!#REF!</f>
        <v>#REF!</v>
      </c>
      <c r="M60" s="310" t="e">
        <f>'Stock Rawmaterial'!#REF!</f>
        <v>#REF!</v>
      </c>
      <c r="N60" s="68">
        <f>'Stock Rawmaterial'!I1390</f>
        <v>0</v>
      </c>
      <c r="O60" s="68" t="e">
        <f>'Stock Rawmaterial'!#REF!</f>
        <v>#REF!</v>
      </c>
      <c r="P60" s="68" t="e">
        <f>'Stock Rawmaterial'!#REF!</f>
        <v>#REF!</v>
      </c>
      <c r="Q60" s="287" t="e">
        <f>'Stock Rawmaterial'!#REF!</f>
        <v>#REF!</v>
      </c>
      <c r="R60" s="208">
        <f>'Stock Rawmaterial'!J1390</f>
        <v>0</v>
      </c>
      <c r="S60" s="287" t="e">
        <f>'Stock Rawmaterial'!#REF!</f>
        <v>#REF!</v>
      </c>
      <c r="T60" s="68">
        <f>'Stock Rawmaterial'!K1390</f>
        <v>0</v>
      </c>
      <c r="U60" s="336" t="e">
        <f>'Stock Rawmaterial'!#REF!</f>
        <v>#REF!</v>
      </c>
      <c r="V60" s="254" t="e">
        <f>'Stock Rawmaterial'!#REF!</f>
        <v>#REF!</v>
      </c>
      <c r="W60" s="352" t="e">
        <f>'Stock Rawmaterial'!#REF!</f>
        <v>#REF!</v>
      </c>
      <c r="X60" s="346" t="e">
        <f>+(H60+J60+L60+N60+P60)-(R60+T60+V60)</f>
        <v>#REF!</v>
      </c>
      <c r="Y60" s="48"/>
      <c r="Z60" s="163"/>
      <c r="AA60" s="48"/>
      <c r="AB60" s="750"/>
      <c r="AC60" s="795"/>
      <c r="AD60" s="797"/>
      <c r="AE60" s="797"/>
      <c r="AF60" s="551"/>
      <c r="AG60" s="699"/>
      <c r="AH60" s="700"/>
      <c r="AI60" s="699"/>
      <c r="AJ60" s="699"/>
      <c r="AK60" s="551"/>
      <c r="AL60" s="551"/>
      <c r="AM60" s="551"/>
      <c r="AN60" s="551"/>
      <c r="AO60" s="551"/>
      <c r="AP60" s="551"/>
      <c r="AQ60" s="551"/>
      <c r="AR60" s="704"/>
      <c r="AS60" s="704"/>
      <c r="AT60" s="704"/>
      <c r="AU60" s="704"/>
      <c r="AV60" s="704"/>
      <c r="AW60" s="704"/>
      <c r="AX60" s="704"/>
      <c r="AY60" s="704"/>
      <c r="AZ60" s="704"/>
      <c r="BA60" s="704"/>
      <c r="BB60" s="704"/>
    </row>
    <row r="61" spans="1:54" s="265" customFormat="1" ht="30" customHeight="1" x14ac:dyDescent="0.25">
      <c r="A61" s="2084"/>
      <c r="B61" s="2076"/>
      <c r="C61" s="574">
        <f>'Stock Rawmaterial'!C1391</f>
        <v>0</v>
      </c>
      <c r="D61" s="881" t="s">
        <v>10</v>
      </c>
      <c r="E61" s="882">
        <f>'Stock Rawmaterial'!E1391</f>
        <v>44217</v>
      </c>
      <c r="F61" s="71">
        <f t="shared" si="11"/>
        <v>2069</v>
      </c>
      <c r="G61" s="71" t="e">
        <f>'Stock Rawmaterial'!#REF!</f>
        <v>#REF!</v>
      </c>
      <c r="H61" s="80">
        <f>'Stock Rawmaterial'!G1391</f>
        <v>0</v>
      </c>
      <c r="I61" s="318" t="e">
        <f>'Stock Rawmaterial'!#REF!</f>
        <v>#REF!</v>
      </c>
      <c r="J61" s="80">
        <f>'Stock Rawmaterial'!H1391</f>
        <v>0</v>
      </c>
      <c r="K61" s="80" t="e">
        <f>'Stock Rawmaterial'!#REF!</f>
        <v>#REF!</v>
      </c>
      <c r="L61" s="80" t="e">
        <f>'Stock Rawmaterial'!#REF!</f>
        <v>#REF!</v>
      </c>
      <c r="M61" s="310" t="e">
        <f>'Stock Rawmaterial'!#REF!</f>
        <v>#REF!</v>
      </c>
      <c r="N61" s="68">
        <f>'Stock Rawmaterial'!I1391</f>
        <v>0</v>
      </c>
      <c r="O61" s="68" t="e">
        <f>'Stock Rawmaterial'!#REF!</f>
        <v>#REF!</v>
      </c>
      <c r="P61" s="68" t="e">
        <f>'Stock Rawmaterial'!#REF!</f>
        <v>#REF!</v>
      </c>
      <c r="Q61" s="287" t="e">
        <f>'Stock Rawmaterial'!#REF!</f>
        <v>#REF!</v>
      </c>
      <c r="R61" s="208">
        <f>'Stock Rawmaterial'!J1391</f>
        <v>0</v>
      </c>
      <c r="S61" s="287" t="e">
        <f>'Stock Rawmaterial'!#REF!</f>
        <v>#REF!</v>
      </c>
      <c r="T61" s="68">
        <f>'Stock Rawmaterial'!K1391</f>
        <v>0</v>
      </c>
      <c r="U61" s="336" t="e">
        <f>'Stock Rawmaterial'!#REF!</f>
        <v>#REF!</v>
      </c>
      <c r="V61" s="254" t="e">
        <f>'Stock Rawmaterial'!#REF!</f>
        <v>#REF!</v>
      </c>
      <c r="W61" s="352" t="e">
        <f>'Stock Rawmaterial'!#REF!</f>
        <v>#REF!</v>
      </c>
      <c r="X61" s="346" t="e">
        <f>+(H61+J61+L61+N61+P61)-(R61+T61+V61)</f>
        <v>#REF!</v>
      </c>
      <c r="Y61" s="48"/>
      <c r="Z61" s="163"/>
      <c r="AA61" s="48"/>
      <c r="AB61" s="750"/>
      <c r="AC61" s="795"/>
      <c r="AD61" s="797"/>
      <c r="AE61" s="797"/>
      <c r="AF61" s="551"/>
      <c r="AG61" s="699"/>
      <c r="AH61" s="700"/>
      <c r="AI61" s="699"/>
      <c r="AJ61" s="699"/>
      <c r="AK61" s="551"/>
      <c r="AL61" s="551"/>
      <c r="AM61" s="551"/>
      <c r="AN61" s="551"/>
      <c r="AO61" s="551"/>
      <c r="AP61" s="551"/>
      <c r="AQ61" s="551"/>
      <c r="AR61" s="704"/>
      <c r="AS61" s="704"/>
      <c r="AT61" s="704"/>
      <c r="AU61" s="704"/>
      <c r="AV61" s="704"/>
      <c r="AW61" s="704"/>
      <c r="AX61" s="704"/>
      <c r="AY61" s="704"/>
      <c r="AZ61" s="704"/>
      <c r="BA61" s="704"/>
      <c r="BB61" s="704"/>
    </row>
    <row r="62" spans="1:54" s="265" customFormat="1" ht="30" customHeight="1" x14ac:dyDescent="0.25">
      <c r="A62" s="2084"/>
      <c r="B62" s="2076"/>
      <c r="C62" s="574">
        <f>'Stock Rawmaterial'!C1392</f>
        <v>0</v>
      </c>
      <c r="D62" s="881" t="s">
        <v>10</v>
      </c>
      <c r="E62" s="882">
        <f>'Stock Rawmaterial'!E1392</f>
        <v>44217</v>
      </c>
      <c r="F62" s="71">
        <f t="shared" si="11"/>
        <v>2069</v>
      </c>
      <c r="G62" s="71" t="e">
        <f>'Stock Rawmaterial'!#REF!</f>
        <v>#REF!</v>
      </c>
      <c r="H62" s="80">
        <f>'Stock Rawmaterial'!G1392</f>
        <v>0</v>
      </c>
      <c r="I62" s="318" t="e">
        <f>'Stock Rawmaterial'!#REF!</f>
        <v>#REF!</v>
      </c>
      <c r="J62" s="80">
        <f>'Stock Rawmaterial'!H1392</f>
        <v>0</v>
      </c>
      <c r="K62" s="80" t="e">
        <f>'Stock Rawmaterial'!#REF!</f>
        <v>#REF!</v>
      </c>
      <c r="L62" s="80" t="e">
        <f>'Stock Rawmaterial'!#REF!</f>
        <v>#REF!</v>
      </c>
      <c r="M62" s="310" t="e">
        <f>'Stock Rawmaterial'!#REF!</f>
        <v>#REF!</v>
      </c>
      <c r="N62" s="68">
        <f>'Stock Rawmaterial'!I1392</f>
        <v>0</v>
      </c>
      <c r="O62" s="68" t="e">
        <f>'Stock Rawmaterial'!#REF!</f>
        <v>#REF!</v>
      </c>
      <c r="P62" s="68" t="e">
        <f>'Stock Rawmaterial'!#REF!</f>
        <v>#REF!</v>
      </c>
      <c r="Q62" s="287" t="e">
        <f>'Stock Rawmaterial'!#REF!</f>
        <v>#REF!</v>
      </c>
      <c r="R62" s="208">
        <f>'Stock Rawmaterial'!J1392</f>
        <v>0</v>
      </c>
      <c r="S62" s="287" t="e">
        <f>'Stock Rawmaterial'!#REF!</f>
        <v>#REF!</v>
      </c>
      <c r="T62" s="68">
        <f>'Stock Rawmaterial'!K1392</f>
        <v>0</v>
      </c>
      <c r="U62" s="336" t="e">
        <f>'Stock Rawmaterial'!#REF!</f>
        <v>#REF!</v>
      </c>
      <c r="V62" s="254" t="e">
        <f>'Stock Rawmaterial'!#REF!</f>
        <v>#REF!</v>
      </c>
      <c r="W62" s="352" t="e">
        <f>'Stock Rawmaterial'!#REF!</f>
        <v>#REF!</v>
      </c>
      <c r="X62" s="346" t="e">
        <f>+(H62+J62+L62+N62+P62)-(R62+T62+V62)</f>
        <v>#REF!</v>
      </c>
      <c r="Y62" s="48"/>
      <c r="Z62" s="163"/>
      <c r="AA62" s="48"/>
      <c r="AB62" s="750"/>
      <c r="AC62" s="795"/>
      <c r="AD62" s="797"/>
      <c r="AE62" s="797"/>
      <c r="AF62" s="551"/>
      <c r="AG62" s="699"/>
      <c r="AH62" s="700"/>
      <c r="AI62" s="699"/>
      <c r="AJ62" s="699"/>
      <c r="AK62" s="551"/>
      <c r="AL62" s="551"/>
      <c r="AM62" s="551"/>
      <c r="AN62" s="551"/>
      <c r="AO62" s="551"/>
      <c r="AP62" s="551"/>
      <c r="AQ62" s="551"/>
      <c r="AR62" s="704"/>
      <c r="AS62" s="704"/>
      <c r="AT62" s="704"/>
      <c r="AU62" s="704"/>
      <c r="AV62" s="704"/>
      <c r="AW62" s="704"/>
      <c r="AX62" s="704"/>
      <c r="AY62" s="704"/>
      <c r="AZ62" s="704"/>
      <c r="BA62" s="704"/>
      <c r="BB62" s="704"/>
    </row>
    <row r="63" spans="1:54" s="265" customFormat="1" ht="30" customHeight="1" x14ac:dyDescent="0.25">
      <c r="A63" s="2085"/>
      <c r="B63" s="2068"/>
      <c r="C63" s="1092" t="str">
        <f>'Stock Rawmaterial'!C1393</f>
        <v>Feedmil</v>
      </c>
      <c r="D63" s="1093" t="s">
        <v>10</v>
      </c>
      <c r="E63" s="1094">
        <f>'Stock Rawmaterial'!E1393</f>
        <v>44553</v>
      </c>
      <c r="F63" s="1095">
        <f t="shared" si="11"/>
        <v>1733</v>
      </c>
      <c r="G63" s="1095" t="e">
        <f>'Stock Rawmaterial'!#REF!</f>
        <v>#REF!</v>
      </c>
      <c r="H63" s="626">
        <f>'Stock Rawmaterial'!G1393</f>
        <v>0</v>
      </c>
      <c r="I63" s="1096" t="e">
        <f>'Stock Rawmaterial'!#REF!</f>
        <v>#REF!</v>
      </c>
      <c r="J63" s="626">
        <f>'Stock Rawmaterial'!H1393</f>
        <v>0</v>
      </c>
      <c r="K63" s="626" t="e">
        <f>'Stock Rawmaterial'!#REF!</f>
        <v>#REF!</v>
      </c>
      <c r="L63" s="626" t="e">
        <f>'Stock Rawmaterial'!#REF!</f>
        <v>#REF!</v>
      </c>
      <c r="M63" s="627" t="e">
        <f>'Stock Rawmaterial'!#REF!</f>
        <v>#REF!</v>
      </c>
      <c r="N63" s="628">
        <f>'Stock Rawmaterial'!I1393</f>
        <v>0</v>
      </c>
      <c r="O63" s="628" t="e">
        <f>'Stock Rawmaterial'!#REF!</f>
        <v>#REF!</v>
      </c>
      <c r="P63" s="628" t="e">
        <f>'Stock Rawmaterial'!#REF!</f>
        <v>#REF!</v>
      </c>
      <c r="Q63" s="629" t="e">
        <f>'Stock Rawmaterial'!#REF!</f>
        <v>#REF!</v>
      </c>
      <c r="R63" s="630">
        <f>'Stock Rawmaterial'!J1393</f>
        <v>0</v>
      </c>
      <c r="S63" s="629" t="e">
        <f>'Stock Rawmaterial'!#REF!</f>
        <v>#REF!</v>
      </c>
      <c r="T63" s="628">
        <f>'Stock Rawmaterial'!K1393</f>
        <v>0</v>
      </c>
      <c r="U63" s="1097" t="e">
        <f>'Stock Rawmaterial'!#REF!</f>
        <v>#REF!</v>
      </c>
      <c r="V63" s="1098" t="e">
        <f>'Stock Rawmaterial'!#REF!</f>
        <v>#REF!</v>
      </c>
      <c r="W63" s="631" t="e">
        <f>'Stock Rawmaterial'!#REF!</f>
        <v>#REF!</v>
      </c>
      <c r="X63" s="632" t="e">
        <f>+(H63+J63+L63+N63+P63)-(R63+T63+V63)</f>
        <v>#REF!</v>
      </c>
      <c r="Y63" s="35"/>
      <c r="Z63" s="871"/>
      <c r="AA63" s="35"/>
      <c r="AB63" s="1013"/>
      <c r="AC63" s="795"/>
      <c r="AD63" s="797"/>
      <c r="AE63" s="797"/>
      <c r="AF63" s="551"/>
      <c r="AG63" s="699"/>
      <c r="AH63" s="700"/>
      <c r="AI63" s="699"/>
      <c r="AJ63" s="699"/>
      <c r="AK63" s="551"/>
      <c r="AL63" s="551"/>
      <c r="AM63" s="551"/>
      <c r="AN63" s="551"/>
      <c r="AO63" s="551"/>
      <c r="AP63" s="551"/>
      <c r="AQ63" s="551"/>
      <c r="AR63" s="704"/>
      <c r="AS63" s="704"/>
      <c r="AT63" s="704"/>
      <c r="AU63" s="704"/>
      <c r="AV63" s="704"/>
      <c r="AW63" s="704"/>
      <c r="AX63" s="704"/>
      <c r="AY63" s="704"/>
      <c r="AZ63" s="704"/>
      <c r="BA63" s="704"/>
      <c r="BB63" s="704"/>
    </row>
    <row r="64" spans="1:54" s="265" customFormat="1" ht="30" customHeight="1" x14ac:dyDescent="0.25">
      <c r="A64" s="184"/>
      <c r="B64" s="184" t="s">
        <v>1116</v>
      </c>
      <c r="C64" s="575"/>
      <c r="D64" s="900"/>
      <c r="E64" s="901"/>
      <c r="F64" s="902"/>
      <c r="G64" s="353"/>
      <c r="H64" s="235">
        <f>+SUM(H59:H63)</f>
        <v>0</v>
      </c>
      <c r="I64" s="235" t="e">
        <f t="shared" ref="I64:X64" si="12">+SUM(I59:I63)</f>
        <v>#REF!</v>
      </c>
      <c r="J64" s="235">
        <f t="shared" si="12"/>
        <v>0</v>
      </c>
      <c r="K64" s="235" t="e">
        <f t="shared" si="12"/>
        <v>#REF!</v>
      </c>
      <c r="L64" s="235" t="e">
        <f t="shared" si="12"/>
        <v>#REF!</v>
      </c>
      <c r="M64" s="235" t="e">
        <f t="shared" si="12"/>
        <v>#REF!</v>
      </c>
      <c r="N64" s="235">
        <f t="shared" si="12"/>
        <v>0</v>
      </c>
      <c r="O64" s="235" t="e">
        <f t="shared" si="12"/>
        <v>#REF!</v>
      </c>
      <c r="P64" s="235" t="e">
        <f t="shared" si="12"/>
        <v>#REF!</v>
      </c>
      <c r="Q64" s="235" t="e">
        <f t="shared" si="12"/>
        <v>#REF!</v>
      </c>
      <c r="R64" s="235">
        <f t="shared" si="12"/>
        <v>0</v>
      </c>
      <c r="S64" s="235" t="e">
        <f t="shared" si="12"/>
        <v>#REF!</v>
      </c>
      <c r="T64" s="235">
        <f t="shared" si="12"/>
        <v>0</v>
      </c>
      <c r="U64" s="235" t="e">
        <f t="shared" si="12"/>
        <v>#REF!</v>
      </c>
      <c r="V64" s="235" t="e">
        <f t="shared" si="12"/>
        <v>#REF!</v>
      </c>
      <c r="W64" s="235" t="e">
        <f t="shared" si="12"/>
        <v>#REF!</v>
      </c>
      <c r="X64" s="235" t="e">
        <f t="shared" si="12"/>
        <v>#REF!</v>
      </c>
      <c r="Y64" s="59" t="str">
        <f>'Stock Rawmaterial'!M1394</f>
        <v/>
      </c>
      <c r="Z64" s="366">
        <f>IFERROR(X64/Y64,0)</f>
        <v>0</v>
      </c>
      <c r="AA64" s="59">
        <f>'Stock Rawmaterial'!O1394</f>
        <v>0</v>
      </c>
      <c r="AB64" s="880">
        <f>IFERROR(X64/AA64,0)</f>
        <v>0</v>
      </c>
      <c r="AC64" s="795" t="s">
        <v>923</v>
      </c>
      <c r="AD64" s="797"/>
      <c r="AE64" s="797"/>
      <c r="AF64" s="551"/>
      <c r="AG64" s="699"/>
      <c r="AH64" s="700"/>
      <c r="AI64" s="699"/>
      <c r="AJ64" s="699"/>
      <c r="AK64" s="551"/>
      <c r="AL64" s="683"/>
      <c r="AM64" s="551"/>
      <c r="AN64" s="551"/>
      <c r="AO64" s="551"/>
      <c r="AP64" s="551"/>
      <c r="AQ64" s="551"/>
      <c r="AR64" s="704"/>
      <c r="AS64" s="704"/>
      <c r="AT64" s="704"/>
      <c r="AU64" s="704"/>
      <c r="AV64" s="704"/>
      <c r="AW64" s="704"/>
      <c r="AX64" s="704"/>
      <c r="AY64" s="704"/>
      <c r="AZ64" s="704"/>
      <c r="BA64" s="704"/>
      <c r="BB64" s="704"/>
    </row>
    <row r="65" spans="1:54" s="265" customFormat="1" ht="30" customHeight="1" x14ac:dyDescent="0.25">
      <c r="A65" s="2083" t="e">
        <f>IF(X68=0,"",MAX($A$14:A64)+1)</f>
        <v>#REF!</v>
      </c>
      <c r="B65" s="2075" t="s">
        <v>1125</v>
      </c>
      <c r="C65" s="574">
        <f>'Stock Rawmaterial'!C1400</f>
        <v>0</v>
      </c>
      <c r="D65" s="881" t="s">
        <v>10</v>
      </c>
      <c r="E65" s="882">
        <f>'Stock Rawmaterial'!E1400</f>
        <v>44571</v>
      </c>
      <c r="F65" s="71">
        <f t="shared" ref="F65" si="13">$X$7-E65</f>
        <v>1715</v>
      </c>
      <c r="G65" s="71" t="e">
        <f>'Stock Rawmaterial'!#REF!</f>
        <v>#REF!</v>
      </c>
      <c r="H65" s="80">
        <f>'Stock Rawmaterial'!G1400</f>
        <v>0</v>
      </c>
      <c r="I65" s="80" t="e">
        <f>'Stock Rawmaterial'!#REF!</f>
        <v>#REF!</v>
      </c>
      <c r="J65" s="80">
        <f>'Stock Rawmaterial'!H1400</f>
        <v>0</v>
      </c>
      <c r="K65" s="80" t="e">
        <f>'Stock Rawmaterial'!#REF!</f>
        <v>#REF!</v>
      </c>
      <c r="L65" s="80" t="e">
        <f>'Stock Rawmaterial'!#REF!</f>
        <v>#REF!</v>
      </c>
      <c r="M65" s="80" t="e">
        <f>'Stock Rawmaterial'!#REF!</f>
        <v>#REF!</v>
      </c>
      <c r="N65" s="80">
        <f>'Stock Rawmaterial'!I1400</f>
        <v>0</v>
      </c>
      <c r="O65" s="80" t="e">
        <f>'Stock Rawmaterial'!#REF!</f>
        <v>#REF!</v>
      </c>
      <c r="P65" s="80" t="e">
        <f>'Stock Rawmaterial'!#REF!</f>
        <v>#REF!</v>
      </c>
      <c r="Q65" s="80" t="e">
        <f>'Stock Rawmaterial'!#REF!</f>
        <v>#REF!</v>
      </c>
      <c r="R65" s="80">
        <f>'Stock Rawmaterial'!J1400</f>
        <v>0</v>
      </c>
      <c r="S65" s="80" t="e">
        <f>'Stock Rawmaterial'!#REF!</f>
        <v>#REF!</v>
      </c>
      <c r="T65" s="80">
        <f>'Stock Rawmaterial'!K1400</f>
        <v>0</v>
      </c>
      <c r="U65" s="80" t="e">
        <f>'Stock Rawmaterial'!#REF!</f>
        <v>#REF!</v>
      </c>
      <c r="V65" s="80" t="e">
        <f>'Stock Rawmaterial'!#REF!</f>
        <v>#REF!</v>
      </c>
      <c r="W65" s="80" t="e">
        <f>'Stock Rawmaterial'!#REF!</f>
        <v>#REF!</v>
      </c>
      <c r="X65" s="346" t="e">
        <f>+(H65+J65+L65+N65+P65)-(R65+T65+V65)</f>
        <v>#REF!</v>
      </c>
      <c r="Y65" s="48"/>
      <c r="Z65" s="163"/>
      <c r="AA65" s="48"/>
      <c r="AB65" s="750"/>
      <c r="AC65" s="795"/>
      <c r="AD65" s="797"/>
      <c r="AE65" s="797"/>
      <c r="AF65" s="551"/>
      <c r="AG65" s="699"/>
      <c r="AH65" s="700"/>
      <c r="AI65" s="699"/>
      <c r="AJ65" s="699"/>
      <c r="AK65" s="551"/>
      <c r="AL65" s="551"/>
      <c r="AM65" s="551"/>
      <c r="AN65" s="551"/>
      <c r="AO65" s="551"/>
      <c r="AP65" s="551"/>
      <c r="AQ65" s="551"/>
      <c r="AR65" s="704"/>
      <c r="AS65" s="704"/>
      <c r="AT65" s="704"/>
      <c r="AU65" s="704"/>
      <c r="AV65" s="704"/>
      <c r="AW65" s="704"/>
      <c r="AX65" s="704"/>
      <c r="AY65" s="704"/>
      <c r="AZ65" s="704"/>
      <c r="BA65" s="704"/>
      <c r="BB65" s="704"/>
    </row>
    <row r="66" spans="1:54" s="265" customFormat="1" ht="30" customHeight="1" x14ac:dyDescent="0.25">
      <c r="A66" s="2084"/>
      <c r="B66" s="2076"/>
      <c r="C66" s="574" t="str">
        <f>'Stock Rawmaterial'!C1401</f>
        <v>Y4.1</v>
      </c>
      <c r="D66" s="881" t="s">
        <v>10</v>
      </c>
      <c r="E66" s="882">
        <f>'Stock Rawmaterial'!E1401</f>
        <v>44566</v>
      </c>
      <c r="F66" s="71">
        <f t="shared" ref="F66:F67" si="14">$X$7-E66</f>
        <v>1720</v>
      </c>
      <c r="G66" s="71" t="e">
        <f>'Stock Rawmaterial'!#REF!</f>
        <v>#REF!</v>
      </c>
      <c r="H66" s="80">
        <f>'Stock Rawmaterial'!G1401</f>
        <v>0</v>
      </c>
      <c r="I66" s="80" t="e">
        <f>'Stock Rawmaterial'!#REF!</f>
        <v>#REF!</v>
      </c>
      <c r="J66" s="80">
        <f>'Stock Rawmaterial'!H1401</f>
        <v>0</v>
      </c>
      <c r="K66" s="80" t="e">
        <f>'Stock Rawmaterial'!#REF!</f>
        <v>#REF!</v>
      </c>
      <c r="L66" s="80" t="e">
        <f>'Stock Rawmaterial'!#REF!</f>
        <v>#REF!</v>
      </c>
      <c r="M66" s="80" t="e">
        <f>'Stock Rawmaterial'!#REF!</f>
        <v>#REF!</v>
      </c>
      <c r="N66" s="80">
        <f>'Stock Rawmaterial'!I1401</f>
        <v>0</v>
      </c>
      <c r="O66" s="80" t="e">
        <f>'Stock Rawmaterial'!#REF!</f>
        <v>#REF!</v>
      </c>
      <c r="P66" s="80" t="e">
        <f>'Stock Rawmaterial'!#REF!</f>
        <v>#REF!</v>
      </c>
      <c r="Q66" s="80" t="e">
        <f>'Stock Rawmaterial'!#REF!</f>
        <v>#REF!</v>
      </c>
      <c r="R66" s="80">
        <f>'Stock Rawmaterial'!J1401</f>
        <v>0</v>
      </c>
      <c r="S66" s="80" t="e">
        <f>'Stock Rawmaterial'!#REF!</f>
        <v>#REF!</v>
      </c>
      <c r="T66" s="80">
        <f>'Stock Rawmaterial'!K1401</f>
        <v>0</v>
      </c>
      <c r="U66" s="80" t="e">
        <f>'Stock Rawmaterial'!#REF!</f>
        <v>#REF!</v>
      </c>
      <c r="V66" s="80" t="e">
        <f>'Stock Rawmaterial'!#REF!</f>
        <v>#REF!</v>
      </c>
      <c r="W66" s="80" t="e">
        <f>'Stock Rawmaterial'!#REF!</f>
        <v>#REF!</v>
      </c>
      <c r="X66" s="346" t="e">
        <f t="shared" ref="X66:X67" si="15">+(H66+J66+L66+N66+P66)-(R66+T66+V66)</f>
        <v>#REF!</v>
      </c>
      <c r="Y66" s="48"/>
      <c r="Z66" s="163"/>
      <c r="AA66" s="48"/>
      <c r="AB66" s="750"/>
      <c r="AC66" s="795"/>
      <c r="AD66" s="797"/>
      <c r="AE66" s="797"/>
      <c r="AF66" s="551"/>
      <c r="AG66" s="699"/>
      <c r="AH66" s="700"/>
      <c r="AI66" s="699"/>
      <c r="AJ66" s="699"/>
      <c r="AK66" s="551"/>
      <c r="AL66" s="551"/>
      <c r="AM66" s="551"/>
      <c r="AN66" s="551"/>
      <c r="AO66" s="551"/>
      <c r="AP66" s="551"/>
      <c r="AQ66" s="551"/>
      <c r="AR66" s="704"/>
      <c r="AS66" s="704"/>
      <c r="AT66" s="704"/>
      <c r="AU66" s="704"/>
      <c r="AV66" s="704"/>
      <c r="AW66" s="704"/>
      <c r="AX66" s="704"/>
      <c r="AY66" s="704"/>
      <c r="AZ66" s="704"/>
      <c r="BA66" s="704"/>
      <c r="BB66" s="704"/>
    </row>
    <row r="67" spans="1:54" s="265" customFormat="1" ht="30" customHeight="1" x14ac:dyDescent="0.25">
      <c r="A67" s="2084"/>
      <c r="B67" s="2076"/>
      <c r="C67" s="1092" t="str">
        <f>'Stock Rawmaterial'!C1402</f>
        <v>Feedmil</v>
      </c>
      <c r="D67" s="1093" t="s">
        <v>10</v>
      </c>
      <c r="E67" s="1094">
        <f>'Stock Rawmaterial'!E1402</f>
        <v>44571</v>
      </c>
      <c r="F67" s="1095">
        <f t="shared" si="14"/>
        <v>1715</v>
      </c>
      <c r="G67" s="1095" t="e">
        <f>'Stock Rawmaterial'!#REF!</f>
        <v>#REF!</v>
      </c>
      <c r="H67" s="626">
        <f>'Stock Rawmaterial'!G1402</f>
        <v>0</v>
      </c>
      <c r="I67" s="1096" t="e">
        <f>'Stock Rawmaterial'!#REF!</f>
        <v>#REF!</v>
      </c>
      <c r="J67" s="626">
        <f>'Stock Rawmaterial'!H1402</f>
        <v>0</v>
      </c>
      <c r="K67" s="626" t="e">
        <f>'Stock Rawmaterial'!#REF!</f>
        <v>#REF!</v>
      </c>
      <c r="L67" s="626" t="e">
        <f>'Stock Rawmaterial'!#REF!</f>
        <v>#REF!</v>
      </c>
      <c r="M67" s="627" t="e">
        <f>'Stock Rawmaterial'!#REF!</f>
        <v>#REF!</v>
      </c>
      <c r="N67" s="628">
        <f>'Stock Rawmaterial'!I1402</f>
        <v>0</v>
      </c>
      <c r="O67" s="628" t="e">
        <f>'Stock Rawmaterial'!#REF!</f>
        <v>#REF!</v>
      </c>
      <c r="P67" s="628" t="e">
        <f>'Stock Rawmaterial'!#REF!</f>
        <v>#REF!</v>
      </c>
      <c r="Q67" s="629" t="e">
        <f>'Stock Rawmaterial'!#REF!</f>
        <v>#REF!</v>
      </c>
      <c r="R67" s="630">
        <f>'Stock Rawmaterial'!J1402</f>
        <v>0</v>
      </c>
      <c r="S67" s="629" t="e">
        <f>'Stock Rawmaterial'!#REF!</f>
        <v>#REF!</v>
      </c>
      <c r="T67" s="628">
        <f>'Stock Rawmaterial'!K1402</f>
        <v>0</v>
      </c>
      <c r="U67" s="1097" t="e">
        <f>'Stock Rawmaterial'!#REF!</f>
        <v>#REF!</v>
      </c>
      <c r="V67" s="1098" t="e">
        <f>'Stock Rawmaterial'!#REF!</f>
        <v>#REF!</v>
      </c>
      <c r="W67" s="631" t="e">
        <f>'Stock Rawmaterial'!#REF!</f>
        <v>#REF!</v>
      </c>
      <c r="X67" s="632" t="e">
        <f t="shared" si="15"/>
        <v>#REF!</v>
      </c>
      <c r="Y67" s="48"/>
      <c r="Z67" s="163"/>
      <c r="AA67" s="48"/>
      <c r="AB67" s="750"/>
      <c r="AC67" s="795"/>
      <c r="AD67" s="797"/>
      <c r="AE67" s="797"/>
      <c r="AF67" s="551"/>
      <c r="AG67" s="699"/>
      <c r="AH67" s="700"/>
      <c r="AI67" s="699"/>
      <c r="AJ67" s="699"/>
      <c r="AK67" s="551"/>
      <c r="AL67" s="551"/>
      <c r="AM67" s="551"/>
      <c r="AN67" s="551"/>
      <c r="AO67" s="551"/>
      <c r="AP67" s="551"/>
      <c r="AQ67" s="551"/>
      <c r="AR67" s="704"/>
      <c r="AS67" s="704"/>
      <c r="AT67" s="704"/>
      <c r="AU67" s="704"/>
      <c r="AV67" s="704"/>
      <c r="AW67" s="704"/>
      <c r="AX67" s="704"/>
      <c r="AY67" s="704"/>
      <c r="AZ67" s="704"/>
      <c r="BA67" s="704"/>
      <c r="BB67" s="704"/>
    </row>
    <row r="68" spans="1:54" s="265" customFormat="1" ht="30" customHeight="1" x14ac:dyDescent="0.25">
      <c r="A68" s="184"/>
      <c r="B68" s="184" t="s">
        <v>1127</v>
      </c>
      <c r="C68" s="575"/>
      <c r="D68" s="900"/>
      <c r="E68" s="901"/>
      <c r="F68" s="902"/>
      <c r="G68" s="353"/>
      <c r="H68" s="235">
        <f>+SUM(H65:H67)</f>
        <v>0</v>
      </c>
      <c r="I68" s="235" t="e">
        <f t="shared" ref="I68:X68" si="16">+SUM(I65:I67)</f>
        <v>#REF!</v>
      </c>
      <c r="J68" s="235">
        <f t="shared" si="16"/>
        <v>0</v>
      </c>
      <c r="K68" s="235" t="e">
        <f t="shared" si="16"/>
        <v>#REF!</v>
      </c>
      <c r="L68" s="235" t="e">
        <f t="shared" si="16"/>
        <v>#REF!</v>
      </c>
      <c r="M68" s="235" t="e">
        <f t="shared" si="16"/>
        <v>#REF!</v>
      </c>
      <c r="N68" s="235">
        <f t="shared" si="16"/>
        <v>0</v>
      </c>
      <c r="O68" s="235" t="e">
        <f t="shared" si="16"/>
        <v>#REF!</v>
      </c>
      <c r="P68" s="235" t="e">
        <f t="shared" si="16"/>
        <v>#REF!</v>
      </c>
      <c r="Q68" s="235" t="e">
        <f t="shared" si="16"/>
        <v>#REF!</v>
      </c>
      <c r="R68" s="235">
        <f t="shared" si="16"/>
        <v>0</v>
      </c>
      <c r="S68" s="235" t="e">
        <f t="shared" si="16"/>
        <v>#REF!</v>
      </c>
      <c r="T68" s="235">
        <f t="shared" si="16"/>
        <v>0</v>
      </c>
      <c r="U68" s="235" t="e">
        <f t="shared" si="16"/>
        <v>#REF!</v>
      </c>
      <c r="V68" s="235" t="e">
        <f t="shared" si="16"/>
        <v>#REF!</v>
      </c>
      <c r="W68" s="235" t="e">
        <f t="shared" si="16"/>
        <v>#REF!</v>
      </c>
      <c r="X68" s="235" t="e">
        <f t="shared" si="16"/>
        <v>#REF!</v>
      </c>
      <c r="Y68" s="59">
        <f>'Stock Rawmaterial'!M1401</f>
        <v>0</v>
      </c>
      <c r="Z68" s="366">
        <f>IFERROR(X68/Y68,0)</f>
        <v>0</v>
      </c>
      <c r="AA68" s="59">
        <f>'Stock Rawmaterial'!O1401</f>
        <v>0</v>
      </c>
      <c r="AB68" s="880">
        <f>IFERROR(X68/AA68,0)</f>
        <v>0</v>
      </c>
      <c r="AC68" s="795" t="s">
        <v>923</v>
      </c>
      <c r="AD68" s="797"/>
      <c r="AE68" s="797"/>
      <c r="AF68" s="551"/>
      <c r="AG68" s="699"/>
      <c r="AH68" s="700"/>
      <c r="AI68" s="699"/>
      <c r="AJ68" s="699"/>
      <c r="AK68" s="551"/>
      <c r="AL68" s="683"/>
      <c r="AM68" s="551"/>
      <c r="AN68" s="551"/>
      <c r="AO68" s="551"/>
      <c r="AP68" s="551"/>
      <c r="AQ68" s="551"/>
      <c r="AR68" s="704"/>
      <c r="AS68" s="704"/>
      <c r="AT68" s="704"/>
      <c r="AU68" s="704"/>
      <c r="AV68" s="704"/>
      <c r="AW68" s="704"/>
      <c r="AX68" s="704"/>
      <c r="AY68" s="704"/>
      <c r="AZ68" s="704"/>
      <c r="BA68" s="704"/>
      <c r="BB68" s="704"/>
    </row>
    <row r="69" spans="1:54" s="265" customFormat="1" ht="30" customHeight="1" x14ac:dyDescent="0.25">
      <c r="A69" s="2083" t="e">
        <f>IF(X72=0,"",MAX($A$14:A68)+1)</f>
        <v>#REF!</v>
      </c>
      <c r="B69" s="2075" t="s">
        <v>1139</v>
      </c>
      <c r="C69" s="574" t="str">
        <f>'Stock Rawmaterial'!C1404</f>
        <v>V9.1</v>
      </c>
      <c r="D69" s="881" t="s">
        <v>10</v>
      </c>
      <c r="E69" s="882">
        <f>'Stock Rawmaterial'!E1404</f>
        <v>44958</v>
      </c>
      <c r="F69" s="71">
        <f t="shared" ref="F69:F71" si="17">$X$7-E69</f>
        <v>1328</v>
      </c>
      <c r="G69" s="71" t="e">
        <f>'Stock Rawmaterial'!#REF!</f>
        <v>#REF!</v>
      </c>
      <c r="H69" s="626">
        <f>'Stock Rawmaterial'!G1404</f>
        <v>0</v>
      </c>
      <c r="I69" s="80" t="e">
        <f>'Stock Rawmaterial'!#REF!</f>
        <v>#REF!</v>
      </c>
      <c r="J69" s="80">
        <f>'Stock Rawmaterial'!H1404</f>
        <v>0</v>
      </c>
      <c r="K69" s="80" t="e">
        <f>'Stock Rawmaterial'!#REF!</f>
        <v>#REF!</v>
      </c>
      <c r="L69" s="80" t="e">
        <f>'Stock Rawmaterial'!#REF!</f>
        <v>#REF!</v>
      </c>
      <c r="M69" s="80" t="e">
        <f>'Stock Rawmaterial'!#REF!</f>
        <v>#REF!</v>
      </c>
      <c r="N69" s="80">
        <f>'Stock Rawmaterial'!I1404</f>
        <v>0</v>
      </c>
      <c r="O69" s="80" t="e">
        <f>'Stock Rawmaterial'!#REF!</f>
        <v>#REF!</v>
      </c>
      <c r="P69" s="80" t="e">
        <f>'Stock Rawmaterial'!#REF!</f>
        <v>#REF!</v>
      </c>
      <c r="Q69" s="80" t="e">
        <f>'Stock Rawmaterial'!#REF!</f>
        <v>#REF!</v>
      </c>
      <c r="R69" s="80">
        <f>'Stock Rawmaterial'!J1404</f>
        <v>0</v>
      </c>
      <c r="S69" s="80" t="e">
        <f>'Stock Rawmaterial'!#REF!</f>
        <v>#REF!</v>
      </c>
      <c r="T69" s="80">
        <f>'Stock Rawmaterial'!K1404</f>
        <v>0</v>
      </c>
      <c r="U69" s="80" t="e">
        <f>'Stock Rawmaterial'!#REF!</f>
        <v>#REF!</v>
      </c>
      <c r="V69" s="80" t="e">
        <f>'Stock Rawmaterial'!#REF!</f>
        <v>#REF!</v>
      </c>
      <c r="W69" s="80" t="e">
        <f>'Stock Rawmaterial'!#REF!</f>
        <v>#REF!</v>
      </c>
      <c r="X69" s="346" t="e">
        <f>+(H69+J69+L69+N69+P69)-(R69+T69+V69)</f>
        <v>#REF!</v>
      </c>
      <c r="Y69" s="48"/>
      <c r="Z69" s="163"/>
      <c r="AA69" s="48"/>
      <c r="AB69" s="750"/>
      <c r="AC69" s="795"/>
      <c r="AD69" s="797"/>
      <c r="AE69" s="797"/>
      <c r="AF69" s="551"/>
      <c r="AG69" s="699"/>
      <c r="AH69" s="700"/>
      <c r="AI69" s="699"/>
      <c r="AJ69" s="699"/>
      <c r="AK69" s="551"/>
      <c r="AL69" s="551"/>
      <c r="AM69" s="551"/>
      <c r="AN69" s="551"/>
      <c r="AO69" s="551"/>
      <c r="AP69" s="551"/>
      <c r="AQ69" s="551"/>
      <c r="AR69" s="704"/>
      <c r="AS69" s="704"/>
      <c r="AT69" s="704"/>
      <c r="AU69" s="704"/>
      <c r="AV69" s="704"/>
      <c r="AW69" s="704"/>
      <c r="AX69" s="704"/>
      <c r="AY69" s="704"/>
      <c r="AZ69" s="704"/>
      <c r="BA69" s="704"/>
      <c r="BB69" s="704"/>
    </row>
    <row r="70" spans="1:54" s="265" customFormat="1" ht="30" customHeight="1" x14ac:dyDescent="0.25">
      <c r="A70" s="2084"/>
      <c r="B70" s="2076"/>
      <c r="C70" s="574">
        <f>'Stock Rawmaterial'!C1405</f>
        <v>0</v>
      </c>
      <c r="D70" s="881" t="s">
        <v>10</v>
      </c>
      <c r="E70" s="882">
        <f>'Stock Rawmaterial'!E1405</f>
        <v>44958</v>
      </c>
      <c r="F70" s="71">
        <f t="shared" si="17"/>
        <v>1328</v>
      </c>
      <c r="G70" s="71" t="e">
        <f>'Stock Rawmaterial'!#REF!</f>
        <v>#REF!</v>
      </c>
      <c r="H70" s="626">
        <f>'Stock Rawmaterial'!G1405</f>
        <v>0</v>
      </c>
      <c r="I70" s="80" t="e">
        <f>'Stock Rawmaterial'!#REF!</f>
        <v>#REF!</v>
      </c>
      <c r="J70" s="80">
        <f>'Stock Rawmaterial'!H1405</f>
        <v>0</v>
      </c>
      <c r="K70" s="80" t="e">
        <f>'Stock Rawmaterial'!#REF!</f>
        <v>#REF!</v>
      </c>
      <c r="L70" s="80" t="e">
        <f>'Stock Rawmaterial'!#REF!</f>
        <v>#REF!</v>
      </c>
      <c r="M70" s="80" t="e">
        <f>'Stock Rawmaterial'!#REF!</f>
        <v>#REF!</v>
      </c>
      <c r="N70" s="80">
        <f>'Stock Rawmaterial'!I1405</f>
        <v>0</v>
      </c>
      <c r="O70" s="80" t="e">
        <f>'Stock Rawmaterial'!#REF!</f>
        <v>#REF!</v>
      </c>
      <c r="P70" s="80" t="e">
        <f>'Stock Rawmaterial'!#REF!</f>
        <v>#REF!</v>
      </c>
      <c r="Q70" s="80" t="e">
        <f>'Stock Rawmaterial'!#REF!</f>
        <v>#REF!</v>
      </c>
      <c r="R70" s="80">
        <f>'Stock Rawmaterial'!J1405</f>
        <v>0</v>
      </c>
      <c r="S70" s="80" t="e">
        <f>'Stock Rawmaterial'!#REF!</f>
        <v>#REF!</v>
      </c>
      <c r="T70" s="80">
        <f>'Stock Rawmaterial'!K1405</f>
        <v>0</v>
      </c>
      <c r="U70" s="80" t="e">
        <f>'Stock Rawmaterial'!#REF!</f>
        <v>#REF!</v>
      </c>
      <c r="V70" s="80" t="e">
        <f>'Stock Rawmaterial'!#REF!</f>
        <v>#REF!</v>
      </c>
      <c r="W70" s="80" t="e">
        <f>'Stock Rawmaterial'!#REF!</f>
        <v>#REF!</v>
      </c>
      <c r="X70" s="346" t="e">
        <f t="shared" ref="X70:X71" si="18">+(H70+J70+L70+N70+P70)-(R70+T70+V70)</f>
        <v>#REF!</v>
      </c>
      <c r="Y70" s="48"/>
      <c r="Z70" s="163"/>
      <c r="AA70" s="48"/>
      <c r="AB70" s="750"/>
      <c r="AC70" s="795"/>
      <c r="AD70" s="797"/>
      <c r="AE70" s="797"/>
      <c r="AF70" s="551"/>
      <c r="AG70" s="699"/>
      <c r="AH70" s="700"/>
      <c r="AI70" s="699"/>
      <c r="AJ70" s="699"/>
      <c r="AK70" s="551"/>
      <c r="AL70" s="551"/>
      <c r="AM70" s="551"/>
      <c r="AN70" s="551"/>
      <c r="AO70" s="551"/>
      <c r="AP70" s="551"/>
      <c r="AQ70" s="551"/>
      <c r="AR70" s="704"/>
      <c r="AS70" s="704"/>
      <c r="AT70" s="704"/>
      <c r="AU70" s="704"/>
      <c r="AV70" s="704"/>
      <c r="AW70" s="704"/>
      <c r="AX70" s="704"/>
      <c r="AY70" s="704"/>
      <c r="AZ70" s="704"/>
      <c r="BA70" s="704"/>
      <c r="BB70" s="704"/>
    </row>
    <row r="71" spans="1:54" s="265" customFormat="1" ht="30" customHeight="1" x14ac:dyDescent="0.25">
      <c r="A71" s="2084"/>
      <c r="B71" s="2076"/>
      <c r="C71" s="1092" t="str">
        <f>'Stock Rawmaterial'!C1406</f>
        <v>Feedmil</v>
      </c>
      <c r="D71" s="1093" t="s">
        <v>10</v>
      </c>
      <c r="E71" s="1094">
        <f>'Stock Rawmaterial'!E1406</f>
        <v>44958</v>
      </c>
      <c r="F71" s="1095">
        <f t="shared" si="17"/>
        <v>1328</v>
      </c>
      <c r="G71" s="1095" t="e">
        <f>'Stock Rawmaterial'!#REF!</f>
        <v>#REF!</v>
      </c>
      <c r="H71" s="626">
        <f>'Stock Rawmaterial'!G1406</f>
        <v>0</v>
      </c>
      <c r="I71" s="1096" t="e">
        <f>'Stock Rawmaterial'!#REF!</f>
        <v>#REF!</v>
      </c>
      <c r="J71" s="626">
        <f>'Stock Rawmaterial'!H1406</f>
        <v>0</v>
      </c>
      <c r="K71" s="626" t="e">
        <f>'Stock Rawmaterial'!#REF!</f>
        <v>#REF!</v>
      </c>
      <c r="L71" s="626" t="e">
        <f>'Stock Rawmaterial'!#REF!</f>
        <v>#REF!</v>
      </c>
      <c r="M71" s="627" t="e">
        <f>'Stock Rawmaterial'!#REF!</f>
        <v>#REF!</v>
      </c>
      <c r="N71" s="628">
        <f>'Stock Rawmaterial'!I1406</f>
        <v>0</v>
      </c>
      <c r="O71" s="628" t="e">
        <f>'Stock Rawmaterial'!#REF!</f>
        <v>#REF!</v>
      </c>
      <c r="P71" s="628" t="e">
        <f>'Stock Rawmaterial'!#REF!</f>
        <v>#REF!</v>
      </c>
      <c r="Q71" s="629" t="e">
        <f>'Stock Rawmaterial'!#REF!</f>
        <v>#REF!</v>
      </c>
      <c r="R71" s="630">
        <f>'Stock Rawmaterial'!J1406</f>
        <v>0</v>
      </c>
      <c r="S71" s="629" t="e">
        <f>'Stock Rawmaterial'!#REF!</f>
        <v>#REF!</v>
      </c>
      <c r="T71" s="628">
        <f>'Stock Rawmaterial'!K1406</f>
        <v>0</v>
      </c>
      <c r="U71" s="1097" t="e">
        <f>'Stock Rawmaterial'!#REF!</f>
        <v>#REF!</v>
      </c>
      <c r="V71" s="1098" t="e">
        <f>'Stock Rawmaterial'!#REF!</f>
        <v>#REF!</v>
      </c>
      <c r="W71" s="631" t="e">
        <f>'Stock Rawmaterial'!#REF!</f>
        <v>#REF!</v>
      </c>
      <c r="X71" s="632" t="e">
        <f t="shared" si="18"/>
        <v>#REF!</v>
      </c>
      <c r="Y71" s="48"/>
      <c r="Z71" s="163"/>
      <c r="AA71" s="48"/>
      <c r="AB71" s="750"/>
      <c r="AC71" s="795"/>
      <c r="AD71" s="797"/>
      <c r="AE71" s="797"/>
      <c r="AF71" s="551"/>
      <c r="AG71" s="699"/>
      <c r="AH71" s="700"/>
      <c r="AI71" s="699"/>
      <c r="AJ71" s="699"/>
      <c r="AK71" s="551"/>
      <c r="AL71" s="551"/>
      <c r="AM71" s="551"/>
      <c r="AN71" s="551"/>
      <c r="AO71" s="551"/>
      <c r="AP71" s="551"/>
      <c r="AQ71" s="551"/>
      <c r="AR71" s="704"/>
      <c r="AS71" s="704"/>
      <c r="AT71" s="704"/>
      <c r="AU71" s="704"/>
      <c r="AV71" s="704"/>
      <c r="AW71" s="704"/>
      <c r="AX71" s="704"/>
      <c r="AY71" s="704"/>
      <c r="AZ71" s="704"/>
      <c r="BA71" s="704"/>
      <c r="BB71" s="704"/>
    </row>
    <row r="72" spans="1:54" s="265" customFormat="1" ht="30" customHeight="1" x14ac:dyDescent="0.25">
      <c r="A72" s="184"/>
      <c r="B72" s="184" t="s">
        <v>1127</v>
      </c>
      <c r="C72" s="575"/>
      <c r="D72" s="900"/>
      <c r="E72" s="901"/>
      <c r="F72" s="902"/>
      <c r="G72" s="353"/>
      <c r="H72" s="235">
        <f>+SUM(H69:H71)</f>
        <v>0</v>
      </c>
      <c r="I72" s="235" t="e">
        <f t="shared" ref="I72:X72" si="19">+SUM(I69:I71)</f>
        <v>#REF!</v>
      </c>
      <c r="J72" s="235">
        <f t="shared" si="19"/>
        <v>0</v>
      </c>
      <c r="K72" s="235" t="e">
        <f t="shared" si="19"/>
        <v>#REF!</v>
      </c>
      <c r="L72" s="235" t="e">
        <f t="shared" si="19"/>
        <v>#REF!</v>
      </c>
      <c r="M72" s="235" t="e">
        <f t="shared" si="19"/>
        <v>#REF!</v>
      </c>
      <c r="N72" s="235">
        <f t="shared" si="19"/>
        <v>0</v>
      </c>
      <c r="O72" s="235" t="e">
        <f t="shared" si="19"/>
        <v>#REF!</v>
      </c>
      <c r="P72" s="235" t="e">
        <f t="shared" si="19"/>
        <v>#REF!</v>
      </c>
      <c r="Q72" s="235" t="e">
        <f t="shared" si="19"/>
        <v>#REF!</v>
      </c>
      <c r="R72" s="235">
        <f t="shared" si="19"/>
        <v>0</v>
      </c>
      <c r="S72" s="235" t="e">
        <f t="shared" si="19"/>
        <v>#REF!</v>
      </c>
      <c r="T72" s="235">
        <f t="shared" si="19"/>
        <v>0</v>
      </c>
      <c r="U72" s="235" t="e">
        <f t="shared" si="19"/>
        <v>#REF!</v>
      </c>
      <c r="V72" s="235" t="e">
        <f t="shared" si="19"/>
        <v>#REF!</v>
      </c>
      <c r="W72" s="235" t="e">
        <f t="shared" si="19"/>
        <v>#REF!</v>
      </c>
      <c r="X72" s="235" t="e">
        <f t="shared" si="19"/>
        <v>#REF!</v>
      </c>
      <c r="Y72" s="59">
        <f>'Stock Rawmaterial'!M1405</f>
        <v>0</v>
      </c>
      <c r="Z72" s="366">
        <f>IFERROR(X72/Y72,0)</f>
        <v>0</v>
      </c>
      <c r="AA72" s="59">
        <f>'Stock Rawmaterial'!O1405</f>
        <v>0</v>
      </c>
      <c r="AB72" s="880">
        <f>IFERROR(X72/AA72,0)</f>
        <v>0</v>
      </c>
      <c r="AC72" s="795" t="s">
        <v>923</v>
      </c>
      <c r="AD72" s="797"/>
      <c r="AE72" s="797"/>
      <c r="AF72" s="551"/>
      <c r="AG72" s="699"/>
      <c r="AH72" s="700"/>
      <c r="AI72" s="699"/>
      <c r="AJ72" s="699"/>
      <c r="AK72" s="551"/>
      <c r="AL72" s="683"/>
      <c r="AM72" s="551"/>
      <c r="AN72" s="551"/>
      <c r="AO72" s="551"/>
      <c r="AP72" s="551"/>
      <c r="AQ72" s="551"/>
      <c r="AR72" s="704"/>
      <c r="AS72" s="704"/>
      <c r="AT72" s="704"/>
      <c r="AU72" s="704"/>
      <c r="AV72" s="704"/>
      <c r="AW72" s="704"/>
      <c r="AX72" s="704"/>
      <c r="AY72" s="704"/>
      <c r="AZ72" s="704"/>
      <c r="BA72" s="704"/>
      <c r="BB72" s="704"/>
    </row>
    <row r="73" spans="1:54" s="265" customFormat="1" ht="30" customHeight="1" x14ac:dyDescent="0.25">
      <c r="A73" s="2083" t="e">
        <f>IF(X76=0,"",MAX($A$14:A72)+1)</f>
        <v>#REF!</v>
      </c>
      <c r="B73" s="2075" t="s">
        <v>1156</v>
      </c>
      <c r="C73" s="574">
        <f>'Stock Rawmaterial'!C1408</f>
        <v>0</v>
      </c>
      <c r="D73" s="881" t="s">
        <v>10</v>
      </c>
      <c r="E73" s="882">
        <f>'Stock Rawmaterial'!E1408</f>
        <v>44664</v>
      </c>
      <c r="F73" s="71">
        <f t="shared" ref="F73:F75" si="20">$X$7-E73</f>
        <v>1622</v>
      </c>
      <c r="G73" s="71" t="e">
        <f>'Stock Rawmaterial'!#REF!</f>
        <v>#REF!</v>
      </c>
      <c r="H73" s="80">
        <f>'Stock Rawmaterial'!G1408</f>
        <v>0</v>
      </c>
      <c r="I73" s="80" t="e">
        <f>'Stock Rawmaterial'!#REF!</f>
        <v>#REF!</v>
      </c>
      <c r="J73" s="80">
        <f>'Stock Rawmaterial'!H1408</f>
        <v>0</v>
      </c>
      <c r="K73" s="80" t="e">
        <f>'Stock Rawmaterial'!#REF!</f>
        <v>#REF!</v>
      </c>
      <c r="L73" s="80" t="e">
        <f>'Stock Rawmaterial'!#REF!</f>
        <v>#REF!</v>
      </c>
      <c r="M73" s="80" t="e">
        <f>'Stock Rawmaterial'!#REF!</f>
        <v>#REF!</v>
      </c>
      <c r="N73" s="80">
        <f>'Stock Rawmaterial'!I1408</f>
        <v>0</v>
      </c>
      <c r="O73" s="80" t="e">
        <f>'Stock Rawmaterial'!#REF!</f>
        <v>#REF!</v>
      </c>
      <c r="P73" s="80" t="e">
        <f>'Stock Rawmaterial'!#REF!</f>
        <v>#REF!</v>
      </c>
      <c r="Q73" s="80" t="e">
        <f>'Stock Rawmaterial'!#REF!</f>
        <v>#REF!</v>
      </c>
      <c r="R73" s="80">
        <f>'Stock Rawmaterial'!J1408</f>
        <v>0</v>
      </c>
      <c r="S73" s="80" t="e">
        <f>'Stock Rawmaterial'!#REF!</f>
        <v>#REF!</v>
      </c>
      <c r="T73" s="80">
        <f>'Stock Rawmaterial'!K1408</f>
        <v>0</v>
      </c>
      <c r="U73" s="80" t="e">
        <f>'Stock Rawmaterial'!#REF!</f>
        <v>#REF!</v>
      </c>
      <c r="V73" s="80" t="e">
        <f>'Stock Rawmaterial'!#REF!</f>
        <v>#REF!</v>
      </c>
      <c r="W73" s="80" t="e">
        <f>'Stock Rawmaterial'!#REF!</f>
        <v>#REF!</v>
      </c>
      <c r="X73" s="346" t="e">
        <f>+(H73+J73+L73+N73+P73)-(R73+T73+V73)</f>
        <v>#REF!</v>
      </c>
      <c r="Y73" s="48"/>
      <c r="Z73" s="163"/>
      <c r="AA73" s="48"/>
      <c r="AB73" s="750"/>
      <c r="AC73" s="795"/>
      <c r="AD73" s="797"/>
      <c r="AE73" s="797"/>
      <c r="AF73" s="551"/>
      <c r="AG73" s="699"/>
      <c r="AH73" s="700"/>
      <c r="AI73" s="699"/>
      <c r="AJ73" s="699"/>
      <c r="AK73" s="551"/>
      <c r="AL73" s="551"/>
      <c r="AM73" s="551"/>
      <c r="AN73" s="551"/>
      <c r="AO73" s="551"/>
      <c r="AP73" s="551"/>
      <c r="AQ73" s="551"/>
      <c r="AR73" s="704"/>
      <c r="AS73" s="704"/>
      <c r="AT73" s="704"/>
      <c r="AU73" s="704"/>
      <c r="AV73" s="704"/>
      <c r="AW73" s="704"/>
      <c r="AX73" s="704"/>
      <c r="AY73" s="704"/>
      <c r="AZ73" s="704"/>
      <c r="BA73" s="704"/>
      <c r="BB73" s="704"/>
    </row>
    <row r="74" spans="1:54" s="265" customFormat="1" ht="30" customHeight="1" x14ac:dyDescent="0.25">
      <c r="A74" s="2084"/>
      <c r="B74" s="2076"/>
      <c r="C74" s="574">
        <f>'Stock Rawmaterial'!C1409</f>
        <v>0</v>
      </c>
      <c r="D74" s="881" t="s">
        <v>10</v>
      </c>
      <c r="E74" s="882">
        <f>'Stock Rawmaterial'!E1409</f>
        <v>44566</v>
      </c>
      <c r="F74" s="71">
        <f t="shared" si="20"/>
        <v>1720</v>
      </c>
      <c r="G74" s="71" t="e">
        <f>'Stock Rawmaterial'!#REF!</f>
        <v>#REF!</v>
      </c>
      <c r="H74" s="80">
        <f>'Stock Rawmaterial'!G1409</f>
        <v>0</v>
      </c>
      <c r="I74" s="80" t="e">
        <f>'Stock Rawmaterial'!#REF!</f>
        <v>#REF!</v>
      </c>
      <c r="J74" s="80">
        <f>'Stock Rawmaterial'!H1409</f>
        <v>0</v>
      </c>
      <c r="K74" s="80" t="e">
        <f>'Stock Rawmaterial'!#REF!</f>
        <v>#REF!</v>
      </c>
      <c r="L74" s="80" t="e">
        <f>'Stock Rawmaterial'!#REF!</f>
        <v>#REF!</v>
      </c>
      <c r="M74" s="80" t="e">
        <f>'Stock Rawmaterial'!#REF!</f>
        <v>#REF!</v>
      </c>
      <c r="N74" s="80">
        <f>'Stock Rawmaterial'!I1409</f>
        <v>0</v>
      </c>
      <c r="O74" s="80" t="e">
        <f>'Stock Rawmaterial'!#REF!</f>
        <v>#REF!</v>
      </c>
      <c r="P74" s="80" t="e">
        <f>'Stock Rawmaterial'!#REF!</f>
        <v>#REF!</v>
      </c>
      <c r="Q74" s="80" t="e">
        <f>'Stock Rawmaterial'!#REF!</f>
        <v>#REF!</v>
      </c>
      <c r="R74" s="80">
        <f>'Stock Rawmaterial'!J1409</f>
        <v>0</v>
      </c>
      <c r="S74" s="80" t="e">
        <f>'Stock Rawmaterial'!#REF!</f>
        <v>#REF!</v>
      </c>
      <c r="T74" s="80">
        <f>'Stock Rawmaterial'!K1409</f>
        <v>0</v>
      </c>
      <c r="U74" s="80" t="e">
        <f>'Stock Rawmaterial'!#REF!</f>
        <v>#REF!</v>
      </c>
      <c r="V74" s="80" t="e">
        <f>'Stock Rawmaterial'!#REF!</f>
        <v>#REF!</v>
      </c>
      <c r="W74" s="80" t="e">
        <f>'Stock Rawmaterial'!#REF!</f>
        <v>#REF!</v>
      </c>
      <c r="X74" s="346" t="e">
        <f t="shared" ref="X74:X75" si="21">+(H74+J74+L74+N74+P74)-(R74+T74+V74)</f>
        <v>#REF!</v>
      </c>
      <c r="Y74" s="48"/>
      <c r="Z74" s="163"/>
      <c r="AA74" s="48"/>
      <c r="AB74" s="750"/>
      <c r="AC74" s="795"/>
      <c r="AD74" s="797"/>
      <c r="AE74" s="797"/>
      <c r="AF74" s="551"/>
      <c r="AG74" s="699"/>
      <c r="AH74" s="700"/>
      <c r="AI74" s="699"/>
      <c r="AJ74" s="699"/>
      <c r="AK74" s="551"/>
      <c r="AL74" s="551"/>
      <c r="AM74" s="551"/>
      <c r="AN74" s="551"/>
      <c r="AO74" s="551"/>
      <c r="AP74" s="551"/>
      <c r="AQ74" s="551"/>
      <c r="AR74" s="704"/>
      <c r="AS74" s="704"/>
      <c r="AT74" s="704"/>
      <c r="AU74" s="704"/>
      <c r="AV74" s="704"/>
      <c r="AW74" s="704"/>
      <c r="AX74" s="704"/>
      <c r="AY74" s="704"/>
      <c r="AZ74" s="704"/>
      <c r="BA74" s="704"/>
      <c r="BB74" s="704"/>
    </row>
    <row r="75" spans="1:54" s="265" customFormat="1" ht="30" customHeight="1" x14ac:dyDescent="0.25">
      <c r="A75" s="2084"/>
      <c r="B75" s="2076"/>
      <c r="C75" s="1092" t="str">
        <f>'Stock Rawmaterial'!C1410</f>
        <v>Feedmil</v>
      </c>
      <c r="D75" s="1093" t="s">
        <v>10</v>
      </c>
      <c r="E75" s="1094">
        <f>'Stock Rawmaterial'!E1410</f>
        <v>44664</v>
      </c>
      <c r="F75" s="1095">
        <f t="shared" si="20"/>
        <v>1622</v>
      </c>
      <c r="G75" s="1095" t="e">
        <f>'Stock Rawmaterial'!#REF!</f>
        <v>#REF!</v>
      </c>
      <c r="H75" s="626">
        <f>'Stock Rawmaterial'!G1410</f>
        <v>0</v>
      </c>
      <c r="I75" s="1096" t="e">
        <f>'Stock Rawmaterial'!#REF!</f>
        <v>#REF!</v>
      </c>
      <c r="J75" s="626">
        <f>'Stock Rawmaterial'!H1410</f>
        <v>0</v>
      </c>
      <c r="K75" s="626" t="e">
        <f>'Stock Rawmaterial'!#REF!</f>
        <v>#REF!</v>
      </c>
      <c r="L75" s="626" t="e">
        <f>'Stock Rawmaterial'!#REF!</f>
        <v>#REF!</v>
      </c>
      <c r="M75" s="627" t="e">
        <f>'Stock Rawmaterial'!#REF!</f>
        <v>#REF!</v>
      </c>
      <c r="N75" s="628">
        <f>'Stock Rawmaterial'!I1410</f>
        <v>0</v>
      </c>
      <c r="O75" s="628" t="e">
        <f>'Stock Rawmaterial'!#REF!</f>
        <v>#REF!</v>
      </c>
      <c r="P75" s="628" t="e">
        <f>'Stock Rawmaterial'!#REF!</f>
        <v>#REF!</v>
      </c>
      <c r="Q75" s="629" t="e">
        <f>'Stock Rawmaterial'!#REF!</f>
        <v>#REF!</v>
      </c>
      <c r="R75" s="630">
        <f>'Stock Rawmaterial'!J1410</f>
        <v>0</v>
      </c>
      <c r="S75" s="629" t="e">
        <f>'Stock Rawmaterial'!#REF!</f>
        <v>#REF!</v>
      </c>
      <c r="T75" s="628">
        <f>'Stock Rawmaterial'!K1410</f>
        <v>0</v>
      </c>
      <c r="U75" s="1097" t="e">
        <f>'Stock Rawmaterial'!#REF!</f>
        <v>#REF!</v>
      </c>
      <c r="V75" s="1098" t="e">
        <f>'Stock Rawmaterial'!#REF!</f>
        <v>#REF!</v>
      </c>
      <c r="W75" s="631" t="e">
        <f>'Stock Rawmaterial'!#REF!</f>
        <v>#REF!</v>
      </c>
      <c r="X75" s="632" t="e">
        <f t="shared" si="21"/>
        <v>#REF!</v>
      </c>
      <c r="Y75" s="48"/>
      <c r="Z75" s="163"/>
      <c r="AA75" s="48"/>
      <c r="AB75" s="750"/>
      <c r="AC75" s="795"/>
      <c r="AD75" s="797"/>
      <c r="AE75" s="797"/>
      <c r="AF75" s="551"/>
      <c r="AG75" s="699"/>
      <c r="AH75" s="700"/>
      <c r="AI75" s="699"/>
      <c r="AJ75" s="699"/>
      <c r="AK75" s="551"/>
      <c r="AL75" s="551"/>
      <c r="AM75" s="551"/>
      <c r="AN75" s="551"/>
      <c r="AO75" s="551"/>
      <c r="AP75" s="551"/>
      <c r="AQ75" s="551"/>
      <c r="AR75" s="704"/>
      <c r="AS75" s="704"/>
      <c r="AT75" s="704"/>
      <c r="AU75" s="704"/>
      <c r="AV75" s="704"/>
      <c r="AW75" s="704"/>
      <c r="AX75" s="704"/>
      <c r="AY75" s="704"/>
      <c r="AZ75" s="704"/>
      <c r="BA75" s="704"/>
      <c r="BB75" s="704"/>
    </row>
    <row r="76" spans="1:54" s="265" customFormat="1" ht="30" customHeight="1" x14ac:dyDescent="0.25">
      <c r="A76" s="184"/>
      <c r="B76" s="184" t="s">
        <v>1158</v>
      </c>
      <c r="C76" s="575"/>
      <c r="D76" s="900"/>
      <c r="E76" s="901"/>
      <c r="F76" s="902"/>
      <c r="G76" s="353"/>
      <c r="H76" s="235">
        <f>+SUM(H73:H75)</f>
        <v>0</v>
      </c>
      <c r="I76" s="235" t="e">
        <f t="shared" ref="I76:X76" si="22">+SUM(I73:I75)</f>
        <v>#REF!</v>
      </c>
      <c r="J76" s="235">
        <f t="shared" si="22"/>
        <v>0</v>
      </c>
      <c r="K76" s="235" t="e">
        <f t="shared" si="22"/>
        <v>#REF!</v>
      </c>
      <c r="L76" s="235" t="e">
        <f t="shared" si="22"/>
        <v>#REF!</v>
      </c>
      <c r="M76" s="235" t="e">
        <f t="shared" si="22"/>
        <v>#REF!</v>
      </c>
      <c r="N76" s="235">
        <f t="shared" si="22"/>
        <v>0</v>
      </c>
      <c r="O76" s="235" t="e">
        <f t="shared" si="22"/>
        <v>#REF!</v>
      </c>
      <c r="P76" s="235" t="e">
        <f t="shared" si="22"/>
        <v>#REF!</v>
      </c>
      <c r="Q76" s="235" t="e">
        <f t="shared" si="22"/>
        <v>#REF!</v>
      </c>
      <c r="R76" s="235">
        <f t="shared" si="22"/>
        <v>0</v>
      </c>
      <c r="S76" s="235" t="e">
        <f t="shared" si="22"/>
        <v>#REF!</v>
      </c>
      <c r="T76" s="235">
        <f t="shared" si="22"/>
        <v>0</v>
      </c>
      <c r="U76" s="235" t="e">
        <f t="shared" si="22"/>
        <v>#REF!</v>
      </c>
      <c r="V76" s="235" t="e">
        <f t="shared" si="22"/>
        <v>#REF!</v>
      </c>
      <c r="W76" s="235" t="e">
        <f t="shared" si="22"/>
        <v>#REF!</v>
      </c>
      <c r="X76" s="235" t="e">
        <f t="shared" si="22"/>
        <v>#REF!</v>
      </c>
      <c r="Y76" s="59">
        <f>'Stock Rawmaterial'!M1409</f>
        <v>0</v>
      </c>
      <c r="Z76" s="366">
        <f>IFERROR(X76/Y76,0)</f>
        <v>0</v>
      </c>
      <c r="AA76" s="59">
        <f>'Stock Rawmaterial'!O1409</f>
        <v>0</v>
      </c>
      <c r="AB76" s="880">
        <f>IFERROR(X76/AA76,0)</f>
        <v>0</v>
      </c>
      <c r="AC76" s="795" t="s">
        <v>923</v>
      </c>
      <c r="AD76" s="797"/>
      <c r="AE76" s="797"/>
      <c r="AF76" s="551"/>
      <c r="AG76" s="699"/>
      <c r="AH76" s="700"/>
      <c r="AI76" s="699"/>
      <c r="AJ76" s="699"/>
      <c r="AK76" s="551"/>
      <c r="AL76" s="683"/>
      <c r="AM76" s="551"/>
      <c r="AN76" s="551"/>
      <c r="AO76" s="551"/>
      <c r="AP76" s="551"/>
      <c r="AQ76" s="551"/>
      <c r="AR76" s="704"/>
      <c r="AS76" s="704"/>
      <c r="AT76" s="704"/>
      <c r="AU76" s="704"/>
      <c r="AV76" s="704"/>
      <c r="AW76" s="704"/>
      <c r="AX76" s="704"/>
      <c r="AY76" s="704"/>
      <c r="AZ76" s="704"/>
      <c r="BA76" s="704"/>
      <c r="BB76" s="704"/>
    </row>
    <row r="77" spans="1:54" s="265" customFormat="1" ht="30" customHeight="1" x14ac:dyDescent="0.25">
      <c r="A77" s="2083" t="e">
        <f>IF(X80=0,"",MAX($A$14:A76)+1)</f>
        <v>#REF!</v>
      </c>
      <c r="B77" s="2075" t="s">
        <v>1179</v>
      </c>
      <c r="C77" s="574">
        <f>'Stock Rawmaterial'!C1412</f>
        <v>0</v>
      </c>
      <c r="D77" s="881" t="s">
        <v>10</v>
      </c>
      <c r="E77" s="882">
        <f>'Stock Rawmaterial'!E1412</f>
        <v>44761</v>
      </c>
      <c r="F77" s="71">
        <f t="shared" ref="F77:F79" si="23">$X$7-E77</f>
        <v>1525</v>
      </c>
      <c r="G77" s="71" t="e">
        <f>'Stock Rawmaterial'!#REF!</f>
        <v>#REF!</v>
      </c>
      <c r="H77" s="80">
        <f>'Stock Rawmaterial'!G1412</f>
        <v>0</v>
      </c>
      <c r="I77" s="80" t="e">
        <f>'Stock Rawmaterial'!#REF!</f>
        <v>#REF!</v>
      </c>
      <c r="J77" s="80">
        <f>'Stock Rawmaterial'!H1412</f>
        <v>0</v>
      </c>
      <c r="K77" s="80" t="e">
        <f>'Stock Rawmaterial'!#REF!</f>
        <v>#REF!</v>
      </c>
      <c r="L77" s="80" t="e">
        <f>'Stock Rawmaterial'!#REF!</f>
        <v>#REF!</v>
      </c>
      <c r="M77" s="80" t="e">
        <f>'Stock Rawmaterial'!#REF!</f>
        <v>#REF!</v>
      </c>
      <c r="N77" s="80">
        <f>'Stock Rawmaterial'!I1412</f>
        <v>0</v>
      </c>
      <c r="O77" s="80" t="e">
        <f>'Stock Rawmaterial'!#REF!</f>
        <v>#REF!</v>
      </c>
      <c r="P77" s="80" t="e">
        <f>'Stock Rawmaterial'!#REF!</f>
        <v>#REF!</v>
      </c>
      <c r="Q77" s="80" t="e">
        <f>'Stock Rawmaterial'!#REF!</f>
        <v>#REF!</v>
      </c>
      <c r="R77" s="80">
        <f>'Stock Rawmaterial'!J1412</f>
        <v>0</v>
      </c>
      <c r="S77" s="80" t="e">
        <f>'Stock Rawmaterial'!#REF!</f>
        <v>#REF!</v>
      </c>
      <c r="T77" s="80">
        <f>'Stock Rawmaterial'!K1412</f>
        <v>0</v>
      </c>
      <c r="U77" s="80" t="e">
        <f>'Stock Rawmaterial'!#REF!</f>
        <v>#REF!</v>
      </c>
      <c r="V77" s="80" t="e">
        <f>'Stock Rawmaterial'!#REF!</f>
        <v>#REF!</v>
      </c>
      <c r="W77" s="80" t="e">
        <f>'Stock Rawmaterial'!#REF!</f>
        <v>#REF!</v>
      </c>
      <c r="X77" s="346" t="e">
        <f>+(H77+J77+L77+N77+P77)-(R77+T77+V77)</f>
        <v>#REF!</v>
      </c>
      <c r="Y77" s="48"/>
      <c r="Z77" s="163"/>
      <c r="AA77" s="48"/>
      <c r="AB77" s="750"/>
      <c r="AC77" s="795"/>
      <c r="AD77" s="797"/>
      <c r="AE77" s="797"/>
      <c r="AF77" s="551"/>
      <c r="AG77" s="699"/>
      <c r="AH77" s="700"/>
      <c r="AI77" s="699"/>
      <c r="AJ77" s="699"/>
      <c r="AK77" s="551"/>
      <c r="AL77" s="551"/>
      <c r="AM77" s="551"/>
      <c r="AN77" s="551"/>
      <c r="AO77" s="551"/>
      <c r="AP77" s="551"/>
      <c r="AQ77" s="551"/>
      <c r="AR77" s="704"/>
      <c r="AS77" s="704"/>
      <c r="AT77" s="704"/>
      <c r="AU77" s="704"/>
      <c r="AV77" s="704"/>
      <c r="AW77" s="704"/>
      <c r="AX77" s="704"/>
      <c r="AY77" s="704"/>
      <c r="AZ77" s="704"/>
      <c r="BA77" s="704"/>
      <c r="BB77" s="704"/>
    </row>
    <row r="78" spans="1:54" s="265" customFormat="1" ht="30" customHeight="1" x14ac:dyDescent="0.25">
      <c r="A78" s="2084"/>
      <c r="B78" s="2076"/>
      <c r="C78" s="574">
        <f>'Stock Rawmaterial'!C1413</f>
        <v>0</v>
      </c>
      <c r="D78" s="881" t="s">
        <v>10</v>
      </c>
      <c r="E78" s="882">
        <f>'Stock Rawmaterial'!E1413</f>
        <v>44566</v>
      </c>
      <c r="F78" s="71">
        <f t="shared" si="23"/>
        <v>1720</v>
      </c>
      <c r="G78" s="71" t="e">
        <f>'Stock Rawmaterial'!#REF!</f>
        <v>#REF!</v>
      </c>
      <c r="H78" s="80">
        <f>'Stock Rawmaterial'!G1413</f>
        <v>0</v>
      </c>
      <c r="I78" s="80" t="e">
        <f>'Stock Rawmaterial'!#REF!</f>
        <v>#REF!</v>
      </c>
      <c r="J78" s="80">
        <f>'Stock Rawmaterial'!H1413</f>
        <v>0</v>
      </c>
      <c r="K78" s="80" t="e">
        <f>'Stock Rawmaterial'!#REF!</f>
        <v>#REF!</v>
      </c>
      <c r="L78" s="80" t="e">
        <f>'Stock Rawmaterial'!#REF!</f>
        <v>#REF!</v>
      </c>
      <c r="M78" s="80" t="e">
        <f>'Stock Rawmaterial'!#REF!</f>
        <v>#REF!</v>
      </c>
      <c r="N78" s="80">
        <f>'Stock Rawmaterial'!I1413</f>
        <v>0</v>
      </c>
      <c r="O78" s="80" t="e">
        <f>'Stock Rawmaterial'!#REF!</f>
        <v>#REF!</v>
      </c>
      <c r="P78" s="80" t="e">
        <f>'Stock Rawmaterial'!#REF!</f>
        <v>#REF!</v>
      </c>
      <c r="Q78" s="80" t="e">
        <f>'Stock Rawmaterial'!#REF!</f>
        <v>#REF!</v>
      </c>
      <c r="R78" s="80">
        <f>'Stock Rawmaterial'!J1413</f>
        <v>0</v>
      </c>
      <c r="S78" s="80" t="e">
        <f>'Stock Rawmaterial'!#REF!</f>
        <v>#REF!</v>
      </c>
      <c r="T78" s="80">
        <f>'Stock Rawmaterial'!K1413</f>
        <v>0</v>
      </c>
      <c r="U78" s="80" t="e">
        <f>'Stock Rawmaterial'!#REF!</f>
        <v>#REF!</v>
      </c>
      <c r="V78" s="80" t="e">
        <f>'Stock Rawmaterial'!#REF!</f>
        <v>#REF!</v>
      </c>
      <c r="W78" s="80" t="e">
        <f>'Stock Rawmaterial'!#REF!</f>
        <v>#REF!</v>
      </c>
      <c r="X78" s="346" t="e">
        <f t="shared" ref="X78:X79" si="24">+(H78+J78+L78+N78+P78)-(R78+T78+V78)</f>
        <v>#REF!</v>
      </c>
      <c r="Y78" s="48"/>
      <c r="Z78" s="163"/>
      <c r="AA78" s="48"/>
      <c r="AB78" s="750"/>
      <c r="AC78" s="795"/>
      <c r="AD78" s="797"/>
      <c r="AE78" s="797"/>
      <c r="AF78" s="551"/>
      <c r="AG78" s="699"/>
      <c r="AH78" s="700"/>
      <c r="AI78" s="699"/>
      <c r="AJ78" s="699"/>
      <c r="AK78" s="551"/>
      <c r="AL78" s="551"/>
      <c r="AM78" s="551"/>
      <c r="AN78" s="551"/>
      <c r="AO78" s="551"/>
      <c r="AP78" s="551"/>
      <c r="AQ78" s="551"/>
      <c r="AR78" s="704"/>
      <c r="AS78" s="704"/>
      <c r="AT78" s="704"/>
      <c r="AU78" s="704"/>
      <c r="AV78" s="704"/>
      <c r="AW78" s="704"/>
      <c r="AX78" s="704"/>
      <c r="AY78" s="704"/>
      <c r="AZ78" s="704"/>
      <c r="BA78" s="704"/>
      <c r="BB78" s="704"/>
    </row>
    <row r="79" spans="1:54" s="265" customFormat="1" ht="30" customHeight="1" x14ac:dyDescent="0.25">
      <c r="A79" s="2084"/>
      <c r="B79" s="2076"/>
      <c r="C79" s="1092" t="str">
        <f>'Stock Rawmaterial'!C1414</f>
        <v>Feedmil</v>
      </c>
      <c r="D79" s="1093" t="s">
        <v>10</v>
      </c>
      <c r="E79" s="1094">
        <f>'Stock Rawmaterial'!E1414</f>
        <v>44761</v>
      </c>
      <c r="F79" s="1095">
        <f t="shared" si="23"/>
        <v>1525</v>
      </c>
      <c r="G79" s="1095" t="e">
        <f>'Stock Rawmaterial'!#REF!</f>
        <v>#REF!</v>
      </c>
      <c r="H79" s="626">
        <f>'Stock Rawmaterial'!G1414</f>
        <v>0</v>
      </c>
      <c r="I79" s="1096" t="e">
        <f>'Stock Rawmaterial'!#REF!</f>
        <v>#REF!</v>
      </c>
      <c r="J79" s="626">
        <f>'Stock Rawmaterial'!H1414</f>
        <v>0</v>
      </c>
      <c r="K79" s="626" t="e">
        <f>'Stock Rawmaterial'!#REF!</f>
        <v>#REF!</v>
      </c>
      <c r="L79" s="626" t="e">
        <f>'Stock Rawmaterial'!#REF!</f>
        <v>#REF!</v>
      </c>
      <c r="M79" s="627" t="e">
        <f>'Stock Rawmaterial'!#REF!</f>
        <v>#REF!</v>
      </c>
      <c r="N79" s="628">
        <f>'Stock Rawmaterial'!I1414</f>
        <v>0</v>
      </c>
      <c r="O79" s="628" t="e">
        <f>'Stock Rawmaterial'!#REF!</f>
        <v>#REF!</v>
      </c>
      <c r="P79" s="628" t="e">
        <f>'Stock Rawmaterial'!#REF!</f>
        <v>#REF!</v>
      </c>
      <c r="Q79" s="629" t="e">
        <f>'Stock Rawmaterial'!#REF!</f>
        <v>#REF!</v>
      </c>
      <c r="R79" s="630">
        <f>'Stock Rawmaterial'!J1414</f>
        <v>0</v>
      </c>
      <c r="S79" s="629" t="e">
        <f>'Stock Rawmaterial'!#REF!</f>
        <v>#REF!</v>
      </c>
      <c r="T79" s="628">
        <f>'Stock Rawmaterial'!K1414</f>
        <v>0</v>
      </c>
      <c r="U79" s="1097" t="e">
        <f>'Stock Rawmaterial'!#REF!</f>
        <v>#REF!</v>
      </c>
      <c r="V79" s="1098" t="e">
        <f>'Stock Rawmaterial'!#REF!</f>
        <v>#REF!</v>
      </c>
      <c r="W79" s="631" t="e">
        <f>'Stock Rawmaterial'!#REF!</f>
        <v>#REF!</v>
      </c>
      <c r="X79" s="632" t="e">
        <f t="shared" si="24"/>
        <v>#REF!</v>
      </c>
      <c r="Y79" s="48"/>
      <c r="Z79" s="163"/>
      <c r="AA79" s="48"/>
      <c r="AB79" s="750"/>
      <c r="AC79" s="795"/>
      <c r="AD79" s="797"/>
      <c r="AE79" s="797"/>
      <c r="AF79" s="551"/>
      <c r="AG79" s="699"/>
      <c r="AH79" s="700"/>
      <c r="AI79" s="699"/>
      <c r="AJ79" s="699"/>
      <c r="AK79" s="551"/>
      <c r="AL79" s="551"/>
      <c r="AM79" s="551"/>
      <c r="AN79" s="551"/>
      <c r="AO79" s="551"/>
      <c r="AP79" s="551"/>
      <c r="AQ79" s="551"/>
      <c r="AR79" s="704"/>
      <c r="AS79" s="704"/>
      <c r="AT79" s="704"/>
      <c r="AU79" s="704"/>
      <c r="AV79" s="704"/>
      <c r="AW79" s="704"/>
      <c r="AX79" s="704"/>
      <c r="AY79" s="704"/>
      <c r="AZ79" s="704"/>
      <c r="BA79" s="704"/>
      <c r="BB79" s="704"/>
    </row>
    <row r="80" spans="1:54" s="265" customFormat="1" ht="30" customHeight="1" x14ac:dyDescent="0.25">
      <c r="A80" s="184"/>
      <c r="B80" s="184" t="s">
        <v>1186</v>
      </c>
      <c r="C80" s="575"/>
      <c r="D80" s="900"/>
      <c r="E80" s="901"/>
      <c r="F80" s="902"/>
      <c r="G80" s="353"/>
      <c r="H80" s="235">
        <f>+SUM(H77:H79)</f>
        <v>0</v>
      </c>
      <c r="I80" s="235" t="e">
        <f t="shared" ref="I80:X80" si="25">+SUM(I77:I79)</f>
        <v>#REF!</v>
      </c>
      <c r="J80" s="235">
        <f t="shared" si="25"/>
        <v>0</v>
      </c>
      <c r="K80" s="235" t="e">
        <f t="shared" si="25"/>
        <v>#REF!</v>
      </c>
      <c r="L80" s="235" t="e">
        <f t="shared" si="25"/>
        <v>#REF!</v>
      </c>
      <c r="M80" s="235" t="e">
        <f t="shared" si="25"/>
        <v>#REF!</v>
      </c>
      <c r="N80" s="235">
        <f t="shared" si="25"/>
        <v>0</v>
      </c>
      <c r="O80" s="235" t="e">
        <f t="shared" si="25"/>
        <v>#REF!</v>
      </c>
      <c r="P80" s="235" t="e">
        <f t="shared" si="25"/>
        <v>#REF!</v>
      </c>
      <c r="Q80" s="235" t="e">
        <f t="shared" si="25"/>
        <v>#REF!</v>
      </c>
      <c r="R80" s="235">
        <f t="shared" si="25"/>
        <v>0</v>
      </c>
      <c r="S80" s="235" t="e">
        <f t="shared" si="25"/>
        <v>#REF!</v>
      </c>
      <c r="T80" s="235">
        <f t="shared" si="25"/>
        <v>0</v>
      </c>
      <c r="U80" s="235" t="e">
        <f t="shared" si="25"/>
        <v>#REF!</v>
      </c>
      <c r="V80" s="235" t="e">
        <f t="shared" si="25"/>
        <v>#REF!</v>
      </c>
      <c r="W80" s="235" t="e">
        <f t="shared" si="25"/>
        <v>#REF!</v>
      </c>
      <c r="X80" s="235" t="e">
        <f t="shared" si="25"/>
        <v>#REF!</v>
      </c>
      <c r="Y80" s="59">
        <f>'Stock Rawmaterial'!M1413</f>
        <v>0</v>
      </c>
      <c r="Z80" s="366">
        <f>IFERROR(X80/Y80,0)</f>
        <v>0</v>
      </c>
      <c r="AA80" s="59">
        <f>'Stock Rawmaterial'!O1413</f>
        <v>0</v>
      </c>
      <c r="AB80" s="880">
        <f>IFERROR(X80/AA80,0)</f>
        <v>0</v>
      </c>
      <c r="AC80" s="795" t="s">
        <v>923</v>
      </c>
      <c r="AD80" s="797"/>
      <c r="AE80" s="797"/>
      <c r="AF80" s="551"/>
      <c r="AG80" s="699"/>
      <c r="AH80" s="700"/>
      <c r="AI80" s="699"/>
      <c r="AJ80" s="699"/>
      <c r="AK80" s="551"/>
      <c r="AL80" s="683"/>
      <c r="AM80" s="551"/>
      <c r="AN80" s="551"/>
      <c r="AO80" s="551"/>
      <c r="AP80" s="551"/>
      <c r="AQ80" s="551"/>
      <c r="AR80" s="704"/>
      <c r="AS80" s="704"/>
      <c r="AT80" s="704"/>
      <c r="AU80" s="704"/>
      <c r="AV80" s="704"/>
      <c r="AW80" s="704"/>
      <c r="AX80" s="704"/>
      <c r="AY80" s="704"/>
      <c r="AZ80" s="704"/>
      <c r="BA80" s="704"/>
      <c r="BB80" s="704"/>
    </row>
    <row r="81" spans="1:54" s="265" customFormat="1" ht="30" customHeight="1" x14ac:dyDescent="0.25">
      <c r="A81" s="2083" t="e">
        <f>IF(X84=0,"",MAX($A$14:A80)+1)</f>
        <v>#REF!</v>
      </c>
      <c r="B81" s="2075" t="s">
        <v>1185</v>
      </c>
      <c r="C81" s="574" t="str">
        <f>'Stock Rawmaterial'!C1416</f>
        <v>Y1.1</v>
      </c>
      <c r="D81" s="881" t="s">
        <v>10</v>
      </c>
      <c r="E81" s="882">
        <f>'Stock Rawmaterial'!E1416</f>
        <v>46043</v>
      </c>
      <c r="F81" s="71">
        <f t="shared" ref="F81:F83" si="26">$X$7-E81</f>
        <v>243</v>
      </c>
      <c r="G81" s="71" t="e">
        <f>'Stock Rawmaterial'!#REF!</f>
        <v>#REF!</v>
      </c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 t="e">
        <f>'Stock Rawmaterial'!#REF!</f>
        <v>#REF!</v>
      </c>
      <c r="V81" s="80" t="e">
        <f>'Stock Rawmaterial'!#REF!</f>
        <v>#REF!</v>
      </c>
      <c r="W81" s="80" t="e">
        <f>'Stock Rawmaterial'!#REF!</f>
        <v>#REF!</v>
      </c>
      <c r="X81" s="346" t="e">
        <f>+(H81+J81+L81+N81+P81)-(R81+T81+V81)</f>
        <v>#REF!</v>
      </c>
      <c r="Y81" s="48"/>
      <c r="Z81" s="163"/>
      <c r="AA81" s="48"/>
      <c r="AB81" s="750"/>
      <c r="AC81" s="795"/>
      <c r="AD81" s="797"/>
      <c r="AE81" s="797"/>
      <c r="AF81" s="551"/>
      <c r="AG81" s="699"/>
      <c r="AH81" s="700"/>
      <c r="AI81" s="699"/>
      <c r="AJ81" s="699"/>
      <c r="AK81" s="551"/>
      <c r="AL81" s="551"/>
      <c r="AM81" s="551"/>
      <c r="AN81" s="551"/>
      <c r="AO81" s="551"/>
      <c r="AP81" s="551"/>
      <c r="AQ81" s="551"/>
      <c r="AR81" s="704"/>
      <c r="AS81" s="704"/>
      <c r="AT81" s="704"/>
      <c r="AU81" s="704"/>
      <c r="AV81" s="704"/>
      <c r="AW81" s="704"/>
      <c r="AX81" s="704"/>
      <c r="AY81" s="704"/>
      <c r="AZ81" s="704"/>
      <c r="BA81" s="704"/>
      <c r="BB81" s="704"/>
    </row>
    <row r="82" spans="1:54" s="265" customFormat="1" ht="30" customHeight="1" x14ac:dyDescent="0.25">
      <c r="A82" s="2084"/>
      <c r="B82" s="2076"/>
      <c r="C82" s="574">
        <f>'Stock Rawmaterial'!C1419</f>
        <v>0</v>
      </c>
      <c r="D82" s="881" t="s">
        <v>10</v>
      </c>
      <c r="E82" s="882">
        <f>'Stock Rawmaterial'!E1419</f>
        <v>46024</v>
      </c>
      <c r="F82" s="71">
        <f t="shared" si="26"/>
        <v>262</v>
      </c>
      <c r="G82" s="71" t="e">
        <f>'Stock Rawmaterial'!#REF!</f>
        <v>#REF!</v>
      </c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 t="e">
        <f>'Stock Rawmaterial'!#REF!</f>
        <v>#REF!</v>
      </c>
      <c r="V82" s="80" t="e">
        <f>'Stock Rawmaterial'!#REF!</f>
        <v>#REF!</v>
      </c>
      <c r="W82" s="80" t="e">
        <f>'Stock Rawmaterial'!#REF!</f>
        <v>#REF!</v>
      </c>
      <c r="X82" s="346" t="e">
        <f t="shared" ref="X82:X83" si="27">+(H82+J82+L82+N82+P82)-(R82+T82+V82)</f>
        <v>#REF!</v>
      </c>
      <c r="Y82" s="48"/>
      <c r="Z82" s="163"/>
      <c r="AA82" s="48"/>
      <c r="AB82" s="750"/>
      <c r="AC82" s="795"/>
      <c r="AD82" s="797"/>
      <c r="AE82" s="797"/>
      <c r="AF82" s="551"/>
      <c r="AG82" s="699"/>
      <c r="AH82" s="700"/>
      <c r="AI82" s="699"/>
      <c r="AJ82" s="699"/>
      <c r="AK82" s="551"/>
      <c r="AL82" s="551"/>
      <c r="AM82" s="551"/>
      <c r="AN82" s="551"/>
      <c r="AO82" s="551"/>
      <c r="AP82" s="551"/>
      <c r="AQ82" s="551"/>
      <c r="AR82" s="704"/>
      <c r="AS82" s="704"/>
      <c r="AT82" s="704"/>
      <c r="AU82" s="704"/>
      <c r="AV82" s="704"/>
      <c r="AW82" s="704"/>
      <c r="AX82" s="704"/>
      <c r="AY82" s="704"/>
      <c r="AZ82" s="704"/>
      <c r="BA82" s="704"/>
      <c r="BB82" s="704"/>
    </row>
    <row r="83" spans="1:54" s="265" customFormat="1" ht="30" customHeight="1" x14ac:dyDescent="0.25">
      <c r="A83" s="2084"/>
      <c r="B83" s="2076"/>
      <c r="C83" s="1092" t="str">
        <f>'Stock Rawmaterial'!C1420</f>
        <v>Feedmil</v>
      </c>
      <c r="D83" s="1093" t="s">
        <v>10</v>
      </c>
      <c r="E83" s="1094">
        <f>'Stock Rawmaterial'!E1420</f>
        <v>46043</v>
      </c>
      <c r="F83" s="1095">
        <f t="shared" si="26"/>
        <v>243</v>
      </c>
      <c r="G83" s="1095" t="e">
        <f>'Stock Rawmaterial'!#REF!</f>
        <v>#REF!</v>
      </c>
      <c r="H83" s="626"/>
      <c r="I83" s="1096"/>
      <c r="J83" s="626"/>
      <c r="K83" s="626"/>
      <c r="L83" s="626"/>
      <c r="M83" s="627"/>
      <c r="N83" s="628"/>
      <c r="O83" s="628"/>
      <c r="P83" s="628"/>
      <c r="Q83" s="629"/>
      <c r="R83" s="630"/>
      <c r="S83" s="629"/>
      <c r="T83" s="628"/>
      <c r="U83" s="1097" t="e">
        <f>'Stock Rawmaterial'!#REF!</f>
        <v>#REF!</v>
      </c>
      <c r="V83" s="1098" t="e">
        <f>'Stock Rawmaterial'!#REF!</f>
        <v>#REF!</v>
      </c>
      <c r="W83" s="631" t="e">
        <f>'Stock Rawmaterial'!#REF!</f>
        <v>#REF!</v>
      </c>
      <c r="X83" s="632" t="e">
        <f t="shared" si="27"/>
        <v>#REF!</v>
      </c>
      <c r="Y83" s="48"/>
      <c r="Z83" s="163"/>
      <c r="AA83" s="48"/>
      <c r="AB83" s="750"/>
      <c r="AC83" s="795"/>
      <c r="AD83" s="797"/>
      <c r="AE83" s="797"/>
      <c r="AF83" s="551"/>
      <c r="AG83" s="699"/>
      <c r="AH83" s="700"/>
      <c r="AI83" s="699"/>
      <c r="AJ83" s="699"/>
      <c r="AK83" s="551"/>
      <c r="AL83" s="551"/>
      <c r="AM83" s="551"/>
      <c r="AN83" s="551"/>
      <c r="AO83" s="551"/>
      <c r="AP83" s="551"/>
      <c r="AQ83" s="551"/>
      <c r="AR83" s="704"/>
      <c r="AS83" s="704"/>
      <c r="AT83" s="704"/>
      <c r="AU83" s="704"/>
      <c r="AV83" s="704"/>
      <c r="AW83" s="704"/>
      <c r="AX83" s="704"/>
      <c r="AY83" s="704"/>
      <c r="AZ83" s="704"/>
      <c r="BA83" s="704"/>
      <c r="BB83" s="704"/>
    </row>
    <row r="84" spans="1:54" s="265" customFormat="1" ht="30" customHeight="1" x14ac:dyDescent="0.25">
      <c r="A84" s="184"/>
      <c r="B84" s="184" t="s">
        <v>1189</v>
      </c>
      <c r="C84" s="575"/>
      <c r="D84" s="900"/>
      <c r="E84" s="901"/>
      <c r="F84" s="902"/>
      <c r="G84" s="353"/>
      <c r="H84" s="235">
        <f>+SUM(H81:H83)</f>
        <v>0</v>
      </c>
      <c r="I84" s="235">
        <f t="shared" ref="I84:X84" si="28">+SUM(I81:I83)</f>
        <v>0</v>
      </c>
      <c r="J84" s="235">
        <f t="shared" si="28"/>
        <v>0</v>
      </c>
      <c r="K84" s="235">
        <f t="shared" si="28"/>
        <v>0</v>
      </c>
      <c r="L84" s="235">
        <f t="shared" si="28"/>
        <v>0</v>
      </c>
      <c r="M84" s="235">
        <f t="shared" si="28"/>
        <v>0</v>
      </c>
      <c r="N84" s="235">
        <f t="shared" si="28"/>
        <v>0</v>
      </c>
      <c r="O84" s="235">
        <f t="shared" si="28"/>
        <v>0</v>
      </c>
      <c r="P84" s="235">
        <f t="shared" si="28"/>
        <v>0</v>
      </c>
      <c r="Q84" s="235">
        <f t="shared" si="28"/>
        <v>0</v>
      </c>
      <c r="R84" s="235">
        <f t="shared" si="28"/>
        <v>0</v>
      </c>
      <c r="S84" s="235">
        <f t="shared" si="28"/>
        <v>0</v>
      </c>
      <c r="T84" s="235">
        <f t="shared" si="28"/>
        <v>0</v>
      </c>
      <c r="U84" s="235" t="e">
        <f t="shared" si="28"/>
        <v>#REF!</v>
      </c>
      <c r="V84" s="235" t="e">
        <f t="shared" si="28"/>
        <v>#REF!</v>
      </c>
      <c r="W84" s="235" t="e">
        <f t="shared" si="28"/>
        <v>#REF!</v>
      </c>
      <c r="X84" s="235" t="e">
        <f t="shared" si="28"/>
        <v>#REF!</v>
      </c>
      <c r="Y84" s="59">
        <f>'Stock Rawmaterial'!M1419</f>
        <v>0</v>
      </c>
      <c r="Z84" s="366">
        <f>IFERROR(X84/Y84,0)</f>
        <v>0</v>
      </c>
      <c r="AA84" s="59">
        <f>'Stock Rawmaterial'!O1419</f>
        <v>0</v>
      </c>
      <c r="AB84" s="880">
        <f>IFERROR(X84/AA84,0)</f>
        <v>0</v>
      </c>
      <c r="AC84" s="795" t="s">
        <v>923</v>
      </c>
      <c r="AD84" s="797"/>
      <c r="AE84" s="797"/>
      <c r="AF84" s="551"/>
      <c r="AG84" s="699"/>
      <c r="AH84" s="700"/>
      <c r="AI84" s="699"/>
      <c r="AJ84" s="699"/>
      <c r="AK84" s="551"/>
      <c r="AL84" s="683"/>
      <c r="AM84" s="551"/>
      <c r="AN84" s="551"/>
      <c r="AO84" s="551"/>
      <c r="AP84" s="551"/>
      <c r="AQ84" s="551"/>
      <c r="AR84" s="704"/>
      <c r="AS84" s="704"/>
      <c r="AT84" s="704"/>
      <c r="AU84" s="704"/>
      <c r="AV84" s="704"/>
      <c r="AW84" s="704"/>
      <c r="AX84" s="704"/>
      <c r="AY84" s="704"/>
      <c r="AZ84" s="704"/>
      <c r="BA84" s="704"/>
      <c r="BB84" s="704"/>
    </row>
    <row r="85" spans="1:54" s="265" customFormat="1" ht="30" customHeight="1" x14ac:dyDescent="0.25">
      <c r="A85" s="2083" t="e">
        <f>IF(X88=0,"",MAX($A$14:A84)+1)</f>
        <v>#REF!</v>
      </c>
      <c r="B85" s="2075"/>
      <c r="C85" s="574">
        <f>'Stock Rawmaterial'!C1428</f>
        <v>0</v>
      </c>
      <c r="D85" s="881" t="s">
        <v>10</v>
      </c>
      <c r="E85" s="882">
        <f>'Stock Rawmaterial'!E1428</f>
        <v>45986</v>
      </c>
      <c r="F85" s="71">
        <f t="shared" ref="F85:F87" si="29">$X$7-E85</f>
        <v>300</v>
      </c>
      <c r="G85" s="71" t="e">
        <f>'Stock Rawmaterial'!#REF!</f>
        <v>#REF!</v>
      </c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 t="e">
        <f>'Stock Rawmaterial'!#REF!</f>
        <v>#REF!</v>
      </c>
      <c r="V85" s="80" t="e">
        <f>'Stock Rawmaterial'!#REF!</f>
        <v>#REF!</v>
      </c>
      <c r="W85" s="80" t="e">
        <f>'Stock Rawmaterial'!#REF!</f>
        <v>#REF!</v>
      </c>
      <c r="X85" s="346" t="e">
        <f>+(H85+J85+L85+N85+P85)-(R85+T85+V85)</f>
        <v>#REF!</v>
      </c>
      <c r="Y85" s="48"/>
      <c r="Z85" s="163"/>
      <c r="AA85" s="48"/>
      <c r="AB85" s="750"/>
      <c r="AC85" s="795"/>
      <c r="AD85" s="797"/>
      <c r="AE85" s="797"/>
      <c r="AF85" s="551"/>
      <c r="AG85" s="699"/>
      <c r="AH85" s="700"/>
      <c r="AI85" s="699"/>
      <c r="AJ85" s="699"/>
      <c r="AK85" s="551"/>
      <c r="AL85" s="551"/>
      <c r="AM85" s="551"/>
      <c r="AN85" s="551"/>
      <c r="AO85" s="551"/>
      <c r="AP85" s="551"/>
      <c r="AQ85" s="551"/>
      <c r="AR85" s="704"/>
      <c r="AS85" s="704"/>
      <c r="AT85" s="704"/>
      <c r="AU85" s="704"/>
      <c r="AV85" s="704"/>
      <c r="AW85" s="704"/>
      <c r="AX85" s="704"/>
      <c r="AY85" s="704"/>
      <c r="AZ85" s="704"/>
      <c r="BA85" s="704"/>
      <c r="BB85" s="704"/>
    </row>
    <row r="86" spans="1:54" s="265" customFormat="1" ht="30" customHeight="1" x14ac:dyDescent="0.25">
      <c r="A86" s="2084"/>
      <c r="B86" s="2076"/>
      <c r="C86" s="574" t="str">
        <f>'Stock Rawmaterial'!C1429</f>
        <v>D2</v>
      </c>
      <c r="D86" s="881" t="s">
        <v>10</v>
      </c>
      <c r="E86" s="882">
        <f>'Stock Rawmaterial'!E1429</f>
        <v>46237</v>
      </c>
      <c r="F86" s="71">
        <f t="shared" si="29"/>
        <v>49</v>
      </c>
      <c r="G86" s="71" t="e">
        <f>'Stock Rawmaterial'!#REF!</f>
        <v>#REF!</v>
      </c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 t="e">
        <f>'Stock Rawmaterial'!#REF!</f>
        <v>#REF!</v>
      </c>
      <c r="V86" s="80" t="e">
        <f>'Stock Rawmaterial'!#REF!</f>
        <v>#REF!</v>
      </c>
      <c r="W86" s="80" t="e">
        <f>'Stock Rawmaterial'!#REF!</f>
        <v>#REF!</v>
      </c>
      <c r="X86" s="346" t="e">
        <f t="shared" ref="X86:X87" si="30">+(H86+J86+L86+N86+P86)-(R86+T86+V86)</f>
        <v>#REF!</v>
      </c>
      <c r="Y86" s="48"/>
      <c r="Z86" s="163"/>
      <c r="AA86" s="48"/>
      <c r="AB86" s="750"/>
      <c r="AC86" s="795"/>
      <c r="AD86" s="797"/>
      <c r="AE86" s="797"/>
      <c r="AF86" s="551"/>
      <c r="AG86" s="699"/>
      <c r="AH86" s="700"/>
      <c r="AI86" s="699"/>
      <c r="AJ86" s="699"/>
      <c r="AK86" s="551"/>
      <c r="AL86" s="551"/>
      <c r="AM86" s="551"/>
      <c r="AN86" s="551"/>
      <c r="AO86" s="551"/>
      <c r="AP86" s="551"/>
      <c r="AQ86" s="551"/>
      <c r="AR86" s="704"/>
      <c r="AS86" s="704"/>
      <c r="AT86" s="704"/>
      <c r="AU86" s="704"/>
      <c r="AV86" s="704"/>
      <c r="AW86" s="704"/>
      <c r="AX86" s="704"/>
      <c r="AY86" s="704"/>
      <c r="AZ86" s="704"/>
      <c r="BA86" s="704"/>
      <c r="BB86" s="704"/>
    </row>
    <row r="87" spans="1:54" s="265" customFormat="1" ht="30" customHeight="1" x14ac:dyDescent="0.25">
      <c r="A87" s="2084"/>
      <c r="B87" s="2076"/>
      <c r="C87" s="1092" t="str">
        <f>'Stock Rawmaterial'!C1431</f>
        <v>Feedmill</v>
      </c>
      <c r="D87" s="1093" t="s">
        <v>10</v>
      </c>
      <c r="E87" s="1094">
        <f>'Stock Rawmaterial'!E1431</f>
        <v>46269</v>
      </c>
      <c r="F87" s="1095">
        <f t="shared" si="29"/>
        <v>17</v>
      </c>
      <c r="G87" s="1095" t="e">
        <f>'Stock Rawmaterial'!#REF!</f>
        <v>#REF!</v>
      </c>
      <c r="H87" s="626"/>
      <c r="I87" s="1096"/>
      <c r="J87" s="626"/>
      <c r="K87" s="626"/>
      <c r="L87" s="626"/>
      <c r="M87" s="627"/>
      <c r="N87" s="628"/>
      <c r="O87" s="628"/>
      <c r="P87" s="628"/>
      <c r="Q87" s="629"/>
      <c r="R87" s="630"/>
      <c r="S87" s="629"/>
      <c r="T87" s="628"/>
      <c r="U87" s="1097" t="e">
        <f>'Stock Rawmaterial'!#REF!</f>
        <v>#REF!</v>
      </c>
      <c r="V87" s="1098" t="e">
        <f>'Stock Rawmaterial'!#REF!</f>
        <v>#REF!</v>
      </c>
      <c r="W87" s="631" t="e">
        <f>'Stock Rawmaterial'!#REF!</f>
        <v>#REF!</v>
      </c>
      <c r="X87" s="632" t="e">
        <f t="shared" si="30"/>
        <v>#REF!</v>
      </c>
      <c r="Y87" s="48"/>
      <c r="Z87" s="163"/>
      <c r="AA87" s="48"/>
      <c r="AB87" s="750"/>
      <c r="AC87" s="795"/>
      <c r="AD87" s="797"/>
      <c r="AE87" s="797"/>
      <c r="AF87" s="551"/>
      <c r="AG87" s="699"/>
      <c r="AH87" s="700"/>
      <c r="AI87" s="699"/>
      <c r="AJ87" s="699"/>
      <c r="AK87" s="551"/>
      <c r="AL87" s="551"/>
      <c r="AM87" s="551"/>
      <c r="AN87" s="551"/>
      <c r="AO87" s="551"/>
      <c r="AP87" s="551"/>
      <c r="AQ87" s="551"/>
      <c r="AR87" s="704"/>
      <c r="AS87" s="704"/>
      <c r="AT87" s="704"/>
      <c r="AU87" s="704"/>
      <c r="AV87" s="704"/>
      <c r="AW87" s="704"/>
      <c r="AX87" s="704"/>
      <c r="AY87" s="704"/>
      <c r="AZ87" s="704"/>
      <c r="BA87" s="704"/>
      <c r="BB87" s="704"/>
    </row>
    <row r="88" spans="1:54" s="265" customFormat="1" ht="30" customHeight="1" x14ac:dyDescent="0.25">
      <c r="A88" s="184"/>
      <c r="B88" s="184" t="s">
        <v>453</v>
      </c>
      <c r="C88" s="575"/>
      <c r="D88" s="900"/>
      <c r="E88" s="901"/>
      <c r="F88" s="902"/>
      <c r="G88" s="353"/>
      <c r="H88" s="235">
        <f>+SUM(H85:H87)</f>
        <v>0</v>
      </c>
      <c r="I88" s="235">
        <f t="shared" ref="I88:X88" si="31">+SUM(I85:I87)</f>
        <v>0</v>
      </c>
      <c r="J88" s="235">
        <f t="shared" si="31"/>
        <v>0</v>
      </c>
      <c r="K88" s="235">
        <f t="shared" si="31"/>
        <v>0</v>
      </c>
      <c r="L88" s="235">
        <f t="shared" si="31"/>
        <v>0</v>
      </c>
      <c r="M88" s="235">
        <f t="shared" si="31"/>
        <v>0</v>
      </c>
      <c r="N88" s="235">
        <f t="shared" si="31"/>
        <v>0</v>
      </c>
      <c r="O88" s="235">
        <f t="shared" si="31"/>
        <v>0</v>
      </c>
      <c r="P88" s="235">
        <f t="shared" si="31"/>
        <v>0</v>
      </c>
      <c r="Q88" s="235">
        <f t="shared" si="31"/>
        <v>0</v>
      </c>
      <c r="R88" s="235">
        <f t="shared" si="31"/>
        <v>0</v>
      </c>
      <c r="S88" s="235">
        <f t="shared" si="31"/>
        <v>0</v>
      </c>
      <c r="T88" s="235">
        <f t="shared" si="31"/>
        <v>0</v>
      </c>
      <c r="U88" s="235" t="e">
        <f t="shared" si="31"/>
        <v>#REF!</v>
      </c>
      <c r="V88" s="235" t="e">
        <f t="shared" si="31"/>
        <v>#REF!</v>
      </c>
      <c r="W88" s="235" t="e">
        <f t="shared" si="31"/>
        <v>#REF!</v>
      </c>
      <c r="X88" s="235" t="e">
        <f t="shared" si="31"/>
        <v>#REF!</v>
      </c>
      <c r="Y88" s="59">
        <f>'Stock Rawmaterial'!M1429</f>
        <v>0</v>
      </c>
      <c r="Z88" s="366">
        <f>IFERROR(X88/Y88,0)</f>
        <v>0</v>
      </c>
      <c r="AA88" s="59">
        <f>'Stock Rawmaterial'!O1429</f>
        <v>0</v>
      </c>
      <c r="AB88" s="880">
        <f>IFERROR(X88/AA88,0)</f>
        <v>0</v>
      </c>
      <c r="AC88" s="795" t="s">
        <v>923</v>
      </c>
      <c r="AD88" s="797"/>
      <c r="AE88" s="797"/>
      <c r="AF88" s="551"/>
      <c r="AG88" s="699"/>
      <c r="AH88" s="700"/>
      <c r="AI88" s="699"/>
      <c r="AJ88" s="699"/>
      <c r="AK88" s="551"/>
      <c r="AL88" s="683"/>
      <c r="AM88" s="551"/>
      <c r="AN88" s="551"/>
      <c r="AO88" s="551"/>
      <c r="AP88" s="551"/>
      <c r="AQ88" s="551"/>
      <c r="AR88" s="704"/>
      <c r="AS88" s="704"/>
      <c r="AT88" s="704"/>
      <c r="AU88" s="704"/>
      <c r="AV88" s="704"/>
      <c r="AW88" s="704"/>
      <c r="AX88" s="704"/>
      <c r="AY88" s="704"/>
      <c r="AZ88" s="704"/>
      <c r="BA88" s="704"/>
      <c r="BB88" s="704"/>
    </row>
    <row r="89" spans="1:54" s="265" customFormat="1" ht="30" customHeight="1" x14ac:dyDescent="0.25">
      <c r="A89" s="2083" t="e">
        <f>IF(X92=0,"",MAX($A$14:A88)+1)</f>
        <v>#REF!</v>
      </c>
      <c r="B89" s="2075" t="s">
        <v>1260</v>
      </c>
      <c r="C89" s="574">
        <f>'Stock Rawmaterial'!C1433</f>
        <v>0</v>
      </c>
      <c r="D89" s="881" t="s">
        <v>10</v>
      </c>
      <c r="E89" s="882">
        <f>'Stock Rawmaterial'!E1433</f>
        <v>44972</v>
      </c>
      <c r="F89" s="71">
        <f t="shared" ref="F89:F91" si="32">$X$7-E89</f>
        <v>1314</v>
      </c>
      <c r="G89" s="71" t="e">
        <f>'Stock Rawmaterial'!#REF!</f>
        <v>#REF!</v>
      </c>
      <c r="H89" s="80">
        <f>'Stock Rawmaterial'!G1433</f>
        <v>0</v>
      </c>
      <c r="I89" s="80" t="e">
        <f>'Stock Rawmaterial'!#REF!</f>
        <v>#REF!</v>
      </c>
      <c r="J89" s="80">
        <f>'Stock Rawmaterial'!H1433</f>
        <v>0</v>
      </c>
      <c r="K89" s="80" t="e">
        <f>'Stock Rawmaterial'!#REF!</f>
        <v>#REF!</v>
      </c>
      <c r="L89" s="80" t="e">
        <f>'Stock Rawmaterial'!#REF!</f>
        <v>#REF!</v>
      </c>
      <c r="M89" s="80" t="e">
        <f>'Stock Rawmaterial'!#REF!</f>
        <v>#REF!</v>
      </c>
      <c r="N89" s="80">
        <f>'Stock Rawmaterial'!I1433</f>
        <v>0</v>
      </c>
      <c r="O89" s="80" t="e">
        <f>'Stock Rawmaterial'!#REF!</f>
        <v>#REF!</v>
      </c>
      <c r="P89" s="80" t="e">
        <f>'Stock Rawmaterial'!#REF!</f>
        <v>#REF!</v>
      </c>
      <c r="Q89" s="80" t="e">
        <f>'Stock Rawmaterial'!#REF!</f>
        <v>#REF!</v>
      </c>
      <c r="R89" s="80">
        <f>'Stock Rawmaterial'!J1433</f>
        <v>0</v>
      </c>
      <c r="S89" s="80" t="e">
        <f>'Stock Rawmaterial'!#REF!</f>
        <v>#REF!</v>
      </c>
      <c r="T89" s="80">
        <f>'Stock Rawmaterial'!K1433</f>
        <v>0</v>
      </c>
      <c r="U89" s="80" t="e">
        <f>'Stock Rawmaterial'!#REF!</f>
        <v>#REF!</v>
      </c>
      <c r="V89" s="80" t="e">
        <f>'Stock Rawmaterial'!#REF!</f>
        <v>#REF!</v>
      </c>
      <c r="W89" s="80" t="e">
        <f>'Stock Rawmaterial'!#REF!</f>
        <v>#REF!</v>
      </c>
      <c r="X89" s="346" t="e">
        <f>+(H89+J89+L89+N89+P89)-(R89+T89+V89)</f>
        <v>#REF!</v>
      </c>
      <c r="Y89" s="48"/>
      <c r="Z89" s="163"/>
      <c r="AA89" s="48"/>
      <c r="AB89" s="750"/>
      <c r="AC89" s="795"/>
      <c r="AD89" s="797"/>
      <c r="AE89" s="797"/>
      <c r="AF89" s="551"/>
      <c r="AG89" s="699"/>
      <c r="AH89" s="700"/>
      <c r="AI89" s="699"/>
      <c r="AJ89" s="699"/>
      <c r="AK89" s="551"/>
      <c r="AL89" s="551"/>
      <c r="AM89" s="551"/>
      <c r="AN89" s="551"/>
      <c r="AO89" s="551"/>
      <c r="AP89" s="551"/>
      <c r="AQ89" s="551"/>
      <c r="AR89" s="704"/>
      <c r="AS89" s="704"/>
      <c r="AT89" s="704"/>
      <c r="AU89" s="704"/>
      <c r="AV89" s="704"/>
      <c r="AW89" s="704"/>
      <c r="AX89" s="704"/>
      <c r="AY89" s="704"/>
      <c r="AZ89" s="704"/>
      <c r="BA89" s="704"/>
      <c r="BB89" s="704"/>
    </row>
    <row r="90" spans="1:54" s="265" customFormat="1" ht="30" customHeight="1" x14ac:dyDescent="0.25">
      <c r="A90" s="2084"/>
      <c r="B90" s="2076"/>
      <c r="C90" s="574">
        <f>'Stock Rawmaterial'!C1434</f>
        <v>0</v>
      </c>
      <c r="D90" s="881" t="s">
        <v>10</v>
      </c>
      <c r="E90" s="882">
        <f>'Stock Rawmaterial'!E1434</f>
        <v>44924</v>
      </c>
      <c r="F90" s="71">
        <f t="shared" si="32"/>
        <v>1362</v>
      </c>
      <c r="G90" s="71" t="e">
        <f>'Stock Rawmaterial'!#REF!</f>
        <v>#REF!</v>
      </c>
      <c r="H90" s="80">
        <f>'Stock Rawmaterial'!G1434</f>
        <v>0</v>
      </c>
      <c r="I90" s="80" t="e">
        <f>'Stock Rawmaterial'!#REF!</f>
        <v>#REF!</v>
      </c>
      <c r="J90" s="80">
        <f>'Stock Rawmaterial'!H1434</f>
        <v>0</v>
      </c>
      <c r="K90" s="80" t="e">
        <f>'Stock Rawmaterial'!#REF!</f>
        <v>#REF!</v>
      </c>
      <c r="L90" s="80" t="e">
        <f>'Stock Rawmaterial'!#REF!</f>
        <v>#REF!</v>
      </c>
      <c r="M90" s="80" t="e">
        <f>'Stock Rawmaterial'!#REF!</f>
        <v>#REF!</v>
      </c>
      <c r="N90" s="80">
        <f>'Stock Rawmaterial'!I1434</f>
        <v>0</v>
      </c>
      <c r="O90" s="80" t="e">
        <f>'Stock Rawmaterial'!#REF!</f>
        <v>#REF!</v>
      </c>
      <c r="P90" s="80" t="e">
        <f>'Stock Rawmaterial'!#REF!</f>
        <v>#REF!</v>
      </c>
      <c r="Q90" s="80" t="e">
        <f>'Stock Rawmaterial'!#REF!</f>
        <v>#REF!</v>
      </c>
      <c r="R90" s="80">
        <f>'Stock Rawmaterial'!J1434</f>
        <v>0</v>
      </c>
      <c r="S90" s="80" t="e">
        <f>'Stock Rawmaterial'!#REF!</f>
        <v>#REF!</v>
      </c>
      <c r="T90" s="80">
        <f>'Stock Rawmaterial'!K1434</f>
        <v>0</v>
      </c>
      <c r="U90" s="80" t="e">
        <f>'Stock Rawmaterial'!#REF!</f>
        <v>#REF!</v>
      </c>
      <c r="V90" s="80" t="e">
        <f>'Stock Rawmaterial'!#REF!</f>
        <v>#REF!</v>
      </c>
      <c r="W90" s="80" t="e">
        <f>'Stock Rawmaterial'!#REF!</f>
        <v>#REF!</v>
      </c>
      <c r="X90" s="346" t="e">
        <f t="shared" ref="X90:X91" si="33">+(H90+J90+L90+N90+P90)-(R90+T90+V90)</f>
        <v>#REF!</v>
      </c>
      <c r="Y90" s="48"/>
      <c r="Z90" s="163"/>
      <c r="AA90" s="48"/>
      <c r="AB90" s="750"/>
      <c r="AC90" s="795"/>
      <c r="AD90" s="797"/>
      <c r="AE90" s="797"/>
      <c r="AF90" s="551"/>
      <c r="AG90" s="699"/>
      <c r="AH90" s="700"/>
      <c r="AI90" s="699"/>
      <c r="AJ90" s="699"/>
      <c r="AK90" s="551"/>
      <c r="AL90" s="551"/>
      <c r="AM90" s="551"/>
      <c r="AN90" s="551"/>
      <c r="AO90" s="551"/>
      <c r="AP90" s="551"/>
      <c r="AQ90" s="551"/>
      <c r="AR90" s="704"/>
      <c r="AS90" s="704"/>
      <c r="AT90" s="704"/>
      <c r="AU90" s="704"/>
      <c r="AV90" s="704"/>
      <c r="AW90" s="704"/>
      <c r="AX90" s="704"/>
      <c r="AY90" s="704"/>
      <c r="AZ90" s="704"/>
      <c r="BA90" s="704"/>
      <c r="BB90" s="704"/>
    </row>
    <row r="91" spans="1:54" s="265" customFormat="1" ht="30" customHeight="1" x14ac:dyDescent="0.25">
      <c r="A91" s="2084"/>
      <c r="B91" s="2076"/>
      <c r="C91" s="1092" t="str">
        <f>'Stock Rawmaterial'!C1435</f>
        <v>Feedmil</v>
      </c>
      <c r="D91" s="1093" t="s">
        <v>10</v>
      </c>
      <c r="E91" s="1094">
        <f>'Stock Rawmaterial'!E1435</f>
        <v>44972</v>
      </c>
      <c r="F91" s="1095">
        <f t="shared" si="32"/>
        <v>1314</v>
      </c>
      <c r="G91" s="1095" t="e">
        <f>'Stock Rawmaterial'!#REF!</f>
        <v>#REF!</v>
      </c>
      <c r="H91" s="626">
        <f>'Stock Rawmaterial'!G1435</f>
        <v>0</v>
      </c>
      <c r="I91" s="1096" t="e">
        <f>'Stock Rawmaterial'!#REF!</f>
        <v>#REF!</v>
      </c>
      <c r="J91" s="626">
        <f>'Stock Rawmaterial'!H1435</f>
        <v>0</v>
      </c>
      <c r="K91" s="626" t="e">
        <f>'Stock Rawmaterial'!#REF!</f>
        <v>#REF!</v>
      </c>
      <c r="L91" s="626" t="e">
        <f>'Stock Rawmaterial'!#REF!</f>
        <v>#REF!</v>
      </c>
      <c r="M91" s="627" t="e">
        <f>'Stock Rawmaterial'!#REF!</f>
        <v>#REF!</v>
      </c>
      <c r="N91" s="628">
        <f>'Stock Rawmaterial'!I1435</f>
        <v>0</v>
      </c>
      <c r="O91" s="628" t="e">
        <f>'Stock Rawmaterial'!#REF!</f>
        <v>#REF!</v>
      </c>
      <c r="P91" s="628" t="e">
        <f>'Stock Rawmaterial'!#REF!</f>
        <v>#REF!</v>
      </c>
      <c r="Q91" s="629" t="e">
        <f>'Stock Rawmaterial'!#REF!</f>
        <v>#REF!</v>
      </c>
      <c r="R91" s="630">
        <f>'Stock Rawmaterial'!J1435</f>
        <v>0</v>
      </c>
      <c r="S91" s="629" t="e">
        <f>'Stock Rawmaterial'!#REF!</f>
        <v>#REF!</v>
      </c>
      <c r="T91" s="628">
        <f>'Stock Rawmaterial'!K1435</f>
        <v>0</v>
      </c>
      <c r="U91" s="1097" t="e">
        <f>'Stock Rawmaterial'!#REF!</f>
        <v>#REF!</v>
      </c>
      <c r="V91" s="1098" t="e">
        <f>'Stock Rawmaterial'!#REF!</f>
        <v>#REF!</v>
      </c>
      <c r="W91" s="631" t="e">
        <f>'Stock Rawmaterial'!#REF!</f>
        <v>#REF!</v>
      </c>
      <c r="X91" s="632" t="e">
        <f t="shared" si="33"/>
        <v>#REF!</v>
      </c>
      <c r="Y91" s="48"/>
      <c r="Z91" s="163"/>
      <c r="AA91" s="48"/>
      <c r="AB91" s="750"/>
      <c r="AC91" s="795"/>
      <c r="AD91" s="797"/>
      <c r="AE91" s="797"/>
      <c r="AF91" s="551"/>
      <c r="AG91" s="699"/>
      <c r="AH91" s="700"/>
      <c r="AI91" s="699"/>
      <c r="AJ91" s="699"/>
      <c r="AK91" s="551"/>
      <c r="AL91" s="551"/>
      <c r="AM91" s="551"/>
      <c r="AN91" s="551"/>
      <c r="AO91" s="551"/>
      <c r="AP91" s="551"/>
      <c r="AQ91" s="551"/>
      <c r="AR91" s="704"/>
      <c r="AS91" s="704"/>
      <c r="AT91" s="704"/>
      <c r="AU91" s="704"/>
      <c r="AV91" s="704"/>
      <c r="AW91" s="704"/>
      <c r="AX91" s="704"/>
      <c r="AY91" s="704"/>
      <c r="AZ91" s="704"/>
      <c r="BA91" s="704"/>
      <c r="BB91" s="704"/>
    </row>
    <row r="92" spans="1:54" s="265" customFormat="1" ht="30" customHeight="1" x14ac:dyDescent="0.25">
      <c r="A92" s="184"/>
      <c r="B92" s="184" t="s">
        <v>1261</v>
      </c>
      <c r="C92" s="575"/>
      <c r="D92" s="900"/>
      <c r="E92" s="901"/>
      <c r="F92" s="902"/>
      <c r="G92" s="353"/>
      <c r="H92" s="235">
        <f>+SUM(H89:H91)</f>
        <v>0</v>
      </c>
      <c r="I92" s="235" t="e">
        <f t="shared" ref="I92:X92" si="34">+SUM(I89:I91)</f>
        <v>#REF!</v>
      </c>
      <c r="J92" s="235">
        <f t="shared" si="34"/>
        <v>0</v>
      </c>
      <c r="K92" s="235" t="e">
        <f t="shared" si="34"/>
        <v>#REF!</v>
      </c>
      <c r="L92" s="235" t="e">
        <f t="shared" si="34"/>
        <v>#REF!</v>
      </c>
      <c r="M92" s="235" t="e">
        <f t="shared" si="34"/>
        <v>#REF!</v>
      </c>
      <c r="N92" s="235">
        <f t="shared" si="34"/>
        <v>0</v>
      </c>
      <c r="O92" s="235" t="e">
        <f t="shared" si="34"/>
        <v>#REF!</v>
      </c>
      <c r="P92" s="235" t="e">
        <f t="shared" si="34"/>
        <v>#REF!</v>
      </c>
      <c r="Q92" s="235" t="e">
        <f t="shared" si="34"/>
        <v>#REF!</v>
      </c>
      <c r="R92" s="235">
        <f t="shared" si="34"/>
        <v>0</v>
      </c>
      <c r="S92" s="235" t="e">
        <f t="shared" si="34"/>
        <v>#REF!</v>
      </c>
      <c r="T92" s="235">
        <f t="shared" si="34"/>
        <v>0</v>
      </c>
      <c r="U92" s="235" t="e">
        <f t="shared" si="34"/>
        <v>#REF!</v>
      </c>
      <c r="V92" s="235" t="e">
        <f t="shared" si="34"/>
        <v>#REF!</v>
      </c>
      <c r="W92" s="235" t="e">
        <f t="shared" si="34"/>
        <v>#REF!</v>
      </c>
      <c r="X92" s="235" t="e">
        <f t="shared" si="34"/>
        <v>#REF!</v>
      </c>
      <c r="Y92" s="59">
        <f>'Stock Rawmaterial'!M1434</f>
        <v>0</v>
      </c>
      <c r="Z92" s="366">
        <f>IFERROR(X92/Y92,0)</f>
        <v>0</v>
      </c>
      <c r="AA92" s="59">
        <f>'Stock Rawmaterial'!O1434</f>
        <v>0</v>
      </c>
      <c r="AB92" s="880">
        <f>IFERROR(X92/AA92,0)</f>
        <v>0</v>
      </c>
      <c r="AC92" s="795" t="s">
        <v>923</v>
      </c>
      <c r="AD92" s="797"/>
      <c r="AE92" s="797"/>
      <c r="AF92" s="551"/>
      <c r="AG92" s="699"/>
      <c r="AH92" s="700"/>
      <c r="AI92" s="699"/>
      <c r="AJ92" s="699"/>
      <c r="AK92" s="551"/>
      <c r="AL92" s="683"/>
      <c r="AM92" s="551"/>
      <c r="AN92" s="551"/>
      <c r="AO92" s="551"/>
      <c r="AP92" s="551"/>
      <c r="AQ92" s="551"/>
      <c r="AR92" s="704"/>
      <c r="AS92" s="704"/>
      <c r="AT92" s="704"/>
      <c r="AU92" s="704"/>
      <c r="AV92" s="704"/>
      <c r="AW92" s="704"/>
      <c r="AX92" s="704"/>
      <c r="AY92" s="704"/>
      <c r="AZ92" s="704"/>
      <c r="BA92" s="704"/>
      <c r="BB92" s="704"/>
    </row>
    <row r="93" spans="1:54" s="265" customFormat="1" ht="30" customHeight="1" x14ac:dyDescent="0.25">
      <c r="A93" s="2083" t="e">
        <f>IF(X96=0,"",MAX($A$14:A92)+1)</f>
        <v>#REF!</v>
      </c>
      <c r="B93" s="2075" t="s">
        <v>1265</v>
      </c>
      <c r="C93" s="574" t="str">
        <f>'Stock Rawmaterial'!C1437</f>
        <v>V8.1</v>
      </c>
      <c r="D93" s="881" t="s">
        <v>10</v>
      </c>
      <c r="E93" s="882">
        <f>'Stock Rawmaterial'!E1437</f>
        <v>44978</v>
      </c>
      <c r="F93" s="71">
        <f t="shared" ref="F93:F95" si="35">$X$7-E93</f>
        <v>1308</v>
      </c>
      <c r="G93" s="71" t="e">
        <f>'Stock Rawmaterial'!#REF!</f>
        <v>#REF!</v>
      </c>
      <c r="H93" s="80">
        <f>'Stock Rawmaterial'!G1437</f>
        <v>0</v>
      </c>
      <c r="I93" s="80" t="e">
        <f>'Stock Rawmaterial'!#REF!</f>
        <v>#REF!</v>
      </c>
      <c r="J93" s="80">
        <f>'Stock Rawmaterial'!H1437</f>
        <v>0</v>
      </c>
      <c r="K93" s="80" t="e">
        <f>'Stock Rawmaterial'!#REF!</f>
        <v>#REF!</v>
      </c>
      <c r="L93" s="80" t="e">
        <f>'Stock Rawmaterial'!#REF!</f>
        <v>#REF!</v>
      </c>
      <c r="M93" s="80" t="e">
        <f>'Stock Rawmaterial'!#REF!</f>
        <v>#REF!</v>
      </c>
      <c r="N93" s="80">
        <f>'Stock Rawmaterial'!I1437</f>
        <v>0</v>
      </c>
      <c r="O93" s="80" t="e">
        <f>'Stock Rawmaterial'!#REF!</f>
        <v>#REF!</v>
      </c>
      <c r="P93" s="80" t="e">
        <f>'Stock Rawmaterial'!#REF!</f>
        <v>#REF!</v>
      </c>
      <c r="Q93" s="80" t="e">
        <f>'Stock Rawmaterial'!#REF!</f>
        <v>#REF!</v>
      </c>
      <c r="R93" s="80">
        <f>'Stock Rawmaterial'!J1437</f>
        <v>0</v>
      </c>
      <c r="S93" s="80" t="e">
        <f>'Stock Rawmaterial'!#REF!</f>
        <v>#REF!</v>
      </c>
      <c r="T93" s="80">
        <f>'Stock Rawmaterial'!K1437</f>
        <v>0</v>
      </c>
      <c r="U93" s="80" t="e">
        <f>'Stock Rawmaterial'!#REF!</f>
        <v>#REF!</v>
      </c>
      <c r="V93" s="80" t="e">
        <f>'Stock Rawmaterial'!#REF!</f>
        <v>#REF!</v>
      </c>
      <c r="W93" s="80" t="e">
        <f>'Stock Rawmaterial'!#REF!</f>
        <v>#REF!</v>
      </c>
      <c r="X93" s="346" t="e">
        <f>+(H93+J93+L93+N93+P93)-(R93+T93+V93)</f>
        <v>#REF!</v>
      </c>
      <c r="Y93" s="48"/>
      <c r="Z93" s="163"/>
      <c r="AA93" s="48"/>
      <c r="AB93" s="750"/>
      <c r="AC93" s="795"/>
      <c r="AD93" s="797"/>
      <c r="AE93" s="797"/>
      <c r="AF93" s="551"/>
      <c r="AG93" s="699"/>
      <c r="AH93" s="700"/>
      <c r="AI93" s="699"/>
      <c r="AJ93" s="699"/>
      <c r="AK93" s="551"/>
      <c r="AL93" s="551"/>
      <c r="AM93" s="551"/>
      <c r="AN93" s="551"/>
      <c r="AO93" s="551"/>
      <c r="AP93" s="551"/>
      <c r="AQ93" s="551"/>
      <c r="AR93" s="704"/>
      <c r="AS93" s="704"/>
      <c r="AT93" s="704"/>
      <c r="AU93" s="704"/>
      <c r="AV93" s="704"/>
      <c r="AW93" s="704"/>
      <c r="AX93" s="704"/>
      <c r="AY93" s="704"/>
      <c r="AZ93" s="704"/>
      <c r="BA93" s="704"/>
      <c r="BB93" s="704"/>
    </row>
    <row r="94" spans="1:54" s="265" customFormat="1" ht="30" customHeight="1" x14ac:dyDescent="0.25">
      <c r="A94" s="2084"/>
      <c r="B94" s="2076"/>
      <c r="C94" s="574">
        <f>'Stock Rawmaterial'!C1438</f>
        <v>0</v>
      </c>
      <c r="D94" s="881" t="s">
        <v>10</v>
      </c>
      <c r="E94" s="882">
        <f>'Stock Rawmaterial'!E1438</f>
        <v>44924</v>
      </c>
      <c r="F94" s="71">
        <f t="shared" si="35"/>
        <v>1362</v>
      </c>
      <c r="G94" s="71" t="e">
        <f>'Stock Rawmaterial'!#REF!</f>
        <v>#REF!</v>
      </c>
      <c r="H94" s="80">
        <f>'Stock Rawmaterial'!G1438</f>
        <v>0</v>
      </c>
      <c r="I94" s="80" t="e">
        <f>'Stock Rawmaterial'!#REF!</f>
        <v>#REF!</v>
      </c>
      <c r="J94" s="80">
        <f>'Stock Rawmaterial'!H1438</f>
        <v>0</v>
      </c>
      <c r="K94" s="80" t="e">
        <f>'Stock Rawmaterial'!#REF!</f>
        <v>#REF!</v>
      </c>
      <c r="L94" s="80" t="e">
        <f>'Stock Rawmaterial'!#REF!</f>
        <v>#REF!</v>
      </c>
      <c r="M94" s="80" t="e">
        <f>'Stock Rawmaterial'!#REF!</f>
        <v>#REF!</v>
      </c>
      <c r="N94" s="80">
        <f>'Stock Rawmaterial'!I1438</f>
        <v>0</v>
      </c>
      <c r="O94" s="80" t="e">
        <f>'Stock Rawmaterial'!#REF!</f>
        <v>#REF!</v>
      </c>
      <c r="P94" s="80" t="e">
        <f>'Stock Rawmaterial'!#REF!</f>
        <v>#REF!</v>
      </c>
      <c r="Q94" s="80" t="e">
        <f>'Stock Rawmaterial'!#REF!</f>
        <v>#REF!</v>
      </c>
      <c r="R94" s="80">
        <f>'Stock Rawmaterial'!J1438</f>
        <v>0</v>
      </c>
      <c r="S94" s="80" t="e">
        <f>'Stock Rawmaterial'!#REF!</f>
        <v>#REF!</v>
      </c>
      <c r="T94" s="80">
        <f>'Stock Rawmaterial'!K1438</f>
        <v>0</v>
      </c>
      <c r="U94" s="80" t="e">
        <f>'Stock Rawmaterial'!#REF!</f>
        <v>#REF!</v>
      </c>
      <c r="V94" s="80" t="e">
        <f>'Stock Rawmaterial'!#REF!</f>
        <v>#REF!</v>
      </c>
      <c r="W94" s="80" t="e">
        <f>'Stock Rawmaterial'!#REF!</f>
        <v>#REF!</v>
      </c>
      <c r="X94" s="346" t="e">
        <f t="shared" ref="X94:X95" si="36">+(H94+J94+L94+N94+P94)-(R94+T94+V94)</f>
        <v>#REF!</v>
      </c>
      <c r="Y94" s="48"/>
      <c r="Z94" s="163"/>
      <c r="AA94" s="48"/>
      <c r="AB94" s="750"/>
      <c r="AC94" s="795"/>
      <c r="AD94" s="797"/>
      <c r="AE94" s="797"/>
      <c r="AF94" s="551"/>
      <c r="AG94" s="699"/>
      <c r="AH94" s="700"/>
      <c r="AI94" s="699"/>
      <c r="AJ94" s="699"/>
      <c r="AK94" s="551"/>
      <c r="AL94" s="551"/>
      <c r="AM94" s="551"/>
      <c r="AN94" s="551"/>
      <c r="AO94" s="551"/>
      <c r="AP94" s="551"/>
      <c r="AQ94" s="551"/>
      <c r="AR94" s="704"/>
      <c r="AS94" s="704"/>
      <c r="AT94" s="704"/>
      <c r="AU94" s="704"/>
      <c r="AV94" s="704"/>
      <c r="AW94" s="704"/>
      <c r="AX94" s="704"/>
      <c r="AY94" s="704"/>
      <c r="AZ94" s="704"/>
      <c r="BA94" s="704"/>
      <c r="BB94" s="704"/>
    </row>
    <row r="95" spans="1:54" s="265" customFormat="1" ht="30" customHeight="1" x14ac:dyDescent="0.25">
      <c r="A95" s="2084"/>
      <c r="B95" s="2076"/>
      <c r="C95" s="1092" t="str">
        <f>'Stock Rawmaterial'!C1439</f>
        <v>Feedmil</v>
      </c>
      <c r="D95" s="1093" t="s">
        <v>10</v>
      </c>
      <c r="E95" s="1094">
        <f>'Stock Rawmaterial'!E1439</f>
        <v>44978</v>
      </c>
      <c r="F95" s="1095">
        <f t="shared" si="35"/>
        <v>1308</v>
      </c>
      <c r="G95" s="1095" t="e">
        <f>'Stock Rawmaterial'!#REF!</f>
        <v>#REF!</v>
      </c>
      <c r="H95" s="626">
        <f>'Stock Rawmaterial'!G1439</f>
        <v>0</v>
      </c>
      <c r="I95" s="1096" t="e">
        <f>'Stock Rawmaterial'!#REF!</f>
        <v>#REF!</v>
      </c>
      <c r="J95" s="626">
        <f>'Stock Rawmaterial'!H1439</f>
        <v>0</v>
      </c>
      <c r="K95" s="626" t="e">
        <f>'Stock Rawmaterial'!#REF!</f>
        <v>#REF!</v>
      </c>
      <c r="L95" s="626" t="e">
        <f>'Stock Rawmaterial'!#REF!</f>
        <v>#REF!</v>
      </c>
      <c r="M95" s="627" t="e">
        <f>'Stock Rawmaterial'!#REF!</f>
        <v>#REF!</v>
      </c>
      <c r="N95" s="628">
        <f>'Stock Rawmaterial'!I1439</f>
        <v>0</v>
      </c>
      <c r="O95" s="628" t="e">
        <f>'Stock Rawmaterial'!#REF!</f>
        <v>#REF!</v>
      </c>
      <c r="P95" s="628" t="e">
        <f>'Stock Rawmaterial'!#REF!</f>
        <v>#REF!</v>
      </c>
      <c r="Q95" s="629" t="e">
        <f>'Stock Rawmaterial'!#REF!</f>
        <v>#REF!</v>
      </c>
      <c r="R95" s="630">
        <f>'Stock Rawmaterial'!J1439</f>
        <v>0</v>
      </c>
      <c r="S95" s="629" t="e">
        <f>'Stock Rawmaterial'!#REF!</f>
        <v>#REF!</v>
      </c>
      <c r="T95" s="628">
        <f>'Stock Rawmaterial'!K1439</f>
        <v>0</v>
      </c>
      <c r="U95" s="1097" t="e">
        <f>'Stock Rawmaterial'!#REF!</f>
        <v>#REF!</v>
      </c>
      <c r="V95" s="1098" t="e">
        <f>'Stock Rawmaterial'!#REF!</f>
        <v>#REF!</v>
      </c>
      <c r="W95" s="631" t="e">
        <f>'Stock Rawmaterial'!#REF!</f>
        <v>#REF!</v>
      </c>
      <c r="X95" s="632" t="e">
        <f t="shared" si="36"/>
        <v>#REF!</v>
      </c>
      <c r="Y95" s="48"/>
      <c r="Z95" s="163"/>
      <c r="AA95" s="48"/>
      <c r="AB95" s="750"/>
      <c r="AC95" s="795"/>
      <c r="AD95" s="797"/>
      <c r="AE95" s="797"/>
      <c r="AF95" s="551"/>
      <c r="AG95" s="699"/>
      <c r="AH95" s="700"/>
      <c r="AI95" s="699"/>
      <c r="AJ95" s="699"/>
      <c r="AK95" s="551"/>
      <c r="AL95" s="551"/>
      <c r="AM95" s="551"/>
      <c r="AN95" s="551"/>
      <c r="AO95" s="551"/>
      <c r="AP95" s="551"/>
      <c r="AQ95" s="551"/>
      <c r="AR95" s="704"/>
      <c r="AS95" s="704"/>
      <c r="AT95" s="704"/>
      <c r="AU95" s="704"/>
      <c r="AV95" s="704"/>
      <c r="AW95" s="704"/>
      <c r="AX95" s="704"/>
      <c r="AY95" s="704"/>
      <c r="AZ95" s="704"/>
      <c r="BA95" s="704"/>
      <c r="BB95" s="704"/>
    </row>
    <row r="96" spans="1:54" s="265" customFormat="1" ht="30" customHeight="1" x14ac:dyDescent="0.25">
      <c r="A96" s="184"/>
      <c r="B96" s="184" t="s">
        <v>1277</v>
      </c>
      <c r="C96" s="575"/>
      <c r="D96" s="900"/>
      <c r="E96" s="901"/>
      <c r="F96" s="902"/>
      <c r="G96" s="353"/>
      <c r="H96" s="235">
        <f>+SUM(H93:H95)</f>
        <v>0</v>
      </c>
      <c r="I96" s="235" t="e">
        <f t="shared" ref="I96:X96" si="37">+SUM(I93:I95)</f>
        <v>#REF!</v>
      </c>
      <c r="J96" s="235">
        <f t="shared" si="37"/>
        <v>0</v>
      </c>
      <c r="K96" s="235" t="e">
        <f t="shared" si="37"/>
        <v>#REF!</v>
      </c>
      <c r="L96" s="235" t="e">
        <f t="shared" si="37"/>
        <v>#REF!</v>
      </c>
      <c r="M96" s="235" t="e">
        <f t="shared" si="37"/>
        <v>#REF!</v>
      </c>
      <c r="N96" s="235">
        <f t="shared" si="37"/>
        <v>0</v>
      </c>
      <c r="O96" s="235" t="e">
        <f t="shared" si="37"/>
        <v>#REF!</v>
      </c>
      <c r="P96" s="235" t="e">
        <f t="shared" si="37"/>
        <v>#REF!</v>
      </c>
      <c r="Q96" s="235" t="e">
        <f t="shared" si="37"/>
        <v>#REF!</v>
      </c>
      <c r="R96" s="235">
        <f t="shared" si="37"/>
        <v>0</v>
      </c>
      <c r="S96" s="235" t="e">
        <f t="shared" si="37"/>
        <v>#REF!</v>
      </c>
      <c r="T96" s="235">
        <f t="shared" si="37"/>
        <v>0</v>
      </c>
      <c r="U96" s="235" t="e">
        <f t="shared" si="37"/>
        <v>#REF!</v>
      </c>
      <c r="V96" s="235" t="e">
        <f t="shared" si="37"/>
        <v>#REF!</v>
      </c>
      <c r="W96" s="235" t="e">
        <f t="shared" si="37"/>
        <v>#REF!</v>
      </c>
      <c r="X96" s="235" t="e">
        <f t="shared" si="37"/>
        <v>#REF!</v>
      </c>
      <c r="Y96" s="59">
        <f>'Stock Rawmaterial'!M1438</f>
        <v>0</v>
      </c>
      <c r="Z96" s="366">
        <f>IFERROR(X96/Y96,0)</f>
        <v>0</v>
      </c>
      <c r="AA96" s="59">
        <f>'Stock Rawmaterial'!O1438</f>
        <v>0</v>
      </c>
      <c r="AB96" s="880">
        <f>IFERROR(X96/AA96,0)</f>
        <v>0</v>
      </c>
      <c r="AC96" s="795" t="s">
        <v>923</v>
      </c>
      <c r="AD96" s="797"/>
      <c r="AE96" s="797"/>
      <c r="AF96" s="551"/>
      <c r="AG96" s="699"/>
      <c r="AH96" s="700"/>
      <c r="AI96" s="699"/>
      <c r="AJ96" s="699"/>
      <c r="AK96" s="551"/>
      <c r="AL96" s="683"/>
      <c r="AM96" s="551"/>
      <c r="AN96" s="551"/>
      <c r="AO96" s="551"/>
      <c r="AP96" s="551"/>
      <c r="AQ96" s="551"/>
      <c r="AR96" s="704"/>
      <c r="AS96" s="704"/>
      <c r="AT96" s="704"/>
      <c r="AU96" s="704"/>
      <c r="AV96" s="704"/>
      <c r="AW96" s="704"/>
      <c r="AX96" s="704"/>
      <c r="AY96" s="704"/>
      <c r="AZ96" s="704"/>
      <c r="BA96" s="704"/>
      <c r="BB96" s="704"/>
    </row>
    <row r="97" spans="1:54" s="265" customFormat="1" ht="30" customHeight="1" x14ac:dyDescent="0.25">
      <c r="A97" s="2083" t="e">
        <f>IF(X100=0,"",MAX($A$14:A96)+1)</f>
        <v>#REF!</v>
      </c>
      <c r="B97" s="2075" t="s">
        <v>1267</v>
      </c>
      <c r="C97" s="574" t="str">
        <f>'Stock Rawmaterial'!C1441</f>
        <v>V8.1</v>
      </c>
      <c r="D97" s="881" t="s">
        <v>10</v>
      </c>
      <c r="E97" s="882">
        <f>'Stock Rawmaterial'!E1441</f>
        <v>44978</v>
      </c>
      <c r="F97" s="71">
        <f t="shared" ref="F97:F99" si="38">$X$7-E97</f>
        <v>1308</v>
      </c>
      <c r="G97" s="71" t="e">
        <f>'Stock Rawmaterial'!#REF!</f>
        <v>#REF!</v>
      </c>
      <c r="H97" s="80">
        <f>'Stock Rawmaterial'!G1441</f>
        <v>0</v>
      </c>
      <c r="I97" s="80" t="e">
        <f>'Stock Rawmaterial'!#REF!</f>
        <v>#REF!</v>
      </c>
      <c r="J97" s="80">
        <f>'Stock Rawmaterial'!H1441</f>
        <v>0</v>
      </c>
      <c r="K97" s="80" t="e">
        <f>'Stock Rawmaterial'!#REF!</f>
        <v>#REF!</v>
      </c>
      <c r="L97" s="80" t="e">
        <f>'Stock Rawmaterial'!#REF!</f>
        <v>#REF!</v>
      </c>
      <c r="M97" s="80" t="e">
        <f>'Stock Rawmaterial'!#REF!</f>
        <v>#REF!</v>
      </c>
      <c r="N97" s="80">
        <f>'Stock Rawmaterial'!I1441</f>
        <v>0</v>
      </c>
      <c r="O97" s="80" t="e">
        <f>'Stock Rawmaterial'!#REF!</f>
        <v>#REF!</v>
      </c>
      <c r="P97" s="80" t="e">
        <f>'Stock Rawmaterial'!#REF!</f>
        <v>#REF!</v>
      </c>
      <c r="Q97" s="80" t="e">
        <f>'Stock Rawmaterial'!#REF!</f>
        <v>#REF!</v>
      </c>
      <c r="R97" s="80">
        <f>'Stock Rawmaterial'!J1441</f>
        <v>0</v>
      </c>
      <c r="S97" s="80" t="e">
        <f>'Stock Rawmaterial'!#REF!</f>
        <v>#REF!</v>
      </c>
      <c r="T97" s="80">
        <f>'Stock Rawmaterial'!K1441</f>
        <v>0</v>
      </c>
      <c r="U97" s="80" t="e">
        <f>'Stock Rawmaterial'!#REF!</f>
        <v>#REF!</v>
      </c>
      <c r="V97" s="80" t="e">
        <f>'Stock Rawmaterial'!#REF!</f>
        <v>#REF!</v>
      </c>
      <c r="W97" s="80" t="e">
        <f>'Stock Rawmaterial'!#REF!</f>
        <v>#REF!</v>
      </c>
      <c r="X97" s="346" t="e">
        <f>+(H97+J97+L97+N97+P97)-(R97+T97+V97)</f>
        <v>#REF!</v>
      </c>
      <c r="Y97" s="48"/>
      <c r="Z97" s="163"/>
      <c r="AA97" s="48"/>
      <c r="AB97" s="750"/>
      <c r="AC97" s="795"/>
      <c r="AD97" s="797"/>
      <c r="AE97" s="797"/>
      <c r="AF97" s="551"/>
      <c r="AG97" s="699"/>
      <c r="AH97" s="700"/>
      <c r="AI97" s="699"/>
      <c r="AJ97" s="699"/>
      <c r="AK97" s="551"/>
      <c r="AL97" s="551"/>
      <c r="AM97" s="551"/>
      <c r="AN97" s="551"/>
      <c r="AO97" s="551"/>
      <c r="AP97" s="551"/>
      <c r="AQ97" s="551"/>
      <c r="AR97" s="704"/>
      <c r="AS97" s="704"/>
      <c r="AT97" s="704"/>
      <c r="AU97" s="704"/>
      <c r="AV97" s="704"/>
      <c r="AW97" s="704"/>
      <c r="AX97" s="704"/>
      <c r="AY97" s="704"/>
      <c r="AZ97" s="704"/>
      <c r="BA97" s="704"/>
      <c r="BB97" s="704"/>
    </row>
    <row r="98" spans="1:54" s="265" customFormat="1" ht="30" customHeight="1" x14ac:dyDescent="0.25">
      <c r="A98" s="2084"/>
      <c r="B98" s="2076"/>
      <c r="C98" s="574">
        <f>'Stock Rawmaterial'!C1442</f>
        <v>0</v>
      </c>
      <c r="D98" s="881" t="s">
        <v>10</v>
      </c>
      <c r="E98" s="882">
        <f>'Stock Rawmaterial'!E1442</f>
        <v>44924</v>
      </c>
      <c r="F98" s="71">
        <f t="shared" si="38"/>
        <v>1362</v>
      </c>
      <c r="G98" s="71" t="e">
        <f>'Stock Rawmaterial'!#REF!</f>
        <v>#REF!</v>
      </c>
      <c r="H98" s="80">
        <f>'Stock Rawmaterial'!G1442</f>
        <v>0</v>
      </c>
      <c r="I98" s="80" t="e">
        <f>'Stock Rawmaterial'!#REF!</f>
        <v>#REF!</v>
      </c>
      <c r="J98" s="80">
        <f>'Stock Rawmaterial'!H1442</f>
        <v>0</v>
      </c>
      <c r="K98" s="80" t="e">
        <f>'Stock Rawmaterial'!#REF!</f>
        <v>#REF!</v>
      </c>
      <c r="L98" s="80" t="e">
        <f>'Stock Rawmaterial'!#REF!</f>
        <v>#REF!</v>
      </c>
      <c r="M98" s="80" t="e">
        <f>'Stock Rawmaterial'!#REF!</f>
        <v>#REF!</v>
      </c>
      <c r="N98" s="80">
        <f>'Stock Rawmaterial'!I1442</f>
        <v>0</v>
      </c>
      <c r="O98" s="80" t="e">
        <f>'Stock Rawmaterial'!#REF!</f>
        <v>#REF!</v>
      </c>
      <c r="P98" s="80" t="e">
        <f>'Stock Rawmaterial'!#REF!</f>
        <v>#REF!</v>
      </c>
      <c r="Q98" s="80" t="e">
        <f>'Stock Rawmaterial'!#REF!</f>
        <v>#REF!</v>
      </c>
      <c r="R98" s="80">
        <f>'Stock Rawmaterial'!J1442</f>
        <v>0</v>
      </c>
      <c r="S98" s="80" t="e">
        <f>'Stock Rawmaterial'!#REF!</f>
        <v>#REF!</v>
      </c>
      <c r="T98" s="80">
        <f>'Stock Rawmaterial'!K1442</f>
        <v>0</v>
      </c>
      <c r="U98" s="80" t="e">
        <f>'Stock Rawmaterial'!#REF!</f>
        <v>#REF!</v>
      </c>
      <c r="V98" s="80" t="e">
        <f>'Stock Rawmaterial'!#REF!</f>
        <v>#REF!</v>
      </c>
      <c r="W98" s="80" t="e">
        <f>'Stock Rawmaterial'!#REF!</f>
        <v>#REF!</v>
      </c>
      <c r="X98" s="346" t="e">
        <f t="shared" ref="X98:X99" si="39">+(H98+J98+L98+N98+P98)-(R98+T98+V98)</f>
        <v>#REF!</v>
      </c>
      <c r="Y98" s="48"/>
      <c r="Z98" s="163"/>
      <c r="AA98" s="48"/>
      <c r="AB98" s="750"/>
      <c r="AC98" s="795"/>
      <c r="AD98" s="797"/>
      <c r="AE98" s="797"/>
      <c r="AF98" s="551"/>
      <c r="AG98" s="699"/>
      <c r="AH98" s="700"/>
      <c r="AI98" s="699"/>
      <c r="AJ98" s="699"/>
      <c r="AK98" s="551"/>
      <c r="AL98" s="551"/>
      <c r="AM98" s="551"/>
      <c r="AN98" s="551"/>
      <c r="AO98" s="551"/>
      <c r="AP98" s="551"/>
      <c r="AQ98" s="551"/>
      <c r="AR98" s="704"/>
      <c r="AS98" s="704"/>
      <c r="AT98" s="704"/>
      <c r="AU98" s="704"/>
      <c r="AV98" s="704"/>
      <c r="AW98" s="704"/>
      <c r="AX98" s="704"/>
      <c r="AY98" s="704"/>
      <c r="AZ98" s="704"/>
      <c r="BA98" s="704"/>
      <c r="BB98" s="704"/>
    </row>
    <row r="99" spans="1:54" s="265" customFormat="1" ht="30" customHeight="1" x14ac:dyDescent="0.25">
      <c r="A99" s="2084"/>
      <c r="B99" s="2076"/>
      <c r="C99" s="1092" t="str">
        <f>'Stock Rawmaterial'!C1443</f>
        <v>Feedmil</v>
      </c>
      <c r="D99" s="1093" t="s">
        <v>10</v>
      </c>
      <c r="E99" s="1094">
        <f>'Stock Rawmaterial'!E1443</f>
        <v>44978</v>
      </c>
      <c r="F99" s="1095">
        <f t="shared" si="38"/>
        <v>1308</v>
      </c>
      <c r="G99" s="1095" t="e">
        <f>'Stock Rawmaterial'!#REF!</f>
        <v>#REF!</v>
      </c>
      <c r="H99" s="626">
        <f>'Stock Rawmaterial'!G1443</f>
        <v>0</v>
      </c>
      <c r="I99" s="1096" t="e">
        <f>'Stock Rawmaterial'!#REF!</f>
        <v>#REF!</v>
      </c>
      <c r="J99" s="626">
        <f>'Stock Rawmaterial'!H1443</f>
        <v>0</v>
      </c>
      <c r="K99" s="626" t="e">
        <f>'Stock Rawmaterial'!#REF!</f>
        <v>#REF!</v>
      </c>
      <c r="L99" s="626" t="e">
        <f>'Stock Rawmaterial'!#REF!</f>
        <v>#REF!</v>
      </c>
      <c r="M99" s="627" t="e">
        <f>'Stock Rawmaterial'!#REF!</f>
        <v>#REF!</v>
      </c>
      <c r="N99" s="628">
        <f>'Stock Rawmaterial'!I1443</f>
        <v>0</v>
      </c>
      <c r="O99" s="628" t="e">
        <f>'Stock Rawmaterial'!#REF!</f>
        <v>#REF!</v>
      </c>
      <c r="P99" s="628" t="e">
        <f>'Stock Rawmaterial'!#REF!</f>
        <v>#REF!</v>
      </c>
      <c r="Q99" s="629" t="e">
        <f>'Stock Rawmaterial'!#REF!</f>
        <v>#REF!</v>
      </c>
      <c r="R99" s="630">
        <f>'Stock Rawmaterial'!J1443</f>
        <v>0</v>
      </c>
      <c r="S99" s="629" t="e">
        <f>'Stock Rawmaterial'!#REF!</f>
        <v>#REF!</v>
      </c>
      <c r="T99" s="628">
        <f>'Stock Rawmaterial'!K1443</f>
        <v>0</v>
      </c>
      <c r="U99" s="1097" t="e">
        <f>'Stock Rawmaterial'!#REF!</f>
        <v>#REF!</v>
      </c>
      <c r="V99" s="1098" t="e">
        <f>'Stock Rawmaterial'!#REF!</f>
        <v>#REF!</v>
      </c>
      <c r="W99" s="631" t="e">
        <f>'Stock Rawmaterial'!#REF!</f>
        <v>#REF!</v>
      </c>
      <c r="X99" s="632" t="e">
        <f t="shared" si="39"/>
        <v>#REF!</v>
      </c>
      <c r="Y99" s="48"/>
      <c r="Z99" s="163"/>
      <c r="AA99" s="48"/>
      <c r="AB99" s="750"/>
      <c r="AC99" s="795"/>
      <c r="AD99" s="797"/>
      <c r="AE99" s="797"/>
      <c r="AF99" s="551"/>
      <c r="AG99" s="699"/>
      <c r="AH99" s="700"/>
      <c r="AI99" s="699"/>
      <c r="AJ99" s="699"/>
      <c r="AK99" s="551"/>
      <c r="AL99" s="551"/>
      <c r="AM99" s="551"/>
      <c r="AN99" s="551"/>
      <c r="AO99" s="551"/>
      <c r="AP99" s="551"/>
      <c r="AQ99" s="551"/>
      <c r="AR99" s="704"/>
      <c r="AS99" s="704"/>
      <c r="AT99" s="704"/>
      <c r="AU99" s="704"/>
      <c r="AV99" s="704"/>
      <c r="AW99" s="704"/>
      <c r="AX99" s="704"/>
      <c r="AY99" s="704"/>
      <c r="AZ99" s="704"/>
      <c r="BA99" s="704"/>
      <c r="BB99" s="704"/>
    </row>
    <row r="100" spans="1:54" s="265" customFormat="1" ht="30" customHeight="1" x14ac:dyDescent="0.25">
      <c r="A100" s="184"/>
      <c r="B100" s="184" t="s">
        <v>1276</v>
      </c>
      <c r="C100" s="575"/>
      <c r="D100" s="900"/>
      <c r="E100" s="901"/>
      <c r="F100" s="902"/>
      <c r="G100" s="353"/>
      <c r="H100" s="235">
        <f>+SUM(H97:H99)</f>
        <v>0</v>
      </c>
      <c r="I100" s="235" t="e">
        <f t="shared" ref="I100:X100" si="40">+SUM(I97:I99)</f>
        <v>#REF!</v>
      </c>
      <c r="J100" s="235">
        <f t="shared" si="40"/>
        <v>0</v>
      </c>
      <c r="K100" s="235" t="e">
        <f t="shared" si="40"/>
        <v>#REF!</v>
      </c>
      <c r="L100" s="235" t="e">
        <f t="shared" si="40"/>
        <v>#REF!</v>
      </c>
      <c r="M100" s="235" t="e">
        <f t="shared" si="40"/>
        <v>#REF!</v>
      </c>
      <c r="N100" s="235">
        <f t="shared" si="40"/>
        <v>0</v>
      </c>
      <c r="O100" s="235" t="e">
        <f t="shared" si="40"/>
        <v>#REF!</v>
      </c>
      <c r="P100" s="235" t="e">
        <f t="shared" si="40"/>
        <v>#REF!</v>
      </c>
      <c r="Q100" s="235" t="e">
        <f t="shared" si="40"/>
        <v>#REF!</v>
      </c>
      <c r="R100" s="235">
        <f t="shared" si="40"/>
        <v>0</v>
      </c>
      <c r="S100" s="235" t="e">
        <f t="shared" si="40"/>
        <v>#REF!</v>
      </c>
      <c r="T100" s="235">
        <f t="shared" si="40"/>
        <v>0</v>
      </c>
      <c r="U100" s="235" t="e">
        <f t="shared" si="40"/>
        <v>#REF!</v>
      </c>
      <c r="V100" s="235" t="e">
        <f t="shared" si="40"/>
        <v>#REF!</v>
      </c>
      <c r="W100" s="235" t="e">
        <f t="shared" si="40"/>
        <v>#REF!</v>
      </c>
      <c r="X100" s="235" t="e">
        <f t="shared" si="40"/>
        <v>#REF!</v>
      </c>
      <c r="Y100" s="59">
        <f>'Stock Rawmaterial'!M1442</f>
        <v>0</v>
      </c>
      <c r="Z100" s="366">
        <f>IFERROR(X100/Y100,0)</f>
        <v>0</v>
      </c>
      <c r="AA100" s="59">
        <f>'Stock Rawmaterial'!O1442</f>
        <v>0</v>
      </c>
      <c r="AB100" s="880">
        <f>IFERROR(X100/AA100,0)</f>
        <v>0</v>
      </c>
      <c r="AC100" s="795" t="s">
        <v>923</v>
      </c>
      <c r="AD100" s="797"/>
      <c r="AE100" s="797"/>
      <c r="AF100" s="551"/>
      <c r="AG100" s="699"/>
      <c r="AH100" s="700"/>
      <c r="AI100" s="699"/>
      <c r="AJ100" s="699"/>
      <c r="AK100" s="551"/>
      <c r="AL100" s="683"/>
      <c r="AM100" s="551"/>
      <c r="AN100" s="551"/>
      <c r="AO100" s="551"/>
      <c r="AP100" s="551"/>
      <c r="AQ100" s="551"/>
      <c r="AR100" s="704"/>
      <c r="AS100" s="704"/>
      <c r="AT100" s="704"/>
      <c r="AU100" s="704"/>
      <c r="AV100" s="704"/>
      <c r="AW100" s="704"/>
      <c r="AX100" s="704"/>
      <c r="AY100" s="704"/>
      <c r="AZ100" s="704"/>
      <c r="BA100" s="704"/>
      <c r="BB100" s="704"/>
    </row>
    <row r="101" spans="1:54" s="265" customFormat="1" ht="30" customHeight="1" x14ac:dyDescent="0.25">
      <c r="A101" s="2083" t="e">
        <f>IF(X104=0,"",MAX($A$14:A100)+1)</f>
        <v>#REF!</v>
      </c>
      <c r="B101" s="2075" t="s">
        <v>1273</v>
      </c>
      <c r="C101" s="574" t="str">
        <f>'Stock Rawmaterial'!C1445</f>
        <v>V9.1</v>
      </c>
      <c r="D101" s="881" t="s">
        <v>10</v>
      </c>
      <c r="E101" s="882">
        <f>'Stock Rawmaterial'!E1445</f>
        <v>44986</v>
      </c>
      <c r="F101" s="71">
        <f t="shared" ref="F101:F103" si="41">$X$7-E101</f>
        <v>1300</v>
      </c>
      <c r="G101" s="71" t="e">
        <f>'Stock Rawmaterial'!#REF!</f>
        <v>#REF!</v>
      </c>
      <c r="H101" s="80">
        <f>'Stock Rawmaterial'!G1445</f>
        <v>0</v>
      </c>
      <c r="I101" s="80" t="e">
        <f>'Stock Rawmaterial'!#REF!</f>
        <v>#REF!</v>
      </c>
      <c r="J101" s="80">
        <f>'Stock Rawmaterial'!H1445</f>
        <v>0</v>
      </c>
      <c r="K101" s="80" t="e">
        <f>'Stock Rawmaterial'!#REF!</f>
        <v>#REF!</v>
      </c>
      <c r="L101" s="80" t="e">
        <f>'Stock Rawmaterial'!#REF!</f>
        <v>#REF!</v>
      </c>
      <c r="M101" s="80" t="e">
        <f>'Stock Rawmaterial'!#REF!</f>
        <v>#REF!</v>
      </c>
      <c r="N101" s="80">
        <f>'Stock Rawmaterial'!I1445</f>
        <v>0</v>
      </c>
      <c r="O101" s="80" t="e">
        <f>'Stock Rawmaterial'!#REF!</f>
        <v>#REF!</v>
      </c>
      <c r="P101" s="80" t="e">
        <f>'Stock Rawmaterial'!#REF!</f>
        <v>#REF!</v>
      </c>
      <c r="Q101" s="80" t="e">
        <f>'Stock Rawmaterial'!#REF!</f>
        <v>#REF!</v>
      </c>
      <c r="R101" s="80">
        <f>'Stock Rawmaterial'!J1445</f>
        <v>0</v>
      </c>
      <c r="S101" s="80" t="e">
        <f>'Stock Rawmaterial'!#REF!</f>
        <v>#REF!</v>
      </c>
      <c r="T101" s="80">
        <f>'Stock Rawmaterial'!K1445</f>
        <v>0</v>
      </c>
      <c r="U101" s="80" t="e">
        <f>'Stock Rawmaterial'!#REF!</f>
        <v>#REF!</v>
      </c>
      <c r="V101" s="80" t="e">
        <f>'Stock Rawmaterial'!#REF!</f>
        <v>#REF!</v>
      </c>
      <c r="W101" s="80" t="e">
        <f>'Stock Rawmaterial'!#REF!</f>
        <v>#REF!</v>
      </c>
      <c r="X101" s="346" t="e">
        <f>+(H101+J101+L101+N101+P101)-(R101+T101+V101)</f>
        <v>#REF!</v>
      </c>
      <c r="Y101" s="48"/>
      <c r="Z101" s="163"/>
      <c r="AA101" s="48"/>
      <c r="AB101" s="750"/>
      <c r="AC101" s="795"/>
      <c r="AD101" s="797"/>
      <c r="AE101" s="797"/>
      <c r="AF101" s="551"/>
      <c r="AG101" s="699"/>
      <c r="AH101" s="700"/>
      <c r="AI101" s="699"/>
      <c r="AJ101" s="699"/>
      <c r="AK101" s="551"/>
      <c r="AL101" s="551"/>
      <c r="AM101" s="551"/>
      <c r="AN101" s="551"/>
      <c r="AO101" s="551"/>
      <c r="AP101" s="551"/>
      <c r="AQ101" s="551"/>
      <c r="AR101" s="704"/>
      <c r="AS101" s="704"/>
      <c r="AT101" s="704"/>
      <c r="AU101" s="704"/>
      <c r="AV101" s="704"/>
      <c r="AW101" s="704"/>
      <c r="AX101" s="704"/>
      <c r="AY101" s="704"/>
      <c r="AZ101" s="704"/>
      <c r="BA101" s="704"/>
      <c r="BB101" s="704"/>
    </row>
    <row r="102" spans="1:54" s="265" customFormat="1" ht="30" customHeight="1" x14ac:dyDescent="0.25">
      <c r="A102" s="2084"/>
      <c r="B102" s="2076"/>
      <c r="C102" s="574">
        <f>'Stock Rawmaterial'!C1446</f>
        <v>0</v>
      </c>
      <c r="D102" s="881" t="s">
        <v>10</v>
      </c>
      <c r="E102" s="882">
        <f>'Stock Rawmaterial'!E1446</f>
        <v>44924</v>
      </c>
      <c r="F102" s="71">
        <f t="shared" si="41"/>
        <v>1362</v>
      </c>
      <c r="G102" s="71" t="e">
        <f>'Stock Rawmaterial'!#REF!</f>
        <v>#REF!</v>
      </c>
      <c r="H102" s="80">
        <f>'Stock Rawmaterial'!G1446</f>
        <v>0</v>
      </c>
      <c r="I102" s="80" t="e">
        <f>'Stock Rawmaterial'!#REF!</f>
        <v>#REF!</v>
      </c>
      <c r="J102" s="80">
        <f>'Stock Rawmaterial'!H1446</f>
        <v>0</v>
      </c>
      <c r="K102" s="80" t="e">
        <f>'Stock Rawmaterial'!#REF!</f>
        <v>#REF!</v>
      </c>
      <c r="L102" s="80" t="e">
        <f>'Stock Rawmaterial'!#REF!</f>
        <v>#REF!</v>
      </c>
      <c r="M102" s="80" t="e">
        <f>'Stock Rawmaterial'!#REF!</f>
        <v>#REF!</v>
      </c>
      <c r="N102" s="80">
        <f>'Stock Rawmaterial'!I1446</f>
        <v>0</v>
      </c>
      <c r="O102" s="80" t="e">
        <f>'Stock Rawmaterial'!#REF!</f>
        <v>#REF!</v>
      </c>
      <c r="P102" s="80" t="e">
        <f>'Stock Rawmaterial'!#REF!</f>
        <v>#REF!</v>
      </c>
      <c r="Q102" s="80" t="e">
        <f>'Stock Rawmaterial'!#REF!</f>
        <v>#REF!</v>
      </c>
      <c r="R102" s="80">
        <f>'Stock Rawmaterial'!J1446</f>
        <v>0</v>
      </c>
      <c r="S102" s="80" t="e">
        <f>'Stock Rawmaterial'!#REF!</f>
        <v>#REF!</v>
      </c>
      <c r="T102" s="80">
        <f>'Stock Rawmaterial'!K1446</f>
        <v>0</v>
      </c>
      <c r="U102" s="80" t="e">
        <f>'Stock Rawmaterial'!#REF!</f>
        <v>#REF!</v>
      </c>
      <c r="V102" s="80" t="e">
        <f>'Stock Rawmaterial'!#REF!</f>
        <v>#REF!</v>
      </c>
      <c r="W102" s="80" t="e">
        <f>'Stock Rawmaterial'!#REF!</f>
        <v>#REF!</v>
      </c>
      <c r="X102" s="346" t="e">
        <f t="shared" ref="X102:X103" si="42">+(H102+J102+L102+N102+P102)-(R102+T102+V102)</f>
        <v>#REF!</v>
      </c>
      <c r="Y102" s="48"/>
      <c r="Z102" s="163"/>
      <c r="AA102" s="48"/>
      <c r="AB102" s="750"/>
      <c r="AC102" s="795"/>
      <c r="AD102" s="797"/>
      <c r="AE102" s="797"/>
      <c r="AF102" s="551"/>
      <c r="AG102" s="699"/>
      <c r="AH102" s="700"/>
      <c r="AI102" s="699"/>
      <c r="AJ102" s="699"/>
      <c r="AK102" s="551"/>
      <c r="AL102" s="551"/>
      <c r="AM102" s="551"/>
      <c r="AN102" s="551"/>
      <c r="AO102" s="551"/>
      <c r="AP102" s="551"/>
      <c r="AQ102" s="551"/>
      <c r="AR102" s="704"/>
      <c r="AS102" s="704"/>
      <c r="AT102" s="704"/>
      <c r="AU102" s="704"/>
      <c r="AV102" s="704"/>
      <c r="AW102" s="704"/>
      <c r="AX102" s="704"/>
      <c r="AY102" s="704"/>
      <c r="AZ102" s="704"/>
      <c r="BA102" s="704"/>
      <c r="BB102" s="704"/>
    </row>
    <row r="103" spans="1:54" s="265" customFormat="1" ht="30" customHeight="1" x14ac:dyDescent="0.25">
      <c r="A103" s="2084"/>
      <c r="B103" s="2076"/>
      <c r="C103" s="1092" t="str">
        <f>'Stock Rawmaterial'!C1447</f>
        <v>Feedmil</v>
      </c>
      <c r="D103" s="1093" t="s">
        <v>10</v>
      </c>
      <c r="E103" s="1094">
        <f>'Stock Rawmaterial'!E1447</f>
        <v>44986</v>
      </c>
      <c r="F103" s="1095">
        <f t="shared" si="41"/>
        <v>1300</v>
      </c>
      <c r="G103" s="1095" t="e">
        <f>'Stock Rawmaterial'!#REF!</f>
        <v>#REF!</v>
      </c>
      <c r="H103" s="626">
        <f>'Stock Rawmaterial'!G1447</f>
        <v>0</v>
      </c>
      <c r="I103" s="1096" t="e">
        <f>'Stock Rawmaterial'!#REF!</f>
        <v>#REF!</v>
      </c>
      <c r="J103" s="626">
        <f>'Stock Rawmaterial'!H1447</f>
        <v>0</v>
      </c>
      <c r="K103" s="626" t="e">
        <f>'Stock Rawmaterial'!#REF!</f>
        <v>#REF!</v>
      </c>
      <c r="L103" s="626" t="e">
        <f>'Stock Rawmaterial'!#REF!</f>
        <v>#REF!</v>
      </c>
      <c r="M103" s="627" t="e">
        <f>'Stock Rawmaterial'!#REF!</f>
        <v>#REF!</v>
      </c>
      <c r="N103" s="628">
        <f>'Stock Rawmaterial'!I1447</f>
        <v>0</v>
      </c>
      <c r="O103" s="628" t="e">
        <f>'Stock Rawmaterial'!#REF!</f>
        <v>#REF!</v>
      </c>
      <c r="P103" s="628" t="e">
        <f>'Stock Rawmaterial'!#REF!</f>
        <v>#REF!</v>
      </c>
      <c r="Q103" s="629" t="e">
        <f>'Stock Rawmaterial'!#REF!</f>
        <v>#REF!</v>
      </c>
      <c r="R103" s="630">
        <f>'Stock Rawmaterial'!J1447</f>
        <v>0</v>
      </c>
      <c r="S103" s="629" t="e">
        <f>'Stock Rawmaterial'!#REF!</f>
        <v>#REF!</v>
      </c>
      <c r="T103" s="628">
        <f>'Stock Rawmaterial'!K1447</f>
        <v>0</v>
      </c>
      <c r="U103" s="1097" t="e">
        <f>'Stock Rawmaterial'!#REF!</f>
        <v>#REF!</v>
      </c>
      <c r="V103" s="1098" t="e">
        <f>'Stock Rawmaterial'!#REF!</f>
        <v>#REF!</v>
      </c>
      <c r="W103" s="631" t="e">
        <f>'Stock Rawmaterial'!#REF!</f>
        <v>#REF!</v>
      </c>
      <c r="X103" s="632" t="e">
        <f t="shared" si="42"/>
        <v>#REF!</v>
      </c>
      <c r="Y103" s="48"/>
      <c r="Z103" s="163"/>
      <c r="AA103" s="48"/>
      <c r="AB103" s="750"/>
      <c r="AC103" s="795"/>
      <c r="AD103" s="797"/>
      <c r="AE103" s="797"/>
      <c r="AF103" s="551"/>
      <c r="AG103" s="699"/>
      <c r="AH103" s="700"/>
      <c r="AI103" s="699"/>
      <c r="AJ103" s="699"/>
      <c r="AK103" s="551"/>
      <c r="AL103" s="551"/>
      <c r="AM103" s="551"/>
      <c r="AN103" s="551"/>
      <c r="AO103" s="551"/>
      <c r="AP103" s="551"/>
      <c r="AQ103" s="551"/>
      <c r="AR103" s="704"/>
      <c r="AS103" s="704"/>
      <c r="AT103" s="704"/>
      <c r="AU103" s="704"/>
      <c r="AV103" s="704"/>
      <c r="AW103" s="704"/>
      <c r="AX103" s="704"/>
      <c r="AY103" s="704"/>
      <c r="AZ103" s="704"/>
      <c r="BA103" s="704"/>
      <c r="BB103" s="704"/>
    </row>
    <row r="104" spans="1:54" s="265" customFormat="1" ht="30" customHeight="1" x14ac:dyDescent="0.25">
      <c r="A104" s="184"/>
      <c r="B104" s="184" t="s">
        <v>1275</v>
      </c>
      <c r="C104" s="575"/>
      <c r="D104" s="900"/>
      <c r="E104" s="901"/>
      <c r="F104" s="902"/>
      <c r="G104" s="353"/>
      <c r="H104" s="235">
        <f>+SUM(H101:H103)</f>
        <v>0</v>
      </c>
      <c r="I104" s="235" t="e">
        <f t="shared" ref="I104:X104" si="43">+SUM(I101:I103)</f>
        <v>#REF!</v>
      </c>
      <c r="J104" s="235">
        <f t="shared" si="43"/>
        <v>0</v>
      </c>
      <c r="K104" s="235" t="e">
        <f t="shared" si="43"/>
        <v>#REF!</v>
      </c>
      <c r="L104" s="235" t="e">
        <f t="shared" si="43"/>
        <v>#REF!</v>
      </c>
      <c r="M104" s="235" t="e">
        <f t="shared" si="43"/>
        <v>#REF!</v>
      </c>
      <c r="N104" s="235">
        <f t="shared" si="43"/>
        <v>0</v>
      </c>
      <c r="O104" s="235" t="e">
        <f t="shared" si="43"/>
        <v>#REF!</v>
      </c>
      <c r="P104" s="235" t="e">
        <f t="shared" si="43"/>
        <v>#REF!</v>
      </c>
      <c r="Q104" s="235" t="e">
        <f t="shared" si="43"/>
        <v>#REF!</v>
      </c>
      <c r="R104" s="235">
        <f t="shared" si="43"/>
        <v>0</v>
      </c>
      <c r="S104" s="235" t="e">
        <f t="shared" si="43"/>
        <v>#REF!</v>
      </c>
      <c r="T104" s="235">
        <f t="shared" si="43"/>
        <v>0</v>
      </c>
      <c r="U104" s="235" t="e">
        <f t="shared" si="43"/>
        <v>#REF!</v>
      </c>
      <c r="V104" s="235" t="e">
        <f t="shared" si="43"/>
        <v>#REF!</v>
      </c>
      <c r="W104" s="235" t="e">
        <f t="shared" si="43"/>
        <v>#REF!</v>
      </c>
      <c r="X104" s="235" t="e">
        <f t="shared" si="43"/>
        <v>#REF!</v>
      </c>
      <c r="Y104" s="59">
        <f>'Stock Rawmaterial'!M1446</f>
        <v>0</v>
      </c>
      <c r="Z104" s="366">
        <f>IFERROR(X104/Y104,0)</f>
        <v>0</v>
      </c>
      <c r="AA104" s="59">
        <f>'Stock Rawmaterial'!O1446</f>
        <v>0</v>
      </c>
      <c r="AB104" s="880">
        <f>IFERROR(X104/AA104,0)</f>
        <v>0</v>
      </c>
      <c r="AC104" s="795" t="s">
        <v>923</v>
      </c>
      <c r="AD104" s="797"/>
      <c r="AE104" s="797"/>
      <c r="AF104" s="551"/>
      <c r="AG104" s="699"/>
      <c r="AH104" s="700"/>
      <c r="AI104" s="699"/>
      <c r="AJ104" s="699"/>
      <c r="AK104" s="551"/>
      <c r="AL104" s="683"/>
      <c r="AM104" s="551"/>
      <c r="AN104" s="551"/>
      <c r="AO104" s="551"/>
      <c r="AP104" s="551"/>
      <c r="AQ104" s="551"/>
      <c r="AR104" s="704"/>
      <c r="AS104" s="704"/>
      <c r="AT104" s="704"/>
      <c r="AU104" s="704"/>
      <c r="AV104" s="704"/>
      <c r="AW104" s="704"/>
      <c r="AX104" s="704"/>
      <c r="AY104" s="704"/>
      <c r="AZ104" s="704"/>
      <c r="BA104" s="704"/>
      <c r="BB104" s="704"/>
    </row>
    <row r="105" spans="1:54" s="265" customFormat="1" ht="30" customHeight="1" x14ac:dyDescent="0.25">
      <c r="A105" s="2083" t="e">
        <f>IF(X108=0,"",MAX($A$14:A104)+1)</f>
        <v>#REF!</v>
      </c>
      <c r="B105" s="2075" t="s">
        <v>1290</v>
      </c>
      <c r="C105" s="574">
        <f>'Stock Rawmaterial'!C1449</f>
        <v>0</v>
      </c>
      <c r="D105" s="881" t="s">
        <v>10</v>
      </c>
      <c r="E105" s="882">
        <f>'Stock Rawmaterial'!E1449</f>
        <v>45027</v>
      </c>
      <c r="F105" s="71">
        <f t="shared" ref="F105:F107" si="44">$X$7-E105</f>
        <v>1259</v>
      </c>
      <c r="G105" s="71" t="e">
        <f>'Stock Rawmaterial'!#REF!</f>
        <v>#REF!</v>
      </c>
      <c r="H105" s="80">
        <f>'Stock Rawmaterial'!G1449</f>
        <v>0</v>
      </c>
      <c r="I105" s="80" t="e">
        <f>'Stock Rawmaterial'!#REF!</f>
        <v>#REF!</v>
      </c>
      <c r="J105" s="80">
        <f>'Stock Rawmaterial'!H1449</f>
        <v>0</v>
      </c>
      <c r="K105" s="80" t="e">
        <f>'Stock Rawmaterial'!#REF!</f>
        <v>#REF!</v>
      </c>
      <c r="L105" s="80" t="e">
        <f>'Stock Rawmaterial'!#REF!</f>
        <v>#REF!</v>
      </c>
      <c r="M105" s="80" t="e">
        <f>'Stock Rawmaterial'!#REF!</f>
        <v>#REF!</v>
      </c>
      <c r="N105" s="80">
        <f>'Stock Rawmaterial'!I1449</f>
        <v>0</v>
      </c>
      <c r="O105" s="80" t="e">
        <f>'Stock Rawmaterial'!#REF!</f>
        <v>#REF!</v>
      </c>
      <c r="P105" s="80" t="e">
        <f>'Stock Rawmaterial'!#REF!</f>
        <v>#REF!</v>
      </c>
      <c r="Q105" s="80" t="e">
        <f>'Stock Rawmaterial'!#REF!</f>
        <v>#REF!</v>
      </c>
      <c r="R105" s="80">
        <f>'Stock Rawmaterial'!J1449</f>
        <v>0</v>
      </c>
      <c r="S105" s="80" t="e">
        <f>'Stock Rawmaterial'!#REF!</f>
        <v>#REF!</v>
      </c>
      <c r="T105" s="80">
        <f>'Stock Rawmaterial'!K1449</f>
        <v>0</v>
      </c>
      <c r="U105" s="80" t="e">
        <f>'Stock Rawmaterial'!#REF!</f>
        <v>#REF!</v>
      </c>
      <c r="V105" s="80" t="e">
        <f>'Stock Rawmaterial'!#REF!</f>
        <v>#REF!</v>
      </c>
      <c r="W105" s="80" t="e">
        <f>'Stock Rawmaterial'!#REF!</f>
        <v>#REF!</v>
      </c>
      <c r="X105" s="346" t="e">
        <f>+(H105+J105+L105+N105+P105)-(R105+T105+V105)</f>
        <v>#REF!</v>
      </c>
      <c r="Y105" s="48"/>
      <c r="Z105" s="163"/>
      <c r="AA105" s="48"/>
      <c r="AB105" s="750"/>
      <c r="AC105" s="795"/>
      <c r="AD105" s="797"/>
      <c r="AE105" s="797"/>
      <c r="AF105" s="551"/>
      <c r="AG105" s="699"/>
      <c r="AH105" s="700"/>
      <c r="AI105" s="699"/>
      <c r="AJ105" s="699"/>
      <c r="AK105" s="551"/>
      <c r="AL105" s="551"/>
      <c r="AM105" s="551"/>
      <c r="AN105" s="551"/>
      <c r="AO105" s="551"/>
      <c r="AP105" s="551"/>
      <c r="AQ105" s="551"/>
      <c r="AR105" s="704"/>
      <c r="AS105" s="704"/>
      <c r="AT105" s="704"/>
      <c r="AU105" s="704"/>
      <c r="AV105" s="704"/>
      <c r="AW105" s="704"/>
      <c r="AX105" s="704"/>
      <c r="AY105" s="704"/>
      <c r="AZ105" s="704"/>
      <c r="BA105" s="704"/>
      <c r="BB105" s="704"/>
    </row>
    <row r="106" spans="1:54" s="265" customFormat="1" ht="30" customHeight="1" x14ac:dyDescent="0.25">
      <c r="A106" s="2084"/>
      <c r="B106" s="2076"/>
      <c r="C106" s="574">
        <f>'Stock Rawmaterial'!C1450</f>
        <v>0</v>
      </c>
      <c r="D106" s="881" t="s">
        <v>10</v>
      </c>
      <c r="E106" s="882">
        <f>'Stock Rawmaterial'!E1450</f>
        <v>44924</v>
      </c>
      <c r="F106" s="71">
        <f t="shared" si="44"/>
        <v>1362</v>
      </c>
      <c r="G106" s="71" t="e">
        <f>'Stock Rawmaterial'!#REF!</f>
        <v>#REF!</v>
      </c>
      <c r="H106" s="80">
        <f>'Stock Rawmaterial'!G1450</f>
        <v>0</v>
      </c>
      <c r="I106" s="80" t="e">
        <f>'Stock Rawmaterial'!#REF!</f>
        <v>#REF!</v>
      </c>
      <c r="J106" s="80">
        <f>'Stock Rawmaterial'!H1450</f>
        <v>0</v>
      </c>
      <c r="K106" s="80" t="e">
        <f>'Stock Rawmaterial'!#REF!</f>
        <v>#REF!</v>
      </c>
      <c r="L106" s="80" t="e">
        <f>'Stock Rawmaterial'!#REF!</f>
        <v>#REF!</v>
      </c>
      <c r="M106" s="80" t="e">
        <f>'Stock Rawmaterial'!#REF!</f>
        <v>#REF!</v>
      </c>
      <c r="N106" s="80">
        <f>'Stock Rawmaterial'!I1450</f>
        <v>0</v>
      </c>
      <c r="O106" s="80" t="e">
        <f>'Stock Rawmaterial'!#REF!</f>
        <v>#REF!</v>
      </c>
      <c r="P106" s="80" t="e">
        <f>'Stock Rawmaterial'!#REF!</f>
        <v>#REF!</v>
      </c>
      <c r="Q106" s="80" t="e">
        <f>'Stock Rawmaterial'!#REF!</f>
        <v>#REF!</v>
      </c>
      <c r="R106" s="80">
        <f>'Stock Rawmaterial'!J1450</f>
        <v>0</v>
      </c>
      <c r="S106" s="80" t="e">
        <f>'Stock Rawmaterial'!#REF!</f>
        <v>#REF!</v>
      </c>
      <c r="T106" s="80">
        <f>'Stock Rawmaterial'!K1450</f>
        <v>0</v>
      </c>
      <c r="U106" s="80" t="e">
        <f>'Stock Rawmaterial'!#REF!</f>
        <v>#REF!</v>
      </c>
      <c r="V106" s="80" t="e">
        <f>'Stock Rawmaterial'!#REF!</f>
        <v>#REF!</v>
      </c>
      <c r="W106" s="80" t="e">
        <f>'Stock Rawmaterial'!#REF!</f>
        <v>#REF!</v>
      </c>
      <c r="X106" s="346" t="e">
        <f t="shared" ref="X106:X107" si="45">+(H106+J106+L106+N106+P106)-(R106+T106+V106)</f>
        <v>#REF!</v>
      </c>
      <c r="Y106" s="48"/>
      <c r="Z106" s="163"/>
      <c r="AA106" s="48"/>
      <c r="AB106" s="750"/>
      <c r="AC106" s="795"/>
      <c r="AD106" s="797"/>
      <c r="AE106" s="797"/>
      <c r="AF106" s="551"/>
      <c r="AG106" s="699"/>
      <c r="AH106" s="700"/>
      <c r="AI106" s="699"/>
      <c r="AJ106" s="699"/>
      <c r="AK106" s="551"/>
      <c r="AL106" s="551"/>
      <c r="AM106" s="551"/>
      <c r="AN106" s="551"/>
      <c r="AO106" s="551"/>
      <c r="AP106" s="551"/>
      <c r="AQ106" s="551"/>
      <c r="AR106" s="704"/>
      <c r="AS106" s="704"/>
      <c r="AT106" s="704"/>
      <c r="AU106" s="704"/>
      <c r="AV106" s="704"/>
      <c r="AW106" s="704"/>
      <c r="AX106" s="704"/>
      <c r="AY106" s="704"/>
      <c r="AZ106" s="704"/>
      <c r="BA106" s="704"/>
      <c r="BB106" s="704"/>
    </row>
    <row r="107" spans="1:54" s="265" customFormat="1" ht="30" customHeight="1" x14ac:dyDescent="0.25">
      <c r="A107" s="2084"/>
      <c r="B107" s="2076"/>
      <c r="C107" s="1092" t="str">
        <f>'Stock Rawmaterial'!C1451</f>
        <v>Feedmil</v>
      </c>
      <c r="D107" s="1093" t="s">
        <v>10</v>
      </c>
      <c r="E107" s="1094">
        <f>'Stock Rawmaterial'!E1451</f>
        <v>45027</v>
      </c>
      <c r="F107" s="1095">
        <f t="shared" si="44"/>
        <v>1259</v>
      </c>
      <c r="G107" s="1095" t="e">
        <f>'Stock Rawmaterial'!#REF!</f>
        <v>#REF!</v>
      </c>
      <c r="H107" s="626">
        <f>'Stock Rawmaterial'!G1451</f>
        <v>0</v>
      </c>
      <c r="I107" s="1096" t="e">
        <f>'Stock Rawmaterial'!#REF!</f>
        <v>#REF!</v>
      </c>
      <c r="J107" s="626">
        <f>'Stock Rawmaterial'!H1451</f>
        <v>0</v>
      </c>
      <c r="K107" s="626" t="e">
        <f>'Stock Rawmaterial'!#REF!</f>
        <v>#REF!</v>
      </c>
      <c r="L107" s="626" t="e">
        <f>'Stock Rawmaterial'!#REF!</f>
        <v>#REF!</v>
      </c>
      <c r="M107" s="627" t="e">
        <f>'Stock Rawmaterial'!#REF!</f>
        <v>#REF!</v>
      </c>
      <c r="N107" s="628">
        <f>'Stock Rawmaterial'!I1451</f>
        <v>0</v>
      </c>
      <c r="O107" s="628" t="e">
        <f>'Stock Rawmaterial'!#REF!</f>
        <v>#REF!</v>
      </c>
      <c r="P107" s="628" t="e">
        <f>'Stock Rawmaterial'!#REF!</f>
        <v>#REF!</v>
      </c>
      <c r="Q107" s="629" t="e">
        <f>'Stock Rawmaterial'!#REF!</f>
        <v>#REF!</v>
      </c>
      <c r="R107" s="630">
        <f>'Stock Rawmaterial'!J1451</f>
        <v>0</v>
      </c>
      <c r="S107" s="629" t="e">
        <f>'Stock Rawmaterial'!#REF!</f>
        <v>#REF!</v>
      </c>
      <c r="T107" s="628">
        <f>'Stock Rawmaterial'!K1451</f>
        <v>0</v>
      </c>
      <c r="U107" s="1097" t="e">
        <f>'Stock Rawmaterial'!#REF!</f>
        <v>#REF!</v>
      </c>
      <c r="V107" s="1098" t="e">
        <f>'Stock Rawmaterial'!#REF!</f>
        <v>#REF!</v>
      </c>
      <c r="W107" s="631" t="e">
        <f>'Stock Rawmaterial'!#REF!</f>
        <v>#REF!</v>
      </c>
      <c r="X107" s="632" t="e">
        <f t="shared" si="45"/>
        <v>#REF!</v>
      </c>
      <c r="Y107" s="48"/>
      <c r="Z107" s="163"/>
      <c r="AA107" s="48"/>
      <c r="AB107" s="750"/>
      <c r="AC107" s="795"/>
      <c r="AD107" s="797"/>
      <c r="AE107" s="797"/>
      <c r="AF107" s="551"/>
      <c r="AG107" s="699"/>
      <c r="AH107" s="700"/>
      <c r="AI107" s="699"/>
      <c r="AJ107" s="699"/>
      <c r="AK107" s="551"/>
      <c r="AL107" s="551"/>
      <c r="AM107" s="551"/>
      <c r="AN107" s="551"/>
      <c r="AO107" s="551"/>
      <c r="AP107" s="551"/>
      <c r="AQ107" s="551"/>
      <c r="AR107" s="704"/>
      <c r="AS107" s="704"/>
      <c r="AT107" s="704"/>
      <c r="AU107" s="704"/>
      <c r="AV107" s="704"/>
      <c r="AW107" s="704"/>
      <c r="AX107" s="704"/>
      <c r="AY107" s="704"/>
      <c r="AZ107" s="704"/>
      <c r="BA107" s="704"/>
      <c r="BB107" s="704"/>
    </row>
    <row r="108" spans="1:54" s="265" customFormat="1" ht="30" customHeight="1" x14ac:dyDescent="0.25">
      <c r="A108" s="184"/>
      <c r="B108" s="184" t="s">
        <v>1292</v>
      </c>
      <c r="C108" s="575"/>
      <c r="D108" s="900"/>
      <c r="E108" s="901"/>
      <c r="F108" s="902"/>
      <c r="G108" s="353"/>
      <c r="H108" s="235">
        <f>+SUM(H105:H107)</f>
        <v>0</v>
      </c>
      <c r="I108" s="235" t="e">
        <f t="shared" ref="I108:X108" si="46">+SUM(I105:I107)</f>
        <v>#REF!</v>
      </c>
      <c r="J108" s="235">
        <f t="shared" si="46"/>
        <v>0</v>
      </c>
      <c r="K108" s="235" t="e">
        <f t="shared" si="46"/>
        <v>#REF!</v>
      </c>
      <c r="L108" s="235" t="e">
        <f t="shared" si="46"/>
        <v>#REF!</v>
      </c>
      <c r="M108" s="235" t="e">
        <f t="shared" si="46"/>
        <v>#REF!</v>
      </c>
      <c r="N108" s="235">
        <f t="shared" si="46"/>
        <v>0</v>
      </c>
      <c r="O108" s="235" t="e">
        <f t="shared" si="46"/>
        <v>#REF!</v>
      </c>
      <c r="P108" s="235" t="e">
        <f t="shared" si="46"/>
        <v>#REF!</v>
      </c>
      <c r="Q108" s="235" t="e">
        <f t="shared" si="46"/>
        <v>#REF!</v>
      </c>
      <c r="R108" s="235">
        <f t="shared" si="46"/>
        <v>0</v>
      </c>
      <c r="S108" s="235" t="e">
        <f t="shared" si="46"/>
        <v>#REF!</v>
      </c>
      <c r="T108" s="235">
        <f t="shared" si="46"/>
        <v>0</v>
      </c>
      <c r="U108" s="235" t="e">
        <f t="shared" si="46"/>
        <v>#REF!</v>
      </c>
      <c r="V108" s="235" t="e">
        <f t="shared" si="46"/>
        <v>#REF!</v>
      </c>
      <c r="W108" s="235" t="e">
        <f t="shared" si="46"/>
        <v>#REF!</v>
      </c>
      <c r="X108" s="235" t="e">
        <f t="shared" si="46"/>
        <v>#REF!</v>
      </c>
      <c r="Y108" s="59">
        <f>'Stock Rawmaterial'!M1450</f>
        <v>0</v>
      </c>
      <c r="Z108" s="366">
        <f>IFERROR(X108/Y108,0)</f>
        <v>0</v>
      </c>
      <c r="AA108" s="59">
        <f>'Stock Rawmaterial'!O1450</f>
        <v>0</v>
      </c>
      <c r="AB108" s="880">
        <f>IFERROR(X108/AA108,0)</f>
        <v>0</v>
      </c>
      <c r="AC108" s="795" t="s">
        <v>923</v>
      </c>
      <c r="AD108" s="797"/>
      <c r="AE108" s="797"/>
      <c r="AF108" s="551"/>
      <c r="AG108" s="699"/>
      <c r="AH108" s="700"/>
      <c r="AI108" s="699"/>
      <c r="AJ108" s="699"/>
      <c r="AK108" s="551"/>
      <c r="AL108" s="683"/>
      <c r="AM108" s="551"/>
      <c r="AN108" s="551"/>
      <c r="AO108" s="551"/>
      <c r="AP108" s="551"/>
      <c r="AQ108" s="551"/>
      <c r="AR108" s="704"/>
      <c r="AS108" s="704"/>
      <c r="AT108" s="704"/>
      <c r="AU108" s="704"/>
      <c r="AV108" s="704"/>
      <c r="AW108" s="704"/>
      <c r="AX108" s="704"/>
      <c r="AY108" s="704"/>
      <c r="AZ108" s="704"/>
      <c r="BA108" s="704"/>
      <c r="BB108" s="704"/>
    </row>
    <row r="109" spans="1:54" s="265" customFormat="1" ht="30" customHeight="1" x14ac:dyDescent="0.25">
      <c r="A109" s="2083" t="e">
        <f>IF(X112=0,"",MAX($A$14:A108)+1)</f>
        <v>#REF!</v>
      </c>
      <c r="B109" s="2075" t="s">
        <v>1333</v>
      </c>
      <c r="C109" s="574" t="str">
        <f>'Stock Rawmaterial'!C1453</f>
        <v>E2</v>
      </c>
      <c r="D109" s="881" t="s">
        <v>10</v>
      </c>
      <c r="E109" s="882">
        <f>'Stock Rawmaterial'!E1453</f>
        <v>45155</v>
      </c>
      <c r="F109" s="71">
        <f t="shared" ref="F109:F111" si="47">$X$7-E109</f>
        <v>1131</v>
      </c>
      <c r="G109" s="71" t="e">
        <f>'Stock Rawmaterial'!#REF!</f>
        <v>#REF!</v>
      </c>
      <c r="H109" s="80">
        <f>'Stock Rawmaterial'!G1453</f>
        <v>0</v>
      </c>
      <c r="I109" s="80" t="e">
        <f>'Stock Rawmaterial'!#REF!</f>
        <v>#REF!</v>
      </c>
      <c r="J109" s="80">
        <f>'Stock Rawmaterial'!H1453</f>
        <v>0</v>
      </c>
      <c r="K109" s="80" t="e">
        <f>'Stock Rawmaterial'!#REF!</f>
        <v>#REF!</v>
      </c>
      <c r="L109" s="80" t="e">
        <f>'Stock Rawmaterial'!#REF!</f>
        <v>#REF!</v>
      </c>
      <c r="M109" s="80" t="e">
        <f>'Stock Rawmaterial'!#REF!</f>
        <v>#REF!</v>
      </c>
      <c r="N109" s="80">
        <f>'Stock Rawmaterial'!I1453</f>
        <v>0</v>
      </c>
      <c r="O109" s="80" t="e">
        <f>'Stock Rawmaterial'!#REF!</f>
        <v>#REF!</v>
      </c>
      <c r="P109" s="80" t="e">
        <f>'Stock Rawmaterial'!#REF!</f>
        <v>#REF!</v>
      </c>
      <c r="Q109" s="80" t="e">
        <f>'Stock Rawmaterial'!#REF!</f>
        <v>#REF!</v>
      </c>
      <c r="R109" s="80">
        <f>'Stock Rawmaterial'!J1453</f>
        <v>0</v>
      </c>
      <c r="S109" s="80" t="e">
        <f>'Stock Rawmaterial'!#REF!</f>
        <v>#REF!</v>
      </c>
      <c r="T109" s="80">
        <f>'Stock Rawmaterial'!K1453</f>
        <v>0</v>
      </c>
      <c r="U109" s="80" t="e">
        <f>'Stock Rawmaterial'!#REF!</f>
        <v>#REF!</v>
      </c>
      <c r="V109" s="80" t="e">
        <f>'Stock Rawmaterial'!#REF!</f>
        <v>#REF!</v>
      </c>
      <c r="W109" s="80" t="e">
        <f>'Stock Rawmaterial'!#REF!</f>
        <v>#REF!</v>
      </c>
      <c r="X109" s="346" t="e">
        <f>+(H109+J109+L109+N109+P109)-(R109+T109+V109)</f>
        <v>#REF!</v>
      </c>
      <c r="Y109" s="48"/>
      <c r="Z109" s="163"/>
      <c r="AA109" s="48"/>
      <c r="AB109" s="750"/>
      <c r="AC109" s="795"/>
      <c r="AD109" s="797"/>
      <c r="AE109" s="797"/>
      <c r="AF109" s="551"/>
      <c r="AG109" s="699"/>
      <c r="AH109" s="700"/>
      <c r="AI109" s="699"/>
      <c r="AJ109" s="699"/>
      <c r="AK109" s="551"/>
      <c r="AL109" s="551"/>
      <c r="AM109" s="551"/>
      <c r="AN109" s="551"/>
      <c r="AO109" s="551"/>
      <c r="AP109" s="551"/>
      <c r="AQ109" s="551"/>
      <c r="AR109" s="704"/>
      <c r="AS109" s="704"/>
      <c r="AT109" s="704"/>
      <c r="AU109" s="704"/>
      <c r="AV109" s="704"/>
      <c r="AW109" s="704"/>
      <c r="AX109" s="704"/>
      <c r="AY109" s="704"/>
      <c r="AZ109" s="704"/>
      <c r="BA109" s="704"/>
      <c r="BB109" s="704"/>
    </row>
    <row r="110" spans="1:54" s="265" customFormat="1" ht="30" customHeight="1" x14ac:dyDescent="0.25">
      <c r="A110" s="2084"/>
      <c r="B110" s="2076"/>
      <c r="C110" s="574">
        <f>'Stock Rawmaterial'!C1454</f>
        <v>0</v>
      </c>
      <c r="D110" s="881" t="s">
        <v>10</v>
      </c>
      <c r="E110" s="882">
        <f>'Stock Rawmaterial'!E1454</f>
        <v>44924</v>
      </c>
      <c r="F110" s="71">
        <f t="shared" si="47"/>
        <v>1362</v>
      </c>
      <c r="G110" s="71" t="e">
        <f>'Stock Rawmaterial'!#REF!</f>
        <v>#REF!</v>
      </c>
      <c r="H110" s="80">
        <f>'Stock Rawmaterial'!G1454</f>
        <v>0</v>
      </c>
      <c r="I110" s="80" t="e">
        <f>'Stock Rawmaterial'!#REF!</f>
        <v>#REF!</v>
      </c>
      <c r="J110" s="80">
        <f>'Stock Rawmaterial'!H1454</f>
        <v>0</v>
      </c>
      <c r="K110" s="80" t="e">
        <f>'Stock Rawmaterial'!#REF!</f>
        <v>#REF!</v>
      </c>
      <c r="L110" s="80" t="e">
        <f>'Stock Rawmaterial'!#REF!</f>
        <v>#REF!</v>
      </c>
      <c r="M110" s="80" t="e">
        <f>'Stock Rawmaterial'!#REF!</f>
        <v>#REF!</v>
      </c>
      <c r="N110" s="80">
        <f>'Stock Rawmaterial'!I1454</f>
        <v>0</v>
      </c>
      <c r="O110" s="80" t="e">
        <f>'Stock Rawmaterial'!#REF!</f>
        <v>#REF!</v>
      </c>
      <c r="P110" s="80" t="e">
        <f>'Stock Rawmaterial'!#REF!</f>
        <v>#REF!</v>
      </c>
      <c r="Q110" s="80" t="e">
        <f>'Stock Rawmaterial'!#REF!</f>
        <v>#REF!</v>
      </c>
      <c r="R110" s="80">
        <f>'Stock Rawmaterial'!J1454</f>
        <v>0</v>
      </c>
      <c r="S110" s="80" t="e">
        <f>'Stock Rawmaterial'!#REF!</f>
        <v>#REF!</v>
      </c>
      <c r="T110" s="80">
        <f>'Stock Rawmaterial'!K1454</f>
        <v>0</v>
      </c>
      <c r="U110" s="80" t="e">
        <f>'Stock Rawmaterial'!#REF!</f>
        <v>#REF!</v>
      </c>
      <c r="V110" s="80" t="e">
        <f>'Stock Rawmaterial'!#REF!</f>
        <v>#REF!</v>
      </c>
      <c r="W110" s="80" t="e">
        <f>'Stock Rawmaterial'!#REF!</f>
        <v>#REF!</v>
      </c>
      <c r="X110" s="346" t="e">
        <f t="shared" ref="X110:X111" si="48">+(H110+J110+L110+N110+P110)-(R110+T110+V110)</f>
        <v>#REF!</v>
      </c>
      <c r="Y110" s="48"/>
      <c r="Z110" s="163"/>
      <c r="AA110" s="48"/>
      <c r="AB110" s="750"/>
      <c r="AC110" s="795"/>
      <c r="AD110" s="797"/>
      <c r="AE110" s="797"/>
      <c r="AF110" s="551"/>
      <c r="AG110" s="699"/>
      <c r="AH110" s="700"/>
      <c r="AI110" s="699"/>
      <c r="AJ110" s="699"/>
      <c r="AK110" s="551"/>
      <c r="AL110" s="551"/>
      <c r="AM110" s="551"/>
      <c r="AN110" s="551"/>
      <c r="AO110" s="551"/>
      <c r="AP110" s="551"/>
      <c r="AQ110" s="551"/>
      <c r="AR110" s="704"/>
      <c r="AS110" s="704"/>
      <c r="AT110" s="704"/>
      <c r="AU110" s="704"/>
      <c r="AV110" s="704"/>
      <c r="AW110" s="704"/>
      <c r="AX110" s="704"/>
      <c r="AY110" s="704"/>
      <c r="AZ110" s="704"/>
      <c r="BA110" s="704"/>
      <c r="BB110" s="704"/>
    </row>
    <row r="111" spans="1:54" s="265" customFormat="1" ht="30" customHeight="1" x14ac:dyDescent="0.25">
      <c r="A111" s="2084"/>
      <c r="B111" s="2076"/>
      <c r="C111" s="1092" t="str">
        <f>'Stock Rawmaterial'!C1455</f>
        <v>Feedmil</v>
      </c>
      <c r="D111" s="1093" t="s">
        <v>10</v>
      </c>
      <c r="E111" s="1094">
        <f>'Stock Rawmaterial'!E1455</f>
        <v>45155</v>
      </c>
      <c r="F111" s="1095">
        <f t="shared" si="47"/>
        <v>1131</v>
      </c>
      <c r="G111" s="1095" t="e">
        <f>'Stock Rawmaterial'!#REF!</f>
        <v>#REF!</v>
      </c>
      <c r="H111" s="626">
        <f>'Stock Rawmaterial'!G1455</f>
        <v>0</v>
      </c>
      <c r="I111" s="1096" t="e">
        <f>'Stock Rawmaterial'!#REF!</f>
        <v>#REF!</v>
      </c>
      <c r="J111" s="626">
        <f>'Stock Rawmaterial'!H1455</f>
        <v>0</v>
      </c>
      <c r="K111" s="626" t="e">
        <f>'Stock Rawmaterial'!#REF!</f>
        <v>#REF!</v>
      </c>
      <c r="L111" s="626" t="e">
        <f>'Stock Rawmaterial'!#REF!</f>
        <v>#REF!</v>
      </c>
      <c r="M111" s="627" t="e">
        <f>'Stock Rawmaterial'!#REF!</f>
        <v>#REF!</v>
      </c>
      <c r="N111" s="628">
        <f>'Stock Rawmaterial'!I1455</f>
        <v>0</v>
      </c>
      <c r="O111" s="628" t="e">
        <f>'Stock Rawmaterial'!#REF!</f>
        <v>#REF!</v>
      </c>
      <c r="P111" s="628" t="e">
        <f>'Stock Rawmaterial'!#REF!</f>
        <v>#REF!</v>
      </c>
      <c r="Q111" s="629" t="e">
        <f>'Stock Rawmaterial'!#REF!</f>
        <v>#REF!</v>
      </c>
      <c r="R111" s="630">
        <f>'Stock Rawmaterial'!J1455</f>
        <v>0</v>
      </c>
      <c r="S111" s="629" t="e">
        <f>'Stock Rawmaterial'!#REF!</f>
        <v>#REF!</v>
      </c>
      <c r="T111" s="628">
        <f>'Stock Rawmaterial'!K1455</f>
        <v>0</v>
      </c>
      <c r="U111" s="1097" t="e">
        <f>'Stock Rawmaterial'!#REF!</f>
        <v>#REF!</v>
      </c>
      <c r="V111" s="1098" t="e">
        <f>'Stock Rawmaterial'!#REF!</f>
        <v>#REF!</v>
      </c>
      <c r="W111" s="631" t="e">
        <f>'Stock Rawmaterial'!#REF!</f>
        <v>#REF!</v>
      </c>
      <c r="X111" s="632" t="e">
        <f t="shared" si="48"/>
        <v>#REF!</v>
      </c>
      <c r="Y111" s="48"/>
      <c r="Z111" s="163"/>
      <c r="AA111" s="48"/>
      <c r="AB111" s="750"/>
      <c r="AC111" s="795"/>
      <c r="AD111" s="797"/>
      <c r="AE111" s="797"/>
      <c r="AF111" s="551"/>
      <c r="AG111" s="699"/>
      <c r="AH111" s="700"/>
      <c r="AI111" s="699"/>
      <c r="AJ111" s="699"/>
      <c r="AK111" s="551"/>
      <c r="AL111" s="551"/>
      <c r="AM111" s="551"/>
      <c r="AN111" s="551"/>
      <c r="AO111" s="551"/>
      <c r="AP111" s="551"/>
      <c r="AQ111" s="551"/>
      <c r="AR111" s="704"/>
      <c r="AS111" s="704"/>
      <c r="AT111" s="704"/>
      <c r="AU111" s="704"/>
      <c r="AV111" s="704"/>
      <c r="AW111" s="704"/>
      <c r="AX111" s="704"/>
      <c r="AY111" s="704"/>
      <c r="AZ111" s="704"/>
      <c r="BA111" s="704"/>
      <c r="BB111" s="704"/>
    </row>
    <row r="112" spans="1:54" s="265" customFormat="1" ht="30" customHeight="1" x14ac:dyDescent="0.25">
      <c r="A112" s="184"/>
      <c r="B112" s="184" t="s">
        <v>1334</v>
      </c>
      <c r="C112" s="575"/>
      <c r="D112" s="900"/>
      <c r="E112" s="901"/>
      <c r="F112" s="902"/>
      <c r="G112" s="353"/>
      <c r="H112" s="235">
        <f>+SUM(H109:H111)</f>
        <v>0</v>
      </c>
      <c r="I112" s="235" t="e">
        <f t="shared" ref="I112:X112" si="49">+SUM(I109:I111)</f>
        <v>#REF!</v>
      </c>
      <c r="J112" s="235">
        <f t="shared" si="49"/>
        <v>0</v>
      </c>
      <c r="K112" s="235" t="e">
        <f t="shared" si="49"/>
        <v>#REF!</v>
      </c>
      <c r="L112" s="235" t="e">
        <f t="shared" si="49"/>
        <v>#REF!</v>
      </c>
      <c r="M112" s="235" t="e">
        <f t="shared" si="49"/>
        <v>#REF!</v>
      </c>
      <c r="N112" s="235">
        <f t="shared" si="49"/>
        <v>0</v>
      </c>
      <c r="O112" s="235" t="e">
        <f t="shared" si="49"/>
        <v>#REF!</v>
      </c>
      <c r="P112" s="235" t="e">
        <f t="shared" si="49"/>
        <v>#REF!</v>
      </c>
      <c r="Q112" s="235" t="e">
        <f t="shared" si="49"/>
        <v>#REF!</v>
      </c>
      <c r="R112" s="235">
        <f t="shared" si="49"/>
        <v>0</v>
      </c>
      <c r="S112" s="235" t="e">
        <f t="shared" si="49"/>
        <v>#REF!</v>
      </c>
      <c r="T112" s="235">
        <f t="shared" si="49"/>
        <v>0</v>
      </c>
      <c r="U112" s="235" t="e">
        <f t="shared" si="49"/>
        <v>#REF!</v>
      </c>
      <c r="V112" s="235" t="e">
        <f t="shared" si="49"/>
        <v>#REF!</v>
      </c>
      <c r="W112" s="235" t="e">
        <f t="shared" si="49"/>
        <v>#REF!</v>
      </c>
      <c r="X112" s="235" t="e">
        <f t="shared" si="49"/>
        <v>#REF!</v>
      </c>
      <c r="Y112" s="59">
        <f>'Stock Rawmaterial'!M1454</f>
        <v>0</v>
      </c>
      <c r="Z112" s="366">
        <f>IFERROR(X112/Y112,0)</f>
        <v>0</v>
      </c>
      <c r="AA112" s="59">
        <f>'Stock Rawmaterial'!O1454</f>
        <v>0</v>
      </c>
      <c r="AB112" s="880">
        <f>IFERROR(X112/AA112,0)</f>
        <v>0</v>
      </c>
      <c r="AC112" s="795" t="s">
        <v>923</v>
      </c>
      <c r="AD112" s="797"/>
      <c r="AE112" s="797"/>
      <c r="AF112" s="551"/>
      <c r="AG112" s="699"/>
      <c r="AH112" s="700"/>
      <c r="AI112" s="699"/>
      <c r="AJ112" s="699"/>
      <c r="AK112" s="551"/>
      <c r="AL112" s="683"/>
      <c r="AM112" s="551"/>
      <c r="AN112" s="551"/>
      <c r="AO112" s="551"/>
      <c r="AP112" s="551"/>
      <c r="AQ112" s="551"/>
      <c r="AR112" s="704"/>
      <c r="AS112" s="704"/>
      <c r="AT112" s="704"/>
      <c r="AU112" s="704"/>
      <c r="AV112" s="704"/>
      <c r="AW112" s="704"/>
      <c r="AX112" s="704"/>
      <c r="AY112" s="704"/>
      <c r="AZ112" s="704"/>
      <c r="BA112" s="704"/>
      <c r="BB112" s="704"/>
    </row>
    <row r="113" spans="1:54" s="265" customFormat="1" ht="30" customHeight="1" x14ac:dyDescent="0.25">
      <c r="A113" s="2083" t="e">
        <f>IF(X116=0,"",MAX($A$14:A108)+1)</f>
        <v>#REF!</v>
      </c>
      <c r="B113" s="2075" t="s">
        <v>1305</v>
      </c>
      <c r="C113" s="574">
        <f>'Stock Rawmaterial'!C1457</f>
        <v>0</v>
      </c>
      <c r="D113" s="881" t="s">
        <v>10</v>
      </c>
      <c r="E113" s="882">
        <f>'Stock Rawmaterial'!E1457</f>
        <v>44847</v>
      </c>
      <c r="F113" s="71">
        <f t="shared" ref="F113:F115" si="50">$X$7-E113</f>
        <v>1439</v>
      </c>
      <c r="G113" s="71" t="e">
        <f>'Stock Rawmaterial'!#REF!</f>
        <v>#REF!</v>
      </c>
      <c r="H113" s="80">
        <f>'Stock Rawmaterial'!G1457</f>
        <v>0</v>
      </c>
      <c r="I113" s="80" t="e">
        <f>'Stock Rawmaterial'!#REF!</f>
        <v>#REF!</v>
      </c>
      <c r="J113" s="80">
        <f>'Stock Rawmaterial'!H1457</f>
        <v>0</v>
      </c>
      <c r="K113" s="80" t="e">
        <f>'Stock Rawmaterial'!#REF!</f>
        <v>#REF!</v>
      </c>
      <c r="L113" s="80" t="e">
        <f>'Stock Rawmaterial'!#REF!</f>
        <v>#REF!</v>
      </c>
      <c r="M113" s="80" t="e">
        <f>'Stock Rawmaterial'!#REF!</f>
        <v>#REF!</v>
      </c>
      <c r="N113" s="80">
        <f>'Stock Rawmaterial'!I1457</f>
        <v>0</v>
      </c>
      <c r="O113" s="80" t="e">
        <f>'Stock Rawmaterial'!#REF!</f>
        <v>#REF!</v>
      </c>
      <c r="P113" s="80" t="e">
        <f>'Stock Rawmaterial'!#REF!</f>
        <v>#REF!</v>
      </c>
      <c r="Q113" s="80" t="e">
        <f>'Stock Rawmaterial'!#REF!</f>
        <v>#REF!</v>
      </c>
      <c r="R113" s="80">
        <f>'Stock Rawmaterial'!J1457</f>
        <v>0</v>
      </c>
      <c r="S113" s="80" t="e">
        <f>'Stock Rawmaterial'!#REF!</f>
        <v>#REF!</v>
      </c>
      <c r="T113" s="80">
        <f>'Stock Rawmaterial'!K1457</f>
        <v>0</v>
      </c>
      <c r="U113" s="80" t="e">
        <f>'Stock Rawmaterial'!#REF!</f>
        <v>#REF!</v>
      </c>
      <c r="V113" s="80" t="e">
        <f>'Stock Rawmaterial'!#REF!</f>
        <v>#REF!</v>
      </c>
      <c r="W113" s="80" t="e">
        <f>'Stock Rawmaterial'!#REF!</f>
        <v>#REF!</v>
      </c>
      <c r="X113" s="346" t="e">
        <f>+(H113+J113+L113+N113+P113)-(R113+T113+V113)</f>
        <v>#REF!</v>
      </c>
      <c r="Y113" s="48"/>
      <c r="Z113" s="163"/>
      <c r="AA113" s="48"/>
      <c r="AB113" s="750"/>
      <c r="AC113" s="795"/>
      <c r="AD113" s="797"/>
      <c r="AE113" s="797"/>
      <c r="AF113" s="551"/>
      <c r="AG113" s="699"/>
      <c r="AH113" s="700"/>
      <c r="AI113" s="699"/>
      <c r="AJ113" s="699"/>
      <c r="AK113" s="551"/>
      <c r="AL113" s="551"/>
      <c r="AM113" s="551"/>
      <c r="AN113" s="551"/>
      <c r="AO113" s="551"/>
      <c r="AP113" s="551"/>
      <c r="AQ113" s="551"/>
      <c r="AR113" s="704"/>
      <c r="AS113" s="704"/>
      <c r="AT113" s="704"/>
      <c r="AU113" s="704"/>
      <c r="AV113" s="704"/>
      <c r="AW113" s="704"/>
      <c r="AX113" s="704"/>
      <c r="AY113" s="704"/>
      <c r="AZ113" s="704"/>
      <c r="BA113" s="704"/>
      <c r="BB113" s="704"/>
    </row>
    <row r="114" spans="1:54" s="265" customFormat="1" ht="30" customHeight="1" x14ac:dyDescent="0.25">
      <c r="A114" s="2084"/>
      <c r="B114" s="2076"/>
      <c r="C114" s="574">
        <f>'Stock Rawmaterial'!C1458</f>
        <v>0</v>
      </c>
      <c r="D114" s="881" t="s">
        <v>10</v>
      </c>
      <c r="E114" s="882">
        <f>'Stock Rawmaterial'!E1458</f>
        <v>44566</v>
      </c>
      <c r="F114" s="71">
        <f t="shared" si="50"/>
        <v>1720</v>
      </c>
      <c r="G114" s="71" t="e">
        <f>'Stock Rawmaterial'!#REF!</f>
        <v>#REF!</v>
      </c>
      <c r="H114" s="80">
        <f>'Stock Rawmaterial'!G1458</f>
        <v>0</v>
      </c>
      <c r="I114" s="80" t="e">
        <f>'Stock Rawmaterial'!#REF!</f>
        <v>#REF!</v>
      </c>
      <c r="J114" s="80">
        <f>'Stock Rawmaterial'!H1458</f>
        <v>0</v>
      </c>
      <c r="K114" s="80" t="e">
        <f>'Stock Rawmaterial'!#REF!</f>
        <v>#REF!</v>
      </c>
      <c r="L114" s="80" t="e">
        <f>'Stock Rawmaterial'!#REF!</f>
        <v>#REF!</v>
      </c>
      <c r="M114" s="80" t="e">
        <f>'Stock Rawmaterial'!#REF!</f>
        <v>#REF!</v>
      </c>
      <c r="N114" s="80">
        <f>'Stock Rawmaterial'!I1458</f>
        <v>0</v>
      </c>
      <c r="O114" s="80" t="e">
        <f>'Stock Rawmaterial'!#REF!</f>
        <v>#REF!</v>
      </c>
      <c r="P114" s="80" t="e">
        <f>'Stock Rawmaterial'!#REF!</f>
        <v>#REF!</v>
      </c>
      <c r="Q114" s="80" t="e">
        <f>'Stock Rawmaterial'!#REF!</f>
        <v>#REF!</v>
      </c>
      <c r="R114" s="80">
        <f>'Stock Rawmaterial'!J1458</f>
        <v>0</v>
      </c>
      <c r="S114" s="80" t="e">
        <f>'Stock Rawmaterial'!#REF!</f>
        <v>#REF!</v>
      </c>
      <c r="T114" s="80">
        <f>'Stock Rawmaterial'!K1458</f>
        <v>0</v>
      </c>
      <c r="U114" s="80" t="e">
        <f>'Stock Rawmaterial'!#REF!</f>
        <v>#REF!</v>
      </c>
      <c r="V114" s="80" t="e">
        <f>'Stock Rawmaterial'!#REF!</f>
        <v>#REF!</v>
      </c>
      <c r="W114" s="80" t="e">
        <f>'Stock Rawmaterial'!#REF!</f>
        <v>#REF!</v>
      </c>
      <c r="X114" s="346" t="e">
        <f t="shared" ref="X114:X115" si="51">+(H114+J114+L114+N114+P114)-(R114+T114+V114)</f>
        <v>#REF!</v>
      </c>
      <c r="Y114" s="48"/>
      <c r="Z114" s="163"/>
      <c r="AA114" s="48"/>
      <c r="AB114" s="750"/>
      <c r="AC114" s="795"/>
      <c r="AD114" s="797"/>
      <c r="AE114" s="797"/>
      <c r="AF114" s="551"/>
      <c r="AG114" s="699"/>
      <c r="AH114" s="700"/>
      <c r="AI114" s="699"/>
      <c r="AJ114" s="699"/>
      <c r="AK114" s="551"/>
      <c r="AL114" s="551"/>
      <c r="AM114" s="551"/>
      <c r="AN114" s="551"/>
      <c r="AO114" s="551"/>
      <c r="AP114" s="551"/>
      <c r="AQ114" s="551"/>
      <c r="AR114" s="704"/>
      <c r="AS114" s="704"/>
      <c r="AT114" s="704"/>
      <c r="AU114" s="704"/>
      <c r="AV114" s="704"/>
      <c r="AW114" s="704"/>
      <c r="AX114" s="704"/>
      <c r="AY114" s="704"/>
      <c r="AZ114" s="704"/>
      <c r="BA114" s="704"/>
      <c r="BB114" s="704"/>
    </row>
    <row r="115" spans="1:54" s="265" customFormat="1" ht="30" customHeight="1" x14ac:dyDescent="0.25">
      <c r="A115" s="2084"/>
      <c r="B115" s="2076"/>
      <c r="C115" s="1092" t="str">
        <f>'Stock Rawmaterial'!C1459</f>
        <v>Feedmil</v>
      </c>
      <c r="D115" s="1093" t="s">
        <v>10</v>
      </c>
      <c r="E115" s="1094">
        <f>'Stock Rawmaterial'!E1459</f>
        <v>44847</v>
      </c>
      <c r="F115" s="1095">
        <f t="shared" si="50"/>
        <v>1439</v>
      </c>
      <c r="G115" s="1095" t="e">
        <f>'Stock Rawmaterial'!#REF!</f>
        <v>#REF!</v>
      </c>
      <c r="H115" s="626">
        <f>'Stock Rawmaterial'!G1459</f>
        <v>0</v>
      </c>
      <c r="I115" s="1096" t="e">
        <f>'Stock Rawmaterial'!#REF!</f>
        <v>#REF!</v>
      </c>
      <c r="J115" s="626">
        <f>'Stock Rawmaterial'!H1459</f>
        <v>0</v>
      </c>
      <c r="K115" s="626" t="e">
        <f>'Stock Rawmaterial'!#REF!</f>
        <v>#REF!</v>
      </c>
      <c r="L115" s="626" t="e">
        <f>'Stock Rawmaterial'!#REF!</f>
        <v>#REF!</v>
      </c>
      <c r="M115" s="627" t="e">
        <f>'Stock Rawmaterial'!#REF!</f>
        <v>#REF!</v>
      </c>
      <c r="N115" s="628">
        <f>'Stock Rawmaterial'!I1459</f>
        <v>0</v>
      </c>
      <c r="O115" s="628" t="e">
        <f>'Stock Rawmaterial'!#REF!</f>
        <v>#REF!</v>
      </c>
      <c r="P115" s="628" t="e">
        <f>'Stock Rawmaterial'!#REF!</f>
        <v>#REF!</v>
      </c>
      <c r="Q115" s="629" t="e">
        <f>'Stock Rawmaterial'!#REF!</f>
        <v>#REF!</v>
      </c>
      <c r="R115" s="630">
        <f>'Stock Rawmaterial'!J1459</f>
        <v>0</v>
      </c>
      <c r="S115" s="629" t="e">
        <f>'Stock Rawmaterial'!#REF!</f>
        <v>#REF!</v>
      </c>
      <c r="T115" s="628">
        <f>'Stock Rawmaterial'!K1459</f>
        <v>0</v>
      </c>
      <c r="U115" s="1097" t="e">
        <f>'Stock Rawmaterial'!#REF!</f>
        <v>#REF!</v>
      </c>
      <c r="V115" s="1098" t="e">
        <f>'Stock Rawmaterial'!#REF!</f>
        <v>#REF!</v>
      </c>
      <c r="W115" s="631" t="e">
        <f>'Stock Rawmaterial'!#REF!</f>
        <v>#REF!</v>
      </c>
      <c r="X115" s="632" t="e">
        <f t="shared" si="51"/>
        <v>#REF!</v>
      </c>
      <c r="Y115" s="48"/>
      <c r="Z115" s="163"/>
      <c r="AA115" s="48"/>
      <c r="AB115" s="750"/>
      <c r="AC115" s="795"/>
      <c r="AD115" s="797"/>
      <c r="AE115" s="797"/>
      <c r="AF115" s="551"/>
      <c r="AG115" s="699"/>
      <c r="AH115" s="700"/>
      <c r="AI115" s="699"/>
      <c r="AJ115" s="699"/>
      <c r="AK115" s="551"/>
      <c r="AL115" s="551"/>
      <c r="AM115" s="551"/>
      <c r="AN115" s="551"/>
      <c r="AO115" s="551"/>
      <c r="AP115" s="551"/>
      <c r="AQ115" s="551"/>
      <c r="AR115" s="704"/>
      <c r="AS115" s="704"/>
      <c r="AT115" s="704"/>
      <c r="AU115" s="704"/>
      <c r="AV115" s="704"/>
      <c r="AW115" s="704"/>
      <c r="AX115" s="704"/>
      <c r="AY115" s="704"/>
      <c r="AZ115" s="704"/>
      <c r="BA115" s="704"/>
      <c r="BB115" s="704"/>
    </row>
    <row r="116" spans="1:54" s="265" customFormat="1" ht="30" customHeight="1" x14ac:dyDescent="0.25">
      <c r="A116" s="184"/>
      <c r="B116" s="184" t="s">
        <v>1306</v>
      </c>
      <c r="C116" s="575"/>
      <c r="D116" s="900"/>
      <c r="E116" s="901"/>
      <c r="F116" s="902"/>
      <c r="G116" s="353"/>
      <c r="H116" s="235">
        <f>+SUM(H113:H115)</f>
        <v>0</v>
      </c>
      <c r="I116" s="235" t="e">
        <f t="shared" ref="I116:X116" si="52">+SUM(I113:I115)</f>
        <v>#REF!</v>
      </c>
      <c r="J116" s="235">
        <f t="shared" si="52"/>
        <v>0</v>
      </c>
      <c r="K116" s="235" t="e">
        <f t="shared" si="52"/>
        <v>#REF!</v>
      </c>
      <c r="L116" s="235" t="e">
        <f t="shared" si="52"/>
        <v>#REF!</v>
      </c>
      <c r="M116" s="235" t="e">
        <f t="shared" si="52"/>
        <v>#REF!</v>
      </c>
      <c r="N116" s="235">
        <f t="shared" si="52"/>
        <v>0</v>
      </c>
      <c r="O116" s="235" t="e">
        <f t="shared" si="52"/>
        <v>#REF!</v>
      </c>
      <c r="P116" s="235" t="e">
        <f t="shared" si="52"/>
        <v>#REF!</v>
      </c>
      <c r="Q116" s="235" t="e">
        <f t="shared" si="52"/>
        <v>#REF!</v>
      </c>
      <c r="R116" s="235">
        <f t="shared" si="52"/>
        <v>0</v>
      </c>
      <c r="S116" s="235" t="e">
        <f t="shared" si="52"/>
        <v>#REF!</v>
      </c>
      <c r="T116" s="235">
        <f t="shared" si="52"/>
        <v>0</v>
      </c>
      <c r="U116" s="235" t="e">
        <f t="shared" si="52"/>
        <v>#REF!</v>
      </c>
      <c r="V116" s="235" t="e">
        <f t="shared" si="52"/>
        <v>#REF!</v>
      </c>
      <c r="W116" s="235" t="e">
        <f t="shared" si="52"/>
        <v>#REF!</v>
      </c>
      <c r="X116" s="235" t="e">
        <f t="shared" si="52"/>
        <v>#REF!</v>
      </c>
      <c r="Y116" s="59">
        <f>'Stock Rawmaterial'!M1458</f>
        <v>0</v>
      </c>
      <c r="Z116" s="366">
        <f>IFERROR(X116/Y116,0)</f>
        <v>0</v>
      </c>
      <c r="AA116" s="59">
        <f>'Stock Rawmaterial'!O1458</f>
        <v>0</v>
      </c>
      <c r="AB116" s="880">
        <f>IFERROR(X116/AA116,0)</f>
        <v>0</v>
      </c>
      <c r="AC116" s="795" t="s">
        <v>923</v>
      </c>
      <c r="AD116" s="797"/>
      <c r="AE116" s="797"/>
      <c r="AF116" s="551"/>
      <c r="AG116" s="699"/>
      <c r="AH116" s="700"/>
      <c r="AI116" s="699"/>
      <c r="AJ116" s="699"/>
      <c r="AK116" s="551"/>
      <c r="AL116" s="683"/>
      <c r="AM116" s="551"/>
      <c r="AN116" s="551"/>
      <c r="AO116" s="551"/>
      <c r="AP116" s="551"/>
      <c r="AQ116" s="551"/>
      <c r="AR116" s="704"/>
      <c r="AS116" s="704"/>
      <c r="AT116" s="704"/>
      <c r="AU116" s="704"/>
      <c r="AV116" s="704"/>
      <c r="AW116" s="704"/>
      <c r="AX116" s="704"/>
      <c r="AY116" s="704"/>
      <c r="AZ116" s="704"/>
      <c r="BA116" s="704"/>
      <c r="BB116" s="704"/>
    </row>
    <row r="117" spans="1:54" s="265" customFormat="1" ht="30" customHeight="1" x14ac:dyDescent="0.25">
      <c r="A117" s="2083" t="str">
        <f>IF(X120=0,"",MAX($A$14:A116)+1)</f>
        <v/>
      </c>
      <c r="B117" s="2075"/>
      <c r="C117" s="574" t="str">
        <f>'Stock Rawmaterial'!C1461</f>
        <v>D1</v>
      </c>
      <c r="D117" s="881" t="s">
        <v>10</v>
      </c>
      <c r="E117" s="882"/>
      <c r="F117" s="71"/>
      <c r="G117" s="71" t="e">
        <f>'Stock Rawmaterial'!#REF!</f>
        <v>#REF!</v>
      </c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346"/>
      <c r="Y117" s="48"/>
      <c r="Z117" s="163"/>
      <c r="AA117" s="48"/>
      <c r="AB117" s="750"/>
      <c r="AC117" s="795"/>
      <c r="AD117" s="797"/>
      <c r="AE117" s="797"/>
      <c r="AF117" s="551"/>
      <c r="AG117" s="699"/>
      <c r="AH117" s="700"/>
      <c r="AI117" s="699"/>
      <c r="AJ117" s="699"/>
      <c r="AK117" s="551"/>
      <c r="AL117" s="551"/>
      <c r="AM117" s="551"/>
      <c r="AN117" s="551"/>
      <c r="AO117" s="551"/>
      <c r="AP117" s="551"/>
      <c r="AQ117" s="551"/>
      <c r="AR117" s="704"/>
      <c r="AS117" s="704"/>
      <c r="AT117" s="704"/>
      <c r="AU117" s="704"/>
      <c r="AV117" s="704"/>
      <c r="AW117" s="704"/>
      <c r="AX117" s="704"/>
      <c r="AY117" s="704"/>
      <c r="AZ117" s="704"/>
      <c r="BA117" s="704"/>
      <c r="BB117" s="704"/>
    </row>
    <row r="118" spans="1:54" s="265" customFormat="1" ht="30" customHeight="1" x14ac:dyDescent="0.25">
      <c r="A118" s="2084"/>
      <c r="B118" s="2076"/>
      <c r="C118" s="574">
        <f>'Stock Rawmaterial'!C1462</f>
        <v>0</v>
      </c>
      <c r="D118" s="881" t="s">
        <v>10</v>
      </c>
      <c r="E118" s="882"/>
      <c r="F118" s="71"/>
      <c r="G118" s="71" t="e">
        <f>'Stock Rawmaterial'!#REF!</f>
        <v>#REF!</v>
      </c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346"/>
      <c r="Y118" s="48"/>
      <c r="Z118" s="163"/>
      <c r="AA118" s="48"/>
      <c r="AB118" s="750"/>
      <c r="AC118" s="795"/>
      <c r="AD118" s="797"/>
      <c r="AE118" s="797"/>
      <c r="AF118" s="551"/>
      <c r="AG118" s="699"/>
      <c r="AH118" s="700"/>
      <c r="AI118" s="699"/>
      <c r="AJ118" s="699"/>
      <c r="AK118" s="551"/>
      <c r="AL118" s="551"/>
      <c r="AM118" s="551"/>
      <c r="AN118" s="551"/>
      <c r="AO118" s="551"/>
      <c r="AP118" s="551"/>
      <c r="AQ118" s="551"/>
      <c r="AR118" s="704"/>
      <c r="AS118" s="704"/>
      <c r="AT118" s="704"/>
      <c r="AU118" s="704"/>
      <c r="AV118" s="704"/>
      <c r="AW118" s="704"/>
      <c r="AX118" s="704"/>
      <c r="AY118" s="704"/>
      <c r="AZ118" s="704"/>
      <c r="BA118" s="704"/>
      <c r="BB118" s="704"/>
    </row>
    <row r="119" spans="1:54" s="265" customFormat="1" ht="30" customHeight="1" x14ac:dyDescent="0.25">
      <c r="A119" s="2084"/>
      <c r="B119" s="2076"/>
      <c r="C119" s="1092" t="str">
        <f>'Stock Rawmaterial'!C1463</f>
        <v>Feedmil</v>
      </c>
      <c r="D119" s="1093" t="s">
        <v>10</v>
      </c>
      <c r="E119" s="1094"/>
      <c r="F119" s="1095"/>
      <c r="G119" s="1095" t="e">
        <f>'Stock Rawmaterial'!#REF!</f>
        <v>#REF!</v>
      </c>
      <c r="H119" s="626"/>
      <c r="I119" s="1096"/>
      <c r="J119" s="626"/>
      <c r="K119" s="626"/>
      <c r="L119" s="626"/>
      <c r="M119" s="627"/>
      <c r="N119" s="628"/>
      <c r="O119" s="628"/>
      <c r="P119" s="628"/>
      <c r="Q119" s="629"/>
      <c r="R119" s="630"/>
      <c r="S119" s="629"/>
      <c r="T119" s="628"/>
      <c r="U119" s="1097"/>
      <c r="V119" s="1098"/>
      <c r="W119" s="631"/>
      <c r="X119" s="632"/>
      <c r="Y119" s="48"/>
      <c r="Z119" s="163"/>
      <c r="AA119" s="48"/>
      <c r="AB119" s="750"/>
      <c r="AC119" s="795"/>
      <c r="AD119" s="797"/>
      <c r="AE119" s="797"/>
      <c r="AF119" s="551"/>
      <c r="AG119" s="699"/>
      <c r="AH119" s="700"/>
      <c r="AI119" s="699"/>
      <c r="AJ119" s="699"/>
      <c r="AK119" s="551"/>
      <c r="AL119" s="551"/>
      <c r="AM119" s="551"/>
      <c r="AN119" s="551"/>
      <c r="AO119" s="551"/>
      <c r="AP119" s="551"/>
      <c r="AQ119" s="551"/>
      <c r="AR119" s="704"/>
      <c r="AS119" s="704"/>
      <c r="AT119" s="704"/>
      <c r="AU119" s="704"/>
      <c r="AV119" s="704"/>
      <c r="AW119" s="704"/>
      <c r="AX119" s="704"/>
      <c r="AY119" s="704"/>
      <c r="AZ119" s="704"/>
      <c r="BA119" s="704"/>
      <c r="BB119" s="704"/>
    </row>
    <row r="120" spans="1:54" s="265" customFormat="1" ht="30" customHeight="1" x14ac:dyDescent="0.25">
      <c r="A120" s="184"/>
      <c r="B120" s="184"/>
      <c r="C120" s="575"/>
      <c r="D120" s="900"/>
      <c r="E120" s="901"/>
      <c r="F120" s="902"/>
      <c r="G120" s="353"/>
      <c r="H120" s="235">
        <f>+SUM(H117:H119)</f>
        <v>0</v>
      </c>
      <c r="I120" s="235">
        <f t="shared" ref="I120:X120" si="53">+SUM(I117:I119)</f>
        <v>0</v>
      </c>
      <c r="J120" s="235">
        <f t="shared" si="53"/>
        <v>0</v>
      </c>
      <c r="K120" s="235">
        <f t="shared" si="53"/>
        <v>0</v>
      </c>
      <c r="L120" s="235">
        <f t="shared" si="53"/>
        <v>0</v>
      </c>
      <c r="M120" s="235">
        <f t="shared" si="53"/>
        <v>0</v>
      </c>
      <c r="N120" s="235">
        <f t="shared" si="53"/>
        <v>0</v>
      </c>
      <c r="O120" s="235">
        <f t="shared" si="53"/>
        <v>0</v>
      </c>
      <c r="P120" s="235">
        <f t="shared" si="53"/>
        <v>0</v>
      </c>
      <c r="Q120" s="235">
        <f t="shared" si="53"/>
        <v>0</v>
      </c>
      <c r="R120" s="235">
        <f t="shared" si="53"/>
        <v>0</v>
      </c>
      <c r="S120" s="235">
        <f t="shared" si="53"/>
        <v>0</v>
      </c>
      <c r="T120" s="235">
        <f t="shared" si="53"/>
        <v>0</v>
      </c>
      <c r="U120" s="235">
        <f t="shared" si="53"/>
        <v>0</v>
      </c>
      <c r="V120" s="235">
        <f t="shared" si="53"/>
        <v>0</v>
      </c>
      <c r="W120" s="235">
        <f t="shared" si="53"/>
        <v>0</v>
      </c>
      <c r="X120" s="235">
        <f t="shared" si="53"/>
        <v>0</v>
      </c>
      <c r="Y120" s="59">
        <f>'Stock Rawmaterial'!M1462</f>
        <v>0</v>
      </c>
      <c r="Z120" s="366">
        <f>IFERROR(X120/Y120,0)</f>
        <v>0</v>
      </c>
      <c r="AA120" s="59">
        <f>'Stock Rawmaterial'!O1462</f>
        <v>0</v>
      </c>
      <c r="AB120" s="880">
        <f>IFERROR(X120/AA120,0)</f>
        <v>0</v>
      </c>
      <c r="AC120" s="795" t="s">
        <v>923</v>
      </c>
      <c r="AD120" s="797"/>
      <c r="AE120" s="797"/>
      <c r="AF120" s="551"/>
      <c r="AG120" s="699"/>
      <c r="AH120" s="700"/>
      <c r="AI120" s="699"/>
      <c r="AJ120" s="699"/>
      <c r="AK120" s="551"/>
      <c r="AL120" s="683"/>
      <c r="AM120" s="551"/>
      <c r="AN120" s="551"/>
      <c r="AO120" s="551"/>
      <c r="AP120" s="551"/>
      <c r="AQ120" s="551"/>
      <c r="AR120" s="704"/>
      <c r="AS120" s="704"/>
      <c r="AT120" s="704"/>
      <c r="AU120" s="704"/>
      <c r="AV120" s="704"/>
      <c r="AW120" s="704"/>
      <c r="AX120" s="704"/>
      <c r="AY120" s="704"/>
      <c r="AZ120" s="704"/>
      <c r="BA120" s="704"/>
      <c r="BB120" s="704"/>
    </row>
    <row r="121" spans="1:54" s="265" customFormat="1" ht="30" customHeight="1" x14ac:dyDescent="0.25">
      <c r="A121" s="2084" t="e">
        <f>IF(X125=0,"",MAX($A$14:A120)+1)</f>
        <v>#REF!</v>
      </c>
      <c r="B121" s="2076" t="s">
        <v>484</v>
      </c>
      <c r="C121" s="574" t="str">
        <f>'Stock Rawmaterial'!C709</f>
        <v>B15.2</v>
      </c>
      <c r="D121" s="881" t="s">
        <v>10</v>
      </c>
      <c r="E121" s="882">
        <f>'Stock Rawmaterial'!E709</f>
        <v>45180</v>
      </c>
      <c r="F121" s="71">
        <f t="shared" si="0"/>
        <v>1106</v>
      </c>
      <c r="G121" s="71" t="e">
        <f>'Stock Rawmaterial'!#REF!</f>
        <v>#REF!</v>
      </c>
      <c r="H121" s="80"/>
      <c r="I121" s="71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346"/>
      <c r="Y121" s="48"/>
      <c r="Z121" s="163"/>
      <c r="AA121" s="48"/>
      <c r="AB121" s="750"/>
      <c r="AC121" s="795"/>
      <c r="AD121" s="797"/>
      <c r="AE121" s="797"/>
      <c r="AF121" s="551"/>
      <c r="AG121" s="699"/>
      <c r="AH121" s="700"/>
      <c r="AI121" s="699"/>
      <c r="AJ121" s="699"/>
      <c r="AK121" s="551"/>
      <c r="AL121" s="551"/>
      <c r="AM121" s="551"/>
      <c r="AN121" s="551"/>
      <c r="AO121" s="551"/>
      <c r="AP121" s="551"/>
      <c r="AQ121" s="551"/>
      <c r="AR121" s="704"/>
      <c r="AS121" s="704"/>
      <c r="AT121" s="704"/>
      <c r="AU121" s="704"/>
      <c r="AV121" s="704"/>
      <c r="AW121" s="704"/>
      <c r="AX121" s="704"/>
      <c r="AY121" s="704"/>
      <c r="AZ121" s="704"/>
      <c r="BA121" s="704"/>
      <c r="BB121" s="704"/>
    </row>
    <row r="122" spans="1:54" s="265" customFormat="1" ht="30" customHeight="1" x14ac:dyDescent="0.25">
      <c r="A122" s="2084"/>
      <c r="B122" s="2076"/>
      <c r="C122" s="574" t="str">
        <f>'Stock Rawmaterial'!C710</f>
        <v>B18.1</v>
      </c>
      <c r="D122" s="881" t="s">
        <v>10</v>
      </c>
      <c r="E122" s="882">
        <f>'Stock Rawmaterial'!E710</f>
        <v>45195</v>
      </c>
      <c r="F122" s="71">
        <f t="shared" si="0"/>
        <v>1091</v>
      </c>
      <c r="G122" s="71" t="e">
        <f>'Stock Rawmaterial'!#REF!</f>
        <v>#REF!</v>
      </c>
      <c r="H122" s="80"/>
      <c r="I122" s="71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346"/>
      <c r="Y122" s="48"/>
      <c r="Z122" s="163"/>
      <c r="AA122" s="48"/>
      <c r="AB122" s="750"/>
      <c r="AC122" s="795"/>
      <c r="AD122" s="797"/>
      <c r="AE122" s="797"/>
      <c r="AF122" s="551"/>
      <c r="AG122" s="699"/>
      <c r="AH122" s="700"/>
      <c r="AI122" s="699"/>
      <c r="AJ122" s="699"/>
      <c r="AK122" s="551"/>
      <c r="AL122" s="551"/>
      <c r="AM122" s="551"/>
      <c r="AN122" s="551"/>
      <c r="AO122" s="551"/>
      <c r="AP122" s="551"/>
      <c r="AQ122" s="551"/>
      <c r="AR122" s="704"/>
      <c r="AS122" s="704"/>
      <c r="AT122" s="704"/>
      <c r="AU122" s="704"/>
      <c r="AV122" s="704"/>
      <c r="AW122" s="704"/>
      <c r="AX122" s="704"/>
      <c r="AY122" s="704"/>
      <c r="AZ122" s="704"/>
      <c r="BA122" s="704"/>
      <c r="BB122" s="704"/>
    </row>
    <row r="123" spans="1:54" s="265" customFormat="1" ht="30" customHeight="1" x14ac:dyDescent="0.25">
      <c r="A123" s="2084"/>
      <c r="B123" s="2076"/>
      <c r="C123" s="574">
        <f>'Stock Rawmaterial'!C711</f>
        <v>0</v>
      </c>
      <c r="D123" s="881" t="s">
        <v>10</v>
      </c>
      <c r="E123" s="882">
        <f>'Stock Rawmaterial'!E711</f>
        <v>45195</v>
      </c>
      <c r="F123" s="71">
        <f t="shared" si="0"/>
        <v>1091</v>
      </c>
      <c r="G123" s="71" t="e">
        <f>'Stock Rawmaterial'!#REF!</f>
        <v>#REF!</v>
      </c>
      <c r="H123" s="80"/>
      <c r="I123" s="71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346"/>
      <c r="Y123" s="48"/>
      <c r="Z123" s="163"/>
      <c r="AA123" s="48"/>
      <c r="AB123" s="750"/>
      <c r="AC123" s="795"/>
      <c r="AD123" s="797"/>
      <c r="AE123" s="797"/>
      <c r="AF123" s="551"/>
      <c r="AG123" s="699"/>
      <c r="AH123" s="700"/>
      <c r="AI123" s="699"/>
      <c r="AJ123" s="699"/>
      <c r="AK123" s="551"/>
      <c r="AL123" s="551"/>
      <c r="AM123" s="551"/>
      <c r="AN123" s="551"/>
      <c r="AO123" s="551"/>
      <c r="AP123" s="551"/>
      <c r="AQ123" s="551"/>
      <c r="AR123" s="704"/>
      <c r="AS123" s="704"/>
      <c r="AT123" s="704"/>
      <c r="AU123" s="704"/>
      <c r="AV123" s="704"/>
      <c r="AW123" s="704"/>
      <c r="AX123" s="704"/>
      <c r="AY123" s="704"/>
      <c r="AZ123" s="704"/>
      <c r="BA123" s="704"/>
      <c r="BB123" s="704"/>
    </row>
    <row r="124" spans="1:54" s="265" customFormat="1" ht="30" customHeight="1" x14ac:dyDescent="0.25">
      <c r="A124" s="2085"/>
      <c r="B124" s="2068"/>
      <c r="C124" s="574" t="str">
        <f>'Stock Rawmaterial'!C718</f>
        <v>FM81</v>
      </c>
      <c r="D124" s="881" t="s">
        <v>10</v>
      </c>
      <c r="E124" s="882">
        <f>'Stock Rawmaterial'!E718</f>
        <v>45195</v>
      </c>
      <c r="F124" s="71">
        <f t="shared" si="0"/>
        <v>1091</v>
      </c>
      <c r="G124" s="71" t="e">
        <f>'Stock Rawmaterial'!#REF!</f>
        <v>#REF!</v>
      </c>
      <c r="H124" s="80"/>
      <c r="I124" s="71" t="e">
        <f>'Stock Rawmaterial'!#REF!</f>
        <v>#REF!</v>
      </c>
      <c r="J124" s="80">
        <f>'Stock Rawmaterial'!H718</f>
        <v>0</v>
      </c>
      <c r="K124" s="80" t="e">
        <f>'Stock Rawmaterial'!#REF!</f>
        <v>#REF!</v>
      </c>
      <c r="L124" s="80" t="e">
        <f>'Stock Rawmaterial'!#REF!</f>
        <v>#REF!</v>
      </c>
      <c r="M124" s="80" t="e">
        <f>'Stock Rawmaterial'!#REF!</f>
        <v>#REF!</v>
      </c>
      <c r="N124" s="80"/>
      <c r="O124" s="80" t="e">
        <f>'Stock Rawmaterial'!#REF!</f>
        <v>#REF!</v>
      </c>
      <c r="P124" s="80" t="e">
        <f>'Stock Rawmaterial'!#REF!</f>
        <v>#REF!</v>
      </c>
      <c r="Q124" s="80" t="e">
        <f>'Stock Rawmaterial'!#REF!</f>
        <v>#REF!</v>
      </c>
      <c r="R124" s="80"/>
      <c r="S124" s="80" t="e">
        <f>'Stock Rawmaterial'!#REF!</f>
        <v>#REF!</v>
      </c>
      <c r="T124" s="80">
        <f>'Stock Rawmaterial'!K718</f>
        <v>0</v>
      </c>
      <c r="U124" s="80" t="e">
        <f>'Stock Rawmaterial'!#REF!</f>
        <v>#REF!</v>
      </c>
      <c r="V124" s="80" t="e">
        <f>'Stock Rawmaterial'!#REF!</f>
        <v>#REF!</v>
      </c>
      <c r="W124" s="80" t="e">
        <f>'Stock Rawmaterial'!#REF!</f>
        <v>#REF!</v>
      </c>
      <c r="X124" s="207" t="e">
        <f>+(H124+J124+L124+N124+P124)-(R124+T124+V124)</f>
        <v>#REF!</v>
      </c>
      <c r="Y124" s="35"/>
      <c r="Z124" s="871"/>
      <c r="AA124" s="35"/>
      <c r="AB124" s="1013"/>
      <c r="AC124" s="795"/>
      <c r="AD124" s="797"/>
      <c r="AE124" s="797"/>
      <c r="AF124" s="551"/>
      <c r="AG124" s="699"/>
      <c r="AH124" s="700"/>
      <c r="AI124" s="699"/>
      <c r="AJ124" s="699"/>
      <c r="AK124" s="551"/>
      <c r="AL124" s="551"/>
      <c r="AM124" s="551"/>
      <c r="AN124" s="551"/>
      <c r="AO124" s="551"/>
      <c r="AP124" s="551"/>
      <c r="AQ124" s="551"/>
      <c r="AR124" s="704"/>
      <c r="AS124" s="704"/>
      <c r="AT124" s="704"/>
      <c r="AU124" s="704"/>
      <c r="AV124" s="704"/>
      <c r="AW124" s="704"/>
      <c r="AX124" s="704"/>
      <c r="AY124" s="704"/>
      <c r="AZ124" s="704"/>
      <c r="BA124" s="704"/>
      <c r="BB124" s="704"/>
    </row>
    <row r="125" spans="1:54" s="265" customFormat="1" ht="30" customHeight="1" x14ac:dyDescent="0.25">
      <c r="A125" s="184"/>
      <c r="B125" s="184" t="s">
        <v>971</v>
      </c>
      <c r="C125" s="575"/>
      <c r="D125" s="900"/>
      <c r="E125" s="901"/>
      <c r="F125" s="902"/>
      <c r="G125" s="353" t="e">
        <f>'Stock Rawmaterial'!#REF!</f>
        <v>#REF!</v>
      </c>
      <c r="H125" s="235">
        <f>+SUM(H121:H124)</f>
        <v>0</v>
      </c>
      <c r="I125" s="235" t="e">
        <f t="shared" ref="I125:X125" si="54">+SUM(I121:I124)</f>
        <v>#REF!</v>
      </c>
      <c r="J125" s="235">
        <f t="shared" si="54"/>
        <v>0</v>
      </c>
      <c r="K125" s="235" t="e">
        <f t="shared" si="54"/>
        <v>#REF!</v>
      </c>
      <c r="L125" s="235" t="e">
        <f t="shared" si="54"/>
        <v>#REF!</v>
      </c>
      <c r="M125" s="235" t="e">
        <f t="shared" si="54"/>
        <v>#REF!</v>
      </c>
      <c r="N125" s="235">
        <f t="shared" si="54"/>
        <v>0</v>
      </c>
      <c r="O125" s="235" t="e">
        <f t="shared" si="54"/>
        <v>#REF!</v>
      </c>
      <c r="P125" s="235" t="e">
        <f t="shared" si="54"/>
        <v>#REF!</v>
      </c>
      <c r="Q125" s="235" t="e">
        <f t="shared" si="54"/>
        <v>#REF!</v>
      </c>
      <c r="R125" s="235">
        <f t="shared" si="54"/>
        <v>0</v>
      </c>
      <c r="S125" s="235" t="e">
        <f t="shared" si="54"/>
        <v>#REF!</v>
      </c>
      <c r="T125" s="235">
        <f t="shared" si="54"/>
        <v>0</v>
      </c>
      <c r="U125" s="235" t="e">
        <f t="shared" si="54"/>
        <v>#REF!</v>
      </c>
      <c r="V125" s="235" t="e">
        <f t="shared" si="54"/>
        <v>#REF!</v>
      </c>
      <c r="W125" s="235" t="e">
        <f t="shared" si="54"/>
        <v>#REF!</v>
      </c>
      <c r="X125" s="235" t="e">
        <f t="shared" si="54"/>
        <v>#REF!</v>
      </c>
      <c r="Y125" s="59" t="str">
        <f>'Stock Rawmaterial'!M719</f>
        <v/>
      </c>
      <c r="Z125" s="366">
        <f>IFERROR(X125/Y125,0)</f>
        <v>0</v>
      </c>
      <c r="AA125" s="59">
        <f>'Stock Rawmaterial'!O719</f>
        <v>0</v>
      </c>
      <c r="AB125" s="880">
        <f>IFERROR(X125/AA125,0)</f>
        <v>0</v>
      </c>
      <c r="AC125" s="795" t="s">
        <v>923</v>
      </c>
      <c r="AD125" s="797"/>
      <c r="AE125" s="797"/>
      <c r="AF125" s="551"/>
      <c r="AG125" s="699"/>
      <c r="AH125" s="700"/>
      <c r="AI125" s="699"/>
      <c r="AJ125" s="699"/>
      <c r="AK125" s="551"/>
      <c r="AL125" s="683"/>
      <c r="AM125" s="551"/>
      <c r="AN125" s="551"/>
      <c r="AO125" s="551"/>
      <c r="AP125" s="551"/>
      <c r="AQ125" s="551"/>
      <c r="AR125" s="704"/>
      <c r="AS125" s="704"/>
      <c r="AT125" s="704"/>
      <c r="AU125" s="704"/>
      <c r="AV125" s="704"/>
      <c r="AW125" s="704"/>
      <c r="AX125" s="704"/>
      <c r="AY125" s="704"/>
      <c r="AZ125" s="704"/>
      <c r="BA125" s="704"/>
      <c r="BB125" s="704"/>
    </row>
    <row r="126" spans="1:54" s="265" customFormat="1" ht="30" customHeight="1" x14ac:dyDescent="0.25">
      <c r="A126" s="2084" t="e">
        <f>IF(X129=0,"",MAX($A$14:A125)+1)</f>
        <v>#REF!</v>
      </c>
      <c r="B126" s="2076" t="s">
        <v>932</v>
      </c>
      <c r="C126" s="574" t="str">
        <f>'Stock Rawmaterial'!C592</f>
        <v>A22.6</v>
      </c>
      <c r="D126" s="881" t="s">
        <v>10</v>
      </c>
      <c r="E126" s="882">
        <f>'Stock Rawmaterial'!E592</f>
        <v>44327</v>
      </c>
      <c r="F126" s="71">
        <f>$X$7-E126</f>
        <v>1959</v>
      </c>
      <c r="G126" s="71" t="e">
        <f>'Stock Rawmaterial'!#REF!</f>
        <v>#REF!</v>
      </c>
      <c r="H126" s="80">
        <f>'Stock Rawmaterial'!G592</f>
        <v>0</v>
      </c>
      <c r="I126" s="80" t="e">
        <f>'Stock Rawmaterial'!#REF!</f>
        <v>#REF!</v>
      </c>
      <c r="J126" s="80">
        <f>'Stock Rawmaterial'!H592</f>
        <v>0</v>
      </c>
      <c r="K126" s="80" t="e">
        <f>'Stock Rawmaterial'!#REF!</f>
        <v>#REF!</v>
      </c>
      <c r="L126" s="80" t="e">
        <f>'Stock Rawmaterial'!#REF!</f>
        <v>#REF!</v>
      </c>
      <c r="M126" s="80" t="e">
        <f>'Stock Rawmaterial'!#REF!</f>
        <v>#REF!</v>
      </c>
      <c r="N126" s="80">
        <f>'Stock Rawmaterial'!I592</f>
        <v>0</v>
      </c>
      <c r="O126" s="80" t="e">
        <f>'Stock Rawmaterial'!#REF!</f>
        <v>#REF!</v>
      </c>
      <c r="P126" s="80" t="e">
        <f>'Stock Rawmaterial'!#REF!</f>
        <v>#REF!</v>
      </c>
      <c r="Q126" s="80" t="e">
        <f>'Stock Rawmaterial'!#REF!</f>
        <v>#REF!</v>
      </c>
      <c r="R126" s="80">
        <f>'Stock Rawmaterial'!J592</f>
        <v>0</v>
      </c>
      <c r="S126" s="80" t="e">
        <f>'Stock Rawmaterial'!#REF!</f>
        <v>#REF!</v>
      </c>
      <c r="T126" s="80">
        <f>'Stock Rawmaterial'!K592</f>
        <v>0</v>
      </c>
      <c r="U126" s="80" t="e">
        <f>'Stock Rawmaterial'!#REF!</f>
        <v>#REF!</v>
      </c>
      <c r="V126" s="80" t="e">
        <f>'Stock Rawmaterial'!#REF!</f>
        <v>#REF!</v>
      </c>
      <c r="W126" s="80" t="e">
        <f>'Stock Rawmaterial'!#REF!</f>
        <v>#REF!</v>
      </c>
      <c r="X126" s="346" t="e">
        <f>+(H126+J126+L126+N126+P126)-(R126+T126+V126)</f>
        <v>#REF!</v>
      </c>
      <c r="Y126" s="48"/>
      <c r="Z126" s="163"/>
      <c r="AA126" s="48"/>
      <c r="AB126" s="750"/>
      <c r="AC126" s="795"/>
      <c r="AD126" s="797"/>
      <c r="AE126" s="797"/>
      <c r="AF126" s="551"/>
      <c r="AG126" s="699"/>
      <c r="AH126" s="700"/>
      <c r="AI126" s="699"/>
      <c r="AJ126" s="699"/>
      <c r="AK126" s="551"/>
      <c r="AL126" s="551"/>
      <c r="AM126" s="551"/>
      <c r="AN126" s="551"/>
      <c r="AO126" s="551"/>
      <c r="AP126" s="551"/>
      <c r="AQ126" s="551"/>
      <c r="AR126" s="704"/>
      <c r="AS126" s="704"/>
      <c r="AT126" s="704"/>
      <c r="AU126" s="704"/>
      <c r="AV126" s="704"/>
      <c r="AW126" s="704"/>
      <c r="AX126" s="704"/>
      <c r="AY126" s="704"/>
      <c r="AZ126" s="704"/>
      <c r="BA126" s="704"/>
      <c r="BB126" s="704"/>
    </row>
    <row r="127" spans="1:54" s="265" customFormat="1" ht="30" customHeight="1" x14ac:dyDescent="0.25">
      <c r="A127" s="2084"/>
      <c r="B127" s="2076"/>
      <c r="C127" s="574">
        <f>'Stock Rawmaterial'!C593</f>
        <v>0</v>
      </c>
      <c r="D127" s="881" t="s">
        <v>10</v>
      </c>
      <c r="E127" s="882">
        <f>'Stock Rawmaterial'!E593</f>
        <v>0</v>
      </c>
      <c r="F127" s="71">
        <f>$X$7-E127</f>
        <v>46286</v>
      </c>
      <c r="G127" s="71" t="e">
        <f>'Stock Rawmaterial'!#REF!</f>
        <v>#REF!</v>
      </c>
      <c r="H127" s="80">
        <f>'Stock Rawmaterial'!G593</f>
        <v>0</v>
      </c>
      <c r="I127" s="80" t="e">
        <f>'Stock Rawmaterial'!#REF!</f>
        <v>#REF!</v>
      </c>
      <c r="J127" s="80">
        <f>'Stock Rawmaterial'!H593</f>
        <v>0</v>
      </c>
      <c r="K127" s="80" t="e">
        <f>'Stock Rawmaterial'!#REF!</f>
        <v>#REF!</v>
      </c>
      <c r="L127" s="80" t="e">
        <f>'Stock Rawmaterial'!#REF!</f>
        <v>#REF!</v>
      </c>
      <c r="M127" s="80" t="e">
        <f>'Stock Rawmaterial'!#REF!</f>
        <v>#REF!</v>
      </c>
      <c r="N127" s="80">
        <f>'Stock Rawmaterial'!I593</f>
        <v>0</v>
      </c>
      <c r="O127" s="80" t="e">
        <f>'Stock Rawmaterial'!#REF!</f>
        <v>#REF!</v>
      </c>
      <c r="P127" s="80" t="e">
        <f>'Stock Rawmaterial'!#REF!</f>
        <v>#REF!</v>
      </c>
      <c r="Q127" s="80" t="e">
        <f>'Stock Rawmaterial'!#REF!</f>
        <v>#REF!</v>
      </c>
      <c r="R127" s="80">
        <f>'Stock Rawmaterial'!J593</f>
        <v>0</v>
      </c>
      <c r="S127" s="80" t="e">
        <f>'Stock Rawmaterial'!#REF!</f>
        <v>#REF!</v>
      </c>
      <c r="T127" s="80">
        <f>'Stock Rawmaterial'!K593</f>
        <v>0</v>
      </c>
      <c r="U127" s="80" t="e">
        <f>'Stock Rawmaterial'!#REF!</f>
        <v>#REF!</v>
      </c>
      <c r="V127" s="80" t="e">
        <f>'Stock Rawmaterial'!#REF!</f>
        <v>#REF!</v>
      </c>
      <c r="W127" s="80" t="e">
        <f>'Stock Rawmaterial'!#REF!</f>
        <v>#REF!</v>
      </c>
      <c r="X127" s="346" t="e">
        <f>+(H127+J127+L127+N127+P127)-(R127+T127+V127)</f>
        <v>#REF!</v>
      </c>
      <c r="Y127" s="48"/>
      <c r="Z127" s="163"/>
      <c r="AA127" s="48"/>
      <c r="AB127" s="750"/>
      <c r="AC127" s="795"/>
      <c r="AD127" s="797"/>
      <c r="AE127" s="797"/>
      <c r="AF127" s="551"/>
      <c r="AG127" s="699"/>
      <c r="AH127" s="700"/>
      <c r="AI127" s="699"/>
      <c r="AJ127" s="699"/>
      <c r="AK127" s="551"/>
      <c r="AL127" s="551"/>
      <c r="AM127" s="551"/>
      <c r="AN127" s="551"/>
      <c r="AO127" s="551"/>
      <c r="AP127" s="551"/>
      <c r="AQ127" s="551"/>
      <c r="AR127" s="704"/>
      <c r="AS127" s="704"/>
      <c r="AT127" s="704"/>
      <c r="AU127" s="704"/>
      <c r="AV127" s="704"/>
      <c r="AW127" s="704"/>
      <c r="AX127" s="704"/>
      <c r="AY127" s="704"/>
      <c r="AZ127" s="704"/>
      <c r="BA127" s="704"/>
      <c r="BB127" s="704"/>
    </row>
    <row r="128" spans="1:54" s="265" customFormat="1" ht="30" customHeight="1" x14ac:dyDescent="0.25">
      <c r="A128" s="2084"/>
      <c r="B128" s="2076"/>
      <c r="C128" s="574" t="str">
        <f>'Stock Rawmaterial'!C594</f>
        <v>FM</v>
      </c>
      <c r="D128" s="881" t="s">
        <v>10</v>
      </c>
      <c r="E128" s="882">
        <f>'Stock Rawmaterial'!E594</f>
        <v>44327</v>
      </c>
      <c r="F128" s="71">
        <f>$X$7-E128</f>
        <v>1959</v>
      </c>
      <c r="G128" s="71" t="e">
        <f>'Stock Rawmaterial'!#REF!</f>
        <v>#REF!</v>
      </c>
      <c r="H128" s="80">
        <f>'Stock Rawmaterial'!G594</f>
        <v>0</v>
      </c>
      <c r="I128" s="80" t="e">
        <f>'Stock Rawmaterial'!#REF!</f>
        <v>#REF!</v>
      </c>
      <c r="J128" s="80">
        <f>'Stock Rawmaterial'!H594</f>
        <v>0</v>
      </c>
      <c r="K128" s="80" t="e">
        <f>'Stock Rawmaterial'!#REF!</f>
        <v>#REF!</v>
      </c>
      <c r="L128" s="80" t="e">
        <f>'Stock Rawmaterial'!#REF!</f>
        <v>#REF!</v>
      </c>
      <c r="M128" s="80" t="e">
        <f>'Stock Rawmaterial'!#REF!</f>
        <v>#REF!</v>
      </c>
      <c r="N128" s="80">
        <f>'Stock Rawmaterial'!I594</f>
        <v>0</v>
      </c>
      <c r="O128" s="80" t="e">
        <f>'Stock Rawmaterial'!#REF!</f>
        <v>#REF!</v>
      </c>
      <c r="P128" s="80" t="e">
        <f>'Stock Rawmaterial'!#REF!</f>
        <v>#REF!</v>
      </c>
      <c r="Q128" s="80" t="e">
        <f>'Stock Rawmaterial'!#REF!</f>
        <v>#REF!</v>
      </c>
      <c r="R128" s="80">
        <f>'Stock Rawmaterial'!J594</f>
        <v>0</v>
      </c>
      <c r="S128" s="80" t="e">
        <f>'Stock Rawmaterial'!#REF!</f>
        <v>#REF!</v>
      </c>
      <c r="T128" s="80">
        <f>'Stock Rawmaterial'!K594</f>
        <v>0</v>
      </c>
      <c r="U128" s="80" t="e">
        <f>'Stock Rawmaterial'!#REF!</f>
        <v>#REF!</v>
      </c>
      <c r="V128" s="80" t="e">
        <f>'Stock Rawmaterial'!#REF!</f>
        <v>#REF!</v>
      </c>
      <c r="W128" s="80" t="e">
        <f>'Stock Rawmaterial'!#REF!</f>
        <v>#REF!</v>
      </c>
      <c r="X128" s="346" t="e">
        <f>+(H128+J128+L128+N128+P128)-(R128+T128+V128)</f>
        <v>#REF!</v>
      </c>
      <c r="Y128" s="48"/>
      <c r="Z128" s="163"/>
      <c r="AA128" s="48"/>
      <c r="AB128" s="750"/>
      <c r="AC128" s="795"/>
      <c r="AD128" s="797"/>
      <c r="AE128" s="797"/>
      <c r="AF128" s="551"/>
      <c r="AG128" s="699"/>
      <c r="AH128" s="700"/>
      <c r="AI128" s="699"/>
      <c r="AJ128" s="699"/>
      <c r="AK128" s="551"/>
      <c r="AL128" s="551"/>
      <c r="AM128" s="551"/>
      <c r="AN128" s="551"/>
      <c r="AO128" s="551"/>
      <c r="AP128" s="551"/>
      <c r="AQ128" s="551"/>
      <c r="AR128" s="704"/>
      <c r="AS128" s="704"/>
      <c r="AT128" s="704"/>
      <c r="AU128" s="704"/>
      <c r="AV128" s="704"/>
      <c r="AW128" s="704"/>
      <c r="AX128" s="704"/>
      <c r="AY128" s="704"/>
      <c r="AZ128" s="704"/>
      <c r="BA128" s="704"/>
      <c r="BB128" s="704"/>
    </row>
    <row r="129" spans="1:54" s="265" customFormat="1" ht="30" customHeight="1" x14ac:dyDescent="0.25">
      <c r="A129" s="184"/>
      <c r="B129" s="184" t="s">
        <v>981</v>
      </c>
      <c r="C129" s="575"/>
      <c r="D129" s="900"/>
      <c r="E129" s="901"/>
      <c r="F129" s="902"/>
      <c r="G129" s="353" t="e">
        <f>'Stock Rawmaterial'!#REF!</f>
        <v>#REF!</v>
      </c>
      <c r="H129" s="235">
        <f>+SUM(H126:H128)</f>
        <v>0</v>
      </c>
      <c r="I129" s="235" t="e">
        <f t="shared" ref="I129:X129" si="55">+SUM(I126:I128)</f>
        <v>#REF!</v>
      </c>
      <c r="J129" s="235">
        <f t="shared" si="55"/>
        <v>0</v>
      </c>
      <c r="K129" s="235" t="e">
        <f t="shared" si="55"/>
        <v>#REF!</v>
      </c>
      <c r="L129" s="235" t="e">
        <f t="shared" si="55"/>
        <v>#REF!</v>
      </c>
      <c r="M129" s="235" t="e">
        <f t="shared" si="55"/>
        <v>#REF!</v>
      </c>
      <c r="N129" s="235">
        <f t="shared" si="55"/>
        <v>0</v>
      </c>
      <c r="O129" s="235" t="e">
        <f t="shared" si="55"/>
        <v>#REF!</v>
      </c>
      <c r="P129" s="235" t="e">
        <f t="shared" si="55"/>
        <v>#REF!</v>
      </c>
      <c r="Q129" s="235" t="e">
        <f t="shared" si="55"/>
        <v>#REF!</v>
      </c>
      <c r="R129" s="235">
        <f t="shared" si="55"/>
        <v>0</v>
      </c>
      <c r="S129" s="235" t="e">
        <f t="shared" si="55"/>
        <v>#REF!</v>
      </c>
      <c r="T129" s="235">
        <f t="shared" si="55"/>
        <v>0</v>
      </c>
      <c r="U129" s="235" t="e">
        <f t="shared" si="55"/>
        <v>#REF!</v>
      </c>
      <c r="V129" s="235" t="e">
        <f t="shared" si="55"/>
        <v>#REF!</v>
      </c>
      <c r="W129" s="235" t="e">
        <f t="shared" si="55"/>
        <v>#REF!</v>
      </c>
      <c r="X129" s="235" t="e">
        <f t="shared" si="55"/>
        <v>#REF!</v>
      </c>
      <c r="Y129" s="59">
        <f>'Stock Rawmaterial'!M724</f>
        <v>0</v>
      </c>
      <c r="Z129" s="366">
        <f>IFERROR(X129/Y129,0)</f>
        <v>0</v>
      </c>
      <c r="AA129" s="59">
        <f>'Stock Rawmaterial'!O724</f>
        <v>0</v>
      </c>
      <c r="AB129" s="880">
        <f>IFERROR(X129/AA129,0)</f>
        <v>0</v>
      </c>
      <c r="AC129" s="795" t="s">
        <v>923</v>
      </c>
      <c r="AD129" s="797"/>
      <c r="AE129" s="797"/>
      <c r="AF129" s="551"/>
      <c r="AG129" s="699"/>
      <c r="AH129" s="700"/>
      <c r="AI129" s="699"/>
      <c r="AJ129" s="699"/>
      <c r="AK129" s="551"/>
      <c r="AL129" s="683"/>
      <c r="AM129" s="551"/>
      <c r="AN129" s="551"/>
      <c r="AO129" s="551"/>
      <c r="AP129" s="551"/>
      <c r="AQ129" s="551"/>
      <c r="AR129" s="704"/>
      <c r="AS129" s="704"/>
      <c r="AT129" s="704"/>
      <c r="AU129" s="704"/>
      <c r="AV129" s="704"/>
      <c r="AW129" s="704"/>
      <c r="AX129" s="704"/>
      <c r="AY129" s="704"/>
      <c r="AZ129" s="704"/>
      <c r="BA129" s="704"/>
      <c r="BB129" s="704"/>
    </row>
    <row r="130" spans="1:54" s="265" customFormat="1" ht="30" customHeight="1" x14ac:dyDescent="0.25">
      <c r="A130" s="2084" t="str">
        <f>IF(X134=0,"",MAX($A$14:A129)+1)</f>
        <v/>
      </c>
      <c r="B130" s="2076" t="s">
        <v>1203</v>
      </c>
      <c r="C130" s="574" t="str">
        <f>'Stock Rawmaterial'!C518</f>
        <v>Z1.2</v>
      </c>
      <c r="D130" s="881" t="s">
        <v>10</v>
      </c>
      <c r="E130" s="882">
        <f>'Stock Rawmaterial'!E518</f>
        <v>44859</v>
      </c>
      <c r="F130" s="71">
        <f>$X$7-E130</f>
        <v>1427</v>
      </c>
      <c r="G130" s="71" t="e">
        <f>'Stock Rawmaterial'!#REF!</f>
        <v>#REF!</v>
      </c>
      <c r="H130" s="80">
        <f>'Stock Rawmaterial'!G518</f>
        <v>0</v>
      </c>
      <c r="I130" s="80" t="e">
        <f>'Stock Rawmaterial'!#REF!</f>
        <v>#REF!</v>
      </c>
      <c r="J130" s="80">
        <f>'Stock Rawmaterial'!H518</f>
        <v>0</v>
      </c>
      <c r="K130" s="80" t="e">
        <f>'Stock Rawmaterial'!#REF!</f>
        <v>#REF!</v>
      </c>
      <c r="L130" s="80" t="e">
        <f>'Stock Rawmaterial'!#REF!</f>
        <v>#REF!</v>
      </c>
      <c r="M130" s="80" t="e">
        <f>'Stock Rawmaterial'!#REF!</f>
        <v>#REF!</v>
      </c>
      <c r="N130" s="80">
        <f>'Stock Rawmaterial'!I518</f>
        <v>0</v>
      </c>
      <c r="O130" s="80" t="e">
        <f>'Stock Rawmaterial'!#REF!</f>
        <v>#REF!</v>
      </c>
      <c r="P130" s="80" t="e">
        <f>'Stock Rawmaterial'!#REF!</f>
        <v>#REF!</v>
      </c>
      <c r="Q130" s="80" t="e">
        <f>'Stock Rawmaterial'!#REF!</f>
        <v>#REF!</v>
      </c>
      <c r="R130" s="80">
        <f>'Stock Rawmaterial'!J518</f>
        <v>0</v>
      </c>
      <c r="S130" s="80" t="e">
        <f>'Stock Rawmaterial'!#REF!</f>
        <v>#REF!</v>
      </c>
      <c r="T130" s="80">
        <f>'Stock Rawmaterial'!K518</f>
        <v>0</v>
      </c>
      <c r="U130" s="80" t="e">
        <f>'Stock Rawmaterial'!#REF!</f>
        <v>#REF!</v>
      </c>
      <c r="V130" s="80" t="e">
        <f>'Stock Rawmaterial'!#REF!</f>
        <v>#REF!</v>
      </c>
      <c r="W130" s="80" t="e">
        <f>'Stock Rawmaterial'!#REF!</f>
        <v>#REF!</v>
      </c>
      <c r="X130" s="80">
        <f>'Stock Rawmaterial'!L518</f>
        <v>0</v>
      </c>
      <c r="Y130" s="48"/>
      <c r="Z130" s="163"/>
      <c r="AA130" s="48"/>
      <c r="AB130" s="750"/>
      <c r="AC130" s="795"/>
      <c r="AD130" s="797"/>
      <c r="AE130" s="797"/>
      <c r="AF130" s="551"/>
      <c r="AG130" s="699"/>
      <c r="AH130" s="700"/>
      <c r="AI130" s="699"/>
      <c r="AJ130" s="699"/>
      <c r="AK130" s="551"/>
      <c r="AL130" s="551"/>
      <c r="AM130" s="551"/>
      <c r="AN130" s="551"/>
      <c r="AO130" s="551"/>
      <c r="AP130" s="551"/>
      <c r="AQ130" s="551"/>
      <c r="AR130" s="704"/>
      <c r="AS130" s="704"/>
      <c r="AT130" s="704"/>
      <c r="AU130" s="704"/>
      <c r="AV130" s="704"/>
      <c r="AW130" s="704"/>
      <c r="AX130" s="704"/>
      <c r="AY130" s="704"/>
      <c r="AZ130" s="704"/>
      <c r="BA130" s="704"/>
      <c r="BB130" s="704"/>
    </row>
    <row r="131" spans="1:54" s="265" customFormat="1" ht="30" customHeight="1" x14ac:dyDescent="0.25">
      <c r="A131" s="2084"/>
      <c r="B131" s="2076"/>
      <c r="C131" s="574" t="str">
        <f>'Stock Rawmaterial'!C519</f>
        <v>Z3.2</v>
      </c>
      <c r="D131" s="881" t="s">
        <v>10</v>
      </c>
      <c r="E131" s="882">
        <f>'Stock Rawmaterial'!E519</f>
        <v>44859</v>
      </c>
      <c r="F131" s="71">
        <f t="shared" ref="F131:F133" si="56">$X$7-E131</f>
        <v>1427</v>
      </c>
      <c r="G131" s="71" t="e">
        <f>'Stock Rawmaterial'!#REF!</f>
        <v>#REF!</v>
      </c>
      <c r="H131" s="80">
        <f>'Stock Rawmaterial'!G519</f>
        <v>0</v>
      </c>
      <c r="I131" s="80" t="e">
        <f>'Stock Rawmaterial'!#REF!</f>
        <v>#REF!</v>
      </c>
      <c r="J131" s="80">
        <f>'Stock Rawmaterial'!H519</f>
        <v>0</v>
      </c>
      <c r="K131" s="80" t="e">
        <f>'Stock Rawmaterial'!#REF!</f>
        <v>#REF!</v>
      </c>
      <c r="L131" s="80" t="e">
        <f>'Stock Rawmaterial'!#REF!</f>
        <v>#REF!</v>
      </c>
      <c r="M131" s="80" t="e">
        <f>'Stock Rawmaterial'!#REF!</f>
        <v>#REF!</v>
      </c>
      <c r="N131" s="80">
        <f>'Stock Rawmaterial'!I519</f>
        <v>0</v>
      </c>
      <c r="O131" s="80" t="e">
        <f>'Stock Rawmaterial'!#REF!</f>
        <v>#REF!</v>
      </c>
      <c r="P131" s="80" t="e">
        <f>'Stock Rawmaterial'!#REF!</f>
        <v>#REF!</v>
      </c>
      <c r="Q131" s="80" t="e">
        <f>'Stock Rawmaterial'!#REF!</f>
        <v>#REF!</v>
      </c>
      <c r="R131" s="80">
        <f>'Stock Rawmaterial'!J519</f>
        <v>0</v>
      </c>
      <c r="S131" s="80" t="e">
        <f>'Stock Rawmaterial'!#REF!</f>
        <v>#REF!</v>
      </c>
      <c r="T131" s="80">
        <f>'Stock Rawmaterial'!K519</f>
        <v>0</v>
      </c>
      <c r="U131" s="80" t="e">
        <f>'Stock Rawmaterial'!#REF!</f>
        <v>#REF!</v>
      </c>
      <c r="V131" s="80" t="e">
        <f>'Stock Rawmaterial'!#REF!</f>
        <v>#REF!</v>
      </c>
      <c r="W131" s="80" t="e">
        <f>'Stock Rawmaterial'!#REF!</f>
        <v>#REF!</v>
      </c>
      <c r="X131" s="80">
        <f>'Stock Rawmaterial'!L519</f>
        <v>0</v>
      </c>
      <c r="Y131" s="48"/>
      <c r="Z131" s="163"/>
      <c r="AA131" s="48"/>
      <c r="AB131" s="750"/>
      <c r="AC131" s="795"/>
      <c r="AD131" s="797"/>
      <c r="AE131" s="797"/>
      <c r="AF131" s="551"/>
      <c r="AG131" s="699"/>
      <c r="AH131" s="700"/>
      <c r="AI131" s="699"/>
      <c r="AJ131" s="699"/>
      <c r="AK131" s="551"/>
      <c r="AL131" s="551"/>
      <c r="AM131" s="551"/>
      <c r="AN131" s="551"/>
      <c r="AO131" s="551"/>
      <c r="AP131" s="551"/>
      <c r="AQ131" s="551"/>
      <c r="AR131" s="704"/>
      <c r="AS131" s="704"/>
      <c r="AT131" s="704"/>
      <c r="AU131" s="704"/>
      <c r="AV131" s="704"/>
      <c r="AW131" s="704"/>
      <c r="AX131" s="704"/>
      <c r="AY131" s="704"/>
      <c r="AZ131" s="704"/>
      <c r="BA131" s="704"/>
      <c r="BB131" s="704"/>
    </row>
    <row r="132" spans="1:54" s="265" customFormat="1" ht="30" customHeight="1" x14ac:dyDescent="0.25">
      <c r="A132" s="2121"/>
      <c r="B132" s="2082"/>
      <c r="C132" s="574">
        <f>'Stock Rawmaterial'!C520</f>
        <v>0</v>
      </c>
      <c r="D132" s="881" t="s">
        <v>10</v>
      </c>
      <c r="E132" s="882">
        <f>'Stock Rawmaterial'!E520</f>
        <v>44859</v>
      </c>
      <c r="F132" s="71">
        <f t="shared" ref="F132" si="57">$X$7-E132</f>
        <v>1427</v>
      </c>
      <c r="G132" s="71" t="e">
        <f>'Stock Rawmaterial'!#REF!</f>
        <v>#REF!</v>
      </c>
      <c r="H132" s="80">
        <f>'Stock Rawmaterial'!G520</f>
        <v>0</v>
      </c>
      <c r="I132" s="80" t="e">
        <f>'Stock Rawmaterial'!#REF!</f>
        <v>#REF!</v>
      </c>
      <c r="J132" s="80">
        <f>'Stock Rawmaterial'!H520</f>
        <v>0</v>
      </c>
      <c r="K132" s="80" t="e">
        <f>'Stock Rawmaterial'!#REF!</f>
        <v>#REF!</v>
      </c>
      <c r="L132" s="80" t="e">
        <f>'Stock Rawmaterial'!#REF!</f>
        <v>#REF!</v>
      </c>
      <c r="M132" s="80" t="e">
        <f>'Stock Rawmaterial'!#REF!</f>
        <v>#REF!</v>
      </c>
      <c r="N132" s="574">
        <f>'Stock Rawmaterial'!I520</f>
        <v>0</v>
      </c>
      <c r="O132" s="80" t="e">
        <f>'Stock Rawmaterial'!#REF!</f>
        <v>#REF!</v>
      </c>
      <c r="P132" s="80" t="e">
        <f>'Stock Rawmaterial'!#REF!</f>
        <v>#REF!</v>
      </c>
      <c r="Q132" s="80" t="e">
        <f>'Stock Rawmaterial'!#REF!</f>
        <v>#REF!</v>
      </c>
      <c r="R132" s="80">
        <f>'Stock Rawmaterial'!J520</f>
        <v>0</v>
      </c>
      <c r="S132" s="80" t="e">
        <f>'Stock Rawmaterial'!#REF!</f>
        <v>#REF!</v>
      </c>
      <c r="T132" s="80">
        <f>'Stock Rawmaterial'!K520</f>
        <v>0</v>
      </c>
      <c r="U132" s="80" t="e">
        <f>'Stock Rawmaterial'!#REF!</f>
        <v>#REF!</v>
      </c>
      <c r="V132" s="80" t="e">
        <f>'Stock Rawmaterial'!#REF!</f>
        <v>#REF!</v>
      </c>
      <c r="W132" s="80" t="e">
        <f>'Stock Rawmaterial'!#REF!</f>
        <v>#REF!</v>
      </c>
      <c r="X132" s="80">
        <f>'Stock Rawmaterial'!L520</f>
        <v>0</v>
      </c>
      <c r="Y132" s="48"/>
      <c r="Z132" s="163"/>
      <c r="AA132" s="48"/>
      <c r="AB132" s="750"/>
      <c r="AC132" s="795"/>
      <c r="AD132" s="797"/>
      <c r="AE132" s="797"/>
      <c r="AF132" s="551"/>
      <c r="AG132" s="699"/>
      <c r="AH132" s="700"/>
      <c r="AI132" s="699"/>
      <c r="AJ132" s="699"/>
      <c r="AK132" s="551"/>
      <c r="AL132" s="551"/>
      <c r="AM132" s="551"/>
      <c r="AN132" s="551"/>
      <c r="AO132" s="551"/>
      <c r="AP132" s="551"/>
      <c r="AQ132" s="551"/>
      <c r="AR132" s="704"/>
      <c r="AS132" s="704"/>
      <c r="AT132" s="704"/>
      <c r="AU132" s="704"/>
      <c r="AV132" s="704"/>
      <c r="AW132" s="704"/>
      <c r="AX132" s="704"/>
      <c r="AY132" s="704"/>
      <c r="AZ132" s="704"/>
      <c r="BA132" s="704"/>
      <c r="BB132" s="704"/>
    </row>
    <row r="133" spans="1:54" s="265" customFormat="1" ht="30" customHeight="1" x14ac:dyDescent="0.25">
      <c r="A133" s="2084"/>
      <c r="B133" s="2076"/>
      <c r="C133" s="1092" t="str">
        <f>'Stock Rawmaterial'!C521</f>
        <v>FM</v>
      </c>
      <c r="D133" s="1093" t="s">
        <v>10</v>
      </c>
      <c r="E133" s="1094">
        <f>'Stock Rawmaterial'!E521</f>
        <v>44859</v>
      </c>
      <c r="F133" s="1095">
        <f t="shared" si="56"/>
        <v>1427</v>
      </c>
      <c r="G133" s="1095" t="e">
        <f>'Stock Rawmaterial'!#REF!</f>
        <v>#REF!</v>
      </c>
      <c r="H133" s="626">
        <f>'Stock Rawmaterial'!G521</f>
        <v>0</v>
      </c>
      <c r="I133" s="80" t="e">
        <f>'Stock Rawmaterial'!#REF!</f>
        <v>#REF!</v>
      </c>
      <c r="J133" s="80">
        <f>'Stock Rawmaterial'!H521</f>
        <v>0</v>
      </c>
      <c r="K133" s="80" t="e">
        <f>'Stock Rawmaterial'!#REF!</f>
        <v>#REF!</v>
      </c>
      <c r="L133" s="80" t="e">
        <f>'Stock Rawmaterial'!#REF!</f>
        <v>#REF!</v>
      </c>
      <c r="M133" s="80" t="e">
        <f>'Stock Rawmaterial'!#REF!</f>
        <v>#REF!</v>
      </c>
      <c r="N133" s="80">
        <f>'Stock Rawmaterial'!I521</f>
        <v>0</v>
      </c>
      <c r="O133" s="80" t="e">
        <f>'Stock Rawmaterial'!#REF!</f>
        <v>#REF!</v>
      </c>
      <c r="P133" s="80" t="e">
        <f>'Stock Rawmaterial'!#REF!</f>
        <v>#REF!</v>
      </c>
      <c r="Q133" s="80" t="e">
        <f>'Stock Rawmaterial'!#REF!</f>
        <v>#REF!</v>
      </c>
      <c r="R133" s="80">
        <f>'Stock Rawmaterial'!J521</f>
        <v>0</v>
      </c>
      <c r="S133" s="80" t="e">
        <f>'Stock Rawmaterial'!#REF!</f>
        <v>#REF!</v>
      </c>
      <c r="T133" s="80">
        <f>'Stock Rawmaterial'!K521</f>
        <v>0</v>
      </c>
      <c r="U133" s="80" t="e">
        <f>'Stock Rawmaterial'!#REF!</f>
        <v>#REF!</v>
      </c>
      <c r="V133" s="80" t="e">
        <f>'Stock Rawmaterial'!#REF!</f>
        <v>#REF!</v>
      </c>
      <c r="W133" s="80" t="e">
        <f>'Stock Rawmaterial'!#REF!</f>
        <v>#REF!</v>
      </c>
      <c r="X133" s="632">
        <f>'Stock Rawmaterial'!L521</f>
        <v>0</v>
      </c>
      <c r="Y133" s="48"/>
      <c r="Z133" s="163"/>
      <c r="AA133" s="48"/>
      <c r="AB133" s="750"/>
      <c r="AC133" s="795"/>
      <c r="AD133" s="797"/>
      <c r="AE133" s="797"/>
      <c r="AF133" s="551"/>
      <c r="AG133" s="699"/>
      <c r="AH133" s="700"/>
      <c r="AI133" s="699"/>
      <c r="AJ133" s="699"/>
      <c r="AK133" s="551"/>
      <c r="AL133" s="551"/>
      <c r="AM133" s="551"/>
      <c r="AN133" s="551"/>
      <c r="AO133" s="551"/>
      <c r="AP133" s="551"/>
      <c r="AQ133" s="551"/>
      <c r="AR133" s="704"/>
      <c r="AS133" s="704"/>
      <c r="AT133" s="704"/>
      <c r="AU133" s="704"/>
      <c r="AV133" s="704"/>
      <c r="AW133" s="704"/>
      <c r="AX133" s="704"/>
      <c r="AY133" s="704"/>
      <c r="AZ133" s="704"/>
      <c r="BA133" s="704"/>
      <c r="BB133" s="704"/>
    </row>
    <row r="134" spans="1:54" s="265" customFormat="1" ht="30" customHeight="1" x14ac:dyDescent="0.25">
      <c r="A134" s="184"/>
      <c r="B134" s="184" t="s">
        <v>1212</v>
      </c>
      <c r="C134" s="575"/>
      <c r="D134" s="900"/>
      <c r="E134" s="901"/>
      <c r="F134" s="902"/>
      <c r="G134" s="353" t="e">
        <f>'Stock Rawmaterial'!#REF!</f>
        <v>#REF!</v>
      </c>
      <c r="H134" s="235">
        <f>+SUM(H130:H133)</f>
        <v>0</v>
      </c>
      <c r="I134" s="235" t="e">
        <f t="shared" ref="I134:X134" si="58">+SUM(I130:I133)</f>
        <v>#REF!</v>
      </c>
      <c r="J134" s="235">
        <f t="shared" si="58"/>
        <v>0</v>
      </c>
      <c r="K134" s="235" t="e">
        <f t="shared" si="58"/>
        <v>#REF!</v>
      </c>
      <c r="L134" s="235" t="e">
        <f t="shared" si="58"/>
        <v>#REF!</v>
      </c>
      <c r="M134" s="235" t="e">
        <f t="shared" si="58"/>
        <v>#REF!</v>
      </c>
      <c r="N134" s="235">
        <f t="shared" si="58"/>
        <v>0</v>
      </c>
      <c r="O134" s="235" t="e">
        <f t="shared" si="58"/>
        <v>#REF!</v>
      </c>
      <c r="P134" s="235" t="e">
        <f t="shared" si="58"/>
        <v>#REF!</v>
      </c>
      <c r="Q134" s="235" t="e">
        <f t="shared" si="58"/>
        <v>#REF!</v>
      </c>
      <c r="R134" s="235">
        <f t="shared" si="58"/>
        <v>0</v>
      </c>
      <c r="S134" s="235" t="e">
        <f t="shared" si="58"/>
        <v>#REF!</v>
      </c>
      <c r="T134" s="235">
        <f t="shared" si="58"/>
        <v>0</v>
      </c>
      <c r="U134" s="235" t="e">
        <f t="shared" si="58"/>
        <v>#REF!</v>
      </c>
      <c r="V134" s="235" t="e">
        <f t="shared" si="58"/>
        <v>#REF!</v>
      </c>
      <c r="W134" s="235" t="e">
        <f t="shared" si="58"/>
        <v>#REF!</v>
      </c>
      <c r="X134" s="235">
        <f t="shared" si="58"/>
        <v>0</v>
      </c>
      <c r="Y134" s="59">
        <f>'Stock Rawmaterial'!M728</f>
        <v>0</v>
      </c>
      <c r="Z134" s="366">
        <f>IFERROR(X134/Y134,0)</f>
        <v>0</v>
      </c>
      <c r="AA134" s="59">
        <f>'Stock Rawmaterial'!O728</f>
        <v>0</v>
      </c>
      <c r="AB134" s="880">
        <f>IFERROR(X134/AA134,0)</f>
        <v>0</v>
      </c>
      <c r="AC134" s="795" t="s">
        <v>923</v>
      </c>
      <c r="AD134" s="797"/>
      <c r="AE134" s="797"/>
      <c r="AF134" s="551"/>
      <c r="AG134" s="699"/>
      <c r="AH134" s="700"/>
      <c r="AI134" s="699"/>
      <c r="AJ134" s="699"/>
      <c r="AK134" s="551"/>
      <c r="AL134" s="683"/>
      <c r="AM134" s="551"/>
      <c r="AN134" s="551"/>
      <c r="AO134" s="551"/>
      <c r="AP134" s="551"/>
      <c r="AQ134" s="551"/>
      <c r="AR134" s="704"/>
      <c r="AS134" s="704"/>
      <c r="AT134" s="704"/>
      <c r="AU134" s="704"/>
      <c r="AV134" s="704"/>
      <c r="AW134" s="704"/>
      <c r="AX134" s="704"/>
      <c r="AY134" s="704"/>
      <c r="AZ134" s="704"/>
      <c r="BA134" s="704"/>
      <c r="BB134" s="704"/>
    </row>
    <row r="135" spans="1:54" s="265" customFormat="1" ht="30" customHeight="1" x14ac:dyDescent="0.25">
      <c r="A135" s="2084" t="str">
        <f>IF(X138=0,"",MAX($A$14:A134)+1)</f>
        <v/>
      </c>
      <c r="B135" s="2076" t="s">
        <v>1209</v>
      </c>
      <c r="C135" s="574" t="str">
        <f>'Stock Rawmaterial'!C315</f>
        <v>A8</v>
      </c>
      <c r="D135" s="881" t="str">
        <f>'Stock Rawmaterial'!D315</f>
        <v>Rec.</v>
      </c>
      <c r="E135" s="882">
        <f>'Stock Rawmaterial'!E315</f>
        <v>44842</v>
      </c>
      <c r="F135" s="1227">
        <f>'Stock Rawmaterial'!F315</f>
        <v>1444</v>
      </c>
      <c r="G135" s="574" t="e">
        <f>'Stock Rawmaterial'!#REF!</f>
        <v>#REF!</v>
      </c>
      <c r="H135" s="80">
        <f>'Stock Rawmaterial'!G315</f>
        <v>0</v>
      </c>
      <c r="I135" s="1227" t="e">
        <f>'Stock Rawmaterial'!#REF!</f>
        <v>#REF!</v>
      </c>
      <c r="J135" s="1227">
        <f>'Stock Rawmaterial'!H315</f>
        <v>0</v>
      </c>
      <c r="K135" s="1227" t="e">
        <f>'Stock Rawmaterial'!#REF!</f>
        <v>#REF!</v>
      </c>
      <c r="L135" s="1227" t="e">
        <f>'Stock Rawmaterial'!#REF!</f>
        <v>#REF!</v>
      </c>
      <c r="M135" s="1227" t="e">
        <f>'Stock Rawmaterial'!#REF!</f>
        <v>#REF!</v>
      </c>
      <c r="N135" s="1227">
        <f>'Stock Rawmaterial'!I315</f>
        <v>0</v>
      </c>
      <c r="O135" s="1227" t="e">
        <f>'Stock Rawmaterial'!#REF!</f>
        <v>#REF!</v>
      </c>
      <c r="P135" s="1227" t="e">
        <f>'Stock Rawmaterial'!#REF!</f>
        <v>#REF!</v>
      </c>
      <c r="Q135" s="1227" t="e">
        <f>'Stock Rawmaterial'!#REF!</f>
        <v>#REF!</v>
      </c>
      <c r="R135" s="1227">
        <f>'Stock Rawmaterial'!J315</f>
        <v>0</v>
      </c>
      <c r="S135" s="1227" t="e">
        <f>'Stock Rawmaterial'!#REF!</f>
        <v>#REF!</v>
      </c>
      <c r="T135" s="1227">
        <f>'Stock Rawmaterial'!K315</f>
        <v>0</v>
      </c>
      <c r="U135" s="1227" t="e">
        <f>'Stock Rawmaterial'!#REF!</f>
        <v>#REF!</v>
      </c>
      <c r="V135" s="1227" t="e">
        <f>'Stock Rawmaterial'!#REF!</f>
        <v>#REF!</v>
      </c>
      <c r="W135" s="1227" t="e">
        <f>'Stock Rawmaterial'!#REF!</f>
        <v>#REF!</v>
      </c>
      <c r="X135" s="80">
        <f>'Stock Rawmaterial'!L315</f>
        <v>0</v>
      </c>
      <c r="Y135" s="48"/>
      <c r="Z135" s="163"/>
      <c r="AA135" s="48"/>
      <c r="AB135" s="750"/>
      <c r="AC135" s="795"/>
      <c r="AD135" s="797"/>
      <c r="AE135" s="797"/>
      <c r="AF135" s="551"/>
      <c r="AG135" s="699"/>
      <c r="AH135" s="700"/>
      <c r="AI135" s="699"/>
      <c r="AJ135" s="699"/>
      <c r="AK135" s="551"/>
      <c r="AL135" s="551"/>
      <c r="AM135" s="551"/>
      <c r="AN135" s="551"/>
      <c r="AO135" s="551"/>
      <c r="AP135" s="551"/>
      <c r="AQ135" s="551"/>
      <c r="AR135" s="704"/>
      <c r="AS135" s="704"/>
      <c r="AT135" s="704"/>
      <c r="AU135" s="704"/>
      <c r="AV135" s="704"/>
      <c r="AW135" s="704"/>
      <c r="AX135" s="704"/>
      <c r="AY135" s="704"/>
      <c r="AZ135" s="704"/>
      <c r="BA135" s="704"/>
      <c r="BB135" s="704"/>
    </row>
    <row r="136" spans="1:54" s="265" customFormat="1" ht="30" customHeight="1" x14ac:dyDescent="0.25">
      <c r="A136" s="2084"/>
      <c r="B136" s="2076"/>
      <c r="C136" s="574" t="str">
        <f>'Stock Rawmaterial'!C316</f>
        <v>A19.4</v>
      </c>
      <c r="D136" s="881" t="str">
        <f>'Stock Rawmaterial'!D316</f>
        <v>Rec.</v>
      </c>
      <c r="E136" s="882">
        <f>'Stock Rawmaterial'!E316</f>
        <v>45001</v>
      </c>
      <c r="F136" s="1227">
        <f>'Stock Rawmaterial'!F316</f>
        <v>1285</v>
      </c>
      <c r="G136" s="574" t="e">
        <f>'Stock Rawmaterial'!#REF!</f>
        <v>#REF!</v>
      </c>
      <c r="H136" s="1262">
        <f>'Stock Rawmaterial'!G316</f>
        <v>0</v>
      </c>
      <c r="I136" s="1227" t="e">
        <f>'Stock Rawmaterial'!#REF!</f>
        <v>#REF!</v>
      </c>
      <c r="J136" s="1227">
        <f>'Stock Rawmaterial'!H316</f>
        <v>0</v>
      </c>
      <c r="K136" s="1227" t="e">
        <f>'Stock Rawmaterial'!#REF!</f>
        <v>#REF!</v>
      </c>
      <c r="L136" s="1227" t="e">
        <f>'Stock Rawmaterial'!#REF!</f>
        <v>#REF!</v>
      </c>
      <c r="M136" s="1227" t="e">
        <f>'Stock Rawmaterial'!#REF!</f>
        <v>#REF!</v>
      </c>
      <c r="N136" s="1227">
        <f>'Stock Rawmaterial'!I316</f>
        <v>0</v>
      </c>
      <c r="O136" s="1227" t="e">
        <f>'Stock Rawmaterial'!#REF!</f>
        <v>#REF!</v>
      </c>
      <c r="P136" s="1227" t="e">
        <f>'Stock Rawmaterial'!#REF!</f>
        <v>#REF!</v>
      </c>
      <c r="Q136" s="1227" t="e">
        <f>'Stock Rawmaterial'!#REF!</f>
        <v>#REF!</v>
      </c>
      <c r="R136" s="1227">
        <f>'Stock Rawmaterial'!J316</f>
        <v>0</v>
      </c>
      <c r="S136" s="1227" t="e">
        <f>'Stock Rawmaterial'!#REF!</f>
        <v>#REF!</v>
      </c>
      <c r="T136" s="1227">
        <f>'Stock Rawmaterial'!K316</f>
        <v>0</v>
      </c>
      <c r="U136" s="1227" t="e">
        <f>'Stock Rawmaterial'!#REF!</f>
        <v>#REF!</v>
      </c>
      <c r="V136" s="1227" t="e">
        <f>'Stock Rawmaterial'!#REF!</f>
        <v>#REF!</v>
      </c>
      <c r="W136" s="1227" t="e">
        <f>'Stock Rawmaterial'!#REF!</f>
        <v>#REF!</v>
      </c>
      <c r="X136" s="80">
        <f>'Stock Rawmaterial'!L316</f>
        <v>0</v>
      </c>
      <c r="Y136" s="48"/>
      <c r="Z136" s="163"/>
      <c r="AA136" s="48"/>
      <c r="AB136" s="750"/>
      <c r="AC136" s="795"/>
      <c r="AD136" s="797"/>
      <c r="AE136" s="797"/>
      <c r="AF136" s="551"/>
      <c r="AG136" s="699"/>
      <c r="AH136" s="700"/>
      <c r="AI136" s="699"/>
      <c r="AJ136" s="699"/>
      <c r="AK136" s="551"/>
      <c r="AL136" s="551"/>
      <c r="AM136" s="551"/>
      <c r="AN136" s="551"/>
      <c r="AO136" s="551"/>
      <c r="AP136" s="551"/>
      <c r="AQ136" s="551"/>
      <c r="AR136" s="704"/>
      <c r="AS136" s="704"/>
      <c r="AT136" s="704"/>
      <c r="AU136" s="704"/>
      <c r="AV136" s="704"/>
      <c r="AW136" s="704"/>
      <c r="AX136" s="704"/>
      <c r="AY136" s="704"/>
      <c r="AZ136" s="704"/>
      <c r="BA136" s="704"/>
      <c r="BB136" s="704"/>
    </row>
    <row r="137" spans="1:54" s="265" customFormat="1" ht="30" customHeight="1" x14ac:dyDescent="0.25">
      <c r="A137" s="2084"/>
      <c r="B137" s="2076"/>
      <c r="C137" s="1092" t="str">
        <f>'Stock Rawmaterial'!C317</f>
        <v>FM</v>
      </c>
      <c r="D137" s="1093" t="str">
        <f>'Stock Rawmaterial'!D317</f>
        <v>Rec.</v>
      </c>
      <c r="E137" s="1094">
        <f>'Stock Rawmaterial'!E317</f>
        <v>45001</v>
      </c>
      <c r="F137" s="1095">
        <f>'Stock Rawmaterial'!F317</f>
        <v>1285</v>
      </c>
      <c r="G137" s="1095" t="e">
        <f>'Stock Rawmaterial'!#REF!</f>
        <v>#REF!</v>
      </c>
      <c r="H137" s="626">
        <f>'Stock Rawmaterial'!G317</f>
        <v>0</v>
      </c>
      <c r="I137" s="1092" t="e">
        <f>'Stock Rawmaterial'!#REF!</f>
        <v>#REF!</v>
      </c>
      <c r="J137" s="1093">
        <f>'Stock Rawmaterial'!H317</f>
        <v>0</v>
      </c>
      <c r="K137" s="1227" t="e">
        <f>'Stock Rawmaterial'!#REF!</f>
        <v>#REF!</v>
      </c>
      <c r="L137" s="1227" t="e">
        <f>'Stock Rawmaterial'!#REF!</f>
        <v>#REF!</v>
      </c>
      <c r="M137" s="1227" t="e">
        <f>'Stock Rawmaterial'!#REF!</f>
        <v>#REF!</v>
      </c>
      <c r="N137" s="1227">
        <f>'Stock Rawmaterial'!I317</f>
        <v>0</v>
      </c>
      <c r="O137" s="1227" t="e">
        <f>'Stock Rawmaterial'!#REF!</f>
        <v>#REF!</v>
      </c>
      <c r="P137" s="1227" t="e">
        <f>'Stock Rawmaterial'!#REF!</f>
        <v>#REF!</v>
      </c>
      <c r="Q137" s="1227" t="e">
        <f>'Stock Rawmaterial'!#REF!</f>
        <v>#REF!</v>
      </c>
      <c r="R137" s="1227">
        <f>'Stock Rawmaterial'!J317</f>
        <v>0</v>
      </c>
      <c r="S137" s="1227" t="e">
        <f>'Stock Rawmaterial'!#REF!</f>
        <v>#REF!</v>
      </c>
      <c r="T137" s="1227">
        <f>'Stock Rawmaterial'!K317</f>
        <v>0</v>
      </c>
      <c r="U137" s="1227" t="e">
        <f>'Stock Rawmaterial'!#REF!</f>
        <v>#REF!</v>
      </c>
      <c r="V137" s="1227" t="e">
        <f>'Stock Rawmaterial'!#REF!</f>
        <v>#REF!</v>
      </c>
      <c r="W137" s="1227" t="e">
        <f>'Stock Rawmaterial'!#REF!</f>
        <v>#REF!</v>
      </c>
      <c r="X137" s="80">
        <f>'Stock Rawmaterial'!L317</f>
        <v>0</v>
      </c>
      <c r="Y137" s="48"/>
      <c r="Z137" s="163"/>
      <c r="AA137" s="48"/>
      <c r="AB137" s="750"/>
      <c r="AC137" s="795"/>
      <c r="AD137" s="797"/>
      <c r="AE137" s="797"/>
      <c r="AF137" s="551"/>
      <c r="AG137" s="699"/>
      <c r="AH137" s="700"/>
      <c r="AI137" s="699"/>
      <c r="AJ137" s="699"/>
      <c r="AK137" s="551"/>
      <c r="AL137" s="551"/>
      <c r="AM137" s="551"/>
      <c r="AN137" s="551"/>
      <c r="AO137" s="551"/>
      <c r="AP137" s="551"/>
      <c r="AQ137" s="551"/>
      <c r="AR137" s="704"/>
      <c r="AS137" s="704"/>
      <c r="AT137" s="704"/>
      <c r="AU137" s="704"/>
      <c r="AV137" s="704"/>
      <c r="AW137" s="704"/>
      <c r="AX137" s="704"/>
      <c r="AY137" s="704"/>
      <c r="AZ137" s="704"/>
      <c r="BA137" s="704"/>
      <c r="BB137" s="704"/>
    </row>
    <row r="138" spans="1:54" s="265" customFormat="1" ht="30" customHeight="1" x14ac:dyDescent="0.25">
      <c r="A138" s="184"/>
      <c r="B138" s="184" t="s">
        <v>1255</v>
      </c>
      <c r="C138" s="575"/>
      <c r="D138" s="900"/>
      <c r="E138" s="901"/>
      <c r="F138" s="902"/>
      <c r="G138" s="353" t="e">
        <f>'Stock Rawmaterial'!#REF!</f>
        <v>#REF!</v>
      </c>
      <c r="H138" s="235">
        <f>+SUM(H135:H137)</f>
        <v>0</v>
      </c>
      <c r="I138" s="235" t="e">
        <f t="shared" ref="I138" si="59">+SUM(I135:I137)</f>
        <v>#REF!</v>
      </c>
      <c r="J138" s="235">
        <f t="shared" ref="J138" si="60">+SUM(J135:J137)</f>
        <v>0</v>
      </c>
      <c r="K138" s="235" t="e">
        <f t="shared" ref="K138" si="61">+SUM(K135:K137)</f>
        <v>#REF!</v>
      </c>
      <c r="L138" s="235" t="e">
        <f t="shared" ref="L138" si="62">+SUM(L135:L137)</f>
        <v>#REF!</v>
      </c>
      <c r="M138" s="235" t="e">
        <f t="shared" ref="M138" si="63">+SUM(M135:M137)</f>
        <v>#REF!</v>
      </c>
      <c r="N138" s="235">
        <f t="shared" ref="N138" si="64">+SUM(N135:N137)</f>
        <v>0</v>
      </c>
      <c r="O138" s="235" t="e">
        <f t="shared" ref="O138" si="65">+SUM(O135:O137)</f>
        <v>#REF!</v>
      </c>
      <c r="P138" s="235" t="e">
        <f t="shared" ref="P138" si="66">+SUM(P135:P137)</f>
        <v>#REF!</v>
      </c>
      <c r="Q138" s="235" t="e">
        <f t="shared" ref="Q138" si="67">+SUM(Q135:Q137)</f>
        <v>#REF!</v>
      </c>
      <c r="R138" s="235">
        <f t="shared" ref="R138" si="68">+SUM(R135:R137)</f>
        <v>0</v>
      </c>
      <c r="S138" s="235" t="e">
        <f t="shared" ref="S138" si="69">+SUM(S135:S137)</f>
        <v>#REF!</v>
      </c>
      <c r="T138" s="235">
        <f t="shared" ref="T138" si="70">+SUM(T135:T137)</f>
        <v>0</v>
      </c>
      <c r="U138" s="235" t="e">
        <f t="shared" ref="U138" si="71">+SUM(U135:U137)</f>
        <v>#REF!</v>
      </c>
      <c r="V138" s="235" t="e">
        <f t="shared" ref="V138" si="72">+SUM(V135:V137)</f>
        <v>#REF!</v>
      </c>
      <c r="W138" s="235" t="e">
        <f t="shared" ref="W138" si="73">+SUM(W135:W137)</f>
        <v>#REF!</v>
      </c>
      <c r="X138" s="235">
        <f t="shared" ref="X138" si="74">+SUM(X135:X137)</f>
        <v>0</v>
      </c>
      <c r="Y138" s="59">
        <f>'Stock Rawmaterial'!M732</f>
        <v>0</v>
      </c>
      <c r="Z138" s="366">
        <f>IFERROR(X138/Y138,0)</f>
        <v>0</v>
      </c>
      <c r="AA138" s="59">
        <f>'Stock Rawmaterial'!O732</f>
        <v>0</v>
      </c>
      <c r="AB138" s="880">
        <f>IFERROR(X138/AA138,0)</f>
        <v>0</v>
      </c>
      <c r="AC138" s="795" t="s">
        <v>923</v>
      </c>
      <c r="AD138" s="797"/>
      <c r="AE138" s="797"/>
      <c r="AF138" s="551"/>
      <c r="AG138" s="699"/>
      <c r="AH138" s="700"/>
      <c r="AI138" s="699"/>
      <c r="AJ138" s="699"/>
      <c r="AK138" s="551"/>
      <c r="AL138" s="683"/>
      <c r="AM138" s="551"/>
      <c r="AN138" s="551"/>
      <c r="AO138" s="551"/>
      <c r="AP138" s="551"/>
      <c r="AQ138" s="551"/>
      <c r="AR138" s="704"/>
      <c r="AS138" s="704"/>
      <c r="AT138" s="704"/>
      <c r="AU138" s="704"/>
      <c r="AV138" s="704"/>
      <c r="AW138" s="704"/>
      <c r="AX138" s="704"/>
      <c r="AY138" s="704"/>
      <c r="AZ138" s="704"/>
      <c r="BA138" s="704"/>
      <c r="BB138" s="704"/>
    </row>
    <row r="139" spans="1:54" s="265" customFormat="1" ht="30" customHeight="1" x14ac:dyDescent="0.25">
      <c r="A139" s="2084" t="str">
        <f>IF(X142=0,"",MAX($A$14:A138)+1)</f>
        <v/>
      </c>
      <c r="B139" s="2076" t="s">
        <v>1230</v>
      </c>
      <c r="C139" s="574" t="str">
        <f>'Stock Rawmaterial'!C576</f>
        <v>B1</v>
      </c>
      <c r="D139" s="881" t="str">
        <f>'Stock Rawmaterial'!D319</f>
        <v>Rec.</v>
      </c>
      <c r="E139" s="882">
        <f>'Stock Rawmaterial'!E576</f>
        <v>44916</v>
      </c>
      <c r="F139" s="1240">
        <f>'Stock Rawmaterial'!F576</f>
        <v>1370</v>
      </c>
      <c r="G139" s="574" t="e">
        <f>'Stock Rawmaterial'!#REF!</f>
        <v>#REF!</v>
      </c>
      <c r="H139" s="80">
        <f>'Stock Rawmaterial'!G576</f>
        <v>0</v>
      </c>
      <c r="I139" s="1240" t="e">
        <f>'Stock Rawmaterial'!#REF!</f>
        <v>#REF!</v>
      </c>
      <c r="J139" s="1240">
        <f>'Stock Rawmaterial'!H576</f>
        <v>0</v>
      </c>
      <c r="K139" s="1240" t="e">
        <f>'Stock Rawmaterial'!#REF!</f>
        <v>#REF!</v>
      </c>
      <c r="L139" s="1240" t="e">
        <f>'Stock Rawmaterial'!#REF!</f>
        <v>#REF!</v>
      </c>
      <c r="M139" s="1240" t="e">
        <f>'Stock Rawmaterial'!#REF!</f>
        <v>#REF!</v>
      </c>
      <c r="N139" s="1240">
        <f>'Stock Rawmaterial'!I576</f>
        <v>0</v>
      </c>
      <c r="O139" s="1240" t="e">
        <f>'Stock Rawmaterial'!#REF!</f>
        <v>#REF!</v>
      </c>
      <c r="P139" s="1240" t="e">
        <f>'Stock Rawmaterial'!#REF!</f>
        <v>#REF!</v>
      </c>
      <c r="Q139" s="1240" t="e">
        <f>'Stock Rawmaterial'!#REF!</f>
        <v>#REF!</v>
      </c>
      <c r="R139" s="1240">
        <f>'Stock Rawmaterial'!J576</f>
        <v>0</v>
      </c>
      <c r="S139" s="1240" t="e">
        <f>'Stock Rawmaterial'!#REF!</f>
        <v>#REF!</v>
      </c>
      <c r="T139" s="1240">
        <f>'Stock Rawmaterial'!K576</f>
        <v>0</v>
      </c>
      <c r="U139" s="1240" t="e">
        <f>'Stock Rawmaterial'!#REF!</f>
        <v>#REF!</v>
      </c>
      <c r="V139" s="1240" t="e">
        <f>'Stock Rawmaterial'!#REF!</f>
        <v>#REF!</v>
      </c>
      <c r="W139" s="1240" t="e">
        <f>'Stock Rawmaterial'!#REF!</f>
        <v>#REF!</v>
      </c>
      <c r="X139" s="80">
        <f>'Stock Rawmaterial'!L576</f>
        <v>0</v>
      </c>
      <c r="Y139" s="48"/>
      <c r="Z139" s="163"/>
      <c r="AA139" s="48"/>
      <c r="AB139" s="750"/>
      <c r="AC139" s="795"/>
      <c r="AD139" s="797"/>
      <c r="AE139" s="797"/>
      <c r="AF139" s="551"/>
      <c r="AG139" s="699"/>
      <c r="AH139" s="700"/>
      <c r="AI139" s="699"/>
      <c r="AJ139" s="699"/>
      <c r="AK139" s="551"/>
      <c r="AL139" s="551"/>
      <c r="AM139" s="551"/>
      <c r="AN139" s="551"/>
      <c r="AO139" s="551"/>
      <c r="AP139" s="551"/>
      <c r="AQ139" s="551"/>
      <c r="AR139" s="704"/>
      <c r="AS139" s="704"/>
      <c r="AT139" s="704"/>
      <c r="AU139" s="704"/>
      <c r="AV139" s="704"/>
      <c r="AW139" s="704"/>
      <c r="AX139" s="704"/>
      <c r="AY139" s="704"/>
      <c r="AZ139" s="704"/>
      <c r="BA139" s="704"/>
      <c r="BB139" s="704"/>
    </row>
    <row r="140" spans="1:54" s="265" customFormat="1" ht="30" customHeight="1" x14ac:dyDescent="0.25">
      <c r="A140" s="2084"/>
      <c r="B140" s="2076"/>
      <c r="C140" s="574">
        <f>'Stock Rawmaterial'!C577</f>
        <v>0</v>
      </c>
      <c r="D140" s="881" t="str">
        <f>'Stock Rawmaterial'!D320</f>
        <v>Rec.</v>
      </c>
      <c r="E140" s="882">
        <f>'Stock Rawmaterial'!E577</f>
        <v>0</v>
      </c>
      <c r="F140" s="1240">
        <f>'Stock Rawmaterial'!F577</f>
        <v>46286</v>
      </c>
      <c r="G140" s="574" t="e">
        <f>'Stock Rawmaterial'!#REF!</f>
        <v>#REF!</v>
      </c>
      <c r="H140" s="1240">
        <f>'Stock Rawmaterial'!G577</f>
        <v>0</v>
      </c>
      <c r="I140" s="1240" t="e">
        <f>'Stock Rawmaterial'!#REF!</f>
        <v>#REF!</v>
      </c>
      <c r="J140" s="1240">
        <f>'Stock Rawmaterial'!H577</f>
        <v>0</v>
      </c>
      <c r="K140" s="1240" t="e">
        <f>'Stock Rawmaterial'!#REF!</f>
        <v>#REF!</v>
      </c>
      <c r="L140" s="1240" t="e">
        <f>'Stock Rawmaterial'!#REF!</f>
        <v>#REF!</v>
      </c>
      <c r="M140" s="1240" t="e">
        <f>'Stock Rawmaterial'!#REF!</f>
        <v>#REF!</v>
      </c>
      <c r="N140" s="1240">
        <f>'Stock Rawmaterial'!I577</f>
        <v>0</v>
      </c>
      <c r="O140" s="1240" t="e">
        <f>'Stock Rawmaterial'!#REF!</f>
        <v>#REF!</v>
      </c>
      <c r="P140" s="1240" t="e">
        <f>'Stock Rawmaterial'!#REF!</f>
        <v>#REF!</v>
      </c>
      <c r="Q140" s="1240" t="e">
        <f>'Stock Rawmaterial'!#REF!</f>
        <v>#REF!</v>
      </c>
      <c r="R140" s="1240">
        <f>'Stock Rawmaterial'!J577</f>
        <v>0</v>
      </c>
      <c r="S140" s="1240" t="e">
        <f>'Stock Rawmaterial'!#REF!</f>
        <v>#REF!</v>
      </c>
      <c r="T140" s="1240">
        <f>'Stock Rawmaterial'!K577</f>
        <v>0</v>
      </c>
      <c r="U140" s="1240" t="e">
        <f>'Stock Rawmaterial'!#REF!</f>
        <v>#REF!</v>
      </c>
      <c r="V140" s="1240" t="e">
        <f>'Stock Rawmaterial'!#REF!</f>
        <v>#REF!</v>
      </c>
      <c r="W140" s="1240" t="e">
        <f>'Stock Rawmaterial'!#REF!</f>
        <v>#REF!</v>
      </c>
      <c r="X140" s="80">
        <f>'Stock Rawmaterial'!L577</f>
        <v>0</v>
      </c>
      <c r="Y140" s="48"/>
      <c r="Z140" s="163"/>
      <c r="AA140" s="48"/>
      <c r="AB140" s="750"/>
      <c r="AC140" s="795"/>
      <c r="AD140" s="797"/>
      <c r="AE140" s="797"/>
      <c r="AF140" s="551"/>
      <c r="AG140" s="699"/>
      <c r="AH140" s="700"/>
      <c r="AI140" s="699"/>
      <c r="AJ140" s="699"/>
      <c r="AK140" s="551"/>
      <c r="AL140" s="551"/>
      <c r="AM140" s="551"/>
      <c r="AN140" s="551"/>
      <c r="AO140" s="551"/>
      <c r="AP140" s="551"/>
      <c r="AQ140" s="551"/>
      <c r="AR140" s="704"/>
      <c r="AS140" s="704"/>
      <c r="AT140" s="704"/>
      <c r="AU140" s="704"/>
      <c r="AV140" s="704"/>
      <c r="AW140" s="704"/>
      <c r="AX140" s="704"/>
      <c r="AY140" s="704"/>
      <c r="AZ140" s="704"/>
      <c r="BA140" s="704"/>
      <c r="BB140" s="704"/>
    </row>
    <row r="141" spans="1:54" s="265" customFormat="1" ht="30" customHeight="1" x14ac:dyDescent="0.25">
      <c r="A141" s="2084"/>
      <c r="B141" s="2076"/>
      <c r="C141" s="1092" t="str">
        <f>'Stock Rawmaterial'!C578</f>
        <v>FM</v>
      </c>
      <c r="D141" s="1093" t="str">
        <f>'Stock Rawmaterial'!D321</f>
        <v>Rec.</v>
      </c>
      <c r="E141" s="1094">
        <f>'Stock Rawmaterial'!E578</f>
        <v>44916</v>
      </c>
      <c r="F141" s="1095">
        <f>'Stock Rawmaterial'!F578</f>
        <v>1370</v>
      </c>
      <c r="G141" s="1095" t="e">
        <f>'Stock Rawmaterial'!#REF!</f>
        <v>#REF!</v>
      </c>
      <c r="H141" s="626">
        <f>'Stock Rawmaterial'!G578</f>
        <v>0</v>
      </c>
      <c r="I141" s="1240" t="e">
        <f>'Stock Rawmaterial'!#REF!</f>
        <v>#REF!</v>
      </c>
      <c r="J141" s="1240">
        <f>'Stock Rawmaterial'!H578</f>
        <v>0</v>
      </c>
      <c r="K141" s="1240" t="e">
        <f>'Stock Rawmaterial'!#REF!</f>
        <v>#REF!</v>
      </c>
      <c r="L141" s="1240" t="e">
        <f>'Stock Rawmaterial'!#REF!</f>
        <v>#REF!</v>
      </c>
      <c r="M141" s="1240" t="e">
        <f>'Stock Rawmaterial'!#REF!</f>
        <v>#REF!</v>
      </c>
      <c r="N141" s="1240">
        <f>'Stock Rawmaterial'!I578</f>
        <v>0</v>
      </c>
      <c r="O141" s="1240" t="e">
        <f>'Stock Rawmaterial'!#REF!</f>
        <v>#REF!</v>
      </c>
      <c r="P141" s="1240" t="e">
        <f>'Stock Rawmaterial'!#REF!</f>
        <v>#REF!</v>
      </c>
      <c r="Q141" s="1240" t="e">
        <f>'Stock Rawmaterial'!#REF!</f>
        <v>#REF!</v>
      </c>
      <c r="R141" s="1240">
        <f>'Stock Rawmaterial'!J578</f>
        <v>0</v>
      </c>
      <c r="S141" s="1240" t="e">
        <f>'Stock Rawmaterial'!#REF!</f>
        <v>#REF!</v>
      </c>
      <c r="T141" s="1240">
        <f>'Stock Rawmaterial'!K578</f>
        <v>0</v>
      </c>
      <c r="U141" s="1240" t="e">
        <f>'Stock Rawmaterial'!#REF!</f>
        <v>#REF!</v>
      </c>
      <c r="V141" s="1240" t="e">
        <f>'Stock Rawmaterial'!#REF!</f>
        <v>#REF!</v>
      </c>
      <c r="W141" s="1240" t="e">
        <f>'Stock Rawmaterial'!#REF!</f>
        <v>#REF!</v>
      </c>
      <c r="X141" s="632">
        <f>'Stock Rawmaterial'!L578</f>
        <v>0</v>
      </c>
      <c r="Y141" s="48"/>
      <c r="Z141" s="163"/>
      <c r="AA141" s="48"/>
      <c r="AB141" s="750"/>
      <c r="AC141" s="795"/>
      <c r="AD141" s="797"/>
      <c r="AE141" s="797"/>
      <c r="AF141" s="551"/>
      <c r="AG141" s="699"/>
      <c r="AH141" s="700"/>
      <c r="AI141" s="699"/>
      <c r="AJ141" s="699"/>
      <c r="AK141" s="551"/>
      <c r="AL141" s="551"/>
      <c r="AM141" s="551"/>
      <c r="AN141" s="551"/>
      <c r="AO141" s="551"/>
      <c r="AP141" s="551"/>
      <c r="AQ141" s="551"/>
      <c r="AR141" s="704"/>
      <c r="AS141" s="704"/>
      <c r="AT141" s="704"/>
      <c r="AU141" s="704"/>
      <c r="AV141" s="704"/>
      <c r="AW141" s="704"/>
      <c r="AX141" s="704"/>
      <c r="AY141" s="704"/>
      <c r="AZ141" s="704"/>
      <c r="BA141" s="704"/>
      <c r="BB141" s="704"/>
    </row>
    <row r="142" spans="1:54" s="265" customFormat="1" ht="30" customHeight="1" x14ac:dyDescent="0.25">
      <c r="A142" s="184"/>
      <c r="B142" s="184" t="s">
        <v>1231</v>
      </c>
      <c r="C142" s="575"/>
      <c r="D142" s="900"/>
      <c r="E142" s="901"/>
      <c r="F142" s="902"/>
      <c r="G142" s="353" t="e">
        <f>'Stock Rawmaterial'!#REF!</f>
        <v>#REF!</v>
      </c>
      <c r="H142" s="235">
        <f>+SUM(H139:H141)</f>
        <v>0</v>
      </c>
      <c r="I142" s="235" t="e">
        <f t="shared" ref="I142:X142" si="75">+SUM(I139:I141)</f>
        <v>#REF!</v>
      </c>
      <c r="J142" s="235">
        <f t="shared" si="75"/>
        <v>0</v>
      </c>
      <c r="K142" s="235" t="e">
        <f t="shared" si="75"/>
        <v>#REF!</v>
      </c>
      <c r="L142" s="235" t="e">
        <f t="shared" si="75"/>
        <v>#REF!</v>
      </c>
      <c r="M142" s="235" t="e">
        <f t="shared" si="75"/>
        <v>#REF!</v>
      </c>
      <c r="N142" s="235">
        <f t="shared" si="75"/>
        <v>0</v>
      </c>
      <c r="O142" s="235" t="e">
        <f t="shared" si="75"/>
        <v>#REF!</v>
      </c>
      <c r="P142" s="235" t="e">
        <f t="shared" si="75"/>
        <v>#REF!</v>
      </c>
      <c r="Q142" s="235" t="e">
        <f t="shared" si="75"/>
        <v>#REF!</v>
      </c>
      <c r="R142" s="235">
        <f t="shared" si="75"/>
        <v>0</v>
      </c>
      <c r="S142" s="235" t="e">
        <f t="shared" si="75"/>
        <v>#REF!</v>
      </c>
      <c r="T142" s="235">
        <f t="shared" si="75"/>
        <v>0</v>
      </c>
      <c r="U142" s="235" t="e">
        <f t="shared" si="75"/>
        <v>#REF!</v>
      </c>
      <c r="V142" s="235" t="e">
        <f t="shared" si="75"/>
        <v>#REF!</v>
      </c>
      <c r="W142" s="235" t="e">
        <f t="shared" si="75"/>
        <v>#REF!</v>
      </c>
      <c r="X142" s="235">
        <f t="shared" si="75"/>
        <v>0</v>
      </c>
      <c r="Y142" s="59">
        <f>'Stock Rawmaterial'!M736</f>
        <v>0</v>
      </c>
      <c r="Z142" s="366">
        <f>IFERROR(X142/Y142,0)</f>
        <v>0</v>
      </c>
      <c r="AA142" s="59">
        <f>'Stock Rawmaterial'!O736</f>
        <v>0</v>
      </c>
      <c r="AB142" s="880">
        <f>IFERROR(X142/AA142,0)</f>
        <v>0</v>
      </c>
      <c r="AC142" s="795" t="s">
        <v>923</v>
      </c>
      <c r="AD142" s="797"/>
      <c r="AE142" s="797"/>
      <c r="AF142" s="551"/>
      <c r="AG142" s="699"/>
      <c r="AH142" s="700"/>
      <c r="AI142" s="699"/>
      <c r="AJ142" s="699"/>
      <c r="AK142" s="551"/>
      <c r="AL142" s="683"/>
      <c r="AM142" s="551"/>
      <c r="AN142" s="551"/>
      <c r="AO142" s="551"/>
      <c r="AP142" s="551"/>
      <c r="AQ142" s="551"/>
      <c r="AR142" s="704"/>
      <c r="AS142" s="704"/>
      <c r="AT142" s="704"/>
      <c r="AU142" s="704"/>
      <c r="AV142" s="704"/>
      <c r="AW142" s="704"/>
      <c r="AX142" s="704"/>
      <c r="AY142" s="704"/>
      <c r="AZ142" s="704"/>
      <c r="BA142" s="704"/>
      <c r="BB142" s="704"/>
    </row>
    <row r="143" spans="1:54" s="265" customFormat="1" ht="30" customHeight="1" x14ac:dyDescent="0.25">
      <c r="A143" s="2084" t="str">
        <f>IF(X146=0,"",MAX($A$14:A142)+1)</f>
        <v/>
      </c>
      <c r="B143" s="2076" t="s">
        <v>1253</v>
      </c>
      <c r="C143" s="574" t="str">
        <f>'Stock Rawmaterial'!C580</f>
        <v>A18.1</v>
      </c>
      <c r="D143" s="881" t="str">
        <f>'Stock Rawmaterial'!D323</f>
        <v>Rec.</v>
      </c>
      <c r="E143" s="882">
        <f>'Stock Rawmaterial'!E580</f>
        <v>44959</v>
      </c>
      <c r="F143" s="1240">
        <f>'Stock Rawmaterial'!F580</f>
        <v>1327</v>
      </c>
      <c r="G143" s="574" t="e">
        <f>'Stock Rawmaterial'!#REF!</f>
        <v>#REF!</v>
      </c>
      <c r="H143" s="1263">
        <f>'Stock Rawmaterial'!G580</f>
        <v>0</v>
      </c>
      <c r="I143" s="1240" t="e">
        <f>'Stock Rawmaterial'!#REF!</f>
        <v>#REF!</v>
      </c>
      <c r="J143" s="1240">
        <f>'Stock Rawmaterial'!H580</f>
        <v>0</v>
      </c>
      <c r="K143" s="1240" t="e">
        <f>'Stock Rawmaterial'!#REF!</f>
        <v>#REF!</v>
      </c>
      <c r="L143" s="1240" t="e">
        <f>'Stock Rawmaterial'!#REF!</f>
        <v>#REF!</v>
      </c>
      <c r="M143" s="1240" t="e">
        <f>'Stock Rawmaterial'!#REF!</f>
        <v>#REF!</v>
      </c>
      <c r="N143" s="1240">
        <f>'Stock Rawmaterial'!I580</f>
        <v>0</v>
      </c>
      <c r="O143" s="1240" t="e">
        <f>'Stock Rawmaterial'!#REF!</f>
        <v>#REF!</v>
      </c>
      <c r="P143" s="1240" t="e">
        <f>'Stock Rawmaterial'!#REF!</f>
        <v>#REF!</v>
      </c>
      <c r="Q143" s="1240" t="e">
        <f>'Stock Rawmaterial'!#REF!</f>
        <v>#REF!</v>
      </c>
      <c r="R143" s="1240">
        <f>'Stock Rawmaterial'!J580</f>
        <v>0</v>
      </c>
      <c r="S143" s="1240" t="e">
        <f>'Stock Rawmaterial'!#REF!</f>
        <v>#REF!</v>
      </c>
      <c r="T143" s="1240">
        <f>'Stock Rawmaterial'!K580</f>
        <v>0</v>
      </c>
      <c r="U143" s="1240" t="e">
        <f>'Stock Rawmaterial'!#REF!</f>
        <v>#REF!</v>
      </c>
      <c r="V143" s="1240" t="e">
        <f>'Stock Rawmaterial'!#REF!</f>
        <v>#REF!</v>
      </c>
      <c r="W143" s="1240" t="e">
        <f>'Stock Rawmaterial'!#REF!</f>
        <v>#REF!</v>
      </c>
      <c r="X143" s="80">
        <f>'Stock Rawmaterial'!L580</f>
        <v>0</v>
      </c>
      <c r="Y143" s="48"/>
      <c r="Z143" s="163"/>
      <c r="AA143" s="48"/>
      <c r="AB143" s="750"/>
      <c r="AC143" s="795"/>
      <c r="AD143" s="797"/>
      <c r="AE143" s="797"/>
      <c r="AF143" s="551"/>
      <c r="AG143" s="699"/>
      <c r="AH143" s="700"/>
      <c r="AI143" s="699"/>
      <c r="AJ143" s="699"/>
      <c r="AK143" s="551"/>
      <c r="AL143" s="551"/>
      <c r="AM143" s="551"/>
      <c r="AN143" s="551"/>
      <c r="AO143" s="551"/>
      <c r="AP143" s="551"/>
      <c r="AQ143" s="551"/>
      <c r="AR143" s="704"/>
      <c r="AS143" s="704"/>
      <c r="AT143" s="704"/>
      <c r="AU143" s="704"/>
      <c r="AV143" s="704"/>
      <c r="AW143" s="704"/>
      <c r="AX143" s="704"/>
      <c r="AY143" s="704"/>
      <c r="AZ143" s="704"/>
      <c r="BA143" s="704"/>
      <c r="BB143" s="704"/>
    </row>
    <row r="144" spans="1:54" s="265" customFormat="1" ht="30" customHeight="1" x14ac:dyDescent="0.25">
      <c r="A144" s="2084"/>
      <c r="B144" s="2076"/>
      <c r="C144" s="574">
        <f>'Stock Rawmaterial'!C581</f>
        <v>0</v>
      </c>
      <c r="D144" s="881" t="str">
        <f>'Stock Rawmaterial'!D324</f>
        <v>Rec.</v>
      </c>
      <c r="E144" s="882">
        <f>'Stock Rawmaterial'!E581</f>
        <v>0</v>
      </c>
      <c r="F144" s="1240">
        <f>'Stock Rawmaterial'!F581</f>
        <v>46286</v>
      </c>
      <c r="G144" s="574" t="e">
        <f>'Stock Rawmaterial'!#REF!</f>
        <v>#REF!</v>
      </c>
      <c r="H144" s="1240">
        <f>'Stock Rawmaterial'!G581</f>
        <v>0</v>
      </c>
      <c r="I144" s="1240" t="e">
        <f>'Stock Rawmaterial'!#REF!</f>
        <v>#REF!</v>
      </c>
      <c r="J144" s="1240">
        <f>'Stock Rawmaterial'!H581</f>
        <v>0</v>
      </c>
      <c r="K144" s="1240" t="e">
        <f>'Stock Rawmaterial'!#REF!</f>
        <v>#REF!</v>
      </c>
      <c r="L144" s="1240" t="e">
        <f>'Stock Rawmaterial'!#REF!</f>
        <v>#REF!</v>
      </c>
      <c r="M144" s="1240" t="e">
        <f>'Stock Rawmaterial'!#REF!</f>
        <v>#REF!</v>
      </c>
      <c r="N144" s="1240">
        <f>'Stock Rawmaterial'!I581</f>
        <v>0</v>
      </c>
      <c r="O144" s="1240" t="e">
        <f>'Stock Rawmaterial'!#REF!</f>
        <v>#REF!</v>
      </c>
      <c r="P144" s="1240" t="e">
        <f>'Stock Rawmaterial'!#REF!</f>
        <v>#REF!</v>
      </c>
      <c r="Q144" s="1240" t="e">
        <f>'Stock Rawmaterial'!#REF!</f>
        <v>#REF!</v>
      </c>
      <c r="R144" s="1240">
        <f>'Stock Rawmaterial'!J581</f>
        <v>0</v>
      </c>
      <c r="S144" s="1240" t="e">
        <f>'Stock Rawmaterial'!#REF!</f>
        <v>#REF!</v>
      </c>
      <c r="T144" s="1240">
        <f>'Stock Rawmaterial'!K581</f>
        <v>0</v>
      </c>
      <c r="U144" s="1240" t="e">
        <f>'Stock Rawmaterial'!#REF!</f>
        <v>#REF!</v>
      </c>
      <c r="V144" s="1240" t="e">
        <f>'Stock Rawmaterial'!#REF!</f>
        <v>#REF!</v>
      </c>
      <c r="W144" s="1240" t="e">
        <f>'Stock Rawmaterial'!#REF!</f>
        <v>#REF!</v>
      </c>
      <c r="X144" s="80">
        <f>'Stock Rawmaterial'!L581</f>
        <v>0</v>
      </c>
      <c r="Y144" s="48"/>
      <c r="Z144" s="163"/>
      <c r="AA144" s="48"/>
      <c r="AB144" s="750"/>
      <c r="AC144" s="795"/>
      <c r="AD144" s="797"/>
      <c r="AE144" s="797"/>
      <c r="AF144" s="551"/>
      <c r="AG144" s="699"/>
      <c r="AH144" s="700"/>
      <c r="AI144" s="699"/>
      <c r="AJ144" s="699"/>
      <c r="AK144" s="551"/>
      <c r="AL144" s="551"/>
      <c r="AM144" s="551"/>
      <c r="AN144" s="551"/>
      <c r="AO144" s="551"/>
      <c r="AP144" s="551"/>
      <c r="AQ144" s="551"/>
      <c r="AR144" s="704"/>
      <c r="AS144" s="704"/>
      <c r="AT144" s="704"/>
      <c r="AU144" s="704"/>
      <c r="AV144" s="704"/>
      <c r="AW144" s="704"/>
      <c r="AX144" s="704"/>
      <c r="AY144" s="704"/>
      <c r="AZ144" s="704"/>
      <c r="BA144" s="704"/>
      <c r="BB144" s="704"/>
    </row>
    <row r="145" spans="1:54" s="265" customFormat="1" ht="30" customHeight="1" x14ac:dyDescent="0.25">
      <c r="A145" s="2084"/>
      <c r="B145" s="2076"/>
      <c r="C145" s="1092" t="str">
        <f>'Stock Rawmaterial'!C582</f>
        <v>FM</v>
      </c>
      <c r="D145" s="1093" t="str">
        <f>'Stock Rawmaterial'!D325</f>
        <v>Rec.</v>
      </c>
      <c r="E145" s="1094">
        <f>'Stock Rawmaterial'!E582</f>
        <v>44959</v>
      </c>
      <c r="F145" s="1095">
        <f>'Stock Rawmaterial'!F582</f>
        <v>1327</v>
      </c>
      <c r="G145" s="1095" t="e">
        <f>'Stock Rawmaterial'!#REF!</f>
        <v>#REF!</v>
      </c>
      <c r="H145" s="626">
        <f>'Stock Rawmaterial'!G582</f>
        <v>0</v>
      </c>
      <c r="I145" s="1240" t="e">
        <f>'Stock Rawmaterial'!#REF!</f>
        <v>#REF!</v>
      </c>
      <c r="J145" s="1240">
        <f>'Stock Rawmaterial'!H582</f>
        <v>0</v>
      </c>
      <c r="K145" s="1240" t="e">
        <f>'Stock Rawmaterial'!#REF!</f>
        <v>#REF!</v>
      </c>
      <c r="L145" s="1240" t="e">
        <f>'Stock Rawmaterial'!#REF!</f>
        <v>#REF!</v>
      </c>
      <c r="M145" s="1240" t="e">
        <f>'Stock Rawmaterial'!#REF!</f>
        <v>#REF!</v>
      </c>
      <c r="N145" s="1240">
        <f>'Stock Rawmaterial'!I582</f>
        <v>0</v>
      </c>
      <c r="O145" s="1240" t="e">
        <f>'Stock Rawmaterial'!#REF!</f>
        <v>#REF!</v>
      </c>
      <c r="P145" s="1240" t="e">
        <f>'Stock Rawmaterial'!#REF!</f>
        <v>#REF!</v>
      </c>
      <c r="Q145" s="1240" t="e">
        <f>'Stock Rawmaterial'!#REF!</f>
        <v>#REF!</v>
      </c>
      <c r="R145" s="1240">
        <f>'Stock Rawmaterial'!J582</f>
        <v>0</v>
      </c>
      <c r="S145" s="1240" t="e">
        <f>'Stock Rawmaterial'!#REF!</f>
        <v>#REF!</v>
      </c>
      <c r="T145" s="1240">
        <f>'Stock Rawmaterial'!K582</f>
        <v>0</v>
      </c>
      <c r="U145" s="1240" t="e">
        <f>'Stock Rawmaterial'!#REF!</f>
        <v>#REF!</v>
      </c>
      <c r="V145" s="1240" t="e">
        <f>'Stock Rawmaterial'!#REF!</f>
        <v>#REF!</v>
      </c>
      <c r="W145" s="1240" t="e">
        <f>'Stock Rawmaterial'!#REF!</f>
        <v>#REF!</v>
      </c>
      <c r="X145" s="632">
        <f>'Stock Rawmaterial'!L582</f>
        <v>0</v>
      </c>
      <c r="Y145" s="48"/>
      <c r="Z145" s="163"/>
      <c r="AA145" s="48"/>
      <c r="AB145" s="750"/>
      <c r="AC145" s="795"/>
      <c r="AD145" s="797"/>
      <c r="AE145" s="797"/>
      <c r="AF145" s="551"/>
      <c r="AG145" s="699"/>
      <c r="AH145" s="700"/>
      <c r="AI145" s="699"/>
      <c r="AJ145" s="699"/>
      <c r="AK145" s="551"/>
      <c r="AL145" s="551"/>
      <c r="AM145" s="551"/>
      <c r="AN145" s="551"/>
      <c r="AO145" s="551"/>
      <c r="AP145" s="551"/>
      <c r="AQ145" s="551"/>
      <c r="AR145" s="704"/>
      <c r="AS145" s="704"/>
      <c r="AT145" s="704"/>
      <c r="AU145" s="704"/>
      <c r="AV145" s="704"/>
      <c r="AW145" s="704"/>
      <c r="AX145" s="704"/>
      <c r="AY145" s="704"/>
      <c r="AZ145" s="704"/>
      <c r="BA145" s="704"/>
      <c r="BB145" s="704"/>
    </row>
    <row r="146" spans="1:54" s="265" customFormat="1" ht="30" customHeight="1" x14ac:dyDescent="0.25">
      <c r="A146" s="184"/>
      <c r="B146" s="184" t="s">
        <v>1254</v>
      </c>
      <c r="C146" s="575"/>
      <c r="D146" s="900"/>
      <c r="E146" s="901"/>
      <c r="F146" s="902"/>
      <c r="G146" s="353" t="e">
        <f>'Stock Rawmaterial'!#REF!</f>
        <v>#REF!</v>
      </c>
      <c r="H146" s="235">
        <f>+SUM(H143:H145)</f>
        <v>0</v>
      </c>
      <c r="I146" s="235" t="e">
        <f t="shared" ref="I146" si="76">+SUM(I143:I145)</f>
        <v>#REF!</v>
      </c>
      <c r="J146" s="235">
        <f t="shared" ref="J146" si="77">+SUM(J143:J145)</f>
        <v>0</v>
      </c>
      <c r="K146" s="235" t="e">
        <f t="shared" ref="K146" si="78">+SUM(K143:K145)</f>
        <v>#REF!</v>
      </c>
      <c r="L146" s="235" t="e">
        <f t="shared" ref="L146" si="79">+SUM(L143:L145)</f>
        <v>#REF!</v>
      </c>
      <c r="M146" s="235" t="e">
        <f t="shared" ref="M146" si="80">+SUM(M143:M145)</f>
        <v>#REF!</v>
      </c>
      <c r="N146" s="235">
        <f t="shared" ref="N146" si="81">+SUM(N143:N145)</f>
        <v>0</v>
      </c>
      <c r="O146" s="235" t="e">
        <f t="shared" ref="O146" si="82">+SUM(O143:O145)</f>
        <v>#REF!</v>
      </c>
      <c r="P146" s="235" t="e">
        <f t="shared" ref="P146" si="83">+SUM(P143:P145)</f>
        <v>#REF!</v>
      </c>
      <c r="Q146" s="235" t="e">
        <f t="shared" ref="Q146" si="84">+SUM(Q143:Q145)</f>
        <v>#REF!</v>
      </c>
      <c r="R146" s="235">
        <f t="shared" ref="R146" si="85">+SUM(R143:R145)</f>
        <v>0</v>
      </c>
      <c r="S146" s="235" t="e">
        <f t="shared" ref="S146" si="86">+SUM(S143:S145)</f>
        <v>#REF!</v>
      </c>
      <c r="T146" s="235">
        <f t="shared" ref="T146" si="87">+SUM(T143:T145)</f>
        <v>0</v>
      </c>
      <c r="U146" s="235" t="e">
        <f t="shared" ref="U146" si="88">+SUM(U143:U145)</f>
        <v>#REF!</v>
      </c>
      <c r="V146" s="235" t="e">
        <f t="shared" ref="V146" si="89">+SUM(V143:V145)</f>
        <v>#REF!</v>
      </c>
      <c r="W146" s="235" t="e">
        <f t="shared" ref="W146" si="90">+SUM(W143:W145)</f>
        <v>#REF!</v>
      </c>
      <c r="X146" s="235">
        <f t="shared" ref="X146" si="91">+SUM(X143:X145)</f>
        <v>0</v>
      </c>
      <c r="Y146" s="59">
        <f>'Stock Rawmaterial'!M740</f>
        <v>0</v>
      </c>
      <c r="Z146" s="366">
        <f>IFERROR(X146/Y146,0)</f>
        <v>0</v>
      </c>
      <c r="AA146" s="59">
        <f>'Stock Rawmaterial'!O740</f>
        <v>0</v>
      </c>
      <c r="AB146" s="880">
        <f>IFERROR(X146/AA146,0)</f>
        <v>0</v>
      </c>
      <c r="AC146" s="795" t="s">
        <v>923</v>
      </c>
      <c r="AD146" s="797"/>
      <c r="AE146" s="797"/>
      <c r="AF146" s="551"/>
      <c r="AG146" s="699"/>
      <c r="AH146" s="700"/>
      <c r="AI146" s="699"/>
      <c r="AJ146" s="699"/>
      <c r="AK146" s="551"/>
      <c r="AL146" s="683"/>
      <c r="AM146" s="551"/>
      <c r="AN146" s="551"/>
      <c r="AO146" s="551"/>
      <c r="AP146" s="551"/>
      <c r="AQ146" s="551"/>
      <c r="AR146" s="704"/>
      <c r="AS146" s="704"/>
      <c r="AT146" s="704"/>
      <c r="AU146" s="704"/>
      <c r="AV146" s="704"/>
      <c r="AW146" s="704"/>
      <c r="AX146" s="704"/>
      <c r="AY146" s="704"/>
      <c r="AZ146" s="704"/>
      <c r="BA146" s="704"/>
      <c r="BB146" s="704"/>
    </row>
    <row r="147" spans="1:54" s="265" customFormat="1" ht="30" customHeight="1" x14ac:dyDescent="0.25">
      <c r="A147" s="2084" t="str">
        <f>IF(X150=0,"",MAX($A$14:A146)+1)</f>
        <v/>
      </c>
      <c r="B147" s="2076" t="s">
        <v>1280</v>
      </c>
      <c r="C147" s="574" t="str">
        <f>'Stock Rawmaterial'!C584</f>
        <v>A12.2</v>
      </c>
      <c r="D147" s="881" t="str">
        <f>'Stock Rawmaterial'!D327</f>
        <v>Rec.</v>
      </c>
      <c r="E147" s="882">
        <f>'Stock Rawmaterial'!E584</f>
        <v>45146</v>
      </c>
      <c r="F147" s="1240">
        <f>'Stock Rawmaterial'!F584</f>
        <v>1140</v>
      </c>
      <c r="G147" s="574" t="e">
        <f>'Stock Rawmaterial'!#REF!</f>
        <v>#REF!</v>
      </c>
      <c r="H147" s="1263">
        <f>'Stock Rawmaterial'!G584</f>
        <v>0</v>
      </c>
      <c r="I147" s="1240" t="e">
        <f>'Stock Rawmaterial'!#REF!</f>
        <v>#REF!</v>
      </c>
      <c r="J147" s="1240">
        <f>'Stock Rawmaterial'!H584</f>
        <v>0</v>
      </c>
      <c r="K147" s="1240" t="e">
        <f>'Stock Rawmaterial'!#REF!</f>
        <v>#REF!</v>
      </c>
      <c r="L147" s="1240" t="e">
        <f>'Stock Rawmaterial'!#REF!</f>
        <v>#REF!</v>
      </c>
      <c r="M147" s="1240" t="e">
        <f>'Stock Rawmaterial'!#REF!</f>
        <v>#REF!</v>
      </c>
      <c r="N147" s="1240">
        <f>'Stock Rawmaterial'!I584</f>
        <v>0</v>
      </c>
      <c r="O147" s="1240" t="e">
        <f>'Stock Rawmaterial'!#REF!</f>
        <v>#REF!</v>
      </c>
      <c r="P147" s="1240" t="e">
        <f>'Stock Rawmaterial'!#REF!</f>
        <v>#REF!</v>
      </c>
      <c r="Q147" s="1240" t="e">
        <f>'Stock Rawmaterial'!#REF!</f>
        <v>#REF!</v>
      </c>
      <c r="R147" s="1240">
        <f>'Stock Rawmaterial'!J584</f>
        <v>0</v>
      </c>
      <c r="S147" s="1240" t="e">
        <f>'Stock Rawmaterial'!#REF!</f>
        <v>#REF!</v>
      </c>
      <c r="T147" s="1240">
        <f>'Stock Rawmaterial'!K584</f>
        <v>0</v>
      </c>
      <c r="U147" s="1240" t="e">
        <f>'Stock Rawmaterial'!#REF!</f>
        <v>#REF!</v>
      </c>
      <c r="V147" s="1240" t="e">
        <f>'Stock Rawmaterial'!#REF!</f>
        <v>#REF!</v>
      </c>
      <c r="W147" s="1240" t="e">
        <f>'Stock Rawmaterial'!#REF!</f>
        <v>#REF!</v>
      </c>
      <c r="X147" s="80">
        <f>'Stock Rawmaterial'!L584</f>
        <v>0</v>
      </c>
      <c r="Y147" s="48"/>
      <c r="Z147" s="163"/>
      <c r="AA147" s="48"/>
      <c r="AB147" s="750"/>
      <c r="AC147" s="795"/>
      <c r="AD147" s="797"/>
      <c r="AE147" s="797"/>
      <c r="AF147" s="551"/>
      <c r="AG147" s="699"/>
      <c r="AH147" s="700"/>
      <c r="AI147" s="699"/>
      <c r="AJ147" s="699"/>
      <c r="AK147" s="551"/>
      <c r="AL147" s="551"/>
      <c r="AM147" s="551"/>
      <c r="AN147" s="551"/>
      <c r="AO147" s="551"/>
      <c r="AP147" s="551"/>
      <c r="AQ147" s="551"/>
      <c r="AR147" s="704"/>
      <c r="AS147" s="704"/>
      <c r="AT147" s="704"/>
      <c r="AU147" s="704"/>
      <c r="AV147" s="704"/>
      <c r="AW147" s="704"/>
      <c r="AX147" s="704"/>
      <c r="AY147" s="704"/>
      <c r="AZ147" s="704"/>
      <c r="BA147" s="704"/>
      <c r="BB147" s="704"/>
    </row>
    <row r="148" spans="1:54" s="265" customFormat="1" ht="30" customHeight="1" x14ac:dyDescent="0.25">
      <c r="A148" s="2084"/>
      <c r="B148" s="2076"/>
      <c r="C148" s="574">
        <f>'Stock Rawmaterial'!C585</f>
        <v>0</v>
      </c>
      <c r="D148" s="881">
        <f>'Stock Rawmaterial'!D328</f>
        <v>0</v>
      </c>
      <c r="E148" s="882">
        <f>'Stock Rawmaterial'!E585</f>
        <v>0</v>
      </c>
      <c r="F148" s="1240">
        <f>'Stock Rawmaterial'!F585</f>
        <v>46286</v>
      </c>
      <c r="G148" s="574" t="e">
        <f>'Stock Rawmaterial'!#REF!</f>
        <v>#REF!</v>
      </c>
      <c r="H148" s="1240">
        <f>'Stock Rawmaterial'!G585</f>
        <v>0</v>
      </c>
      <c r="I148" s="1240" t="e">
        <f>'Stock Rawmaterial'!#REF!</f>
        <v>#REF!</v>
      </c>
      <c r="J148" s="1240">
        <f>'Stock Rawmaterial'!H585</f>
        <v>0</v>
      </c>
      <c r="K148" s="1240" t="e">
        <f>'Stock Rawmaterial'!#REF!</f>
        <v>#REF!</v>
      </c>
      <c r="L148" s="1240" t="e">
        <f>'Stock Rawmaterial'!#REF!</f>
        <v>#REF!</v>
      </c>
      <c r="M148" s="1240" t="e">
        <f>'Stock Rawmaterial'!#REF!</f>
        <v>#REF!</v>
      </c>
      <c r="N148" s="1240">
        <f>'Stock Rawmaterial'!I585</f>
        <v>0</v>
      </c>
      <c r="O148" s="1240" t="e">
        <f>'Stock Rawmaterial'!#REF!</f>
        <v>#REF!</v>
      </c>
      <c r="P148" s="1240" t="e">
        <f>'Stock Rawmaterial'!#REF!</f>
        <v>#REF!</v>
      </c>
      <c r="Q148" s="1240" t="e">
        <f>'Stock Rawmaterial'!#REF!</f>
        <v>#REF!</v>
      </c>
      <c r="R148" s="1240">
        <f>'Stock Rawmaterial'!J585</f>
        <v>0</v>
      </c>
      <c r="S148" s="1240" t="e">
        <f>'Stock Rawmaterial'!#REF!</f>
        <v>#REF!</v>
      </c>
      <c r="T148" s="1240">
        <f>'Stock Rawmaterial'!K585</f>
        <v>0</v>
      </c>
      <c r="U148" s="1240" t="e">
        <f>'Stock Rawmaterial'!#REF!</f>
        <v>#REF!</v>
      </c>
      <c r="V148" s="1240" t="e">
        <f>'Stock Rawmaterial'!#REF!</f>
        <v>#REF!</v>
      </c>
      <c r="W148" s="1240" t="e">
        <f>'Stock Rawmaterial'!#REF!</f>
        <v>#REF!</v>
      </c>
      <c r="X148" s="80">
        <f>'Stock Rawmaterial'!L585</f>
        <v>0</v>
      </c>
      <c r="Y148" s="48"/>
      <c r="Z148" s="163"/>
      <c r="AA148" s="48"/>
      <c r="AB148" s="750"/>
      <c r="AC148" s="795"/>
      <c r="AD148" s="797"/>
      <c r="AE148" s="797"/>
      <c r="AF148" s="551"/>
      <c r="AG148" s="699"/>
      <c r="AH148" s="700"/>
      <c r="AI148" s="699"/>
      <c r="AJ148" s="699"/>
      <c r="AK148" s="551"/>
      <c r="AL148" s="551"/>
      <c r="AM148" s="551"/>
      <c r="AN148" s="551"/>
      <c r="AO148" s="551"/>
      <c r="AP148" s="551"/>
      <c r="AQ148" s="551"/>
      <c r="AR148" s="704"/>
      <c r="AS148" s="704"/>
      <c r="AT148" s="704"/>
      <c r="AU148" s="704"/>
      <c r="AV148" s="704"/>
      <c r="AW148" s="704"/>
      <c r="AX148" s="704"/>
      <c r="AY148" s="704"/>
      <c r="AZ148" s="704"/>
      <c r="BA148" s="704"/>
      <c r="BB148" s="704"/>
    </row>
    <row r="149" spans="1:54" s="265" customFormat="1" ht="30" customHeight="1" x14ac:dyDescent="0.25">
      <c r="A149" s="2084"/>
      <c r="B149" s="2076"/>
      <c r="C149" s="1092" t="str">
        <f>'Stock Rawmaterial'!C586</f>
        <v>FM69</v>
      </c>
      <c r="D149" s="1093" t="str">
        <f>'Stock Rawmaterial'!D329</f>
        <v>Rec.</v>
      </c>
      <c r="E149" s="1094">
        <f>'Stock Rawmaterial'!E586</f>
        <v>45146</v>
      </c>
      <c r="F149" s="1095">
        <f>'Stock Rawmaterial'!F586</f>
        <v>1140</v>
      </c>
      <c r="G149" s="1095" t="e">
        <f>'Stock Rawmaterial'!#REF!</f>
        <v>#REF!</v>
      </c>
      <c r="H149" s="626">
        <f>'Stock Rawmaterial'!G586</f>
        <v>0</v>
      </c>
      <c r="I149" s="1240" t="e">
        <f>'Stock Rawmaterial'!#REF!</f>
        <v>#REF!</v>
      </c>
      <c r="J149" s="1240">
        <f>'Stock Rawmaterial'!H586</f>
        <v>0</v>
      </c>
      <c r="K149" s="1240" t="e">
        <f>'Stock Rawmaterial'!#REF!</f>
        <v>#REF!</v>
      </c>
      <c r="L149" s="1240" t="e">
        <f>'Stock Rawmaterial'!#REF!</f>
        <v>#REF!</v>
      </c>
      <c r="M149" s="1240" t="e">
        <f>'Stock Rawmaterial'!#REF!</f>
        <v>#REF!</v>
      </c>
      <c r="N149" s="1240">
        <f>'Stock Rawmaterial'!I586</f>
        <v>0</v>
      </c>
      <c r="O149" s="1240" t="e">
        <f>'Stock Rawmaterial'!#REF!</f>
        <v>#REF!</v>
      </c>
      <c r="P149" s="1240" t="e">
        <f>'Stock Rawmaterial'!#REF!</f>
        <v>#REF!</v>
      </c>
      <c r="Q149" s="1240" t="e">
        <f>'Stock Rawmaterial'!#REF!</f>
        <v>#REF!</v>
      </c>
      <c r="R149" s="1240">
        <f>'Stock Rawmaterial'!J586</f>
        <v>0</v>
      </c>
      <c r="S149" s="1240" t="e">
        <f>'Stock Rawmaterial'!#REF!</f>
        <v>#REF!</v>
      </c>
      <c r="T149" s="1240">
        <f>'Stock Rawmaterial'!K586</f>
        <v>0</v>
      </c>
      <c r="U149" s="1240" t="e">
        <f>'Stock Rawmaterial'!#REF!</f>
        <v>#REF!</v>
      </c>
      <c r="V149" s="1240" t="e">
        <f>'Stock Rawmaterial'!#REF!</f>
        <v>#REF!</v>
      </c>
      <c r="W149" s="1240" t="e">
        <f>'Stock Rawmaterial'!#REF!</f>
        <v>#REF!</v>
      </c>
      <c r="X149" s="632">
        <f>'Stock Rawmaterial'!L586</f>
        <v>0</v>
      </c>
      <c r="Y149" s="48"/>
      <c r="Z149" s="163"/>
      <c r="AA149" s="48"/>
      <c r="AB149" s="750"/>
      <c r="AC149" s="795"/>
      <c r="AD149" s="797"/>
      <c r="AE149" s="797"/>
      <c r="AF149" s="551"/>
      <c r="AG149" s="699"/>
      <c r="AH149" s="700"/>
      <c r="AI149" s="699"/>
      <c r="AJ149" s="699"/>
      <c r="AK149" s="551"/>
      <c r="AL149" s="551"/>
      <c r="AM149" s="551"/>
      <c r="AN149" s="551"/>
      <c r="AO149" s="551"/>
      <c r="AP149" s="551"/>
      <c r="AQ149" s="551"/>
      <c r="AR149" s="704"/>
      <c r="AS149" s="704"/>
      <c r="AT149" s="704"/>
      <c r="AU149" s="704"/>
      <c r="AV149" s="704"/>
      <c r="AW149" s="704"/>
      <c r="AX149" s="704"/>
      <c r="AY149" s="704"/>
      <c r="AZ149" s="704"/>
      <c r="BA149" s="704"/>
      <c r="BB149" s="704"/>
    </row>
    <row r="150" spans="1:54" s="265" customFormat="1" ht="30" customHeight="1" x14ac:dyDescent="0.25">
      <c r="A150" s="184"/>
      <c r="B150" s="184" t="s">
        <v>1281</v>
      </c>
      <c r="C150" s="575"/>
      <c r="D150" s="900"/>
      <c r="E150" s="901"/>
      <c r="F150" s="902"/>
      <c r="G150" s="353" t="e">
        <f>'Stock Rawmaterial'!#REF!</f>
        <v>#REF!</v>
      </c>
      <c r="H150" s="235">
        <f>+SUM(H147:H149)</f>
        <v>0</v>
      </c>
      <c r="I150" s="235" t="e">
        <f t="shared" ref="I150" si="92">+SUM(I147:I149)</f>
        <v>#REF!</v>
      </c>
      <c r="J150" s="235">
        <f t="shared" ref="J150:X150" si="93">+SUM(J147:J149)</f>
        <v>0</v>
      </c>
      <c r="K150" s="235" t="e">
        <f t="shared" si="93"/>
        <v>#REF!</v>
      </c>
      <c r="L150" s="235" t="e">
        <f t="shared" si="93"/>
        <v>#REF!</v>
      </c>
      <c r="M150" s="235" t="e">
        <f t="shared" si="93"/>
        <v>#REF!</v>
      </c>
      <c r="N150" s="235">
        <f t="shared" si="93"/>
        <v>0</v>
      </c>
      <c r="O150" s="235" t="e">
        <f t="shared" si="93"/>
        <v>#REF!</v>
      </c>
      <c r="P150" s="235" t="e">
        <f t="shared" si="93"/>
        <v>#REF!</v>
      </c>
      <c r="Q150" s="235" t="e">
        <f t="shared" si="93"/>
        <v>#REF!</v>
      </c>
      <c r="R150" s="235">
        <f t="shared" si="93"/>
        <v>0</v>
      </c>
      <c r="S150" s="235" t="e">
        <f t="shared" si="93"/>
        <v>#REF!</v>
      </c>
      <c r="T150" s="235">
        <f t="shared" si="93"/>
        <v>0</v>
      </c>
      <c r="U150" s="235" t="e">
        <f t="shared" si="93"/>
        <v>#REF!</v>
      </c>
      <c r="V150" s="235" t="e">
        <f t="shared" si="93"/>
        <v>#REF!</v>
      </c>
      <c r="W150" s="235" t="e">
        <f t="shared" si="93"/>
        <v>#REF!</v>
      </c>
      <c r="X150" s="235">
        <f t="shared" si="93"/>
        <v>0</v>
      </c>
      <c r="Y150" s="59">
        <f>'Stock Rawmaterial'!M744</f>
        <v>0</v>
      </c>
      <c r="Z150" s="366">
        <f>IFERROR(X150/Y150,0)</f>
        <v>0</v>
      </c>
      <c r="AA150" s="59">
        <f>'Stock Rawmaterial'!O744</f>
        <v>0</v>
      </c>
      <c r="AB150" s="880">
        <f>IFERROR(X150/AA150,0)</f>
        <v>0</v>
      </c>
      <c r="AC150" s="795" t="s">
        <v>923</v>
      </c>
      <c r="AD150" s="797"/>
      <c r="AE150" s="797"/>
      <c r="AF150" s="551"/>
      <c r="AG150" s="699"/>
      <c r="AH150" s="700"/>
      <c r="AI150" s="699"/>
      <c r="AJ150" s="699"/>
      <c r="AK150" s="551"/>
      <c r="AL150" s="683"/>
      <c r="AM150" s="551"/>
      <c r="AN150" s="551"/>
      <c r="AO150" s="551"/>
      <c r="AP150" s="551"/>
      <c r="AQ150" s="551"/>
      <c r="AR150" s="704"/>
      <c r="AS150" s="704"/>
      <c r="AT150" s="704"/>
      <c r="AU150" s="704"/>
      <c r="AV150" s="704"/>
      <c r="AW150" s="704"/>
      <c r="AX150" s="704"/>
      <c r="AY150" s="704"/>
      <c r="AZ150" s="704"/>
      <c r="BA150" s="704"/>
      <c r="BB150" s="704"/>
    </row>
    <row r="151" spans="1:54" s="265" customFormat="1" ht="30" customHeight="1" x14ac:dyDescent="0.25">
      <c r="A151" s="2084" t="str">
        <f>IF(X154=0,"",MAX($A$14:A150)+1)</f>
        <v/>
      </c>
      <c r="B151" s="2076" t="s">
        <v>1284</v>
      </c>
      <c r="C151" s="574" t="str">
        <f>'Stock Rawmaterial'!C588</f>
        <v>C6</v>
      </c>
      <c r="D151" s="881" t="str">
        <f>'Stock Rawmaterial'!D331</f>
        <v>Rec.</v>
      </c>
      <c r="E151" s="882">
        <f>'Stock Rawmaterial'!E588</f>
        <v>45009</v>
      </c>
      <c r="F151" s="1240">
        <f>'Stock Rawmaterial'!F588</f>
        <v>1277</v>
      </c>
      <c r="G151" s="574" t="e">
        <f>'Stock Rawmaterial'!#REF!</f>
        <v>#REF!</v>
      </c>
      <c r="H151" s="1263">
        <f>'Stock Rawmaterial'!G588</f>
        <v>0</v>
      </c>
      <c r="I151" s="1240" t="e">
        <f>'Stock Rawmaterial'!#REF!</f>
        <v>#REF!</v>
      </c>
      <c r="J151" s="1240">
        <f>'Stock Rawmaterial'!H588</f>
        <v>0</v>
      </c>
      <c r="K151" s="1240" t="e">
        <f>'Stock Rawmaterial'!#REF!</f>
        <v>#REF!</v>
      </c>
      <c r="L151" s="1240" t="e">
        <f>'Stock Rawmaterial'!#REF!</f>
        <v>#REF!</v>
      </c>
      <c r="M151" s="1240" t="e">
        <f>'Stock Rawmaterial'!#REF!</f>
        <v>#REF!</v>
      </c>
      <c r="N151" s="1240">
        <f>'Stock Rawmaterial'!I588</f>
        <v>0</v>
      </c>
      <c r="O151" s="1240" t="e">
        <f>'Stock Rawmaterial'!#REF!</f>
        <v>#REF!</v>
      </c>
      <c r="P151" s="1240" t="e">
        <f>'Stock Rawmaterial'!#REF!</f>
        <v>#REF!</v>
      </c>
      <c r="Q151" s="1240" t="e">
        <f>'Stock Rawmaterial'!#REF!</f>
        <v>#REF!</v>
      </c>
      <c r="R151" s="1240">
        <f>'Stock Rawmaterial'!J588</f>
        <v>0</v>
      </c>
      <c r="S151" s="1240" t="e">
        <f>'Stock Rawmaterial'!#REF!</f>
        <v>#REF!</v>
      </c>
      <c r="T151" s="1240">
        <f>'Stock Rawmaterial'!K588</f>
        <v>0</v>
      </c>
      <c r="U151" s="1240" t="e">
        <f>'Stock Rawmaterial'!#REF!</f>
        <v>#REF!</v>
      </c>
      <c r="V151" s="1240" t="e">
        <f>'Stock Rawmaterial'!#REF!</f>
        <v>#REF!</v>
      </c>
      <c r="W151" s="1240" t="e">
        <f>'Stock Rawmaterial'!#REF!</f>
        <v>#REF!</v>
      </c>
      <c r="X151" s="80">
        <f>'Stock Rawmaterial'!L588</f>
        <v>0</v>
      </c>
      <c r="Y151" s="48"/>
      <c r="Z151" s="163"/>
      <c r="AA151" s="48"/>
      <c r="AB151" s="750"/>
      <c r="AC151" s="795"/>
      <c r="AD151" s="797"/>
      <c r="AE151" s="797"/>
      <c r="AF151" s="551"/>
      <c r="AG151" s="699"/>
      <c r="AH151" s="700"/>
      <c r="AI151" s="699"/>
      <c r="AJ151" s="699"/>
      <c r="AK151" s="551"/>
      <c r="AL151" s="551"/>
      <c r="AM151" s="551"/>
      <c r="AN151" s="551"/>
      <c r="AO151" s="551"/>
      <c r="AP151" s="551"/>
      <c r="AQ151" s="551"/>
      <c r="AR151" s="704"/>
      <c r="AS151" s="704"/>
      <c r="AT151" s="704"/>
      <c r="AU151" s="704"/>
      <c r="AV151" s="704"/>
      <c r="AW151" s="704"/>
      <c r="AX151" s="704"/>
      <c r="AY151" s="704"/>
      <c r="AZ151" s="704"/>
      <c r="BA151" s="704"/>
      <c r="BB151" s="704"/>
    </row>
    <row r="152" spans="1:54" s="265" customFormat="1" ht="30" customHeight="1" x14ac:dyDescent="0.25">
      <c r="A152" s="2084"/>
      <c r="B152" s="2076"/>
      <c r="C152" s="574">
        <f>'Stock Rawmaterial'!C589</f>
        <v>0</v>
      </c>
      <c r="D152" s="881" t="str">
        <f>'Stock Rawmaterial'!D332</f>
        <v>Rec.</v>
      </c>
      <c r="E152" s="882">
        <f>'Stock Rawmaterial'!E589</f>
        <v>0</v>
      </c>
      <c r="F152" s="1240">
        <f>'Stock Rawmaterial'!F589</f>
        <v>46286</v>
      </c>
      <c r="G152" s="574" t="e">
        <f>'Stock Rawmaterial'!#REF!</f>
        <v>#REF!</v>
      </c>
      <c r="H152" s="1240">
        <f>'Stock Rawmaterial'!G589</f>
        <v>0</v>
      </c>
      <c r="I152" s="1240" t="e">
        <f>'Stock Rawmaterial'!#REF!</f>
        <v>#REF!</v>
      </c>
      <c r="J152" s="1240">
        <f>'Stock Rawmaterial'!H589</f>
        <v>0</v>
      </c>
      <c r="K152" s="1240" t="e">
        <f>'Stock Rawmaterial'!#REF!</f>
        <v>#REF!</v>
      </c>
      <c r="L152" s="1240" t="e">
        <f>'Stock Rawmaterial'!#REF!</f>
        <v>#REF!</v>
      </c>
      <c r="M152" s="1240" t="e">
        <f>'Stock Rawmaterial'!#REF!</f>
        <v>#REF!</v>
      </c>
      <c r="N152" s="1240">
        <f>'Stock Rawmaterial'!I589</f>
        <v>0</v>
      </c>
      <c r="O152" s="1240" t="e">
        <f>'Stock Rawmaterial'!#REF!</f>
        <v>#REF!</v>
      </c>
      <c r="P152" s="1240" t="e">
        <f>'Stock Rawmaterial'!#REF!</f>
        <v>#REF!</v>
      </c>
      <c r="Q152" s="1240" t="e">
        <f>'Stock Rawmaterial'!#REF!</f>
        <v>#REF!</v>
      </c>
      <c r="R152" s="1240">
        <f>'Stock Rawmaterial'!J589</f>
        <v>0</v>
      </c>
      <c r="S152" s="1240" t="e">
        <f>'Stock Rawmaterial'!#REF!</f>
        <v>#REF!</v>
      </c>
      <c r="T152" s="1240">
        <f>'Stock Rawmaterial'!K589</f>
        <v>0</v>
      </c>
      <c r="U152" s="1240" t="e">
        <f>'Stock Rawmaterial'!#REF!</f>
        <v>#REF!</v>
      </c>
      <c r="V152" s="1240" t="e">
        <f>'Stock Rawmaterial'!#REF!</f>
        <v>#REF!</v>
      </c>
      <c r="W152" s="1240" t="e">
        <f>'Stock Rawmaterial'!#REF!</f>
        <v>#REF!</v>
      </c>
      <c r="X152" s="80">
        <f>'Stock Rawmaterial'!L589</f>
        <v>0</v>
      </c>
      <c r="Y152" s="48"/>
      <c r="Z152" s="163"/>
      <c r="AA152" s="48"/>
      <c r="AB152" s="750"/>
      <c r="AC152" s="795"/>
      <c r="AD152" s="797"/>
      <c r="AE152" s="797"/>
      <c r="AF152" s="551"/>
      <c r="AG152" s="699"/>
      <c r="AH152" s="700"/>
      <c r="AI152" s="699"/>
      <c r="AJ152" s="699"/>
      <c r="AK152" s="551"/>
      <c r="AL152" s="551"/>
      <c r="AM152" s="551"/>
      <c r="AN152" s="551"/>
      <c r="AO152" s="551"/>
      <c r="AP152" s="551"/>
      <c r="AQ152" s="551"/>
      <c r="AR152" s="704"/>
      <c r="AS152" s="704"/>
      <c r="AT152" s="704"/>
      <c r="AU152" s="704"/>
      <c r="AV152" s="704"/>
      <c r="AW152" s="704"/>
      <c r="AX152" s="704"/>
      <c r="AY152" s="704"/>
      <c r="AZ152" s="704"/>
      <c r="BA152" s="704"/>
      <c r="BB152" s="704"/>
    </row>
    <row r="153" spans="1:54" s="265" customFormat="1" ht="30" customHeight="1" x14ac:dyDescent="0.25">
      <c r="A153" s="2084"/>
      <c r="B153" s="2076"/>
      <c r="C153" s="1092" t="str">
        <f>'Stock Rawmaterial'!C590</f>
        <v>FM</v>
      </c>
      <c r="D153" s="1093" t="str">
        <f>'Stock Rawmaterial'!D333</f>
        <v>Rec.</v>
      </c>
      <c r="E153" s="1094">
        <f>'Stock Rawmaterial'!E590</f>
        <v>45009</v>
      </c>
      <c r="F153" s="1095">
        <f>'Stock Rawmaterial'!F590</f>
        <v>1277</v>
      </c>
      <c r="G153" s="1095" t="e">
        <f>'Stock Rawmaterial'!#REF!</f>
        <v>#REF!</v>
      </c>
      <c r="H153" s="626">
        <f>'Stock Rawmaterial'!G590</f>
        <v>0</v>
      </c>
      <c r="I153" s="1240" t="e">
        <f>'Stock Rawmaterial'!#REF!</f>
        <v>#REF!</v>
      </c>
      <c r="J153" s="1240">
        <f>'Stock Rawmaterial'!H590</f>
        <v>0</v>
      </c>
      <c r="K153" s="1240" t="e">
        <f>'Stock Rawmaterial'!#REF!</f>
        <v>#REF!</v>
      </c>
      <c r="L153" s="1240" t="e">
        <f>'Stock Rawmaterial'!#REF!</f>
        <v>#REF!</v>
      </c>
      <c r="M153" s="1240" t="e">
        <f>'Stock Rawmaterial'!#REF!</f>
        <v>#REF!</v>
      </c>
      <c r="N153" s="1240">
        <f>'Stock Rawmaterial'!I590</f>
        <v>0</v>
      </c>
      <c r="O153" s="1240" t="e">
        <f>'Stock Rawmaterial'!#REF!</f>
        <v>#REF!</v>
      </c>
      <c r="P153" s="1240" t="e">
        <f>'Stock Rawmaterial'!#REF!</f>
        <v>#REF!</v>
      </c>
      <c r="Q153" s="1240" t="e">
        <f>'Stock Rawmaterial'!#REF!</f>
        <v>#REF!</v>
      </c>
      <c r="R153" s="1240">
        <f>'Stock Rawmaterial'!J590</f>
        <v>0</v>
      </c>
      <c r="S153" s="1240" t="e">
        <f>'Stock Rawmaterial'!#REF!</f>
        <v>#REF!</v>
      </c>
      <c r="T153" s="1240">
        <f>'Stock Rawmaterial'!K590</f>
        <v>0</v>
      </c>
      <c r="U153" s="1240" t="e">
        <f>'Stock Rawmaterial'!#REF!</f>
        <v>#REF!</v>
      </c>
      <c r="V153" s="1240" t="e">
        <f>'Stock Rawmaterial'!#REF!</f>
        <v>#REF!</v>
      </c>
      <c r="W153" s="1240" t="e">
        <f>'Stock Rawmaterial'!#REF!</f>
        <v>#REF!</v>
      </c>
      <c r="X153" s="632">
        <f>'Stock Rawmaterial'!L590</f>
        <v>0</v>
      </c>
      <c r="Y153" s="48"/>
      <c r="Z153" s="163"/>
      <c r="AA153" s="48"/>
      <c r="AB153" s="750"/>
      <c r="AC153" s="795"/>
      <c r="AD153" s="797"/>
      <c r="AE153" s="797"/>
      <c r="AF153" s="551"/>
      <c r="AG153" s="699"/>
      <c r="AH153" s="700"/>
      <c r="AI153" s="699"/>
      <c r="AJ153" s="699"/>
      <c r="AK153" s="551"/>
      <c r="AL153" s="551"/>
      <c r="AM153" s="551"/>
      <c r="AN153" s="551"/>
      <c r="AO153" s="551"/>
      <c r="AP153" s="551"/>
      <c r="AQ153" s="551"/>
      <c r="AR153" s="704"/>
      <c r="AS153" s="704"/>
      <c r="AT153" s="704"/>
      <c r="AU153" s="704"/>
      <c r="AV153" s="704"/>
      <c r="AW153" s="704"/>
      <c r="AX153" s="704"/>
      <c r="AY153" s="704"/>
      <c r="AZ153" s="704"/>
      <c r="BA153" s="704"/>
      <c r="BB153" s="704"/>
    </row>
    <row r="154" spans="1:54" s="265" customFormat="1" ht="30" customHeight="1" x14ac:dyDescent="0.25">
      <c r="A154" s="184"/>
      <c r="B154" s="184" t="s">
        <v>1285</v>
      </c>
      <c r="C154" s="575"/>
      <c r="D154" s="900"/>
      <c r="E154" s="901"/>
      <c r="F154" s="902"/>
      <c r="G154" s="353" t="e">
        <f>'Stock Rawmaterial'!#REF!</f>
        <v>#REF!</v>
      </c>
      <c r="H154" s="235">
        <f>+SUM(H151:H153)</f>
        <v>0</v>
      </c>
      <c r="I154" s="235" t="e">
        <f t="shared" ref="I154" si="94">+SUM(I151:I153)</f>
        <v>#REF!</v>
      </c>
      <c r="J154" s="235">
        <f t="shared" ref="J154:X154" si="95">+SUM(J151:J153)</f>
        <v>0</v>
      </c>
      <c r="K154" s="235" t="e">
        <f t="shared" si="95"/>
        <v>#REF!</v>
      </c>
      <c r="L154" s="235" t="e">
        <f t="shared" si="95"/>
        <v>#REF!</v>
      </c>
      <c r="M154" s="235" t="e">
        <f t="shared" si="95"/>
        <v>#REF!</v>
      </c>
      <c r="N154" s="235">
        <f t="shared" si="95"/>
        <v>0</v>
      </c>
      <c r="O154" s="235" t="e">
        <f t="shared" si="95"/>
        <v>#REF!</v>
      </c>
      <c r="P154" s="235" t="e">
        <f t="shared" si="95"/>
        <v>#REF!</v>
      </c>
      <c r="Q154" s="235" t="e">
        <f t="shared" si="95"/>
        <v>#REF!</v>
      </c>
      <c r="R154" s="235">
        <f t="shared" si="95"/>
        <v>0</v>
      </c>
      <c r="S154" s="235" t="e">
        <f t="shared" si="95"/>
        <v>#REF!</v>
      </c>
      <c r="T154" s="235">
        <f t="shared" si="95"/>
        <v>0</v>
      </c>
      <c r="U154" s="235" t="e">
        <f t="shared" si="95"/>
        <v>#REF!</v>
      </c>
      <c r="V154" s="235" t="e">
        <f t="shared" si="95"/>
        <v>#REF!</v>
      </c>
      <c r="W154" s="235" t="e">
        <f t="shared" si="95"/>
        <v>#REF!</v>
      </c>
      <c r="X154" s="235">
        <f t="shared" si="95"/>
        <v>0</v>
      </c>
      <c r="Y154" s="59" t="str">
        <f>'Stock Rawmaterial'!M591</f>
        <v/>
      </c>
      <c r="Z154" s="366">
        <f>IFERROR(X154/Y154,0)</f>
        <v>0</v>
      </c>
      <c r="AA154" s="59">
        <f>'Stock Rawmaterial'!O591</f>
        <v>0</v>
      </c>
      <c r="AB154" s="880">
        <f>IFERROR(X154/AA154,0)</f>
        <v>0</v>
      </c>
      <c r="AC154" s="795" t="s">
        <v>923</v>
      </c>
      <c r="AD154" s="797"/>
      <c r="AE154" s="797"/>
      <c r="AF154" s="551"/>
      <c r="AG154" s="699"/>
      <c r="AH154" s="700"/>
      <c r="AI154" s="699"/>
      <c r="AJ154" s="699"/>
      <c r="AK154" s="551"/>
      <c r="AL154" s="683"/>
      <c r="AM154" s="551"/>
      <c r="AN154" s="551"/>
      <c r="AO154" s="551"/>
      <c r="AP154" s="551"/>
      <c r="AQ154" s="551"/>
      <c r="AR154" s="704"/>
      <c r="AS154" s="704"/>
      <c r="AT154" s="704"/>
      <c r="AU154" s="704"/>
      <c r="AV154" s="704"/>
      <c r="AW154" s="704"/>
      <c r="AX154" s="704"/>
      <c r="AY154" s="704"/>
      <c r="AZ154" s="704"/>
      <c r="BA154" s="704"/>
      <c r="BB154" s="704"/>
    </row>
    <row r="155" spans="1:54" s="265" customFormat="1" ht="30" customHeight="1" x14ac:dyDescent="0.25">
      <c r="A155" s="2084" t="str">
        <f>IF(X158=0,"",MAX($A$14:A154)+1)</f>
        <v/>
      </c>
      <c r="B155" s="2076" t="s">
        <v>1325</v>
      </c>
      <c r="C155" s="574" t="str">
        <f>'Stock Rawmaterial'!C561</f>
        <v>A19.1</v>
      </c>
      <c r="D155" s="881" t="str">
        <f>'Stock Rawmaterial'!D335</f>
        <v>Rec.</v>
      </c>
      <c r="E155" s="882">
        <f>'Stock Rawmaterial'!E561</f>
        <v>45135</v>
      </c>
      <c r="F155" s="1240">
        <f>'Stock Rawmaterial'!F561</f>
        <v>1151</v>
      </c>
      <c r="G155" s="574" t="e">
        <f>'Stock Rawmaterial'!#REF!</f>
        <v>#REF!</v>
      </c>
      <c r="H155" s="1263">
        <f>'Stock Rawmaterial'!G561</f>
        <v>0</v>
      </c>
      <c r="I155" s="1240" t="e">
        <f>'Stock Rawmaterial'!#REF!</f>
        <v>#REF!</v>
      </c>
      <c r="J155" s="1240">
        <f>'Stock Rawmaterial'!H561</f>
        <v>0</v>
      </c>
      <c r="K155" s="1240" t="e">
        <f>'Stock Rawmaterial'!#REF!</f>
        <v>#REF!</v>
      </c>
      <c r="L155" s="1240" t="e">
        <f>'Stock Rawmaterial'!#REF!</f>
        <v>#REF!</v>
      </c>
      <c r="M155" s="1240" t="e">
        <f>'Stock Rawmaterial'!#REF!</f>
        <v>#REF!</v>
      </c>
      <c r="N155" s="1240">
        <f>'Stock Rawmaterial'!I561</f>
        <v>0</v>
      </c>
      <c r="O155" s="1240" t="e">
        <f>'Stock Rawmaterial'!#REF!</f>
        <v>#REF!</v>
      </c>
      <c r="P155" s="1240" t="e">
        <f>'Stock Rawmaterial'!#REF!</f>
        <v>#REF!</v>
      </c>
      <c r="Q155" s="1240" t="e">
        <f>'Stock Rawmaterial'!#REF!</f>
        <v>#REF!</v>
      </c>
      <c r="R155" s="1240">
        <f>'Stock Rawmaterial'!J561</f>
        <v>0</v>
      </c>
      <c r="S155" s="1240" t="e">
        <f>'Stock Rawmaterial'!#REF!</f>
        <v>#REF!</v>
      </c>
      <c r="T155" s="1240">
        <f>'Stock Rawmaterial'!K561</f>
        <v>0</v>
      </c>
      <c r="U155" s="1240" t="e">
        <f>'Stock Rawmaterial'!#REF!</f>
        <v>#REF!</v>
      </c>
      <c r="V155" s="1240" t="e">
        <f>'Stock Rawmaterial'!#REF!</f>
        <v>#REF!</v>
      </c>
      <c r="W155" s="1240" t="e">
        <f>'Stock Rawmaterial'!#REF!</f>
        <v>#REF!</v>
      </c>
      <c r="X155" s="1240">
        <f>'Stock Rawmaterial'!L561</f>
        <v>0</v>
      </c>
      <c r="Y155" s="48"/>
      <c r="Z155" s="163"/>
      <c r="AA155" s="48"/>
      <c r="AB155" s="750"/>
      <c r="AC155" s="795"/>
      <c r="AD155" s="797"/>
      <c r="AE155" s="797"/>
      <c r="AF155" s="551"/>
      <c r="AG155" s="699"/>
      <c r="AH155" s="700"/>
      <c r="AI155" s="699"/>
      <c r="AJ155" s="699"/>
      <c r="AK155" s="551"/>
      <c r="AL155" s="551"/>
      <c r="AM155" s="551"/>
      <c r="AN155" s="551"/>
      <c r="AO155" s="551"/>
      <c r="AP155" s="551"/>
      <c r="AQ155" s="551"/>
      <c r="AR155" s="704"/>
      <c r="AS155" s="704"/>
      <c r="AT155" s="704"/>
      <c r="AU155" s="704"/>
      <c r="AV155" s="704"/>
      <c r="AW155" s="704"/>
      <c r="AX155" s="704"/>
      <c r="AY155" s="704"/>
      <c r="AZ155" s="704"/>
      <c r="BA155" s="704"/>
      <c r="BB155" s="704"/>
    </row>
    <row r="156" spans="1:54" s="265" customFormat="1" ht="30" customHeight="1" x14ac:dyDescent="0.25">
      <c r="A156" s="2084"/>
      <c r="B156" s="2076"/>
      <c r="C156" s="574">
        <f>'Stock Rawmaterial'!C562</f>
        <v>0</v>
      </c>
      <c r="D156" s="881" t="str">
        <f>'Stock Rawmaterial'!D336</f>
        <v>Rec.</v>
      </c>
      <c r="E156" s="882">
        <f>'Stock Rawmaterial'!E562</f>
        <v>45135</v>
      </c>
      <c r="F156" s="1240">
        <f>'Stock Rawmaterial'!F562</f>
        <v>1151</v>
      </c>
      <c r="G156" s="574" t="e">
        <f>'Stock Rawmaterial'!#REF!</f>
        <v>#REF!</v>
      </c>
      <c r="H156" s="1263">
        <f>'Stock Rawmaterial'!G562</f>
        <v>0</v>
      </c>
      <c r="I156" s="1240" t="e">
        <f>'Stock Rawmaterial'!#REF!</f>
        <v>#REF!</v>
      </c>
      <c r="J156" s="1240">
        <f>'Stock Rawmaterial'!H562</f>
        <v>0</v>
      </c>
      <c r="K156" s="1240" t="e">
        <f>'Stock Rawmaterial'!#REF!</f>
        <v>#REF!</v>
      </c>
      <c r="L156" s="1240" t="e">
        <f>'Stock Rawmaterial'!#REF!</f>
        <v>#REF!</v>
      </c>
      <c r="M156" s="1240" t="e">
        <f>'Stock Rawmaterial'!#REF!</f>
        <v>#REF!</v>
      </c>
      <c r="N156" s="1240">
        <f>'Stock Rawmaterial'!I562</f>
        <v>0</v>
      </c>
      <c r="O156" s="1240" t="e">
        <f>'Stock Rawmaterial'!#REF!</f>
        <v>#REF!</v>
      </c>
      <c r="P156" s="1240" t="e">
        <f>'Stock Rawmaterial'!#REF!</f>
        <v>#REF!</v>
      </c>
      <c r="Q156" s="1240" t="e">
        <f>'Stock Rawmaterial'!#REF!</f>
        <v>#REF!</v>
      </c>
      <c r="R156" s="1240">
        <f>'Stock Rawmaterial'!J540</f>
        <v>0</v>
      </c>
      <c r="S156" s="1240" t="e">
        <f>'Stock Rawmaterial'!#REF!</f>
        <v>#REF!</v>
      </c>
      <c r="T156" s="1240">
        <f>'Stock Rawmaterial'!K562</f>
        <v>0</v>
      </c>
      <c r="U156" s="1240" t="e">
        <f>'Stock Rawmaterial'!#REF!</f>
        <v>#REF!</v>
      </c>
      <c r="V156" s="1240" t="e">
        <f>'Stock Rawmaterial'!#REF!</f>
        <v>#REF!</v>
      </c>
      <c r="W156" s="1240" t="e">
        <f>'Stock Rawmaterial'!#REF!</f>
        <v>#REF!</v>
      </c>
      <c r="X156" s="1240">
        <f>'Stock Rawmaterial'!L562</f>
        <v>0</v>
      </c>
      <c r="Y156" s="48"/>
      <c r="Z156" s="163"/>
      <c r="AA156" s="48"/>
      <c r="AB156" s="750"/>
      <c r="AC156" s="795"/>
      <c r="AD156" s="797"/>
      <c r="AE156" s="797"/>
      <c r="AF156" s="551"/>
      <c r="AG156" s="699"/>
      <c r="AH156" s="700"/>
      <c r="AI156" s="699"/>
      <c r="AJ156" s="699"/>
      <c r="AK156" s="551"/>
      <c r="AL156" s="551"/>
      <c r="AM156" s="551"/>
      <c r="AN156" s="551"/>
      <c r="AO156" s="551"/>
      <c r="AP156" s="551"/>
      <c r="AQ156" s="551"/>
      <c r="AR156" s="704"/>
      <c r="AS156" s="704"/>
      <c r="AT156" s="704"/>
      <c r="AU156" s="704"/>
      <c r="AV156" s="704"/>
      <c r="AW156" s="704"/>
      <c r="AX156" s="704"/>
      <c r="AY156" s="704"/>
      <c r="AZ156" s="704"/>
      <c r="BA156" s="704"/>
      <c r="BB156" s="704"/>
    </row>
    <row r="157" spans="1:54" s="265" customFormat="1" ht="30" customHeight="1" x14ac:dyDescent="0.25">
      <c r="A157" s="2084"/>
      <c r="B157" s="2076"/>
      <c r="C157" s="1092" t="str">
        <f>'Stock Rawmaterial'!C563</f>
        <v>Feedmil</v>
      </c>
      <c r="D157" s="881" t="str">
        <f>'Stock Rawmaterial'!D337</f>
        <v>Rec.</v>
      </c>
      <c r="E157" s="882">
        <f>'Stock Rawmaterial'!E563</f>
        <v>45135</v>
      </c>
      <c r="F157" s="1240">
        <f>'Stock Rawmaterial'!F563</f>
        <v>1151</v>
      </c>
      <c r="G157" s="574" t="e">
        <f>'Stock Rawmaterial'!#REF!</f>
        <v>#REF!</v>
      </c>
      <c r="H157" s="1263">
        <f>'Stock Rawmaterial'!G563</f>
        <v>0</v>
      </c>
      <c r="I157" s="1240" t="e">
        <f>'Stock Rawmaterial'!#REF!</f>
        <v>#REF!</v>
      </c>
      <c r="J157" s="1240">
        <f>'Stock Rawmaterial'!H563</f>
        <v>0</v>
      </c>
      <c r="K157" s="1240" t="e">
        <f>'Stock Rawmaterial'!#REF!</f>
        <v>#REF!</v>
      </c>
      <c r="L157" s="1240" t="e">
        <f>'Stock Rawmaterial'!#REF!</f>
        <v>#REF!</v>
      </c>
      <c r="M157" s="1240" t="e">
        <f>'Stock Rawmaterial'!#REF!</f>
        <v>#REF!</v>
      </c>
      <c r="N157" s="1240">
        <f>'Stock Rawmaterial'!I563</f>
        <v>0</v>
      </c>
      <c r="O157" s="1240" t="e">
        <f>'Stock Rawmaterial'!#REF!</f>
        <v>#REF!</v>
      </c>
      <c r="P157" s="1240" t="e">
        <f>'Stock Rawmaterial'!#REF!</f>
        <v>#REF!</v>
      </c>
      <c r="Q157" s="1240" t="e">
        <f>'Stock Rawmaterial'!#REF!</f>
        <v>#REF!</v>
      </c>
      <c r="R157" s="1240">
        <f>'Stock Rawmaterial'!J563</f>
        <v>0</v>
      </c>
      <c r="S157" s="1240" t="e">
        <f>'Stock Rawmaterial'!#REF!</f>
        <v>#REF!</v>
      </c>
      <c r="T157" s="1240">
        <f>'Stock Rawmaterial'!K563</f>
        <v>0</v>
      </c>
      <c r="U157" s="1240" t="e">
        <f>'Stock Rawmaterial'!#REF!</f>
        <v>#REF!</v>
      </c>
      <c r="V157" s="1240" t="e">
        <f>'Stock Rawmaterial'!#REF!</f>
        <v>#REF!</v>
      </c>
      <c r="W157" s="1240" t="e">
        <f>'Stock Rawmaterial'!#REF!</f>
        <v>#REF!</v>
      </c>
      <c r="X157" s="1240">
        <f>'Stock Rawmaterial'!L563</f>
        <v>0</v>
      </c>
      <c r="Y157" s="48"/>
      <c r="Z157" s="163"/>
      <c r="AA157" s="48"/>
      <c r="AB157" s="750"/>
      <c r="AC157" s="795"/>
      <c r="AD157" s="797"/>
      <c r="AE157" s="797"/>
      <c r="AF157" s="551"/>
      <c r="AG157" s="699"/>
      <c r="AH157" s="700"/>
      <c r="AI157" s="699"/>
      <c r="AJ157" s="699"/>
      <c r="AK157" s="551"/>
      <c r="AL157" s="551"/>
      <c r="AM157" s="551"/>
      <c r="AN157" s="551"/>
      <c r="AO157" s="551"/>
      <c r="AP157" s="551"/>
      <c r="AQ157" s="551"/>
      <c r="AR157" s="704"/>
      <c r="AS157" s="704"/>
      <c r="AT157" s="704"/>
      <c r="AU157" s="704"/>
      <c r="AV157" s="704"/>
      <c r="AW157" s="704"/>
      <c r="AX157" s="704"/>
      <c r="AY157" s="704"/>
      <c r="AZ157" s="704"/>
      <c r="BA157" s="704"/>
      <c r="BB157" s="704"/>
    </row>
    <row r="158" spans="1:54" s="265" customFormat="1" ht="30" customHeight="1" x14ac:dyDescent="0.25">
      <c r="A158" s="184"/>
      <c r="B158" s="184" t="s">
        <v>1327</v>
      </c>
      <c r="C158" s="575"/>
      <c r="D158" s="900"/>
      <c r="E158" s="901"/>
      <c r="F158" s="902"/>
      <c r="G158" s="353" t="e">
        <f>'Stock Rawmaterial'!#REF!</f>
        <v>#REF!</v>
      </c>
      <c r="H158" s="235">
        <f>+SUM(H155:H157)</f>
        <v>0</v>
      </c>
      <c r="I158" s="235" t="e">
        <f t="shared" ref="I158" si="96">+SUM(I155:I157)</f>
        <v>#REF!</v>
      </c>
      <c r="J158" s="235">
        <f t="shared" ref="J158:X158" si="97">+SUM(J155:J157)</f>
        <v>0</v>
      </c>
      <c r="K158" s="235" t="e">
        <f t="shared" si="97"/>
        <v>#REF!</v>
      </c>
      <c r="L158" s="235" t="e">
        <f t="shared" si="97"/>
        <v>#REF!</v>
      </c>
      <c r="M158" s="235" t="e">
        <f t="shared" si="97"/>
        <v>#REF!</v>
      </c>
      <c r="N158" s="235">
        <f t="shared" si="97"/>
        <v>0</v>
      </c>
      <c r="O158" s="235" t="e">
        <f t="shared" si="97"/>
        <v>#REF!</v>
      </c>
      <c r="P158" s="235" t="e">
        <f t="shared" si="97"/>
        <v>#REF!</v>
      </c>
      <c r="Q158" s="235" t="e">
        <f t="shared" si="97"/>
        <v>#REF!</v>
      </c>
      <c r="R158" s="235">
        <f t="shared" si="97"/>
        <v>0</v>
      </c>
      <c r="S158" s="235" t="e">
        <f t="shared" si="97"/>
        <v>#REF!</v>
      </c>
      <c r="T158" s="235">
        <f t="shared" si="97"/>
        <v>0</v>
      </c>
      <c r="U158" s="235" t="e">
        <f t="shared" si="97"/>
        <v>#REF!</v>
      </c>
      <c r="V158" s="235" t="e">
        <f t="shared" si="97"/>
        <v>#REF!</v>
      </c>
      <c r="W158" s="235" t="e">
        <f t="shared" si="97"/>
        <v>#REF!</v>
      </c>
      <c r="X158" s="235">
        <f t="shared" si="97"/>
        <v>0</v>
      </c>
      <c r="Y158" s="59" t="str">
        <f>'Stock Rawmaterial'!M595</f>
        <v/>
      </c>
      <c r="Z158" s="366">
        <f>IFERROR(X158/Y158,0)</f>
        <v>0</v>
      </c>
      <c r="AA158" s="59">
        <f>'Stock Rawmaterial'!O595</f>
        <v>0</v>
      </c>
      <c r="AB158" s="880">
        <f>IFERROR(X158/AA158,0)</f>
        <v>0</v>
      </c>
      <c r="AC158" s="795" t="s">
        <v>923</v>
      </c>
      <c r="AD158" s="797"/>
      <c r="AE158" s="797"/>
      <c r="AF158" s="551"/>
      <c r="AG158" s="699"/>
      <c r="AH158" s="700"/>
      <c r="AI158" s="699"/>
      <c r="AJ158" s="699"/>
      <c r="AK158" s="551"/>
      <c r="AL158" s="683"/>
      <c r="AM158" s="551"/>
      <c r="AN158" s="551"/>
      <c r="AO158" s="551"/>
      <c r="AP158" s="551"/>
      <c r="AQ158" s="551"/>
      <c r="AR158" s="704"/>
      <c r="AS158" s="704"/>
      <c r="AT158" s="704"/>
      <c r="AU158" s="704"/>
      <c r="AV158" s="704"/>
      <c r="AW158" s="704"/>
      <c r="AX158" s="704"/>
      <c r="AY158" s="704"/>
      <c r="AZ158" s="704"/>
      <c r="BA158" s="704"/>
      <c r="BB158" s="704"/>
    </row>
    <row r="159" spans="1:54" s="14" customFormat="1" ht="30" customHeight="1" x14ac:dyDescent="0.25">
      <c r="A159" s="2332" t="s">
        <v>972</v>
      </c>
      <c r="B159" s="2206"/>
      <c r="C159" s="2206"/>
      <c r="D159" s="2206"/>
      <c r="E159" s="183"/>
      <c r="F159" s="1051">
        <f t="shared" ref="F159:G159" si="98">+F58+F52+F45+F39+F33+F25+F19+F125+F129+F64+F68+F72+F76++F80+F84+F120+F88+F134+F138+F142+F146+F92+F96+F100+F150+F154+F104+F108+F116</f>
        <v>0</v>
      </c>
      <c r="G159" s="1051" t="e">
        <f t="shared" si="98"/>
        <v>#REF!</v>
      </c>
      <c r="H159" s="1051">
        <f>+H58+H52+H45+H39+H33+H25+H19+H125+H129+H64+H68+H72+H76++H80+H84+H120+H88+H134+H138+H142+H146+H92+H96+H100+H150+H154+H104+H108+H116+H158+H112</f>
        <v>0</v>
      </c>
      <c r="I159" s="1051" t="e">
        <f t="shared" ref="I159:X159" si="99">+I58+I52+I45+I39+I33+I25+I19+I125+I129+I64+I68+I72+I76++I80+I84+I120+I88+I134+I138+I142+I146+I92+I96+I100+I150+I154+I104+I108+I116+I158+I112</f>
        <v>#REF!</v>
      </c>
      <c r="J159" s="1051">
        <f t="shared" si="99"/>
        <v>0</v>
      </c>
      <c r="K159" s="1051" t="e">
        <f t="shared" si="99"/>
        <v>#REF!</v>
      </c>
      <c r="L159" s="1051" t="e">
        <f t="shared" si="99"/>
        <v>#REF!</v>
      </c>
      <c r="M159" s="1051" t="e">
        <f t="shared" si="99"/>
        <v>#REF!</v>
      </c>
      <c r="N159" s="1051">
        <f t="shared" si="99"/>
        <v>0</v>
      </c>
      <c r="O159" s="1051" t="e">
        <f t="shared" si="99"/>
        <v>#REF!</v>
      </c>
      <c r="P159" s="1051" t="e">
        <f t="shared" si="99"/>
        <v>#REF!</v>
      </c>
      <c r="Q159" s="1051" t="e">
        <f t="shared" si="99"/>
        <v>#REF!</v>
      </c>
      <c r="R159" s="1051">
        <f t="shared" si="99"/>
        <v>0</v>
      </c>
      <c r="S159" s="1051" t="e">
        <f t="shared" si="99"/>
        <v>#REF!</v>
      </c>
      <c r="T159" s="1051">
        <f t="shared" si="99"/>
        <v>0</v>
      </c>
      <c r="U159" s="1051" t="e">
        <f t="shared" si="99"/>
        <v>#REF!</v>
      </c>
      <c r="V159" s="1051" t="e">
        <f t="shared" si="99"/>
        <v>#REF!</v>
      </c>
      <c r="W159" s="1051" t="e">
        <f t="shared" si="99"/>
        <v>#REF!</v>
      </c>
      <c r="X159" s="1051" t="e">
        <f t="shared" si="99"/>
        <v>#REF!</v>
      </c>
      <c r="Y159" s="1039"/>
      <c r="Z159" s="1039"/>
      <c r="AA159" s="1039"/>
      <c r="AB159" s="1040"/>
      <c r="AC159" s="795"/>
      <c r="AD159" s="797"/>
      <c r="AE159" s="797"/>
      <c r="AF159" s="551"/>
      <c r="AG159" s="699"/>
      <c r="AH159" s="700"/>
      <c r="AI159" s="699"/>
      <c r="AJ159" s="699"/>
      <c r="AK159" s="551"/>
      <c r="AL159" s="679"/>
      <c r="AM159" s="683"/>
      <c r="AN159" s="683"/>
      <c r="AO159" s="683"/>
      <c r="AP159" s="683"/>
      <c r="AQ159" s="683"/>
      <c r="AR159" s="705"/>
      <c r="AS159" s="705"/>
      <c r="AT159" s="705"/>
      <c r="AU159" s="705"/>
      <c r="AV159" s="705"/>
      <c r="AW159" s="705"/>
      <c r="AX159" s="705"/>
      <c r="AY159" s="705"/>
      <c r="AZ159" s="705"/>
      <c r="BA159" s="705"/>
      <c r="BB159" s="705"/>
    </row>
    <row r="160" spans="1:54" s="423" customFormat="1" ht="12" customHeight="1" x14ac:dyDescent="0.25">
      <c r="A160" s="57"/>
      <c r="B160" s="2"/>
      <c r="C160" s="13"/>
      <c r="D160" s="16"/>
      <c r="E160" s="15"/>
      <c r="F160" s="141"/>
      <c r="G160" s="141"/>
      <c r="L160" s="319"/>
      <c r="M160" s="228"/>
      <c r="N160"/>
      <c r="O160" s="319"/>
      <c r="P160" s="228"/>
      <c r="R160" s="213"/>
      <c r="S160" s="220"/>
      <c r="T160" s="205"/>
      <c r="U160" s="220"/>
      <c r="V160" s="203"/>
      <c r="W160" s="328"/>
      <c r="X160" s="202"/>
      <c r="Y160" s="263"/>
      <c r="Z160"/>
      <c r="AA160" s="263"/>
      <c r="AB160" s="723"/>
      <c r="AC160" s="784"/>
      <c r="AD160" s="787"/>
      <c r="AE160" s="787"/>
      <c r="AF160" s="550"/>
      <c r="AG160" s="697"/>
      <c r="AH160" s="698"/>
      <c r="AI160" s="697"/>
      <c r="AJ160" s="697"/>
      <c r="AK160" s="550"/>
      <c r="AL160" s="688"/>
      <c r="AM160" s="688"/>
      <c r="AN160" s="688"/>
      <c r="AO160" s="688"/>
      <c r="AP160" s="688"/>
      <c r="AQ160" s="688"/>
      <c r="AR160" s="710"/>
      <c r="AS160" s="710"/>
      <c r="AT160" s="710"/>
      <c r="AU160" s="710"/>
      <c r="AV160" s="710"/>
      <c r="AW160" s="710"/>
      <c r="AX160" s="710"/>
      <c r="AY160" s="710"/>
      <c r="AZ160" s="710"/>
      <c r="BA160" s="710"/>
      <c r="BB160" s="710"/>
    </row>
    <row r="161" spans="1:54" s="3" customFormat="1" x14ac:dyDescent="0.25">
      <c r="A161" s="57"/>
      <c r="B161" s="5"/>
      <c r="C161" s="89"/>
      <c r="D161" s="16"/>
      <c r="E161" s="15"/>
      <c r="H161" s="503"/>
      <c r="I161" s="503"/>
      <c r="J161" s="503"/>
      <c r="K161" s="503"/>
      <c r="L161" s="503"/>
      <c r="M161" s="503"/>
      <c r="N161" s="503"/>
      <c r="O161" s="503"/>
      <c r="P161" s="503"/>
      <c r="Q161" s="503"/>
      <c r="R161" s="503"/>
      <c r="S161" s="503"/>
      <c r="T161" s="503"/>
      <c r="U161" s="264"/>
      <c r="V161" s="203"/>
      <c r="W161" s="328"/>
      <c r="X161" s="202">
        <f>+'Stock Rawmaterial'!L1353++'Stock Rawmaterial'!L1367+'Stock Rawmaterial'!L1373+'Stock Rawmaterial'!L1388+'Stock Rawmaterial'!L595+'Stock Rawmaterial'!L1394+'Stock Rawmaterial'!L1403+'Stock Rawmaterial'!L1407+'Stock Rawmaterial'!L1411+'Stock Rawmaterial'!L1415+'Stock Rawmaterial'!L1421+'Stock Rawmaterial'!L522+'Stock Rawmaterial'!L318+'Stock Rawmaterial'!L579+'Stock Rawmaterial'!L583+'Stock Rawmaterial'!L1436+'Stock Rawmaterial'!L1440+'Stock Rawmaterial'!L1444+'Stock Rawmaterial'!L587+'Stock Rawmaterial'!L591+'Stock Rawmaterial'!L1448+'Stock Rawmaterial'!L1452+'Stock Rawmaterial'!L1460+'Stock Rawmaterial'!L564+'Stock Rawmaterial'!L1456</f>
        <v>0</v>
      </c>
      <c r="Y161" s="547"/>
      <c r="Z161"/>
      <c r="AA161" s="385"/>
      <c r="AB161" s="723"/>
      <c r="AC161" s="784"/>
      <c r="AD161" s="787"/>
      <c r="AE161" s="787"/>
      <c r="AF161" s="550"/>
      <c r="AG161" s="697"/>
      <c r="AH161" s="698"/>
      <c r="AI161" s="697"/>
      <c r="AJ161" s="697"/>
      <c r="AK161" s="550"/>
      <c r="AL161" s="689"/>
      <c r="AM161" s="689"/>
      <c r="AN161" s="689"/>
      <c r="AO161" s="689"/>
      <c r="AP161" s="689"/>
      <c r="AQ161" s="689"/>
      <c r="AR161" s="711"/>
      <c r="AS161" s="711"/>
      <c r="AT161" s="711"/>
      <c r="AU161" s="711"/>
      <c r="AV161" s="711"/>
      <c r="AW161" s="711"/>
      <c r="AX161" s="711"/>
      <c r="AY161" s="711"/>
      <c r="AZ161" s="711"/>
      <c r="BA161" s="711"/>
      <c r="BB161" s="711"/>
    </row>
    <row r="162" spans="1:54" s="3" customFormat="1" ht="22.5" customHeight="1" x14ac:dyDescent="0.25">
      <c r="A162" s="100"/>
      <c r="B162" s="100"/>
      <c r="C162" s="13"/>
      <c r="D162" s="16"/>
      <c r="E162" s="15"/>
      <c r="F162" s="141"/>
      <c r="G162" s="96"/>
      <c r="H162" s="556"/>
      <c r="I162" s="503"/>
      <c r="J162" s="503"/>
      <c r="K162" s="503"/>
      <c r="L162" s="503"/>
      <c r="M162" s="503"/>
      <c r="N162" s="503"/>
      <c r="O162" s="503"/>
      <c r="P162" s="503"/>
      <c r="Q162" s="503"/>
      <c r="R162" s="503"/>
      <c r="S162" s="503"/>
      <c r="T162" s="503"/>
      <c r="U162" s="141"/>
      <c r="V162" s="69"/>
      <c r="W162" s="96"/>
      <c r="X162" s="214" t="e">
        <f>+X159-X161</f>
        <v>#REF!</v>
      </c>
      <c r="Y162" s="382"/>
      <c r="Z162"/>
      <c r="AA162" s="382"/>
      <c r="AB162" s="724"/>
      <c r="AC162" s="784"/>
      <c r="AD162" s="787"/>
      <c r="AE162" s="787"/>
      <c r="AF162" s="550"/>
      <c r="AG162" s="697"/>
      <c r="AH162" s="698"/>
      <c r="AI162" s="697"/>
      <c r="AJ162" s="697"/>
      <c r="AK162" s="550"/>
      <c r="AL162" s="689"/>
      <c r="AM162" s="689"/>
      <c r="AN162" s="689"/>
      <c r="AO162" s="689"/>
      <c r="AP162" s="689"/>
      <c r="AQ162" s="689"/>
      <c r="AR162" s="711"/>
      <c r="AS162" s="711"/>
      <c r="AT162" s="711"/>
      <c r="AU162" s="711"/>
      <c r="AV162" s="711"/>
      <c r="AW162" s="711"/>
      <c r="AX162" s="711"/>
      <c r="AY162" s="711"/>
      <c r="AZ162" s="711"/>
      <c r="BA162" s="711"/>
      <c r="BB162" s="711"/>
    </row>
    <row r="163" spans="1:54" s="3" customFormat="1" ht="24.75" customHeight="1" x14ac:dyDescent="0.25">
      <c r="A163" s="100"/>
      <c r="B163" s="100"/>
      <c r="C163" s="13"/>
      <c r="D163" s="16"/>
      <c r="E163" s="15"/>
      <c r="F163" s="141"/>
      <c r="G163" s="96"/>
      <c r="H163" s="503"/>
      <c r="I163" s="503"/>
      <c r="J163" s="503"/>
      <c r="K163" s="503"/>
      <c r="L163" s="503"/>
      <c r="M163" s="503"/>
      <c r="N163" s="503">
        <f>+N161-N162</f>
        <v>0</v>
      </c>
      <c r="O163" s="503"/>
      <c r="P163" s="503"/>
      <c r="Q163" s="503"/>
      <c r="R163" s="503"/>
      <c r="S163" s="503"/>
      <c r="T163" s="503"/>
      <c r="U163" s="141"/>
      <c r="V163" s="217"/>
      <c r="W163" s="340"/>
      <c r="X163" s="214"/>
      <c r="Y163" s="535"/>
      <c r="Z163"/>
      <c r="AA163" s="382"/>
      <c r="AB163" s="723"/>
      <c r="AC163" s="784"/>
      <c r="AD163" s="787"/>
      <c r="AE163" s="787"/>
      <c r="AF163" s="550"/>
      <c r="AG163" s="697"/>
      <c r="AH163" s="698"/>
      <c r="AI163" s="697"/>
      <c r="AJ163" s="697"/>
      <c r="AK163" s="550"/>
      <c r="AL163" s="689"/>
      <c r="AM163" s="689"/>
      <c r="AN163" s="689"/>
      <c r="AO163" s="689"/>
      <c r="AP163" s="689"/>
      <c r="AQ163" s="689"/>
      <c r="AR163" s="711"/>
      <c r="AS163" s="711"/>
      <c r="AT163" s="711"/>
      <c r="AU163" s="711"/>
      <c r="AV163" s="711"/>
      <c r="AW163" s="711"/>
      <c r="AX163" s="711"/>
      <c r="AY163" s="711"/>
      <c r="AZ163" s="711"/>
      <c r="BA163" s="711"/>
      <c r="BB163" s="711"/>
    </row>
    <row r="164" spans="1:54" s="3" customFormat="1" x14ac:dyDescent="0.25">
      <c r="A164" s="57"/>
      <c r="C164" s="13"/>
      <c r="D164" s="16"/>
      <c r="E164" s="15"/>
      <c r="F164" s="141"/>
      <c r="G164" s="96"/>
      <c r="H164" s="503"/>
      <c r="I164" s="503"/>
      <c r="J164" s="503"/>
      <c r="K164" s="503"/>
      <c r="L164" s="503"/>
      <c r="M164" s="503"/>
      <c r="N164" s="665">
        <f>+J161+N162</f>
        <v>0</v>
      </c>
      <c r="O164" s="503"/>
      <c r="P164" s="503"/>
      <c r="Q164" s="503"/>
      <c r="R164" s="503"/>
      <c r="S164" s="503"/>
      <c r="T164" s="503"/>
      <c r="U164" s="141"/>
      <c r="V164" s="69"/>
      <c r="W164" s="96"/>
      <c r="X164" s="214"/>
      <c r="Y164" s="536"/>
      <c r="Z164"/>
      <c r="AA164" s="382"/>
      <c r="AB164" s="723"/>
      <c r="AC164" s="784"/>
      <c r="AD164" s="787"/>
      <c r="AE164" s="787"/>
      <c r="AF164" s="550"/>
      <c r="AG164" s="697"/>
      <c r="AH164" s="698"/>
      <c r="AI164" s="697"/>
      <c r="AJ164" s="697"/>
      <c r="AK164" s="550"/>
      <c r="AL164" s="689"/>
      <c r="AM164" s="689"/>
      <c r="AN164" s="689"/>
      <c r="AO164" s="689"/>
      <c r="AP164" s="689"/>
      <c r="AQ164" s="689"/>
      <c r="AR164" s="711"/>
      <c r="AS164" s="711"/>
      <c r="AT164" s="711"/>
      <c r="AU164" s="711"/>
      <c r="AV164" s="711"/>
      <c r="AW164" s="711"/>
      <c r="AX164" s="711"/>
      <c r="AY164" s="711"/>
      <c r="AZ164" s="711"/>
      <c r="BA164" s="711"/>
      <c r="BB164" s="711"/>
    </row>
    <row r="165" spans="1:54" s="3" customFormat="1" x14ac:dyDescent="0.25">
      <c r="A165" s="2181" t="s">
        <v>332</v>
      </c>
      <c r="B165" s="2181"/>
      <c r="C165" s="13"/>
      <c r="D165" s="16"/>
      <c r="E165" s="15"/>
      <c r="F165" s="141"/>
      <c r="G165" s="96"/>
      <c r="H165" s="96"/>
      <c r="I165" s="503"/>
      <c r="J165" s="503"/>
      <c r="K165" s="503"/>
      <c r="L165" s="503"/>
      <c r="M165" s="503"/>
      <c r="N165" s="665"/>
      <c r="O165" s="503"/>
      <c r="P165" s="503"/>
      <c r="Q165" s="503"/>
      <c r="R165" s="503"/>
      <c r="S165" s="503"/>
      <c r="T165" s="503"/>
      <c r="U165" s="141"/>
      <c r="V165" s="69"/>
      <c r="W165" s="96"/>
      <c r="X165" s="214"/>
      <c r="Y165" s="536"/>
      <c r="Z165"/>
      <c r="AA165" s="382"/>
      <c r="AB165" s="723"/>
      <c r="AC165" s="784"/>
      <c r="AD165" s="787"/>
      <c r="AE165" s="787"/>
      <c r="AF165" s="550"/>
      <c r="AG165" s="697"/>
      <c r="AH165" s="698"/>
      <c r="AI165" s="697"/>
      <c r="AJ165" s="697"/>
      <c r="AK165" s="550"/>
      <c r="AL165" s="689"/>
      <c r="AM165" s="689"/>
      <c r="AN165" s="689"/>
      <c r="AO165" s="689"/>
      <c r="AP165" s="689"/>
      <c r="AQ165" s="689"/>
      <c r="AR165" s="711"/>
      <c r="AS165" s="711"/>
      <c r="AT165" s="711"/>
      <c r="AU165" s="711"/>
      <c r="AV165" s="711"/>
      <c r="AW165" s="711"/>
      <c r="AX165" s="711"/>
      <c r="AY165" s="711"/>
      <c r="AZ165" s="711"/>
      <c r="BA165" s="711"/>
      <c r="BB165" s="711"/>
    </row>
    <row r="166" spans="1:54" s="3" customFormat="1" x14ac:dyDescent="0.25">
      <c r="A166" s="2181" t="s">
        <v>333</v>
      </c>
      <c r="B166" s="2181"/>
      <c r="C166" s="13"/>
      <c r="D166" s="16"/>
      <c r="E166" s="15"/>
      <c r="F166" s="141"/>
      <c r="G166" s="96"/>
      <c r="H166" s="503"/>
      <c r="I166" s="503"/>
      <c r="J166" s="503"/>
      <c r="K166" s="503"/>
      <c r="L166" s="503"/>
      <c r="M166" s="503"/>
      <c r="N166" s="503"/>
      <c r="O166" s="503"/>
      <c r="P166" s="503"/>
      <c r="Q166" s="503"/>
      <c r="R166" s="503"/>
      <c r="S166" s="503"/>
      <c r="T166" s="503"/>
      <c r="U166" s="141"/>
      <c r="V166" s="69"/>
      <c r="W166" s="96"/>
      <c r="X166" s="214"/>
      <c r="Y166" s="536"/>
      <c r="Z166"/>
      <c r="AA166" s="382"/>
      <c r="AB166" s="723"/>
      <c r="AC166" s="784"/>
      <c r="AD166" s="787"/>
      <c r="AE166" s="787"/>
      <c r="AF166" s="550"/>
      <c r="AG166" s="697"/>
      <c r="AH166" s="698"/>
      <c r="AI166" s="697"/>
      <c r="AJ166" s="697"/>
      <c r="AK166" s="550"/>
      <c r="AL166" s="689"/>
      <c r="AM166" s="689"/>
      <c r="AN166" s="689"/>
      <c r="AO166" s="689"/>
      <c r="AP166" s="689"/>
      <c r="AQ166" s="689"/>
      <c r="AR166" s="711"/>
      <c r="AS166" s="711"/>
      <c r="AT166" s="711"/>
      <c r="AU166" s="711"/>
      <c r="AV166" s="711"/>
      <c r="AW166" s="711"/>
      <c r="AX166" s="711"/>
      <c r="AY166" s="711"/>
      <c r="AZ166" s="711"/>
      <c r="BA166" s="711"/>
      <c r="BB166" s="711"/>
    </row>
    <row r="167" spans="1:54" s="3" customFormat="1" x14ac:dyDescent="0.25">
      <c r="A167" s="2181" t="s">
        <v>334</v>
      </c>
      <c r="B167" s="2181"/>
      <c r="C167" s="13"/>
      <c r="D167" s="16"/>
      <c r="E167" s="15"/>
      <c r="F167" s="141"/>
      <c r="G167" s="96"/>
      <c r="H167" s="214"/>
      <c r="I167" s="320"/>
      <c r="J167" s="245"/>
      <c r="K167" s="245"/>
      <c r="L167" s="245"/>
      <c r="M167" s="327"/>
      <c r="N167" s="242"/>
      <c r="O167" s="250"/>
      <c r="P167" s="250"/>
      <c r="Q167" s="338"/>
      <c r="R167" s="244"/>
      <c r="S167" s="141"/>
      <c r="T167" s="215"/>
      <c r="U167" s="141"/>
      <c r="V167" s="289"/>
      <c r="W167" s="341"/>
      <c r="X167" s="214"/>
      <c r="Y167" s="535"/>
      <c r="Z167"/>
      <c r="AA167" s="382"/>
      <c r="AB167" s="723"/>
      <c r="AC167" s="784"/>
      <c r="AD167" s="787"/>
      <c r="AE167" s="787"/>
      <c r="AF167" s="550"/>
      <c r="AG167" s="697"/>
      <c r="AH167" s="698"/>
      <c r="AI167" s="697"/>
      <c r="AJ167" s="697"/>
      <c r="AK167" s="550"/>
      <c r="AL167" s="689"/>
      <c r="AM167" s="689"/>
      <c r="AN167" s="689"/>
      <c r="AO167" s="689"/>
      <c r="AP167" s="689"/>
      <c r="AQ167" s="689"/>
      <c r="AR167" s="711"/>
      <c r="AS167" s="711"/>
      <c r="AT167" s="711"/>
      <c r="AU167" s="711"/>
      <c r="AV167" s="711"/>
      <c r="AW167" s="711"/>
      <c r="AX167" s="711"/>
      <c r="AY167" s="711"/>
      <c r="AZ167" s="711"/>
      <c r="BA167" s="711"/>
      <c r="BB167" s="711"/>
    </row>
    <row r="168" spans="1:54" x14ac:dyDescent="0.25">
      <c r="B168" s="3"/>
      <c r="G168" s="96"/>
      <c r="H168" s="216"/>
      <c r="I168" s="321"/>
      <c r="J168" s="245"/>
      <c r="K168" s="245"/>
      <c r="L168" s="245"/>
      <c r="M168" s="327"/>
      <c r="N168" s="242"/>
      <c r="O168" s="69"/>
      <c r="P168" s="69"/>
      <c r="Q168" s="96"/>
      <c r="R168" s="244"/>
      <c r="S168" s="141"/>
      <c r="T168" s="215"/>
      <c r="U168" s="141"/>
      <c r="V168" s="69"/>
      <c r="W168" s="96"/>
      <c r="X168" s="214"/>
      <c r="Y168" s="382"/>
      <c r="AA168" s="382"/>
      <c r="AD168" s="787"/>
      <c r="AE168" s="787"/>
      <c r="AF168" s="550"/>
      <c r="AG168" s="697"/>
      <c r="AH168" s="698"/>
      <c r="AI168" s="697"/>
      <c r="AJ168" s="697"/>
      <c r="AK168" s="550"/>
      <c r="AL168" s="679"/>
    </row>
    <row r="169" spans="1:54" x14ac:dyDescent="0.25">
      <c r="E169" s="15" t="s">
        <v>353</v>
      </c>
      <c r="H169" s="328"/>
      <c r="R169" s="244"/>
      <c r="AD169" s="787"/>
      <c r="AE169" s="787"/>
      <c r="AF169" s="550"/>
      <c r="AG169" s="697"/>
      <c r="AH169" s="698"/>
      <c r="AI169" s="697"/>
      <c r="AJ169" s="697"/>
      <c r="AK169" s="550"/>
      <c r="AL169" s="679"/>
    </row>
    <row r="170" spans="1:54" x14ac:dyDescent="0.25">
      <c r="R170" s="244"/>
      <c r="AD170" s="787"/>
      <c r="AE170" s="787"/>
      <c r="AF170" s="550"/>
      <c r="AG170" s="697"/>
      <c r="AH170" s="698"/>
      <c r="AI170" s="697"/>
      <c r="AJ170" s="697"/>
      <c r="AK170" s="550"/>
      <c r="AL170" s="679"/>
    </row>
    <row r="171" spans="1:54" x14ac:dyDescent="0.25">
      <c r="R171" s="244"/>
      <c r="AD171" s="787"/>
      <c r="AE171" s="787"/>
      <c r="AF171" s="550"/>
      <c r="AG171" s="697"/>
      <c r="AH171" s="698"/>
      <c r="AI171" s="697"/>
      <c r="AJ171" s="697"/>
      <c r="AK171" s="550"/>
      <c r="AL171" s="679"/>
    </row>
    <row r="172" spans="1:54" x14ac:dyDescent="0.25">
      <c r="R172" s="244"/>
      <c r="AD172" s="787"/>
      <c r="AE172" s="787"/>
      <c r="AF172" s="550"/>
      <c r="AG172" s="697"/>
      <c r="AH172" s="698"/>
      <c r="AI172" s="697"/>
      <c r="AJ172" s="697"/>
      <c r="AK172" s="550"/>
      <c r="AL172" s="679"/>
    </row>
    <row r="173" spans="1:54" x14ac:dyDescent="0.25">
      <c r="R173" s="244"/>
      <c r="AD173" s="787"/>
      <c r="AE173" s="787"/>
      <c r="AF173" s="550"/>
      <c r="AG173" s="697"/>
      <c r="AH173" s="698"/>
      <c r="AI173" s="697"/>
      <c r="AJ173" s="697"/>
      <c r="AK173" s="550"/>
      <c r="AL173" s="679"/>
    </row>
    <row r="174" spans="1:54" x14ac:dyDescent="0.25">
      <c r="R174" s="244"/>
      <c r="AD174" s="787"/>
      <c r="AE174" s="787"/>
      <c r="AF174" s="550"/>
      <c r="AG174" s="697"/>
      <c r="AH174" s="698"/>
      <c r="AI174" s="697"/>
      <c r="AJ174" s="697"/>
      <c r="AK174" s="550"/>
      <c r="AL174" s="679"/>
    </row>
    <row r="175" spans="1:54" ht="15.75" x14ac:dyDescent="0.25">
      <c r="A175" s="2"/>
      <c r="C175" s="2"/>
      <c r="D175" s="2"/>
      <c r="E175" s="2"/>
      <c r="F175" s="2"/>
      <c r="G175" s="295"/>
      <c r="H175" s="2"/>
      <c r="J175" s="2"/>
      <c r="K175" s="2"/>
      <c r="L175" s="2"/>
      <c r="M175" s="295"/>
      <c r="O175" s="2"/>
      <c r="P175" s="2"/>
      <c r="Q175" s="295"/>
      <c r="R175" s="244"/>
      <c r="S175" s="328"/>
      <c r="T175" s="203"/>
      <c r="U175" s="328"/>
      <c r="V175" s="2"/>
      <c r="W175" s="295"/>
      <c r="X175" s="2"/>
      <c r="Y175" s="295"/>
      <c r="Z175" s="13"/>
      <c r="AA175" s="295"/>
      <c r="AB175" s="724"/>
      <c r="AD175" s="787"/>
      <c r="AE175" s="787"/>
      <c r="AF175" s="550"/>
      <c r="AG175" s="697"/>
      <c r="AH175" s="698"/>
      <c r="AI175" s="697"/>
      <c r="AJ175" s="697"/>
      <c r="AK175" s="550"/>
      <c r="AL175" s="679"/>
    </row>
    <row r="176" spans="1:54" x14ac:dyDescent="0.25">
      <c r="N176" s="202"/>
      <c r="R176" s="569"/>
      <c r="AD176" s="787"/>
      <c r="AE176" s="787"/>
      <c r="AF176" s="550"/>
      <c r="AG176" s="697"/>
      <c r="AH176" s="698"/>
      <c r="AI176" s="697"/>
      <c r="AJ176" s="697"/>
      <c r="AK176" s="550"/>
      <c r="AL176" s="679"/>
    </row>
    <row r="177" spans="1:116" x14ac:dyDescent="0.25">
      <c r="R177" s="569"/>
      <c r="AD177" s="787"/>
      <c r="AE177" s="787"/>
      <c r="AF177" s="550"/>
      <c r="AG177" s="697"/>
      <c r="AH177" s="698"/>
      <c r="AI177" s="697"/>
      <c r="AJ177" s="697"/>
      <c r="AK177" s="550"/>
      <c r="AL177" s="679"/>
    </row>
    <row r="178" spans="1:116" x14ac:dyDescent="0.25">
      <c r="R178" s="569"/>
      <c r="AD178" s="787"/>
      <c r="AE178" s="787"/>
      <c r="AF178" s="550"/>
      <c r="AG178" s="697"/>
      <c r="AH178" s="698"/>
      <c r="AI178" s="697"/>
      <c r="AJ178" s="697"/>
      <c r="AK178" s="550"/>
      <c r="AL178" s="679"/>
    </row>
    <row r="179" spans="1:116" x14ac:dyDescent="0.25">
      <c r="R179" s="569"/>
      <c r="AD179" s="787"/>
      <c r="AE179" s="787"/>
      <c r="AF179" s="550"/>
      <c r="AG179" s="697"/>
      <c r="AH179" s="698"/>
      <c r="AI179" s="697"/>
      <c r="AJ179" s="697"/>
      <c r="AK179" s="550"/>
      <c r="AL179" s="679"/>
    </row>
    <row r="180" spans="1:116" s="679" customFormat="1" x14ac:dyDescent="0.25">
      <c r="A180" s="57"/>
      <c r="B180" s="2"/>
      <c r="C180" s="13"/>
      <c r="D180" s="16"/>
      <c r="E180" s="15"/>
      <c r="F180" s="141"/>
      <c r="G180" s="328"/>
      <c r="H180" s="202"/>
      <c r="I180" s="295"/>
      <c r="J180" s="228"/>
      <c r="K180" s="228"/>
      <c r="L180" s="228"/>
      <c r="M180" s="322"/>
      <c r="N180" s="203"/>
      <c r="O180" s="203"/>
      <c r="P180" s="203"/>
      <c r="Q180" s="328"/>
      <c r="R180" s="569"/>
      <c r="S180" s="220"/>
      <c r="T180" s="205"/>
      <c r="U180" s="220"/>
      <c r="V180" s="203"/>
      <c r="W180" s="328"/>
      <c r="X180" s="202"/>
      <c r="Y180" s="263"/>
      <c r="Z180"/>
      <c r="AA180" s="263"/>
      <c r="AB180" s="723"/>
      <c r="AC180" s="784"/>
      <c r="AD180" s="787"/>
      <c r="AE180" s="787"/>
      <c r="AF180" s="550"/>
      <c r="AG180" s="697"/>
      <c r="AH180" s="698"/>
      <c r="AI180" s="697"/>
      <c r="AJ180" s="697"/>
      <c r="AK180" s="550"/>
      <c r="AR180" s="682"/>
      <c r="AS180" s="682"/>
      <c r="AT180" s="682"/>
      <c r="AU180" s="682"/>
      <c r="AV180" s="682"/>
      <c r="AW180" s="682"/>
      <c r="AX180" s="682"/>
      <c r="AY180" s="682"/>
      <c r="AZ180" s="682"/>
      <c r="BA180" s="682"/>
      <c r="BB180" s="68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</row>
    <row r="181" spans="1:116" s="679" customFormat="1" x14ac:dyDescent="0.25">
      <c r="A181" s="57"/>
      <c r="B181" s="2"/>
      <c r="C181" s="13"/>
      <c r="D181" s="16"/>
      <c r="E181" s="15"/>
      <c r="F181" s="141"/>
      <c r="G181" s="328"/>
      <c r="H181" s="202"/>
      <c r="I181" s="295"/>
      <c r="J181" s="228"/>
      <c r="K181" s="228"/>
      <c r="L181" s="228"/>
      <c r="M181" s="322"/>
      <c r="N181" s="203"/>
      <c r="O181" s="203"/>
      <c r="P181" s="203"/>
      <c r="Q181" s="328"/>
      <c r="R181" s="569"/>
      <c r="S181" s="220"/>
      <c r="T181" s="205"/>
      <c r="U181" s="220"/>
      <c r="V181" s="203"/>
      <c r="W181" s="328"/>
      <c r="X181" s="202"/>
      <c r="Y181" s="263"/>
      <c r="Z181"/>
      <c r="AA181" s="263"/>
      <c r="AB181" s="723"/>
      <c r="AC181" s="784"/>
      <c r="AD181" s="787"/>
      <c r="AE181" s="787"/>
      <c r="AF181" s="550"/>
      <c r="AG181" s="697"/>
      <c r="AH181" s="698"/>
      <c r="AI181" s="697"/>
      <c r="AJ181" s="697"/>
      <c r="AK181" s="550"/>
      <c r="AR181" s="682"/>
      <c r="AS181" s="682"/>
      <c r="AT181" s="682"/>
      <c r="AU181" s="682"/>
      <c r="AV181" s="682"/>
      <c r="AW181" s="682"/>
      <c r="AX181" s="682"/>
      <c r="AY181" s="682"/>
      <c r="AZ181" s="682"/>
      <c r="BA181" s="682"/>
      <c r="BB181" s="68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</row>
    <row r="182" spans="1:116" s="679" customFormat="1" x14ac:dyDescent="0.25">
      <c r="A182" s="57"/>
      <c r="B182" s="2"/>
      <c r="C182" s="13"/>
      <c r="D182" s="16"/>
      <c r="E182" s="15"/>
      <c r="F182" s="141"/>
      <c r="G182" s="328"/>
      <c r="H182" s="202"/>
      <c r="I182" s="295"/>
      <c r="J182" s="228"/>
      <c r="K182" s="228"/>
      <c r="L182" s="228"/>
      <c r="M182" s="322"/>
      <c r="N182" s="203"/>
      <c r="O182" s="203"/>
      <c r="P182" s="203"/>
      <c r="Q182" s="328"/>
      <c r="R182" s="569"/>
      <c r="S182" s="220"/>
      <c r="T182" s="205"/>
      <c r="U182" s="220"/>
      <c r="V182" s="203"/>
      <c r="W182" s="328"/>
      <c r="X182" s="202"/>
      <c r="Y182" s="263"/>
      <c r="Z182"/>
      <c r="AA182" s="263"/>
      <c r="AB182" s="723"/>
      <c r="AC182" s="784"/>
      <c r="AD182" s="787"/>
      <c r="AE182" s="787"/>
      <c r="AF182" s="550"/>
      <c r="AG182" s="697"/>
      <c r="AH182" s="698"/>
      <c r="AI182" s="697"/>
      <c r="AJ182" s="697"/>
      <c r="AK182" s="550"/>
      <c r="AR182" s="682"/>
      <c r="AS182" s="682"/>
      <c r="AT182" s="682"/>
      <c r="AU182" s="682"/>
      <c r="AV182" s="682"/>
      <c r="AW182" s="682"/>
      <c r="AX182" s="682"/>
      <c r="AY182" s="682"/>
      <c r="AZ182" s="682"/>
      <c r="BA182" s="682"/>
      <c r="BB182" s="68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</row>
    <row r="183" spans="1:116" s="679" customFormat="1" ht="16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03"/>
      <c r="O183" s="2"/>
      <c r="P183" s="2"/>
      <c r="Q183" s="2"/>
      <c r="R183" s="503"/>
      <c r="S183" s="2"/>
      <c r="T183" s="2"/>
      <c r="U183" s="2"/>
      <c r="V183" s="2"/>
      <c r="W183" s="2"/>
      <c r="X183" s="2"/>
      <c r="Y183" s="2"/>
      <c r="Z183" s="13"/>
      <c r="AA183" s="2"/>
      <c r="AB183" s="724"/>
      <c r="AC183" s="784"/>
      <c r="AD183" s="787"/>
      <c r="AE183" s="787"/>
      <c r="AF183" s="550"/>
      <c r="AG183" s="697"/>
      <c r="AH183" s="698"/>
      <c r="AI183" s="697"/>
      <c r="AJ183" s="697"/>
      <c r="AK183" s="550"/>
      <c r="AR183" s="682"/>
      <c r="AS183" s="682"/>
      <c r="AT183" s="682"/>
      <c r="AU183" s="682"/>
      <c r="AV183" s="682"/>
      <c r="AW183" s="682"/>
      <c r="AX183" s="682"/>
      <c r="AY183" s="682"/>
      <c r="AZ183" s="682"/>
      <c r="BA183" s="682"/>
      <c r="BB183" s="68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</row>
    <row r="184" spans="1:116" s="679" customFormat="1" ht="16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503"/>
      <c r="S184" s="2"/>
      <c r="T184" s="2"/>
      <c r="U184" s="2"/>
      <c r="V184" s="2"/>
      <c r="W184" s="2"/>
      <c r="X184" s="2"/>
      <c r="Y184" s="2"/>
      <c r="Z184" s="13"/>
      <c r="AA184" s="2"/>
      <c r="AB184" s="724"/>
      <c r="AC184" s="784"/>
      <c r="AD184" s="787"/>
      <c r="AE184" s="787"/>
      <c r="AF184" s="550"/>
      <c r="AG184" s="697"/>
      <c r="AH184" s="698"/>
      <c r="AI184" s="697"/>
      <c r="AJ184" s="697"/>
      <c r="AK184" s="550"/>
      <c r="AR184" s="682"/>
      <c r="AS184" s="682"/>
      <c r="AT184" s="682"/>
      <c r="AU184" s="682"/>
      <c r="AV184" s="682"/>
      <c r="AW184" s="682"/>
      <c r="AX184" s="682"/>
      <c r="AY184" s="682"/>
      <c r="AZ184" s="682"/>
      <c r="BA184" s="682"/>
      <c r="BB184" s="68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</row>
    <row r="185" spans="1:116" s="679" customFormat="1" ht="16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503"/>
      <c r="S185" s="2"/>
      <c r="T185" s="2"/>
      <c r="U185" s="2"/>
      <c r="V185" s="2"/>
      <c r="W185" s="2"/>
      <c r="X185" s="2"/>
      <c r="Y185" s="2"/>
      <c r="Z185" s="13"/>
      <c r="AA185" s="2"/>
      <c r="AB185" s="724"/>
      <c r="AC185" s="784"/>
      <c r="AD185" s="787"/>
      <c r="AE185" s="787"/>
      <c r="AF185" s="550"/>
      <c r="AG185" s="697"/>
      <c r="AH185" s="698"/>
      <c r="AI185" s="697"/>
      <c r="AJ185" s="697"/>
      <c r="AK185" s="550"/>
      <c r="AR185" s="682"/>
      <c r="AS185" s="682"/>
      <c r="AT185" s="682"/>
      <c r="AU185" s="682"/>
      <c r="AV185" s="682"/>
      <c r="AW185" s="682"/>
      <c r="AX185" s="682"/>
      <c r="AY185" s="682"/>
      <c r="AZ185" s="682"/>
      <c r="BA185" s="682"/>
      <c r="BB185" s="68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</row>
    <row r="186" spans="1:116" s="679" customFormat="1" ht="16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503"/>
      <c r="S186" s="2"/>
      <c r="T186" s="2"/>
      <c r="U186" s="2"/>
      <c r="V186" s="2"/>
      <c r="W186" s="2"/>
      <c r="X186" s="2"/>
      <c r="Y186" s="2"/>
      <c r="Z186" s="13"/>
      <c r="AA186" s="2"/>
      <c r="AB186" s="724"/>
      <c r="AC186" s="784"/>
      <c r="AD186" s="787"/>
      <c r="AE186" s="787"/>
      <c r="AF186" s="550"/>
      <c r="AG186" s="697"/>
      <c r="AH186" s="698"/>
      <c r="AI186" s="697"/>
      <c r="AJ186" s="697"/>
      <c r="AK186" s="550"/>
      <c r="AR186" s="682"/>
      <c r="AS186" s="682"/>
      <c r="AT186" s="682"/>
      <c r="AU186" s="682"/>
      <c r="AV186" s="682"/>
      <c r="AW186" s="682"/>
      <c r="AX186" s="682"/>
      <c r="AY186" s="682"/>
      <c r="AZ186" s="682"/>
      <c r="BA186" s="682"/>
      <c r="BB186" s="68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</row>
    <row r="187" spans="1:116" s="679" customFormat="1" ht="16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503"/>
      <c r="S187" s="2"/>
      <c r="T187" s="2"/>
      <c r="U187" s="2"/>
      <c r="V187" s="2"/>
      <c r="W187" s="2"/>
      <c r="X187" s="2"/>
      <c r="Y187" s="2"/>
      <c r="Z187" s="13"/>
      <c r="AA187" s="2"/>
      <c r="AB187" s="724"/>
      <c r="AC187" s="784"/>
      <c r="AD187" s="787"/>
      <c r="AE187" s="787"/>
      <c r="AF187" s="550"/>
      <c r="AG187" s="697"/>
      <c r="AH187" s="698"/>
      <c r="AI187" s="697"/>
      <c r="AJ187" s="697"/>
      <c r="AK187" s="550"/>
      <c r="AR187" s="682"/>
      <c r="AS187" s="682"/>
      <c r="AT187" s="682"/>
      <c r="AU187" s="682"/>
      <c r="AV187" s="682"/>
      <c r="AW187" s="682"/>
      <c r="AX187" s="682"/>
      <c r="AY187" s="682"/>
      <c r="AZ187" s="682"/>
      <c r="BA187" s="682"/>
      <c r="BB187" s="68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</row>
    <row r="188" spans="1:116" s="679" customFormat="1" ht="16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503"/>
      <c r="S188" s="2"/>
      <c r="T188" s="2"/>
      <c r="U188" s="2"/>
      <c r="V188" s="2"/>
      <c r="W188" s="2"/>
      <c r="X188" s="2"/>
      <c r="Y188" s="2"/>
      <c r="Z188" s="13"/>
      <c r="AA188" s="2"/>
      <c r="AB188" s="724"/>
      <c r="AC188" s="784"/>
      <c r="AD188" s="787"/>
      <c r="AE188" s="787"/>
      <c r="AF188" s="550"/>
      <c r="AG188" s="697"/>
      <c r="AH188" s="698"/>
      <c r="AI188" s="697"/>
      <c r="AJ188" s="697"/>
      <c r="AK188" s="550"/>
      <c r="AR188" s="682"/>
      <c r="AS188" s="682"/>
      <c r="AT188" s="682"/>
      <c r="AU188" s="682"/>
      <c r="AV188" s="682"/>
      <c r="AW188" s="682"/>
      <c r="AX188" s="682"/>
      <c r="AY188" s="682"/>
      <c r="AZ188" s="682"/>
      <c r="BA188" s="682"/>
      <c r="BB188" s="68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</row>
    <row r="189" spans="1:116" s="679" customFormat="1" ht="16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503"/>
      <c r="S189" s="2"/>
      <c r="T189" s="2"/>
      <c r="U189" s="2"/>
      <c r="V189" s="2"/>
      <c r="W189" s="2"/>
      <c r="X189" s="2"/>
      <c r="Y189" s="2"/>
      <c r="Z189" s="13"/>
      <c r="AA189" s="2"/>
      <c r="AB189" s="724"/>
      <c r="AC189" s="784"/>
      <c r="AD189" s="787"/>
      <c r="AE189" s="787"/>
      <c r="AF189" s="550"/>
      <c r="AG189" s="697"/>
      <c r="AH189" s="698"/>
      <c r="AI189" s="697"/>
      <c r="AJ189" s="697"/>
      <c r="AK189" s="550"/>
      <c r="AR189" s="682"/>
      <c r="AS189" s="682"/>
      <c r="AT189" s="682"/>
      <c r="AU189" s="682"/>
      <c r="AV189" s="682"/>
      <c r="AW189" s="682"/>
      <c r="AX189" s="682"/>
      <c r="AY189" s="682"/>
      <c r="AZ189" s="682"/>
      <c r="BA189" s="682"/>
      <c r="BB189" s="68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</row>
    <row r="190" spans="1:116" s="679" customFormat="1" ht="16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503"/>
      <c r="S190" s="2"/>
      <c r="T190" s="2"/>
      <c r="U190" s="2"/>
      <c r="V190" s="2"/>
      <c r="W190" s="2"/>
      <c r="X190" s="2"/>
      <c r="Y190" s="2"/>
      <c r="Z190" s="13"/>
      <c r="AA190" s="2"/>
      <c r="AB190" s="724"/>
      <c r="AC190" s="784"/>
      <c r="AD190" s="787"/>
      <c r="AE190" s="787"/>
      <c r="AF190" s="550"/>
      <c r="AG190" s="697"/>
      <c r="AH190" s="698"/>
      <c r="AI190" s="697"/>
      <c r="AJ190" s="697"/>
      <c r="AK190" s="550"/>
      <c r="AR190" s="682"/>
      <c r="AS190" s="682"/>
      <c r="AT190" s="682"/>
      <c r="AU190" s="682"/>
      <c r="AV190" s="682"/>
      <c r="AW190" s="682"/>
      <c r="AX190" s="682"/>
      <c r="AY190" s="682"/>
      <c r="AZ190" s="682"/>
      <c r="BA190" s="682"/>
      <c r="BB190" s="68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</row>
    <row r="191" spans="1:116" s="679" customFormat="1" ht="16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503"/>
      <c r="S191" s="2"/>
      <c r="T191" s="2"/>
      <c r="U191" s="2"/>
      <c r="V191" s="2"/>
      <c r="W191" s="2"/>
      <c r="X191" s="2"/>
      <c r="Y191" s="2"/>
      <c r="Z191" s="13"/>
      <c r="AA191" s="2"/>
      <c r="AB191" s="724"/>
      <c r="AC191" s="784"/>
      <c r="AD191" s="787"/>
      <c r="AE191" s="787"/>
      <c r="AF191" s="550"/>
      <c r="AG191" s="697"/>
      <c r="AH191" s="698"/>
      <c r="AI191" s="697"/>
      <c r="AJ191" s="697"/>
      <c r="AK191" s="550"/>
      <c r="AR191" s="682"/>
      <c r="AS191" s="682"/>
      <c r="AT191" s="682"/>
      <c r="AU191" s="682"/>
      <c r="AV191" s="682"/>
      <c r="AW191" s="682"/>
      <c r="AX191" s="682"/>
      <c r="AY191" s="682"/>
      <c r="AZ191" s="682"/>
      <c r="BA191" s="682"/>
      <c r="BB191" s="68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</row>
    <row r="192" spans="1:116" s="679" customFormat="1" ht="16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503"/>
      <c r="S192" s="2"/>
      <c r="T192" s="2"/>
      <c r="U192" s="2"/>
      <c r="V192" s="2"/>
      <c r="W192" s="2"/>
      <c r="X192" s="2"/>
      <c r="Y192" s="2"/>
      <c r="Z192" s="13"/>
      <c r="AA192" s="2"/>
      <c r="AB192" s="724"/>
      <c r="AC192" s="784"/>
      <c r="AD192" s="787"/>
      <c r="AE192" s="787"/>
      <c r="AF192" s="550"/>
      <c r="AG192" s="697"/>
      <c r="AH192" s="698"/>
      <c r="AI192" s="697"/>
      <c r="AJ192" s="697"/>
      <c r="AK192" s="550"/>
      <c r="AR192" s="682"/>
      <c r="AS192" s="682"/>
      <c r="AT192" s="682"/>
      <c r="AU192" s="682"/>
      <c r="AV192" s="682"/>
      <c r="AW192" s="682"/>
      <c r="AX192" s="682"/>
      <c r="AY192" s="682"/>
      <c r="AZ192" s="682"/>
      <c r="BA192" s="682"/>
      <c r="BB192" s="68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</row>
    <row r="193" spans="1:116" s="679" customFormat="1" ht="16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503"/>
      <c r="S193" s="2"/>
      <c r="T193" s="2"/>
      <c r="U193" s="2"/>
      <c r="V193" s="2"/>
      <c r="W193" s="2"/>
      <c r="X193" s="2"/>
      <c r="Y193" s="2"/>
      <c r="Z193" s="13"/>
      <c r="AA193" s="2"/>
      <c r="AB193" s="724"/>
      <c r="AC193" s="784"/>
      <c r="AD193" s="787"/>
      <c r="AE193" s="787"/>
      <c r="AF193" s="550"/>
      <c r="AG193" s="697"/>
      <c r="AH193" s="698"/>
      <c r="AI193" s="697"/>
      <c r="AJ193" s="697"/>
      <c r="AK193" s="550"/>
      <c r="AR193" s="682"/>
      <c r="AS193" s="682"/>
      <c r="AT193" s="682"/>
      <c r="AU193" s="682"/>
      <c r="AV193" s="682"/>
      <c r="AW193" s="682"/>
      <c r="AX193" s="682"/>
      <c r="AY193" s="682"/>
      <c r="AZ193" s="682"/>
      <c r="BA193" s="682"/>
      <c r="BB193" s="68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</row>
    <row r="194" spans="1:116" s="679" customFormat="1" ht="16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503"/>
      <c r="S194" s="2"/>
      <c r="T194" s="2"/>
      <c r="U194" s="2"/>
      <c r="V194" s="2"/>
      <c r="W194" s="2"/>
      <c r="X194" s="2"/>
      <c r="Y194" s="2"/>
      <c r="Z194" s="13"/>
      <c r="AA194" s="2"/>
      <c r="AB194" s="724"/>
      <c r="AC194" s="784"/>
      <c r="AD194" s="787"/>
      <c r="AE194" s="787"/>
      <c r="AF194" s="550"/>
      <c r="AG194" s="697"/>
      <c r="AH194" s="698"/>
      <c r="AI194" s="697"/>
      <c r="AJ194" s="697"/>
      <c r="AK194" s="550"/>
      <c r="AR194" s="682"/>
      <c r="AS194" s="682"/>
      <c r="AT194" s="682"/>
      <c r="AU194" s="682"/>
      <c r="AV194" s="682"/>
      <c r="AW194" s="682"/>
      <c r="AX194" s="682"/>
      <c r="AY194" s="682"/>
      <c r="AZ194" s="682"/>
      <c r="BA194" s="682"/>
      <c r="BB194" s="68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</row>
    <row r="195" spans="1:116" s="679" customFormat="1" ht="16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503"/>
      <c r="S195" s="2"/>
      <c r="T195" s="2"/>
      <c r="U195" s="2"/>
      <c r="V195" s="2"/>
      <c r="W195" s="2"/>
      <c r="X195" s="2"/>
      <c r="Y195" s="2"/>
      <c r="Z195" s="13"/>
      <c r="AA195" s="2"/>
      <c r="AB195" s="724"/>
      <c r="AC195" s="784"/>
      <c r="AD195" s="787"/>
      <c r="AE195" s="787"/>
      <c r="AF195" s="550"/>
      <c r="AG195" s="697"/>
      <c r="AH195" s="698"/>
      <c r="AI195" s="697"/>
      <c r="AJ195" s="697"/>
      <c r="AK195" s="550"/>
      <c r="AR195" s="682"/>
      <c r="AS195" s="682"/>
      <c r="AT195" s="682"/>
      <c r="AU195" s="682"/>
      <c r="AV195" s="682"/>
      <c r="AW195" s="682"/>
      <c r="AX195" s="682"/>
      <c r="AY195" s="682"/>
      <c r="AZ195" s="682"/>
      <c r="BA195" s="682"/>
      <c r="BB195" s="68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</row>
    <row r="196" spans="1:116" s="679" customFormat="1" ht="16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503"/>
      <c r="S196" s="2"/>
      <c r="T196" s="2"/>
      <c r="U196" s="2"/>
      <c r="V196" s="2"/>
      <c r="W196" s="2"/>
      <c r="X196" s="2"/>
      <c r="Y196" s="2"/>
      <c r="Z196" s="13"/>
      <c r="AA196" s="2"/>
      <c r="AB196" s="724"/>
      <c r="AC196" s="784"/>
      <c r="AD196" s="787"/>
      <c r="AE196" s="787"/>
      <c r="AF196" s="550"/>
      <c r="AG196" s="697"/>
      <c r="AH196" s="698"/>
      <c r="AI196" s="697"/>
      <c r="AJ196" s="697"/>
      <c r="AK196" s="550"/>
      <c r="AR196" s="682"/>
      <c r="AS196" s="682"/>
      <c r="AT196" s="682"/>
      <c r="AU196" s="682"/>
      <c r="AV196" s="682"/>
      <c r="AW196" s="682"/>
      <c r="AX196" s="682"/>
      <c r="AY196" s="682"/>
      <c r="AZ196" s="682"/>
      <c r="BA196" s="682"/>
      <c r="BB196" s="68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</row>
    <row r="197" spans="1:116" s="679" customFormat="1" ht="16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503"/>
      <c r="S197" s="2"/>
      <c r="T197" s="2"/>
      <c r="U197" s="2"/>
      <c r="V197" s="2"/>
      <c r="W197" s="2"/>
      <c r="X197" s="2"/>
      <c r="Y197" s="2"/>
      <c r="Z197" s="13"/>
      <c r="AA197" s="2"/>
      <c r="AB197" s="724"/>
      <c r="AC197" s="784"/>
      <c r="AD197" s="787"/>
      <c r="AE197" s="787"/>
      <c r="AF197" s="550"/>
      <c r="AG197" s="697"/>
      <c r="AH197" s="698"/>
      <c r="AI197" s="697"/>
      <c r="AJ197" s="697"/>
      <c r="AK197" s="550"/>
      <c r="AR197" s="682"/>
      <c r="AS197" s="682"/>
      <c r="AT197" s="682"/>
      <c r="AU197" s="682"/>
      <c r="AV197" s="682"/>
      <c r="AW197" s="682"/>
      <c r="AX197" s="682"/>
      <c r="AY197" s="682"/>
      <c r="AZ197" s="682"/>
      <c r="BA197" s="682"/>
      <c r="BB197" s="68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</row>
    <row r="198" spans="1:116" s="679" customFormat="1" ht="16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503"/>
      <c r="S198" s="2"/>
      <c r="T198" s="2"/>
      <c r="U198" s="2"/>
      <c r="V198" s="2"/>
      <c r="W198" s="2"/>
      <c r="X198" s="2"/>
      <c r="Y198" s="2"/>
      <c r="Z198" s="13"/>
      <c r="AA198" s="2"/>
      <c r="AB198" s="724"/>
      <c r="AC198" s="784"/>
      <c r="AD198" s="787"/>
      <c r="AE198" s="787"/>
      <c r="AF198" s="550"/>
      <c r="AG198" s="697"/>
      <c r="AH198" s="698"/>
      <c r="AI198" s="697"/>
      <c r="AJ198" s="697"/>
      <c r="AK198" s="550"/>
      <c r="AR198" s="682"/>
      <c r="AS198" s="682"/>
      <c r="AT198" s="682"/>
      <c r="AU198" s="682"/>
      <c r="AV198" s="682"/>
      <c r="AW198" s="682"/>
      <c r="AX198" s="682"/>
      <c r="AY198" s="682"/>
      <c r="AZ198" s="682"/>
      <c r="BA198" s="682"/>
      <c r="BB198" s="68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</row>
    <row r="199" spans="1:116" s="679" customFormat="1" ht="16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503"/>
      <c r="S199" s="2"/>
      <c r="T199" s="2"/>
      <c r="U199" s="2"/>
      <c r="V199" s="2"/>
      <c r="W199" s="2"/>
      <c r="X199" s="2"/>
      <c r="Y199" s="2"/>
      <c r="Z199" s="13"/>
      <c r="AA199" s="2"/>
      <c r="AB199" s="724"/>
      <c r="AC199" s="784"/>
      <c r="AD199" s="787"/>
      <c r="AE199" s="787"/>
      <c r="AF199" s="550"/>
      <c r="AG199" s="697"/>
      <c r="AH199" s="698"/>
      <c r="AI199" s="697"/>
      <c r="AJ199" s="697"/>
      <c r="AK199" s="550"/>
      <c r="AR199" s="682"/>
      <c r="AS199" s="682"/>
      <c r="AT199" s="682"/>
      <c r="AU199" s="682"/>
      <c r="AV199" s="682"/>
      <c r="AW199" s="682"/>
      <c r="AX199" s="682"/>
      <c r="AY199" s="682"/>
      <c r="AZ199" s="682"/>
      <c r="BA199" s="682"/>
      <c r="BB199" s="68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</row>
    <row r="200" spans="1:116" s="679" customFormat="1" ht="16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503"/>
      <c r="S200" s="2"/>
      <c r="T200" s="2"/>
      <c r="U200" s="2"/>
      <c r="V200" s="2"/>
      <c r="W200" s="2"/>
      <c r="X200" s="2"/>
      <c r="Y200" s="2"/>
      <c r="Z200" s="13"/>
      <c r="AA200" s="2"/>
      <c r="AB200" s="724"/>
      <c r="AC200" s="784"/>
      <c r="AD200" s="787"/>
      <c r="AE200" s="787"/>
      <c r="AF200" s="550"/>
      <c r="AG200" s="697"/>
      <c r="AH200" s="698"/>
      <c r="AI200" s="697"/>
      <c r="AJ200" s="697"/>
      <c r="AK200" s="550"/>
      <c r="AR200" s="682"/>
      <c r="AS200" s="682"/>
      <c r="AT200" s="682"/>
      <c r="AU200" s="682"/>
      <c r="AV200" s="682"/>
      <c r="AW200" s="682"/>
      <c r="AX200" s="682"/>
      <c r="AY200" s="682"/>
      <c r="AZ200" s="682"/>
      <c r="BA200" s="682"/>
      <c r="BB200" s="68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</row>
    <row r="201" spans="1:116" s="679" customFormat="1" ht="16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503"/>
      <c r="S201" s="2"/>
      <c r="T201" s="2"/>
      <c r="U201" s="2"/>
      <c r="V201" s="2"/>
      <c r="W201" s="2"/>
      <c r="X201" s="2"/>
      <c r="Y201" s="2"/>
      <c r="Z201" s="13"/>
      <c r="AA201" s="2"/>
      <c r="AB201" s="724"/>
      <c r="AC201" s="784"/>
      <c r="AD201" s="787"/>
      <c r="AE201" s="787"/>
      <c r="AF201" s="550"/>
      <c r="AG201" s="697"/>
      <c r="AH201" s="698"/>
      <c r="AI201" s="697"/>
      <c r="AJ201" s="697"/>
      <c r="AK201" s="550"/>
      <c r="AR201" s="682"/>
      <c r="AS201" s="682"/>
      <c r="AT201" s="682"/>
      <c r="AU201" s="682"/>
      <c r="AV201" s="682"/>
      <c r="AW201" s="682"/>
      <c r="AX201" s="682"/>
      <c r="AY201" s="682"/>
      <c r="AZ201" s="682"/>
      <c r="BA201" s="682"/>
      <c r="BB201" s="68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</row>
    <row r="202" spans="1:116" s="679" customFormat="1" ht="16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503"/>
      <c r="S202" s="2"/>
      <c r="T202" s="2"/>
      <c r="U202" s="2"/>
      <c r="V202" s="2"/>
      <c r="W202" s="2"/>
      <c r="X202" s="2"/>
      <c r="Y202" s="2"/>
      <c r="Z202" s="13"/>
      <c r="AA202" s="2"/>
      <c r="AB202" s="724"/>
      <c r="AC202" s="784"/>
      <c r="AD202" s="787"/>
      <c r="AE202" s="787"/>
      <c r="AF202" s="550"/>
      <c r="AG202" s="697"/>
      <c r="AH202" s="698"/>
      <c r="AI202" s="697"/>
      <c r="AJ202" s="697"/>
      <c r="AK202" s="550"/>
      <c r="AR202" s="682"/>
      <c r="AS202" s="682"/>
      <c r="AT202" s="682"/>
      <c r="AU202" s="682"/>
      <c r="AV202" s="682"/>
      <c r="AW202" s="682"/>
      <c r="AX202" s="682"/>
      <c r="AY202" s="682"/>
      <c r="AZ202" s="682"/>
      <c r="BA202" s="682"/>
      <c r="BB202" s="68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</row>
    <row r="203" spans="1:116" s="679" customFormat="1" ht="16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503"/>
      <c r="S203" s="2"/>
      <c r="T203" s="2"/>
      <c r="U203" s="2"/>
      <c r="V203" s="2"/>
      <c r="W203" s="2"/>
      <c r="X203" s="2"/>
      <c r="Y203" s="2"/>
      <c r="Z203" s="13"/>
      <c r="AA203" s="2"/>
      <c r="AB203" s="724"/>
      <c r="AC203" s="784"/>
      <c r="AD203" s="787"/>
      <c r="AE203" s="787"/>
      <c r="AF203" s="550"/>
      <c r="AG203" s="697"/>
      <c r="AH203" s="698"/>
      <c r="AI203" s="697"/>
      <c r="AJ203" s="697"/>
      <c r="AK203" s="550"/>
      <c r="AR203" s="682"/>
      <c r="AS203" s="682"/>
      <c r="AT203" s="682"/>
      <c r="AU203" s="682"/>
      <c r="AV203" s="682"/>
      <c r="AW203" s="682"/>
      <c r="AX203" s="682"/>
      <c r="AY203" s="682"/>
      <c r="AZ203" s="682"/>
      <c r="BA203" s="682"/>
      <c r="BB203" s="68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</row>
    <row r="204" spans="1:116" s="679" customFormat="1" ht="16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503"/>
      <c r="S204" s="2"/>
      <c r="T204" s="2"/>
      <c r="U204" s="2"/>
      <c r="V204" s="2"/>
      <c r="W204" s="2"/>
      <c r="X204" s="2"/>
      <c r="Y204" s="2"/>
      <c r="Z204" s="13"/>
      <c r="AA204" s="2"/>
      <c r="AB204" s="724"/>
      <c r="AC204" s="784"/>
      <c r="AD204" s="787"/>
      <c r="AE204" s="787"/>
      <c r="AF204" s="550"/>
      <c r="AG204" s="697"/>
      <c r="AH204" s="698"/>
      <c r="AI204" s="697"/>
      <c r="AJ204" s="697"/>
      <c r="AK204" s="550"/>
      <c r="AR204" s="682"/>
      <c r="AS204" s="682"/>
      <c r="AT204" s="682"/>
      <c r="AU204" s="682"/>
      <c r="AV204" s="682"/>
      <c r="AW204" s="682"/>
      <c r="AX204" s="682"/>
      <c r="AY204" s="682"/>
      <c r="AZ204" s="682"/>
      <c r="BA204" s="682"/>
      <c r="BB204" s="68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</row>
    <row r="205" spans="1:116" s="679" customFormat="1" ht="16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503"/>
      <c r="S205" s="2"/>
      <c r="T205" s="2"/>
      <c r="U205" s="2"/>
      <c r="V205" s="2"/>
      <c r="W205" s="2"/>
      <c r="X205" s="2"/>
      <c r="Y205" s="2"/>
      <c r="Z205" s="13"/>
      <c r="AA205" s="2"/>
      <c r="AB205" s="724"/>
      <c r="AC205" s="784"/>
      <c r="AD205" s="787"/>
      <c r="AE205" s="787"/>
      <c r="AF205" s="550"/>
      <c r="AG205" s="697"/>
      <c r="AH205" s="698"/>
      <c r="AI205" s="697"/>
      <c r="AJ205" s="697"/>
      <c r="AK205" s="550"/>
      <c r="AR205" s="682"/>
      <c r="AS205" s="682"/>
      <c r="AT205" s="682"/>
      <c r="AU205" s="682"/>
      <c r="AV205" s="682"/>
      <c r="AW205" s="682"/>
      <c r="AX205" s="682"/>
      <c r="AY205" s="682"/>
      <c r="AZ205" s="682"/>
      <c r="BA205" s="682"/>
      <c r="BB205" s="68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</row>
    <row r="206" spans="1:116" s="679" customFormat="1" ht="16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503"/>
      <c r="S206" s="2"/>
      <c r="T206" s="2"/>
      <c r="U206" s="2"/>
      <c r="V206" s="2"/>
      <c r="W206" s="2"/>
      <c r="X206" s="2"/>
      <c r="Y206" s="2"/>
      <c r="Z206" s="13"/>
      <c r="AA206" s="2"/>
      <c r="AB206" s="724"/>
      <c r="AC206" s="784"/>
      <c r="AD206" s="787"/>
      <c r="AE206" s="787"/>
      <c r="AF206" s="550"/>
      <c r="AG206" s="697"/>
      <c r="AH206" s="698"/>
      <c r="AI206" s="697"/>
      <c r="AJ206" s="697"/>
      <c r="AK206" s="550"/>
      <c r="AR206" s="682"/>
      <c r="AS206" s="682"/>
      <c r="AT206" s="682"/>
      <c r="AU206" s="682"/>
      <c r="AV206" s="682"/>
      <c r="AW206" s="682"/>
      <c r="AX206" s="682"/>
      <c r="AY206" s="682"/>
      <c r="AZ206" s="682"/>
      <c r="BA206" s="682"/>
      <c r="BB206" s="68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</row>
    <row r="207" spans="1:116" s="679" customFormat="1" ht="16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503"/>
      <c r="S207" s="2"/>
      <c r="T207" s="2"/>
      <c r="U207" s="2"/>
      <c r="V207" s="2"/>
      <c r="W207" s="2"/>
      <c r="X207" s="2"/>
      <c r="Y207" s="2"/>
      <c r="Z207" s="13"/>
      <c r="AA207" s="2"/>
      <c r="AB207" s="724"/>
      <c r="AC207" s="784"/>
      <c r="AD207" s="787"/>
      <c r="AE207" s="787"/>
      <c r="AF207" s="550"/>
      <c r="AG207" s="697"/>
      <c r="AH207" s="698"/>
      <c r="AI207" s="697"/>
      <c r="AJ207" s="697"/>
      <c r="AK207" s="550"/>
      <c r="AR207" s="682"/>
      <c r="AS207" s="682"/>
      <c r="AT207" s="682"/>
      <c r="AU207" s="682"/>
      <c r="AV207" s="682"/>
      <c r="AW207" s="682"/>
      <c r="AX207" s="682"/>
      <c r="AY207" s="682"/>
      <c r="AZ207" s="682"/>
      <c r="BA207" s="682"/>
      <c r="BB207" s="68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</row>
    <row r="208" spans="1:116" s="679" customFormat="1" ht="16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503"/>
      <c r="S208" s="2"/>
      <c r="T208" s="2"/>
      <c r="U208" s="2"/>
      <c r="V208" s="2"/>
      <c r="W208" s="2"/>
      <c r="X208" s="2"/>
      <c r="Y208" s="2"/>
      <c r="Z208" s="13"/>
      <c r="AA208" s="2"/>
      <c r="AB208" s="724"/>
      <c r="AC208" s="784"/>
      <c r="AD208" s="787"/>
      <c r="AE208" s="787"/>
      <c r="AF208" s="550"/>
      <c r="AG208" s="697"/>
      <c r="AH208" s="698"/>
      <c r="AI208" s="697"/>
      <c r="AJ208" s="697"/>
      <c r="AK208" s="550"/>
      <c r="AR208" s="682"/>
      <c r="AS208" s="682"/>
      <c r="AT208" s="682"/>
      <c r="AU208" s="682"/>
      <c r="AV208" s="682"/>
      <c r="AW208" s="682"/>
      <c r="AX208" s="682"/>
      <c r="AY208" s="682"/>
      <c r="AZ208" s="682"/>
      <c r="BA208" s="682"/>
      <c r="BB208" s="68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</row>
    <row r="209" spans="1:116" s="679" customFormat="1" ht="16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503"/>
      <c r="S209" s="2"/>
      <c r="T209" s="2"/>
      <c r="U209" s="2"/>
      <c r="V209" s="2"/>
      <c r="W209" s="2"/>
      <c r="X209" s="2"/>
      <c r="Y209" s="2"/>
      <c r="Z209" s="13"/>
      <c r="AA209" s="2"/>
      <c r="AB209" s="724"/>
      <c r="AC209" s="784"/>
      <c r="AD209" s="787"/>
      <c r="AE209" s="787"/>
      <c r="AF209" s="550"/>
      <c r="AG209" s="697"/>
      <c r="AH209" s="698"/>
      <c r="AI209" s="697"/>
      <c r="AJ209" s="697"/>
      <c r="AK209" s="550"/>
      <c r="AR209" s="682"/>
      <c r="AS209" s="682"/>
      <c r="AT209" s="682"/>
      <c r="AU209" s="682"/>
      <c r="AV209" s="682"/>
      <c r="AW209" s="682"/>
      <c r="AX209" s="682"/>
      <c r="AY209" s="682"/>
      <c r="AZ209" s="682"/>
      <c r="BA209" s="682"/>
      <c r="BB209" s="68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</row>
    <row r="210" spans="1:116" s="679" customFormat="1" ht="16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503"/>
      <c r="S210" s="2"/>
      <c r="T210" s="2"/>
      <c r="U210" s="2"/>
      <c r="V210" s="2"/>
      <c r="W210" s="2"/>
      <c r="X210" s="2"/>
      <c r="Y210" s="2"/>
      <c r="Z210" s="13"/>
      <c r="AA210" s="2"/>
      <c r="AB210" s="724"/>
      <c r="AC210" s="784"/>
      <c r="AD210" s="787"/>
      <c r="AE210" s="787"/>
      <c r="AF210" s="550"/>
      <c r="AG210" s="697"/>
      <c r="AH210" s="698"/>
      <c r="AI210" s="697"/>
      <c r="AJ210" s="697"/>
      <c r="AK210" s="550"/>
      <c r="AR210" s="682"/>
      <c r="AS210" s="682"/>
      <c r="AT210" s="682"/>
      <c r="AU210" s="682"/>
      <c r="AV210" s="682"/>
      <c r="AW210" s="682"/>
      <c r="AX210" s="682"/>
      <c r="AY210" s="682"/>
      <c r="AZ210" s="682"/>
      <c r="BA210" s="682"/>
      <c r="BB210" s="68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</row>
    <row r="211" spans="1:116" s="679" customFormat="1" ht="16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503"/>
      <c r="S211" s="2"/>
      <c r="T211" s="2"/>
      <c r="U211" s="2"/>
      <c r="V211" s="2"/>
      <c r="W211" s="2"/>
      <c r="X211" s="2"/>
      <c r="Y211" s="2"/>
      <c r="Z211" s="13"/>
      <c r="AA211" s="2"/>
      <c r="AB211" s="724"/>
      <c r="AC211" s="784"/>
      <c r="AD211" s="787"/>
      <c r="AE211" s="787"/>
      <c r="AF211" s="550"/>
      <c r="AG211" s="697"/>
      <c r="AH211" s="698"/>
      <c r="AI211" s="697"/>
      <c r="AJ211" s="697"/>
      <c r="AK211" s="550"/>
      <c r="AR211" s="682"/>
      <c r="AS211" s="682"/>
      <c r="AT211" s="682"/>
      <c r="AU211" s="682"/>
      <c r="AV211" s="682"/>
      <c r="AW211" s="682"/>
      <c r="AX211" s="682"/>
      <c r="AY211" s="682"/>
      <c r="AZ211" s="682"/>
      <c r="BA211" s="682"/>
      <c r="BB211" s="68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</row>
    <row r="212" spans="1:116" s="679" customFormat="1" ht="16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503"/>
      <c r="S212" s="2"/>
      <c r="T212" s="2"/>
      <c r="U212" s="2"/>
      <c r="V212" s="2"/>
      <c r="W212" s="2"/>
      <c r="X212" s="2"/>
      <c r="Y212" s="2"/>
      <c r="Z212" s="13"/>
      <c r="AA212" s="2"/>
      <c r="AB212" s="724"/>
      <c r="AC212" s="784"/>
      <c r="AD212" s="787"/>
      <c r="AE212" s="787"/>
      <c r="AF212" s="550"/>
      <c r="AG212" s="697"/>
      <c r="AH212" s="698"/>
      <c r="AI212" s="697"/>
      <c r="AJ212" s="697"/>
      <c r="AK212" s="550"/>
      <c r="AR212" s="682"/>
      <c r="AS212" s="682"/>
      <c r="AT212" s="682"/>
      <c r="AU212" s="682"/>
      <c r="AV212" s="682"/>
      <c r="AW212" s="682"/>
      <c r="AX212" s="682"/>
      <c r="AY212" s="682"/>
      <c r="AZ212" s="682"/>
      <c r="BA212" s="682"/>
      <c r="BB212" s="68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</row>
    <row r="213" spans="1:116" s="679" customFormat="1" ht="16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503"/>
      <c r="S213" s="2"/>
      <c r="T213" s="2"/>
      <c r="U213" s="2"/>
      <c r="V213" s="2"/>
      <c r="W213" s="2"/>
      <c r="X213" s="2"/>
      <c r="Y213" s="2"/>
      <c r="Z213" s="13"/>
      <c r="AA213" s="2"/>
      <c r="AB213" s="724"/>
      <c r="AC213" s="784"/>
      <c r="AD213" s="787"/>
      <c r="AE213" s="787"/>
      <c r="AF213" s="550"/>
      <c r="AG213" s="697"/>
      <c r="AH213" s="698"/>
      <c r="AI213" s="697"/>
      <c r="AJ213" s="697"/>
      <c r="AK213" s="550"/>
      <c r="AR213" s="682"/>
      <c r="AS213" s="682"/>
      <c r="AT213" s="682"/>
      <c r="AU213" s="682"/>
      <c r="AV213" s="682"/>
      <c r="AW213" s="682"/>
      <c r="AX213" s="682"/>
      <c r="AY213" s="682"/>
      <c r="AZ213" s="682"/>
      <c r="BA213" s="682"/>
      <c r="BB213" s="68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</row>
    <row r="214" spans="1:116" s="679" customFormat="1" ht="16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503"/>
      <c r="S214" s="2"/>
      <c r="T214" s="2"/>
      <c r="U214" s="2"/>
      <c r="V214" s="2"/>
      <c r="W214" s="2"/>
      <c r="X214" s="2"/>
      <c r="Y214" s="2"/>
      <c r="Z214" s="13"/>
      <c r="AA214" s="2"/>
      <c r="AB214" s="724"/>
      <c r="AC214" s="784"/>
      <c r="AD214" s="787"/>
      <c r="AE214" s="787"/>
      <c r="AF214" s="550"/>
      <c r="AG214" s="697"/>
      <c r="AH214" s="698"/>
      <c r="AI214" s="697"/>
      <c r="AJ214" s="697"/>
      <c r="AK214" s="550"/>
      <c r="AR214" s="682"/>
      <c r="AS214" s="682"/>
      <c r="AT214" s="682"/>
      <c r="AU214" s="682"/>
      <c r="AV214" s="682"/>
      <c r="AW214" s="682"/>
      <c r="AX214" s="682"/>
      <c r="AY214" s="682"/>
      <c r="AZ214" s="682"/>
      <c r="BA214" s="682"/>
      <c r="BB214" s="68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</row>
    <row r="215" spans="1:116" s="679" customFormat="1" ht="16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503"/>
      <c r="S215" s="2"/>
      <c r="T215" s="2"/>
      <c r="U215" s="2"/>
      <c r="V215" s="2"/>
      <c r="W215" s="2"/>
      <c r="X215" s="2"/>
      <c r="Y215" s="2"/>
      <c r="Z215" s="13"/>
      <c r="AA215" s="2"/>
      <c r="AB215" s="724"/>
      <c r="AC215" s="784"/>
      <c r="AD215" s="787"/>
      <c r="AE215" s="787"/>
      <c r="AF215" s="550"/>
      <c r="AG215" s="697"/>
      <c r="AH215" s="698"/>
      <c r="AI215" s="697"/>
      <c r="AJ215" s="697"/>
      <c r="AK215" s="550"/>
      <c r="AR215" s="682"/>
      <c r="AS215" s="682"/>
      <c r="AT215" s="682"/>
      <c r="AU215" s="682"/>
      <c r="AV215" s="682"/>
      <c r="AW215" s="682"/>
      <c r="AX215" s="682"/>
      <c r="AY215" s="682"/>
      <c r="AZ215" s="682"/>
      <c r="BA215" s="682"/>
      <c r="BB215" s="68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</row>
    <row r="216" spans="1:116" s="679" customFormat="1" ht="16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503"/>
      <c r="S216" s="2"/>
      <c r="T216" s="2"/>
      <c r="U216" s="2"/>
      <c r="V216" s="2"/>
      <c r="W216" s="2"/>
      <c r="X216" s="2"/>
      <c r="Y216" s="2"/>
      <c r="Z216" s="13"/>
      <c r="AA216" s="2"/>
      <c r="AB216" s="724"/>
      <c r="AC216" s="784"/>
      <c r="AD216" s="787"/>
      <c r="AE216" s="787"/>
      <c r="AF216" s="550"/>
      <c r="AG216" s="697"/>
      <c r="AH216" s="698"/>
      <c r="AI216" s="697"/>
      <c r="AJ216" s="697"/>
      <c r="AK216" s="550"/>
      <c r="AR216" s="682"/>
      <c r="AS216" s="682"/>
      <c r="AT216" s="682"/>
      <c r="AU216" s="682"/>
      <c r="AV216" s="682"/>
      <c r="AW216" s="682"/>
      <c r="AX216" s="682"/>
      <c r="AY216" s="682"/>
      <c r="AZ216" s="682"/>
      <c r="BA216" s="682"/>
      <c r="BB216" s="68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</row>
    <row r="217" spans="1:116" s="679" customFormat="1" ht="15.7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13"/>
      <c r="AA217" s="2"/>
      <c r="AB217" s="724"/>
      <c r="AC217" s="784"/>
      <c r="AD217" s="787"/>
      <c r="AE217" s="787"/>
      <c r="AF217" s="550"/>
      <c r="AG217" s="697"/>
      <c r="AH217" s="698"/>
      <c r="AI217" s="697"/>
      <c r="AJ217" s="697"/>
      <c r="AK217" s="550"/>
      <c r="AR217" s="682"/>
      <c r="AS217" s="682"/>
      <c r="AT217" s="682"/>
      <c r="AU217" s="682"/>
      <c r="AV217" s="682"/>
      <c r="AW217" s="682"/>
      <c r="AX217" s="682"/>
      <c r="AY217" s="682"/>
      <c r="AZ217" s="682"/>
      <c r="BA217" s="682"/>
      <c r="BB217" s="68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</row>
    <row r="218" spans="1:116" s="679" customFormat="1" ht="15.7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13"/>
      <c r="AA218" s="2"/>
      <c r="AB218" s="724"/>
      <c r="AC218" s="784"/>
      <c r="AD218" s="787"/>
      <c r="AE218" s="787"/>
      <c r="AF218" s="550"/>
      <c r="AG218" s="697"/>
      <c r="AH218" s="698"/>
      <c r="AI218" s="697"/>
      <c r="AJ218" s="697"/>
      <c r="AK218" s="550"/>
      <c r="AR218" s="682"/>
      <c r="AS218" s="682"/>
      <c r="AT218" s="682"/>
      <c r="AU218" s="682"/>
      <c r="AV218" s="682"/>
      <c r="AW218" s="682"/>
      <c r="AX218" s="682"/>
      <c r="AY218" s="682"/>
      <c r="AZ218" s="682"/>
      <c r="BA218" s="682"/>
      <c r="BB218" s="68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</row>
    <row r="219" spans="1:116" s="679" customFormat="1" ht="15.7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13"/>
      <c r="AA219" s="2"/>
      <c r="AB219" s="724"/>
      <c r="AC219" s="784"/>
      <c r="AD219" s="787"/>
      <c r="AE219" s="787"/>
      <c r="AF219" s="550"/>
      <c r="AG219" s="697"/>
      <c r="AH219" s="698"/>
      <c r="AI219" s="697"/>
      <c r="AJ219" s="697"/>
      <c r="AK219" s="550"/>
      <c r="AR219" s="682"/>
      <c r="AS219" s="682"/>
      <c r="AT219" s="682"/>
      <c r="AU219" s="682"/>
      <c r="AV219" s="682"/>
      <c r="AW219" s="682"/>
      <c r="AX219" s="682"/>
      <c r="AY219" s="682"/>
      <c r="AZ219" s="682"/>
      <c r="BA219" s="682"/>
      <c r="BB219" s="68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</row>
    <row r="220" spans="1:116" s="679" customFormat="1" ht="15.7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13"/>
      <c r="AA220" s="2"/>
      <c r="AB220" s="724"/>
      <c r="AC220" s="784"/>
      <c r="AD220" s="787"/>
      <c r="AE220" s="787"/>
      <c r="AF220" s="550"/>
      <c r="AG220" s="697"/>
      <c r="AH220" s="698"/>
      <c r="AI220" s="697"/>
      <c r="AJ220" s="697"/>
      <c r="AK220" s="550"/>
      <c r="AR220" s="682"/>
      <c r="AS220" s="682"/>
      <c r="AT220" s="682"/>
      <c r="AU220" s="682"/>
      <c r="AV220" s="682"/>
      <c r="AW220" s="682"/>
      <c r="AX220" s="682"/>
      <c r="AY220" s="682"/>
      <c r="AZ220" s="682"/>
      <c r="BA220" s="682"/>
      <c r="BB220" s="68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</row>
    <row r="221" spans="1:116" s="679" customFormat="1" ht="15.7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13"/>
      <c r="AA221" s="2"/>
      <c r="AB221" s="724"/>
      <c r="AC221" s="784"/>
      <c r="AD221" s="787"/>
      <c r="AE221" s="787"/>
      <c r="AF221" s="550"/>
      <c r="AG221" s="697"/>
      <c r="AH221" s="698"/>
      <c r="AI221" s="697"/>
      <c r="AJ221" s="697"/>
      <c r="AK221" s="550"/>
      <c r="AR221" s="682"/>
      <c r="AS221" s="682"/>
      <c r="AT221" s="682"/>
      <c r="AU221" s="682"/>
      <c r="AV221" s="682"/>
      <c r="AW221" s="682"/>
      <c r="AX221" s="682"/>
      <c r="AY221" s="682"/>
      <c r="AZ221" s="682"/>
      <c r="BA221" s="682"/>
      <c r="BB221" s="68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</row>
    <row r="222" spans="1:116" s="679" customFormat="1" ht="15.7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13"/>
      <c r="AA222" s="2"/>
      <c r="AB222" s="724"/>
      <c r="AC222" s="784"/>
      <c r="AD222" s="787"/>
      <c r="AE222" s="787"/>
      <c r="AF222" s="550"/>
      <c r="AG222" s="697"/>
      <c r="AH222" s="698"/>
      <c r="AI222" s="697"/>
      <c r="AJ222" s="697"/>
      <c r="AK222" s="550"/>
      <c r="AR222" s="682"/>
      <c r="AS222" s="682"/>
      <c r="AT222" s="682"/>
      <c r="AU222" s="682"/>
      <c r="AV222" s="682"/>
      <c r="AW222" s="682"/>
      <c r="AX222" s="682"/>
      <c r="AY222" s="682"/>
      <c r="AZ222" s="682"/>
      <c r="BA222" s="682"/>
      <c r="BB222" s="68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</row>
    <row r="223" spans="1:116" s="679" customFormat="1" ht="15.7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13"/>
      <c r="AA223" s="2"/>
      <c r="AB223" s="724"/>
      <c r="AC223" s="784"/>
      <c r="AD223" s="787"/>
      <c r="AE223" s="787"/>
      <c r="AF223" s="550"/>
      <c r="AG223" s="697"/>
      <c r="AH223" s="698"/>
      <c r="AI223" s="697"/>
      <c r="AJ223" s="697"/>
      <c r="AK223" s="550"/>
      <c r="AR223" s="682"/>
      <c r="AS223" s="682"/>
      <c r="AT223" s="682"/>
      <c r="AU223" s="682"/>
      <c r="AV223" s="682"/>
      <c r="AW223" s="682"/>
      <c r="AX223" s="682"/>
      <c r="AY223" s="682"/>
      <c r="AZ223" s="682"/>
      <c r="BA223" s="682"/>
      <c r="BB223" s="68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</row>
    <row r="224" spans="1:116" s="679" customFormat="1" ht="15.7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13"/>
      <c r="AA224" s="2"/>
      <c r="AB224" s="724"/>
      <c r="AC224" s="784"/>
      <c r="AD224" s="787"/>
      <c r="AE224" s="787"/>
      <c r="AF224" s="550"/>
      <c r="AG224" s="697"/>
      <c r="AH224" s="698"/>
      <c r="AI224" s="697"/>
      <c r="AJ224" s="697"/>
      <c r="AK224" s="550"/>
      <c r="AR224" s="682"/>
      <c r="AS224" s="682"/>
      <c r="AT224" s="682"/>
      <c r="AU224" s="682"/>
      <c r="AV224" s="682"/>
      <c r="AW224" s="682"/>
      <c r="AX224" s="682"/>
      <c r="AY224" s="682"/>
      <c r="AZ224" s="682"/>
      <c r="BA224" s="682"/>
      <c r="BB224" s="68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</row>
    <row r="225" spans="1:116" s="679" customFormat="1" ht="15.7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13"/>
      <c r="AA225" s="2"/>
      <c r="AB225" s="724"/>
      <c r="AC225" s="784"/>
      <c r="AD225" s="787"/>
      <c r="AE225" s="787"/>
      <c r="AF225" s="550"/>
      <c r="AG225" s="697"/>
      <c r="AH225" s="698"/>
      <c r="AI225" s="697"/>
      <c r="AJ225" s="697"/>
      <c r="AK225" s="550"/>
      <c r="AR225" s="682"/>
      <c r="AS225" s="682"/>
      <c r="AT225" s="682"/>
      <c r="AU225" s="682"/>
      <c r="AV225" s="682"/>
      <c r="AW225" s="682"/>
      <c r="AX225" s="682"/>
      <c r="AY225" s="682"/>
      <c r="AZ225" s="682"/>
      <c r="BA225" s="682"/>
      <c r="BB225" s="68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</row>
    <row r="226" spans="1:116" s="679" customFormat="1" ht="15.7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13"/>
      <c r="AA226" s="2"/>
      <c r="AB226" s="724"/>
      <c r="AC226" s="784"/>
      <c r="AD226" s="787"/>
      <c r="AE226" s="787"/>
      <c r="AF226" s="550"/>
      <c r="AG226" s="697"/>
      <c r="AH226" s="698"/>
      <c r="AI226" s="697"/>
      <c r="AJ226" s="697"/>
      <c r="AK226" s="550"/>
      <c r="AR226" s="682"/>
      <c r="AS226" s="682"/>
      <c r="AT226" s="682"/>
      <c r="AU226" s="682"/>
      <c r="AV226" s="682"/>
      <c r="AW226" s="682"/>
      <c r="AX226" s="682"/>
      <c r="AY226" s="682"/>
      <c r="AZ226" s="682"/>
      <c r="BA226" s="682"/>
      <c r="BB226" s="68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</row>
    <row r="227" spans="1:116" s="679" customFormat="1" ht="15.7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13"/>
      <c r="AA227" s="2"/>
      <c r="AB227" s="724"/>
      <c r="AC227" s="784"/>
      <c r="AD227" s="787"/>
      <c r="AE227" s="787"/>
      <c r="AF227" s="550"/>
      <c r="AG227" s="697"/>
      <c r="AH227" s="698"/>
      <c r="AI227" s="697"/>
      <c r="AJ227" s="697"/>
      <c r="AK227" s="550"/>
      <c r="AR227" s="682"/>
      <c r="AS227" s="682"/>
      <c r="AT227" s="682"/>
      <c r="AU227" s="682"/>
      <c r="AV227" s="682"/>
      <c r="AW227" s="682"/>
      <c r="AX227" s="682"/>
      <c r="AY227" s="682"/>
      <c r="AZ227" s="682"/>
      <c r="BA227" s="682"/>
      <c r="BB227" s="68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</row>
    <row r="228" spans="1:116" s="679" customFormat="1" ht="15.7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13"/>
      <c r="AA228" s="2"/>
      <c r="AB228" s="724"/>
      <c r="AC228" s="784"/>
      <c r="AD228" s="787"/>
      <c r="AE228" s="787"/>
      <c r="AF228" s="550"/>
      <c r="AG228" s="697"/>
      <c r="AH228" s="698"/>
      <c r="AI228" s="697"/>
      <c r="AJ228" s="697"/>
      <c r="AK228" s="550"/>
      <c r="AR228" s="682"/>
      <c r="AS228" s="682"/>
      <c r="AT228" s="682"/>
      <c r="AU228" s="682"/>
      <c r="AV228" s="682"/>
      <c r="AW228" s="682"/>
      <c r="AX228" s="682"/>
      <c r="AY228" s="682"/>
      <c r="AZ228" s="682"/>
      <c r="BA228" s="682"/>
      <c r="BB228" s="68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</row>
    <row r="229" spans="1:116" s="679" customFormat="1" ht="15.7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13"/>
      <c r="AA229" s="2"/>
      <c r="AB229" s="724"/>
      <c r="AC229" s="784"/>
      <c r="AD229" s="787"/>
      <c r="AE229" s="787"/>
      <c r="AF229" s="550"/>
      <c r="AG229" s="697"/>
      <c r="AH229" s="698"/>
      <c r="AI229" s="697"/>
      <c r="AJ229" s="697"/>
      <c r="AK229" s="550"/>
      <c r="AR229" s="682"/>
      <c r="AS229" s="682"/>
      <c r="AT229" s="682"/>
      <c r="AU229" s="682"/>
      <c r="AV229" s="682"/>
      <c r="AW229" s="682"/>
      <c r="AX229" s="682"/>
      <c r="AY229" s="682"/>
      <c r="AZ229" s="682"/>
      <c r="BA229" s="682"/>
      <c r="BB229" s="68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</row>
    <row r="230" spans="1:116" s="679" customFormat="1" ht="15.7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13"/>
      <c r="AA230" s="2"/>
      <c r="AB230" s="724"/>
      <c r="AC230" s="784"/>
      <c r="AD230" s="787"/>
      <c r="AE230" s="787"/>
      <c r="AF230" s="550"/>
      <c r="AG230" s="697"/>
      <c r="AH230" s="698"/>
      <c r="AI230" s="697"/>
      <c r="AJ230" s="697"/>
      <c r="AK230" s="550"/>
      <c r="AR230" s="682"/>
      <c r="AS230" s="682"/>
      <c r="AT230" s="682"/>
      <c r="AU230" s="682"/>
      <c r="AV230" s="682"/>
      <c r="AW230" s="682"/>
      <c r="AX230" s="682"/>
      <c r="AY230" s="682"/>
      <c r="AZ230" s="682"/>
      <c r="BA230" s="682"/>
      <c r="BB230" s="68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</row>
    <row r="231" spans="1:116" s="679" customFormat="1" ht="15.7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13"/>
      <c r="AA231" s="2"/>
      <c r="AB231" s="724"/>
      <c r="AC231" s="784"/>
      <c r="AD231" s="787"/>
      <c r="AE231" s="787"/>
      <c r="AF231" s="550"/>
      <c r="AG231" s="697"/>
      <c r="AH231" s="698"/>
      <c r="AI231" s="697"/>
      <c r="AJ231" s="697"/>
      <c r="AK231" s="550"/>
      <c r="AR231" s="682"/>
      <c r="AS231" s="682"/>
      <c r="AT231" s="682"/>
      <c r="AU231" s="682"/>
      <c r="AV231" s="682"/>
      <c r="AW231" s="682"/>
      <c r="AX231" s="682"/>
      <c r="AY231" s="682"/>
      <c r="AZ231" s="682"/>
      <c r="BA231" s="682"/>
      <c r="BB231" s="68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</row>
    <row r="232" spans="1:116" s="679" customFormat="1" ht="15.7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13"/>
      <c r="AA232" s="2"/>
      <c r="AB232" s="724"/>
      <c r="AC232" s="784"/>
      <c r="AD232" s="787"/>
      <c r="AE232" s="787"/>
      <c r="AF232" s="550"/>
      <c r="AG232" s="697"/>
      <c r="AH232" s="698"/>
      <c r="AI232" s="697"/>
      <c r="AJ232" s="697"/>
      <c r="AK232" s="550"/>
      <c r="AR232" s="682"/>
      <c r="AS232" s="682"/>
      <c r="AT232" s="682"/>
      <c r="AU232" s="682"/>
      <c r="AV232" s="682"/>
      <c r="AW232" s="682"/>
      <c r="AX232" s="682"/>
      <c r="AY232" s="682"/>
      <c r="AZ232" s="682"/>
      <c r="BA232" s="682"/>
      <c r="BB232" s="68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</row>
    <row r="233" spans="1:116" s="679" customFormat="1" ht="15.7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13"/>
      <c r="AA233" s="2"/>
      <c r="AB233" s="724"/>
      <c r="AC233" s="784"/>
      <c r="AD233" s="787"/>
      <c r="AE233" s="787"/>
      <c r="AF233" s="550"/>
      <c r="AG233" s="697"/>
      <c r="AH233" s="698"/>
      <c r="AI233" s="697"/>
      <c r="AJ233" s="697"/>
      <c r="AK233" s="550"/>
      <c r="AR233" s="682"/>
      <c r="AS233" s="682"/>
      <c r="AT233" s="682"/>
      <c r="AU233" s="682"/>
      <c r="AV233" s="682"/>
      <c r="AW233" s="682"/>
      <c r="AX233" s="682"/>
      <c r="AY233" s="682"/>
      <c r="AZ233" s="682"/>
      <c r="BA233" s="682"/>
      <c r="BB233" s="68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</row>
    <row r="234" spans="1:116" s="679" customFormat="1" ht="15.7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13"/>
      <c r="AA234" s="2"/>
      <c r="AB234" s="724"/>
      <c r="AC234" s="784"/>
      <c r="AD234" s="787"/>
      <c r="AE234" s="787"/>
      <c r="AF234" s="550"/>
      <c r="AG234" s="697"/>
      <c r="AH234" s="698"/>
      <c r="AI234" s="697"/>
      <c r="AJ234" s="697"/>
      <c r="AK234" s="550"/>
      <c r="AR234" s="682"/>
      <c r="AS234" s="682"/>
      <c r="AT234" s="682"/>
      <c r="AU234" s="682"/>
      <c r="AV234" s="682"/>
      <c r="AW234" s="682"/>
      <c r="AX234" s="682"/>
      <c r="AY234" s="682"/>
      <c r="AZ234" s="682"/>
      <c r="BA234" s="682"/>
      <c r="BB234" s="68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</row>
    <row r="235" spans="1:116" s="679" customFormat="1" ht="15.7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13"/>
      <c r="AA235" s="2"/>
      <c r="AB235" s="724"/>
      <c r="AC235" s="784"/>
      <c r="AD235" s="787"/>
      <c r="AE235" s="787"/>
      <c r="AF235" s="550"/>
      <c r="AG235" s="697"/>
      <c r="AH235" s="698"/>
      <c r="AI235" s="697"/>
      <c r="AJ235" s="697"/>
      <c r="AK235" s="550"/>
      <c r="AR235" s="682"/>
      <c r="AS235" s="682"/>
      <c r="AT235" s="682"/>
      <c r="AU235" s="682"/>
      <c r="AV235" s="682"/>
      <c r="AW235" s="682"/>
      <c r="AX235" s="682"/>
      <c r="AY235" s="682"/>
      <c r="AZ235" s="682"/>
      <c r="BA235" s="682"/>
      <c r="BB235" s="68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</row>
    <row r="236" spans="1:116" s="679" customFormat="1" ht="15.7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13"/>
      <c r="AA236" s="2"/>
      <c r="AB236" s="724"/>
      <c r="AC236" s="784"/>
      <c r="AD236" s="787"/>
      <c r="AE236" s="787"/>
      <c r="AF236" s="550"/>
      <c r="AG236" s="697"/>
      <c r="AH236" s="698"/>
      <c r="AI236" s="697"/>
      <c r="AJ236" s="697"/>
      <c r="AK236" s="550"/>
      <c r="AR236" s="682"/>
      <c r="AS236" s="682"/>
      <c r="AT236" s="682"/>
      <c r="AU236" s="682"/>
      <c r="AV236" s="682"/>
      <c r="AW236" s="682"/>
      <c r="AX236" s="682"/>
      <c r="AY236" s="682"/>
      <c r="AZ236" s="682"/>
      <c r="BA236" s="682"/>
      <c r="BB236" s="68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</row>
    <row r="237" spans="1:116" s="679" customFormat="1" ht="15.7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13"/>
      <c r="AA237" s="2"/>
      <c r="AB237" s="724"/>
      <c r="AC237" s="784"/>
      <c r="AD237" s="787"/>
      <c r="AE237" s="787"/>
      <c r="AF237" s="550"/>
      <c r="AG237" s="697"/>
      <c r="AH237" s="698"/>
      <c r="AI237" s="697"/>
      <c r="AJ237" s="697"/>
      <c r="AK237" s="550"/>
      <c r="AR237" s="682"/>
      <c r="AS237" s="682"/>
      <c r="AT237" s="682"/>
      <c r="AU237" s="682"/>
      <c r="AV237" s="682"/>
      <c r="AW237" s="682"/>
      <c r="AX237" s="682"/>
      <c r="AY237" s="682"/>
      <c r="AZ237" s="682"/>
      <c r="BA237" s="682"/>
      <c r="BB237" s="68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</row>
    <row r="238" spans="1:116" s="679" customFormat="1" ht="15.7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13"/>
      <c r="AA238" s="2"/>
      <c r="AB238" s="724"/>
      <c r="AC238" s="784"/>
      <c r="AD238" s="787"/>
      <c r="AE238" s="787"/>
      <c r="AF238" s="550"/>
      <c r="AG238" s="697"/>
      <c r="AH238" s="698"/>
      <c r="AI238" s="697"/>
      <c r="AJ238" s="697"/>
      <c r="AK238" s="550"/>
      <c r="AR238" s="682"/>
      <c r="AS238" s="682"/>
      <c r="AT238" s="682"/>
      <c r="AU238" s="682"/>
      <c r="AV238" s="682"/>
      <c r="AW238" s="682"/>
      <c r="AX238" s="682"/>
      <c r="AY238" s="682"/>
      <c r="AZ238" s="682"/>
      <c r="BA238" s="682"/>
      <c r="BB238" s="68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</row>
    <row r="239" spans="1:116" s="679" customFormat="1" ht="15.7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13"/>
      <c r="AA239" s="2"/>
      <c r="AB239" s="724"/>
      <c r="AC239" s="784"/>
      <c r="AD239" s="787"/>
      <c r="AE239" s="787"/>
      <c r="AF239" s="550"/>
      <c r="AG239" s="697"/>
      <c r="AH239" s="698"/>
      <c r="AI239" s="697"/>
      <c r="AJ239" s="697"/>
      <c r="AK239" s="550"/>
      <c r="AR239" s="682"/>
      <c r="AS239" s="682"/>
      <c r="AT239" s="682"/>
      <c r="AU239" s="682"/>
      <c r="AV239" s="682"/>
      <c r="AW239" s="682"/>
      <c r="AX239" s="682"/>
      <c r="AY239" s="682"/>
      <c r="AZ239" s="682"/>
      <c r="BA239" s="682"/>
      <c r="BB239" s="68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</row>
    <row r="240" spans="1:116" s="679" customFormat="1" ht="15.7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13"/>
      <c r="AA240" s="2"/>
      <c r="AB240" s="724"/>
      <c r="AC240" s="784"/>
      <c r="AD240" s="787"/>
      <c r="AE240" s="787"/>
      <c r="AF240" s="550"/>
      <c r="AG240" s="697"/>
      <c r="AH240" s="698"/>
      <c r="AI240" s="697"/>
      <c r="AJ240" s="697"/>
      <c r="AK240" s="550"/>
      <c r="AR240" s="682"/>
      <c r="AS240" s="682"/>
      <c r="AT240" s="682"/>
      <c r="AU240" s="682"/>
      <c r="AV240" s="682"/>
      <c r="AW240" s="682"/>
      <c r="AX240" s="682"/>
      <c r="AY240" s="682"/>
      <c r="AZ240" s="682"/>
      <c r="BA240" s="682"/>
      <c r="BB240" s="68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</row>
    <row r="241" spans="1:116" s="679" customFormat="1" ht="15.7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13"/>
      <c r="AA241" s="2"/>
      <c r="AB241" s="724"/>
      <c r="AC241" s="784"/>
      <c r="AD241" s="787"/>
      <c r="AE241" s="787"/>
      <c r="AF241" s="550"/>
      <c r="AG241" s="697"/>
      <c r="AH241" s="698"/>
      <c r="AI241" s="697"/>
      <c r="AJ241" s="697"/>
      <c r="AK241" s="550"/>
      <c r="AR241" s="682"/>
      <c r="AS241" s="682"/>
      <c r="AT241" s="682"/>
      <c r="AU241" s="682"/>
      <c r="AV241" s="682"/>
      <c r="AW241" s="682"/>
      <c r="AX241" s="682"/>
      <c r="AY241" s="682"/>
      <c r="AZ241" s="682"/>
      <c r="BA241" s="682"/>
      <c r="BB241" s="68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</row>
    <row r="242" spans="1:116" s="679" customFormat="1" ht="15.7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13"/>
      <c r="AA242" s="2"/>
      <c r="AB242" s="724"/>
      <c r="AC242" s="784"/>
      <c r="AD242" s="787"/>
      <c r="AE242" s="787"/>
      <c r="AF242" s="550"/>
      <c r="AG242" s="697"/>
      <c r="AH242" s="698"/>
      <c r="AI242" s="697"/>
      <c r="AJ242" s="697"/>
      <c r="AK242" s="550"/>
      <c r="AR242" s="682"/>
      <c r="AS242" s="682"/>
      <c r="AT242" s="682"/>
      <c r="AU242" s="682"/>
      <c r="AV242" s="682"/>
      <c r="AW242" s="682"/>
      <c r="AX242" s="682"/>
      <c r="AY242" s="682"/>
      <c r="AZ242" s="682"/>
      <c r="BA242" s="682"/>
      <c r="BB242" s="68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</row>
    <row r="243" spans="1:116" s="679" customFormat="1" ht="15.7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13"/>
      <c r="AA243" s="2"/>
      <c r="AB243" s="724"/>
      <c r="AC243" s="784"/>
      <c r="AD243" s="787"/>
      <c r="AE243" s="787"/>
      <c r="AF243" s="550"/>
      <c r="AG243" s="697"/>
      <c r="AH243" s="698"/>
      <c r="AI243" s="697"/>
      <c r="AJ243" s="697"/>
      <c r="AK243" s="550"/>
      <c r="AR243" s="682"/>
      <c r="AS243" s="682"/>
      <c r="AT243" s="682"/>
      <c r="AU243" s="682"/>
      <c r="AV243" s="682"/>
      <c r="AW243" s="682"/>
      <c r="AX243" s="682"/>
      <c r="AY243" s="682"/>
      <c r="AZ243" s="682"/>
      <c r="BA243" s="682"/>
      <c r="BB243" s="68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</row>
    <row r="244" spans="1:116" s="679" customFormat="1" ht="15.7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13"/>
      <c r="AA244" s="2"/>
      <c r="AB244" s="724"/>
      <c r="AC244" s="784"/>
      <c r="AD244" s="787"/>
      <c r="AE244" s="787"/>
      <c r="AF244" s="550"/>
      <c r="AG244" s="697"/>
      <c r="AH244" s="698"/>
      <c r="AI244" s="697"/>
      <c r="AJ244" s="697"/>
      <c r="AK244" s="550"/>
      <c r="AR244" s="682"/>
      <c r="AS244" s="682"/>
      <c r="AT244" s="682"/>
      <c r="AU244" s="682"/>
      <c r="AV244" s="682"/>
      <c r="AW244" s="682"/>
      <c r="AX244" s="682"/>
      <c r="AY244" s="682"/>
      <c r="AZ244" s="682"/>
      <c r="BA244" s="682"/>
      <c r="BB244" s="68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</row>
    <row r="245" spans="1:116" s="679" customFormat="1" ht="15.7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13"/>
      <c r="AA245" s="2"/>
      <c r="AB245" s="724"/>
      <c r="AC245" s="784"/>
      <c r="AD245" s="787"/>
      <c r="AE245" s="787"/>
      <c r="AF245" s="550"/>
      <c r="AG245" s="697"/>
      <c r="AH245" s="698"/>
      <c r="AI245" s="697"/>
      <c r="AJ245" s="697"/>
      <c r="AK245" s="550"/>
      <c r="AR245" s="682"/>
      <c r="AS245" s="682"/>
      <c r="AT245" s="682"/>
      <c r="AU245" s="682"/>
      <c r="AV245" s="682"/>
      <c r="AW245" s="682"/>
      <c r="AX245" s="682"/>
      <c r="AY245" s="682"/>
      <c r="AZ245" s="682"/>
      <c r="BA245" s="682"/>
      <c r="BB245" s="68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</row>
    <row r="246" spans="1:116" s="679" customFormat="1" ht="15.7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13"/>
      <c r="AA246" s="2"/>
      <c r="AB246" s="724"/>
      <c r="AC246" s="784"/>
      <c r="AD246" s="787"/>
      <c r="AE246" s="787"/>
      <c r="AF246" s="550"/>
      <c r="AG246" s="697"/>
      <c r="AH246" s="698"/>
      <c r="AI246" s="697"/>
      <c r="AJ246" s="697"/>
      <c r="AK246" s="550"/>
      <c r="AR246" s="682"/>
      <c r="AS246" s="682"/>
      <c r="AT246" s="682"/>
      <c r="AU246" s="682"/>
      <c r="AV246" s="682"/>
      <c r="AW246" s="682"/>
      <c r="AX246" s="682"/>
      <c r="AY246" s="682"/>
      <c r="AZ246" s="682"/>
      <c r="BA246" s="682"/>
      <c r="BB246" s="68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</row>
    <row r="247" spans="1:116" s="679" customFormat="1" ht="15.7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13"/>
      <c r="AA247" s="2"/>
      <c r="AB247" s="724"/>
      <c r="AC247" s="784"/>
      <c r="AD247" s="787"/>
      <c r="AE247" s="787"/>
      <c r="AF247" s="550"/>
      <c r="AG247" s="697"/>
      <c r="AH247" s="698"/>
      <c r="AI247" s="697"/>
      <c r="AJ247" s="697"/>
      <c r="AK247" s="550"/>
      <c r="AR247" s="682"/>
      <c r="AS247" s="682"/>
      <c r="AT247" s="682"/>
      <c r="AU247" s="682"/>
      <c r="AV247" s="682"/>
      <c r="AW247" s="682"/>
      <c r="AX247" s="682"/>
      <c r="AY247" s="682"/>
      <c r="AZ247" s="682"/>
      <c r="BA247" s="682"/>
      <c r="BB247" s="68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</row>
    <row r="248" spans="1:116" s="679" customFormat="1" ht="15.7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13"/>
      <c r="AA248" s="2"/>
      <c r="AB248" s="724"/>
      <c r="AC248" s="784"/>
      <c r="AD248" s="787"/>
      <c r="AE248" s="787"/>
      <c r="AF248" s="550"/>
      <c r="AG248" s="697"/>
      <c r="AH248" s="698"/>
      <c r="AI248" s="697"/>
      <c r="AJ248" s="697"/>
      <c r="AK248" s="550"/>
      <c r="AR248" s="682"/>
      <c r="AS248" s="682"/>
      <c r="AT248" s="682"/>
      <c r="AU248" s="682"/>
      <c r="AV248" s="682"/>
      <c r="AW248" s="682"/>
      <c r="AX248" s="682"/>
      <c r="AY248" s="682"/>
      <c r="AZ248" s="682"/>
      <c r="BA248" s="682"/>
      <c r="BB248" s="68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</row>
    <row r="249" spans="1:116" s="679" customFormat="1" ht="15.7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13"/>
      <c r="AA249" s="2"/>
      <c r="AB249" s="724"/>
      <c r="AC249" s="784"/>
      <c r="AD249" s="787"/>
      <c r="AE249" s="787"/>
      <c r="AF249" s="550"/>
      <c r="AG249" s="697"/>
      <c r="AH249" s="698"/>
      <c r="AI249" s="697"/>
      <c r="AJ249" s="697"/>
      <c r="AK249" s="550"/>
      <c r="AR249" s="682"/>
      <c r="AS249" s="682"/>
      <c r="AT249" s="682"/>
      <c r="AU249" s="682"/>
      <c r="AV249" s="682"/>
      <c r="AW249" s="682"/>
      <c r="AX249" s="682"/>
      <c r="AY249" s="682"/>
      <c r="AZ249" s="682"/>
      <c r="BA249" s="682"/>
      <c r="BB249" s="68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</row>
    <row r="250" spans="1:116" s="679" customFormat="1" ht="15.7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13"/>
      <c r="AA250" s="2"/>
      <c r="AB250" s="724"/>
      <c r="AC250" s="784"/>
      <c r="AD250" s="787"/>
      <c r="AE250" s="787"/>
      <c r="AF250" s="550"/>
      <c r="AG250" s="697"/>
      <c r="AH250" s="698"/>
      <c r="AI250" s="697"/>
      <c r="AJ250" s="697"/>
      <c r="AK250" s="550"/>
      <c r="AR250" s="682"/>
      <c r="AS250" s="682"/>
      <c r="AT250" s="682"/>
      <c r="AU250" s="682"/>
      <c r="AV250" s="682"/>
      <c r="AW250" s="682"/>
      <c r="AX250" s="682"/>
      <c r="AY250" s="682"/>
      <c r="AZ250" s="682"/>
      <c r="BA250" s="682"/>
      <c r="BB250" s="68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</row>
    <row r="251" spans="1:116" s="679" customFormat="1" ht="15.7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13"/>
      <c r="AA251" s="2"/>
      <c r="AB251" s="724"/>
      <c r="AC251" s="784"/>
      <c r="AD251" s="787"/>
      <c r="AE251" s="787"/>
      <c r="AF251" s="550"/>
      <c r="AG251" s="697"/>
      <c r="AH251" s="698"/>
      <c r="AI251" s="697"/>
      <c r="AJ251" s="697"/>
      <c r="AK251" s="550"/>
      <c r="AR251" s="682"/>
      <c r="AS251" s="682"/>
      <c r="AT251" s="682"/>
      <c r="AU251" s="682"/>
      <c r="AV251" s="682"/>
      <c r="AW251" s="682"/>
      <c r="AX251" s="682"/>
      <c r="AY251" s="682"/>
      <c r="AZ251" s="682"/>
      <c r="BA251" s="682"/>
      <c r="BB251" s="68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</row>
    <row r="252" spans="1:116" s="679" customFormat="1" ht="15.7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13"/>
      <c r="AA252" s="2"/>
      <c r="AB252" s="724"/>
      <c r="AC252" s="784"/>
      <c r="AD252" s="787"/>
      <c r="AE252" s="787"/>
      <c r="AF252" s="550"/>
      <c r="AG252" s="697"/>
      <c r="AH252" s="698"/>
      <c r="AI252" s="697"/>
      <c r="AJ252" s="697"/>
      <c r="AK252" s="550"/>
      <c r="AR252" s="682"/>
      <c r="AS252" s="682"/>
      <c r="AT252" s="682"/>
      <c r="AU252" s="682"/>
      <c r="AV252" s="682"/>
      <c r="AW252" s="682"/>
      <c r="AX252" s="682"/>
      <c r="AY252" s="682"/>
      <c r="AZ252" s="682"/>
      <c r="BA252" s="682"/>
      <c r="BB252" s="68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</row>
    <row r="253" spans="1:116" s="679" customFormat="1" ht="15.7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13"/>
      <c r="AA253" s="2"/>
      <c r="AB253" s="724"/>
      <c r="AC253" s="784"/>
      <c r="AD253" s="787"/>
      <c r="AE253" s="787"/>
      <c r="AF253" s="550"/>
      <c r="AG253" s="697"/>
      <c r="AH253" s="698"/>
      <c r="AI253" s="697"/>
      <c r="AJ253" s="697"/>
      <c r="AK253" s="550"/>
      <c r="AR253" s="682"/>
      <c r="AS253" s="682"/>
      <c r="AT253" s="682"/>
      <c r="AU253" s="682"/>
      <c r="AV253" s="682"/>
      <c r="AW253" s="682"/>
      <c r="AX253" s="682"/>
      <c r="AY253" s="682"/>
      <c r="AZ253" s="682"/>
      <c r="BA253" s="682"/>
      <c r="BB253" s="68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</row>
    <row r="254" spans="1:116" s="679" customFormat="1" ht="15.7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13"/>
      <c r="AA254" s="2"/>
      <c r="AB254" s="724"/>
      <c r="AC254" s="784"/>
      <c r="AD254" s="787"/>
      <c r="AE254" s="787"/>
      <c r="AF254" s="550"/>
      <c r="AG254" s="697"/>
      <c r="AH254" s="698"/>
      <c r="AI254" s="697"/>
      <c r="AJ254" s="697"/>
      <c r="AK254" s="550"/>
      <c r="AR254" s="682"/>
      <c r="AS254" s="682"/>
      <c r="AT254" s="682"/>
      <c r="AU254" s="682"/>
      <c r="AV254" s="682"/>
      <c r="AW254" s="682"/>
      <c r="AX254" s="682"/>
      <c r="AY254" s="682"/>
      <c r="AZ254" s="682"/>
      <c r="BA254" s="682"/>
      <c r="BB254" s="68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</row>
    <row r="255" spans="1:116" s="679" customFormat="1" ht="15.7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13"/>
      <c r="AA255" s="2"/>
      <c r="AB255" s="724"/>
      <c r="AC255" s="784"/>
      <c r="AD255" s="787"/>
      <c r="AE255" s="787"/>
      <c r="AF255" s="550"/>
      <c r="AG255" s="697"/>
      <c r="AH255" s="698"/>
      <c r="AI255" s="697"/>
      <c r="AJ255" s="697"/>
      <c r="AK255" s="550"/>
      <c r="AR255" s="682"/>
      <c r="AS255" s="682"/>
      <c r="AT255" s="682"/>
      <c r="AU255" s="682"/>
      <c r="AV255" s="682"/>
      <c r="AW255" s="682"/>
      <c r="AX255" s="682"/>
      <c r="AY255" s="682"/>
      <c r="AZ255" s="682"/>
      <c r="BA255" s="682"/>
      <c r="BB255" s="68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</row>
    <row r="256" spans="1:116" s="679" customFormat="1" ht="15.7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13"/>
      <c r="AA256" s="2"/>
      <c r="AB256" s="724"/>
      <c r="AC256" s="784"/>
      <c r="AD256" s="787"/>
      <c r="AE256" s="787"/>
      <c r="AF256" s="550"/>
      <c r="AG256" s="697"/>
      <c r="AH256" s="698"/>
      <c r="AI256" s="697"/>
      <c r="AJ256" s="697"/>
      <c r="AK256" s="550"/>
      <c r="AR256" s="682"/>
      <c r="AS256" s="682"/>
      <c r="AT256" s="682"/>
      <c r="AU256" s="682"/>
      <c r="AV256" s="682"/>
      <c r="AW256" s="682"/>
      <c r="AX256" s="682"/>
      <c r="AY256" s="682"/>
      <c r="AZ256" s="682"/>
      <c r="BA256" s="682"/>
      <c r="BB256" s="68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</row>
    <row r="257" spans="1:116" s="679" customFormat="1" ht="15.7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13"/>
      <c r="AA257" s="2"/>
      <c r="AB257" s="724"/>
      <c r="AC257" s="784"/>
      <c r="AD257" s="787"/>
      <c r="AE257" s="787"/>
      <c r="AF257" s="550"/>
      <c r="AG257" s="697"/>
      <c r="AH257" s="698"/>
      <c r="AI257" s="697"/>
      <c r="AJ257" s="697"/>
      <c r="AK257" s="550"/>
      <c r="AR257" s="682"/>
      <c r="AS257" s="682"/>
      <c r="AT257" s="682"/>
      <c r="AU257" s="682"/>
      <c r="AV257" s="682"/>
      <c r="AW257" s="682"/>
      <c r="AX257" s="682"/>
      <c r="AY257" s="682"/>
      <c r="AZ257" s="682"/>
      <c r="BA257" s="682"/>
      <c r="BB257" s="68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</row>
    <row r="258" spans="1:116" s="679" customFormat="1" ht="15.7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13"/>
      <c r="AA258" s="2"/>
      <c r="AB258" s="724"/>
      <c r="AC258" s="784"/>
      <c r="AD258" s="787"/>
      <c r="AE258" s="787"/>
      <c r="AF258" s="550"/>
      <c r="AG258" s="697"/>
      <c r="AH258" s="698"/>
      <c r="AI258" s="697"/>
      <c r="AJ258" s="697"/>
      <c r="AK258" s="550"/>
      <c r="AR258" s="682"/>
      <c r="AS258" s="682"/>
      <c r="AT258" s="682"/>
      <c r="AU258" s="682"/>
      <c r="AV258" s="682"/>
      <c r="AW258" s="682"/>
      <c r="AX258" s="682"/>
      <c r="AY258" s="682"/>
      <c r="AZ258" s="682"/>
      <c r="BA258" s="682"/>
      <c r="BB258" s="68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</row>
    <row r="259" spans="1:116" s="679" customFormat="1" ht="15.7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13"/>
      <c r="AA259" s="2"/>
      <c r="AB259" s="724"/>
      <c r="AC259" s="784"/>
      <c r="AD259" s="787"/>
      <c r="AE259" s="787"/>
      <c r="AF259" s="550"/>
      <c r="AG259" s="697"/>
      <c r="AH259" s="698"/>
      <c r="AI259" s="697"/>
      <c r="AJ259" s="697"/>
      <c r="AK259" s="550"/>
      <c r="AR259" s="682"/>
      <c r="AS259" s="682"/>
      <c r="AT259" s="682"/>
      <c r="AU259" s="682"/>
      <c r="AV259" s="682"/>
      <c r="AW259" s="682"/>
      <c r="AX259" s="682"/>
      <c r="AY259" s="682"/>
      <c r="AZ259" s="682"/>
      <c r="BA259" s="682"/>
      <c r="BB259" s="68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</row>
    <row r="260" spans="1:116" s="679" customFormat="1" ht="15.7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13"/>
      <c r="AA260" s="2"/>
      <c r="AB260" s="724"/>
      <c r="AC260" s="784"/>
      <c r="AD260" s="787"/>
      <c r="AE260" s="787"/>
      <c r="AF260" s="550"/>
      <c r="AG260" s="697"/>
      <c r="AH260" s="698"/>
      <c r="AI260" s="697"/>
      <c r="AJ260" s="697"/>
      <c r="AK260" s="550"/>
      <c r="AR260" s="682"/>
      <c r="AS260" s="682"/>
      <c r="AT260" s="682"/>
      <c r="AU260" s="682"/>
      <c r="AV260" s="682"/>
      <c r="AW260" s="682"/>
      <c r="AX260" s="682"/>
      <c r="AY260" s="682"/>
      <c r="AZ260" s="682"/>
      <c r="BA260" s="682"/>
      <c r="BB260" s="68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</row>
    <row r="261" spans="1:116" s="679" customFormat="1" ht="15.7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13"/>
      <c r="AA261" s="2"/>
      <c r="AB261" s="724"/>
      <c r="AC261" s="784"/>
      <c r="AD261" s="787"/>
      <c r="AE261" s="787"/>
      <c r="AF261" s="550"/>
      <c r="AG261" s="697"/>
      <c r="AH261" s="698"/>
      <c r="AI261" s="697"/>
      <c r="AJ261" s="697"/>
      <c r="AK261" s="550"/>
      <c r="AR261" s="682"/>
      <c r="AS261" s="682"/>
      <c r="AT261" s="682"/>
      <c r="AU261" s="682"/>
      <c r="AV261" s="682"/>
      <c r="AW261" s="682"/>
      <c r="AX261" s="682"/>
      <c r="AY261" s="682"/>
      <c r="AZ261" s="682"/>
      <c r="BA261" s="682"/>
      <c r="BB261" s="68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</row>
    <row r="262" spans="1:116" s="679" customFormat="1" ht="15.7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13"/>
      <c r="AA262" s="2"/>
      <c r="AB262" s="724"/>
      <c r="AC262" s="784"/>
      <c r="AD262" s="787"/>
      <c r="AE262" s="787"/>
      <c r="AF262" s="550"/>
      <c r="AG262" s="697"/>
      <c r="AH262" s="698"/>
      <c r="AI262" s="697"/>
      <c r="AJ262" s="697"/>
      <c r="AK262" s="550"/>
      <c r="AR262" s="682"/>
      <c r="AS262" s="682"/>
      <c r="AT262" s="682"/>
      <c r="AU262" s="682"/>
      <c r="AV262" s="682"/>
      <c r="AW262" s="682"/>
      <c r="AX262" s="682"/>
      <c r="AY262" s="682"/>
      <c r="AZ262" s="682"/>
      <c r="BA262" s="682"/>
      <c r="BB262" s="68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</row>
    <row r="263" spans="1:116" s="679" customFormat="1" ht="15.7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13"/>
      <c r="AA263" s="2"/>
      <c r="AB263" s="724"/>
      <c r="AC263" s="784"/>
      <c r="AD263" s="787"/>
      <c r="AE263" s="787"/>
      <c r="AF263" s="550"/>
      <c r="AG263" s="697"/>
      <c r="AH263" s="698"/>
      <c r="AI263" s="697"/>
      <c r="AJ263" s="697"/>
      <c r="AK263" s="550"/>
      <c r="AR263" s="682"/>
      <c r="AS263" s="682"/>
      <c r="AT263" s="682"/>
      <c r="AU263" s="682"/>
      <c r="AV263" s="682"/>
      <c r="AW263" s="682"/>
      <c r="AX263" s="682"/>
      <c r="AY263" s="682"/>
      <c r="AZ263" s="682"/>
      <c r="BA263" s="682"/>
      <c r="BB263" s="68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</row>
    <row r="264" spans="1:116" s="679" customFormat="1" ht="15.7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13"/>
      <c r="AA264" s="2"/>
      <c r="AB264" s="724"/>
      <c r="AC264" s="784"/>
      <c r="AD264" s="787"/>
      <c r="AE264" s="787"/>
      <c r="AF264" s="550"/>
      <c r="AG264" s="697"/>
      <c r="AH264" s="698"/>
      <c r="AI264" s="697"/>
      <c r="AJ264" s="697"/>
      <c r="AK264" s="550"/>
      <c r="AR264" s="682"/>
      <c r="AS264" s="682"/>
      <c r="AT264" s="682"/>
      <c r="AU264" s="682"/>
      <c r="AV264" s="682"/>
      <c r="AW264" s="682"/>
      <c r="AX264" s="682"/>
      <c r="AY264" s="682"/>
      <c r="AZ264" s="682"/>
      <c r="BA264" s="682"/>
      <c r="BB264" s="68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</row>
    <row r="265" spans="1:116" s="679" customFormat="1" ht="15.7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13"/>
      <c r="AA265" s="2"/>
      <c r="AB265" s="724"/>
      <c r="AC265" s="784"/>
      <c r="AD265" s="787"/>
      <c r="AE265" s="787"/>
      <c r="AF265" s="550"/>
      <c r="AG265" s="697"/>
      <c r="AH265" s="698"/>
      <c r="AI265" s="697"/>
      <c r="AJ265" s="697"/>
      <c r="AK265" s="550"/>
      <c r="AR265" s="682"/>
      <c r="AS265" s="682"/>
      <c r="AT265" s="682"/>
      <c r="AU265" s="682"/>
      <c r="AV265" s="682"/>
      <c r="AW265" s="682"/>
      <c r="AX265" s="682"/>
      <c r="AY265" s="682"/>
      <c r="AZ265" s="682"/>
      <c r="BA265" s="682"/>
      <c r="BB265" s="68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</row>
    <row r="266" spans="1:116" s="679" customFormat="1" ht="15.7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13"/>
      <c r="AA266" s="2"/>
      <c r="AB266" s="724"/>
      <c r="AC266" s="784"/>
      <c r="AD266" s="787"/>
      <c r="AE266" s="787"/>
      <c r="AF266" s="550"/>
      <c r="AG266" s="697"/>
      <c r="AH266" s="698"/>
      <c r="AI266" s="697"/>
      <c r="AJ266" s="697"/>
      <c r="AK266" s="550"/>
      <c r="AR266" s="682"/>
      <c r="AS266" s="682"/>
      <c r="AT266" s="682"/>
      <c r="AU266" s="682"/>
      <c r="AV266" s="682"/>
      <c r="AW266" s="682"/>
      <c r="AX266" s="682"/>
      <c r="AY266" s="682"/>
      <c r="AZ266" s="682"/>
      <c r="BA266" s="682"/>
      <c r="BB266" s="68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</row>
    <row r="267" spans="1:116" s="679" customFormat="1" ht="15.7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13"/>
      <c r="AA267" s="2"/>
      <c r="AB267" s="724"/>
      <c r="AC267" s="784"/>
      <c r="AD267" s="787"/>
      <c r="AE267" s="787"/>
      <c r="AF267" s="550"/>
      <c r="AG267" s="697"/>
      <c r="AH267" s="698"/>
      <c r="AI267" s="697"/>
      <c r="AJ267" s="697"/>
      <c r="AK267" s="550"/>
      <c r="AR267" s="682"/>
      <c r="AS267" s="682"/>
      <c r="AT267" s="682"/>
      <c r="AU267" s="682"/>
      <c r="AV267" s="682"/>
      <c r="AW267" s="682"/>
      <c r="AX267" s="682"/>
      <c r="AY267" s="682"/>
      <c r="AZ267" s="682"/>
      <c r="BA267" s="682"/>
      <c r="BB267" s="68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</row>
    <row r="268" spans="1:116" s="679" customFormat="1" ht="15.7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13"/>
      <c r="AA268" s="2"/>
      <c r="AB268" s="724"/>
      <c r="AC268" s="784"/>
      <c r="AD268" s="787"/>
      <c r="AE268" s="787"/>
      <c r="AF268" s="550"/>
      <c r="AG268" s="697"/>
      <c r="AH268" s="698"/>
      <c r="AI268" s="697"/>
      <c r="AJ268" s="697"/>
      <c r="AK268" s="550"/>
      <c r="AR268" s="682"/>
      <c r="AS268" s="682"/>
      <c r="AT268" s="682"/>
      <c r="AU268" s="682"/>
      <c r="AV268" s="682"/>
      <c r="AW268" s="682"/>
      <c r="AX268" s="682"/>
      <c r="AY268" s="682"/>
      <c r="AZ268" s="682"/>
      <c r="BA268" s="682"/>
      <c r="BB268" s="68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</row>
    <row r="269" spans="1:116" s="679" customFormat="1" ht="15.7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13"/>
      <c r="AA269" s="2"/>
      <c r="AB269" s="724"/>
      <c r="AC269" s="784"/>
      <c r="AD269" s="787"/>
      <c r="AE269" s="787"/>
      <c r="AF269" s="550"/>
      <c r="AG269" s="697"/>
      <c r="AH269" s="698"/>
      <c r="AI269" s="697"/>
      <c r="AJ269" s="697"/>
      <c r="AK269" s="550"/>
      <c r="AR269" s="682"/>
      <c r="AS269" s="682"/>
      <c r="AT269" s="682"/>
      <c r="AU269" s="682"/>
      <c r="AV269" s="682"/>
      <c r="AW269" s="682"/>
      <c r="AX269" s="682"/>
      <c r="AY269" s="682"/>
      <c r="AZ269" s="682"/>
      <c r="BA269" s="682"/>
      <c r="BB269" s="68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</row>
    <row r="270" spans="1:116" s="679" customFormat="1" ht="15.7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13"/>
      <c r="AA270" s="2"/>
      <c r="AB270" s="724"/>
      <c r="AC270" s="784"/>
      <c r="AD270" s="787"/>
      <c r="AE270" s="787"/>
      <c r="AF270" s="550"/>
      <c r="AG270" s="697"/>
      <c r="AH270" s="698"/>
      <c r="AI270" s="697"/>
      <c r="AJ270" s="697"/>
      <c r="AK270" s="550"/>
      <c r="AR270" s="682"/>
      <c r="AS270" s="682"/>
      <c r="AT270" s="682"/>
      <c r="AU270" s="682"/>
      <c r="AV270" s="682"/>
      <c r="AW270" s="682"/>
      <c r="AX270" s="682"/>
      <c r="AY270" s="682"/>
      <c r="AZ270" s="682"/>
      <c r="BA270" s="682"/>
      <c r="BB270" s="68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</row>
    <row r="271" spans="1:116" s="679" customFormat="1" ht="15.7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13"/>
      <c r="AA271" s="2"/>
      <c r="AB271" s="724"/>
      <c r="AC271" s="784"/>
      <c r="AD271" s="787"/>
      <c r="AE271" s="787"/>
      <c r="AF271" s="550"/>
      <c r="AG271" s="697"/>
      <c r="AH271" s="698"/>
      <c r="AI271" s="697"/>
      <c r="AJ271" s="697"/>
      <c r="AK271" s="550"/>
      <c r="AR271" s="682"/>
      <c r="AS271" s="682"/>
      <c r="AT271" s="682"/>
      <c r="AU271" s="682"/>
      <c r="AV271" s="682"/>
      <c r="AW271" s="682"/>
      <c r="AX271" s="682"/>
      <c r="AY271" s="682"/>
      <c r="AZ271" s="682"/>
      <c r="BA271" s="682"/>
      <c r="BB271" s="68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</row>
    <row r="272" spans="1:116" s="679" customFormat="1" ht="15.7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13"/>
      <c r="AA272" s="2"/>
      <c r="AB272" s="724"/>
      <c r="AC272" s="784"/>
      <c r="AD272" s="787"/>
      <c r="AE272" s="787"/>
      <c r="AF272" s="550"/>
      <c r="AG272" s="697"/>
      <c r="AH272" s="698"/>
      <c r="AI272" s="697"/>
      <c r="AJ272" s="697"/>
      <c r="AK272" s="550"/>
      <c r="AR272" s="682"/>
      <c r="AS272" s="682"/>
      <c r="AT272" s="682"/>
      <c r="AU272" s="682"/>
      <c r="AV272" s="682"/>
      <c r="AW272" s="682"/>
      <c r="AX272" s="682"/>
      <c r="AY272" s="682"/>
      <c r="AZ272" s="682"/>
      <c r="BA272" s="682"/>
      <c r="BB272" s="68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</row>
    <row r="273" spans="1:116" s="679" customFormat="1" ht="15.7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13"/>
      <c r="AA273" s="2"/>
      <c r="AB273" s="724"/>
      <c r="AC273" s="784"/>
      <c r="AD273" s="787"/>
      <c r="AE273" s="787"/>
      <c r="AF273" s="550"/>
      <c r="AG273" s="697"/>
      <c r="AH273" s="698"/>
      <c r="AI273" s="697"/>
      <c r="AJ273" s="697"/>
      <c r="AK273" s="550"/>
      <c r="AR273" s="682"/>
      <c r="AS273" s="682"/>
      <c r="AT273" s="682"/>
      <c r="AU273" s="682"/>
      <c r="AV273" s="682"/>
      <c r="AW273" s="682"/>
      <c r="AX273" s="682"/>
      <c r="AY273" s="682"/>
      <c r="AZ273" s="682"/>
      <c r="BA273" s="682"/>
      <c r="BB273" s="68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</row>
    <row r="274" spans="1:116" s="679" customFormat="1" ht="15.7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13"/>
      <c r="AA274" s="2"/>
      <c r="AB274" s="724"/>
      <c r="AC274" s="784"/>
      <c r="AD274" s="787"/>
      <c r="AE274" s="787"/>
      <c r="AF274" s="550"/>
      <c r="AG274" s="697"/>
      <c r="AH274" s="698"/>
      <c r="AI274" s="697"/>
      <c r="AJ274" s="697"/>
      <c r="AK274" s="550"/>
      <c r="AR274" s="682"/>
      <c r="AS274" s="682"/>
      <c r="AT274" s="682"/>
      <c r="AU274" s="682"/>
      <c r="AV274" s="682"/>
      <c r="AW274" s="682"/>
      <c r="AX274" s="682"/>
      <c r="AY274" s="682"/>
      <c r="AZ274" s="682"/>
      <c r="BA274" s="682"/>
      <c r="BB274" s="68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</row>
    <row r="275" spans="1:116" s="679" customFormat="1" ht="15.7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13"/>
      <c r="AA275" s="2"/>
      <c r="AB275" s="724"/>
      <c r="AC275" s="784"/>
      <c r="AD275" s="787"/>
      <c r="AE275" s="787"/>
      <c r="AF275" s="550"/>
      <c r="AG275" s="697"/>
      <c r="AH275" s="698"/>
      <c r="AI275" s="697"/>
      <c r="AJ275" s="697"/>
      <c r="AK275" s="550"/>
      <c r="AR275" s="682"/>
      <c r="AS275" s="682"/>
      <c r="AT275" s="682"/>
      <c r="AU275" s="682"/>
      <c r="AV275" s="682"/>
      <c r="AW275" s="682"/>
      <c r="AX275" s="682"/>
      <c r="AY275" s="682"/>
      <c r="AZ275" s="682"/>
      <c r="BA275" s="682"/>
      <c r="BB275" s="68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</row>
    <row r="276" spans="1:116" s="679" customFormat="1" ht="15.7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13"/>
      <c r="AA276" s="2"/>
      <c r="AB276" s="724"/>
      <c r="AC276" s="784"/>
      <c r="AD276" s="787"/>
      <c r="AE276" s="787"/>
      <c r="AF276" s="550"/>
      <c r="AG276" s="697"/>
      <c r="AH276" s="698"/>
      <c r="AI276" s="697"/>
      <c r="AJ276" s="697"/>
      <c r="AK276" s="550"/>
      <c r="AR276" s="682"/>
      <c r="AS276" s="682"/>
      <c r="AT276" s="682"/>
      <c r="AU276" s="682"/>
      <c r="AV276" s="682"/>
      <c r="AW276" s="682"/>
      <c r="AX276" s="682"/>
      <c r="AY276" s="682"/>
      <c r="AZ276" s="682"/>
      <c r="BA276" s="682"/>
      <c r="BB276" s="68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</row>
    <row r="277" spans="1:116" s="679" customFormat="1" ht="15.7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13"/>
      <c r="AA277" s="2"/>
      <c r="AB277" s="724"/>
      <c r="AC277" s="784"/>
      <c r="AD277" s="787"/>
      <c r="AE277" s="787"/>
      <c r="AF277" s="550"/>
      <c r="AG277" s="697"/>
      <c r="AH277" s="698"/>
      <c r="AI277" s="697"/>
      <c r="AJ277" s="697"/>
      <c r="AK277" s="550"/>
      <c r="AR277" s="682"/>
      <c r="AS277" s="682"/>
      <c r="AT277" s="682"/>
      <c r="AU277" s="682"/>
      <c r="AV277" s="682"/>
      <c r="AW277" s="682"/>
      <c r="AX277" s="682"/>
      <c r="AY277" s="682"/>
      <c r="AZ277" s="682"/>
      <c r="BA277" s="682"/>
      <c r="BB277" s="68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</row>
    <row r="278" spans="1:116" s="679" customFormat="1" ht="15.7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13"/>
      <c r="AA278" s="2"/>
      <c r="AB278" s="724"/>
      <c r="AC278" s="784"/>
      <c r="AD278" s="787"/>
      <c r="AE278" s="787"/>
      <c r="AF278" s="550"/>
      <c r="AG278" s="697"/>
      <c r="AH278" s="698"/>
      <c r="AI278" s="697"/>
      <c r="AJ278" s="697"/>
      <c r="AK278" s="550"/>
      <c r="AR278" s="682"/>
      <c r="AS278" s="682"/>
      <c r="AT278" s="682"/>
      <c r="AU278" s="682"/>
      <c r="AV278" s="682"/>
      <c r="AW278" s="682"/>
      <c r="AX278" s="682"/>
      <c r="AY278" s="682"/>
      <c r="AZ278" s="682"/>
      <c r="BA278" s="682"/>
      <c r="BB278" s="68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</row>
    <row r="279" spans="1:116" s="679" customFormat="1" ht="15.7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13"/>
      <c r="AA279" s="2"/>
      <c r="AB279" s="724"/>
      <c r="AC279" s="784"/>
      <c r="AD279" s="787"/>
      <c r="AE279" s="787"/>
      <c r="AF279" s="550"/>
      <c r="AG279" s="697"/>
      <c r="AH279" s="698"/>
      <c r="AI279" s="697"/>
      <c r="AJ279" s="697"/>
      <c r="AK279" s="550"/>
      <c r="AR279" s="682"/>
      <c r="AS279" s="682"/>
      <c r="AT279" s="682"/>
      <c r="AU279" s="682"/>
      <c r="AV279" s="682"/>
      <c r="AW279" s="682"/>
      <c r="AX279" s="682"/>
      <c r="AY279" s="682"/>
      <c r="AZ279" s="682"/>
      <c r="BA279" s="682"/>
      <c r="BB279" s="68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</row>
    <row r="280" spans="1:116" s="679" customFormat="1" ht="15.7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13"/>
      <c r="AA280" s="2"/>
      <c r="AB280" s="724"/>
      <c r="AC280" s="784"/>
      <c r="AD280" s="787"/>
      <c r="AE280" s="787"/>
      <c r="AF280" s="550"/>
      <c r="AG280" s="697"/>
      <c r="AH280" s="698"/>
      <c r="AI280" s="697"/>
      <c r="AJ280" s="697"/>
      <c r="AK280" s="550"/>
      <c r="AR280" s="682"/>
      <c r="AS280" s="682"/>
      <c r="AT280" s="682"/>
      <c r="AU280" s="682"/>
      <c r="AV280" s="682"/>
      <c r="AW280" s="682"/>
      <c r="AX280" s="682"/>
      <c r="AY280" s="682"/>
      <c r="AZ280" s="682"/>
      <c r="BA280" s="682"/>
      <c r="BB280" s="68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</row>
    <row r="281" spans="1:116" s="679" customFormat="1" ht="15.7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13"/>
      <c r="AA281" s="2"/>
      <c r="AB281" s="724"/>
      <c r="AC281" s="784"/>
      <c r="AD281" s="787"/>
      <c r="AE281" s="787"/>
      <c r="AF281" s="550"/>
      <c r="AG281" s="697"/>
      <c r="AH281" s="698"/>
      <c r="AI281" s="697"/>
      <c r="AJ281" s="697"/>
      <c r="AK281" s="550"/>
      <c r="AR281" s="682"/>
      <c r="AS281" s="682"/>
      <c r="AT281" s="682"/>
      <c r="AU281" s="682"/>
      <c r="AV281" s="682"/>
      <c r="AW281" s="682"/>
      <c r="AX281" s="682"/>
      <c r="AY281" s="682"/>
      <c r="AZ281" s="682"/>
      <c r="BA281" s="682"/>
      <c r="BB281" s="68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</row>
    <row r="282" spans="1:116" s="679" customFormat="1" ht="15.7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13"/>
      <c r="AA282" s="2"/>
      <c r="AB282" s="724"/>
      <c r="AC282" s="784"/>
      <c r="AD282" s="787"/>
      <c r="AE282" s="787"/>
      <c r="AF282" s="550"/>
      <c r="AG282" s="697"/>
      <c r="AH282" s="698"/>
      <c r="AI282" s="697"/>
      <c r="AJ282" s="697"/>
      <c r="AK282" s="550"/>
      <c r="AR282" s="682"/>
      <c r="AS282" s="682"/>
      <c r="AT282" s="682"/>
      <c r="AU282" s="682"/>
      <c r="AV282" s="682"/>
      <c r="AW282" s="682"/>
      <c r="AX282" s="682"/>
      <c r="AY282" s="682"/>
      <c r="AZ282" s="682"/>
      <c r="BA282" s="682"/>
      <c r="BB282" s="68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</row>
    <row r="283" spans="1:116" s="679" customFormat="1" ht="15.7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13"/>
      <c r="AA283" s="2"/>
      <c r="AB283" s="724"/>
      <c r="AC283" s="784"/>
      <c r="AD283" s="787"/>
      <c r="AE283" s="787"/>
      <c r="AF283" s="550"/>
      <c r="AG283" s="697"/>
      <c r="AH283" s="698"/>
      <c r="AI283" s="697"/>
      <c r="AJ283" s="697"/>
      <c r="AK283" s="550"/>
      <c r="AR283" s="682"/>
      <c r="AS283" s="682"/>
      <c r="AT283" s="682"/>
      <c r="AU283" s="682"/>
      <c r="AV283" s="682"/>
      <c r="AW283" s="682"/>
      <c r="AX283" s="682"/>
      <c r="AY283" s="682"/>
      <c r="AZ283" s="682"/>
      <c r="BA283" s="682"/>
      <c r="BB283" s="68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</row>
    <row r="284" spans="1:116" s="679" customFormat="1" ht="15.7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13"/>
      <c r="AA284" s="2"/>
      <c r="AB284" s="724"/>
      <c r="AC284" s="784"/>
      <c r="AD284" s="787"/>
      <c r="AE284" s="787"/>
      <c r="AF284" s="550"/>
      <c r="AG284" s="697"/>
      <c r="AH284" s="698"/>
      <c r="AI284" s="697"/>
      <c r="AJ284" s="697"/>
      <c r="AK284" s="550"/>
      <c r="AR284" s="682"/>
      <c r="AS284" s="682"/>
      <c r="AT284" s="682"/>
      <c r="AU284" s="682"/>
      <c r="AV284" s="682"/>
      <c r="AW284" s="682"/>
      <c r="AX284" s="682"/>
      <c r="AY284" s="682"/>
      <c r="AZ284" s="682"/>
      <c r="BA284" s="682"/>
      <c r="BB284" s="68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</row>
    <row r="285" spans="1:116" s="679" customFormat="1" ht="15.7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13"/>
      <c r="AA285" s="2"/>
      <c r="AB285" s="724"/>
      <c r="AC285" s="784"/>
      <c r="AD285" s="787"/>
      <c r="AE285" s="787"/>
      <c r="AF285" s="550"/>
      <c r="AG285" s="697"/>
      <c r="AH285" s="698"/>
      <c r="AI285" s="697"/>
      <c r="AJ285" s="697"/>
      <c r="AK285" s="550"/>
      <c r="AR285" s="682"/>
      <c r="AS285" s="682"/>
      <c r="AT285" s="682"/>
      <c r="AU285" s="682"/>
      <c r="AV285" s="682"/>
      <c r="AW285" s="682"/>
      <c r="AX285" s="682"/>
      <c r="AY285" s="682"/>
      <c r="AZ285" s="682"/>
      <c r="BA285" s="682"/>
      <c r="BB285" s="68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</row>
    <row r="286" spans="1:116" s="679" customFormat="1" ht="15.7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13"/>
      <c r="AA286" s="2"/>
      <c r="AB286" s="724"/>
      <c r="AC286" s="784"/>
      <c r="AD286" s="787"/>
      <c r="AE286" s="787"/>
      <c r="AF286" s="550"/>
      <c r="AG286" s="697"/>
      <c r="AH286" s="698"/>
      <c r="AI286" s="697"/>
      <c r="AJ286" s="697"/>
      <c r="AK286" s="550"/>
      <c r="AR286" s="682"/>
      <c r="AS286" s="682"/>
      <c r="AT286" s="682"/>
      <c r="AU286" s="682"/>
      <c r="AV286" s="682"/>
      <c r="AW286" s="682"/>
      <c r="AX286" s="682"/>
      <c r="AY286" s="682"/>
      <c r="AZ286" s="682"/>
      <c r="BA286" s="682"/>
      <c r="BB286" s="68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</row>
    <row r="287" spans="1:116" s="679" customFormat="1" ht="15.7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13"/>
      <c r="AA287" s="2"/>
      <c r="AB287" s="724"/>
      <c r="AC287" s="784"/>
      <c r="AD287" s="787"/>
      <c r="AE287" s="787"/>
      <c r="AF287" s="550"/>
      <c r="AG287" s="697"/>
      <c r="AH287" s="698"/>
      <c r="AI287" s="697"/>
      <c r="AJ287" s="697"/>
      <c r="AK287" s="550"/>
      <c r="AR287" s="682"/>
      <c r="AS287" s="682"/>
      <c r="AT287" s="682"/>
      <c r="AU287" s="682"/>
      <c r="AV287" s="682"/>
      <c r="AW287" s="682"/>
      <c r="AX287" s="682"/>
      <c r="AY287" s="682"/>
      <c r="AZ287" s="682"/>
      <c r="BA287" s="682"/>
      <c r="BB287" s="68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</row>
    <row r="288" spans="1:116" s="679" customFormat="1" ht="15.7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13"/>
      <c r="AA288" s="2"/>
      <c r="AB288" s="724"/>
      <c r="AC288" s="784"/>
      <c r="AD288" s="787"/>
      <c r="AE288" s="787"/>
      <c r="AF288" s="550"/>
      <c r="AG288" s="697"/>
      <c r="AH288" s="698"/>
      <c r="AI288" s="697"/>
      <c r="AJ288" s="697"/>
      <c r="AK288" s="550"/>
      <c r="AR288" s="682"/>
      <c r="AS288" s="682"/>
      <c r="AT288" s="682"/>
      <c r="AU288" s="682"/>
      <c r="AV288" s="682"/>
      <c r="AW288" s="682"/>
      <c r="AX288" s="682"/>
      <c r="AY288" s="682"/>
      <c r="AZ288" s="682"/>
      <c r="BA288" s="682"/>
      <c r="BB288" s="68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</row>
    <row r="289" spans="1:116" s="679" customFormat="1" ht="15.7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13"/>
      <c r="AA289" s="2"/>
      <c r="AB289" s="724"/>
      <c r="AC289" s="784"/>
      <c r="AD289" s="787"/>
      <c r="AE289" s="787"/>
      <c r="AF289" s="550"/>
      <c r="AG289" s="697"/>
      <c r="AH289" s="698"/>
      <c r="AI289" s="697"/>
      <c r="AJ289" s="697"/>
      <c r="AK289" s="550"/>
      <c r="AR289" s="682"/>
      <c r="AS289" s="682"/>
      <c r="AT289" s="682"/>
      <c r="AU289" s="682"/>
      <c r="AV289" s="682"/>
      <c r="AW289" s="682"/>
      <c r="AX289" s="682"/>
      <c r="AY289" s="682"/>
      <c r="AZ289" s="682"/>
      <c r="BA289" s="682"/>
      <c r="BB289" s="68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</row>
    <row r="290" spans="1:116" s="679" customFormat="1" ht="15.7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13"/>
      <c r="AA290" s="2"/>
      <c r="AB290" s="724"/>
      <c r="AC290" s="784"/>
      <c r="AD290" s="787"/>
      <c r="AE290" s="787"/>
      <c r="AF290" s="550"/>
      <c r="AG290" s="697"/>
      <c r="AH290" s="698"/>
      <c r="AI290" s="697"/>
      <c r="AJ290" s="697"/>
      <c r="AK290" s="550"/>
      <c r="AR290" s="682"/>
      <c r="AS290" s="682"/>
      <c r="AT290" s="682"/>
      <c r="AU290" s="682"/>
      <c r="AV290" s="682"/>
      <c r="AW290" s="682"/>
      <c r="AX290" s="682"/>
      <c r="AY290" s="682"/>
      <c r="AZ290" s="682"/>
      <c r="BA290" s="682"/>
      <c r="BB290" s="68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</row>
    <row r="291" spans="1:116" s="679" customFormat="1" ht="15.7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13"/>
      <c r="AA291" s="2"/>
      <c r="AB291" s="724"/>
      <c r="AC291" s="784"/>
      <c r="AD291" s="787"/>
      <c r="AE291" s="787"/>
      <c r="AF291" s="550"/>
      <c r="AG291" s="697"/>
      <c r="AH291" s="698"/>
      <c r="AI291" s="697"/>
      <c r="AJ291" s="697"/>
      <c r="AK291" s="550"/>
      <c r="AR291" s="682"/>
      <c r="AS291" s="682"/>
      <c r="AT291" s="682"/>
      <c r="AU291" s="682"/>
      <c r="AV291" s="682"/>
      <c r="AW291" s="682"/>
      <c r="AX291" s="682"/>
      <c r="AY291" s="682"/>
      <c r="AZ291" s="682"/>
      <c r="BA291" s="682"/>
      <c r="BB291" s="68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</row>
    <row r="292" spans="1:116" s="679" customFormat="1" ht="15.7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13"/>
      <c r="AA292" s="2"/>
      <c r="AB292" s="724"/>
      <c r="AC292" s="784"/>
      <c r="AD292" s="787"/>
      <c r="AE292" s="787"/>
      <c r="AF292" s="550"/>
      <c r="AG292" s="697"/>
      <c r="AH292" s="698"/>
      <c r="AI292" s="697"/>
      <c r="AJ292" s="697"/>
      <c r="AK292" s="550"/>
      <c r="AR292" s="682"/>
      <c r="AS292" s="682"/>
      <c r="AT292" s="682"/>
      <c r="AU292" s="682"/>
      <c r="AV292" s="682"/>
      <c r="AW292" s="682"/>
      <c r="AX292" s="682"/>
      <c r="AY292" s="682"/>
      <c r="AZ292" s="682"/>
      <c r="BA292" s="682"/>
      <c r="BB292" s="68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</row>
    <row r="293" spans="1:116" s="679" customFormat="1" ht="15.7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13"/>
      <c r="AA293" s="2"/>
      <c r="AB293" s="724"/>
      <c r="AC293" s="784"/>
      <c r="AD293" s="787"/>
      <c r="AE293" s="787"/>
      <c r="AF293" s="550"/>
      <c r="AG293" s="697"/>
      <c r="AH293" s="698"/>
      <c r="AI293" s="697"/>
      <c r="AJ293" s="697"/>
      <c r="AK293" s="550"/>
      <c r="AR293" s="682"/>
      <c r="AS293" s="682"/>
      <c r="AT293" s="682"/>
      <c r="AU293" s="682"/>
      <c r="AV293" s="682"/>
      <c r="AW293" s="682"/>
      <c r="AX293" s="682"/>
      <c r="AY293" s="682"/>
      <c r="AZ293" s="682"/>
      <c r="BA293" s="682"/>
      <c r="BB293" s="68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</row>
    <row r="294" spans="1:116" s="679" customFormat="1" ht="15.7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13"/>
      <c r="AA294" s="2"/>
      <c r="AB294" s="724"/>
      <c r="AC294" s="784"/>
      <c r="AD294" s="787"/>
      <c r="AE294" s="787"/>
      <c r="AF294" s="550"/>
      <c r="AG294" s="697"/>
      <c r="AH294" s="698"/>
      <c r="AI294" s="697"/>
      <c r="AJ294" s="697"/>
      <c r="AK294" s="550"/>
      <c r="AR294" s="682"/>
      <c r="AS294" s="682"/>
      <c r="AT294" s="682"/>
      <c r="AU294" s="682"/>
      <c r="AV294" s="682"/>
      <c r="AW294" s="682"/>
      <c r="AX294" s="682"/>
      <c r="AY294" s="682"/>
      <c r="AZ294" s="682"/>
      <c r="BA294" s="682"/>
      <c r="BB294" s="68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</row>
    <row r="295" spans="1:116" s="679" customFormat="1" ht="15.7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13"/>
      <c r="AA295" s="2"/>
      <c r="AB295" s="724"/>
      <c r="AC295" s="784"/>
      <c r="AD295" s="787"/>
      <c r="AE295" s="787"/>
      <c r="AF295" s="550"/>
      <c r="AG295" s="697"/>
      <c r="AH295" s="698"/>
      <c r="AI295" s="697"/>
      <c r="AJ295" s="697"/>
      <c r="AK295" s="550"/>
      <c r="AR295" s="682"/>
      <c r="AS295" s="682"/>
      <c r="AT295" s="682"/>
      <c r="AU295" s="682"/>
      <c r="AV295" s="682"/>
      <c r="AW295" s="682"/>
      <c r="AX295" s="682"/>
      <c r="AY295" s="682"/>
      <c r="AZ295" s="682"/>
      <c r="BA295" s="682"/>
      <c r="BB295" s="68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</row>
    <row r="296" spans="1:116" s="679" customFormat="1" ht="15.7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13"/>
      <c r="AA296" s="2"/>
      <c r="AB296" s="724"/>
      <c r="AC296" s="784"/>
      <c r="AD296" s="787"/>
      <c r="AE296" s="787"/>
      <c r="AF296" s="550"/>
      <c r="AG296" s="697"/>
      <c r="AH296" s="698"/>
      <c r="AI296" s="697"/>
      <c r="AJ296" s="697"/>
      <c r="AK296" s="550"/>
      <c r="AR296" s="682"/>
      <c r="AS296" s="682"/>
      <c r="AT296" s="682"/>
      <c r="AU296" s="682"/>
      <c r="AV296" s="682"/>
      <c r="AW296" s="682"/>
      <c r="AX296" s="682"/>
      <c r="AY296" s="682"/>
      <c r="AZ296" s="682"/>
      <c r="BA296" s="682"/>
      <c r="BB296" s="68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</row>
    <row r="297" spans="1:116" s="679" customFormat="1" ht="15.7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13"/>
      <c r="AA297" s="2"/>
      <c r="AB297" s="724"/>
      <c r="AC297" s="784"/>
      <c r="AD297" s="787"/>
      <c r="AE297" s="787"/>
      <c r="AF297" s="550"/>
      <c r="AG297" s="697"/>
      <c r="AH297" s="698"/>
      <c r="AI297" s="697"/>
      <c r="AJ297" s="697"/>
      <c r="AK297" s="550"/>
      <c r="AR297" s="682"/>
      <c r="AS297" s="682"/>
      <c r="AT297" s="682"/>
      <c r="AU297" s="682"/>
      <c r="AV297" s="682"/>
      <c r="AW297" s="682"/>
      <c r="AX297" s="682"/>
      <c r="AY297" s="682"/>
      <c r="AZ297" s="682"/>
      <c r="BA297" s="682"/>
      <c r="BB297" s="68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</row>
    <row r="298" spans="1:116" s="679" customFormat="1" ht="15.7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13"/>
      <c r="AA298" s="2"/>
      <c r="AB298" s="724"/>
      <c r="AC298" s="784"/>
      <c r="AD298" s="787"/>
      <c r="AE298" s="787"/>
      <c r="AF298" s="550"/>
      <c r="AG298" s="697"/>
      <c r="AH298" s="698"/>
      <c r="AI298" s="697"/>
      <c r="AJ298" s="697"/>
      <c r="AK298" s="550"/>
      <c r="AR298" s="682"/>
      <c r="AS298" s="682"/>
      <c r="AT298" s="682"/>
      <c r="AU298" s="682"/>
      <c r="AV298" s="682"/>
      <c r="AW298" s="682"/>
      <c r="AX298" s="682"/>
      <c r="AY298" s="682"/>
      <c r="AZ298" s="682"/>
      <c r="BA298" s="682"/>
      <c r="BB298" s="68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</row>
    <row r="299" spans="1:116" s="679" customFormat="1" ht="15.7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13"/>
      <c r="AA299" s="2"/>
      <c r="AB299" s="724"/>
      <c r="AC299" s="784"/>
      <c r="AD299" s="787"/>
      <c r="AE299" s="787"/>
      <c r="AF299" s="550"/>
      <c r="AG299" s="697"/>
      <c r="AH299" s="698"/>
      <c r="AI299" s="697"/>
      <c r="AJ299" s="697"/>
      <c r="AK299" s="550"/>
      <c r="AR299" s="682"/>
      <c r="AS299" s="682"/>
      <c r="AT299" s="682"/>
      <c r="AU299" s="682"/>
      <c r="AV299" s="682"/>
      <c r="AW299" s="682"/>
      <c r="AX299" s="682"/>
      <c r="AY299" s="682"/>
      <c r="AZ299" s="682"/>
      <c r="BA299" s="682"/>
      <c r="BB299" s="68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</row>
    <row r="300" spans="1:116" s="679" customFormat="1" ht="15.7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13"/>
      <c r="AA300" s="2"/>
      <c r="AB300" s="724"/>
      <c r="AC300" s="784"/>
      <c r="AD300" s="787"/>
      <c r="AE300" s="787"/>
      <c r="AF300" s="550"/>
      <c r="AG300" s="697"/>
      <c r="AH300" s="698"/>
      <c r="AI300" s="697"/>
      <c r="AJ300" s="697"/>
      <c r="AK300" s="550"/>
      <c r="AR300" s="682"/>
      <c r="AS300" s="682"/>
      <c r="AT300" s="682"/>
      <c r="AU300" s="682"/>
      <c r="AV300" s="682"/>
      <c r="AW300" s="682"/>
      <c r="AX300" s="682"/>
      <c r="AY300" s="682"/>
      <c r="AZ300" s="682"/>
      <c r="BA300" s="682"/>
      <c r="BB300" s="68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</row>
    <row r="301" spans="1:116" s="679" customFormat="1" ht="15.7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13"/>
      <c r="AA301" s="2"/>
      <c r="AB301" s="724"/>
      <c r="AC301" s="784"/>
      <c r="AD301" s="787"/>
      <c r="AE301" s="787"/>
      <c r="AF301" s="550"/>
      <c r="AG301" s="697"/>
      <c r="AH301" s="698"/>
      <c r="AI301" s="697"/>
      <c r="AJ301" s="697"/>
      <c r="AK301" s="550"/>
      <c r="AR301" s="682"/>
      <c r="AS301" s="682"/>
      <c r="AT301" s="682"/>
      <c r="AU301" s="682"/>
      <c r="AV301" s="682"/>
      <c r="AW301" s="682"/>
      <c r="AX301" s="682"/>
      <c r="AY301" s="682"/>
      <c r="AZ301" s="682"/>
      <c r="BA301" s="682"/>
      <c r="BB301" s="68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</row>
    <row r="302" spans="1:116" s="679" customFormat="1" ht="15.7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13"/>
      <c r="AA302" s="2"/>
      <c r="AB302" s="724"/>
      <c r="AC302" s="784"/>
      <c r="AD302" s="787"/>
      <c r="AE302" s="787"/>
      <c r="AF302" s="550"/>
      <c r="AG302" s="697"/>
      <c r="AH302" s="698"/>
      <c r="AI302" s="697"/>
      <c r="AJ302" s="697"/>
      <c r="AK302" s="550"/>
      <c r="AR302" s="682"/>
      <c r="AS302" s="682"/>
      <c r="AT302" s="682"/>
      <c r="AU302" s="682"/>
      <c r="AV302" s="682"/>
      <c r="AW302" s="682"/>
      <c r="AX302" s="682"/>
      <c r="AY302" s="682"/>
      <c r="AZ302" s="682"/>
      <c r="BA302" s="682"/>
      <c r="BB302" s="68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</row>
    <row r="303" spans="1:116" s="679" customFormat="1" ht="15.7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13"/>
      <c r="AA303" s="2"/>
      <c r="AB303" s="724"/>
      <c r="AC303" s="784"/>
      <c r="AD303" s="787"/>
      <c r="AE303" s="787"/>
      <c r="AF303" s="550"/>
      <c r="AG303" s="697"/>
      <c r="AH303" s="698"/>
      <c r="AI303" s="697"/>
      <c r="AJ303" s="697"/>
      <c r="AK303" s="550"/>
      <c r="AR303" s="682"/>
      <c r="AS303" s="682"/>
      <c r="AT303" s="682"/>
      <c r="AU303" s="682"/>
      <c r="AV303" s="682"/>
      <c r="AW303" s="682"/>
      <c r="AX303" s="682"/>
      <c r="AY303" s="682"/>
      <c r="AZ303" s="682"/>
      <c r="BA303" s="682"/>
      <c r="BB303" s="68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</row>
    <row r="304" spans="1:116" s="679" customFormat="1" ht="15.7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13"/>
      <c r="AA304" s="2"/>
      <c r="AB304" s="724"/>
      <c r="AC304" s="784"/>
      <c r="AD304" s="787"/>
      <c r="AE304" s="787"/>
      <c r="AF304" s="550"/>
      <c r="AG304" s="697"/>
      <c r="AH304" s="698"/>
      <c r="AI304" s="697"/>
      <c r="AJ304" s="697"/>
      <c r="AK304" s="550"/>
      <c r="AR304" s="682"/>
      <c r="AS304" s="682"/>
      <c r="AT304" s="682"/>
      <c r="AU304" s="682"/>
      <c r="AV304" s="682"/>
      <c r="AW304" s="682"/>
      <c r="AX304" s="682"/>
      <c r="AY304" s="682"/>
      <c r="AZ304" s="682"/>
      <c r="BA304" s="682"/>
      <c r="BB304" s="68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</row>
    <row r="305" spans="1:116" s="679" customFormat="1" ht="15.7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13"/>
      <c r="AA305" s="2"/>
      <c r="AB305" s="724"/>
      <c r="AC305" s="784"/>
      <c r="AD305" s="787"/>
      <c r="AE305" s="787"/>
      <c r="AF305" s="550"/>
      <c r="AG305" s="697"/>
      <c r="AH305" s="698"/>
      <c r="AI305" s="697"/>
      <c r="AJ305" s="697"/>
      <c r="AK305" s="550"/>
      <c r="AR305" s="682"/>
      <c r="AS305" s="682"/>
      <c r="AT305" s="682"/>
      <c r="AU305" s="682"/>
      <c r="AV305" s="682"/>
      <c r="AW305" s="682"/>
      <c r="AX305" s="682"/>
      <c r="AY305" s="682"/>
      <c r="AZ305" s="682"/>
      <c r="BA305" s="682"/>
      <c r="BB305" s="68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</row>
    <row r="306" spans="1:116" s="679" customFormat="1" ht="15.7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13"/>
      <c r="AA306" s="2"/>
      <c r="AB306" s="724"/>
      <c r="AC306" s="784"/>
      <c r="AD306" s="787"/>
      <c r="AE306" s="787"/>
      <c r="AF306" s="550"/>
      <c r="AG306" s="697"/>
      <c r="AH306" s="698"/>
      <c r="AI306" s="697"/>
      <c r="AJ306" s="697"/>
      <c r="AK306" s="550"/>
      <c r="AR306" s="682"/>
      <c r="AS306" s="682"/>
      <c r="AT306" s="682"/>
      <c r="AU306" s="682"/>
      <c r="AV306" s="682"/>
      <c r="AW306" s="682"/>
      <c r="AX306" s="682"/>
      <c r="AY306" s="682"/>
      <c r="AZ306" s="682"/>
      <c r="BA306" s="682"/>
      <c r="BB306" s="68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</row>
    <row r="307" spans="1:116" s="679" customFormat="1" ht="15.7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13"/>
      <c r="AA307" s="2"/>
      <c r="AB307" s="724"/>
      <c r="AC307" s="784"/>
      <c r="AD307" s="787"/>
      <c r="AE307" s="787"/>
      <c r="AF307" s="550"/>
      <c r="AG307" s="697"/>
      <c r="AH307" s="698"/>
      <c r="AI307" s="697"/>
      <c r="AJ307" s="697"/>
      <c r="AK307" s="550"/>
      <c r="AR307" s="682"/>
      <c r="AS307" s="682"/>
      <c r="AT307" s="682"/>
      <c r="AU307" s="682"/>
      <c r="AV307" s="682"/>
      <c r="AW307" s="682"/>
      <c r="AX307" s="682"/>
      <c r="AY307" s="682"/>
      <c r="AZ307" s="682"/>
      <c r="BA307" s="682"/>
      <c r="BB307" s="68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</row>
    <row r="308" spans="1:116" s="679" customFormat="1" ht="15.7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13"/>
      <c r="AA308" s="2"/>
      <c r="AB308" s="724"/>
      <c r="AC308" s="784"/>
      <c r="AD308" s="787"/>
      <c r="AE308" s="787"/>
      <c r="AF308" s="550"/>
      <c r="AG308" s="697"/>
      <c r="AH308" s="698"/>
      <c r="AI308" s="697"/>
      <c r="AJ308" s="697"/>
      <c r="AK308" s="550"/>
      <c r="AR308" s="682"/>
      <c r="AS308" s="682"/>
      <c r="AT308" s="682"/>
      <c r="AU308" s="682"/>
      <c r="AV308" s="682"/>
      <c r="AW308" s="682"/>
      <c r="AX308" s="682"/>
      <c r="AY308" s="682"/>
      <c r="AZ308" s="682"/>
      <c r="BA308" s="682"/>
      <c r="BB308" s="68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</row>
    <row r="309" spans="1:116" s="679" customFormat="1" ht="15.7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13"/>
      <c r="AA309" s="2"/>
      <c r="AB309" s="724"/>
      <c r="AC309" s="784"/>
      <c r="AD309" s="787"/>
      <c r="AE309" s="787"/>
      <c r="AF309" s="550"/>
      <c r="AG309" s="697"/>
      <c r="AH309" s="698"/>
      <c r="AI309" s="697"/>
      <c r="AJ309" s="697"/>
      <c r="AK309" s="550"/>
      <c r="AR309" s="682"/>
      <c r="AS309" s="682"/>
      <c r="AT309" s="682"/>
      <c r="AU309" s="682"/>
      <c r="AV309" s="682"/>
      <c r="AW309" s="682"/>
      <c r="AX309" s="682"/>
      <c r="AY309" s="682"/>
      <c r="AZ309" s="682"/>
      <c r="BA309" s="682"/>
      <c r="BB309" s="68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</row>
    <row r="310" spans="1:116" s="679" customFormat="1" ht="15.7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13"/>
      <c r="AA310" s="2"/>
      <c r="AB310" s="724"/>
      <c r="AC310" s="784"/>
      <c r="AD310" s="787"/>
      <c r="AE310" s="787"/>
      <c r="AF310" s="550"/>
      <c r="AG310" s="697"/>
      <c r="AH310" s="698"/>
      <c r="AI310" s="697"/>
      <c r="AJ310" s="697"/>
      <c r="AK310" s="550"/>
      <c r="AR310" s="682"/>
      <c r="AS310" s="682"/>
      <c r="AT310" s="682"/>
      <c r="AU310" s="682"/>
      <c r="AV310" s="682"/>
      <c r="AW310" s="682"/>
      <c r="AX310" s="682"/>
      <c r="AY310" s="682"/>
      <c r="AZ310" s="682"/>
      <c r="BA310" s="682"/>
      <c r="BB310" s="68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</row>
    <row r="311" spans="1:116" s="679" customFormat="1" ht="15.7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13"/>
      <c r="AA311" s="2"/>
      <c r="AB311" s="724"/>
      <c r="AC311" s="784"/>
      <c r="AD311" s="787"/>
      <c r="AE311" s="787"/>
      <c r="AF311" s="550"/>
      <c r="AG311" s="697"/>
      <c r="AH311" s="698"/>
      <c r="AI311" s="697"/>
      <c r="AJ311" s="697"/>
      <c r="AK311" s="550"/>
      <c r="AR311" s="682"/>
      <c r="AS311" s="682"/>
      <c r="AT311" s="682"/>
      <c r="AU311" s="682"/>
      <c r="AV311" s="682"/>
      <c r="AW311" s="682"/>
      <c r="AX311" s="682"/>
      <c r="AY311" s="682"/>
      <c r="AZ311" s="682"/>
      <c r="BA311" s="682"/>
      <c r="BB311" s="68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</row>
    <row r="312" spans="1:116" s="679" customFormat="1" ht="15.7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13"/>
      <c r="AA312" s="2"/>
      <c r="AB312" s="724"/>
      <c r="AC312" s="784"/>
      <c r="AD312" s="787"/>
      <c r="AE312" s="787"/>
      <c r="AF312" s="550"/>
      <c r="AG312" s="697"/>
      <c r="AH312" s="698"/>
      <c r="AI312" s="697"/>
      <c r="AJ312" s="697"/>
      <c r="AK312" s="550"/>
      <c r="AR312" s="682"/>
      <c r="AS312" s="682"/>
      <c r="AT312" s="682"/>
      <c r="AU312" s="682"/>
      <c r="AV312" s="682"/>
      <c r="AW312" s="682"/>
      <c r="AX312" s="682"/>
      <c r="AY312" s="682"/>
      <c r="AZ312" s="682"/>
      <c r="BA312" s="682"/>
      <c r="BB312" s="68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</row>
    <row r="313" spans="1:116" s="679" customFormat="1" ht="15.7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13"/>
      <c r="AA313" s="2"/>
      <c r="AB313" s="724"/>
      <c r="AC313" s="784"/>
      <c r="AD313" s="787"/>
      <c r="AE313" s="787"/>
      <c r="AF313" s="550"/>
      <c r="AG313" s="697"/>
      <c r="AH313" s="698"/>
      <c r="AI313" s="697"/>
      <c r="AJ313" s="697"/>
      <c r="AK313" s="550"/>
      <c r="AR313" s="682"/>
      <c r="AS313" s="682"/>
      <c r="AT313" s="682"/>
      <c r="AU313" s="682"/>
      <c r="AV313" s="682"/>
      <c r="AW313" s="682"/>
      <c r="AX313" s="682"/>
      <c r="AY313" s="682"/>
      <c r="AZ313" s="682"/>
      <c r="BA313" s="682"/>
      <c r="BB313" s="68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</row>
    <row r="314" spans="1:116" s="679" customFormat="1" ht="15.7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13"/>
      <c r="AA314" s="2"/>
      <c r="AB314" s="724"/>
      <c r="AC314" s="784"/>
      <c r="AD314" s="787"/>
      <c r="AE314" s="787"/>
      <c r="AF314" s="550"/>
      <c r="AG314" s="697"/>
      <c r="AH314" s="698"/>
      <c r="AI314" s="697"/>
      <c r="AJ314" s="697"/>
      <c r="AK314" s="550"/>
      <c r="AR314" s="682"/>
      <c r="AS314" s="682"/>
      <c r="AT314" s="682"/>
      <c r="AU314" s="682"/>
      <c r="AV314" s="682"/>
      <c r="AW314" s="682"/>
      <c r="AX314" s="682"/>
      <c r="AY314" s="682"/>
      <c r="AZ314" s="682"/>
      <c r="BA314" s="682"/>
      <c r="BB314" s="68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</row>
    <row r="315" spans="1:116" s="679" customFormat="1" ht="15.7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13"/>
      <c r="AA315" s="2"/>
      <c r="AB315" s="724"/>
      <c r="AC315" s="784"/>
      <c r="AD315" s="787"/>
      <c r="AE315" s="787"/>
      <c r="AF315" s="550"/>
      <c r="AG315" s="697"/>
      <c r="AH315" s="698"/>
      <c r="AI315" s="697"/>
      <c r="AJ315" s="697"/>
      <c r="AK315" s="550"/>
      <c r="AR315" s="682"/>
      <c r="AS315" s="682"/>
      <c r="AT315" s="682"/>
      <c r="AU315" s="682"/>
      <c r="AV315" s="682"/>
      <c r="AW315" s="682"/>
      <c r="AX315" s="682"/>
      <c r="AY315" s="682"/>
      <c r="AZ315" s="682"/>
      <c r="BA315" s="682"/>
      <c r="BB315" s="68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</row>
    <row r="316" spans="1:116" s="679" customFormat="1" ht="15.7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13"/>
      <c r="AA316" s="2"/>
      <c r="AB316" s="724"/>
      <c r="AC316" s="784"/>
      <c r="AD316" s="787"/>
      <c r="AE316" s="787"/>
      <c r="AF316" s="550"/>
      <c r="AG316" s="697"/>
      <c r="AH316" s="698"/>
      <c r="AI316" s="697"/>
      <c r="AJ316" s="697"/>
      <c r="AK316" s="550"/>
      <c r="AR316" s="682"/>
      <c r="AS316" s="682"/>
      <c r="AT316" s="682"/>
      <c r="AU316" s="682"/>
      <c r="AV316" s="682"/>
      <c r="AW316" s="682"/>
      <c r="AX316" s="682"/>
      <c r="AY316" s="682"/>
      <c r="AZ316" s="682"/>
      <c r="BA316" s="682"/>
      <c r="BB316" s="68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</row>
    <row r="317" spans="1:116" s="679" customFormat="1" ht="15.7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13"/>
      <c r="AA317" s="2"/>
      <c r="AB317" s="724"/>
      <c r="AC317" s="784"/>
      <c r="AD317" s="787"/>
      <c r="AE317" s="787"/>
      <c r="AF317" s="550"/>
      <c r="AG317" s="697"/>
      <c r="AH317" s="698"/>
      <c r="AI317" s="697"/>
      <c r="AJ317" s="697"/>
      <c r="AK317" s="550"/>
      <c r="AR317" s="682"/>
      <c r="AS317" s="682"/>
      <c r="AT317" s="682"/>
      <c r="AU317" s="682"/>
      <c r="AV317" s="682"/>
      <c r="AW317" s="682"/>
      <c r="AX317" s="682"/>
      <c r="AY317" s="682"/>
      <c r="AZ317" s="682"/>
      <c r="BA317" s="682"/>
      <c r="BB317" s="68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</row>
    <row r="318" spans="1:116" s="679" customFormat="1" ht="15.7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13"/>
      <c r="AA318" s="2"/>
      <c r="AB318" s="724"/>
      <c r="AC318" s="784"/>
      <c r="AD318" s="787"/>
      <c r="AE318" s="787"/>
      <c r="AF318" s="550"/>
      <c r="AG318" s="697"/>
      <c r="AH318" s="698"/>
      <c r="AI318" s="697"/>
      <c r="AJ318" s="697"/>
      <c r="AK318" s="550"/>
      <c r="AR318" s="682"/>
      <c r="AS318" s="682"/>
      <c r="AT318" s="682"/>
      <c r="AU318" s="682"/>
      <c r="AV318" s="682"/>
      <c r="AW318" s="682"/>
      <c r="AX318" s="682"/>
      <c r="AY318" s="682"/>
      <c r="AZ318" s="682"/>
      <c r="BA318" s="682"/>
      <c r="BB318" s="68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</row>
    <row r="319" spans="1:116" s="679" customFormat="1" ht="15.7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13"/>
      <c r="AA319" s="2"/>
      <c r="AB319" s="724"/>
      <c r="AC319" s="784"/>
      <c r="AD319" s="787"/>
      <c r="AE319" s="787"/>
      <c r="AF319" s="550"/>
      <c r="AG319" s="697"/>
      <c r="AH319" s="698"/>
      <c r="AI319" s="697"/>
      <c r="AJ319" s="697"/>
      <c r="AK319" s="550"/>
      <c r="AR319" s="682"/>
      <c r="AS319" s="682"/>
      <c r="AT319" s="682"/>
      <c r="AU319" s="682"/>
      <c r="AV319" s="682"/>
      <c r="AW319" s="682"/>
      <c r="AX319" s="682"/>
      <c r="AY319" s="682"/>
      <c r="AZ319" s="682"/>
      <c r="BA319" s="682"/>
      <c r="BB319" s="68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</row>
    <row r="320" spans="1:116" s="679" customFormat="1" ht="15.7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13"/>
      <c r="AA320" s="2"/>
      <c r="AB320" s="724"/>
      <c r="AC320" s="784"/>
      <c r="AD320" s="787"/>
      <c r="AE320" s="787"/>
      <c r="AF320" s="550"/>
      <c r="AG320" s="697"/>
      <c r="AH320" s="698"/>
      <c r="AI320" s="697"/>
      <c r="AJ320" s="697"/>
      <c r="AK320" s="550"/>
      <c r="AR320" s="682"/>
      <c r="AS320" s="682"/>
      <c r="AT320" s="682"/>
      <c r="AU320" s="682"/>
      <c r="AV320" s="682"/>
      <c r="AW320" s="682"/>
      <c r="AX320" s="682"/>
      <c r="AY320" s="682"/>
      <c r="AZ320" s="682"/>
      <c r="BA320" s="682"/>
      <c r="BB320" s="68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</row>
    <row r="321" spans="1:116" s="679" customFormat="1" ht="15.7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13"/>
      <c r="AA321" s="2"/>
      <c r="AB321" s="724"/>
      <c r="AC321" s="784"/>
      <c r="AD321" s="787"/>
      <c r="AE321" s="787"/>
      <c r="AF321" s="550"/>
      <c r="AG321" s="697"/>
      <c r="AH321" s="698"/>
      <c r="AI321" s="697"/>
      <c r="AJ321" s="697"/>
      <c r="AK321" s="550"/>
      <c r="AR321" s="682"/>
      <c r="AS321" s="682"/>
      <c r="AT321" s="682"/>
      <c r="AU321" s="682"/>
      <c r="AV321" s="682"/>
      <c r="AW321" s="682"/>
      <c r="AX321" s="682"/>
      <c r="AY321" s="682"/>
      <c r="AZ321" s="682"/>
      <c r="BA321" s="682"/>
      <c r="BB321" s="68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</row>
    <row r="322" spans="1:116" s="679" customFormat="1" ht="15.7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13"/>
      <c r="AA322" s="2"/>
      <c r="AB322" s="724"/>
      <c r="AC322" s="784"/>
      <c r="AD322" s="787"/>
      <c r="AE322" s="787"/>
      <c r="AF322" s="550"/>
      <c r="AG322" s="697"/>
      <c r="AH322" s="698"/>
      <c r="AI322" s="697"/>
      <c r="AJ322" s="697"/>
      <c r="AK322" s="550"/>
      <c r="AR322" s="682"/>
      <c r="AS322" s="682"/>
      <c r="AT322" s="682"/>
      <c r="AU322" s="682"/>
      <c r="AV322" s="682"/>
      <c r="AW322" s="682"/>
      <c r="AX322" s="682"/>
      <c r="AY322" s="682"/>
      <c r="AZ322" s="682"/>
      <c r="BA322" s="682"/>
      <c r="BB322" s="68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</row>
    <row r="323" spans="1:116" s="679" customFormat="1" ht="15.7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13"/>
      <c r="AA323" s="2"/>
      <c r="AB323" s="724"/>
      <c r="AC323" s="784"/>
      <c r="AD323" s="787"/>
      <c r="AE323" s="787"/>
      <c r="AF323" s="550"/>
      <c r="AG323" s="697"/>
      <c r="AH323" s="698"/>
      <c r="AI323" s="697"/>
      <c r="AJ323" s="697"/>
      <c r="AK323" s="550"/>
      <c r="AR323" s="682"/>
      <c r="AS323" s="682"/>
      <c r="AT323" s="682"/>
      <c r="AU323" s="682"/>
      <c r="AV323" s="682"/>
      <c r="AW323" s="682"/>
      <c r="AX323" s="682"/>
      <c r="AY323" s="682"/>
      <c r="AZ323" s="682"/>
      <c r="BA323" s="682"/>
      <c r="BB323" s="68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</row>
    <row r="324" spans="1:116" s="679" customFormat="1" ht="15.7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13"/>
      <c r="AA324" s="2"/>
      <c r="AB324" s="724"/>
      <c r="AC324" s="784"/>
      <c r="AD324" s="787"/>
      <c r="AE324" s="787"/>
      <c r="AF324" s="550"/>
      <c r="AG324" s="697"/>
      <c r="AH324" s="698"/>
      <c r="AI324" s="697"/>
      <c r="AJ324" s="697"/>
      <c r="AK324" s="550"/>
      <c r="AR324" s="682"/>
      <c r="AS324" s="682"/>
      <c r="AT324" s="682"/>
      <c r="AU324" s="682"/>
      <c r="AV324" s="682"/>
      <c r="AW324" s="682"/>
      <c r="AX324" s="682"/>
      <c r="AY324" s="682"/>
      <c r="AZ324" s="682"/>
      <c r="BA324" s="682"/>
      <c r="BB324" s="68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</row>
    <row r="325" spans="1:116" s="679" customFormat="1" ht="15.7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13"/>
      <c r="AA325" s="2"/>
      <c r="AB325" s="724"/>
      <c r="AC325" s="784"/>
      <c r="AD325" s="787"/>
      <c r="AE325" s="787"/>
      <c r="AF325" s="550"/>
      <c r="AG325" s="697"/>
      <c r="AH325" s="698"/>
      <c r="AI325" s="697"/>
      <c r="AJ325" s="697"/>
      <c r="AK325" s="550"/>
      <c r="AR325" s="682"/>
      <c r="AS325" s="682"/>
      <c r="AT325" s="682"/>
      <c r="AU325" s="682"/>
      <c r="AV325" s="682"/>
      <c r="AW325" s="682"/>
      <c r="AX325" s="682"/>
      <c r="AY325" s="682"/>
      <c r="AZ325" s="682"/>
      <c r="BA325" s="682"/>
      <c r="BB325" s="68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</row>
    <row r="326" spans="1:116" s="679" customFormat="1" ht="15.7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13"/>
      <c r="AA326" s="2"/>
      <c r="AB326" s="724"/>
      <c r="AC326" s="784"/>
      <c r="AD326" s="787"/>
      <c r="AE326" s="787"/>
      <c r="AF326" s="550"/>
      <c r="AG326" s="697"/>
      <c r="AH326" s="698"/>
      <c r="AI326" s="697"/>
      <c r="AJ326" s="697"/>
      <c r="AK326" s="550"/>
      <c r="AR326" s="682"/>
      <c r="AS326" s="682"/>
      <c r="AT326" s="682"/>
      <c r="AU326" s="682"/>
      <c r="AV326" s="682"/>
      <c r="AW326" s="682"/>
      <c r="AX326" s="682"/>
      <c r="AY326" s="682"/>
      <c r="AZ326" s="682"/>
      <c r="BA326" s="682"/>
      <c r="BB326" s="68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</row>
    <row r="327" spans="1:116" s="679" customFormat="1" ht="15.7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13"/>
      <c r="AA327" s="2"/>
      <c r="AB327" s="724"/>
      <c r="AC327" s="784"/>
      <c r="AD327" s="787"/>
      <c r="AE327" s="787"/>
      <c r="AF327" s="550"/>
      <c r="AG327" s="697"/>
      <c r="AH327" s="698"/>
      <c r="AI327" s="697"/>
      <c r="AJ327" s="697"/>
      <c r="AK327" s="550"/>
      <c r="AR327" s="682"/>
      <c r="AS327" s="682"/>
      <c r="AT327" s="682"/>
      <c r="AU327" s="682"/>
      <c r="AV327" s="682"/>
      <c r="AW327" s="682"/>
      <c r="AX327" s="682"/>
      <c r="AY327" s="682"/>
      <c r="AZ327" s="682"/>
      <c r="BA327" s="682"/>
      <c r="BB327" s="68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</row>
    <row r="328" spans="1:116" s="679" customFormat="1" ht="15.7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13"/>
      <c r="AA328" s="2"/>
      <c r="AB328" s="724"/>
      <c r="AC328" s="784"/>
      <c r="AD328" s="787"/>
      <c r="AE328" s="787"/>
      <c r="AF328" s="550"/>
      <c r="AG328" s="697"/>
      <c r="AH328" s="698"/>
      <c r="AI328" s="697"/>
      <c r="AJ328" s="697"/>
      <c r="AK328" s="550"/>
      <c r="AR328" s="682"/>
      <c r="AS328" s="682"/>
      <c r="AT328" s="682"/>
      <c r="AU328" s="682"/>
      <c r="AV328" s="682"/>
      <c r="AW328" s="682"/>
      <c r="AX328" s="682"/>
      <c r="AY328" s="682"/>
      <c r="AZ328" s="682"/>
      <c r="BA328" s="682"/>
      <c r="BB328" s="68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</row>
    <row r="329" spans="1:116" s="679" customFormat="1" ht="15.7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13"/>
      <c r="AA329" s="2"/>
      <c r="AB329" s="724"/>
      <c r="AC329" s="784"/>
      <c r="AD329" s="787"/>
      <c r="AE329" s="787"/>
      <c r="AF329" s="550"/>
      <c r="AG329" s="697"/>
      <c r="AH329" s="698"/>
      <c r="AI329" s="697"/>
      <c r="AJ329" s="697"/>
      <c r="AK329" s="550"/>
      <c r="AR329" s="682"/>
      <c r="AS329" s="682"/>
      <c r="AT329" s="682"/>
      <c r="AU329" s="682"/>
      <c r="AV329" s="682"/>
      <c r="AW329" s="682"/>
      <c r="AX329" s="682"/>
      <c r="AY329" s="682"/>
      <c r="AZ329" s="682"/>
      <c r="BA329" s="682"/>
      <c r="BB329" s="68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</row>
    <row r="330" spans="1:116" s="679" customFormat="1" ht="15.7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13"/>
      <c r="AA330" s="2"/>
      <c r="AB330" s="724"/>
      <c r="AC330" s="784"/>
      <c r="AD330" s="787"/>
      <c r="AE330" s="787"/>
      <c r="AF330" s="550"/>
      <c r="AG330" s="697"/>
      <c r="AH330" s="698"/>
      <c r="AI330" s="697"/>
      <c r="AJ330" s="697"/>
      <c r="AK330" s="550"/>
      <c r="AR330" s="682"/>
      <c r="AS330" s="682"/>
      <c r="AT330" s="682"/>
      <c r="AU330" s="682"/>
      <c r="AV330" s="682"/>
      <c r="AW330" s="682"/>
      <c r="AX330" s="682"/>
      <c r="AY330" s="682"/>
      <c r="AZ330" s="682"/>
      <c r="BA330" s="682"/>
      <c r="BB330" s="68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</row>
    <row r="331" spans="1:116" s="679" customFormat="1" ht="15.7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13"/>
      <c r="AA331" s="2"/>
      <c r="AB331" s="724"/>
      <c r="AC331" s="784"/>
      <c r="AD331" s="787"/>
      <c r="AE331" s="787"/>
      <c r="AF331" s="550"/>
      <c r="AG331" s="697"/>
      <c r="AH331" s="698"/>
      <c r="AI331" s="697"/>
      <c r="AJ331" s="697"/>
      <c r="AK331" s="550"/>
      <c r="AR331" s="682"/>
      <c r="AS331" s="682"/>
      <c r="AT331" s="682"/>
      <c r="AU331" s="682"/>
      <c r="AV331" s="682"/>
      <c r="AW331" s="682"/>
      <c r="AX331" s="682"/>
      <c r="AY331" s="682"/>
      <c r="AZ331" s="682"/>
      <c r="BA331" s="682"/>
      <c r="BB331" s="68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</row>
    <row r="332" spans="1:116" s="679" customFormat="1" ht="15.7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13"/>
      <c r="AA332" s="2"/>
      <c r="AB332" s="724"/>
      <c r="AC332" s="784"/>
      <c r="AD332" s="787"/>
      <c r="AE332" s="787"/>
      <c r="AF332" s="550"/>
      <c r="AG332" s="697"/>
      <c r="AH332" s="698"/>
      <c r="AI332" s="697"/>
      <c r="AJ332" s="697"/>
      <c r="AK332" s="550"/>
      <c r="AR332" s="682"/>
      <c r="AS332" s="682"/>
      <c r="AT332" s="682"/>
      <c r="AU332" s="682"/>
      <c r="AV332" s="682"/>
      <c r="AW332" s="682"/>
      <c r="AX332" s="682"/>
      <c r="AY332" s="682"/>
      <c r="AZ332" s="682"/>
      <c r="BA332" s="682"/>
      <c r="BB332" s="68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</row>
    <row r="333" spans="1:116" s="679" customFormat="1" ht="15.7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13"/>
      <c r="AA333" s="2"/>
      <c r="AB333" s="724"/>
      <c r="AC333" s="784"/>
      <c r="AD333" s="787"/>
      <c r="AE333" s="787"/>
      <c r="AF333" s="550"/>
      <c r="AG333" s="697"/>
      <c r="AH333" s="698"/>
      <c r="AI333" s="697"/>
      <c r="AJ333" s="697"/>
      <c r="AK333" s="550"/>
      <c r="AR333" s="682"/>
      <c r="AS333" s="682"/>
      <c r="AT333" s="682"/>
      <c r="AU333" s="682"/>
      <c r="AV333" s="682"/>
      <c r="AW333" s="682"/>
      <c r="AX333" s="682"/>
      <c r="AY333" s="682"/>
      <c r="AZ333" s="682"/>
      <c r="BA333" s="682"/>
      <c r="BB333" s="68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</row>
    <row r="334" spans="1:116" s="679" customFormat="1" ht="15.7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13"/>
      <c r="AA334" s="2"/>
      <c r="AB334" s="724"/>
      <c r="AC334" s="784"/>
      <c r="AD334" s="787"/>
      <c r="AE334" s="787"/>
      <c r="AF334" s="550"/>
      <c r="AG334" s="697"/>
      <c r="AH334" s="698"/>
      <c r="AI334" s="697"/>
      <c r="AJ334" s="697"/>
      <c r="AK334" s="550"/>
      <c r="AR334" s="682"/>
      <c r="AS334" s="682"/>
      <c r="AT334" s="682"/>
      <c r="AU334" s="682"/>
      <c r="AV334" s="682"/>
      <c r="AW334" s="682"/>
      <c r="AX334" s="682"/>
      <c r="AY334" s="682"/>
      <c r="AZ334" s="682"/>
      <c r="BA334" s="682"/>
      <c r="BB334" s="68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</row>
    <row r="335" spans="1:116" s="679" customFormat="1" ht="15.7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13"/>
      <c r="AA335" s="2"/>
      <c r="AB335" s="724"/>
      <c r="AC335" s="784"/>
      <c r="AD335" s="787"/>
      <c r="AE335" s="787"/>
      <c r="AF335" s="550"/>
      <c r="AG335" s="697"/>
      <c r="AH335" s="698"/>
      <c r="AI335" s="697"/>
      <c r="AJ335" s="697"/>
      <c r="AK335" s="550"/>
      <c r="AR335" s="682"/>
      <c r="AS335" s="682"/>
      <c r="AT335" s="682"/>
      <c r="AU335" s="682"/>
      <c r="AV335" s="682"/>
      <c r="AW335" s="682"/>
      <c r="AX335" s="682"/>
      <c r="AY335" s="682"/>
      <c r="AZ335" s="682"/>
      <c r="BA335" s="682"/>
      <c r="BB335" s="68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</row>
    <row r="336" spans="1:116" s="679" customFormat="1" ht="15.7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13"/>
      <c r="AA336" s="2"/>
      <c r="AB336" s="724"/>
      <c r="AC336" s="784"/>
      <c r="AD336" s="787"/>
      <c r="AE336" s="787"/>
      <c r="AF336" s="550"/>
      <c r="AG336" s="697"/>
      <c r="AH336" s="698"/>
      <c r="AI336" s="697"/>
      <c r="AJ336" s="697"/>
      <c r="AK336" s="550"/>
      <c r="AR336" s="682"/>
      <c r="AS336" s="682"/>
      <c r="AT336" s="682"/>
      <c r="AU336" s="682"/>
      <c r="AV336" s="682"/>
      <c r="AW336" s="682"/>
      <c r="AX336" s="682"/>
      <c r="AY336" s="682"/>
      <c r="AZ336" s="682"/>
      <c r="BA336" s="682"/>
      <c r="BB336" s="68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</row>
    <row r="337" spans="1:116" s="679" customFormat="1" ht="15.7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13"/>
      <c r="AA337" s="2"/>
      <c r="AB337" s="724"/>
      <c r="AC337" s="784"/>
      <c r="AD337" s="787"/>
      <c r="AE337" s="787"/>
      <c r="AF337" s="550"/>
      <c r="AG337" s="697"/>
      <c r="AH337" s="698"/>
      <c r="AI337" s="697"/>
      <c r="AJ337" s="697"/>
      <c r="AK337" s="550"/>
      <c r="AR337" s="682"/>
      <c r="AS337" s="682"/>
      <c r="AT337" s="682"/>
      <c r="AU337" s="682"/>
      <c r="AV337" s="682"/>
      <c r="AW337" s="682"/>
      <c r="AX337" s="682"/>
      <c r="AY337" s="682"/>
      <c r="AZ337" s="682"/>
      <c r="BA337" s="682"/>
      <c r="BB337" s="68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</row>
    <row r="338" spans="1:116" s="679" customFormat="1" ht="15.7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13"/>
      <c r="AA338" s="2"/>
      <c r="AB338" s="724"/>
      <c r="AC338" s="784"/>
      <c r="AD338" s="787"/>
      <c r="AE338" s="787"/>
      <c r="AF338" s="550"/>
      <c r="AG338" s="697"/>
      <c r="AH338" s="698"/>
      <c r="AI338" s="697"/>
      <c r="AJ338" s="697"/>
      <c r="AK338" s="550"/>
      <c r="AR338" s="682"/>
      <c r="AS338" s="682"/>
      <c r="AT338" s="682"/>
      <c r="AU338" s="682"/>
      <c r="AV338" s="682"/>
      <c r="AW338" s="682"/>
      <c r="AX338" s="682"/>
      <c r="AY338" s="682"/>
      <c r="AZ338" s="682"/>
      <c r="BA338" s="682"/>
      <c r="BB338" s="68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</row>
    <row r="339" spans="1:116" s="679" customFormat="1" ht="15.7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13"/>
      <c r="AA339" s="2"/>
      <c r="AB339" s="724"/>
      <c r="AC339" s="784"/>
      <c r="AD339" s="787"/>
      <c r="AE339" s="787"/>
      <c r="AF339" s="550"/>
      <c r="AG339" s="697"/>
      <c r="AH339" s="698"/>
      <c r="AI339" s="697"/>
      <c r="AJ339" s="697"/>
      <c r="AK339" s="550"/>
      <c r="AR339" s="682"/>
      <c r="AS339" s="682"/>
      <c r="AT339" s="682"/>
      <c r="AU339" s="682"/>
      <c r="AV339" s="682"/>
      <c r="AW339" s="682"/>
      <c r="AX339" s="682"/>
      <c r="AY339" s="682"/>
      <c r="AZ339" s="682"/>
      <c r="BA339" s="682"/>
      <c r="BB339" s="68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</row>
    <row r="340" spans="1:116" s="679" customFormat="1" ht="15.7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13"/>
      <c r="AA340" s="2"/>
      <c r="AB340" s="724"/>
      <c r="AC340" s="784"/>
      <c r="AD340" s="787"/>
      <c r="AE340" s="787"/>
      <c r="AF340" s="550"/>
      <c r="AG340" s="697"/>
      <c r="AH340" s="698"/>
      <c r="AI340" s="697"/>
      <c r="AJ340" s="697"/>
      <c r="AK340" s="550"/>
      <c r="AR340" s="682"/>
      <c r="AS340" s="682"/>
      <c r="AT340" s="682"/>
      <c r="AU340" s="682"/>
      <c r="AV340" s="682"/>
      <c r="AW340" s="682"/>
      <c r="AX340" s="682"/>
      <c r="AY340" s="682"/>
      <c r="AZ340" s="682"/>
      <c r="BA340" s="682"/>
      <c r="BB340" s="68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</row>
    <row r="341" spans="1:116" s="679" customFormat="1" ht="15.7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13"/>
      <c r="AA341" s="2"/>
      <c r="AB341" s="724"/>
      <c r="AC341" s="784"/>
      <c r="AD341" s="787"/>
      <c r="AE341" s="787"/>
      <c r="AF341" s="550"/>
      <c r="AG341" s="697"/>
      <c r="AH341" s="698"/>
      <c r="AI341" s="697"/>
      <c r="AJ341" s="697"/>
      <c r="AK341" s="550"/>
      <c r="AR341" s="682"/>
      <c r="AS341" s="682"/>
      <c r="AT341" s="682"/>
      <c r="AU341" s="682"/>
      <c r="AV341" s="682"/>
      <c r="AW341" s="682"/>
      <c r="AX341" s="682"/>
      <c r="AY341" s="682"/>
      <c r="AZ341" s="682"/>
      <c r="BA341" s="682"/>
      <c r="BB341" s="68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</row>
    <row r="342" spans="1:116" s="679" customFormat="1" ht="15.7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13"/>
      <c r="AA342" s="2"/>
      <c r="AB342" s="724"/>
      <c r="AC342" s="784"/>
      <c r="AD342" s="787"/>
      <c r="AE342" s="787"/>
      <c r="AF342" s="550"/>
      <c r="AG342" s="697"/>
      <c r="AH342" s="698"/>
      <c r="AI342" s="697"/>
      <c r="AJ342" s="697"/>
      <c r="AK342" s="550"/>
      <c r="AR342" s="682"/>
      <c r="AS342" s="682"/>
      <c r="AT342" s="682"/>
      <c r="AU342" s="682"/>
      <c r="AV342" s="682"/>
      <c r="AW342" s="682"/>
      <c r="AX342" s="682"/>
      <c r="AY342" s="682"/>
      <c r="AZ342" s="682"/>
      <c r="BA342" s="682"/>
      <c r="BB342" s="68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</row>
    <row r="343" spans="1:116" s="679" customFormat="1" ht="15.7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13"/>
      <c r="AA343" s="2"/>
      <c r="AB343" s="724"/>
      <c r="AC343" s="784"/>
      <c r="AD343" s="787"/>
      <c r="AE343" s="787"/>
      <c r="AF343" s="550"/>
      <c r="AG343" s="697"/>
      <c r="AH343" s="698"/>
      <c r="AI343" s="697"/>
      <c r="AJ343" s="697"/>
      <c r="AK343" s="550"/>
      <c r="AR343" s="682"/>
      <c r="AS343" s="682"/>
      <c r="AT343" s="682"/>
      <c r="AU343" s="682"/>
      <c r="AV343" s="682"/>
      <c r="AW343" s="682"/>
      <c r="AX343" s="682"/>
      <c r="AY343" s="682"/>
      <c r="AZ343" s="682"/>
      <c r="BA343" s="682"/>
      <c r="BB343" s="68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</row>
    <row r="344" spans="1:116" s="679" customFormat="1" ht="15.7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13"/>
      <c r="AA344" s="2"/>
      <c r="AB344" s="724"/>
      <c r="AC344" s="784"/>
      <c r="AD344" s="787"/>
      <c r="AE344" s="787"/>
      <c r="AF344" s="550"/>
      <c r="AG344" s="697"/>
      <c r="AH344" s="698"/>
      <c r="AI344" s="697"/>
      <c r="AJ344" s="697"/>
      <c r="AK344" s="550"/>
      <c r="AR344" s="682"/>
      <c r="AS344" s="682"/>
      <c r="AT344" s="682"/>
      <c r="AU344" s="682"/>
      <c r="AV344" s="682"/>
      <c r="AW344" s="682"/>
      <c r="AX344" s="682"/>
      <c r="AY344" s="682"/>
      <c r="AZ344" s="682"/>
      <c r="BA344" s="682"/>
      <c r="BB344" s="68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</row>
    <row r="345" spans="1:116" s="679" customFormat="1" ht="15.7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13"/>
      <c r="AA345" s="2"/>
      <c r="AB345" s="724"/>
      <c r="AC345" s="784"/>
      <c r="AD345" s="787"/>
      <c r="AE345" s="787"/>
      <c r="AF345" s="550"/>
      <c r="AG345" s="697"/>
      <c r="AH345" s="698"/>
      <c r="AI345" s="697"/>
      <c r="AJ345" s="697"/>
      <c r="AK345" s="550"/>
      <c r="AR345" s="682"/>
      <c r="AS345" s="682"/>
      <c r="AT345" s="682"/>
      <c r="AU345" s="682"/>
      <c r="AV345" s="682"/>
      <c r="AW345" s="682"/>
      <c r="AX345" s="682"/>
      <c r="AY345" s="682"/>
      <c r="AZ345" s="682"/>
      <c r="BA345" s="682"/>
      <c r="BB345" s="68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</row>
    <row r="346" spans="1:116" s="679" customFormat="1" ht="15.7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13"/>
      <c r="AA346" s="2"/>
      <c r="AB346" s="724"/>
      <c r="AC346" s="784"/>
      <c r="AD346" s="787"/>
      <c r="AE346" s="787"/>
      <c r="AF346" s="550"/>
      <c r="AG346" s="697"/>
      <c r="AH346" s="698"/>
      <c r="AI346" s="697"/>
      <c r="AJ346" s="697"/>
      <c r="AK346" s="550"/>
      <c r="AR346" s="682"/>
      <c r="AS346" s="682"/>
      <c r="AT346" s="682"/>
      <c r="AU346" s="682"/>
      <c r="AV346" s="682"/>
      <c r="AW346" s="682"/>
      <c r="AX346" s="682"/>
      <c r="AY346" s="682"/>
      <c r="AZ346" s="682"/>
      <c r="BA346" s="682"/>
      <c r="BB346" s="68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</row>
    <row r="347" spans="1:116" s="679" customFormat="1" ht="15.7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13"/>
      <c r="AA347" s="2"/>
      <c r="AB347" s="724"/>
      <c r="AC347" s="784"/>
      <c r="AD347" s="787"/>
      <c r="AE347" s="787"/>
      <c r="AF347" s="550"/>
      <c r="AG347" s="697"/>
      <c r="AH347" s="698"/>
      <c r="AI347" s="697"/>
      <c r="AJ347" s="697"/>
      <c r="AK347" s="550"/>
      <c r="AR347" s="682"/>
      <c r="AS347" s="682"/>
      <c r="AT347" s="682"/>
      <c r="AU347" s="682"/>
      <c r="AV347" s="682"/>
      <c r="AW347" s="682"/>
      <c r="AX347" s="682"/>
      <c r="AY347" s="682"/>
      <c r="AZ347" s="682"/>
      <c r="BA347" s="682"/>
      <c r="BB347" s="68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</row>
    <row r="348" spans="1:116" s="679" customFormat="1" ht="15.7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13"/>
      <c r="AA348" s="2"/>
      <c r="AB348" s="724"/>
      <c r="AC348" s="784"/>
      <c r="AD348" s="787"/>
      <c r="AE348" s="787"/>
      <c r="AF348" s="550"/>
      <c r="AG348" s="697"/>
      <c r="AH348" s="698"/>
      <c r="AI348" s="697"/>
      <c r="AJ348" s="697"/>
      <c r="AK348" s="550"/>
      <c r="AR348" s="682"/>
      <c r="AS348" s="682"/>
      <c r="AT348" s="682"/>
      <c r="AU348" s="682"/>
      <c r="AV348" s="682"/>
      <c r="AW348" s="682"/>
      <c r="AX348" s="682"/>
      <c r="AY348" s="682"/>
      <c r="AZ348" s="682"/>
      <c r="BA348" s="682"/>
      <c r="BB348" s="68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</row>
    <row r="349" spans="1:116" s="679" customFormat="1" ht="15.7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13"/>
      <c r="AA349" s="2"/>
      <c r="AB349" s="724"/>
      <c r="AC349" s="784"/>
      <c r="AD349" s="787"/>
      <c r="AE349" s="787"/>
      <c r="AF349" s="550"/>
      <c r="AG349" s="697"/>
      <c r="AH349" s="698"/>
      <c r="AI349" s="697"/>
      <c r="AJ349" s="697"/>
      <c r="AK349" s="550"/>
      <c r="AR349" s="682"/>
      <c r="AS349" s="682"/>
      <c r="AT349" s="682"/>
      <c r="AU349" s="682"/>
      <c r="AV349" s="682"/>
      <c r="AW349" s="682"/>
      <c r="AX349" s="682"/>
      <c r="AY349" s="682"/>
      <c r="AZ349" s="682"/>
      <c r="BA349" s="682"/>
      <c r="BB349" s="68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</row>
    <row r="350" spans="1:116" s="679" customFormat="1" ht="15.7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13"/>
      <c r="AA350" s="2"/>
      <c r="AB350" s="724"/>
      <c r="AC350" s="784"/>
      <c r="AD350" s="787"/>
      <c r="AE350" s="787"/>
      <c r="AF350" s="550"/>
      <c r="AG350" s="697"/>
      <c r="AH350" s="698"/>
      <c r="AI350" s="697"/>
      <c r="AJ350" s="697"/>
      <c r="AK350" s="550"/>
      <c r="AR350" s="682"/>
      <c r="AS350" s="682"/>
      <c r="AT350" s="682"/>
      <c r="AU350" s="682"/>
      <c r="AV350" s="682"/>
      <c r="AW350" s="682"/>
      <c r="AX350" s="682"/>
      <c r="AY350" s="682"/>
      <c r="AZ350" s="682"/>
      <c r="BA350" s="682"/>
      <c r="BB350" s="68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</row>
    <row r="351" spans="1:116" s="679" customFormat="1" ht="15.7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13"/>
      <c r="AA351" s="2"/>
      <c r="AB351" s="724"/>
      <c r="AC351" s="784"/>
      <c r="AD351" s="787"/>
      <c r="AE351" s="787"/>
      <c r="AF351" s="550"/>
      <c r="AG351" s="697"/>
      <c r="AH351" s="698"/>
      <c r="AI351" s="697"/>
      <c r="AJ351" s="697"/>
      <c r="AK351" s="550"/>
      <c r="AR351" s="682"/>
      <c r="AS351" s="682"/>
      <c r="AT351" s="682"/>
      <c r="AU351" s="682"/>
      <c r="AV351" s="682"/>
      <c r="AW351" s="682"/>
      <c r="AX351" s="682"/>
      <c r="AY351" s="682"/>
      <c r="AZ351" s="682"/>
      <c r="BA351" s="682"/>
      <c r="BB351" s="68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</row>
    <row r="352" spans="1:116" s="679" customFormat="1" ht="15.7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13"/>
      <c r="AA352" s="2"/>
      <c r="AB352" s="724"/>
      <c r="AC352" s="784"/>
      <c r="AD352" s="787"/>
      <c r="AE352" s="787"/>
      <c r="AF352" s="550"/>
      <c r="AG352" s="697"/>
      <c r="AH352" s="698"/>
      <c r="AI352" s="697"/>
      <c r="AJ352" s="697"/>
      <c r="AK352" s="550"/>
      <c r="AR352" s="682"/>
      <c r="AS352" s="682"/>
      <c r="AT352" s="682"/>
      <c r="AU352" s="682"/>
      <c r="AV352" s="682"/>
      <c r="AW352" s="682"/>
      <c r="AX352" s="682"/>
      <c r="AY352" s="682"/>
      <c r="AZ352" s="682"/>
      <c r="BA352" s="682"/>
      <c r="BB352" s="68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</row>
    <row r="353" spans="1:116" s="679" customFormat="1" ht="15.7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13"/>
      <c r="AA353" s="2"/>
      <c r="AB353" s="724"/>
      <c r="AC353" s="784"/>
      <c r="AD353" s="787"/>
      <c r="AE353" s="787"/>
      <c r="AF353" s="550"/>
      <c r="AG353" s="697"/>
      <c r="AH353" s="698"/>
      <c r="AI353" s="697"/>
      <c r="AJ353" s="697"/>
      <c r="AK353" s="550"/>
      <c r="AR353" s="682"/>
      <c r="AS353" s="682"/>
      <c r="AT353" s="682"/>
      <c r="AU353" s="682"/>
      <c r="AV353" s="682"/>
      <c r="AW353" s="682"/>
      <c r="AX353" s="682"/>
      <c r="AY353" s="682"/>
      <c r="AZ353" s="682"/>
      <c r="BA353" s="682"/>
      <c r="BB353" s="68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</row>
    <row r="354" spans="1:116" s="679" customFormat="1" ht="15.7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13"/>
      <c r="AA354" s="2"/>
      <c r="AB354" s="724"/>
      <c r="AC354" s="784"/>
      <c r="AD354" s="787"/>
      <c r="AE354" s="787"/>
      <c r="AF354" s="550"/>
      <c r="AG354" s="697"/>
      <c r="AH354" s="698"/>
      <c r="AI354" s="697"/>
      <c r="AJ354" s="697"/>
      <c r="AK354" s="550"/>
      <c r="AR354" s="682"/>
      <c r="AS354" s="682"/>
      <c r="AT354" s="682"/>
      <c r="AU354" s="682"/>
      <c r="AV354" s="682"/>
      <c r="AW354" s="682"/>
      <c r="AX354" s="682"/>
      <c r="AY354" s="682"/>
      <c r="AZ354" s="682"/>
      <c r="BA354" s="682"/>
      <c r="BB354" s="68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</row>
    <row r="355" spans="1:116" s="679" customFormat="1" ht="15.7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13"/>
      <c r="AA355" s="2"/>
      <c r="AB355" s="724"/>
      <c r="AC355" s="784"/>
      <c r="AD355" s="787"/>
      <c r="AE355" s="787"/>
      <c r="AF355" s="550"/>
      <c r="AG355" s="697"/>
      <c r="AH355" s="698"/>
      <c r="AI355" s="697"/>
      <c r="AJ355" s="697"/>
      <c r="AK355" s="550"/>
      <c r="AR355" s="682"/>
      <c r="AS355" s="682"/>
      <c r="AT355" s="682"/>
      <c r="AU355" s="682"/>
      <c r="AV355" s="682"/>
      <c r="AW355" s="682"/>
      <c r="AX355" s="682"/>
      <c r="AY355" s="682"/>
      <c r="AZ355" s="682"/>
      <c r="BA355" s="682"/>
      <c r="BB355" s="68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</row>
    <row r="356" spans="1:116" s="679" customFormat="1" ht="15.7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13"/>
      <c r="AA356" s="2"/>
      <c r="AB356" s="724"/>
      <c r="AC356" s="784"/>
      <c r="AD356" s="787"/>
      <c r="AE356" s="787"/>
      <c r="AF356" s="550"/>
      <c r="AG356" s="697"/>
      <c r="AH356" s="698"/>
      <c r="AI356" s="697"/>
      <c r="AJ356" s="697"/>
      <c r="AK356" s="550"/>
      <c r="AR356" s="682"/>
      <c r="AS356" s="682"/>
      <c r="AT356" s="682"/>
      <c r="AU356" s="682"/>
      <c r="AV356" s="682"/>
      <c r="AW356" s="682"/>
      <c r="AX356" s="682"/>
      <c r="AY356" s="682"/>
      <c r="AZ356" s="682"/>
      <c r="BA356" s="682"/>
      <c r="BB356" s="68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</row>
    <row r="357" spans="1:116" s="679" customFormat="1" ht="15.7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13"/>
      <c r="AA357" s="2"/>
      <c r="AB357" s="724"/>
      <c r="AC357" s="784"/>
      <c r="AD357" s="787"/>
      <c r="AE357" s="787"/>
      <c r="AF357" s="550"/>
      <c r="AG357" s="697"/>
      <c r="AH357" s="698"/>
      <c r="AI357" s="697"/>
      <c r="AJ357" s="697"/>
      <c r="AK357" s="550"/>
      <c r="AR357" s="682"/>
      <c r="AS357" s="682"/>
      <c r="AT357" s="682"/>
      <c r="AU357" s="682"/>
      <c r="AV357" s="682"/>
      <c r="AW357" s="682"/>
      <c r="AX357" s="682"/>
      <c r="AY357" s="682"/>
      <c r="AZ357" s="682"/>
      <c r="BA357" s="682"/>
      <c r="BB357" s="68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</row>
    <row r="358" spans="1:116" s="679" customFormat="1" ht="15.7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13"/>
      <c r="AA358" s="2"/>
      <c r="AB358" s="724"/>
      <c r="AC358" s="784"/>
      <c r="AD358" s="787"/>
      <c r="AE358" s="787"/>
      <c r="AF358" s="550"/>
      <c r="AG358" s="697"/>
      <c r="AH358" s="698"/>
      <c r="AI358" s="697"/>
      <c r="AJ358" s="697"/>
      <c r="AK358" s="550"/>
      <c r="AR358" s="682"/>
      <c r="AS358" s="682"/>
      <c r="AT358" s="682"/>
      <c r="AU358" s="682"/>
      <c r="AV358" s="682"/>
      <c r="AW358" s="682"/>
      <c r="AX358" s="682"/>
      <c r="AY358" s="682"/>
      <c r="AZ358" s="682"/>
      <c r="BA358" s="682"/>
      <c r="BB358" s="68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</row>
    <row r="359" spans="1:116" s="679" customFormat="1" ht="15.7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13"/>
      <c r="AA359" s="2"/>
      <c r="AB359" s="724"/>
      <c r="AC359" s="784"/>
      <c r="AD359" s="787"/>
      <c r="AE359" s="787"/>
      <c r="AF359" s="550"/>
      <c r="AG359" s="697"/>
      <c r="AH359" s="698"/>
      <c r="AI359" s="697"/>
      <c r="AJ359" s="697"/>
      <c r="AK359" s="550"/>
      <c r="AR359" s="682"/>
      <c r="AS359" s="682"/>
      <c r="AT359" s="682"/>
      <c r="AU359" s="682"/>
      <c r="AV359" s="682"/>
      <c r="AW359" s="682"/>
      <c r="AX359" s="682"/>
      <c r="AY359" s="682"/>
      <c r="AZ359" s="682"/>
      <c r="BA359" s="682"/>
      <c r="BB359" s="68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</row>
    <row r="360" spans="1:116" s="679" customFormat="1" ht="15.7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13"/>
      <c r="AA360" s="2"/>
      <c r="AB360" s="724"/>
      <c r="AC360" s="784"/>
      <c r="AD360" s="787"/>
      <c r="AE360" s="787"/>
      <c r="AF360" s="550"/>
      <c r="AG360" s="697"/>
      <c r="AH360" s="698"/>
      <c r="AI360" s="697"/>
      <c r="AJ360" s="697"/>
      <c r="AK360" s="550"/>
      <c r="AR360" s="682"/>
      <c r="AS360" s="682"/>
      <c r="AT360" s="682"/>
      <c r="AU360" s="682"/>
      <c r="AV360" s="682"/>
      <c r="AW360" s="682"/>
      <c r="AX360" s="682"/>
      <c r="AY360" s="682"/>
      <c r="AZ360" s="682"/>
      <c r="BA360" s="682"/>
      <c r="BB360" s="68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</row>
    <row r="361" spans="1:116" s="679" customFormat="1" ht="15.7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13"/>
      <c r="AA361" s="2"/>
      <c r="AB361" s="724"/>
      <c r="AC361" s="784"/>
      <c r="AD361" s="787"/>
      <c r="AE361" s="787"/>
      <c r="AF361" s="550"/>
      <c r="AG361" s="697"/>
      <c r="AH361" s="698"/>
      <c r="AI361" s="697"/>
      <c r="AJ361" s="697"/>
      <c r="AK361" s="550"/>
      <c r="AR361" s="682"/>
      <c r="AS361" s="682"/>
      <c r="AT361" s="682"/>
      <c r="AU361" s="682"/>
      <c r="AV361" s="682"/>
      <c r="AW361" s="682"/>
      <c r="AX361" s="682"/>
      <c r="AY361" s="682"/>
      <c r="AZ361" s="682"/>
      <c r="BA361" s="682"/>
      <c r="BB361" s="68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</row>
    <row r="362" spans="1:116" s="679" customFormat="1" ht="15.7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13"/>
      <c r="AA362" s="2"/>
      <c r="AB362" s="724"/>
      <c r="AC362" s="784"/>
      <c r="AD362" s="787"/>
      <c r="AE362" s="787"/>
      <c r="AF362" s="550"/>
      <c r="AG362" s="697"/>
      <c r="AH362" s="698"/>
      <c r="AI362" s="697"/>
      <c r="AJ362" s="697"/>
      <c r="AK362" s="550"/>
      <c r="AR362" s="682"/>
      <c r="AS362" s="682"/>
      <c r="AT362" s="682"/>
      <c r="AU362" s="682"/>
      <c r="AV362" s="682"/>
      <c r="AW362" s="682"/>
      <c r="AX362" s="682"/>
      <c r="AY362" s="682"/>
      <c r="AZ362" s="682"/>
      <c r="BA362" s="682"/>
      <c r="BB362" s="68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</row>
    <row r="363" spans="1:116" s="679" customFormat="1" ht="15.7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13"/>
      <c r="AA363" s="2"/>
      <c r="AB363" s="724"/>
      <c r="AC363" s="784"/>
      <c r="AD363" s="787"/>
      <c r="AE363" s="787"/>
      <c r="AF363" s="550"/>
      <c r="AG363" s="697"/>
      <c r="AH363" s="698"/>
      <c r="AI363" s="697"/>
      <c r="AJ363" s="697"/>
      <c r="AK363" s="550"/>
      <c r="AR363" s="682"/>
      <c r="AS363" s="682"/>
      <c r="AT363" s="682"/>
      <c r="AU363" s="682"/>
      <c r="AV363" s="682"/>
      <c r="AW363" s="682"/>
      <c r="AX363" s="682"/>
      <c r="AY363" s="682"/>
      <c r="AZ363" s="682"/>
      <c r="BA363" s="682"/>
      <c r="BB363" s="68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</row>
    <row r="364" spans="1:116" s="679" customFormat="1" ht="15.7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13"/>
      <c r="AA364" s="2"/>
      <c r="AB364" s="724"/>
      <c r="AC364" s="784"/>
      <c r="AD364" s="787"/>
      <c r="AE364" s="787"/>
      <c r="AF364" s="550"/>
      <c r="AG364" s="697"/>
      <c r="AH364" s="698"/>
      <c r="AI364" s="697"/>
      <c r="AJ364" s="697"/>
      <c r="AK364" s="550"/>
      <c r="AR364" s="682"/>
      <c r="AS364" s="682"/>
      <c r="AT364" s="682"/>
      <c r="AU364" s="682"/>
      <c r="AV364" s="682"/>
      <c r="AW364" s="682"/>
      <c r="AX364" s="682"/>
      <c r="AY364" s="682"/>
      <c r="AZ364" s="682"/>
      <c r="BA364" s="682"/>
      <c r="BB364" s="68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</row>
    <row r="365" spans="1:116" s="679" customFormat="1" ht="15.7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13"/>
      <c r="AA365" s="2"/>
      <c r="AB365" s="724"/>
      <c r="AC365" s="784"/>
      <c r="AD365" s="787"/>
      <c r="AE365" s="787"/>
      <c r="AF365" s="550"/>
      <c r="AG365" s="697"/>
      <c r="AH365" s="698"/>
      <c r="AI365" s="697"/>
      <c r="AJ365" s="697"/>
      <c r="AK365" s="550"/>
      <c r="AR365" s="682"/>
      <c r="AS365" s="682"/>
      <c r="AT365" s="682"/>
      <c r="AU365" s="682"/>
      <c r="AV365" s="682"/>
      <c r="AW365" s="682"/>
      <c r="AX365" s="682"/>
      <c r="AY365" s="682"/>
      <c r="AZ365" s="682"/>
      <c r="BA365" s="682"/>
      <c r="BB365" s="68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</row>
    <row r="366" spans="1:116" s="679" customFormat="1" ht="15.7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13"/>
      <c r="AA366" s="2"/>
      <c r="AB366" s="724"/>
      <c r="AC366" s="784"/>
      <c r="AD366" s="787"/>
      <c r="AE366" s="787"/>
      <c r="AF366" s="550"/>
      <c r="AG366" s="697"/>
      <c r="AH366" s="698"/>
      <c r="AI366" s="697"/>
      <c r="AJ366" s="697"/>
      <c r="AK366" s="550"/>
      <c r="AR366" s="682"/>
      <c r="AS366" s="682"/>
      <c r="AT366" s="682"/>
      <c r="AU366" s="682"/>
      <c r="AV366" s="682"/>
      <c r="AW366" s="682"/>
      <c r="AX366" s="682"/>
      <c r="AY366" s="682"/>
      <c r="AZ366" s="682"/>
      <c r="BA366" s="682"/>
      <c r="BB366" s="68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</row>
    <row r="367" spans="1:116" s="679" customFormat="1" ht="15.7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13"/>
      <c r="AA367" s="2"/>
      <c r="AB367" s="724"/>
      <c r="AC367" s="784"/>
      <c r="AD367" s="787"/>
      <c r="AE367" s="787"/>
      <c r="AF367" s="550"/>
      <c r="AG367" s="697"/>
      <c r="AH367" s="698"/>
      <c r="AI367" s="697"/>
      <c r="AJ367" s="697"/>
      <c r="AK367" s="550"/>
      <c r="AR367" s="682"/>
      <c r="AS367" s="682"/>
      <c r="AT367" s="682"/>
      <c r="AU367" s="682"/>
      <c r="AV367" s="682"/>
      <c r="AW367" s="682"/>
      <c r="AX367" s="682"/>
      <c r="AY367" s="682"/>
      <c r="AZ367" s="682"/>
      <c r="BA367" s="682"/>
      <c r="BB367" s="68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</row>
    <row r="368" spans="1:116" s="679" customFormat="1" ht="15.7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13"/>
      <c r="AA368" s="2"/>
      <c r="AB368" s="724"/>
      <c r="AC368" s="784"/>
      <c r="AD368" s="787"/>
      <c r="AE368" s="787"/>
      <c r="AF368" s="550"/>
      <c r="AG368" s="697"/>
      <c r="AH368" s="698"/>
      <c r="AI368" s="697"/>
      <c r="AJ368" s="697"/>
      <c r="AK368" s="550"/>
      <c r="AR368" s="682"/>
      <c r="AS368" s="682"/>
      <c r="AT368" s="682"/>
      <c r="AU368" s="682"/>
      <c r="AV368" s="682"/>
      <c r="AW368" s="682"/>
      <c r="AX368" s="682"/>
      <c r="AY368" s="682"/>
      <c r="AZ368" s="682"/>
      <c r="BA368" s="682"/>
      <c r="BB368" s="68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</row>
    <row r="369" spans="1:116" s="679" customFormat="1" ht="15.7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13"/>
      <c r="AA369" s="2"/>
      <c r="AB369" s="724"/>
      <c r="AC369" s="784"/>
      <c r="AD369" s="787"/>
      <c r="AE369" s="787"/>
      <c r="AF369" s="550"/>
      <c r="AG369" s="697"/>
      <c r="AH369" s="698"/>
      <c r="AI369" s="697"/>
      <c r="AJ369" s="697"/>
      <c r="AK369" s="550"/>
      <c r="AR369" s="682"/>
      <c r="AS369" s="682"/>
      <c r="AT369" s="682"/>
      <c r="AU369" s="682"/>
      <c r="AV369" s="682"/>
      <c r="AW369" s="682"/>
      <c r="AX369" s="682"/>
      <c r="AY369" s="682"/>
      <c r="AZ369" s="682"/>
      <c r="BA369" s="682"/>
      <c r="BB369" s="68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</row>
    <row r="370" spans="1:116" s="679" customFormat="1" ht="15.7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13"/>
      <c r="AA370" s="2"/>
      <c r="AB370" s="724"/>
      <c r="AC370" s="784"/>
      <c r="AD370" s="787"/>
      <c r="AE370" s="787"/>
      <c r="AF370" s="550"/>
      <c r="AG370" s="697"/>
      <c r="AH370" s="698"/>
      <c r="AI370" s="697"/>
      <c r="AJ370" s="697"/>
      <c r="AK370" s="550"/>
      <c r="AR370" s="682"/>
      <c r="AS370" s="682"/>
      <c r="AT370" s="682"/>
      <c r="AU370" s="682"/>
      <c r="AV370" s="682"/>
      <c r="AW370" s="682"/>
      <c r="AX370" s="682"/>
      <c r="AY370" s="682"/>
      <c r="AZ370" s="682"/>
      <c r="BA370" s="682"/>
      <c r="BB370" s="68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</row>
    <row r="371" spans="1:116" s="679" customFormat="1" ht="15.7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13"/>
      <c r="AA371" s="2"/>
      <c r="AB371" s="724"/>
      <c r="AC371" s="784"/>
      <c r="AD371" s="787"/>
      <c r="AE371" s="787"/>
      <c r="AF371" s="550"/>
      <c r="AG371" s="697"/>
      <c r="AH371" s="698"/>
      <c r="AI371" s="697"/>
      <c r="AJ371" s="697"/>
      <c r="AK371" s="550"/>
      <c r="AR371" s="682"/>
      <c r="AS371" s="682"/>
      <c r="AT371" s="682"/>
      <c r="AU371" s="682"/>
      <c r="AV371" s="682"/>
      <c r="AW371" s="682"/>
      <c r="AX371" s="682"/>
      <c r="AY371" s="682"/>
      <c r="AZ371" s="682"/>
      <c r="BA371" s="682"/>
      <c r="BB371" s="68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</row>
    <row r="372" spans="1:116" s="679" customFormat="1" ht="15.7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13"/>
      <c r="AA372" s="2"/>
      <c r="AB372" s="724"/>
      <c r="AC372" s="784"/>
      <c r="AD372" s="787"/>
      <c r="AE372" s="787"/>
      <c r="AF372" s="550"/>
      <c r="AG372" s="697"/>
      <c r="AH372" s="698"/>
      <c r="AI372" s="697"/>
      <c r="AJ372" s="697"/>
      <c r="AK372" s="550"/>
      <c r="AR372" s="682"/>
      <c r="AS372" s="682"/>
      <c r="AT372" s="682"/>
      <c r="AU372" s="682"/>
      <c r="AV372" s="682"/>
      <c r="AW372" s="682"/>
      <c r="AX372" s="682"/>
      <c r="AY372" s="682"/>
      <c r="AZ372" s="682"/>
      <c r="BA372" s="682"/>
      <c r="BB372" s="68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</row>
    <row r="373" spans="1:116" s="679" customFormat="1" ht="15.7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13"/>
      <c r="AA373" s="2"/>
      <c r="AB373" s="724"/>
      <c r="AC373" s="784"/>
      <c r="AD373" s="787"/>
      <c r="AE373" s="787"/>
      <c r="AF373" s="550"/>
      <c r="AG373" s="697"/>
      <c r="AH373" s="698"/>
      <c r="AI373" s="697"/>
      <c r="AJ373" s="697"/>
      <c r="AK373" s="550"/>
      <c r="AR373" s="682"/>
      <c r="AS373" s="682"/>
      <c r="AT373" s="682"/>
      <c r="AU373" s="682"/>
      <c r="AV373" s="682"/>
      <c r="AW373" s="682"/>
      <c r="AX373" s="682"/>
      <c r="AY373" s="682"/>
      <c r="AZ373" s="682"/>
      <c r="BA373" s="682"/>
      <c r="BB373" s="68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</row>
    <row r="374" spans="1:116" s="679" customFormat="1" ht="15.7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13"/>
      <c r="AA374" s="2"/>
      <c r="AB374" s="724"/>
      <c r="AC374" s="784"/>
      <c r="AD374" s="787"/>
      <c r="AE374" s="787"/>
      <c r="AF374" s="550"/>
      <c r="AG374" s="697"/>
      <c r="AH374" s="698"/>
      <c r="AI374" s="697"/>
      <c r="AJ374" s="697"/>
      <c r="AK374" s="550"/>
      <c r="AR374" s="682"/>
      <c r="AS374" s="682"/>
      <c r="AT374" s="682"/>
      <c r="AU374" s="682"/>
      <c r="AV374" s="682"/>
      <c r="AW374" s="682"/>
      <c r="AX374" s="682"/>
      <c r="AY374" s="682"/>
      <c r="AZ374" s="682"/>
      <c r="BA374" s="682"/>
      <c r="BB374" s="68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</row>
    <row r="375" spans="1:116" s="679" customFormat="1" ht="15.7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13"/>
      <c r="AA375" s="2"/>
      <c r="AB375" s="724"/>
      <c r="AC375" s="784"/>
      <c r="AD375" s="787"/>
      <c r="AE375" s="787"/>
      <c r="AF375" s="550"/>
      <c r="AG375" s="697"/>
      <c r="AH375" s="698"/>
      <c r="AI375" s="697"/>
      <c r="AJ375" s="697"/>
      <c r="AK375" s="550"/>
      <c r="AR375" s="682"/>
      <c r="AS375" s="682"/>
      <c r="AT375" s="682"/>
      <c r="AU375" s="682"/>
      <c r="AV375" s="682"/>
      <c r="AW375" s="682"/>
      <c r="AX375" s="682"/>
      <c r="AY375" s="682"/>
      <c r="AZ375" s="682"/>
      <c r="BA375" s="682"/>
      <c r="BB375" s="68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</row>
    <row r="376" spans="1:116" s="679" customFormat="1" ht="15.7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13"/>
      <c r="AA376" s="2"/>
      <c r="AB376" s="724"/>
      <c r="AC376" s="784"/>
      <c r="AD376" s="787"/>
      <c r="AE376" s="787"/>
      <c r="AF376" s="550"/>
      <c r="AG376" s="697"/>
      <c r="AH376" s="698"/>
      <c r="AI376" s="697"/>
      <c r="AJ376" s="697"/>
      <c r="AK376" s="550"/>
      <c r="AR376" s="682"/>
      <c r="AS376" s="682"/>
      <c r="AT376" s="682"/>
      <c r="AU376" s="682"/>
      <c r="AV376" s="682"/>
      <c r="AW376" s="682"/>
      <c r="AX376" s="682"/>
      <c r="AY376" s="682"/>
      <c r="AZ376" s="682"/>
      <c r="BA376" s="682"/>
      <c r="BB376" s="68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</row>
    <row r="377" spans="1:116" s="679" customFormat="1" ht="15.7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13"/>
      <c r="AA377" s="2"/>
      <c r="AB377" s="724"/>
      <c r="AC377" s="784"/>
      <c r="AD377" s="787"/>
      <c r="AE377" s="787"/>
      <c r="AF377" s="550"/>
      <c r="AG377" s="697"/>
      <c r="AH377" s="698"/>
      <c r="AI377" s="697"/>
      <c r="AJ377" s="697"/>
      <c r="AK377" s="550"/>
      <c r="AR377" s="682"/>
      <c r="AS377" s="682"/>
      <c r="AT377" s="682"/>
      <c r="AU377" s="682"/>
      <c r="AV377" s="682"/>
      <c r="AW377" s="682"/>
      <c r="AX377" s="682"/>
      <c r="AY377" s="682"/>
      <c r="AZ377" s="682"/>
      <c r="BA377" s="682"/>
      <c r="BB377" s="68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</row>
    <row r="378" spans="1:116" s="679" customFormat="1" ht="15.7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13"/>
      <c r="AA378" s="2"/>
      <c r="AB378" s="724"/>
      <c r="AC378" s="784"/>
      <c r="AD378" s="787"/>
      <c r="AE378" s="787"/>
      <c r="AF378" s="550"/>
      <c r="AG378" s="697"/>
      <c r="AH378" s="698"/>
      <c r="AI378" s="697"/>
      <c r="AJ378" s="697"/>
      <c r="AK378" s="550"/>
      <c r="AR378" s="682"/>
      <c r="AS378" s="682"/>
      <c r="AT378" s="682"/>
      <c r="AU378" s="682"/>
      <c r="AV378" s="682"/>
      <c r="AW378" s="682"/>
      <c r="AX378" s="682"/>
      <c r="AY378" s="682"/>
      <c r="AZ378" s="682"/>
      <c r="BA378" s="682"/>
      <c r="BB378" s="68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</row>
    <row r="379" spans="1:116" s="679" customFormat="1" ht="15.7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13"/>
      <c r="AA379" s="2"/>
      <c r="AB379" s="724"/>
      <c r="AC379" s="784"/>
      <c r="AD379" s="787"/>
      <c r="AE379" s="787"/>
      <c r="AF379" s="550"/>
      <c r="AG379" s="697"/>
      <c r="AH379" s="698"/>
      <c r="AI379" s="697"/>
      <c r="AJ379" s="697"/>
      <c r="AK379" s="550"/>
      <c r="AR379" s="682"/>
      <c r="AS379" s="682"/>
      <c r="AT379" s="682"/>
      <c r="AU379" s="682"/>
      <c r="AV379" s="682"/>
      <c r="AW379" s="682"/>
      <c r="AX379" s="682"/>
      <c r="AY379" s="682"/>
      <c r="AZ379" s="682"/>
      <c r="BA379" s="682"/>
      <c r="BB379" s="68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</row>
    <row r="380" spans="1:116" s="679" customFormat="1" ht="15.7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13"/>
      <c r="AA380" s="2"/>
      <c r="AB380" s="724"/>
      <c r="AC380" s="784"/>
      <c r="AD380" s="787"/>
      <c r="AE380" s="787"/>
      <c r="AF380" s="550"/>
      <c r="AG380" s="697"/>
      <c r="AH380" s="698"/>
      <c r="AI380" s="697"/>
      <c r="AJ380" s="697"/>
      <c r="AK380" s="550"/>
      <c r="AR380" s="682"/>
      <c r="AS380" s="682"/>
      <c r="AT380" s="682"/>
      <c r="AU380" s="682"/>
      <c r="AV380" s="682"/>
      <c r="AW380" s="682"/>
      <c r="AX380" s="682"/>
      <c r="AY380" s="682"/>
      <c r="AZ380" s="682"/>
      <c r="BA380" s="682"/>
      <c r="BB380" s="68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</row>
    <row r="381" spans="1:116" s="679" customFormat="1" ht="15.7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13"/>
      <c r="AA381" s="2"/>
      <c r="AB381" s="724"/>
      <c r="AC381" s="784"/>
      <c r="AD381" s="787"/>
      <c r="AE381" s="787"/>
      <c r="AF381" s="550"/>
      <c r="AG381" s="697"/>
      <c r="AH381" s="698"/>
      <c r="AI381" s="697"/>
      <c r="AJ381" s="697"/>
      <c r="AK381" s="550"/>
      <c r="AR381" s="682"/>
      <c r="AS381" s="682"/>
      <c r="AT381" s="682"/>
      <c r="AU381" s="682"/>
      <c r="AV381" s="682"/>
      <c r="AW381" s="682"/>
      <c r="AX381" s="682"/>
      <c r="AY381" s="682"/>
      <c r="AZ381" s="682"/>
      <c r="BA381" s="682"/>
      <c r="BB381" s="68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</row>
    <row r="382" spans="1:116" s="679" customFormat="1" ht="15.7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13"/>
      <c r="AA382" s="2"/>
      <c r="AB382" s="724"/>
      <c r="AC382" s="784"/>
      <c r="AD382" s="787"/>
      <c r="AE382" s="787"/>
      <c r="AF382" s="550"/>
      <c r="AG382" s="697"/>
      <c r="AH382" s="698"/>
      <c r="AI382" s="697"/>
      <c r="AJ382" s="697"/>
      <c r="AK382" s="550"/>
      <c r="AR382" s="682"/>
      <c r="AS382" s="682"/>
      <c r="AT382" s="682"/>
      <c r="AU382" s="682"/>
      <c r="AV382" s="682"/>
      <c r="AW382" s="682"/>
      <c r="AX382" s="682"/>
      <c r="AY382" s="682"/>
      <c r="AZ382" s="682"/>
      <c r="BA382" s="682"/>
      <c r="BB382" s="68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</row>
    <row r="383" spans="1:116" s="679" customFormat="1" ht="15.7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13"/>
      <c r="AA383" s="2"/>
      <c r="AB383" s="724"/>
      <c r="AC383" s="784"/>
      <c r="AD383" s="787"/>
      <c r="AE383" s="787"/>
      <c r="AF383" s="550"/>
      <c r="AG383" s="697"/>
      <c r="AH383" s="698"/>
      <c r="AI383" s="697"/>
      <c r="AJ383" s="697"/>
      <c r="AK383" s="550"/>
      <c r="AR383" s="682"/>
      <c r="AS383" s="682"/>
      <c r="AT383" s="682"/>
      <c r="AU383" s="682"/>
      <c r="AV383" s="682"/>
      <c r="AW383" s="682"/>
      <c r="AX383" s="682"/>
      <c r="AY383" s="682"/>
      <c r="AZ383" s="682"/>
      <c r="BA383" s="682"/>
      <c r="BB383" s="68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</row>
    <row r="384" spans="1:116" s="679" customFormat="1" ht="15.7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13"/>
      <c r="AA384" s="2"/>
      <c r="AB384" s="724"/>
      <c r="AC384" s="784"/>
      <c r="AD384" s="787"/>
      <c r="AE384" s="787"/>
      <c r="AF384" s="550"/>
      <c r="AG384" s="697"/>
      <c r="AH384" s="698"/>
      <c r="AI384" s="697"/>
      <c r="AJ384" s="697"/>
      <c r="AK384" s="550"/>
      <c r="AR384" s="682"/>
      <c r="AS384" s="682"/>
      <c r="AT384" s="682"/>
      <c r="AU384" s="682"/>
      <c r="AV384" s="682"/>
      <c r="AW384" s="682"/>
      <c r="AX384" s="682"/>
      <c r="AY384" s="682"/>
      <c r="AZ384" s="682"/>
      <c r="BA384" s="682"/>
      <c r="BB384" s="68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</row>
    <row r="385" spans="1:116" s="679" customFormat="1" ht="15.7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13"/>
      <c r="AA385" s="2"/>
      <c r="AB385" s="724"/>
      <c r="AC385" s="784"/>
      <c r="AD385" s="787"/>
      <c r="AE385" s="787"/>
      <c r="AF385" s="550"/>
      <c r="AG385" s="697"/>
      <c r="AH385" s="698"/>
      <c r="AI385" s="697"/>
      <c r="AJ385" s="697"/>
      <c r="AK385" s="550"/>
      <c r="AR385" s="682"/>
      <c r="AS385" s="682"/>
      <c r="AT385" s="682"/>
      <c r="AU385" s="682"/>
      <c r="AV385" s="682"/>
      <c r="AW385" s="682"/>
      <c r="AX385" s="682"/>
      <c r="AY385" s="682"/>
      <c r="AZ385" s="682"/>
      <c r="BA385" s="682"/>
      <c r="BB385" s="68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</row>
    <row r="386" spans="1:116" s="679" customFormat="1" ht="15.7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13"/>
      <c r="AA386" s="2"/>
      <c r="AB386" s="724"/>
      <c r="AC386" s="784"/>
      <c r="AD386" s="787"/>
      <c r="AE386" s="787"/>
      <c r="AF386" s="550"/>
      <c r="AG386" s="697"/>
      <c r="AH386" s="698"/>
      <c r="AI386" s="697"/>
      <c r="AJ386" s="697"/>
      <c r="AK386" s="550"/>
      <c r="AR386" s="682"/>
      <c r="AS386" s="682"/>
      <c r="AT386" s="682"/>
      <c r="AU386" s="682"/>
      <c r="AV386" s="682"/>
      <c r="AW386" s="682"/>
      <c r="AX386" s="682"/>
      <c r="AY386" s="682"/>
      <c r="AZ386" s="682"/>
      <c r="BA386" s="682"/>
      <c r="BB386" s="68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</row>
    <row r="387" spans="1:116" s="679" customFormat="1" ht="15.7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13"/>
      <c r="AA387" s="2"/>
      <c r="AB387" s="724"/>
      <c r="AC387" s="784"/>
      <c r="AD387" s="787"/>
      <c r="AE387" s="787"/>
      <c r="AF387" s="550"/>
      <c r="AG387" s="697"/>
      <c r="AH387" s="698"/>
      <c r="AI387" s="697"/>
      <c r="AJ387" s="697"/>
      <c r="AK387" s="550"/>
      <c r="AR387" s="682"/>
      <c r="AS387" s="682"/>
      <c r="AT387" s="682"/>
      <c r="AU387" s="682"/>
      <c r="AV387" s="682"/>
      <c r="AW387" s="682"/>
      <c r="AX387" s="682"/>
      <c r="AY387" s="682"/>
      <c r="AZ387" s="682"/>
      <c r="BA387" s="682"/>
      <c r="BB387" s="68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</row>
    <row r="388" spans="1:116" s="679" customFormat="1" ht="15.7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13"/>
      <c r="AA388" s="2"/>
      <c r="AB388" s="724"/>
      <c r="AC388" s="784"/>
      <c r="AD388" s="787"/>
      <c r="AE388" s="787"/>
      <c r="AF388" s="550"/>
      <c r="AG388" s="697"/>
      <c r="AH388" s="698"/>
      <c r="AI388" s="697"/>
      <c r="AJ388" s="697"/>
      <c r="AK388" s="550"/>
      <c r="AR388" s="682"/>
      <c r="AS388" s="682"/>
      <c r="AT388" s="682"/>
      <c r="AU388" s="682"/>
      <c r="AV388" s="682"/>
      <c r="AW388" s="682"/>
      <c r="AX388" s="682"/>
      <c r="AY388" s="682"/>
      <c r="AZ388" s="682"/>
      <c r="BA388" s="682"/>
      <c r="BB388" s="68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</row>
    <row r="389" spans="1:116" s="679" customFormat="1" ht="15.7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13"/>
      <c r="AA389" s="2"/>
      <c r="AB389" s="724"/>
      <c r="AC389" s="784"/>
      <c r="AD389" s="787"/>
      <c r="AE389" s="787"/>
      <c r="AF389" s="550"/>
      <c r="AG389" s="697"/>
      <c r="AH389" s="698"/>
      <c r="AI389" s="697"/>
      <c r="AJ389" s="697"/>
      <c r="AK389" s="550"/>
      <c r="AR389" s="682"/>
      <c r="AS389" s="682"/>
      <c r="AT389" s="682"/>
      <c r="AU389" s="682"/>
      <c r="AV389" s="682"/>
      <c r="AW389" s="682"/>
      <c r="AX389" s="682"/>
      <c r="AY389" s="682"/>
      <c r="AZ389" s="682"/>
      <c r="BA389" s="682"/>
      <c r="BB389" s="68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</row>
    <row r="390" spans="1:116" s="679" customFormat="1" ht="15.7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13"/>
      <c r="AA390" s="2"/>
      <c r="AB390" s="724"/>
      <c r="AC390" s="784"/>
      <c r="AD390" s="787"/>
      <c r="AE390" s="787"/>
      <c r="AF390" s="550"/>
      <c r="AG390" s="697"/>
      <c r="AH390" s="698"/>
      <c r="AI390" s="697"/>
      <c r="AJ390" s="697"/>
      <c r="AK390" s="550"/>
      <c r="AR390" s="682"/>
      <c r="AS390" s="682"/>
      <c r="AT390" s="682"/>
      <c r="AU390" s="682"/>
      <c r="AV390" s="682"/>
      <c r="AW390" s="682"/>
      <c r="AX390" s="682"/>
      <c r="AY390" s="682"/>
      <c r="AZ390" s="682"/>
      <c r="BA390" s="682"/>
      <c r="BB390" s="68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</row>
    <row r="391" spans="1:116" s="679" customFormat="1" ht="15.7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13"/>
      <c r="AA391" s="2"/>
      <c r="AB391" s="724"/>
      <c r="AC391" s="784"/>
      <c r="AD391" s="787"/>
      <c r="AE391" s="787"/>
      <c r="AF391" s="550"/>
      <c r="AG391" s="697"/>
      <c r="AH391" s="698"/>
      <c r="AI391" s="697"/>
      <c r="AJ391" s="697"/>
      <c r="AK391" s="550"/>
      <c r="AR391" s="682"/>
      <c r="AS391" s="682"/>
      <c r="AT391" s="682"/>
      <c r="AU391" s="682"/>
      <c r="AV391" s="682"/>
      <c r="AW391" s="682"/>
      <c r="AX391" s="682"/>
      <c r="AY391" s="682"/>
      <c r="AZ391" s="682"/>
      <c r="BA391" s="682"/>
      <c r="BB391" s="68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</row>
    <row r="392" spans="1:116" s="679" customFormat="1" ht="15.7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13"/>
      <c r="AA392" s="2"/>
      <c r="AB392" s="724"/>
      <c r="AC392" s="784"/>
      <c r="AD392" s="787"/>
      <c r="AE392" s="787"/>
      <c r="AF392" s="550"/>
      <c r="AG392" s="697"/>
      <c r="AH392" s="698"/>
      <c r="AI392" s="697"/>
      <c r="AJ392" s="697"/>
      <c r="AK392" s="550"/>
      <c r="AR392" s="682"/>
      <c r="AS392" s="682"/>
      <c r="AT392" s="682"/>
      <c r="AU392" s="682"/>
      <c r="AV392" s="682"/>
      <c r="AW392" s="682"/>
      <c r="AX392" s="682"/>
      <c r="AY392" s="682"/>
      <c r="AZ392" s="682"/>
      <c r="BA392" s="682"/>
      <c r="BB392" s="68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</row>
    <row r="393" spans="1:116" s="679" customFormat="1" ht="15.7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13"/>
      <c r="AA393" s="2"/>
      <c r="AB393" s="724"/>
      <c r="AC393" s="784"/>
      <c r="AD393" s="787"/>
      <c r="AE393" s="787"/>
      <c r="AF393" s="550"/>
      <c r="AG393" s="697"/>
      <c r="AH393" s="698"/>
      <c r="AI393" s="697"/>
      <c r="AJ393" s="697"/>
      <c r="AK393" s="550"/>
      <c r="AR393" s="682"/>
      <c r="AS393" s="682"/>
      <c r="AT393" s="682"/>
      <c r="AU393" s="682"/>
      <c r="AV393" s="682"/>
      <c r="AW393" s="682"/>
      <c r="AX393" s="682"/>
      <c r="AY393" s="682"/>
      <c r="AZ393" s="682"/>
      <c r="BA393" s="682"/>
      <c r="BB393" s="68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</row>
    <row r="394" spans="1:116" s="679" customFormat="1" ht="15.7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13"/>
      <c r="AA394" s="2"/>
      <c r="AB394" s="724"/>
      <c r="AC394" s="784"/>
      <c r="AD394" s="787"/>
      <c r="AE394" s="787"/>
      <c r="AF394" s="550"/>
      <c r="AG394" s="697"/>
      <c r="AH394" s="698"/>
      <c r="AI394" s="697"/>
      <c r="AJ394" s="697"/>
      <c r="AK394" s="550"/>
      <c r="AR394" s="682"/>
      <c r="AS394" s="682"/>
      <c r="AT394" s="682"/>
      <c r="AU394" s="682"/>
      <c r="AV394" s="682"/>
      <c r="AW394" s="682"/>
      <c r="AX394" s="682"/>
      <c r="AY394" s="682"/>
      <c r="AZ394" s="682"/>
      <c r="BA394" s="682"/>
      <c r="BB394" s="68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</row>
    <row r="395" spans="1:116" s="679" customFormat="1" ht="15.7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13"/>
      <c r="AA395" s="2"/>
      <c r="AB395" s="724"/>
      <c r="AC395" s="784"/>
      <c r="AD395" s="787"/>
      <c r="AE395" s="787"/>
      <c r="AF395" s="550"/>
      <c r="AG395" s="697"/>
      <c r="AH395" s="698"/>
      <c r="AI395" s="697"/>
      <c r="AJ395" s="697"/>
      <c r="AK395" s="550"/>
      <c r="AR395" s="682"/>
      <c r="AS395" s="682"/>
      <c r="AT395" s="682"/>
      <c r="AU395" s="682"/>
      <c r="AV395" s="682"/>
      <c r="AW395" s="682"/>
      <c r="AX395" s="682"/>
      <c r="AY395" s="682"/>
      <c r="AZ395" s="682"/>
      <c r="BA395" s="682"/>
      <c r="BB395" s="68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</row>
    <row r="396" spans="1:116" s="679" customFormat="1" ht="15.7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13"/>
      <c r="AA396" s="2"/>
      <c r="AB396" s="724"/>
      <c r="AC396" s="784"/>
      <c r="AD396" s="787"/>
      <c r="AE396" s="787"/>
      <c r="AF396" s="550"/>
      <c r="AG396" s="697"/>
      <c r="AH396" s="698"/>
      <c r="AI396" s="697"/>
      <c r="AJ396" s="697"/>
      <c r="AK396" s="550"/>
      <c r="AR396" s="682"/>
      <c r="AS396" s="682"/>
      <c r="AT396" s="682"/>
      <c r="AU396" s="682"/>
      <c r="AV396" s="682"/>
      <c r="AW396" s="682"/>
      <c r="AX396" s="682"/>
      <c r="AY396" s="682"/>
      <c r="AZ396" s="682"/>
      <c r="BA396" s="682"/>
      <c r="BB396" s="68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</row>
    <row r="397" spans="1:116" s="679" customFormat="1" ht="15.7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13"/>
      <c r="AA397" s="2"/>
      <c r="AB397" s="724"/>
      <c r="AC397" s="784"/>
      <c r="AD397" s="787"/>
      <c r="AE397" s="787"/>
      <c r="AF397" s="550"/>
      <c r="AG397" s="697"/>
      <c r="AH397" s="698"/>
      <c r="AI397" s="697"/>
      <c r="AJ397" s="697"/>
      <c r="AK397" s="550"/>
      <c r="AR397" s="682"/>
      <c r="AS397" s="682"/>
      <c r="AT397" s="682"/>
      <c r="AU397" s="682"/>
      <c r="AV397" s="682"/>
      <c r="AW397" s="682"/>
      <c r="AX397" s="682"/>
      <c r="AY397" s="682"/>
      <c r="AZ397" s="682"/>
      <c r="BA397" s="682"/>
      <c r="BB397" s="68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</row>
    <row r="398" spans="1:116" s="679" customFormat="1" ht="15.7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13"/>
      <c r="AA398" s="2"/>
      <c r="AB398" s="724"/>
      <c r="AC398" s="784"/>
      <c r="AD398" s="787"/>
      <c r="AE398" s="787"/>
      <c r="AF398" s="550"/>
      <c r="AG398" s="697"/>
      <c r="AH398" s="698"/>
      <c r="AI398" s="697"/>
      <c r="AJ398" s="697"/>
      <c r="AK398" s="550"/>
      <c r="AR398" s="682"/>
      <c r="AS398" s="682"/>
      <c r="AT398" s="682"/>
      <c r="AU398" s="682"/>
      <c r="AV398" s="682"/>
      <c r="AW398" s="682"/>
      <c r="AX398" s="682"/>
      <c r="AY398" s="682"/>
      <c r="AZ398" s="682"/>
      <c r="BA398" s="682"/>
      <c r="BB398" s="68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</row>
    <row r="399" spans="1:116" s="679" customFormat="1" ht="15.7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13"/>
      <c r="AA399" s="2"/>
      <c r="AB399" s="724"/>
      <c r="AC399" s="784"/>
      <c r="AD399" s="787"/>
      <c r="AE399" s="787"/>
      <c r="AF399" s="550"/>
      <c r="AG399" s="697"/>
      <c r="AH399" s="698"/>
      <c r="AI399" s="697"/>
      <c r="AJ399" s="697"/>
      <c r="AK399" s="550"/>
      <c r="AR399" s="682"/>
      <c r="AS399" s="682"/>
      <c r="AT399" s="682"/>
      <c r="AU399" s="682"/>
      <c r="AV399" s="682"/>
      <c r="AW399" s="682"/>
      <c r="AX399" s="682"/>
      <c r="AY399" s="682"/>
      <c r="AZ399" s="682"/>
      <c r="BA399" s="682"/>
      <c r="BB399" s="68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</row>
    <row r="400" spans="1:116" s="679" customFormat="1" ht="15.7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13"/>
      <c r="AA400" s="2"/>
      <c r="AB400" s="724"/>
      <c r="AC400" s="784"/>
      <c r="AD400" s="787"/>
      <c r="AE400" s="787"/>
      <c r="AF400" s="550"/>
      <c r="AG400" s="697"/>
      <c r="AH400" s="698"/>
      <c r="AI400" s="697"/>
      <c r="AJ400" s="697"/>
      <c r="AK400" s="550"/>
      <c r="AR400" s="682"/>
      <c r="AS400" s="682"/>
      <c r="AT400" s="682"/>
      <c r="AU400" s="682"/>
      <c r="AV400" s="682"/>
      <c r="AW400" s="682"/>
      <c r="AX400" s="682"/>
      <c r="AY400" s="682"/>
      <c r="AZ400" s="682"/>
      <c r="BA400" s="682"/>
      <c r="BB400" s="68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</row>
    <row r="401" spans="1:116" s="679" customFormat="1" ht="15.7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13"/>
      <c r="AA401" s="2"/>
      <c r="AB401" s="724"/>
      <c r="AC401" s="784"/>
      <c r="AD401" s="787"/>
      <c r="AE401" s="787"/>
      <c r="AF401" s="550"/>
      <c r="AG401" s="697"/>
      <c r="AH401" s="698"/>
      <c r="AI401" s="697"/>
      <c r="AJ401" s="697"/>
      <c r="AK401" s="550"/>
      <c r="AR401" s="682"/>
      <c r="AS401" s="682"/>
      <c r="AT401" s="682"/>
      <c r="AU401" s="682"/>
      <c r="AV401" s="682"/>
      <c r="AW401" s="682"/>
      <c r="AX401" s="682"/>
      <c r="AY401" s="682"/>
      <c r="AZ401" s="682"/>
      <c r="BA401" s="682"/>
      <c r="BB401" s="68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</row>
    <row r="402" spans="1:116" s="679" customFormat="1" ht="15.7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13"/>
      <c r="AA402" s="2"/>
      <c r="AB402" s="724"/>
      <c r="AC402" s="784"/>
      <c r="AD402" s="787"/>
      <c r="AE402" s="787"/>
      <c r="AF402" s="550"/>
      <c r="AG402" s="697"/>
      <c r="AH402" s="698"/>
      <c r="AI402" s="697"/>
      <c r="AJ402" s="697"/>
      <c r="AK402" s="550"/>
      <c r="AR402" s="682"/>
      <c r="AS402" s="682"/>
      <c r="AT402" s="682"/>
      <c r="AU402" s="682"/>
      <c r="AV402" s="682"/>
      <c r="AW402" s="682"/>
      <c r="AX402" s="682"/>
      <c r="AY402" s="682"/>
      <c r="AZ402" s="682"/>
      <c r="BA402" s="682"/>
      <c r="BB402" s="68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</row>
    <row r="403" spans="1:116" s="679" customFormat="1" ht="15.7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13"/>
      <c r="AA403" s="2"/>
      <c r="AB403" s="724"/>
      <c r="AC403" s="784"/>
      <c r="AD403" s="787"/>
      <c r="AE403" s="787"/>
      <c r="AF403" s="550"/>
      <c r="AG403" s="697"/>
      <c r="AH403" s="698"/>
      <c r="AI403" s="697"/>
      <c r="AJ403" s="697"/>
      <c r="AK403" s="550"/>
      <c r="AR403" s="682"/>
      <c r="AS403" s="682"/>
      <c r="AT403" s="682"/>
      <c r="AU403" s="682"/>
      <c r="AV403" s="682"/>
      <c r="AW403" s="682"/>
      <c r="AX403" s="682"/>
      <c r="AY403" s="682"/>
      <c r="AZ403" s="682"/>
      <c r="BA403" s="682"/>
      <c r="BB403" s="68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</row>
    <row r="404" spans="1:116" s="679" customFormat="1" ht="15.7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13"/>
      <c r="AA404" s="2"/>
      <c r="AB404" s="724"/>
      <c r="AC404" s="784"/>
      <c r="AD404" s="787"/>
      <c r="AE404" s="787"/>
      <c r="AF404" s="550"/>
      <c r="AG404" s="697"/>
      <c r="AH404" s="698"/>
      <c r="AI404" s="697"/>
      <c r="AJ404" s="697"/>
      <c r="AK404" s="550"/>
      <c r="AR404" s="682"/>
      <c r="AS404" s="682"/>
      <c r="AT404" s="682"/>
      <c r="AU404" s="682"/>
      <c r="AV404" s="682"/>
      <c r="AW404" s="682"/>
      <c r="AX404" s="682"/>
      <c r="AY404" s="682"/>
      <c r="AZ404" s="682"/>
      <c r="BA404" s="682"/>
      <c r="BB404" s="68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</row>
    <row r="405" spans="1:116" s="679" customFormat="1" ht="15.7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13"/>
      <c r="AA405" s="2"/>
      <c r="AB405" s="724"/>
      <c r="AC405" s="784"/>
      <c r="AD405" s="787"/>
      <c r="AE405" s="787"/>
      <c r="AF405" s="550"/>
      <c r="AG405" s="697"/>
      <c r="AH405" s="698"/>
      <c r="AI405" s="697"/>
      <c r="AJ405" s="697"/>
      <c r="AK405" s="550"/>
      <c r="AR405" s="682"/>
      <c r="AS405" s="682"/>
      <c r="AT405" s="682"/>
      <c r="AU405" s="682"/>
      <c r="AV405" s="682"/>
      <c r="AW405" s="682"/>
      <c r="AX405" s="682"/>
      <c r="AY405" s="682"/>
      <c r="AZ405" s="682"/>
      <c r="BA405" s="682"/>
      <c r="BB405" s="68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</row>
    <row r="406" spans="1:116" s="679" customFormat="1" ht="15.7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13"/>
      <c r="AA406" s="2"/>
      <c r="AB406" s="724"/>
      <c r="AC406" s="784"/>
      <c r="AD406" s="787"/>
      <c r="AE406" s="787"/>
      <c r="AF406" s="550"/>
      <c r="AG406" s="697"/>
      <c r="AH406" s="698"/>
      <c r="AI406" s="697"/>
      <c r="AJ406" s="697"/>
      <c r="AK406" s="550"/>
      <c r="AR406" s="682"/>
      <c r="AS406" s="682"/>
      <c r="AT406" s="682"/>
      <c r="AU406" s="682"/>
      <c r="AV406" s="682"/>
      <c r="AW406" s="682"/>
      <c r="AX406" s="682"/>
      <c r="AY406" s="682"/>
      <c r="AZ406" s="682"/>
      <c r="BA406" s="682"/>
      <c r="BB406" s="68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</row>
    <row r="407" spans="1:116" s="679" customFormat="1" ht="15.7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13"/>
      <c r="AA407" s="2"/>
      <c r="AB407" s="724"/>
      <c r="AC407" s="784"/>
      <c r="AD407" s="787"/>
      <c r="AE407" s="787"/>
      <c r="AF407" s="550"/>
      <c r="AG407" s="697"/>
      <c r="AH407" s="698"/>
      <c r="AI407" s="697"/>
      <c r="AJ407" s="697"/>
      <c r="AK407" s="550"/>
      <c r="AR407" s="682"/>
      <c r="AS407" s="682"/>
      <c r="AT407" s="682"/>
      <c r="AU407" s="682"/>
      <c r="AV407" s="682"/>
      <c r="AW407" s="682"/>
      <c r="AX407" s="682"/>
      <c r="AY407" s="682"/>
      <c r="AZ407" s="682"/>
      <c r="BA407" s="682"/>
      <c r="BB407" s="68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</row>
    <row r="408" spans="1:116" s="679" customFormat="1" ht="15.7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13"/>
      <c r="AA408" s="2"/>
      <c r="AB408" s="724"/>
      <c r="AC408" s="784"/>
      <c r="AD408" s="787"/>
      <c r="AE408" s="787"/>
      <c r="AF408" s="550"/>
      <c r="AG408" s="697"/>
      <c r="AH408" s="698"/>
      <c r="AI408" s="697"/>
      <c r="AJ408" s="697"/>
      <c r="AK408" s="550"/>
      <c r="AR408" s="682"/>
      <c r="AS408" s="682"/>
      <c r="AT408" s="682"/>
      <c r="AU408" s="682"/>
      <c r="AV408" s="682"/>
      <c r="AW408" s="682"/>
      <c r="AX408" s="682"/>
      <c r="AY408" s="682"/>
      <c r="AZ408" s="682"/>
      <c r="BA408" s="682"/>
      <c r="BB408" s="68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</row>
    <row r="409" spans="1:116" s="679" customFormat="1" ht="15.7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13"/>
      <c r="AA409" s="2"/>
      <c r="AB409" s="724"/>
      <c r="AC409" s="784"/>
      <c r="AD409" s="787"/>
      <c r="AE409" s="787"/>
      <c r="AF409" s="550"/>
      <c r="AG409" s="697"/>
      <c r="AH409" s="698"/>
      <c r="AI409" s="697"/>
      <c r="AJ409" s="697"/>
      <c r="AK409" s="550"/>
      <c r="AR409" s="682"/>
      <c r="AS409" s="682"/>
      <c r="AT409" s="682"/>
      <c r="AU409" s="682"/>
      <c r="AV409" s="682"/>
      <c r="AW409" s="682"/>
      <c r="AX409" s="682"/>
      <c r="AY409" s="682"/>
      <c r="AZ409" s="682"/>
      <c r="BA409" s="682"/>
      <c r="BB409" s="68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</row>
    <row r="410" spans="1:116" s="679" customFormat="1" ht="15.7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13"/>
      <c r="AA410" s="2"/>
      <c r="AB410" s="724"/>
      <c r="AC410" s="784"/>
      <c r="AD410" s="787"/>
      <c r="AE410" s="787"/>
      <c r="AF410" s="550"/>
      <c r="AG410" s="697"/>
      <c r="AH410" s="698"/>
      <c r="AI410" s="697"/>
      <c r="AJ410" s="697"/>
      <c r="AK410" s="550"/>
      <c r="AR410" s="682"/>
      <c r="AS410" s="682"/>
      <c r="AT410" s="682"/>
      <c r="AU410" s="682"/>
      <c r="AV410" s="682"/>
      <c r="AW410" s="682"/>
      <c r="AX410" s="682"/>
      <c r="AY410" s="682"/>
      <c r="AZ410" s="682"/>
      <c r="BA410" s="682"/>
      <c r="BB410" s="68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</row>
    <row r="411" spans="1:116" s="679" customFormat="1" ht="15.7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13"/>
      <c r="AA411" s="2"/>
      <c r="AB411" s="724"/>
      <c r="AC411" s="784"/>
      <c r="AD411" s="787"/>
      <c r="AE411" s="787"/>
      <c r="AF411" s="550"/>
      <c r="AG411" s="697"/>
      <c r="AH411" s="698"/>
      <c r="AI411" s="697"/>
      <c r="AJ411" s="697"/>
      <c r="AK411" s="550"/>
      <c r="AR411" s="682"/>
      <c r="AS411" s="682"/>
      <c r="AT411" s="682"/>
      <c r="AU411" s="682"/>
      <c r="AV411" s="682"/>
      <c r="AW411" s="682"/>
      <c r="AX411" s="682"/>
      <c r="AY411" s="682"/>
      <c r="AZ411" s="682"/>
      <c r="BA411" s="682"/>
      <c r="BB411" s="68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</row>
    <row r="412" spans="1:116" s="679" customFormat="1" ht="15.7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13"/>
      <c r="AA412" s="2"/>
      <c r="AB412" s="724"/>
      <c r="AC412" s="784"/>
      <c r="AD412" s="787"/>
      <c r="AE412" s="787"/>
      <c r="AF412" s="550"/>
      <c r="AG412" s="697"/>
      <c r="AH412" s="698"/>
      <c r="AI412" s="697"/>
      <c r="AJ412" s="697"/>
      <c r="AK412" s="550"/>
      <c r="AR412" s="682"/>
      <c r="AS412" s="682"/>
      <c r="AT412" s="682"/>
      <c r="AU412" s="682"/>
      <c r="AV412" s="682"/>
      <c r="AW412" s="682"/>
      <c r="AX412" s="682"/>
      <c r="AY412" s="682"/>
      <c r="AZ412" s="682"/>
      <c r="BA412" s="682"/>
      <c r="BB412" s="68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</row>
    <row r="413" spans="1:116" s="679" customFormat="1" ht="15.7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13"/>
      <c r="AA413" s="2"/>
      <c r="AB413" s="724"/>
      <c r="AC413" s="784"/>
      <c r="AD413" s="787"/>
      <c r="AE413" s="787"/>
      <c r="AF413" s="550"/>
      <c r="AG413" s="697"/>
      <c r="AH413" s="698"/>
      <c r="AI413" s="697"/>
      <c r="AJ413" s="697"/>
      <c r="AK413" s="550"/>
      <c r="AR413" s="682"/>
      <c r="AS413" s="682"/>
      <c r="AT413" s="682"/>
      <c r="AU413" s="682"/>
      <c r="AV413" s="682"/>
      <c r="AW413" s="682"/>
      <c r="AX413" s="682"/>
      <c r="AY413" s="682"/>
      <c r="AZ413" s="682"/>
      <c r="BA413" s="682"/>
      <c r="BB413" s="68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</row>
    <row r="414" spans="1:116" s="679" customFormat="1" ht="15.7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13"/>
      <c r="AA414" s="2"/>
      <c r="AB414" s="724"/>
      <c r="AC414" s="784"/>
      <c r="AD414" s="787"/>
      <c r="AE414" s="787"/>
      <c r="AF414" s="550"/>
      <c r="AG414" s="697"/>
      <c r="AH414" s="698"/>
      <c r="AI414" s="697"/>
      <c r="AJ414" s="697"/>
      <c r="AK414" s="550"/>
      <c r="AR414" s="682"/>
      <c r="AS414" s="682"/>
      <c r="AT414" s="682"/>
      <c r="AU414" s="682"/>
      <c r="AV414" s="682"/>
      <c r="AW414" s="682"/>
      <c r="AX414" s="682"/>
      <c r="AY414" s="682"/>
      <c r="AZ414" s="682"/>
      <c r="BA414" s="682"/>
      <c r="BB414" s="68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</row>
    <row r="415" spans="1:116" s="679" customFormat="1" ht="15.7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13"/>
      <c r="AA415" s="2"/>
      <c r="AB415" s="724"/>
      <c r="AC415" s="784"/>
      <c r="AD415" s="787"/>
      <c r="AE415" s="787"/>
      <c r="AF415" s="550"/>
      <c r="AG415" s="697"/>
      <c r="AH415" s="698"/>
      <c r="AI415" s="697"/>
      <c r="AJ415" s="697"/>
      <c r="AK415" s="550"/>
      <c r="AR415" s="682"/>
      <c r="AS415" s="682"/>
      <c r="AT415" s="682"/>
      <c r="AU415" s="682"/>
      <c r="AV415" s="682"/>
      <c r="AW415" s="682"/>
      <c r="AX415" s="682"/>
      <c r="AY415" s="682"/>
      <c r="AZ415" s="682"/>
      <c r="BA415" s="682"/>
      <c r="BB415" s="68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</row>
    <row r="416" spans="1:116" s="679" customFormat="1" ht="15.7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13"/>
      <c r="AA416" s="2"/>
      <c r="AB416" s="724"/>
      <c r="AC416" s="784"/>
      <c r="AD416" s="787"/>
      <c r="AE416" s="787"/>
      <c r="AF416" s="550"/>
      <c r="AG416" s="697"/>
      <c r="AH416" s="698"/>
      <c r="AI416" s="697"/>
      <c r="AJ416" s="697"/>
      <c r="AK416" s="550"/>
      <c r="AR416" s="682"/>
      <c r="AS416" s="682"/>
      <c r="AT416" s="682"/>
      <c r="AU416" s="682"/>
      <c r="AV416" s="682"/>
      <c r="AW416" s="682"/>
      <c r="AX416" s="682"/>
      <c r="AY416" s="682"/>
      <c r="AZ416" s="682"/>
      <c r="BA416" s="682"/>
      <c r="BB416" s="68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</row>
    <row r="417" spans="1:116" s="679" customFormat="1" ht="15.7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13"/>
      <c r="AA417" s="2"/>
      <c r="AB417" s="724"/>
      <c r="AC417" s="784"/>
      <c r="AD417" s="787"/>
      <c r="AE417" s="787"/>
      <c r="AF417" s="550"/>
      <c r="AG417" s="697"/>
      <c r="AH417" s="698"/>
      <c r="AI417" s="697"/>
      <c r="AJ417" s="697"/>
      <c r="AK417" s="550"/>
      <c r="AR417" s="682"/>
      <c r="AS417" s="682"/>
      <c r="AT417" s="682"/>
      <c r="AU417" s="682"/>
      <c r="AV417" s="682"/>
      <c r="AW417" s="682"/>
      <c r="AX417" s="682"/>
      <c r="AY417" s="682"/>
      <c r="AZ417" s="682"/>
      <c r="BA417" s="682"/>
      <c r="BB417" s="68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</row>
    <row r="418" spans="1:116" s="679" customFormat="1" ht="15.7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13"/>
      <c r="AA418" s="2"/>
      <c r="AB418" s="724"/>
      <c r="AC418" s="784"/>
      <c r="AD418" s="787"/>
      <c r="AE418" s="787"/>
      <c r="AF418" s="550"/>
      <c r="AG418" s="697"/>
      <c r="AH418" s="698"/>
      <c r="AI418" s="697"/>
      <c r="AJ418" s="697"/>
      <c r="AK418" s="550"/>
      <c r="AR418" s="682"/>
      <c r="AS418" s="682"/>
      <c r="AT418" s="682"/>
      <c r="AU418" s="682"/>
      <c r="AV418" s="682"/>
      <c r="AW418" s="682"/>
      <c r="AX418" s="682"/>
      <c r="AY418" s="682"/>
      <c r="AZ418" s="682"/>
      <c r="BA418" s="682"/>
      <c r="BB418" s="68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</row>
    <row r="419" spans="1:116" s="679" customFormat="1" ht="15.7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13"/>
      <c r="AA419" s="2"/>
      <c r="AB419" s="724"/>
      <c r="AC419" s="784"/>
      <c r="AD419" s="787"/>
      <c r="AE419" s="787"/>
      <c r="AF419" s="550"/>
      <c r="AG419" s="697"/>
      <c r="AH419" s="698"/>
      <c r="AI419" s="697"/>
      <c r="AJ419" s="697"/>
      <c r="AK419" s="550"/>
      <c r="AR419" s="682"/>
      <c r="AS419" s="682"/>
      <c r="AT419" s="682"/>
      <c r="AU419" s="682"/>
      <c r="AV419" s="682"/>
      <c r="AW419" s="682"/>
      <c r="AX419" s="682"/>
      <c r="AY419" s="682"/>
      <c r="AZ419" s="682"/>
      <c r="BA419" s="682"/>
      <c r="BB419" s="68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</row>
    <row r="420" spans="1:116" s="679" customFormat="1" ht="15.7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13"/>
      <c r="AA420" s="2"/>
      <c r="AB420" s="724"/>
      <c r="AC420" s="784"/>
      <c r="AD420" s="787"/>
      <c r="AE420" s="787"/>
      <c r="AF420" s="550"/>
      <c r="AG420" s="697"/>
      <c r="AH420" s="698"/>
      <c r="AI420" s="697"/>
      <c r="AJ420" s="697"/>
      <c r="AK420" s="550"/>
      <c r="AR420" s="682"/>
      <c r="AS420" s="682"/>
      <c r="AT420" s="682"/>
      <c r="AU420" s="682"/>
      <c r="AV420" s="682"/>
      <c r="AW420" s="682"/>
      <c r="AX420" s="682"/>
      <c r="AY420" s="682"/>
      <c r="AZ420" s="682"/>
      <c r="BA420" s="682"/>
      <c r="BB420" s="68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</row>
    <row r="421" spans="1:116" s="679" customFormat="1" ht="15.7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13"/>
      <c r="AA421" s="2"/>
      <c r="AB421" s="724"/>
      <c r="AC421" s="784"/>
      <c r="AD421" s="787"/>
      <c r="AE421" s="787"/>
      <c r="AF421" s="550"/>
      <c r="AG421" s="697"/>
      <c r="AH421" s="698"/>
      <c r="AI421" s="697"/>
      <c r="AJ421" s="697"/>
      <c r="AK421" s="550"/>
      <c r="AR421" s="682"/>
      <c r="AS421" s="682"/>
      <c r="AT421" s="682"/>
      <c r="AU421" s="682"/>
      <c r="AV421" s="682"/>
      <c r="AW421" s="682"/>
      <c r="AX421" s="682"/>
      <c r="AY421" s="682"/>
      <c r="AZ421" s="682"/>
      <c r="BA421" s="682"/>
      <c r="BB421" s="68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</row>
    <row r="422" spans="1:116" s="679" customFormat="1" ht="15.7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13"/>
      <c r="AA422" s="2"/>
      <c r="AB422" s="724"/>
      <c r="AC422" s="784"/>
      <c r="AD422" s="787"/>
      <c r="AE422" s="787"/>
      <c r="AF422" s="550"/>
      <c r="AG422" s="697"/>
      <c r="AH422" s="698"/>
      <c r="AI422" s="697"/>
      <c r="AJ422" s="697"/>
      <c r="AK422" s="550"/>
      <c r="AR422" s="682"/>
      <c r="AS422" s="682"/>
      <c r="AT422" s="682"/>
      <c r="AU422" s="682"/>
      <c r="AV422" s="682"/>
      <c r="AW422" s="682"/>
      <c r="AX422" s="682"/>
      <c r="AY422" s="682"/>
      <c r="AZ422" s="682"/>
      <c r="BA422" s="682"/>
      <c r="BB422" s="68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</row>
    <row r="423" spans="1:116" s="679" customFormat="1" ht="15.7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13"/>
      <c r="AA423" s="2"/>
      <c r="AB423" s="724"/>
      <c r="AC423" s="784"/>
      <c r="AD423" s="787"/>
      <c r="AE423" s="787"/>
      <c r="AF423" s="550"/>
      <c r="AG423" s="697"/>
      <c r="AH423" s="698"/>
      <c r="AI423" s="697"/>
      <c r="AJ423" s="697"/>
      <c r="AK423" s="550"/>
      <c r="AR423" s="682"/>
      <c r="AS423" s="682"/>
      <c r="AT423" s="682"/>
      <c r="AU423" s="682"/>
      <c r="AV423" s="682"/>
      <c r="AW423" s="682"/>
      <c r="AX423" s="682"/>
      <c r="AY423" s="682"/>
      <c r="AZ423" s="682"/>
      <c r="BA423" s="682"/>
      <c r="BB423" s="68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</row>
    <row r="424" spans="1:116" s="679" customFormat="1" ht="15.7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13"/>
      <c r="AA424" s="2"/>
      <c r="AB424" s="724"/>
      <c r="AC424" s="784"/>
      <c r="AD424" s="787"/>
      <c r="AE424" s="787"/>
      <c r="AF424" s="550"/>
      <c r="AG424" s="697"/>
      <c r="AH424" s="698"/>
      <c r="AI424" s="697"/>
      <c r="AJ424" s="697"/>
      <c r="AK424" s="550"/>
      <c r="AR424" s="682"/>
      <c r="AS424" s="682"/>
      <c r="AT424" s="682"/>
      <c r="AU424" s="682"/>
      <c r="AV424" s="682"/>
      <c r="AW424" s="682"/>
      <c r="AX424" s="682"/>
      <c r="AY424" s="682"/>
      <c r="AZ424" s="682"/>
      <c r="BA424" s="682"/>
      <c r="BB424" s="68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</row>
    <row r="425" spans="1:116" s="679" customFormat="1" ht="15.7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13"/>
      <c r="AA425" s="2"/>
      <c r="AB425" s="724"/>
      <c r="AC425" s="784"/>
      <c r="AD425" s="787"/>
      <c r="AE425" s="787"/>
      <c r="AF425" s="550"/>
      <c r="AG425" s="697"/>
      <c r="AH425" s="698"/>
      <c r="AI425" s="697"/>
      <c r="AJ425" s="697"/>
      <c r="AK425" s="550"/>
      <c r="AR425" s="682"/>
      <c r="AS425" s="682"/>
      <c r="AT425" s="682"/>
      <c r="AU425" s="682"/>
      <c r="AV425" s="682"/>
      <c r="AW425" s="682"/>
      <c r="AX425" s="682"/>
      <c r="AY425" s="682"/>
      <c r="AZ425" s="682"/>
      <c r="BA425" s="682"/>
      <c r="BB425" s="68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</row>
    <row r="426" spans="1:116" s="679" customFormat="1" ht="15.7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13"/>
      <c r="AA426" s="2"/>
      <c r="AB426" s="724"/>
      <c r="AC426" s="784"/>
      <c r="AD426" s="787"/>
      <c r="AE426" s="787"/>
      <c r="AF426" s="550"/>
      <c r="AG426" s="697"/>
      <c r="AH426" s="698"/>
      <c r="AI426" s="697"/>
      <c r="AJ426" s="697"/>
      <c r="AK426" s="550"/>
      <c r="AR426" s="682"/>
      <c r="AS426" s="682"/>
      <c r="AT426" s="682"/>
      <c r="AU426" s="682"/>
      <c r="AV426" s="682"/>
      <c r="AW426" s="682"/>
      <c r="AX426" s="682"/>
      <c r="AY426" s="682"/>
      <c r="AZ426" s="682"/>
      <c r="BA426" s="682"/>
      <c r="BB426" s="68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</row>
    <row r="427" spans="1:116" s="679" customFormat="1" ht="15.7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13"/>
      <c r="AA427" s="2"/>
      <c r="AB427" s="724"/>
      <c r="AC427" s="784"/>
      <c r="AD427" s="787"/>
      <c r="AE427" s="787"/>
      <c r="AF427" s="550"/>
      <c r="AG427" s="697"/>
      <c r="AH427" s="698"/>
      <c r="AI427" s="697"/>
      <c r="AJ427" s="697"/>
      <c r="AK427" s="550"/>
      <c r="AR427" s="682"/>
      <c r="AS427" s="682"/>
      <c r="AT427" s="682"/>
      <c r="AU427" s="682"/>
      <c r="AV427" s="682"/>
      <c r="AW427" s="682"/>
      <c r="AX427" s="682"/>
      <c r="AY427" s="682"/>
      <c r="AZ427" s="682"/>
      <c r="BA427" s="682"/>
      <c r="BB427" s="68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</row>
    <row r="428" spans="1:116" s="679" customFormat="1" ht="15.7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13"/>
      <c r="AA428" s="2"/>
      <c r="AB428" s="724"/>
      <c r="AC428" s="784"/>
      <c r="AD428" s="787"/>
      <c r="AE428" s="787"/>
      <c r="AF428" s="550"/>
      <c r="AG428" s="697"/>
      <c r="AH428" s="698"/>
      <c r="AI428" s="697"/>
      <c r="AJ428" s="697"/>
      <c r="AK428" s="550"/>
      <c r="AR428" s="682"/>
      <c r="AS428" s="682"/>
      <c r="AT428" s="682"/>
      <c r="AU428" s="682"/>
      <c r="AV428" s="682"/>
      <c r="AW428" s="682"/>
      <c r="AX428" s="682"/>
      <c r="AY428" s="682"/>
      <c r="AZ428" s="682"/>
      <c r="BA428" s="682"/>
      <c r="BB428" s="68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</row>
    <row r="429" spans="1:116" s="679" customFormat="1" ht="15.7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13"/>
      <c r="AA429" s="2"/>
      <c r="AB429" s="724"/>
      <c r="AC429" s="784"/>
      <c r="AD429" s="787"/>
      <c r="AE429" s="787"/>
      <c r="AF429" s="550"/>
      <c r="AG429" s="697"/>
      <c r="AH429" s="698"/>
      <c r="AI429" s="697"/>
      <c r="AJ429" s="697"/>
      <c r="AK429" s="550"/>
      <c r="AR429" s="682"/>
      <c r="AS429" s="682"/>
      <c r="AT429" s="682"/>
      <c r="AU429" s="682"/>
      <c r="AV429" s="682"/>
      <c r="AW429" s="682"/>
      <c r="AX429" s="682"/>
      <c r="AY429" s="682"/>
      <c r="AZ429" s="682"/>
      <c r="BA429" s="682"/>
      <c r="BB429" s="68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</row>
    <row r="430" spans="1:116" s="679" customFormat="1" ht="15.7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13"/>
      <c r="AA430" s="2"/>
      <c r="AB430" s="724"/>
      <c r="AC430" s="784"/>
      <c r="AD430" s="787"/>
      <c r="AE430" s="787"/>
      <c r="AF430" s="550"/>
      <c r="AG430" s="697"/>
      <c r="AH430" s="698"/>
      <c r="AI430" s="697"/>
      <c r="AJ430" s="697"/>
      <c r="AK430" s="550"/>
      <c r="AR430" s="682"/>
      <c r="AS430" s="682"/>
      <c r="AT430" s="682"/>
      <c r="AU430" s="682"/>
      <c r="AV430" s="682"/>
      <c r="AW430" s="682"/>
      <c r="AX430" s="682"/>
      <c r="AY430" s="682"/>
      <c r="AZ430" s="682"/>
      <c r="BA430" s="682"/>
      <c r="BB430" s="68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</row>
    <row r="431" spans="1:116" s="679" customFormat="1" ht="15.7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13"/>
      <c r="AA431" s="2"/>
      <c r="AB431" s="724"/>
      <c r="AC431" s="784"/>
      <c r="AD431" s="787"/>
      <c r="AE431" s="787"/>
      <c r="AF431" s="550"/>
      <c r="AG431" s="697"/>
      <c r="AH431" s="698"/>
      <c r="AI431" s="697"/>
      <c r="AJ431" s="697"/>
      <c r="AK431" s="550"/>
      <c r="AR431" s="682"/>
      <c r="AS431" s="682"/>
      <c r="AT431" s="682"/>
      <c r="AU431" s="682"/>
      <c r="AV431" s="682"/>
      <c r="AW431" s="682"/>
      <c r="AX431" s="682"/>
      <c r="AY431" s="682"/>
      <c r="AZ431" s="682"/>
      <c r="BA431" s="682"/>
      <c r="BB431" s="68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</row>
    <row r="432" spans="1:116" s="679" customFormat="1" ht="15.7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13"/>
      <c r="AA432" s="2"/>
      <c r="AB432" s="724"/>
      <c r="AC432" s="784"/>
      <c r="AD432" s="787"/>
      <c r="AE432" s="787"/>
      <c r="AF432" s="550"/>
      <c r="AG432" s="697"/>
      <c r="AH432" s="698"/>
      <c r="AI432" s="697"/>
      <c r="AJ432" s="697"/>
      <c r="AK432" s="550"/>
      <c r="AR432" s="682"/>
      <c r="AS432" s="682"/>
      <c r="AT432" s="682"/>
      <c r="AU432" s="682"/>
      <c r="AV432" s="682"/>
      <c r="AW432" s="682"/>
      <c r="AX432" s="682"/>
      <c r="AY432" s="682"/>
      <c r="AZ432" s="682"/>
      <c r="BA432" s="682"/>
      <c r="BB432" s="68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</row>
    <row r="433" spans="1:116" s="679" customFormat="1" ht="15.7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13"/>
      <c r="AA433" s="2"/>
      <c r="AB433" s="724"/>
      <c r="AC433" s="784"/>
      <c r="AD433" s="787"/>
      <c r="AE433" s="787"/>
      <c r="AF433" s="550"/>
      <c r="AG433" s="697"/>
      <c r="AH433" s="698"/>
      <c r="AI433" s="697"/>
      <c r="AJ433" s="697"/>
      <c r="AK433" s="550"/>
      <c r="AR433" s="682"/>
      <c r="AS433" s="682"/>
      <c r="AT433" s="682"/>
      <c r="AU433" s="682"/>
      <c r="AV433" s="682"/>
      <c r="AW433" s="682"/>
      <c r="AX433" s="682"/>
      <c r="AY433" s="682"/>
      <c r="AZ433" s="682"/>
      <c r="BA433" s="682"/>
      <c r="BB433" s="68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</row>
    <row r="434" spans="1:116" s="679" customFormat="1" ht="15.7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13"/>
      <c r="AA434" s="2"/>
      <c r="AB434" s="724"/>
      <c r="AC434" s="784"/>
      <c r="AD434" s="787"/>
      <c r="AE434" s="787"/>
      <c r="AF434" s="550"/>
      <c r="AG434" s="697"/>
      <c r="AH434" s="698"/>
      <c r="AI434" s="697"/>
      <c r="AJ434" s="697"/>
      <c r="AK434" s="550"/>
      <c r="AR434" s="682"/>
      <c r="AS434" s="682"/>
      <c r="AT434" s="682"/>
      <c r="AU434" s="682"/>
      <c r="AV434" s="682"/>
      <c r="AW434" s="682"/>
      <c r="AX434" s="682"/>
      <c r="AY434" s="682"/>
      <c r="AZ434" s="682"/>
      <c r="BA434" s="682"/>
      <c r="BB434" s="68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</row>
    <row r="435" spans="1:116" s="679" customFormat="1" ht="15.7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13"/>
      <c r="AA435" s="2"/>
      <c r="AB435" s="724"/>
      <c r="AC435" s="784"/>
      <c r="AD435" s="787"/>
      <c r="AE435" s="787"/>
      <c r="AF435" s="550"/>
      <c r="AG435" s="697"/>
      <c r="AH435" s="698"/>
      <c r="AI435" s="697"/>
      <c r="AJ435" s="697"/>
      <c r="AK435" s="550"/>
      <c r="AR435" s="682"/>
      <c r="AS435" s="682"/>
      <c r="AT435" s="682"/>
      <c r="AU435" s="682"/>
      <c r="AV435" s="682"/>
      <c r="AW435" s="682"/>
      <c r="AX435" s="682"/>
      <c r="AY435" s="682"/>
      <c r="AZ435" s="682"/>
      <c r="BA435" s="682"/>
      <c r="BB435" s="68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</row>
    <row r="436" spans="1:116" s="679" customFormat="1" ht="15.7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13"/>
      <c r="AA436" s="2"/>
      <c r="AB436" s="724"/>
      <c r="AC436" s="784"/>
      <c r="AD436" s="787"/>
      <c r="AE436" s="787"/>
      <c r="AF436" s="550"/>
      <c r="AG436" s="697"/>
      <c r="AH436" s="698"/>
      <c r="AI436" s="697"/>
      <c r="AJ436" s="697"/>
      <c r="AK436" s="550"/>
      <c r="AR436" s="682"/>
      <c r="AS436" s="682"/>
      <c r="AT436" s="682"/>
      <c r="AU436" s="682"/>
      <c r="AV436" s="682"/>
      <c r="AW436" s="682"/>
      <c r="AX436" s="682"/>
      <c r="AY436" s="682"/>
      <c r="AZ436" s="682"/>
      <c r="BA436" s="682"/>
      <c r="BB436" s="68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</row>
    <row r="437" spans="1:116" s="679" customFormat="1" ht="15.7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13"/>
      <c r="AA437" s="2"/>
      <c r="AB437" s="724"/>
      <c r="AC437" s="784"/>
      <c r="AD437" s="787"/>
      <c r="AE437" s="787"/>
      <c r="AF437" s="550"/>
      <c r="AG437" s="697"/>
      <c r="AH437" s="698"/>
      <c r="AI437" s="697"/>
      <c r="AJ437" s="697"/>
      <c r="AK437" s="550"/>
      <c r="AR437" s="682"/>
      <c r="AS437" s="682"/>
      <c r="AT437" s="682"/>
      <c r="AU437" s="682"/>
      <c r="AV437" s="682"/>
      <c r="AW437" s="682"/>
      <c r="AX437" s="682"/>
      <c r="AY437" s="682"/>
      <c r="AZ437" s="682"/>
      <c r="BA437" s="682"/>
      <c r="BB437" s="68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</row>
    <row r="438" spans="1:116" s="679" customFormat="1" ht="15.7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13"/>
      <c r="AA438" s="2"/>
      <c r="AB438" s="724"/>
      <c r="AC438" s="784"/>
      <c r="AD438" s="787"/>
      <c r="AE438" s="787"/>
      <c r="AF438" s="550"/>
      <c r="AG438" s="697"/>
      <c r="AH438" s="698"/>
      <c r="AI438" s="697"/>
      <c r="AJ438" s="697"/>
      <c r="AK438" s="550"/>
      <c r="AR438" s="682"/>
      <c r="AS438" s="682"/>
      <c r="AT438" s="682"/>
      <c r="AU438" s="682"/>
      <c r="AV438" s="682"/>
      <c r="AW438" s="682"/>
      <c r="AX438" s="682"/>
      <c r="AY438" s="682"/>
      <c r="AZ438" s="682"/>
      <c r="BA438" s="682"/>
      <c r="BB438" s="68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</row>
    <row r="439" spans="1:116" s="679" customFormat="1" ht="15.7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13"/>
      <c r="AA439" s="2"/>
      <c r="AB439" s="724"/>
      <c r="AC439" s="784"/>
      <c r="AD439" s="787"/>
      <c r="AE439" s="787"/>
      <c r="AF439" s="550"/>
      <c r="AG439" s="697"/>
      <c r="AH439" s="698"/>
      <c r="AI439" s="697"/>
      <c r="AJ439" s="697"/>
      <c r="AK439" s="550"/>
      <c r="AR439" s="682"/>
      <c r="AS439" s="682"/>
      <c r="AT439" s="682"/>
      <c r="AU439" s="682"/>
      <c r="AV439" s="682"/>
      <c r="AW439" s="682"/>
      <c r="AX439" s="682"/>
      <c r="AY439" s="682"/>
      <c r="AZ439" s="682"/>
      <c r="BA439" s="682"/>
      <c r="BB439" s="68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</row>
    <row r="440" spans="1:116" s="679" customFormat="1" ht="15.7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13"/>
      <c r="AA440" s="2"/>
      <c r="AB440" s="724"/>
      <c r="AC440" s="784"/>
      <c r="AD440" s="787"/>
      <c r="AE440" s="787"/>
      <c r="AF440" s="550"/>
      <c r="AG440" s="697"/>
      <c r="AH440" s="698"/>
      <c r="AI440" s="697"/>
      <c r="AJ440" s="697"/>
      <c r="AK440" s="550"/>
      <c r="AR440" s="682"/>
      <c r="AS440" s="682"/>
      <c r="AT440" s="682"/>
      <c r="AU440" s="682"/>
      <c r="AV440" s="682"/>
      <c r="AW440" s="682"/>
      <c r="AX440" s="682"/>
      <c r="AY440" s="682"/>
      <c r="AZ440" s="682"/>
      <c r="BA440" s="682"/>
      <c r="BB440" s="68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</row>
    <row r="441" spans="1:116" s="679" customFormat="1" ht="15.7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13"/>
      <c r="AA441" s="2"/>
      <c r="AB441" s="724"/>
      <c r="AC441" s="784"/>
      <c r="AD441" s="787"/>
      <c r="AE441" s="787"/>
      <c r="AF441" s="550"/>
      <c r="AG441" s="697"/>
      <c r="AH441" s="698"/>
      <c r="AI441" s="697"/>
      <c r="AJ441" s="697"/>
      <c r="AK441" s="550"/>
      <c r="AR441" s="682"/>
      <c r="AS441" s="682"/>
      <c r="AT441" s="682"/>
      <c r="AU441" s="682"/>
      <c r="AV441" s="682"/>
      <c r="AW441" s="682"/>
      <c r="AX441" s="682"/>
      <c r="AY441" s="682"/>
      <c r="AZ441" s="682"/>
      <c r="BA441" s="682"/>
      <c r="BB441" s="68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</row>
    <row r="442" spans="1:116" s="679" customFormat="1" ht="15.7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13"/>
      <c r="AA442" s="2"/>
      <c r="AB442" s="724"/>
      <c r="AC442" s="784"/>
      <c r="AD442" s="787"/>
      <c r="AE442" s="787"/>
      <c r="AF442" s="550"/>
      <c r="AG442" s="697"/>
      <c r="AH442" s="698"/>
      <c r="AI442" s="697"/>
      <c r="AJ442" s="697"/>
      <c r="AK442" s="550"/>
      <c r="AR442" s="682"/>
      <c r="AS442" s="682"/>
      <c r="AT442" s="682"/>
      <c r="AU442" s="682"/>
      <c r="AV442" s="682"/>
      <c r="AW442" s="682"/>
      <c r="AX442" s="682"/>
      <c r="AY442" s="682"/>
      <c r="AZ442" s="682"/>
      <c r="BA442" s="682"/>
      <c r="BB442" s="68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</row>
    <row r="443" spans="1:116" s="679" customFormat="1" ht="15.7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13"/>
      <c r="AA443" s="2"/>
      <c r="AB443" s="724"/>
      <c r="AC443" s="784"/>
      <c r="AD443" s="787"/>
      <c r="AE443" s="787"/>
      <c r="AF443" s="550"/>
      <c r="AG443" s="697"/>
      <c r="AH443" s="698"/>
      <c r="AI443" s="697"/>
      <c r="AJ443" s="697"/>
      <c r="AK443" s="550"/>
      <c r="AR443" s="682"/>
      <c r="AS443" s="682"/>
      <c r="AT443" s="682"/>
      <c r="AU443" s="682"/>
      <c r="AV443" s="682"/>
      <c r="AW443" s="682"/>
      <c r="AX443" s="682"/>
      <c r="AY443" s="682"/>
      <c r="AZ443" s="682"/>
      <c r="BA443" s="682"/>
      <c r="BB443" s="68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</row>
    <row r="444" spans="1:116" s="679" customFormat="1" ht="15.7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13"/>
      <c r="AA444" s="2"/>
      <c r="AB444" s="724"/>
      <c r="AC444" s="784"/>
      <c r="AD444" s="787"/>
      <c r="AE444" s="787"/>
      <c r="AF444" s="550"/>
      <c r="AG444" s="697"/>
      <c r="AH444" s="698"/>
      <c r="AI444" s="697"/>
      <c r="AJ444" s="697"/>
      <c r="AK444" s="550"/>
      <c r="AR444" s="682"/>
      <c r="AS444" s="682"/>
      <c r="AT444" s="682"/>
      <c r="AU444" s="682"/>
      <c r="AV444" s="682"/>
      <c r="AW444" s="682"/>
      <c r="AX444" s="682"/>
      <c r="AY444" s="682"/>
      <c r="AZ444" s="682"/>
      <c r="BA444" s="682"/>
      <c r="BB444" s="68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</row>
    <row r="445" spans="1:116" s="679" customFormat="1" ht="15.7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13"/>
      <c r="AA445" s="2"/>
      <c r="AB445" s="724"/>
      <c r="AC445" s="784"/>
      <c r="AD445" s="787"/>
      <c r="AE445" s="787"/>
      <c r="AF445" s="550"/>
      <c r="AG445" s="697"/>
      <c r="AH445" s="698"/>
      <c r="AI445" s="697"/>
      <c r="AJ445" s="697"/>
      <c r="AK445" s="550"/>
      <c r="AR445" s="682"/>
      <c r="AS445" s="682"/>
      <c r="AT445" s="682"/>
      <c r="AU445" s="682"/>
      <c r="AV445" s="682"/>
      <c r="AW445" s="682"/>
      <c r="AX445" s="682"/>
      <c r="AY445" s="682"/>
      <c r="AZ445" s="682"/>
      <c r="BA445" s="682"/>
      <c r="BB445" s="68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</row>
    <row r="446" spans="1:116" s="679" customFormat="1" ht="15.7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13"/>
      <c r="AA446" s="2"/>
      <c r="AB446" s="724"/>
      <c r="AC446" s="784"/>
      <c r="AD446" s="787"/>
      <c r="AE446" s="787"/>
      <c r="AF446" s="550"/>
      <c r="AG446" s="697"/>
      <c r="AH446" s="698"/>
      <c r="AI446" s="697"/>
      <c r="AJ446" s="697"/>
      <c r="AK446" s="550"/>
      <c r="AR446" s="682"/>
      <c r="AS446" s="682"/>
      <c r="AT446" s="682"/>
      <c r="AU446" s="682"/>
      <c r="AV446" s="682"/>
      <c r="AW446" s="682"/>
      <c r="AX446" s="682"/>
      <c r="AY446" s="682"/>
      <c r="AZ446" s="682"/>
      <c r="BA446" s="682"/>
      <c r="BB446" s="68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</row>
    <row r="447" spans="1:116" s="679" customFormat="1" ht="15.7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13"/>
      <c r="AA447" s="2"/>
      <c r="AB447" s="724"/>
      <c r="AC447" s="784"/>
      <c r="AD447" s="787"/>
      <c r="AE447" s="787"/>
      <c r="AF447" s="550"/>
      <c r="AG447" s="697"/>
      <c r="AH447" s="698"/>
      <c r="AI447" s="697"/>
      <c r="AJ447" s="697"/>
      <c r="AK447" s="550"/>
      <c r="AR447" s="682"/>
      <c r="AS447" s="682"/>
      <c r="AT447" s="682"/>
      <c r="AU447" s="682"/>
      <c r="AV447" s="682"/>
      <c r="AW447" s="682"/>
      <c r="AX447" s="682"/>
      <c r="AY447" s="682"/>
      <c r="AZ447" s="682"/>
      <c r="BA447" s="682"/>
      <c r="BB447" s="68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</row>
    <row r="448" spans="1:116" s="679" customFormat="1" ht="15.7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13"/>
      <c r="AA448" s="2"/>
      <c r="AB448" s="724"/>
      <c r="AC448" s="784"/>
      <c r="AD448" s="787"/>
      <c r="AE448" s="787"/>
      <c r="AF448" s="550"/>
      <c r="AG448" s="697"/>
      <c r="AH448" s="698"/>
      <c r="AI448" s="697"/>
      <c r="AJ448" s="697"/>
      <c r="AK448" s="550"/>
      <c r="AR448" s="682"/>
      <c r="AS448" s="682"/>
      <c r="AT448" s="682"/>
      <c r="AU448" s="682"/>
      <c r="AV448" s="682"/>
      <c r="AW448" s="682"/>
      <c r="AX448" s="682"/>
      <c r="AY448" s="682"/>
      <c r="AZ448" s="682"/>
      <c r="BA448" s="682"/>
      <c r="BB448" s="68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</row>
    <row r="449" spans="1:116" s="679" customFormat="1" ht="15.7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13"/>
      <c r="AA449" s="2"/>
      <c r="AB449" s="724"/>
      <c r="AC449" s="784"/>
      <c r="AD449" s="787"/>
      <c r="AE449" s="787"/>
      <c r="AF449" s="550"/>
      <c r="AG449" s="697"/>
      <c r="AH449" s="698"/>
      <c r="AI449" s="697"/>
      <c r="AJ449" s="697"/>
      <c r="AK449" s="550"/>
      <c r="AR449" s="682"/>
      <c r="AS449" s="682"/>
      <c r="AT449" s="682"/>
      <c r="AU449" s="682"/>
      <c r="AV449" s="682"/>
      <c r="AW449" s="682"/>
      <c r="AX449" s="682"/>
      <c r="AY449" s="682"/>
      <c r="AZ449" s="682"/>
      <c r="BA449" s="682"/>
      <c r="BB449" s="68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</row>
    <row r="450" spans="1:116" s="679" customFormat="1" ht="15.7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13"/>
      <c r="AA450" s="2"/>
      <c r="AB450" s="724"/>
      <c r="AC450" s="784"/>
      <c r="AD450" s="787"/>
      <c r="AE450" s="787"/>
      <c r="AF450" s="550"/>
      <c r="AG450" s="697"/>
      <c r="AH450" s="698"/>
      <c r="AI450" s="697"/>
      <c r="AJ450" s="697"/>
      <c r="AK450" s="550"/>
      <c r="AR450" s="682"/>
      <c r="AS450" s="682"/>
      <c r="AT450" s="682"/>
      <c r="AU450" s="682"/>
      <c r="AV450" s="682"/>
      <c r="AW450" s="682"/>
      <c r="AX450" s="682"/>
      <c r="AY450" s="682"/>
      <c r="AZ450" s="682"/>
      <c r="BA450" s="682"/>
      <c r="BB450" s="68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</row>
    <row r="451" spans="1:116" s="679" customFormat="1" ht="15.7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13"/>
      <c r="AA451" s="2"/>
      <c r="AB451" s="724"/>
      <c r="AC451" s="784"/>
      <c r="AD451" s="787"/>
      <c r="AE451" s="787"/>
      <c r="AF451" s="550"/>
      <c r="AG451" s="697"/>
      <c r="AH451" s="698"/>
      <c r="AI451" s="697"/>
      <c r="AJ451" s="697"/>
      <c r="AK451" s="550"/>
      <c r="AR451" s="682"/>
      <c r="AS451" s="682"/>
      <c r="AT451" s="682"/>
      <c r="AU451" s="682"/>
      <c r="AV451" s="682"/>
      <c r="AW451" s="682"/>
      <c r="AX451" s="682"/>
      <c r="AY451" s="682"/>
      <c r="AZ451" s="682"/>
      <c r="BA451" s="682"/>
      <c r="BB451" s="68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</row>
    <row r="452" spans="1:116" s="679" customFormat="1" ht="15.7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13"/>
      <c r="AA452" s="2"/>
      <c r="AB452" s="724"/>
      <c r="AC452" s="784"/>
      <c r="AD452" s="787"/>
      <c r="AE452" s="787"/>
      <c r="AF452" s="550"/>
      <c r="AG452" s="697"/>
      <c r="AH452" s="698"/>
      <c r="AI452" s="697"/>
      <c r="AJ452" s="697"/>
      <c r="AK452" s="550"/>
      <c r="AR452" s="682"/>
      <c r="AS452" s="682"/>
      <c r="AT452" s="682"/>
      <c r="AU452" s="682"/>
      <c r="AV452" s="682"/>
      <c r="AW452" s="682"/>
      <c r="AX452" s="682"/>
      <c r="AY452" s="682"/>
      <c r="AZ452" s="682"/>
      <c r="BA452" s="682"/>
      <c r="BB452" s="68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</row>
    <row r="453" spans="1:116" s="679" customFormat="1" ht="15.7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13"/>
      <c r="AA453" s="2"/>
      <c r="AB453" s="724"/>
      <c r="AC453" s="784"/>
      <c r="AD453" s="787"/>
      <c r="AE453" s="787"/>
      <c r="AF453" s="550"/>
      <c r="AG453" s="697"/>
      <c r="AH453" s="698"/>
      <c r="AI453" s="697"/>
      <c r="AJ453" s="697"/>
      <c r="AK453" s="550"/>
      <c r="AR453" s="682"/>
      <c r="AS453" s="682"/>
      <c r="AT453" s="682"/>
      <c r="AU453" s="682"/>
      <c r="AV453" s="682"/>
      <c r="AW453" s="682"/>
      <c r="AX453" s="682"/>
      <c r="AY453" s="682"/>
      <c r="AZ453" s="682"/>
      <c r="BA453" s="682"/>
      <c r="BB453" s="68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</row>
    <row r="454" spans="1:116" s="679" customFormat="1" ht="15.7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13"/>
      <c r="AA454" s="2"/>
      <c r="AB454" s="724"/>
      <c r="AC454" s="784"/>
      <c r="AD454" s="787"/>
      <c r="AE454" s="787"/>
      <c r="AF454" s="550"/>
      <c r="AG454" s="697"/>
      <c r="AH454" s="698"/>
      <c r="AI454" s="697"/>
      <c r="AJ454" s="697"/>
      <c r="AK454" s="550"/>
      <c r="AR454" s="682"/>
      <c r="AS454" s="682"/>
      <c r="AT454" s="682"/>
      <c r="AU454" s="682"/>
      <c r="AV454" s="682"/>
      <c r="AW454" s="682"/>
      <c r="AX454" s="682"/>
      <c r="AY454" s="682"/>
      <c r="AZ454" s="682"/>
      <c r="BA454" s="682"/>
      <c r="BB454" s="68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</row>
    <row r="455" spans="1:116" s="679" customFormat="1" ht="15.7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13"/>
      <c r="AA455" s="2"/>
      <c r="AB455" s="724"/>
      <c r="AC455" s="784"/>
      <c r="AD455" s="787"/>
      <c r="AE455" s="787"/>
      <c r="AF455" s="550"/>
      <c r="AG455" s="697"/>
      <c r="AH455" s="698"/>
      <c r="AI455" s="697"/>
      <c r="AJ455" s="697"/>
      <c r="AK455" s="550"/>
      <c r="AR455" s="682"/>
      <c r="AS455" s="682"/>
      <c r="AT455" s="682"/>
      <c r="AU455" s="682"/>
      <c r="AV455" s="682"/>
      <c r="AW455" s="682"/>
      <c r="AX455" s="682"/>
      <c r="AY455" s="682"/>
      <c r="AZ455" s="682"/>
      <c r="BA455" s="682"/>
      <c r="BB455" s="68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</row>
    <row r="456" spans="1:116" s="679" customFormat="1" ht="15.7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13"/>
      <c r="AA456" s="2"/>
      <c r="AB456" s="724"/>
      <c r="AC456" s="784"/>
      <c r="AD456" s="787"/>
      <c r="AE456" s="787"/>
      <c r="AF456" s="550"/>
      <c r="AG456" s="697"/>
      <c r="AH456" s="698"/>
      <c r="AI456" s="697"/>
      <c r="AJ456" s="697"/>
      <c r="AK456" s="550"/>
      <c r="AR456" s="682"/>
      <c r="AS456" s="682"/>
      <c r="AT456" s="682"/>
      <c r="AU456" s="682"/>
      <c r="AV456" s="682"/>
      <c r="AW456" s="682"/>
      <c r="AX456" s="682"/>
      <c r="AY456" s="682"/>
      <c r="AZ456" s="682"/>
      <c r="BA456" s="682"/>
      <c r="BB456" s="68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</row>
    <row r="457" spans="1:116" s="679" customFormat="1" ht="15.7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13"/>
      <c r="AA457" s="2"/>
      <c r="AB457" s="724"/>
      <c r="AC457" s="784"/>
      <c r="AD457" s="787"/>
      <c r="AE457" s="787"/>
      <c r="AF457" s="550"/>
      <c r="AG457" s="697"/>
      <c r="AH457" s="698"/>
      <c r="AI457" s="697"/>
      <c r="AJ457" s="697"/>
      <c r="AK457" s="550"/>
      <c r="AR457" s="682"/>
      <c r="AS457" s="682"/>
      <c r="AT457" s="682"/>
      <c r="AU457" s="682"/>
      <c r="AV457" s="682"/>
      <c r="AW457" s="682"/>
      <c r="AX457" s="682"/>
      <c r="AY457" s="682"/>
      <c r="AZ457" s="682"/>
      <c r="BA457" s="682"/>
      <c r="BB457" s="68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</row>
    <row r="458" spans="1:116" s="679" customFormat="1" ht="15.7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13"/>
      <c r="AA458" s="2"/>
      <c r="AB458" s="724"/>
      <c r="AC458" s="784"/>
      <c r="AD458" s="787"/>
      <c r="AE458" s="787"/>
      <c r="AF458" s="550"/>
      <c r="AG458" s="697"/>
      <c r="AH458" s="698"/>
      <c r="AI458" s="697"/>
      <c r="AJ458" s="697"/>
      <c r="AK458" s="550"/>
      <c r="AR458" s="682"/>
      <c r="AS458" s="682"/>
      <c r="AT458" s="682"/>
      <c r="AU458" s="682"/>
      <c r="AV458" s="682"/>
      <c r="AW458" s="682"/>
      <c r="AX458" s="682"/>
      <c r="AY458" s="682"/>
      <c r="AZ458" s="682"/>
      <c r="BA458" s="682"/>
      <c r="BB458" s="68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</row>
    <row r="459" spans="1:116" s="679" customFormat="1" ht="15.7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13"/>
      <c r="AA459" s="2"/>
      <c r="AB459" s="724"/>
      <c r="AC459" s="784"/>
      <c r="AD459" s="787"/>
      <c r="AE459" s="787"/>
      <c r="AF459" s="550"/>
      <c r="AG459" s="697"/>
      <c r="AH459" s="698"/>
      <c r="AI459" s="697"/>
      <c r="AJ459" s="697"/>
      <c r="AK459" s="550"/>
      <c r="AR459" s="682"/>
      <c r="AS459" s="682"/>
      <c r="AT459" s="682"/>
      <c r="AU459" s="682"/>
      <c r="AV459" s="682"/>
      <c r="AW459" s="682"/>
      <c r="AX459" s="682"/>
      <c r="AY459" s="682"/>
      <c r="AZ459" s="682"/>
      <c r="BA459" s="682"/>
      <c r="BB459" s="68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</row>
    <row r="460" spans="1:116" s="679" customFormat="1" ht="15.7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13"/>
      <c r="AA460" s="2"/>
      <c r="AB460" s="724"/>
      <c r="AC460" s="784"/>
      <c r="AD460" s="787"/>
      <c r="AE460" s="787"/>
      <c r="AF460" s="550"/>
      <c r="AG460" s="697"/>
      <c r="AH460" s="698"/>
      <c r="AI460" s="697"/>
      <c r="AJ460" s="697"/>
      <c r="AK460" s="550"/>
      <c r="AR460" s="682"/>
      <c r="AS460" s="682"/>
      <c r="AT460" s="682"/>
      <c r="AU460" s="682"/>
      <c r="AV460" s="682"/>
      <c r="AW460" s="682"/>
      <c r="AX460" s="682"/>
      <c r="AY460" s="682"/>
      <c r="AZ460" s="682"/>
      <c r="BA460" s="682"/>
      <c r="BB460" s="68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</row>
    <row r="461" spans="1:116" s="679" customFormat="1" ht="15.7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13"/>
      <c r="AA461" s="2"/>
      <c r="AB461" s="724"/>
      <c r="AC461" s="784"/>
      <c r="AD461" s="787"/>
      <c r="AE461" s="787"/>
      <c r="AF461" s="550"/>
      <c r="AG461" s="697"/>
      <c r="AH461" s="698"/>
      <c r="AI461" s="697"/>
      <c r="AJ461" s="697"/>
      <c r="AK461" s="550"/>
      <c r="AR461" s="682"/>
      <c r="AS461" s="682"/>
      <c r="AT461" s="682"/>
      <c r="AU461" s="682"/>
      <c r="AV461" s="682"/>
      <c r="AW461" s="682"/>
      <c r="AX461" s="682"/>
      <c r="AY461" s="682"/>
      <c r="AZ461" s="682"/>
      <c r="BA461" s="682"/>
      <c r="BB461" s="68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</row>
    <row r="462" spans="1:116" s="679" customFormat="1" ht="15.7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13"/>
      <c r="AA462" s="2"/>
      <c r="AB462" s="724"/>
      <c r="AC462" s="784"/>
      <c r="AD462" s="787"/>
      <c r="AE462" s="787"/>
      <c r="AF462" s="550"/>
      <c r="AG462" s="697"/>
      <c r="AH462" s="698"/>
      <c r="AI462" s="697"/>
      <c r="AJ462" s="697"/>
      <c r="AK462" s="550"/>
      <c r="AR462" s="682"/>
      <c r="AS462" s="682"/>
      <c r="AT462" s="682"/>
      <c r="AU462" s="682"/>
      <c r="AV462" s="682"/>
      <c r="AW462" s="682"/>
      <c r="AX462" s="682"/>
      <c r="AY462" s="682"/>
      <c r="AZ462" s="682"/>
      <c r="BA462" s="682"/>
      <c r="BB462" s="68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</row>
    <row r="463" spans="1:116" s="679" customFormat="1" ht="15.7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13"/>
      <c r="AA463" s="2"/>
      <c r="AB463" s="724"/>
      <c r="AC463" s="784"/>
      <c r="AD463" s="787"/>
      <c r="AE463" s="787"/>
      <c r="AF463" s="550"/>
      <c r="AG463" s="697"/>
      <c r="AH463" s="698"/>
      <c r="AI463" s="697"/>
      <c r="AJ463" s="697"/>
      <c r="AK463" s="550"/>
      <c r="AR463" s="682"/>
      <c r="AS463" s="682"/>
      <c r="AT463" s="682"/>
      <c r="AU463" s="682"/>
      <c r="AV463" s="682"/>
      <c r="AW463" s="682"/>
      <c r="AX463" s="682"/>
      <c r="AY463" s="682"/>
      <c r="AZ463" s="682"/>
      <c r="BA463" s="682"/>
      <c r="BB463" s="68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</row>
    <row r="464" spans="1:116" s="679" customFormat="1" ht="15.7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13"/>
      <c r="AA464" s="2"/>
      <c r="AB464" s="724"/>
      <c r="AC464" s="784"/>
      <c r="AD464" s="787"/>
      <c r="AE464" s="787"/>
      <c r="AF464" s="550"/>
      <c r="AG464" s="697"/>
      <c r="AH464" s="698"/>
      <c r="AI464" s="697"/>
      <c r="AJ464" s="697"/>
      <c r="AK464" s="550"/>
      <c r="AR464" s="682"/>
      <c r="AS464" s="682"/>
      <c r="AT464" s="682"/>
      <c r="AU464" s="682"/>
      <c r="AV464" s="682"/>
      <c r="AW464" s="682"/>
      <c r="AX464" s="682"/>
      <c r="AY464" s="682"/>
      <c r="AZ464" s="682"/>
      <c r="BA464" s="682"/>
      <c r="BB464" s="68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</row>
    <row r="465" spans="1:116" s="679" customFormat="1" ht="15.7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13"/>
      <c r="AA465" s="2"/>
      <c r="AB465" s="724"/>
      <c r="AC465" s="784"/>
      <c r="AD465" s="787"/>
      <c r="AE465" s="787"/>
      <c r="AF465" s="550"/>
      <c r="AG465" s="697"/>
      <c r="AH465" s="698"/>
      <c r="AI465" s="697"/>
      <c r="AJ465" s="697"/>
      <c r="AK465" s="550"/>
      <c r="AR465" s="682"/>
      <c r="AS465" s="682"/>
      <c r="AT465" s="682"/>
      <c r="AU465" s="682"/>
      <c r="AV465" s="682"/>
      <c r="AW465" s="682"/>
      <c r="AX465" s="682"/>
      <c r="AY465" s="682"/>
      <c r="AZ465" s="682"/>
      <c r="BA465" s="682"/>
      <c r="BB465" s="68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</row>
    <row r="466" spans="1:116" s="679" customFormat="1" ht="15.7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13"/>
      <c r="AA466" s="2"/>
      <c r="AB466" s="724"/>
      <c r="AC466" s="784"/>
      <c r="AD466" s="787"/>
      <c r="AE466" s="787"/>
      <c r="AF466" s="550"/>
      <c r="AG466" s="697"/>
      <c r="AH466" s="698"/>
      <c r="AI466" s="697"/>
      <c r="AJ466" s="697"/>
      <c r="AK466" s="550"/>
      <c r="AR466" s="682"/>
      <c r="AS466" s="682"/>
      <c r="AT466" s="682"/>
      <c r="AU466" s="682"/>
      <c r="AV466" s="682"/>
      <c r="AW466" s="682"/>
      <c r="AX466" s="682"/>
      <c r="AY466" s="682"/>
      <c r="AZ466" s="682"/>
      <c r="BA466" s="682"/>
      <c r="BB466" s="68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</row>
    <row r="467" spans="1:116" s="679" customFormat="1" ht="15.7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13"/>
      <c r="AA467" s="2"/>
      <c r="AB467" s="724"/>
      <c r="AC467" s="784"/>
      <c r="AD467" s="787"/>
      <c r="AE467" s="787"/>
      <c r="AF467" s="550"/>
      <c r="AG467" s="697"/>
      <c r="AH467" s="698"/>
      <c r="AI467" s="697"/>
      <c r="AJ467" s="697"/>
      <c r="AK467" s="550"/>
      <c r="AR467" s="682"/>
      <c r="AS467" s="682"/>
      <c r="AT467" s="682"/>
      <c r="AU467" s="682"/>
      <c r="AV467" s="682"/>
      <c r="AW467" s="682"/>
      <c r="AX467" s="682"/>
      <c r="AY467" s="682"/>
      <c r="AZ467" s="682"/>
      <c r="BA467" s="682"/>
      <c r="BB467" s="68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</row>
    <row r="468" spans="1:116" s="679" customFormat="1" ht="15.7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13"/>
      <c r="AA468" s="2"/>
      <c r="AB468" s="724"/>
      <c r="AC468" s="784"/>
      <c r="AD468" s="787"/>
      <c r="AE468" s="787"/>
      <c r="AF468" s="550"/>
      <c r="AG468" s="697"/>
      <c r="AH468" s="698"/>
      <c r="AI468" s="697"/>
      <c r="AJ468" s="697"/>
      <c r="AK468" s="550"/>
      <c r="AR468" s="682"/>
      <c r="AS468" s="682"/>
      <c r="AT468" s="682"/>
      <c r="AU468" s="682"/>
      <c r="AV468" s="682"/>
      <c r="AW468" s="682"/>
      <c r="AX468" s="682"/>
      <c r="AY468" s="682"/>
      <c r="AZ468" s="682"/>
      <c r="BA468" s="682"/>
      <c r="BB468" s="68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</row>
    <row r="469" spans="1:116" s="679" customFormat="1" ht="15.7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13"/>
      <c r="AA469" s="2"/>
      <c r="AB469" s="724"/>
      <c r="AC469" s="784"/>
      <c r="AD469" s="787"/>
      <c r="AE469" s="787"/>
      <c r="AF469" s="550"/>
      <c r="AG469" s="697"/>
      <c r="AH469" s="698"/>
      <c r="AI469" s="697"/>
      <c r="AJ469" s="697"/>
      <c r="AK469" s="550"/>
      <c r="AR469" s="682"/>
      <c r="AS469" s="682"/>
      <c r="AT469" s="682"/>
      <c r="AU469" s="682"/>
      <c r="AV469" s="682"/>
      <c r="AW469" s="682"/>
      <c r="AX469" s="682"/>
      <c r="AY469" s="682"/>
      <c r="AZ469" s="682"/>
      <c r="BA469" s="682"/>
      <c r="BB469" s="68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</row>
    <row r="470" spans="1:116" s="679" customFormat="1" ht="15.7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13"/>
      <c r="AA470" s="2"/>
      <c r="AB470" s="724"/>
      <c r="AC470" s="784"/>
      <c r="AD470" s="787"/>
      <c r="AE470" s="787"/>
      <c r="AF470" s="550"/>
      <c r="AG470" s="697"/>
      <c r="AH470" s="698"/>
      <c r="AI470" s="697"/>
      <c r="AJ470" s="697"/>
      <c r="AK470" s="550"/>
      <c r="AR470" s="682"/>
      <c r="AS470" s="682"/>
      <c r="AT470" s="682"/>
      <c r="AU470" s="682"/>
      <c r="AV470" s="682"/>
      <c r="AW470" s="682"/>
      <c r="AX470" s="682"/>
      <c r="AY470" s="682"/>
      <c r="AZ470" s="682"/>
      <c r="BA470" s="682"/>
      <c r="BB470" s="68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</row>
    <row r="471" spans="1:116" s="679" customFormat="1" ht="15.7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13"/>
      <c r="AA471" s="2"/>
      <c r="AB471" s="724"/>
      <c r="AC471" s="784"/>
      <c r="AD471" s="787"/>
      <c r="AE471" s="787"/>
      <c r="AF471" s="550"/>
      <c r="AG471" s="697"/>
      <c r="AH471" s="698"/>
      <c r="AI471" s="697"/>
      <c r="AJ471" s="697"/>
      <c r="AK471" s="550"/>
      <c r="AR471" s="682"/>
      <c r="AS471" s="682"/>
      <c r="AT471" s="682"/>
      <c r="AU471" s="682"/>
      <c r="AV471" s="682"/>
      <c r="AW471" s="682"/>
      <c r="AX471" s="682"/>
      <c r="AY471" s="682"/>
      <c r="AZ471" s="682"/>
      <c r="BA471" s="682"/>
      <c r="BB471" s="68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</row>
    <row r="472" spans="1:116" s="679" customFormat="1" ht="15.7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13"/>
      <c r="AA472" s="2"/>
      <c r="AB472" s="724"/>
      <c r="AC472" s="784"/>
      <c r="AD472" s="787"/>
      <c r="AE472" s="787"/>
      <c r="AF472" s="550"/>
      <c r="AG472" s="697"/>
      <c r="AH472" s="698"/>
      <c r="AI472" s="697"/>
      <c r="AJ472" s="697"/>
      <c r="AK472" s="550"/>
      <c r="AR472" s="682"/>
      <c r="AS472" s="682"/>
      <c r="AT472" s="682"/>
      <c r="AU472" s="682"/>
      <c r="AV472" s="682"/>
      <c r="AW472" s="682"/>
      <c r="AX472" s="682"/>
      <c r="AY472" s="682"/>
      <c r="AZ472" s="682"/>
      <c r="BA472" s="682"/>
      <c r="BB472" s="68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</row>
    <row r="473" spans="1:116" s="679" customFormat="1" ht="15.7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13"/>
      <c r="AA473" s="2"/>
      <c r="AB473" s="724"/>
      <c r="AC473" s="784"/>
      <c r="AD473" s="787"/>
      <c r="AE473" s="787"/>
      <c r="AF473" s="550"/>
      <c r="AG473" s="697"/>
      <c r="AH473" s="698"/>
      <c r="AI473" s="697"/>
      <c r="AJ473" s="697"/>
      <c r="AK473" s="550"/>
      <c r="AR473" s="682"/>
      <c r="AS473" s="682"/>
      <c r="AT473" s="682"/>
      <c r="AU473" s="682"/>
      <c r="AV473" s="682"/>
      <c r="AW473" s="682"/>
      <c r="AX473" s="682"/>
      <c r="AY473" s="682"/>
      <c r="AZ473" s="682"/>
      <c r="BA473" s="682"/>
      <c r="BB473" s="68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</row>
    <row r="474" spans="1:116" s="679" customFormat="1" ht="15.7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13"/>
      <c r="AA474" s="2"/>
      <c r="AB474" s="724"/>
      <c r="AC474" s="784"/>
      <c r="AD474" s="787"/>
      <c r="AE474" s="787"/>
      <c r="AF474" s="550"/>
      <c r="AG474" s="697"/>
      <c r="AH474" s="698"/>
      <c r="AI474" s="697"/>
      <c r="AJ474" s="697"/>
      <c r="AK474" s="550"/>
      <c r="AR474" s="682"/>
      <c r="AS474" s="682"/>
      <c r="AT474" s="682"/>
      <c r="AU474" s="682"/>
      <c r="AV474" s="682"/>
      <c r="AW474" s="682"/>
      <c r="AX474" s="682"/>
      <c r="AY474" s="682"/>
      <c r="AZ474" s="682"/>
      <c r="BA474" s="682"/>
      <c r="BB474" s="68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</row>
    <row r="475" spans="1:116" s="679" customFormat="1" ht="15.7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13"/>
      <c r="AA475" s="2"/>
      <c r="AB475" s="724"/>
      <c r="AC475" s="784"/>
      <c r="AD475" s="787"/>
      <c r="AE475" s="787"/>
      <c r="AF475" s="550"/>
      <c r="AG475" s="697"/>
      <c r="AH475" s="698"/>
      <c r="AI475" s="697"/>
      <c r="AJ475" s="697"/>
      <c r="AK475" s="550"/>
      <c r="AR475" s="682"/>
      <c r="AS475" s="682"/>
      <c r="AT475" s="682"/>
      <c r="AU475" s="682"/>
      <c r="AV475" s="682"/>
      <c r="AW475" s="682"/>
      <c r="AX475" s="682"/>
      <c r="AY475" s="682"/>
      <c r="AZ475" s="682"/>
      <c r="BA475" s="682"/>
      <c r="BB475" s="68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</row>
    <row r="476" spans="1:116" s="679" customFormat="1" ht="15.7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13"/>
      <c r="AA476" s="2"/>
      <c r="AB476" s="724"/>
      <c r="AC476" s="784"/>
      <c r="AD476" s="787"/>
      <c r="AE476" s="787"/>
      <c r="AF476" s="550"/>
      <c r="AG476" s="697"/>
      <c r="AH476" s="698"/>
      <c r="AI476" s="697"/>
      <c r="AJ476" s="697"/>
      <c r="AK476" s="550"/>
      <c r="AR476" s="682"/>
      <c r="AS476" s="682"/>
      <c r="AT476" s="682"/>
      <c r="AU476" s="682"/>
      <c r="AV476" s="682"/>
      <c r="AW476" s="682"/>
      <c r="AX476" s="682"/>
      <c r="AY476" s="682"/>
      <c r="AZ476" s="682"/>
      <c r="BA476" s="682"/>
      <c r="BB476" s="68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</row>
    <row r="477" spans="1:116" s="679" customFormat="1" ht="15.7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13"/>
      <c r="AA477" s="2"/>
      <c r="AB477" s="724"/>
      <c r="AC477" s="784"/>
      <c r="AD477" s="787"/>
      <c r="AE477" s="787"/>
      <c r="AF477" s="550"/>
      <c r="AG477" s="697"/>
      <c r="AH477" s="698"/>
      <c r="AI477" s="697"/>
      <c r="AJ477" s="697"/>
      <c r="AK477" s="550"/>
      <c r="AR477" s="682"/>
      <c r="AS477" s="682"/>
      <c r="AT477" s="682"/>
      <c r="AU477" s="682"/>
      <c r="AV477" s="682"/>
      <c r="AW477" s="682"/>
      <c r="AX477" s="682"/>
      <c r="AY477" s="682"/>
      <c r="AZ477" s="682"/>
      <c r="BA477" s="682"/>
      <c r="BB477" s="68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</row>
    <row r="478" spans="1:116" s="679" customFormat="1" ht="15.7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13"/>
      <c r="AA478" s="2"/>
      <c r="AB478" s="724"/>
      <c r="AC478" s="784"/>
      <c r="AD478" s="787"/>
      <c r="AE478" s="787"/>
      <c r="AF478" s="550"/>
      <c r="AG478" s="697"/>
      <c r="AH478" s="698"/>
      <c r="AI478" s="697"/>
      <c r="AJ478" s="697"/>
      <c r="AK478" s="550"/>
      <c r="AR478" s="682"/>
      <c r="AS478" s="682"/>
      <c r="AT478" s="682"/>
      <c r="AU478" s="682"/>
      <c r="AV478" s="682"/>
      <c r="AW478" s="682"/>
      <c r="AX478" s="682"/>
      <c r="AY478" s="682"/>
      <c r="AZ478" s="682"/>
      <c r="BA478" s="682"/>
      <c r="BB478" s="68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</row>
    <row r="479" spans="1:116" s="679" customFormat="1" ht="15.7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13"/>
      <c r="AA479" s="2"/>
      <c r="AB479" s="724"/>
      <c r="AC479" s="784"/>
      <c r="AD479" s="787"/>
      <c r="AE479" s="787"/>
      <c r="AF479" s="550"/>
      <c r="AG479" s="697"/>
      <c r="AH479" s="698"/>
      <c r="AI479" s="697"/>
      <c r="AJ479" s="697"/>
      <c r="AK479" s="550"/>
      <c r="AR479" s="682"/>
      <c r="AS479" s="682"/>
      <c r="AT479" s="682"/>
      <c r="AU479" s="682"/>
      <c r="AV479" s="682"/>
      <c r="AW479" s="682"/>
      <c r="AX479" s="682"/>
      <c r="AY479" s="682"/>
      <c r="AZ479" s="682"/>
      <c r="BA479" s="682"/>
      <c r="BB479" s="68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</row>
    <row r="480" spans="1:116" s="679" customFormat="1" ht="15.7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13"/>
      <c r="AA480" s="2"/>
      <c r="AB480" s="724"/>
      <c r="AC480" s="784"/>
      <c r="AD480" s="787"/>
      <c r="AE480" s="787"/>
      <c r="AF480" s="550"/>
      <c r="AG480" s="697"/>
      <c r="AH480" s="698"/>
      <c r="AI480" s="697"/>
      <c r="AJ480" s="697"/>
      <c r="AK480" s="550"/>
      <c r="AR480" s="682"/>
      <c r="AS480" s="682"/>
      <c r="AT480" s="682"/>
      <c r="AU480" s="682"/>
      <c r="AV480" s="682"/>
      <c r="AW480" s="682"/>
      <c r="AX480" s="682"/>
      <c r="AY480" s="682"/>
      <c r="AZ480" s="682"/>
      <c r="BA480" s="682"/>
      <c r="BB480" s="68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</row>
    <row r="481" spans="1:116" s="679" customFormat="1" ht="15.7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13"/>
      <c r="AA481" s="2"/>
      <c r="AB481" s="724"/>
      <c r="AC481" s="784"/>
      <c r="AD481" s="787"/>
      <c r="AE481" s="787"/>
      <c r="AF481" s="550"/>
      <c r="AG481" s="697"/>
      <c r="AH481" s="698"/>
      <c r="AI481" s="697"/>
      <c r="AJ481" s="697"/>
      <c r="AK481" s="550"/>
      <c r="AR481" s="682"/>
      <c r="AS481" s="682"/>
      <c r="AT481" s="682"/>
      <c r="AU481" s="682"/>
      <c r="AV481" s="682"/>
      <c r="AW481" s="682"/>
      <c r="AX481" s="682"/>
      <c r="AY481" s="682"/>
      <c r="AZ481" s="682"/>
      <c r="BA481" s="682"/>
      <c r="BB481" s="68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</row>
    <row r="482" spans="1:116" s="679" customFormat="1" ht="15.7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13"/>
      <c r="AA482" s="2"/>
      <c r="AB482" s="724"/>
      <c r="AC482" s="784"/>
      <c r="AD482" s="787"/>
      <c r="AE482" s="787"/>
      <c r="AF482" s="550"/>
      <c r="AG482" s="697"/>
      <c r="AH482" s="698"/>
      <c r="AI482" s="697"/>
      <c r="AJ482" s="697"/>
      <c r="AK482" s="550"/>
      <c r="AR482" s="682"/>
      <c r="AS482" s="682"/>
      <c r="AT482" s="682"/>
      <c r="AU482" s="682"/>
      <c r="AV482" s="682"/>
      <c r="AW482" s="682"/>
      <c r="AX482" s="682"/>
      <c r="AY482" s="682"/>
      <c r="AZ482" s="682"/>
      <c r="BA482" s="682"/>
      <c r="BB482" s="68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</row>
    <row r="483" spans="1:116" s="679" customFormat="1" ht="15.7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13"/>
      <c r="AA483" s="2"/>
      <c r="AB483" s="724"/>
      <c r="AC483" s="784"/>
      <c r="AD483" s="787"/>
      <c r="AE483" s="787"/>
      <c r="AF483" s="550"/>
      <c r="AG483" s="697"/>
      <c r="AH483" s="698"/>
      <c r="AI483" s="697"/>
      <c r="AJ483" s="697"/>
      <c r="AK483" s="550"/>
      <c r="AR483" s="682"/>
      <c r="AS483" s="682"/>
      <c r="AT483" s="682"/>
      <c r="AU483" s="682"/>
      <c r="AV483" s="682"/>
      <c r="AW483" s="682"/>
      <c r="AX483" s="682"/>
      <c r="AY483" s="682"/>
      <c r="AZ483" s="682"/>
      <c r="BA483" s="682"/>
      <c r="BB483" s="68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</row>
    <row r="484" spans="1:116" s="679" customFormat="1" ht="15.7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13"/>
      <c r="AA484" s="2"/>
      <c r="AB484" s="724"/>
      <c r="AC484" s="784"/>
      <c r="AD484" s="787"/>
      <c r="AE484" s="787"/>
      <c r="AF484" s="550"/>
      <c r="AG484" s="697"/>
      <c r="AH484" s="698"/>
      <c r="AI484" s="697"/>
      <c r="AJ484" s="697"/>
      <c r="AK484" s="550"/>
      <c r="AR484" s="682"/>
      <c r="AS484" s="682"/>
      <c r="AT484" s="682"/>
      <c r="AU484" s="682"/>
      <c r="AV484" s="682"/>
      <c r="AW484" s="682"/>
      <c r="AX484" s="682"/>
      <c r="AY484" s="682"/>
      <c r="AZ484" s="682"/>
      <c r="BA484" s="682"/>
      <c r="BB484" s="68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</row>
    <row r="485" spans="1:116" s="679" customFormat="1" ht="15.7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13"/>
      <c r="AA485" s="2"/>
      <c r="AB485" s="724"/>
      <c r="AC485" s="784"/>
      <c r="AD485" s="787"/>
      <c r="AE485" s="787"/>
      <c r="AF485" s="550"/>
      <c r="AG485" s="697"/>
      <c r="AH485" s="698"/>
      <c r="AI485" s="697"/>
      <c r="AJ485" s="697"/>
      <c r="AK485" s="550"/>
      <c r="AR485" s="682"/>
      <c r="AS485" s="682"/>
      <c r="AT485" s="682"/>
      <c r="AU485" s="682"/>
      <c r="AV485" s="682"/>
      <c r="AW485" s="682"/>
      <c r="AX485" s="682"/>
      <c r="AY485" s="682"/>
      <c r="AZ485" s="682"/>
      <c r="BA485" s="682"/>
      <c r="BB485" s="68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</row>
    <row r="486" spans="1:116" s="679" customFormat="1" ht="15.7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13"/>
      <c r="AA486" s="2"/>
      <c r="AB486" s="724"/>
      <c r="AC486" s="784"/>
      <c r="AD486" s="787"/>
      <c r="AE486" s="787"/>
      <c r="AF486" s="550"/>
      <c r="AG486" s="697"/>
      <c r="AH486" s="698"/>
      <c r="AI486" s="697"/>
      <c r="AJ486" s="697"/>
      <c r="AK486" s="550"/>
      <c r="AR486" s="682"/>
      <c r="AS486" s="682"/>
      <c r="AT486" s="682"/>
      <c r="AU486" s="682"/>
      <c r="AV486" s="682"/>
      <c r="AW486" s="682"/>
      <c r="AX486" s="682"/>
      <c r="AY486" s="682"/>
      <c r="AZ486" s="682"/>
      <c r="BA486" s="682"/>
      <c r="BB486" s="68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</row>
    <row r="487" spans="1:116" s="679" customFormat="1" ht="15.7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13"/>
      <c r="AA487" s="2"/>
      <c r="AB487" s="724"/>
      <c r="AC487" s="784"/>
      <c r="AD487" s="787"/>
      <c r="AE487" s="787"/>
      <c r="AF487" s="550"/>
      <c r="AG487" s="697"/>
      <c r="AH487" s="698"/>
      <c r="AI487" s="697"/>
      <c r="AJ487" s="697"/>
      <c r="AK487" s="550"/>
      <c r="AR487" s="682"/>
      <c r="AS487" s="682"/>
      <c r="AT487" s="682"/>
      <c r="AU487" s="682"/>
      <c r="AV487" s="682"/>
      <c r="AW487" s="682"/>
      <c r="AX487" s="682"/>
      <c r="AY487" s="682"/>
      <c r="AZ487" s="682"/>
      <c r="BA487" s="682"/>
      <c r="BB487" s="68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</row>
    <row r="488" spans="1:116" s="679" customFormat="1" ht="15.7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13"/>
      <c r="AA488" s="2"/>
      <c r="AB488" s="724"/>
      <c r="AC488" s="784"/>
      <c r="AD488" s="787"/>
      <c r="AE488" s="787"/>
      <c r="AF488" s="550"/>
      <c r="AG488" s="697"/>
      <c r="AH488" s="698"/>
      <c r="AI488" s="697"/>
      <c r="AJ488" s="697"/>
      <c r="AK488" s="550"/>
      <c r="AR488" s="682"/>
      <c r="AS488" s="682"/>
      <c r="AT488" s="682"/>
      <c r="AU488" s="682"/>
      <c r="AV488" s="682"/>
      <c r="AW488" s="682"/>
      <c r="AX488" s="682"/>
      <c r="AY488" s="682"/>
      <c r="AZ488" s="682"/>
      <c r="BA488" s="682"/>
      <c r="BB488" s="68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</row>
    <row r="489" spans="1:116" s="679" customFormat="1" ht="15.7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13"/>
      <c r="AA489" s="2"/>
      <c r="AB489" s="724"/>
      <c r="AC489" s="784"/>
      <c r="AD489" s="787"/>
      <c r="AE489" s="787"/>
      <c r="AF489" s="550"/>
      <c r="AG489" s="697"/>
      <c r="AH489" s="698"/>
      <c r="AI489" s="697"/>
      <c r="AJ489" s="697"/>
      <c r="AK489" s="550"/>
      <c r="AR489" s="682"/>
      <c r="AS489" s="682"/>
      <c r="AT489" s="682"/>
      <c r="AU489" s="682"/>
      <c r="AV489" s="682"/>
      <c r="AW489" s="682"/>
      <c r="AX489" s="682"/>
      <c r="AY489" s="682"/>
      <c r="AZ489" s="682"/>
      <c r="BA489" s="682"/>
      <c r="BB489" s="68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</row>
    <row r="490" spans="1:116" s="679" customFormat="1" ht="15.7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13"/>
      <c r="AA490" s="2"/>
      <c r="AB490" s="724"/>
      <c r="AC490" s="784"/>
      <c r="AD490" s="787"/>
      <c r="AE490" s="787"/>
      <c r="AF490" s="550"/>
      <c r="AG490" s="697"/>
      <c r="AH490" s="698"/>
      <c r="AI490" s="697"/>
      <c r="AJ490" s="697"/>
      <c r="AK490" s="550"/>
      <c r="AR490" s="682"/>
      <c r="AS490" s="682"/>
      <c r="AT490" s="682"/>
      <c r="AU490" s="682"/>
      <c r="AV490" s="682"/>
      <c r="AW490" s="682"/>
      <c r="AX490" s="682"/>
      <c r="AY490" s="682"/>
      <c r="AZ490" s="682"/>
      <c r="BA490" s="682"/>
      <c r="BB490" s="68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</row>
    <row r="491" spans="1:116" s="679" customFormat="1" ht="15.7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13"/>
      <c r="AA491" s="2"/>
      <c r="AB491" s="724"/>
      <c r="AC491" s="784"/>
      <c r="AD491" s="787"/>
      <c r="AE491" s="787"/>
      <c r="AF491" s="550"/>
      <c r="AG491" s="697"/>
      <c r="AH491" s="698"/>
      <c r="AI491" s="697"/>
      <c r="AJ491" s="697"/>
      <c r="AK491" s="550"/>
      <c r="AR491" s="682"/>
      <c r="AS491" s="682"/>
      <c r="AT491" s="682"/>
      <c r="AU491" s="682"/>
      <c r="AV491" s="682"/>
      <c r="AW491" s="682"/>
      <c r="AX491" s="682"/>
      <c r="AY491" s="682"/>
      <c r="AZ491" s="682"/>
      <c r="BA491" s="682"/>
      <c r="BB491" s="68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</row>
    <row r="492" spans="1:116" s="679" customFormat="1" ht="15.7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13"/>
      <c r="AA492" s="2"/>
      <c r="AB492" s="724"/>
      <c r="AC492" s="784"/>
      <c r="AD492" s="787"/>
      <c r="AE492" s="787"/>
      <c r="AF492" s="550"/>
      <c r="AG492" s="697"/>
      <c r="AH492" s="698"/>
      <c r="AI492" s="697"/>
      <c r="AJ492" s="697"/>
      <c r="AK492" s="550"/>
      <c r="AR492" s="682"/>
      <c r="AS492" s="682"/>
      <c r="AT492" s="682"/>
      <c r="AU492" s="682"/>
      <c r="AV492" s="682"/>
      <c r="AW492" s="682"/>
      <c r="AX492" s="682"/>
      <c r="AY492" s="682"/>
      <c r="AZ492" s="682"/>
      <c r="BA492" s="682"/>
      <c r="BB492" s="68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</row>
    <row r="493" spans="1:116" s="679" customFormat="1" ht="15.7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13"/>
      <c r="AA493" s="2"/>
      <c r="AB493" s="724"/>
      <c r="AC493" s="784"/>
      <c r="AD493" s="787"/>
      <c r="AE493" s="787"/>
      <c r="AF493" s="550"/>
      <c r="AG493" s="697"/>
      <c r="AH493" s="698"/>
      <c r="AI493" s="697"/>
      <c r="AJ493" s="697"/>
      <c r="AK493" s="550"/>
      <c r="AR493" s="682"/>
      <c r="AS493" s="682"/>
      <c r="AT493" s="682"/>
      <c r="AU493" s="682"/>
      <c r="AV493" s="682"/>
      <c r="AW493" s="682"/>
      <c r="AX493" s="682"/>
      <c r="AY493" s="682"/>
      <c r="AZ493" s="682"/>
      <c r="BA493" s="682"/>
      <c r="BB493" s="68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</row>
    <row r="494" spans="1:116" s="679" customFormat="1" ht="15.7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13"/>
      <c r="AA494" s="2"/>
      <c r="AB494" s="724"/>
      <c r="AC494" s="784"/>
      <c r="AD494" s="787"/>
      <c r="AE494" s="787"/>
      <c r="AF494" s="550"/>
      <c r="AG494" s="697"/>
      <c r="AH494" s="698"/>
      <c r="AI494" s="697"/>
      <c r="AJ494" s="697"/>
      <c r="AK494" s="550"/>
      <c r="AR494" s="682"/>
      <c r="AS494" s="682"/>
      <c r="AT494" s="682"/>
      <c r="AU494" s="682"/>
      <c r="AV494" s="682"/>
      <c r="AW494" s="682"/>
      <c r="AX494" s="682"/>
      <c r="AY494" s="682"/>
      <c r="AZ494" s="682"/>
      <c r="BA494" s="682"/>
      <c r="BB494" s="68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</row>
    <row r="495" spans="1:116" s="679" customFormat="1" ht="15.7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13"/>
      <c r="AA495" s="2"/>
      <c r="AB495" s="724"/>
      <c r="AC495" s="784"/>
      <c r="AD495" s="787"/>
      <c r="AE495" s="787"/>
      <c r="AF495" s="550"/>
      <c r="AG495" s="697"/>
      <c r="AH495" s="698"/>
      <c r="AI495" s="697"/>
      <c r="AJ495" s="697"/>
      <c r="AK495" s="550"/>
      <c r="AR495" s="682"/>
      <c r="AS495" s="682"/>
      <c r="AT495" s="682"/>
      <c r="AU495" s="682"/>
      <c r="AV495" s="682"/>
      <c r="AW495" s="682"/>
      <c r="AX495" s="682"/>
      <c r="AY495" s="682"/>
      <c r="AZ495" s="682"/>
      <c r="BA495" s="682"/>
      <c r="BB495" s="68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</row>
    <row r="496" spans="1:116" s="679" customFormat="1" ht="15.7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13"/>
      <c r="AA496" s="2"/>
      <c r="AB496" s="724"/>
      <c r="AC496" s="784"/>
      <c r="AD496" s="787"/>
      <c r="AE496" s="787"/>
      <c r="AF496" s="550"/>
      <c r="AG496" s="697"/>
      <c r="AH496" s="698"/>
      <c r="AI496" s="697"/>
      <c r="AJ496" s="697"/>
      <c r="AK496" s="550"/>
      <c r="AR496" s="682"/>
      <c r="AS496" s="682"/>
      <c r="AT496" s="682"/>
      <c r="AU496" s="682"/>
      <c r="AV496" s="682"/>
      <c r="AW496" s="682"/>
      <c r="AX496" s="682"/>
      <c r="AY496" s="682"/>
      <c r="AZ496" s="682"/>
      <c r="BA496" s="682"/>
      <c r="BB496" s="68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</row>
    <row r="497" spans="1:116" s="679" customFormat="1" ht="15.7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13"/>
      <c r="AA497" s="2"/>
      <c r="AB497" s="724"/>
      <c r="AC497" s="784"/>
      <c r="AD497" s="787"/>
      <c r="AE497" s="787"/>
      <c r="AF497" s="550"/>
      <c r="AG497" s="697"/>
      <c r="AH497" s="698"/>
      <c r="AI497" s="697"/>
      <c r="AJ497" s="697"/>
      <c r="AK497" s="550"/>
      <c r="AR497" s="682"/>
      <c r="AS497" s="682"/>
      <c r="AT497" s="682"/>
      <c r="AU497" s="682"/>
      <c r="AV497" s="682"/>
      <c r="AW497" s="682"/>
      <c r="AX497" s="682"/>
      <c r="AY497" s="682"/>
      <c r="AZ497" s="682"/>
      <c r="BA497" s="682"/>
      <c r="BB497" s="68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</row>
    <row r="498" spans="1:116" s="679" customFormat="1" ht="15.7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13"/>
      <c r="AA498" s="2"/>
      <c r="AB498" s="724"/>
      <c r="AC498" s="784"/>
      <c r="AD498" s="787"/>
      <c r="AE498" s="787"/>
      <c r="AF498" s="550"/>
      <c r="AG498" s="697"/>
      <c r="AH498" s="698"/>
      <c r="AI498" s="697"/>
      <c r="AJ498" s="697"/>
      <c r="AK498" s="550"/>
      <c r="AR498" s="682"/>
      <c r="AS498" s="682"/>
      <c r="AT498" s="682"/>
      <c r="AU498" s="682"/>
      <c r="AV498" s="682"/>
      <c r="AW498" s="682"/>
      <c r="AX498" s="682"/>
      <c r="AY498" s="682"/>
      <c r="AZ498" s="682"/>
      <c r="BA498" s="682"/>
      <c r="BB498" s="68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</row>
    <row r="499" spans="1:116" s="679" customFormat="1" ht="15.7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13"/>
      <c r="AA499" s="2"/>
      <c r="AB499" s="724"/>
      <c r="AC499" s="784"/>
      <c r="AD499" s="787"/>
      <c r="AE499" s="787"/>
      <c r="AF499" s="550"/>
      <c r="AG499" s="697"/>
      <c r="AH499" s="698"/>
      <c r="AI499" s="697"/>
      <c r="AJ499" s="697"/>
      <c r="AK499" s="550"/>
      <c r="AR499" s="682"/>
      <c r="AS499" s="682"/>
      <c r="AT499" s="682"/>
      <c r="AU499" s="682"/>
      <c r="AV499" s="682"/>
      <c r="AW499" s="682"/>
      <c r="AX499" s="682"/>
      <c r="AY499" s="682"/>
      <c r="AZ499" s="682"/>
      <c r="BA499" s="682"/>
      <c r="BB499" s="68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</row>
    <row r="500" spans="1:116" s="679" customFormat="1" ht="15.7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13"/>
      <c r="AA500" s="2"/>
      <c r="AB500" s="724"/>
      <c r="AC500" s="784"/>
      <c r="AD500" s="787"/>
      <c r="AE500" s="787"/>
      <c r="AF500" s="550"/>
      <c r="AG500" s="697"/>
      <c r="AH500" s="698"/>
      <c r="AI500" s="697"/>
      <c r="AJ500" s="697"/>
      <c r="AK500" s="550"/>
      <c r="AR500" s="682"/>
      <c r="AS500" s="682"/>
      <c r="AT500" s="682"/>
      <c r="AU500" s="682"/>
      <c r="AV500" s="682"/>
      <c r="AW500" s="682"/>
      <c r="AX500" s="682"/>
      <c r="AY500" s="682"/>
      <c r="AZ500" s="682"/>
      <c r="BA500" s="682"/>
      <c r="BB500" s="68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</row>
    <row r="501" spans="1:116" s="679" customFormat="1" ht="15.7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13"/>
      <c r="AA501" s="2"/>
      <c r="AB501" s="724"/>
      <c r="AC501" s="784"/>
      <c r="AD501" s="787"/>
      <c r="AE501" s="787"/>
      <c r="AF501" s="550"/>
      <c r="AG501" s="697"/>
      <c r="AH501" s="698"/>
      <c r="AI501" s="697"/>
      <c r="AJ501" s="697"/>
      <c r="AK501" s="550"/>
      <c r="AR501" s="682"/>
      <c r="AS501" s="682"/>
      <c r="AT501" s="682"/>
      <c r="AU501" s="682"/>
      <c r="AV501" s="682"/>
      <c r="AW501" s="682"/>
      <c r="AX501" s="682"/>
      <c r="AY501" s="682"/>
      <c r="AZ501" s="682"/>
      <c r="BA501" s="682"/>
      <c r="BB501" s="68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</row>
    <row r="502" spans="1:116" s="679" customFormat="1" ht="15.7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13"/>
      <c r="AA502" s="2"/>
      <c r="AB502" s="724"/>
      <c r="AC502" s="784"/>
      <c r="AD502" s="787"/>
      <c r="AE502" s="787"/>
      <c r="AF502" s="550"/>
      <c r="AG502" s="697"/>
      <c r="AH502" s="698"/>
      <c r="AI502" s="697"/>
      <c r="AJ502" s="697"/>
      <c r="AK502" s="550"/>
      <c r="AR502" s="682"/>
      <c r="AS502" s="682"/>
      <c r="AT502" s="682"/>
      <c r="AU502" s="682"/>
      <c r="AV502" s="682"/>
      <c r="AW502" s="682"/>
      <c r="AX502" s="682"/>
      <c r="AY502" s="682"/>
      <c r="AZ502" s="682"/>
      <c r="BA502" s="682"/>
      <c r="BB502" s="68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</row>
    <row r="503" spans="1:116" s="679" customFormat="1" ht="15.7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13"/>
      <c r="AA503" s="2"/>
      <c r="AB503" s="724"/>
      <c r="AC503" s="784"/>
      <c r="AD503" s="787"/>
      <c r="AE503" s="787"/>
      <c r="AF503" s="550"/>
      <c r="AG503" s="697"/>
      <c r="AH503" s="698"/>
      <c r="AI503" s="697"/>
      <c r="AJ503" s="697"/>
      <c r="AK503" s="550"/>
      <c r="AR503" s="682"/>
      <c r="AS503" s="682"/>
      <c r="AT503" s="682"/>
      <c r="AU503" s="682"/>
      <c r="AV503" s="682"/>
      <c r="AW503" s="682"/>
      <c r="AX503" s="682"/>
      <c r="AY503" s="682"/>
      <c r="AZ503" s="682"/>
      <c r="BA503" s="682"/>
      <c r="BB503" s="68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</row>
    <row r="504" spans="1:116" s="679" customFormat="1" ht="15.7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13"/>
      <c r="AA504" s="2"/>
      <c r="AB504" s="724"/>
      <c r="AC504" s="784"/>
      <c r="AD504" s="787"/>
      <c r="AE504" s="787"/>
      <c r="AF504" s="550"/>
      <c r="AG504" s="697"/>
      <c r="AH504" s="698"/>
      <c r="AI504" s="697"/>
      <c r="AJ504" s="697"/>
      <c r="AK504" s="550"/>
      <c r="AR504" s="682"/>
      <c r="AS504" s="682"/>
      <c r="AT504" s="682"/>
      <c r="AU504" s="682"/>
      <c r="AV504" s="682"/>
      <c r="AW504" s="682"/>
      <c r="AX504" s="682"/>
      <c r="AY504" s="682"/>
      <c r="AZ504" s="682"/>
      <c r="BA504" s="682"/>
      <c r="BB504" s="68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</row>
    <row r="505" spans="1:116" s="679" customFormat="1" ht="15.7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13"/>
      <c r="AA505" s="2"/>
      <c r="AB505" s="724"/>
      <c r="AC505" s="784"/>
      <c r="AD505" s="787"/>
      <c r="AE505" s="787"/>
      <c r="AF505" s="550"/>
      <c r="AG505" s="697"/>
      <c r="AH505" s="698"/>
      <c r="AI505" s="697"/>
      <c r="AJ505" s="697"/>
      <c r="AK505" s="550"/>
      <c r="AR505" s="682"/>
      <c r="AS505" s="682"/>
      <c r="AT505" s="682"/>
      <c r="AU505" s="682"/>
      <c r="AV505" s="682"/>
      <c r="AW505" s="682"/>
      <c r="AX505" s="682"/>
      <c r="AY505" s="682"/>
      <c r="AZ505" s="682"/>
      <c r="BA505" s="682"/>
      <c r="BB505" s="68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</row>
    <row r="506" spans="1:116" s="679" customFormat="1" ht="15.7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13"/>
      <c r="AA506" s="2"/>
      <c r="AB506" s="724"/>
      <c r="AC506" s="784"/>
      <c r="AD506" s="787"/>
      <c r="AE506" s="787"/>
      <c r="AF506" s="550"/>
      <c r="AG506" s="697"/>
      <c r="AH506" s="698"/>
      <c r="AI506" s="697"/>
      <c r="AJ506" s="697"/>
      <c r="AK506" s="550"/>
      <c r="AR506" s="682"/>
      <c r="AS506" s="682"/>
      <c r="AT506" s="682"/>
      <c r="AU506" s="682"/>
      <c r="AV506" s="682"/>
      <c r="AW506" s="682"/>
      <c r="AX506" s="682"/>
      <c r="AY506" s="682"/>
      <c r="AZ506" s="682"/>
      <c r="BA506" s="682"/>
      <c r="BB506" s="68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</row>
    <row r="507" spans="1:116" s="679" customFormat="1" ht="15.7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13"/>
      <c r="AA507" s="2"/>
      <c r="AB507" s="724"/>
      <c r="AC507" s="784"/>
      <c r="AD507" s="787"/>
      <c r="AE507" s="787"/>
      <c r="AF507" s="550"/>
      <c r="AG507" s="697"/>
      <c r="AH507" s="698"/>
      <c r="AI507" s="697"/>
      <c r="AJ507" s="697"/>
      <c r="AK507" s="550"/>
      <c r="AR507" s="682"/>
      <c r="AS507" s="682"/>
      <c r="AT507" s="682"/>
      <c r="AU507" s="682"/>
      <c r="AV507" s="682"/>
      <c r="AW507" s="682"/>
      <c r="AX507" s="682"/>
      <c r="AY507" s="682"/>
      <c r="AZ507" s="682"/>
      <c r="BA507" s="682"/>
      <c r="BB507" s="68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</row>
    <row r="508" spans="1:116" s="679" customFormat="1" ht="15.7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13"/>
      <c r="AA508" s="2"/>
      <c r="AB508" s="724"/>
      <c r="AC508" s="784"/>
      <c r="AD508" s="787"/>
      <c r="AE508" s="787"/>
      <c r="AF508" s="550"/>
      <c r="AG508" s="697"/>
      <c r="AH508" s="698"/>
      <c r="AI508" s="697"/>
      <c r="AJ508" s="697"/>
      <c r="AK508" s="550"/>
      <c r="AR508" s="682"/>
      <c r="AS508" s="682"/>
      <c r="AT508" s="682"/>
      <c r="AU508" s="682"/>
      <c r="AV508" s="682"/>
      <c r="AW508" s="682"/>
      <c r="AX508" s="682"/>
      <c r="AY508" s="682"/>
      <c r="AZ508" s="682"/>
      <c r="BA508" s="682"/>
      <c r="BB508" s="68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</row>
    <row r="509" spans="1:116" s="679" customFormat="1" ht="15.7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13"/>
      <c r="AA509" s="2"/>
      <c r="AB509" s="724"/>
      <c r="AC509" s="784"/>
      <c r="AD509" s="787"/>
      <c r="AE509" s="787"/>
      <c r="AF509" s="550"/>
      <c r="AG509" s="697"/>
      <c r="AH509" s="698"/>
      <c r="AI509" s="697"/>
      <c r="AJ509" s="697"/>
      <c r="AK509" s="550"/>
      <c r="AR509" s="682"/>
      <c r="AS509" s="682"/>
      <c r="AT509" s="682"/>
      <c r="AU509" s="682"/>
      <c r="AV509" s="682"/>
      <c r="AW509" s="682"/>
      <c r="AX509" s="682"/>
      <c r="AY509" s="682"/>
      <c r="AZ509" s="682"/>
      <c r="BA509" s="682"/>
      <c r="BB509" s="68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</row>
    <row r="510" spans="1:116" s="679" customFormat="1" ht="15.7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13"/>
      <c r="AA510" s="2"/>
      <c r="AB510" s="724"/>
      <c r="AC510" s="784"/>
      <c r="AD510" s="787"/>
      <c r="AE510" s="787"/>
      <c r="AF510" s="550"/>
      <c r="AG510" s="697"/>
      <c r="AH510" s="698"/>
      <c r="AI510" s="697"/>
      <c r="AJ510" s="697"/>
      <c r="AK510" s="550"/>
      <c r="AR510" s="682"/>
      <c r="AS510" s="682"/>
      <c r="AT510" s="682"/>
      <c r="AU510" s="682"/>
      <c r="AV510" s="682"/>
      <c r="AW510" s="682"/>
      <c r="AX510" s="682"/>
      <c r="AY510" s="682"/>
      <c r="AZ510" s="682"/>
      <c r="BA510" s="682"/>
      <c r="BB510" s="68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</row>
    <row r="511" spans="1:116" s="679" customFormat="1" ht="15.7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13"/>
      <c r="AA511" s="2"/>
      <c r="AB511" s="724"/>
      <c r="AC511" s="784"/>
      <c r="AD511" s="787"/>
      <c r="AE511" s="787"/>
      <c r="AF511" s="550"/>
      <c r="AG511" s="697"/>
      <c r="AH511" s="698"/>
      <c r="AI511" s="697"/>
      <c r="AJ511" s="697"/>
      <c r="AK511" s="550"/>
      <c r="AR511" s="682"/>
      <c r="AS511" s="682"/>
      <c r="AT511" s="682"/>
      <c r="AU511" s="682"/>
      <c r="AV511" s="682"/>
      <c r="AW511" s="682"/>
      <c r="AX511" s="682"/>
      <c r="AY511" s="682"/>
      <c r="AZ511" s="682"/>
      <c r="BA511" s="682"/>
      <c r="BB511" s="68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</row>
    <row r="512" spans="1:116" s="679" customFormat="1" ht="15.7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13"/>
      <c r="AA512" s="2"/>
      <c r="AB512" s="724"/>
      <c r="AC512" s="784"/>
      <c r="AD512" s="787"/>
      <c r="AE512" s="787"/>
      <c r="AF512" s="550"/>
      <c r="AG512" s="697"/>
      <c r="AH512" s="698"/>
      <c r="AI512" s="697"/>
      <c r="AJ512" s="697"/>
      <c r="AK512" s="550"/>
      <c r="AR512" s="682"/>
      <c r="AS512" s="682"/>
      <c r="AT512" s="682"/>
      <c r="AU512" s="682"/>
      <c r="AV512" s="682"/>
      <c r="AW512" s="682"/>
      <c r="AX512" s="682"/>
      <c r="AY512" s="682"/>
      <c r="AZ512" s="682"/>
      <c r="BA512" s="682"/>
      <c r="BB512" s="68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</row>
    <row r="513" spans="1:116" s="679" customFormat="1" ht="15.7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13"/>
      <c r="AA513" s="2"/>
      <c r="AB513" s="724"/>
      <c r="AC513" s="784"/>
      <c r="AD513" s="787"/>
      <c r="AE513" s="787"/>
      <c r="AF513" s="550"/>
      <c r="AG513" s="697"/>
      <c r="AH513" s="698"/>
      <c r="AI513" s="697"/>
      <c r="AJ513" s="697"/>
      <c r="AK513" s="550"/>
      <c r="AR513" s="682"/>
      <c r="AS513" s="682"/>
      <c r="AT513" s="682"/>
      <c r="AU513" s="682"/>
      <c r="AV513" s="682"/>
      <c r="AW513" s="682"/>
      <c r="AX513" s="682"/>
      <c r="AY513" s="682"/>
      <c r="AZ513" s="682"/>
      <c r="BA513" s="682"/>
      <c r="BB513" s="68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</row>
    <row r="514" spans="1:116" s="679" customFormat="1" ht="15.7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13"/>
      <c r="AA514" s="2"/>
      <c r="AB514" s="724"/>
      <c r="AC514" s="784"/>
      <c r="AD514" s="787"/>
      <c r="AE514" s="787"/>
      <c r="AF514" s="550"/>
      <c r="AG514" s="697"/>
      <c r="AH514" s="698"/>
      <c r="AI514" s="697"/>
      <c r="AJ514" s="697"/>
      <c r="AK514" s="550"/>
      <c r="AR514" s="682"/>
      <c r="AS514" s="682"/>
      <c r="AT514" s="682"/>
      <c r="AU514" s="682"/>
      <c r="AV514" s="682"/>
      <c r="AW514" s="682"/>
      <c r="AX514" s="682"/>
      <c r="AY514" s="682"/>
      <c r="AZ514" s="682"/>
      <c r="BA514" s="682"/>
      <c r="BB514" s="68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</row>
    <row r="515" spans="1:116" s="679" customFormat="1" ht="15.7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13"/>
      <c r="AA515" s="2"/>
      <c r="AB515" s="724"/>
      <c r="AC515" s="784"/>
      <c r="AD515" s="787"/>
      <c r="AE515" s="787"/>
      <c r="AF515" s="550"/>
      <c r="AG515" s="697"/>
      <c r="AH515" s="698"/>
      <c r="AI515" s="697"/>
      <c r="AJ515" s="697"/>
      <c r="AK515" s="550"/>
      <c r="AR515" s="682"/>
      <c r="AS515" s="682"/>
      <c r="AT515" s="682"/>
      <c r="AU515" s="682"/>
      <c r="AV515" s="682"/>
      <c r="AW515" s="682"/>
      <c r="AX515" s="682"/>
      <c r="AY515" s="682"/>
      <c r="AZ515" s="682"/>
      <c r="BA515" s="682"/>
      <c r="BB515" s="68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</row>
    <row r="516" spans="1:116" s="679" customFormat="1" ht="15.7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13"/>
      <c r="AA516" s="2"/>
      <c r="AB516" s="724"/>
      <c r="AC516" s="784"/>
      <c r="AD516" s="787"/>
      <c r="AE516" s="787"/>
      <c r="AF516" s="550"/>
      <c r="AG516" s="697"/>
      <c r="AH516" s="698"/>
      <c r="AI516" s="697"/>
      <c r="AJ516" s="697"/>
      <c r="AK516" s="550"/>
      <c r="AR516" s="682"/>
      <c r="AS516" s="682"/>
      <c r="AT516" s="682"/>
      <c r="AU516" s="682"/>
      <c r="AV516" s="682"/>
      <c r="AW516" s="682"/>
      <c r="AX516" s="682"/>
      <c r="AY516" s="682"/>
      <c r="AZ516" s="682"/>
      <c r="BA516" s="682"/>
      <c r="BB516" s="68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</row>
    <row r="517" spans="1:116" s="679" customFormat="1" ht="15.7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13"/>
      <c r="AA517" s="2"/>
      <c r="AB517" s="724"/>
      <c r="AC517" s="784"/>
      <c r="AD517" s="787"/>
      <c r="AE517" s="787"/>
      <c r="AF517" s="550"/>
      <c r="AG517" s="697"/>
      <c r="AH517" s="698"/>
      <c r="AI517" s="697"/>
      <c r="AJ517" s="697"/>
      <c r="AK517" s="550"/>
      <c r="AR517" s="682"/>
      <c r="AS517" s="682"/>
      <c r="AT517" s="682"/>
      <c r="AU517" s="682"/>
      <c r="AV517" s="682"/>
      <c r="AW517" s="682"/>
      <c r="AX517" s="682"/>
      <c r="AY517" s="682"/>
      <c r="AZ517" s="682"/>
      <c r="BA517" s="682"/>
      <c r="BB517" s="68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</row>
    <row r="518" spans="1:116" s="679" customFormat="1" ht="15.7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13"/>
      <c r="AA518" s="2"/>
      <c r="AB518" s="724"/>
      <c r="AC518" s="784"/>
      <c r="AD518" s="787"/>
      <c r="AE518" s="787"/>
      <c r="AF518" s="550"/>
      <c r="AG518" s="697"/>
      <c r="AH518" s="698"/>
      <c r="AI518" s="697"/>
      <c r="AJ518" s="697"/>
      <c r="AK518" s="550"/>
      <c r="AR518" s="682"/>
      <c r="AS518" s="682"/>
      <c r="AT518" s="682"/>
      <c r="AU518" s="682"/>
      <c r="AV518" s="682"/>
      <c r="AW518" s="682"/>
      <c r="AX518" s="682"/>
      <c r="AY518" s="682"/>
      <c r="AZ518" s="682"/>
      <c r="BA518" s="682"/>
      <c r="BB518" s="68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</row>
    <row r="519" spans="1:116" s="679" customFormat="1" ht="15.7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13"/>
      <c r="AA519" s="2"/>
      <c r="AB519" s="724"/>
      <c r="AC519" s="784"/>
      <c r="AD519" s="787"/>
      <c r="AE519" s="787"/>
      <c r="AF519" s="550"/>
      <c r="AG519" s="697"/>
      <c r="AH519" s="698"/>
      <c r="AI519" s="697"/>
      <c r="AJ519" s="697"/>
      <c r="AK519" s="550"/>
      <c r="AR519" s="682"/>
      <c r="AS519" s="682"/>
      <c r="AT519" s="682"/>
      <c r="AU519" s="682"/>
      <c r="AV519" s="682"/>
      <c r="AW519" s="682"/>
      <c r="AX519" s="682"/>
      <c r="AY519" s="682"/>
      <c r="AZ519" s="682"/>
      <c r="BA519" s="682"/>
      <c r="BB519" s="68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</row>
    <row r="520" spans="1:116" s="679" customFormat="1" ht="15.7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13"/>
      <c r="AA520" s="2"/>
      <c r="AB520" s="724"/>
      <c r="AC520" s="784"/>
      <c r="AD520" s="787"/>
      <c r="AE520" s="787"/>
      <c r="AF520" s="550"/>
      <c r="AG520" s="697"/>
      <c r="AH520" s="698"/>
      <c r="AI520" s="697"/>
      <c r="AJ520" s="697"/>
      <c r="AK520" s="550"/>
      <c r="AR520" s="682"/>
      <c r="AS520" s="682"/>
      <c r="AT520" s="682"/>
      <c r="AU520" s="682"/>
      <c r="AV520" s="682"/>
      <c r="AW520" s="682"/>
      <c r="AX520" s="682"/>
      <c r="AY520" s="682"/>
      <c r="AZ520" s="682"/>
      <c r="BA520" s="682"/>
      <c r="BB520" s="68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</row>
    <row r="521" spans="1:116" s="679" customFormat="1" ht="15.7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13"/>
      <c r="AA521" s="2"/>
      <c r="AB521" s="724"/>
      <c r="AC521" s="784"/>
      <c r="AD521" s="787"/>
      <c r="AE521" s="787"/>
      <c r="AF521" s="550"/>
      <c r="AG521" s="697"/>
      <c r="AH521" s="698"/>
      <c r="AI521" s="697"/>
      <c r="AJ521" s="697"/>
      <c r="AK521" s="550"/>
      <c r="AR521" s="682"/>
      <c r="AS521" s="682"/>
      <c r="AT521" s="682"/>
      <c r="AU521" s="682"/>
      <c r="AV521" s="682"/>
      <c r="AW521" s="682"/>
      <c r="AX521" s="682"/>
      <c r="AY521" s="682"/>
      <c r="AZ521" s="682"/>
      <c r="BA521" s="682"/>
      <c r="BB521" s="68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</row>
    <row r="522" spans="1:116" s="679" customFormat="1" ht="15.7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13"/>
      <c r="AA522" s="2"/>
      <c r="AB522" s="724"/>
      <c r="AC522" s="784"/>
      <c r="AD522" s="787"/>
      <c r="AE522" s="787"/>
      <c r="AF522" s="550"/>
      <c r="AG522" s="697"/>
      <c r="AH522" s="698"/>
      <c r="AI522" s="697"/>
      <c r="AJ522" s="697"/>
      <c r="AK522" s="550"/>
      <c r="AR522" s="682"/>
      <c r="AS522" s="682"/>
      <c r="AT522" s="682"/>
      <c r="AU522" s="682"/>
      <c r="AV522" s="682"/>
      <c r="AW522" s="682"/>
      <c r="AX522" s="682"/>
      <c r="AY522" s="682"/>
      <c r="AZ522" s="682"/>
      <c r="BA522" s="682"/>
      <c r="BB522" s="68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</row>
    <row r="523" spans="1:116" s="679" customFormat="1" ht="15.7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13"/>
      <c r="AA523" s="2"/>
      <c r="AB523" s="724"/>
      <c r="AC523" s="784"/>
      <c r="AD523" s="787"/>
      <c r="AE523" s="787"/>
      <c r="AF523" s="550"/>
      <c r="AG523" s="697"/>
      <c r="AH523" s="698"/>
      <c r="AI523" s="697"/>
      <c r="AJ523" s="697"/>
      <c r="AK523" s="550"/>
      <c r="AR523" s="682"/>
      <c r="AS523" s="682"/>
      <c r="AT523" s="682"/>
      <c r="AU523" s="682"/>
      <c r="AV523" s="682"/>
      <c r="AW523" s="682"/>
      <c r="AX523" s="682"/>
      <c r="AY523" s="682"/>
      <c r="AZ523" s="682"/>
      <c r="BA523" s="682"/>
      <c r="BB523" s="68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</row>
    <row r="524" spans="1:116" s="679" customFormat="1" ht="15.7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13"/>
      <c r="AA524" s="2"/>
      <c r="AB524" s="724"/>
      <c r="AC524" s="784"/>
      <c r="AD524" s="787"/>
      <c r="AE524" s="787"/>
      <c r="AF524" s="550"/>
      <c r="AG524" s="697"/>
      <c r="AH524" s="698"/>
      <c r="AI524" s="697"/>
      <c r="AJ524" s="697"/>
      <c r="AK524" s="550"/>
      <c r="AR524" s="682"/>
      <c r="AS524" s="682"/>
      <c r="AT524" s="682"/>
      <c r="AU524" s="682"/>
      <c r="AV524" s="682"/>
      <c r="AW524" s="682"/>
      <c r="AX524" s="682"/>
      <c r="AY524" s="682"/>
      <c r="AZ524" s="682"/>
      <c r="BA524" s="682"/>
      <c r="BB524" s="68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</row>
    <row r="525" spans="1:116" s="679" customFormat="1" ht="15.7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13"/>
      <c r="AA525" s="2"/>
      <c r="AB525" s="724"/>
      <c r="AC525" s="784"/>
      <c r="AD525" s="787"/>
      <c r="AE525" s="787"/>
      <c r="AF525" s="550"/>
      <c r="AG525" s="697"/>
      <c r="AH525" s="698"/>
      <c r="AI525" s="697"/>
      <c r="AJ525" s="697"/>
      <c r="AK525" s="550"/>
      <c r="AR525" s="682"/>
      <c r="AS525" s="682"/>
      <c r="AT525" s="682"/>
      <c r="AU525" s="682"/>
      <c r="AV525" s="682"/>
      <c r="AW525" s="682"/>
      <c r="AX525" s="682"/>
      <c r="AY525" s="682"/>
      <c r="AZ525" s="682"/>
      <c r="BA525" s="682"/>
      <c r="BB525" s="68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</row>
    <row r="526" spans="1:116" s="679" customFormat="1" ht="15.7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13"/>
      <c r="AA526" s="2"/>
      <c r="AB526" s="724"/>
      <c r="AC526" s="784"/>
      <c r="AD526" s="787"/>
      <c r="AE526" s="787"/>
      <c r="AF526" s="550"/>
      <c r="AG526" s="697"/>
      <c r="AH526" s="698"/>
      <c r="AI526" s="697"/>
      <c r="AJ526" s="697"/>
      <c r="AK526" s="550"/>
      <c r="AR526" s="682"/>
      <c r="AS526" s="682"/>
      <c r="AT526" s="682"/>
      <c r="AU526" s="682"/>
      <c r="AV526" s="682"/>
      <c r="AW526" s="682"/>
      <c r="AX526" s="682"/>
      <c r="AY526" s="682"/>
      <c r="AZ526" s="682"/>
      <c r="BA526" s="682"/>
      <c r="BB526" s="68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</row>
    <row r="527" spans="1:116" s="679" customFormat="1" ht="15.7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13"/>
      <c r="AA527" s="2"/>
      <c r="AB527" s="724"/>
      <c r="AC527" s="784"/>
      <c r="AD527" s="787"/>
      <c r="AE527" s="787"/>
      <c r="AF527" s="550"/>
      <c r="AG527" s="697"/>
      <c r="AH527" s="698"/>
      <c r="AI527" s="697"/>
      <c r="AJ527" s="697"/>
      <c r="AK527" s="550"/>
      <c r="AR527" s="682"/>
      <c r="AS527" s="682"/>
      <c r="AT527" s="682"/>
      <c r="AU527" s="682"/>
      <c r="AV527" s="682"/>
      <c r="AW527" s="682"/>
      <c r="AX527" s="682"/>
      <c r="AY527" s="682"/>
      <c r="AZ527" s="682"/>
      <c r="BA527" s="682"/>
      <c r="BB527" s="68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</row>
    <row r="528" spans="1:116" s="679" customFormat="1" ht="15.7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13"/>
      <c r="AA528" s="2"/>
      <c r="AB528" s="724"/>
      <c r="AC528" s="784"/>
      <c r="AD528" s="787"/>
      <c r="AE528" s="787"/>
      <c r="AF528" s="550"/>
      <c r="AG528" s="697"/>
      <c r="AH528" s="698"/>
      <c r="AI528" s="697"/>
      <c r="AJ528" s="697"/>
      <c r="AK528" s="550"/>
      <c r="AR528" s="682"/>
      <c r="AS528" s="682"/>
      <c r="AT528" s="682"/>
      <c r="AU528" s="682"/>
      <c r="AV528" s="682"/>
      <c r="AW528" s="682"/>
      <c r="AX528" s="682"/>
      <c r="AY528" s="682"/>
      <c r="AZ528" s="682"/>
      <c r="BA528" s="682"/>
      <c r="BB528" s="68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</row>
    <row r="529" spans="1:116" s="679" customFormat="1" ht="15.7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13"/>
      <c r="AA529" s="2"/>
      <c r="AB529" s="724"/>
      <c r="AC529" s="784"/>
      <c r="AD529" s="787"/>
      <c r="AE529" s="787"/>
      <c r="AF529" s="550"/>
      <c r="AG529" s="697"/>
      <c r="AH529" s="698"/>
      <c r="AI529" s="697"/>
      <c r="AJ529" s="697"/>
      <c r="AK529" s="550"/>
      <c r="AR529" s="682"/>
      <c r="AS529" s="682"/>
      <c r="AT529" s="682"/>
      <c r="AU529" s="682"/>
      <c r="AV529" s="682"/>
      <c r="AW529" s="682"/>
      <c r="AX529" s="682"/>
      <c r="AY529" s="682"/>
      <c r="AZ529" s="682"/>
      <c r="BA529" s="682"/>
      <c r="BB529" s="68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</row>
    <row r="530" spans="1:116" s="679" customFormat="1" ht="15.7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13"/>
      <c r="AA530" s="2"/>
      <c r="AB530" s="724"/>
      <c r="AC530" s="784"/>
      <c r="AD530" s="787"/>
      <c r="AE530" s="787"/>
      <c r="AF530" s="550"/>
      <c r="AG530" s="697"/>
      <c r="AH530" s="698"/>
      <c r="AI530" s="697"/>
      <c r="AJ530" s="697"/>
      <c r="AK530" s="550"/>
      <c r="AR530" s="682"/>
      <c r="AS530" s="682"/>
      <c r="AT530" s="682"/>
      <c r="AU530" s="682"/>
      <c r="AV530" s="682"/>
      <c r="AW530" s="682"/>
      <c r="AX530" s="682"/>
      <c r="AY530" s="682"/>
      <c r="AZ530" s="682"/>
      <c r="BA530" s="682"/>
      <c r="BB530" s="68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</row>
    <row r="531" spans="1:116" s="679" customFormat="1" ht="15.7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13"/>
      <c r="AA531" s="2"/>
      <c r="AB531" s="724"/>
      <c r="AC531" s="784"/>
      <c r="AD531" s="787"/>
      <c r="AE531" s="787"/>
      <c r="AF531" s="550"/>
      <c r="AG531" s="697"/>
      <c r="AH531" s="698"/>
      <c r="AI531" s="697"/>
      <c r="AJ531" s="697"/>
      <c r="AK531" s="550"/>
      <c r="AR531" s="682"/>
      <c r="AS531" s="682"/>
      <c r="AT531" s="682"/>
      <c r="AU531" s="682"/>
      <c r="AV531" s="682"/>
      <c r="AW531" s="682"/>
      <c r="AX531" s="682"/>
      <c r="AY531" s="682"/>
      <c r="AZ531" s="682"/>
      <c r="BA531" s="682"/>
      <c r="BB531" s="68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</row>
    <row r="532" spans="1:116" s="679" customFormat="1" ht="15.7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13"/>
      <c r="AA532" s="2"/>
      <c r="AB532" s="724"/>
      <c r="AC532" s="784"/>
      <c r="AD532" s="787"/>
      <c r="AE532" s="787"/>
      <c r="AF532" s="550"/>
      <c r="AG532" s="697"/>
      <c r="AH532" s="698"/>
      <c r="AI532" s="697"/>
      <c r="AJ532" s="697"/>
      <c r="AK532" s="550"/>
      <c r="AR532" s="682"/>
      <c r="AS532" s="682"/>
      <c r="AT532" s="682"/>
      <c r="AU532" s="682"/>
      <c r="AV532" s="682"/>
      <c r="AW532" s="682"/>
      <c r="AX532" s="682"/>
      <c r="AY532" s="682"/>
      <c r="AZ532" s="682"/>
      <c r="BA532" s="682"/>
      <c r="BB532" s="68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</row>
    <row r="533" spans="1:116" s="679" customFormat="1" ht="15.7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13"/>
      <c r="AA533" s="2"/>
      <c r="AB533" s="724"/>
      <c r="AC533" s="784"/>
      <c r="AD533" s="787"/>
      <c r="AE533" s="787"/>
      <c r="AF533" s="550"/>
      <c r="AG533" s="697"/>
      <c r="AH533" s="698"/>
      <c r="AI533" s="697"/>
      <c r="AJ533" s="697"/>
      <c r="AK533" s="550"/>
      <c r="AR533" s="682"/>
      <c r="AS533" s="682"/>
      <c r="AT533" s="682"/>
      <c r="AU533" s="682"/>
      <c r="AV533" s="682"/>
      <c r="AW533" s="682"/>
      <c r="AX533" s="682"/>
      <c r="AY533" s="682"/>
      <c r="AZ533" s="682"/>
      <c r="BA533" s="682"/>
      <c r="BB533" s="68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</row>
    <row r="534" spans="1:116" s="679" customFormat="1" ht="15.7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13"/>
      <c r="AA534" s="2"/>
      <c r="AB534" s="724"/>
      <c r="AC534" s="784"/>
      <c r="AD534" s="787"/>
      <c r="AE534" s="787"/>
      <c r="AF534" s="550"/>
      <c r="AG534" s="697"/>
      <c r="AH534" s="698"/>
      <c r="AI534" s="697"/>
      <c r="AJ534" s="697"/>
      <c r="AK534" s="550"/>
      <c r="AR534" s="682"/>
      <c r="AS534" s="682"/>
      <c r="AT534" s="682"/>
      <c r="AU534" s="682"/>
      <c r="AV534" s="682"/>
      <c r="AW534" s="682"/>
      <c r="AX534" s="682"/>
      <c r="AY534" s="682"/>
      <c r="AZ534" s="682"/>
      <c r="BA534" s="682"/>
      <c r="BB534" s="68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</row>
    <row r="535" spans="1:116" s="679" customFormat="1" ht="15.7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13"/>
      <c r="AA535" s="2"/>
      <c r="AB535" s="724"/>
      <c r="AC535" s="784"/>
      <c r="AD535" s="787"/>
      <c r="AE535" s="787"/>
      <c r="AF535" s="550"/>
      <c r="AG535" s="697"/>
      <c r="AH535" s="698"/>
      <c r="AI535" s="697"/>
      <c r="AJ535" s="697"/>
      <c r="AK535" s="550"/>
      <c r="AR535" s="682"/>
      <c r="AS535" s="682"/>
      <c r="AT535" s="682"/>
      <c r="AU535" s="682"/>
      <c r="AV535" s="682"/>
      <c r="AW535" s="682"/>
      <c r="AX535" s="682"/>
      <c r="AY535" s="682"/>
      <c r="AZ535" s="682"/>
      <c r="BA535" s="682"/>
      <c r="BB535" s="68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</row>
    <row r="536" spans="1:116" s="679" customFormat="1" ht="15.7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13"/>
      <c r="AA536" s="2"/>
      <c r="AB536" s="724"/>
      <c r="AC536" s="784"/>
      <c r="AD536" s="787"/>
      <c r="AE536" s="787"/>
      <c r="AF536" s="550"/>
      <c r="AG536" s="697"/>
      <c r="AH536" s="698"/>
      <c r="AI536" s="697"/>
      <c r="AJ536" s="697"/>
      <c r="AK536" s="550"/>
      <c r="AR536" s="682"/>
      <c r="AS536" s="682"/>
      <c r="AT536" s="682"/>
      <c r="AU536" s="682"/>
      <c r="AV536" s="682"/>
      <c r="AW536" s="682"/>
      <c r="AX536" s="682"/>
      <c r="AY536" s="682"/>
      <c r="AZ536" s="682"/>
      <c r="BA536" s="682"/>
      <c r="BB536" s="68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</row>
    <row r="537" spans="1:116" s="679" customFormat="1" ht="15.7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13"/>
      <c r="AA537" s="2"/>
      <c r="AB537" s="724"/>
      <c r="AC537" s="784"/>
      <c r="AD537" s="787"/>
      <c r="AE537" s="787"/>
      <c r="AF537" s="550"/>
      <c r="AG537" s="697"/>
      <c r="AH537" s="698"/>
      <c r="AI537" s="697"/>
      <c r="AJ537" s="697"/>
      <c r="AK537" s="550"/>
      <c r="AR537" s="682"/>
      <c r="AS537" s="682"/>
      <c r="AT537" s="682"/>
      <c r="AU537" s="682"/>
      <c r="AV537" s="682"/>
      <c r="AW537" s="682"/>
      <c r="AX537" s="682"/>
      <c r="AY537" s="682"/>
      <c r="AZ537" s="682"/>
      <c r="BA537" s="682"/>
      <c r="BB537" s="68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</row>
    <row r="538" spans="1:116" s="679" customFormat="1" ht="15.7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13"/>
      <c r="AA538" s="2"/>
      <c r="AB538" s="724"/>
      <c r="AC538" s="784"/>
      <c r="AD538" s="787"/>
      <c r="AE538" s="787"/>
      <c r="AF538" s="550"/>
      <c r="AG538" s="697"/>
      <c r="AH538" s="698"/>
      <c r="AI538" s="697"/>
      <c r="AJ538" s="697"/>
      <c r="AK538" s="550"/>
      <c r="AR538" s="682"/>
      <c r="AS538" s="682"/>
      <c r="AT538" s="682"/>
      <c r="AU538" s="682"/>
      <c r="AV538" s="682"/>
      <c r="AW538" s="682"/>
      <c r="AX538" s="682"/>
      <c r="AY538" s="682"/>
      <c r="AZ538" s="682"/>
      <c r="BA538" s="682"/>
      <c r="BB538" s="68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</row>
    <row r="539" spans="1:116" s="679" customFormat="1" ht="15.7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13"/>
      <c r="AA539" s="2"/>
      <c r="AB539" s="724"/>
      <c r="AC539" s="784"/>
      <c r="AD539" s="787"/>
      <c r="AE539" s="787"/>
      <c r="AF539" s="550"/>
      <c r="AG539" s="697"/>
      <c r="AH539" s="698"/>
      <c r="AI539" s="697"/>
      <c r="AJ539" s="697"/>
      <c r="AK539" s="550"/>
      <c r="AR539" s="682"/>
      <c r="AS539" s="682"/>
      <c r="AT539" s="682"/>
      <c r="AU539" s="682"/>
      <c r="AV539" s="682"/>
      <c r="AW539" s="682"/>
      <c r="AX539" s="682"/>
      <c r="AY539" s="682"/>
      <c r="AZ539" s="682"/>
      <c r="BA539" s="682"/>
      <c r="BB539" s="68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</row>
    <row r="540" spans="1:116" s="679" customFormat="1" ht="15.7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13"/>
      <c r="AA540" s="2"/>
      <c r="AB540" s="724"/>
      <c r="AC540" s="784"/>
      <c r="AD540" s="787"/>
      <c r="AE540" s="787"/>
      <c r="AF540" s="550"/>
      <c r="AG540" s="697"/>
      <c r="AH540" s="698"/>
      <c r="AI540" s="697"/>
      <c r="AJ540" s="697"/>
      <c r="AK540" s="550"/>
      <c r="AR540" s="682"/>
      <c r="AS540" s="682"/>
      <c r="AT540" s="682"/>
      <c r="AU540" s="682"/>
      <c r="AV540" s="682"/>
      <c r="AW540" s="682"/>
      <c r="AX540" s="682"/>
      <c r="AY540" s="682"/>
      <c r="AZ540" s="682"/>
      <c r="BA540" s="682"/>
      <c r="BB540" s="68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</row>
    <row r="541" spans="1:116" s="679" customFormat="1" ht="15.7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13"/>
      <c r="AA541" s="2"/>
      <c r="AB541" s="724"/>
      <c r="AC541" s="784"/>
      <c r="AD541" s="787"/>
      <c r="AE541" s="787"/>
      <c r="AF541" s="550"/>
      <c r="AG541" s="697"/>
      <c r="AH541" s="698"/>
      <c r="AI541" s="697"/>
      <c r="AJ541" s="697"/>
      <c r="AK541" s="550"/>
      <c r="AR541" s="682"/>
      <c r="AS541" s="682"/>
      <c r="AT541" s="682"/>
      <c r="AU541" s="682"/>
      <c r="AV541" s="682"/>
      <c r="AW541" s="682"/>
      <c r="AX541" s="682"/>
      <c r="AY541" s="682"/>
      <c r="AZ541" s="682"/>
      <c r="BA541" s="682"/>
      <c r="BB541" s="68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</row>
    <row r="542" spans="1:116" s="679" customFormat="1" ht="15.7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13"/>
      <c r="AA542" s="2"/>
      <c r="AB542" s="724"/>
      <c r="AC542" s="784"/>
      <c r="AD542" s="787"/>
      <c r="AE542" s="787"/>
      <c r="AF542" s="550"/>
      <c r="AG542" s="697"/>
      <c r="AH542" s="698"/>
      <c r="AI542" s="697"/>
      <c r="AJ542" s="697"/>
      <c r="AK542" s="550"/>
      <c r="AR542" s="682"/>
      <c r="AS542" s="682"/>
      <c r="AT542" s="682"/>
      <c r="AU542" s="682"/>
      <c r="AV542" s="682"/>
      <c r="AW542" s="682"/>
      <c r="AX542" s="682"/>
      <c r="AY542" s="682"/>
      <c r="AZ542" s="682"/>
      <c r="BA542" s="682"/>
      <c r="BB542" s="68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</row>
    <row r="543" spans="1:116" s="679" customFormat="1" ht="15.7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13"/>
      <c r="AA543" s="2"/>
      <c r="AB543" s="724"/>
      <c r="AC543" s="784"/>
      <c r="AD543" s="787"/>
      <c r="AE543" s="787"/>
      <c r="AF543" s="550"/>
      <c r="AG543" s="697"/>
      <c r="AH543" s="698"/>
      <c r="AI543" s="697"/>
      <c r="AJ543" s="697"/>
      <c r="AK543" s="550"/>
      <c r="AR543" s="682"/>
      <c r="AS543" s="682"/>
      <c r="AT543" s="682"/>
      <c r="AU543" s="682"/>
      <c r="AV543" s="682"/>
      <c r="AW543" s="682"/>
      <c r="AX543" s="682"/>
      <c r="AY543" s="682"/>
      <c r="AZ543" s="682"/>
      <c r="BA543" s="682"/>
      <c r="BB543" s="68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</row>
    <row r="544" spans="1:116" s="679" customFormat="1" ht="15.7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13"/>
      <c r="AA544" s="2"/>
      <c r="AB544" s="724"/>
      <c r="AC544" s="784"/>
      <c r="AD544" s="787"/>
      <c r="AE544" s="787"/>
      <c r="AF544" s="550"/>
      <c r="AG544" s="697"/>
      <c r="AH544" s="698"/>
      <c r="AI544" s="697"/>
      <c r="AJ544" s="697"/>
      <c r="AK544" s="550"/>
      <c r="AR544" s="682"/>
      <c r="AS544" s="682"/>
      <c r="AT544" s="682"/>
      <c r="AU544" s="682"/>
      <c r="AV544" s="682"/>
      <c r="AW544" s="682"/>
      <c r="AX544" s="682"/>
      <c r="AY544" s="682"/>
      <c r="AZ544" s="682"/>
      <c r="BA544" s="682"/>
      <c r="BB544" s="68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</row>
    <row r="545" spans="1:116" s="679" customFormat="1" ht="15.7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13"/>
      <c r="AA545" s="2"/>
      <c r="AB545" s="724"/>
      <c r="AC545" s="784"/>
      <c r="AD545" s="787"/>
      <c r="AE545" s="787"/>
      <c r="AF545" s="550"/>
      <c r="AG545" s="697"/>
      <c r="AH545" s="698"/>
      <c r="AI545" s="697"/>
      <c r="AJ545" s="697"/>
      <c r="AK545" s="550"/>
      <c r="AR545" s="682"/>
      <c r="AS545" s="682"/>
      <c r="AT545" s="682"/>
      <c r="AU545" s="682"/>
      <c r="AV545" s="682"/>
      <c r="AW545" s="682"/>
      <c r="AX545" s="682"/>
      <c r="AY545" s="682"/>
      <c r="AZ545" s="682"/>
      <c r="BA545" s="682"/>
      <c r="BB545" s="68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</row>
    <row r="546" spans="1:116" s="679" customFormat="1" ht="15.7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13"/>
      <c r="AA546" s="2"/>
      <c r="AB546" s="724"/>
      <c r="AC546" s="784"/>
      <c r="AD546" s="787"/>
      <c r="AE546" s="787"/>
      <c r="AF546" s="550"/>
      <c r="AG546" s="697"/>
      <c r="AH546" s="698"/>
      <c r="AI546" s="697"/>
      <c r="AJ546" s="697"/>
      <c r="AK546" s="550"/>
      <c r="AR546" s="682"/>
      <c r="AS546" s="682"/>
      <c r="AT546" s="682"/>
      <c r="AU546" s="682"/>
      <c r="AV546" s="682"/>
      <c r="AW546" s="682"/>
      <c r="AX546" s="682"/>
      <c r="AY546" s="682"/>
      <c r="AZ546" s="682"/>
      <c r="BA546" s="682"/>
      <c r="BB546" s="68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</row>
    <row r="547" spans="1:116" s="679" customFormat="1" ht="15.7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13"/>
      <c r="AA547" s="2"/>
      <c r="AB547" s="724"/>
      <c r="AC547" s="784"/>
      <c r="AD547" s="787"/>
      <c r="AE547" s="787"/>
      <c r="AF547" s="550"/>
      <c r="AG547" s="697"/>
      <c r="AH547" s="698"/>
      <c r="AI547" s="697"/>
      <c r="AJ547" s="697"/>
      <c r="AK547" s="550"/>
      <c r="AR547" s="682"/>
      <c r="AS547" s="682"/>
      <c r="AT547" s="682"/>
      <c r="AU547" s="682"/>
      <c r="AV547" s="682"/>
      <c r="AW547" s="682"/>
      <c r="AX547" s="682"/>
      <c r="AY547" s="682"/>
      <c r="AZ547" s="682"/>
      <c r="BA547" s="682"/>
      <c r="BB547" s="68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</row>
    <row r="548" spans="1:116" s="679" customFormat="1" ht="15.7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13"/>
      <c r="AA548" s="2"/>
      <c r="AB548" s="724"/>
      <c r="AC548" s="784"/>
      <c r="AD548" s="787"/>
      <c r="AE548" s="787"/>
      <c r="AF548" s="550"/>
      <c r="AG548" s="697"/>
      <c r="AH548" s="698"/>
      <c r="AI548" s="697"/>
      <c r="AJ548" s="697"/>
      <c r="AK548" s="550"/>
      <c r="AR548" s="682"/>
      <c r="AS548" s="682"/>
      <c r="AT548" s="682"/>
      <c r="AU548" s="682"/>
      <c r="AV548" s="682"/>
      <c r="AW548" s="682"/>
      <c r="AX548" s="682"/>
      <c r="AY548" s="682"/>
      <c r="AZ548" s="682"/>
      <c r="BA548" s="682"/>
      <c r="BB548" s="68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</row>
    <row r="549" spans="1:116" s="679" customFormat="1" ht="15.7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13"/>
      <c r="AA549" s="2"/>
      <c r="AB549" s="724"/>
      <c r="AC549" s="784"/>
      <c r="AD549" s="787"/>
      <c r="AE549" s="787"/>
      <c r="AF549" s="550"/>
      <c r="AG549" s="697"/>
      <c r="AH549" s="698"/>
      <c r="AI549" s="697"/>
      <c r="AJ549" s="697"/>
      <c r="AK549" s="550"/>
      <c r="AR549" s="682"/>
      <c r="AS549" s="682"/>
      <c r="AT549" s="682"/>
      <c r="AU549" s="682"/>
      <c r="AV549" s="682"/>
      <c r="AW549" s="682"/>
      <c r="AX549" s="682"/>
      <c r="AY549" s="682"/>
      <c r="AZ549" s="682"/>
      <c r="BA549" s="682"/>
      <c r="BB549" s="68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</row>
    <row r="550" spans="1:116" s="679" customFormat="1" ht="15.7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13"/>
      <c r="AA550" s="2"/>
      <c r="AB550" s="724"/>
      <c r="AC550" s="784"/>
      <c r="AD550" s="787"/>
      <c r="AE550" s="787"/>
      <c r="AF550" s="550"/>
      <c r="AG550" s="697"/>
      <c r="AH550" s="698"/>
      <c r="AI550" s="697"/>
      <c r="AJ550" s="697"/>
      <c r="AK550" s="550"/>
      <c r="AR550" s="682"/>
      <c r="AS550" s="682"/>
      <c r="AT550" s="682"/>
      <c r="AU550" s="682"/>
      <c r="AV550" s="682"/>
      <c r="AW550" s="682"/>
      <c r="AX550" s="682"/>
      <c r="AY550" s="682"/>
      <c r="AZ550" s="682"/>
      <c r="BA550" s="682"/>
      <c r="BB550" s="68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</row>
    <row r="551" spans="1:116" s="679" customFormat="1" ht="15.7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13"/>
      <c r="AA551" s="2"/>
      <c r="AB551" s="724"/>
      <c r="AC551" s="784"/>
      <c r="AD551" s="787"/>
      <c r="AE551" s="787"/>
      <c r="AF551" s="550"/>
      <c r="AG551" s="697"/>
      <c r="AH551" s="698"/>
      <c r="AI551" s="697"/>
      <c r="AJ551" s="697"/>
      <c r="AK551" s="550"/>
      <c r="AR551" s="682"/>
      <c r="AS551" s="682"/>
      <c r="AT551" s="682"/>
      <c r="AU551" s="682"/>
      <c r="AV551" s="682"/>
      <c r="AW551" s="682"/>
      <c r="AX551" s="682"/>
      <c r="AY551" s="682"/>
      <c r="AZ551" s="682"/>
      <c r="BA551" s="682"/>
      <c r="BB551" s="68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</row>
    <row r="552" spans="1:116" s="679" customFormat="1" ht="15.7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13"/>
      <c r="AA552" s="2"/>
      <c r="AB552" s="724"/>
      <c r="AC552" s="784"/>
      <c r="AD552" s="787"/>
      <c r="AE552" s="787"/>
      <c r="AF552" s="550"/>
      <c r="AG552" s="697"/>
      <c r="AH552" s="698"/>
      <c r="AI552" s="697"/>
      <c r="AJ552" s="697"/>
      <c r="AK552" s="550"/>
      <c r="AR552" s="682"/>
      <c r="AS552" s="682"/>
      <c r="AT552" s="682"/>
      <c r="AU552" s="682"/>
      <c r="AV552" s="682"/>
      <c r="AW552" s="682"/>
      <c r="AX552" s="682"/>
      <c r="AY552" s="682"/>
      <c r="AZ552" s="682"/>
      <c r="BA552" s="682"/>
      <c r="BB552" s="68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</row>
    <row r="553" spans="1:116" s="679" customFormat="1" ht="15.7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13"/>
      <c r="AA553" s="2"/>
      <c r="AB553" s="724"/>
      <c r="AC553" s="784"/>
      <c r="AD553" s="787"/>
      <c r="AE553" s="787"/>
      <c r="AF553" s="550"/>
      <c r="AG553" s="697"/>
      <c r="AH553" s="698"/>
      <c r="AI553" s="697"/>
      <c r="AJ553" s="697"/>
      <c r="AK553" s="550"/>
      <c r="AR553" s="682"/>
      <c r="AS553" s="682"/>
      <c r="AT553" s="682"/>
      <c r="AU553" s="682"/>
      <c r="AV553" s="682"/>
      <c r="AW553" s="682"/>
      <c r="AX553" s="682"/>
      <c r="AY553" s="682"/>
      <c r="AZ553" s="682"/>
      <c r="BA553" s="682"/>
      <c r="BB553" s="68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</row>
    <row r="554" spans="1:116" s="679" customFormat="1" ht="15.7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13"/>
      <c r="AA554" s="2"/>
      <c r="AB554" s="724"/>
      <c r="AC554" s="784"/>
      <c r="AD554" s="787"/>
      <c r="AE554" s="787"/>
      <c r="AF554" s="550"/>
      <c r="AG554" s="697"/>
      <c r="AH554" s="698"/>
      <c r="AI554" s="697"/>
      <c r="AJ554" s="697"/>
      <c r="AK554" s="550"/>
      <c r="AR554" s="682"/>
      <c r="AS554" s="682"/>
      <c r="AT554" s="682"/>
      <c r="AU554" s="682"/>
      <c r="AV554" s="682"/>
      <c r="AW554" s="682"/>
      <c r="AX554" s="682"/>
      <c r="AY554" s="682"/>
      <c r="AZ554" s="682"/>
      <c r="BA554" s="682"/>
      <c r="BB554" s="68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</row>
    <row r="555" spans="1:116" s="679" customFormat="1" ht="15.7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13"/>
      <c r="AA555" s="2"/>
      <c r="AB555" s="724"/>
      <c r="AC555" s="784"/>
      <c r="AD555" s="787"/>
      <c r="AE555" s="787"/>
      <c r="AF555" s="550"/>
      <c r="AG555" s="697"/>
      <c r="AH555" s="698"/>
      <c r="AI555" s="697"/>
      <c r="AJ555" s="697"/>
      <c r="AK555" s="550"/>
      <c r="AR555" s="682"/>
      <c r="AS555" s="682"/>
      <c r="AT555" s="682"/>
      <c r="AU555" s="682"/>
      <c r="AV555" s="682"/>
      <c r="AW555" s="682"/>
      <c r="AX555" s="682"/>
      <c r="AY555" s="682"/>
      <c r="AZ555" s="682"/>
      <c r="BA555" s="682"/>
      <c r="BB555" s="68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</row>
    <row r="556" spans="1:116" s="679" customFormat="1" ht="15.7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13"/>
      <c r="AA556" s="2"/>
      <c r="AB556" s="724"/>
      <c r="AC556" s="784"/>
      <c r="AD556" s="787"/>
      <c r="AE556" s="787"/>
      <c r="AF556" s="550"/>
      <c r="AG556" s="697"/>
      <c r="AH556" s="698"/>
      <c r="AI556" s="697"/>
      <c r="AJ556" s="697"/>
      <c r="AK556" s="550"/>
      <c r="AR556" s="682"/>
      <c r="AS556" s="682"/>
      <c r="AT556" s="682"/>
      <c r="AU556" s="682"/>
      <c r="AV556" s="682"/>
      <c r="AW556" s="682"/>
      <c r="AX556" s="682"/>
      <c r="AY556" s="682"/>
      <c r="AZ556" s="682"/>
      <c r="BA556" s="682"/>
      <c r="BB556" s="68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</row>
    <row r="557" spans="1:116" s="679" customFormat="1" ht="15.7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13"/>
      <c r="AA557" s="2"/>
      <c r="AB557" s="724"/>
      <c r="AC557" s="784"/>
      <c r="AD557" s="787"/>
      <c r="AE557" s="787"/>
      <c r="AF557" s="550"/>
      <c r="AG557" s="697"/>
      <c r="AH557" s="698"/>
      <c r="AI557" s="697"/>
      <c r="AJ557" s="697"/>
      <c r="AK557" s="550"/>
      <c r="AR557" s="682"/>
      <c r="AS557" s="682"/>
      <c r="AT557" s="682"/>
      <c r="AU557" s="682"/>
      <c r="AV557" s="682"/>
      <c r="AW557" s="682"/>
      <c r="AX557" s="682"/>
      <c r="AY557" s="682"/>
      <c r="AZ557" s="682"/>
      <c r="BA557" s="682"/>
      <c r="BB557" s="68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</row>
    <row r="558" spans="1:116" s="679" customFormat="1" ht="15.7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13"/>
      <c r="AA558" s="2"/>
      <c r="AB558" s="724"/>
      <c r="AC558" s="784"/>
      <c r="AD558" s="787"/>
      <c r="AE558" s="787"/>
      <c r="AF558" s="550"/>
      <c r="AG558" s="697"/>
      <c r="AH558" s="698"/>
      <c r="AI558" s="697"/>
      <c r="AJ558" s="697"/>
      <c r="AK558" s="550"/>
      <c r="AR558" s="682"/>
      <c r="AS558" s="682"/>
      <c r="AT558" s="682"/>
      <c r="AU558" s="682"/>
      <c r="AV558" s="682"/>
      <c r="AW558" s="682"/>
      <c r="AX558" s="682"/>
      <c r="AY558" s="682"/>
      <c r="AZ558" s="682"/>
      <c r="BA558" s="682"/>
      <c r="BB558" s="68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</row>
    <row r="559" spans="1:116" s="679" customFormat="1" ht="15.7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13"/>
      <c r="AA559" s="2"/>
      <c r="AB559" s="724"/>
      <c r="AC559" s="784"/>
      <c r="AD559" s="787"/>
      <c r="AE559" s="787"/>
      <c r="AF559" s="550"/>
      <c r="AG559" s="697"/>
      <c r="AH559" s="698"/>
      <c r="AI559" s="697"/>
      <c r="AJ559" s="697"/>
      <c r="AK559" s="550"/>
      <c r="AR559" s="682"/>
      <c r="AS559" s="682"/>
      <c r="AT559" s="682"/>
      <c r="AU559" s="682"/>
      <c r="AV559" s="682"/>
      <c r="AW559" s="682"/>
      <c r="AX559" s="682"/>
      <c r="AY559" s="682"/>
      <c r="AZ559" s="682"/>
      <c r="BA559" s="682"/>
      <c r="BB559" s="68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</row>
    <row r="560" spans="1:116" s="679" customFormat="1" ht="15.7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13"/>
      <c r="AA560" s="2"/>
      <c r="AB560" s="724"/>
      <c r="AC560" s="784"/>
      <c r="AD560" s="787"/>
      <c r="AE560" s="787"/>
      <c r="AF560" s="550"/>
      <c r="AG560" s="697"/>
      <c r="AH560" s="698"/>
      <c r="AI560" s="697"/>
      <c r="AJ560" s="697"/>
      <c r="AK560" s="550"/>
      <c r="AR560" s="682"/>
      <c r="AS560" s="682"/>
      <c r="AT560" s="682"/>
      <c r="AU560" s="682"/>
      <c r="AV560" s="682"/>
      <c r="AW560" s="682"/>
      <c r="AX560" s="682"/>
      <c r="AY560" s="682"/>
      <c r="AZ560" s="682"/>
      <c r="BA560" s="682"/>
      <c r="BB560" s="68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</row>
    <row r="561" spans="1:116" s="679" customFormat="1" ht="15.7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13"/>
      <c r="AA561" s="2"/>
      <c r="AB561" s="724"/>
      <c r="AC561" s="784"/>
      <c r="AD561" s="787"/>
      <c r="AE561" s="787"/>
      <c r="AF561" s="550"/>
      <c r="AG561" s="697"/>
      <c r="AH561" s="698"/>
      <c r="AI561" s="697"/>
      <c r="AJ561" s="697"/>
      <c r="AK561" s="550"/>
      <c r="AR561" s="682"/>
      <c r="AS561" s="682"/>
      <c r="AT561" s="682"/>
      <c r="AU561" s="682"/>
      <c r="AV561" s="682"/>
      <c r="AW561" s="682"/>
      <c r="AX561" s="682"/>
      <c r="AY561" s="682"/>
      <c r="AZ561" s="682"/>
      <c r="BA561" s="682"/>
      <c r="BB561" s="68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</row>
    <row r="562" spans="1:116" s="679" customFormat="1" ht="15.7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13"/>
      <c r="AA562" s="2"/>
      <c r="AB562" s="724"/>
      <c r="AC562" s="784"/>
      <c r="AD562" s="787"/>
      <c r="AE562" s="787"/>
      <c r="AF562" s="550"/>
      <c r="AG562" s="697"/>
      <c r="AH562" s="698"/>
      <c r="AI562" s="697"/>
      <c r="AJ562" s="697"/>
      <c r="AK562" s="550"/>
      <c r="AR562" s="682"/>
      <c r="AS562" s="682"/>
      <c r="AT562" s="682"/>
      <c r="AU562" s="682"/>
      <c r="AV562" s="682"/>
      <c r="AW562" s="682"/>
      <c r="AX562" s="682"/>
      <c r="AY562" s="682"/>
      <c r="AZ562" s="682"/>
      <c r="BA562" s="682"/>
      <c r="BB562" s="68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</row>
    <row r="563" spans="1:116" s="679" customFormat="1" ht="15.7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13"/>
      <c r="AA563" s="2"/>
      <c r="AB563" s="724"/>
      <c r="AC563" s="784"/>
      <c r="AD563" s="787"/>
      <c r="AE563" s="787"/>
      <c r="AF563" s="550"/>
      <c r="AG563" s="697"/>
      <c r="AH563" s="698"/>
      <c r="AI563" s="697"/>
      <c r="AJ563" s="697"/>
      <c r="AK563" s="550"/>
      <c r="AR563" s="682"/>
      <c r="AS563" s="682"/>
      <c r="AT563" s="682"/>
      <c r="AU563" s="682"/>
      <c r="AV563" s="682"/>
      <c r="AW563" s="682"/>
      <c r="AX563" s="682"/>
      <c r="AY563" s="682"/>
      <c r="AZ563" s="682"/>
      <c r="BA563" s="682"/>
      <c r="BB563" s="68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</row>
    <row r="564" spans="1:116" s="679" customFormat="1" ht="15.7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13"/>
      <c r="AA564" s="2"/>
      <c r="AB564" s="724"/>
      <c r="AC564" s="784"/>
      <c r="AD564" s="787"/>
      <c r="AE564" s="787"/>
      <c r="AF564" s="550"/>
      <c r="AG564" s="697"/>
      <c r="AH564" s="698"/>
      <c r="AI564" s="697"/>
      <c r="AJ564" s="697"/>
      <c r="AK564" s="550"/>
      <c r="AR564" s="682"/>
      <c r="AS564" s="682"/>
      <c r="AT564" s="682"/>
      <c r="AU564" s="682"/>
      <c r="AV564" s="682"/>
      <c r="AW564" s="682"/>
      <c r="AX564" s="682"/>
      <c r="AY564" s="682"/>
      <c r="AZ564" s="682"/>
      <c r="BA564" s="682"/>
      <c r="BB564" s="68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</row>
    <row r="565" spans="1:116" s="679" customFormat="1" ht="15.7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13"/>
      <c r="AA565" s="2"/>
      <c r="AB565" s="724"/>
      <c r="AC565" s="784"/>
      <c r="AD565" s="787"/>
      <c r="AE565" s="787"/>
      <c r="AF565" s="550"/>
      <c r="AG565" s="697"/>
      <c r="AH565" s="698"/>
      <c r="AI565" s="697"/>
      <c r="AJ565" s="697"/>
      <c r="AK565" s="550"/>
      <c r="AR565" s="682"/>
      <c r="AS565" s="682"/>
      <c r="AT565" s="682"/>
      <c r="AU565" s="682"/>
      <c r="AV565" s="682"/>
      <c r="AW565" s="682"/>
      <c r="AX565" s="682"/>
      <c r="AY565" s="682"/>
      <c r="AZ565" s="682"/>
      <c r="BA565" s="682"/>
      <c r="BB565" s="68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</row>
    <row r="566" spans="1:116" s="679" customFormat="1" ht="15.7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13"/>
      <c r="AA566" s="2"/>
      <c r="AB566" s="724"/>
      <c r="AC566" s="784"/>
      <c r="AD566" s="787"/>
      <c r="AE566" s="787"/>
      <c r="AF566" s="550"/>
      <c r="AG566" s="697"/>
      <c r="AH566" s="698"/>
      <c r="AI566" s="697"/>
      <c r="AJ566" s="697"/>
      <c r="AK566" s="550"/>
      <c r="AR566" s="682"/>
      <c r="AS566" s="682"/>
      <c r="AT566" s="682"/>
      <c r="AU566" s="682"/>
      <c r="AV566" s="682"/>
      <c r="AW566" s="682"/>
      <c r="AX566" s="682"/>
      <c r="AY566" s="682"/>
      <c r="AZ566" s="682"/>
      <c r="BA566" s="682"/>
      <c r="BB566" s="68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</row>
    <row r="567" spans="1:116" s="679" customFormat="1" ht="15.7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13"/>
      <c r="AA567" s="2"/>
      <c r="AB567" s="724"/>
      <c r="AC567" s="784"/>
      <c r="AD567" s="787"/>
      <c r="AE567" s="787"/>
      <c r="AF567" s="550"/>
      <c r="AG567" s="697"/>
      <c r="AH567" s="698"/>
      <c r="AI567" s="697"/>
      <c r="AJ567" s="697"/>
      <c r="AK567" s="550"/>
      <c r="AR567" s="682"/>
      <c r="AS567" s="682"/>
      <c r="AT567" s="682"/>
      <c r="AU567" s="682"/>
      <c r="AV567" s="682"/>
      <c r="AW567" s="682"/>
      <c r="AX567" s="682"/>
      <c r="AY567" s="682"/>
      <c r="AZ567" s="682"/>
      <c r="BA567" s="682"/>
      <c r="BB567" s="68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</row>
    <row r="568" spans="1:116" s="679" customFormat="1" ht="15.7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13"/>
      <c r="AA568" s="2"/>
      <c r="AB568" s="724"/>
      <c r="AC568" s="784"/>
      <c r="AD568" s="787"/>
      <c r="AE568" s="787"/>
      <c r="AF568" s="550"/>
      <c r="AG568" s="697"/>
      <c r="AH568" s="698"/>
      <c r="AI568" s="697"/>
      <c r="AJ568" s="697"/>
      <c r="AK568" s="550"/>
      <c r="AR568" s="682"/>
      <c r="AS568" s="682"/>
      <c r="AT568" s="682"/>
      <c r="AU568" s="682"/>
      <c r="AV568" s="682"/>
      <c r="AW568" s="682"/>
      <c r="AX568" s="682"/>
      <c r="AY568" s="682"/>
      <c r="AZ568" s="682"/>
      <c r="BA568" s="682"/>
      <c r="BB568" s="68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</row>
    <row r="569" spans="1:116" s="679" customFormat="1" ht="15.7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13"/>
      <c r="AA569" s="2"/>
      <c r="AB569" s="724"/>
      <c r="AC569" s="784"/>
      <c r="AD569" s="787"/>
      <c r="AE569" s="787"/>
      <c r="AF569" s="550"/>
      <c r="AG569" s="697"/>
      <c r="AH569" s="698"/>
      <c r="AI569" s="697"/>
      <c r="AJ569" s="697"/>
      <c r="AK569" s="550"/>
      <c r="AR569" s="682"/>
      <c r="AS569" s="682"/>
      <c r="AT569" s="682"/>
      <c r="AU569" s="682"/>
      <c r="AV569" s="682"/>
      <c r="AW569" s="682"/>
      <c r="AX569" s="682"/>
      <c r="AY569" s="682"/>
      <c r="AZ569" s="682"/>
      <c r="BA569" s="682"/>
      <c r="BB569" s="68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</row>
    <row r="570" spans="1:116" s="679" customFormat="1" ht="15.7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13"/>
      <c r="AA570" s="2"/>
      <c r="AB570" s="724"/>
      <c r="AC570" s="784"/>
      <c r="AD570" s="787"/>
      <c r="AE570" s="787"/>
      <c r="AF570" s="550"/>
      <c r="AG570" s="697"/>
      <c r="AH570" s="698"/>
      <c r="AI570" s="697"/>
      <c r="AJ570" s="697"/>
      <c r="AK570" s="550"/>
      <c r="AR570" s="682"/>
      <c r="AS570" s="682"/>
      <c r="AT570" s="682"/>
      <c r="AU570" s="682"/>
      <c r="AV570" s="682"/>
      <c r="AW570" s="682"/>
      <c r="AX570" s="682"/>
      <c r="AY570" s="682"/>
      <c r="AZ570" s="682"/>
      <c r="BA570" s="682"/>
      <c r="BB570" s="68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</row>
    <row r="571" spans="1:116" s="679" customFormat="1" ht="15.7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13"/>
      <c r="AA571" s="2"/>
      <c r="AB571" s="724"/>
      <c r="AC571" s="784"/>
      <c r="AD571" s="787"/>
      <c r="AE571" s="787"/>
      <c r="AF571" s="550"/>
      <c r="AG571" s="697"/>
      <c r="AH571" s="698"/>
      <c r="AI571" s="697"/>
      <c r="AJ571" s="697"/>
      <c r="AK571" s="550"/>
      <c r="AR571" s="682"/>
      <c r="AS571" s="682"/>
      <c r="AT571" s="682"/>
      <c r="AU571" s="682"/>
      <c r="AV571" s="682"/>
      <c r="AW571" s="682"/>
      <c r="AX571" s="682"/>
      <c r="AY571" s="682"/>
      <c r="AZ571" s="682"/>
      <c r="BA571" s="682"/>
      <c r="BB571" s="68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</row>
    <row r="572" spans="1:116" s="679" customFormat="1" ht="15.7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13"/>
      <c r="AA572" s="2"/>
      <c r="AB572" s="724"/>
      <c r="AC572" s="784"/>
      <c r="AD572" s="787"/>
      <c r="AE572" s="787"/>
      <c r="AF572" s="550"/>
      <c r="AG572" s="697"/>
      <c r="AH572" s="698"/>
      <c r="AI572" s="697"/>
      <c r="AJ572" s="697"/>
      <c r="AK572" s="550"/>
      <c r="AR572" s="682"/>
      <c r="AS572" s="682"/>
      <c r="AT572" s="682"/>
      <c r="AU572" s="682"/>
      <c r="AV572" s="682"/>
      <c r="AW572" s="682"/>
      <c r="AX572" s="682"/>
      <c r="AY572" s="682"/>
      <c r="AZ572" s="682"/>
      <c r="BA572" s="682"/>
      <c r="BB572" s="68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</row>
    <row r="573" spans="1:116" s="679" customFormat="1" ht="15.7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13"/>
      <c r="AA573" s="2"/>
      <c r="AB573" s="724"/>
      <c r="AC573" s="784"/>
      <c r="AD573" s="787"/>
      <c r="AE573" s="787"/>
      <c r="AF573" s="550"/>
      <c r="AG573" s="697"/>
      <c r="AH573" s="698"/>
      <c r="AI573" s="697"/>
      <c r="AJ573" s="697"/>
      <c r="AK573" s="550"/>
      <c r="AR573" s="682"/>
      <c r="AS573" s="682"/>
      <c r="AT573" s="682"/>
      <c r="AU573" s="682"/>
      <c r="AV573" s="682"/>
      <c r="AW573" s="682"/>
      <c r="AX573" s="682"/>
      <c r="AY573" s="682"/>
      <c r="AZ573" s="682"/>
      <c r="BA573" s="682"/>
      <c r="BB573" s="68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</row>
    <row r="574" spans="1:116" s="679" customFormat="1" ht="15.7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13"/>
      <c r="AA574" s="2"/>
      <c r="AB574" s="724"/>
      <c r="AC574" s="784"/>
      <c r="AD574" s="787"/>
      <c r="AE574" s="787"/>
      <c r="AF574" s="550"/>
      <c r="AG574" s="697"/>
      <c r="AH574" s="698"/>
      <c r="AI574" s="697"/>
      <c r="AJ574" s="697"/>
      <c r="AK574" s="550"/>
      <c r="AR574" s="682"/>
      <c r="AS574" s="682"/>
      <c r="AT574" s="682"/>
      <c r="AU574" s="682"/>
      <c r="AV574" s="682"/>
      <c r="AW574" s="682"/>
      <c r="AX574" s="682"/>
      <c r="AY574" s="682"/>
      <c r="AZ574" s="682"/>
      <c r="BA574" s="682"/>
      <c r="BB574" s="68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</row>
    <row r="575" spans="1:116" s="679" customFormat="1" ht="15.7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13"/>
      <c r="AA575" s="2"/>
      <c r="AB575" s="724"/>
      <c r="AC575" s="784"/>
      <c r="AD575" s="787"/>
      <c r="AE575" s="787"/>
      <c r="AF575" s="550"/>
      <c r="AG575" s="697"/>
      <c r="AH575" s="698"/>
      <c r="AI575" s="697"/>
      <c r="AJ575" s="697"/>
      <c r="AK575" s="550"/>
      <c r="AR575" s="682"/>
      <c r="AS575" s="682"/>
      <c r="AT575" s="682"/>
      <c r="AU575" s="682"/>
      <c r="AV575" s="682"/>
      <c r="AW575" s="682"/>
      <c r="AX575" s="682"/>
      <c r="AY575" s="682"/>
      <c r="AZ575" s="682"/>
      <c r="BA575" s="682"/>
      <c r="BB575" s="68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</row>
    <row r="576" spans="1:116" s="679" customFormat="1" ht="15.7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13"/>
      <c r="AA576" s="2"/>
      <c r="AB576" s="724"/>
      <c r="AC576" s="784"/>
      <c r="AD576" s="787"/>
      <c r="AE576" s="787"/>
      <c r="AF576" s="550"/>
      <c r="AG576" s="697"/>
      <c r="AH576" s="698"/>
      <c r="AI576" s="697"/>
      <c r="AJ576" s="697"/>
      <c r="AK576" s="550"/>
      <c r="AR576" s="682"/>
      <c r="AS576" s="682"/>
      <c r="AT576" s="682"/>
      <c r="AU576" s="682"/>
      <c r="AV576" s="682"/>
      <c r="AW576" s="682"/>
      <c r="AX576" s="682"/>
      <c r="AY576" s="682"/>
      <c r="AZ576" s="682"/>
      <c r="BA576" s="682"/>
      <c r="BB576" s="68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</row>
    <row r="577" spans="1:116" s="679" customFormat="1" ht="15.7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13"/>
      <c r="AA577" s="2"/>
      <c r="AB577" s="724"/>
      <c r="AC577" s="784"/>
      <c r="AD577" s="787"/>
      <c r="AE577" s="787"/>
      <c r="AF577" s="550"/>
      <c r="AG577" s="697"/>
      <c r="AH577" s="698"/>
      <c r="AI577" s="697"/>
      <c r="AJ577" s="697"/>
      <c r="AK577" s="550"/>
      <c r="AR577" s="682"/>
      <c r="AS577" s="682"/>
      <c r="AT577" s="682"/>
      <c r="AU577" s="682"/>
      <c r="AV577" s="682"/>
      <c r="AW577" s="682"/>
      <c r="AX577" s="682"/>
      <c r="AY577" s="682"/>
      <c r="AZ577" s="682"/>
      <c r="BA577" s="682"/>
      <c r="BB577" s="68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</row>
    <row r="578" spans="1:116" s="679" customFormat="1" ht="15.7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13"/>
      <c r="AA578" s="2"/>
      <c r="AB578" s="724"/>
      <c r="AC578" s="784"/>
      <c r="AD578" s="787"/>
      <c r="AE578" s="787"/>
      <c r="AF578" s="550"/>
      <c r="AG578" s="697"/>
      <c r="AH578" s="698"/>
      <c r="AI578" s="697"/>
      <c r="AJ578" s="697"/>
      <c r="AK578" s="550"/>
      <c r="AR578" s="682"/>
      <c r="AS578" s="682"/>
      <c r="AT578" s="682"/>
      <c r="AU578" s="682"/>
      <c r="AV578" s="682"/>
      <c r="AW578" s="682"/>
      <c r="AX578" s="682"/>
      <c r="AY578" s="682"/>
      <c r="AZ578" s="682"/>
      <c r="BA578" s="682"/>
      <c r="BB578" s="68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</row>
    <row r="579" spans="1:116" s="679" customFormat="1" ht="15.7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13"/>
      <c r="AA579" s="2"/>
      <c r="AB579" s="724"/>
      <c r="AC579" s="784"/>
      <c r="AD579" s="787"/>
      <c r="AE579" s="787"/>
      <c r="AF579" s="550"/>
      <c r="AG579" s="697"/>
      <c r="AH579" s="698"/>
      <c r="AI579" s="697"/>
      <c r="AJ579" s="697"/>
      <c r="AK579" s="550"/>
      <c r="AR579" s="682"/>
      <c r="AS579" s="682"/>
      <c r="AT579" s="682"/>
      <c r="AU579" s="682"/>
      <c r="AV579" s="682"/>
      <c r="AW579" s="682"/>
      <c r="AX579" s="682"/>
      <c r="AY579" s="682"/>
      <c r="AZ579" s="682"/>
      <c r="BA579" s="682"/>
      <c r="BB579" s="68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</row>
    <row r="580" spans="1:116" s="679" customFormat="1" ht="15.7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13"/>
      <c r="AA580" s="2"/>
      <c r="AB580" s="724"/>
      <c r="AC580" s="784"/>
      <c r="AD580" s="787"/>
      <c r="AE580" s="787"/>
      <c r="AF580" s="550"/>
      <c r="AG580" s="697"/>
      <c r="AH580" s="698"/>
      <c r="AI580" s="697"/>
      <c r="AJ580" s="697"/>
      <c r="AK580" s="550"/>
      <c r="AR580" s="682"/>
      <c r="AS580" s="682"/>
      <c r="AT580" s="682"/>
      <c r="AU580" s="682"/>
      <c r="AV580" s="682"/>
      <c r="AW580" s="682"/>
      <c r="AX580" s="682"/>
      <c r="AY580" s="682"/>
      <c r="AZ580" s="682"/>
      <c r="BA580" s="682"/>
      <c r="BB580" s="68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</row>
    <row r="581" spans="1:116" s="679" customFormat="1" ht="15.7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13"/>
      <c r="AA581" s="2"/>
      <c r="AB581" s="724"/>
      <c r="AC581" s="784"/>
      <c r="AD581" s="787"/>
      <c r="AE581" s="787"/>
      <c r="AF581" s="550"/>
      <c r="AG581" s="697"/>
      <c r="AH581" s="698"/>
      <c r="AI581" s="697"/>
      <c r="AJ581" s="697"/>
      <c r="AK581" s="550"/>
      <c r="AR581" s="682"/>
      <c r="AS581" s="682"/>
      <c r="AT581" s="682"/>
      <c r="AU581" s="682"/>
      <c r="AV581" s="682"/>
      <c r="AW581" s="682"/>
      <c r="AX581" s="682"/>
      <c r="AY581" s="682"/>
      <c r="AZ581" s="682"/>
      <c r="BA581" s="682"/>
      <c r="BB581" s="68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</row>
    <row r="582" spans="1:116" s="679" customFormat="1" ht="15.7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13"/>
      <c r="AA582" s="2"/>
      <c r="AB582" s="724"/>
      <c r="AC582" s="784"/>
      <c r="AD582" s="787"/>
      <c r="AE582" s="787"/>
      <c r="AF582" s="550"/>
      <c r="AG582" s="697"/>
      <c r="AH582" s="698"/>
      <c r="AI582" s="697"/>
      <c r="AJ582" s="697"/>
      <c r="AK582" s="550"/>
      <c r="AR582" s="682"/>
      <c r="AS582" s="682"/>
      <c r="AT582" s="682"/>
      <c r="AU582" s="682"/>
      <c r="AV582" s="682"/>
      <c r="AW582" s="682"/>
      <c r="AX582" s="682"/>
      <c r="AY582" s="682"/>
      <c r="AZ582" s="682"/>
      <c r="BA582" s="682"/>
      <c r="BB582" s="68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</row>
    <row r="583" spans="1:116" s="679" customFormat="1" ht="15.7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13"/>
      <c r="AA583" s="2"/>
      <c r="AB583" s="724"/>
      <c r="AC583" s="784"/>
      <c r="AD583" s="787"/>
      <c r="AE583" s="787"/>
      <c r="AF583" s="550"/>
      <c r="AG583" s="697"/>
      <c r="AH583" s="698"/>
      <c r="AI583" s="697"/>
      <c r="AJ583" s="697"/>
      <c r="AK583" s="550"/>
      <c r="AR583" s="682"/>
      <c r="AS583" s="682"/>
      <c r="AT583" s="682"/>
      <c r="AU583" s="682"/>
      <c r="AV583" s="682"/>
      <c r="AW583" s="682"/>
      <c r="AX583" s="682"/>
      <c r="AY583" s="682"/>
      <c r="AZ583" s="682"/>
      <c r="BA583" s="682"/>
      <c r="BB583" s="68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</row>
    <row r="584" spans="1:116" s="679" customFormat="1" ht="15.7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13"/>
      <c r="AA584" s="2"/>
      <c r="AB584" s="724"/>
      <c r="AC584" s="784"/>
      <c r="AD584" s="787"/>
      <c r="AE584" s="787"/>
      <c r="AF584" s="550"/>
      <c r="AG584" s="697"/>
      <c r="AH584" s="698"/>
      <c r="AI584" s="697"/>
      <c r="AJ584" s="697"/>
      <c r="AK584" s="550"/>
      <c r="AR584" s="682"/>
      <c r="AS584" s="682"/>
      <c r="AT584" s="682"/>
      <c r="AU584" s="682"/>
      <c r="AV584" s="682"/>
      <c r="AW584" s="682"/>
      <c r="AX584" s="682"/>
      <c r="AY584" s="682"/>
      <c r="AZ584" s="682"/>
      <c r="BA584" s="682"/>
      <c r="BB584" s="68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</row>
    <row r="585" spans="1:116" s="679" customFormat="1" ht="15.7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13"/>
      <c r="AA585" s="2"/>
      <c r="AB585" s="724"/>
      <c r="AC585" s="784"/>
      <c r="AD585" s="787"/>
      <c r="AE585" s="787"/>
      <c r="AF585" s="550"/>
      <c r="AG585" s="697"/>
      <c r="AH585" s="698"/>
      <c r="AI585" s="697"/>
      <c r="AJ585" s="697"/>
      <c r="AK585" s="550"/>
      <c r="AR585" s="682"/>
      <c r="AS585" s="682"/>
      <c r="AT585" s="682"/>
      <c r="AU585" s="682"/>
      <c r="AV585" s="682"/>
      <c r="AW585" s="682"/>
      <c r="AX585" s="682"/>
      <c r="AY585" s="682"/>
      <c r="AZ585" s="682"/>
      <c r="BA585" s="682"/>
      <c r="BB585" s="68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</row>
    <row r="586" spans="1:116" s="679" customFormat="1" ht="15.7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13"/>
      <c r="AA586" s="2"/>
      <c r="AB586" s="724"/>
      <c r="AC586" s="784"/>
      <c r="AD586" s="787"/>
      <c r="AE586" s="787"/>
      <c r="AF586" s="550"/>
      <c r="AG586" s="697"/>
      <c r="AH586" s="698"/>
      <c r="AI586" s="697"/>
      <c r="AJ586" s="697"/>
      <c r="AK586" s="550"/>
      <c r="AR586" s="682"/>
      <c r="AS586" s="682"/>
      <c r="AT586" s="682"/>
      <c r="AU586" s="682"/>
      <c r="AV586" s="682"/>
      <c r="AW586" s="682"/>
      <c r="AX586" s="682"/>
      <c r="AY586" s="682"/>
      <c r="AZ586" s="682"/>
      <c r="BA586" s="682"/>
      <c r="BB586" s="68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</row>
    <row r="587" spans="1:116" s="679" customFormat="1" ht="15.7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13"/>
      <c r="AA587" s="2"/>
      <c r="AB587" s="724"/>
      <c r="AC587" s="784"/>
      <c r="AD587" s="787"/>
      <c r="AE587" s="787"/>
      <c r="AF587" s="550"/>
      <c r="AG587" s="697"/>
      <c r="AH587" s="698"/>
      <c r="AI587" s="697"/>
      <c r="AJ587" s="697"/>
      <c r="AK587" s="550"/>
      <c r="AR587" s="682"/>
      <c r="AS587" s="682"/>
      <c r="AT587" s="682"/>
      <c r="AU587" s="682"/>
      <c r="AV587" s="682"/>
      <c r="AW587" s="682"/>
      <c r="AX587" s="682"/>
      <c r="AY587" s="682"/>
      <c r="AZ587" s="682"/>
      <c r="BA587" s="682"/>
      <c r="BB587" s="68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</row>
    <row r="588" spans="1:116" s="679" customFormat="1" ht="15.7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13"/>
      <c r="AA588" s="2"/>
      <c r="AB588" s="724"/>
      <c r="AC588" s="784"/>
      <c r="AD588" s="787"/>
      <c r="AE588" s="787"/>
      <c r="AF588" s="550"/>
      <c r="AG588" s="697"/>
      <c r="AH588" s="698"/>
      <c r="AI588" s="697"/>
      <c r="AJ588" s="697"/>
      <c r="AK588" s="550"/>
      <c r="AR588" s="682"/>
      <c r="AS588" s="682"/>
      <c r="AT588" s="682"/>
      <c r="AU588" s="682"/>
      <c r="AV588" s="682"/>
      <c r="AW588" s="682"/>
      <c r="AX588" s="682"/>
      <c r="AY588" s="682"/>
      <c r="AZ588" s="682"/>
      <c r="BA588" s="682"/>
      <c r="BB588" s="68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</row>
    <row r="589" spans="1:116" s="679" customFormat="1" ht="15.7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13"/>
      <c r="AA589" s="2"/>
      <c r="AB589" s="724"/>
      <c r="AC589" s="784"/>
      <c r="AD589" s="787"/>
      <c r="AE589" s="787"/>
      <c r="AF589" s="550"/>
      <c r="AG589" s="697"/>
      <c r="AH589" s="698"/>
      <c r="AI589" s="697"/>
      <c r="AJ589" s="697"/>
      <c r="AK589" s="550"/>
      <c r="AR589" s="682"/>
      <c r="AS589" s="682"/>
      <c r="AT589" s="682"/>
      <c r="AU589" s="682"/>
      <c r="AV589" s="682"/>
      <c r="AW589" s="682"/>
      <c r="AX589" s="682"/>
      <c r="AY589" s="682"/>
      <c r="AZ589" s="682"/>
      <c r="BA589" s="682"/>
      <c r="BB589" s="68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</row>
    <row r="590" spans="1:116" s="679" customFormat="1" ht="15.7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13"/>
      <c r="AA590" s="2"/>
      <c r="AB590" s="724"/>
      <c r="AC590" s="784"/>
      <c r="AD590" s="787"/>
      <c r="AE590" s="787"/>
      <c r="AF590" s="550"/>
      <c r="AG590" s="697"/>
      <c r="AH590" s="698"/>
      <c r="AI590" s="697"/>
      <c r="AJ590" s="697"/>
      <c r="AK590" s="550"/>
      <c r="AR590" s="682"/>
      <c r="AS590" s="682"/>
      <c r="AT590" s="682"/>
      <c r="AU590" s="682"/>
      <c r="AV590" s="682"/>
      <c r="AW590" s="682"/>
      <c r="AX590" s="682"/>
      <c r="AY590" s="682"/>
      <c r="AZ590" s="682"/>
      <c r="BA590" s="682"/>
      <c r="BB590" s="68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</row>
    <row r="591" spans="1:116" s="679" customFormat="1" ht="15.7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13"/>
      <c r="AA591" s="2"/>
      <c r="AB591" s="724"/>
      <c r="AC591" s="784"/>
      <c r="AD591" s="787"/>
      <c r="AE591" s="787"/>
      <c r="AF591" s="550"/>
      <c r="AG591" s="697"/>
      <c r="AH591" s="698"/>
      <c r="AI591" s="697"/>
      <c r="AJ591" s="697"/>
      <c r="AK591" s="550"/>
      <c r="AR591" s="682"/>
      <c r="AS591" s="682"/>
      <c r="AT591" s="682"/>
      <c r="AU591" s="682"/>
      <c r="AV591" s="682"/>
      <c r="AW591" s="682"/>
      <c r="AX591" s="682"/>
      <c r="AY591" s="682"/>
      <c r="AZ591" s="682"/>
      <c r="BA591" s="682"/>
      <c r="BB591" s="68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</row>
    <row r="592" spans="1:116" s="679" customFormat="1" ht="15.7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13"/>
      <c r="AA592" s="2"/>
      <c r="AB592" s="724"/>
      <c r="AC592" s="784"/>
      <c r="AD592" s="787"/>
      <c r="AE592" s="787"/>
      <c r="AF592" s="550"/>
      <c r="AG592" s="697"/>
      <c r="AH592" s="698"/>
      <c r="AI592" s="697"/>
      <c r="AJ592" s="697"/>
      <c r="AK592" s="550"/>
      <c r="AR592" s="682"/>
      <c r="AS592" s="682"/>
      <c r="AT592" s="682"/>
      <c r="AU592" s="682"/>
      <c r="AV592" s="682"/>
      <c r="AW592" s="682"/>
      <c r="AX592" s="682"/>
      <c r="AY592" s="682"/>
      <c r="AZ592" s="682"/>
      <c r="BA592" s="682"/>
      <c r="BB592" s="68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</row>
    <row r="593" spans="1:116" s="679" customFormat="1" ht="15.7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13"/>
      <c r="AA593" s="2"/>
      <c r="AB593" s="724"/>
      <c r="AC593" s="784"/>
      <c r="AD593" s="787"/>
      <c r="AE593" s="787"/>
      <c r="AF593" s="550"/>
      <c r="AG593" s="697"/>
      <c r="AH593" s="698"/>
      <c r="AI593" s="697"/>
      <c r="AJ593" s="697"/>
      <c r="AK593" s="550"/>
      <c r="AR593" s="682"/>
      <c r="AS593" s="682"/>
      <c r="AT593" s="682"/>
      <c r="AU593" s="682"/>
      <c r="AV593" s="682"/>
      <c r="AW593" s="682"/>
      <c r="AX593" s="682"/>
      <c r="AY593" s="682"/>
      <c r="AZ593" s="682"/>
      <c r="BA593" s="682"/>
      <c r="BB593" s="68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</row>
    <row r="594" spans="1:116" s="679" customFormat="1" ht="15.7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13"/>
      <c r="AA594" s="2"/>
      <c r="AB594" s="724"/>
      <c r="AC594" s="784"/>
      <c r="AD594" s="787"/>
      <c r="AE594" s="787"/>
      <c r="AF594" s="550"/>
      <c r="AG594" s="697"/>
      <c r="AH594" s="698"/>
      <c r="AI594" s="697"/>
      <c r="AJ594" s="697"/>
      <c r="AK594" s="550"/>
      <c r="AR594" s="682"/>
      <c r="AS594" s="682"/>
      <c r="AT594" s="682"/>
      <c r="AU594" s="682"/>
      <c r="AV594" s="682"/>
      <c r="AW594" s="682"/>
      <c r="AX594" s="682"/>
      <c r="AY594" s="682"/>
      <c r="AZ594" s="682"/>
      <c r="BA594" s="682"/>
      <c r="BB594" s="68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</row>
    <row r="595" spans="1:116" s="679" customFormat="1" ht="15.7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13"/>
      <c r="AA595" s="2"/>
      <c r="AB595" s="724"/>
      <c r="AC595" s="784"/>
      <c r="AD595" s="787"/>
      <c r="AE595" s="787"/>
      <c r="AF595" s="550"/>
      <c r="AG595" s="697"/>
      <c r="AH595" s="698"/>
      <c r="AI595" s="697"/>
      <c r="AJ595" s="697"/>
      <c r="AK595" s="550"/>
      <c r="AR595" s="682"/>
      <c r="AS595" s="682"/>
      <c r="AT595" s="682"/>
      <c r="AU595" s="682"/>
      <c r="AV595" s="682"/>
      <c r="AW595" s="682"/>
      <c r="AX595" s="682"/>
      <c r="AY595" s="682"/>
      <c r="AZ595" s="682"/>
      <c r="BA595" s="682"/>
      <c r="BB595" s="68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</row>
    <row r="596" spans="1:116" s="679" customFormat="1" ht="15.7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13"/>
      <c r="AA596" s="2"/>
      <c r="AB596" s="724"/>
      <c r="AC596" s="784"/>
      <c r="AD596" s="787"/>
      <c r="AE596" s="787"/>
      <c r="AF596" s="550"/>
      <c r="AG596" s="697"/>
      <c r="AH596" s="698"/>
      <c r="AI596" s="697"/>
      <c r="AJ596" s="697"/>
      <c r="AK596" s="550"/>
      <c r="AR596" s="682"/>
      <c r="AS596" s="682"/>
      <c r="AT596" s="682"/>
      <c r="AU596" s="682"/>
      <c r="AV596" s="682"/>
      <c r="AW596" s="682"/>
      <c r="AX596" s="682"/>
      <c r="AY596" s="682"/>
      <c r="AZ596" s="682"/>
      <c r="BA596" s="682"/>
      <c r="BB596" s="68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</row>
    <row r="597" spans="1:116" s="679" customFormat="1" ht="15.7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13"/>
      <c r="AA597" s="2"/>
      <c r="AB597" s="724"/>
      <c r="AC597" s="784"/>
      <c r="AD597" s="787"/>
      <c r="AE597" s="787"/>
      <c r="AF597" s="550"/>
      <c r="AG597" s="697"/>
      <c r="AH597" s="698"/>
      <c r="AI597" s="697"/>
      <c r="AJ597" s="697"/>
      <c r="AK597" s="550"/>
      <c r="AR597" s="682"/>
      <c r="AS597" s="682"/>
      <c r="AT597" s="682"/>
      <c r="AU597" s="682"/>
      <c r="AV597" s="682"/>
      <c r="AW597" s="682"/>
      <c r="AX597" s="682"/>
      <c r="AY597" s="682"/>
      <c r="AZ597" s="682"/>
      <c r="BA597" s="682"/>
      <c r="BB597" s="68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</row>
    <row r="598" spans="1:116" s="679" customFormat="1" ht="15.7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13"/>
      <c r="AA598" s="2"/>
      <c r="AB598" s="724"/>
      <c r="AC598" s="784"/>
      <c r="AD598" s="787"/>
      <c r="AE598" s="787"/>
      <c r="AF598" s="550"/>
      <c r="AG598" s="697"/>
      <c r="AH598" s="698"/>
      <c r="AI598" s="697"/>
      <c r="AJ598" s="697"/>
      <c r="AK598" s="550"/>
      <c r="AR598" s="682"/>
      <c r="AS598" s="682"/>
      <c r="AT598" s="682"/>
      <c r="AU598" s="682"/>
      <c r="AV598" s="682"/>
      <c r="AW598" s="682"/>
      <c r="AX598" s="682"/>
      <c r="AY598" s="682"/>
      <c r="AZ598" s="682"/>
      <c r="BA598" s="682"/>
      <c r="BB598" s="68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</row>
    <row r="599" spans="1:116" s="679" customFormat="1" ht="15.7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13"/>
      <c r="AA599" s="2"/>
      <c r="AB599" s="724"/>
      <c r="AC599" s="784"/>
      <c r="AD599" s="787"/>
      <c r="AE599" s="787"/>
      <c r="AF599" s="550"/>
      <c r="AG599" s="697"/>
      <c r="AH599" s="698"/>
      <c r="AI599" s="697"/>
      <c r="AJ599" s="697"/>
      <c r="AK599" s="550"/>
      <c r="AR599" s="682"/>
      <c r="AS599" s="682"/>
      <c r="AT599" s="682"/>
      <c r="AU599" s="682"/>
      <c r="AV599" s="682"/>
      <c r="AW599" s="682"/>
      <c r="AX599" s="682"/>
      <c r="AY599" s="682"/>
      <c r="AZ599" s="682"/>
      <c r="BA599" s="682"/>
      <c r="BB599" s="68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</row>
    <row r="600" spans="1:116" s="679" customFormat="1" ht="15.7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13"/>
      <c r="AA600" s="2"/>
      <c r="AB600" s="724"/>
      <c r="AC600" s="784"/>
      <c r="AD600" s="787"/>
      <c r="AE600" s="787"/>
      <c r="AF600" s="550"/>
      <c r="AG600" s="697"/>
      <c r="AH600" s="698"/>
      <c r="AI600" s="697"/>
      <c r="AJ600" s="697"/>
      <c r="AK600" s="550"/>
      <c r="AR600" s="682"/>
      <c r="AS600" s="682"/>
      <c r="AT600" s="682"/>
      <c r="AU600" s="682"/>
      <c r="AV600" s="682"/>
      <c r="AW600" s="682"/>
      <c r="AX600" s="682"/>
      <c r="AY600" s="682"/>
      <c r="AZ600" s="682"/>
      <c r="BA600" s="682"/>
      <c r="BB600" s="68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</row>
    <row r="601" spans="1:116" s="679" customFormat="1" ht="15.7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13"/>
      <c r="AA601" s="2"/>
      <c r="AB601" s="724"/>
      <c r="AC601" s="784"/>
      <c r="AD601" s="787"/>
      <c r="AE601" s="787"/>
      <c r="AF601" s="550"/>
      <c r="AG601" s="697"/>
      <c r="AH601" s="698"/>
      <c r="AI601" s="697"/>
      <c r="AJ601" s="697"/>
      <c r="AK601" s="550"/>
      <c r="AR601" s="682"/>
      <c r="AS601" s="682"/>
      <c r="AT601" s="682"/>
      <c r="AU601" s="682"/>
      <c r="AV601" s="682"/>
      <c r="AW601" s="682"/>
      <c r="AX601" s="682"/>
      <c r="AY601" s="682"/>
      <c r="AZ601" s="682"/>
      <c r="BA601" s="682"/>
      <c r="BB601" s="68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</row>
    <row r="602" spans="1:116" s="679" customFormat="1" ht="15.7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13"/>
      <c r="AA602" s="2"/>
      <c r="AB602" s="724"/>
      <c r="AC602" s="784"/>
      <c r="AD602" s="787"/>
      <c r="AE602" s="787"/>
      <c r="AF602" s="550"/>
      <c r="AG602" s="697"/>
      <c r="AH602" s="698"/>
      <c r="AI602" s="697"/>
      <c r="AJ602" s="697"/>
      <c r="AK602" s="550"/>
      <c r="AR602" s="682"/>
      <c r="AS602" s="682"/>
      <c r="AT602" s="682"/>
      <c r="AU602" s="682"/>
      <c r="AV602" s="682"/>
      <c r="AW602" s="682"/>
      <c r="AX602" s="682"/>
      <c r="AY602" s="682"/>
      <c r="AZ602" s="682"/>
      <c r="BA602" s="682"/>
      <c r="BB602" s="68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</row>
    <row r="603" spans="1:116" s="679" customFormat="1" ht="15.7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13"/>
      <c r="AA603" s="2"/>
      <c r="AB603" s="724"/>
      <c r="AC603" s="784"/>
      <c r="AD603" s="787"/>
      <c r="AE603" s="787"/>
      <c r="AF603" s="550"/>
      <c r="AG603" s="697"/>
      <c r="AH603" s="698"/>
      <c r="AI603" s="697"/>
      <c r="AJ603" s="697"/>
      <c r="AK603" s="550"/>
      <c r="AR603" s="682"/>
      <c r="AS603" s="682"/>
      <c r="AT603" s="682"/>
      <c r="AU603" s="682"/>
      <c r="AV603" s="682"/>
      <c r="AW603" s="682"/>
      <c r="AX603" s="682"/>
      <c r="AY603" s="682"/>
      <c r="AZ603" s="682"/>
      <c r="BA603" s="682"/>
      <c r="BB603" s="68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</row>
    <row r="604" spans="1:116" s="679" customFormat="1" ht="15.7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13"/>
      <c r="AA604" s="2"/>
      <c r="AB604" s="724"/>
      <c r="AC604" s="784"/>
      <c r="AD604" s="787"/>
      <c r="AE604" s="787"/>
      <c r="AF604" s="550"/>
      <c r="AG604" s="697"/>
      <c r="AH604" s="698"/>
      <c r="AI604" s="697"/>
      <c r="AJ604" s="697"/>
      <c r="AK604" s="550"/>
      <c r="AR604" s="682"/>
      <c r="AS604" s="682"/>
      <c r="AT604" s="682"/>
      <c r="AU604" s="682"/>
      <c r="AV604" s="682"/>
      <c r="AW604" s="682"/>
      <c r="AX604" s="682"/>
      <c r="AY604" s="682"/>
      <c r="AZ604" s="682"/>
      <c r="BA604" s="682"/>
      <c r="BB604" s="68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</row>
    <row r="605" spans="1:116" s="679" customFormat="1" ht="15.7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13"/>
      <c r="AA605" s="2"/>
      <c r="AB605" s="724"/>
      <c r="AC605" s="784"/>
      <c r="AD605" s="787"/>
      <c r="AE605" s="787"/>
      <c r="AF605" s="550"/>
      <c r="AG605" s="697"/>
      <c r="AH605" s="698"/>
      <c r="AI605" s="697"/>
      <c r="AJ605" s="697"/>
      <c r="AK605" s="550"/>
      <c r="AR605" s="682"/>
      <c r="AS605" s="682"/>
      <c r="AT605" s="682"/>
      <c r="AU605" s="682"/>
      <c r="AV605" s="682"/>
      <c r="AW605" s="682"/>
      <c r="AX605" s="682"/>
      <c r="AY605" s="682"/>
      <c r="AZ605" s="682"/>
      <c r="BA605" s="682"/>
      <c r="BB605" s="68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</row>
    <row r="606" spans="1:116" s="679" customFormat="1" ht="15.7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13"/>
      <c r="AA606" s="2"/>
      <c r="AB606" s="724"/>
      <c r="AC606" s="784"/>
      <c r="AD606" s="787"/>
      <c r="AE606" s="787"/>
      <c r="AF606" s="550"/>
      <c r="AG606" s="697"/>
      <c r="AH606" s="698"/>
      <c r="AI606" s="697"/>
      <c r="AJ606" s="697"/>
      <c r="AK606" s="550"/>
      <c r="AR606" s="682"/>
      <c r="AS606" s="682"/>
      <c r="AT606" s="682"/>
      <c r="AU606" s="682"/>
      <c r="AV606" s="682"/>
      <c r="AW606" s="682"/>
      <c r="AX606" s="682"/>
      <c r="AY606" s="682"/>
      <c r="AZ606" s="682"/>
      <c r="BA606" s="682"/>
      <c r="BB606" s="68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</row>
    <row r="607" spans="1:116" s="679" customFormat="1" ht="15.7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13"/>
      <c r="AA607" s="2"/>
      <c r="AB607" s="724"/>
      <c r="AC607" s="784"/>
      <c r="AD607" s="787"/>
      <c r="AE607" s="787"/>
      <c r="AF607" s="550"/>
      <c r="AG607" s="697"/>
      <c r="AH607" s="698"/>
      <c r="AI607" s="697"/>
      <c r="AJ607" s="697"/>
      <c r="AK607" s="550"/>
      <c r="AR607" s="682"/>
      <c r="AS607" s="682"/>
      <c r="AT607" s="682"/>
      <c r="AU607" s="682"/>
      <c r="AV607" s="682"/>
      <c r="AW607" s="682"/>
      <c r="AX607" s="682"/>
      <c r="AY607" s="682"/>
      <c r="AZ607" s="682"/>
      <c r="BA607" s="682"/>
      <c r="BB607" s="68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</row>
    <row r="608" spans="1:116" s="679" customFormat="1" ht="15.7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13"/>
      <c r="AA608" s="2"/>
      <c r="AB608" s="724"/>
      <c r="AC608" s="784"/>
      <c r="AD608" s="787"/>
      <c r="AE608" s="787"/>
      <c r="AF608" s="550"/>
      <c r="AG608" s="697"/>
      <c r="AH608" s="698"/>
      <c r="AI608" s="697"/>
      <c r="AJ608" s="697"/>
      <c r="AK608" s="550"/>
      <c r="AR608" s="682"/>
      <c r="AS608" s="682"/>
      <c r="AT608" s="682"/>
      <c r="AU608" s="682"/>
      <c r="AV608" s="682"/>
      <c r="AW608" s="682"/>
      <c r="AX608" s="682"/>
      <c r="AY608" s="682"/>
      <c r="AZ608" s="682"/>
      <c r="BA608" s="682"/>
      <c r="BB608" s="68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</row>
    <row r="609" spans="1:116" s="679" customFormat="1" ht="15.7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13"/>
      <c r="AA609" s="2"/>
      <c r="AB609" s="724"/>
      <c r="AC609" s="784"/>
      <c r="AD609" s="787"/>
      <c r="AE609" s="787"/>
      <c r="AF609" s="550"/>
      <c r="AG609" s="697"/>
      <c r="AH609" s="698"/>
      <c r="AI609" s="697"/>
      <c r="AJ609" s="697"/>
      <c r="AK609" s="550"/>
      <c r="AR609" s="682"/>
      <c r="AS609" s="682"/>
      <c r="AT609" s="682"/>
      <c r="AU609" s="682"/>
      <c r="AV609" s="682"/>
      <c r="AW609" s="682"/>
      <c r="AX609" s="682"/>
      <c r="AY609" s="682"/>
      <c r="AZ609" s="682"/>
      <c r="BA609" s="682"/>
      <c r="BB609" s="68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</row>
    <row r="610" spans="1:116" s="679" customFormat="1" ht="15.7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13"/>
      <c r="AA610" s="2"/>
      <c r="AB610" s="724"/>
      <c r="AC610" s="784"/>
      <c r="AD610" s="787"/>
      <c r="AE610" s="787"/>
      <c r="AF610" s="550"/>
      <c r="AG610" s="697"/>
      <c r="AH610" s="698"/>
      <c r="AI610" s="697"/>
      <c r="AJ610" s="697"/>
      <c r="AK610" s="550"/>
      <c r="AR610" s="682"/>
      <c r="AS610" s="682"/>
      <c r="AT610" s="682"/>
      <c r="AU610" s="682"/>
      <c r="AV610" s="682"/>
      <c r="AW610" s="682"/>
      <c r="AX610" s="682"/>
      <c r="AY610" s="682"/>
      <c r="AZ610" s="682"/>
      <c r="BA610" s="682"/>
      <c r="BB610" s="68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</row>
    <row r="611" spans="1:116" s="679" customFormat="1" ht="15.7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13"/>
      <c r="AA611" s="2"/>
      <c r="AB611" s="724"/>
      <c r="AC611" s="784"/>
      <c r="AD611" s="787"/>
      <c r="AE611" s="787"/>
      <c r="AF611" s="550"/>
      <c r="AG611" s="697"/>
      <c r="AH611" s="698"/>
      <c r="AI611" s="697"/>
      <c r="AJ611" s="697"/>
      <c r="AK611" s="550"/>
      <c r="AR611" s="682"/>
      <c r="AS611" s="682"/>
      <c r="AT611" s="682"/>
      <c r="AU611" s="682"/>
      <c r="AV611" s="682"/>
      <c r="AW611" s="682"/>
      <c r="AX611" s="682"/>
      <c r="AY611" s="682"/>
      <c r="AZ611" s="682"/>
      <c r="BA611" s="682"/>
      <c r="BB611" s="68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</row>
    <row r="612" spans="1:116" s="679" customFormat="1" ht="15.7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13"/>
      <c r="AA612" s="2"/>
      <c r="AB612" s="724"/>
      <c r="AC612" s="784"/>
      <c r="AD612" s="787"/>
      <c r="AE612" s="787"/>
      <c r="AF612" s="550"/>
      <c r="AG612" s="697"/>
      <c r="AH612" s="698"/>
      <c r="AI612" s="697"/>
      <c r="AJ612" s="697"/>
      <c r="AK612" s="550"/>
      <c r="AR612" s="682"/>
      <c r="AS612" s="682"/>
      <c r="AT612" s="682"/>
      <c r="AU612" s="682"/>
      <c r="AV612" s="682"/>
      <c r="AW612" s="682"/>
      <c r="AX612" s="682"/>
      <c r="AY612" s="682"/>
      <c r="AZ612" s="682"/>
      <c r="BA612" s="682"/>
      <c r="BB612" s="68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</row>
    <row r="613" spans="1:116" s="679" customFormat="1" ht="15.7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13"/>
      <c r="AA613" s="2"/>
      <c r="AB613" s="724"/>
      <c r="AC613" s="784"/>
      <c r="AD613" s="787"/>
      <c r="AE613" s="787"/>
      <c r="AF613" s="550"/>
      <c r="AG613" s="697"/>
      <c r="AH613" s="698"/>
      <c r="AI613" s="697"/>
      <c r="AJ613" s="697"/>
      <c r="AK613" s="550"/>
      <c r="AR613" s="682"/>
      <c r="AS613" s="682"/>
      <c r="AT613" s="682"/>
      <c r="AU613" s="682"/>
      <c r="AV613" s="682"/>
      <c r="AW613" s="682"/>
      <c r="AX613" s="682"/>
      <c r="AY613" s="682"/>
      <c r="AZ613" s="682"/>
      <c r="BA613" s="682"/>
      <c r="BB613" s="68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</row>
    <row r="614" spans="1:116" s="679" customFormat="1" ht="15.7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13"/>
      <c r="AA614" s="2"/>
      <c r="AB614" s="724"/>
      <c r="AC614" s="784"/>
      <c r="AD614" s="787"/>
      <c r="AE614" s="787"/>
      <c r="AF614" s="550"/>
      <c r="AG614" s="697"/>
      <c r="AH614" s="698"/>
      <c r="AI614" s="697"/>
      <c r="AJ614" s="697"/>
      <c r="AK614" s="550"/>
      <c r="AR614" s="682"/>
      <c r="AS614" s="682"/>
      <c r="AT614" s="682"/>
      <c r="AU614" s="682"/>
      <c r="AV614" s="682"/>
      <c r="AW614" s="682"/>
      <c r="AX614" s="682"/>
      <c r="AY614" s="682"/>
      <c r="AZ614" s="682"/>
      <c r="BA614" s="682"/>
      <c r="BB614" s="68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</row>
    <row r="615" spans="1:116" s="679" customFormat="1" ht="15.7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13"/>
      <c r="AA615" s="2"/>
      <c r="AB615" s="724"/>
      <c r="AC615" s="784"/>
      <c r="AD615" s="787"/>
      <c r="AE615" s="787"/>
      <c r="AF615" s="550"/>
      <c r="AG615" s="697"/>
      <c r="AH615" s="698"/>
      <c r="AI615" s="697"/>
      <c r="AJ615" s="697"/>
      <c r="AK615" s="550"/>
      <c r="AR615" s="682"/>
      <c r="AS615" s="682"/>
      <c r="AT615" s="682"/>
      <c r="AU615" s="682"/>
      <c r="AV615" s="682"/>
      <c r="AW615" s="682"/>
      <c r="AX615" s="682"/>
      <c r="AY615" s="682"/>
      <c r="AZ615" s="682"/>
      <c r="BA615" s="682"/>
      <c r="BB615" s="68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</row>
    <row r="616" spans="1:116" s="679" customFormat="1" ht="15.7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13"/>
      <c r="AA616" s="2"/>
      <c r="AB616" s="724"/>
      <c r="AC616" s="784"/>
      <c r="AD616" s="787"/>
      <c r="AE616" s="787"/>
      <c r="AF616" s="550"/>
      <c r="AG616" s="697"/>
      <c r="AH616" s="698"/>
      <c r="AI616" s="697"/>
      <c r="AJ616" s="697"/>
      <c r="AK616" s="550"/>
      <c r="AR616" s="682"/>
      <c r="AS616" s="682"/>
      <c r="AT616" s="682"/>
      <c r="AU616" s="682"/>
      <c r="AV616" s="682"/>
      <c r="AW616" s="682"/>
      <c r="AX616" s="682"/>
      <c r="AY616" s="682"/>
      <c r="AZ616" s="682"/>
      <c r="BA616" s="682"/>
      <c r="BB616" s="68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</row>
    <row r="617" spans="1:116" s="679" customFormat="1" ht="15.7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13"/>
      <c r="AA617" s="2"/>
      <c r="AB617" s="724"/>
      <c r="AC617" s="784"/>
      <c r="AD617" s="787"/>
      <c r="AE617" s="787"/>
      <c r="AF617" s="550"/>
      <c r="AG617" s="697"/>
      <c r="AH617" s="698"/>
      <c r="AI617" s="697"/>
      <c r="AJ617" s="697"/>
      <c r="AK617" s="550"/>
      <c r="AR617" s="682"/>
      <c r="AS617" s="682"/>
      <c r="AT617" s="682"/>
      <c r="AU617" s="682"/>
      <c r="AV617" s="682"/>
      <c r="AW617" s="682"/>
      <c r="AX617" s="682"/>
      <c r="AY617" s="682"/>
      <c r="AZ617" s="682"/>
      <c r="BA617" s="682"/>
      <c r="BB617" s="68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</row>
    <row r="618" spans="1:116" s="679" customFormat="1" ht="15.7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13"/>
      <c r="AA618" s="2"/>
      <c r="AB618" s="724"/>
      <c r="AC618" s="784"/>
      <c r="AD618" s="787"/>
      <c r="AE618" s="787"/>
      <c r="AF618" s="550"/>
      <c r="AG618" s="697"/>
      <c r="AH618" s="698"/>
      <c r="AI618" s="697"/>
      <c r="AJ618" s="697"/>
      <c r="AK618" s="550"/>
      <c r="AR618" s="682"/>
      <c r="AS618" s="682"/>
      <c r="AT618" s="682"/>
      <c r="AU618" s="682"/>
      <c r="AV618" s="682"/>
      <c r="AW618" s="682"/>
      <c r="AX618" s="682"/>
      <c r="AY618" s="682"/>
      <c r="AZ618" s="682"/>
      <c r="BA618" s="682"/>
      <c r="BB618" s="68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</row>
    <row r="619" spans="1:116" s="679" customFormat="1" ht="15.7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13"/>
      <c r="AA619" s="2"/>
      <c r="AB619" s="724"/>
      <c r="AC619" s="784"/>
      <c r="AD619" s="787"/>
      <c r="AE619" s="787"/>
      <c r="AF619" s="550"/>
      <c r="AG619" s="697"/>
      <c r="AH619" s="698"/>
      <c r="AI619" s="697"/>
      <c r="AJ619" s="697"/>
      <c r="AK619" s="550"/>
      <c r="AR619" s="682"/>
      <c r="AS619" s="682"/>
      <c r="AT619" s="682"/>
      <c r="AU619" s="682"/>
      <c r="AV619" s="682"/>
      <c r="AW619" s="682"/>
      <c r="AX619" s="682"/>
      <c r="AY619" s="682"/>
      <c r="AZ619" s="682"/>
      <c r="BA619" s="682"/>
      <c r="BB619" s="68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</row>
    <row r="620" spans="1:116" s="679" customFormat="1" ht="15.7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13"/>
      <c r="AA620" s="2"/>
      <c r="AB620" s="724"/>
      <c r="AC620" s="784"/>
      <c r="AD620" s="787"/>
      <c r="AE620" s="787"/>
      <c r="AF620" s="550"/>
      <c r="AG620" s="697"/>
      <c r="AH620" s="698"/>
      <c r="AI620" s="697"/>
      <c r="AJ620" s="697"/>
      <c r="AK620" s="550"/>
      <c r="AR620" s="682"/>
      <c r="AS620" s="682"/>
      <c r="AT620" s="682"/>
      <c r="AU620" s="682"/>
      <c r="AV620" s="682"/>
      <c r="AW620" s="682"/>
      <c r="AX620" s="682"/>
      <c r="AY620" s="682"/>
      <c r="AZ620" s="682"/>
      <c r="BA620" s="682"/>
      <c r="BB620" s="68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</row>
    <row r="621" spans="1:116" s="679" customFormat="1" ht="15.7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13"/>
      <c r="AA621" s="2"/>
      <c r="AB621" s="724"/>
      <c r="AC621" s="784"/>
      <c r="AD621" s="787"/>
      <c r="AE621" s="787"/>
      <c r="AF621" s="550"/>
      <c r="AG621" s="697"/>
      <c r="AH621" s="698"/>
      <c r="AI621" s="697"/>
      <c r="AJ621" s="697"/>
      <c r="AK621" s="550"/>
      <c r="AR621" s="682"/>
      <c r="AS621" s="682"/>
      <c r="AT621" s="682"/>
      <c r="AU621" s="682"/>
      <c r="AV621" s="682"/>
      <c r="AW621" s="682"/>
      <c r="AX621" s="682"/>
      <c r="AY621" s="682"/>
      <c r="AZ621" s="682"/>
      <c r="BA621" s="682"/>
      <c r="BB621" s="68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</row>
    <row r="622" spans="1:116" s="679" customFormat="1" ht="15.7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13"/>
      <c r="AA622" s="2"/>
      <c r="AB622" s="724"/>
      <c r="AC622" s="784"/>
      <c r="AD622" s="787"/>
      <c r="AE622" s="787"/>
      <c r="AF622" s="550"/>
      <c r="AG622" s="697"/>
      <c r="AH622" s="698"/>
      <c r="AI622" s="697"/>
      <c r="AJ622" s="697"/>
      <c r="AK622" s="550"/>
      <c r="AR622" s="682"/>
      <c r="AS622" s="682"/>
      <c r="AT622" s="682"/>
      <c r="AU622" s="682"/>
      <c r="AV622" s="682"/>
      <c r="AW622" s="682"/>
      <c r="AX622" s="682"/>
      <c r="AY622" s="682"/>
      <c r="AZ622" s="682"/>
      <c r="BA622" s="682"/>
      <c r="BB622" s="68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</row>
    <row r="623" spans="1:116" s="679" customFormat="1" ht="15.7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13"/>
      <c r="AA623" s="2"/>
      <c r="AB623" s="724"/>
      <c r="AC623" s="784"/>
      <c r="AD623" s="787"/>
      <c r="AE623" s="787"/>
      <c r="AF623" s="550"/>
      <c r="AG623" s="697"/>
      <c r="AH623" s="698"/>
      <c r="AI623" s="697"/>
      <c r="AJ623" s="697"/>
      <c r="AK623" s="550"/>
      <c r="AR623" s="682"/>
      <c r="AS623" s="682"/>
      <c r="AT623" s="682"/>
      <c r="AU623" s="682"/>
      <c r="AV623" s="682"/>
      <c r="AW623" s="682"/>
      <c r="AX623" s="682"/>
      <c r="AY623" s="682"/>
      <c r="AZ623" s="682"/>
      <c r="BA623" s="682"/>
      <c r="BB623" s="68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</row>
    <row r="624" spans="1:116" s="679" customFormat="1" ht="15.7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13"/>
      <c r="AA624" s="2"/>
      <c r="AB624" s="724"/>
      <c r="AC624" s="784"/>
      <c r="AD624" s="787"/>
      <c r="AE624" s="787"/>
      <c r="AF624" s="550"/>
      <c r="AG624" s="697"/>
      <c r="AH624" s="698"/>
      <c r="AI624" s="697"/>
      <c r="AJ624" s="697"/>
      <c r="AK624" s="550"/>
      <c r="AR624" s="682"/>
      <c r="AS624" s="682"/>
      <c r="AT624" s="682"/>
      <c r="AU624" s="682"/>
      <c r="AV624" s="682"/>
      <c r="AW624" s="682"/>
      <c r="AX624" s="682"/>
      <c r="AY624" s="682"/>
      <c r="AZ624" s="682"/>
      <c r="BA624" s="682"/>
      <c r="BB624" s="68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</row>
    <row r="625" spans="1:116" s="679" customFormat="1" ht="15.7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13"/>
      <c r="AA625" s="2"/>
      <c r="AB625" s="724"/>
      <c r="AC625" s="784"/>
      <c r="AD625" s="787"/>
      <c r="AE625" s="787"/>
      <c r="AF625" s="550"/>
      <c r="AG625" s="697"/>
      <c r="AH625" s="698"/>
      <c r="AI625" s="697"/>
      <c r="AJ625" s="697"/>
      <c r="AK625" s="550"/>
      <c r="AR625" s="682"/>
      <c r="AS625" s="682"/>
      <c r="AT625" s="682"/>
      <c r="AU625" s="682"/>
      <c r="AV625" s="682"/>
      <c r="AW625" s="682"/>
      <c r="AX625" s="682"/>
      <c r="AY625" s="682"/>
      <c r="AZ625" s="682"/>
      <c r="BA625" s="682"/>
      <c r="BB625" s="68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</row>
    <row r="626" spans="1:116" s="679" customFormat="1" ht="15.7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13"/>
      <c r="AA626" s="2"/>
      <c r="AB626" s="724"/>
      <c r="AC626" s="784"/>
      <c r="AD626" s="787"/>
      <c r="AE626" s="787"/>
      <c r="AF626" s="550"/>
      <c r="AG626" s="697"/>
      <c r="AH626" s="698"/>
      <c r="AI626" s="697"/>
      <c r="AJ626" s="697"/>
      <c r="AK626" s="550"/>
      <c r="AR626" s="682"/>
      <c r="AS626" s="682"/>
      <c r="AT626" s="682"/>
      <c r="AU626" s="682"/>
      <c r="AV626" s="682"/>
      <c r="AW626" s="682"/>
      <c r="AX626" s="682"/>
      <c r="AY626" s="682"/>
      <c r="AZ626" s="682"/>
      <c r="BA626" s="682"/>
      <c r="BB626" s="68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</row>
    <row r="627" spans="1:116" s="679" customFormat="1" ht="15.7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13"/>
      <c r="AA627" s="2"/>
      <c r="AB627" s="724"/>
      <c r="AC627" s="784"/>
      <c r="AD627" s="787"/>
      <c r="AE627" s="787"/>
      <c r="AF627" s="550"/>
      <c r="AG627" s="697"/>
      <c r="AH627" s="698"/>
      <c r="AI627" s="697"/>
      <c r="AJ627" s="697"/>
      <c r="AK627" s="550"/>
      <c r="AR627" s="682"/>
      <c r="AS627" s="682"/>
      <c r="AT627" s="682"/>
      <c r="AU627" s="682"/>
      <c r="AV627" s="682"/>
      <c r="AW627" s="682"/>
      <c r="AX627" s="682"/>
      <c r="AY627" s="682"/>
      <c r="AZ627" s="682"/>
      <c r="BA627" s="682"/>
      <c r="BB627" s="68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</row>
    <row r="628" spans="1:116" s="679" customFormat="1" ht="15.7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13"/>
      <c r="AA628" s="2"/>
      <c r="AB628" s="724"/>
      <c r="AC628" s="784"/>
      <c r="AD628" s="787"/>
      <c r="AE628" s="787"/>
      <c r="AF628" s="550"/>
      <c r="AG628" s="697"/>
      <c r="AH628" s="698"/>
      <c r="AI628" s="697"/>
      <c r="AJ628" s="697"/>
      <c r="AK628" s="550"/>
      <c r="AR628" s="682"/>
      <c r="AS628" s="682"/>
      <c r="AT628" s="682"/>
      <c r="AU628" s="682"/>
      <c r="AV628" s="682"/>
      <c r="AW628" s="682"/>
      <c r="AX628" s="682"/>
      <c r="AY628" s="682"/>
      <c r="AZ628" s="682"/>
      <c r="BA628" s="682"/>
      <c r="BB628" s="68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</row>
    <row r="629" spans="1:116" s="679" customFormat="1" ht="15.7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13"/>
      <c r="AA629" s="2"/>
      <c r="AB629" s="724"/>
      <c r="AC629" s="784"/>
      <c r="AD629" s="787"/>
      <c r="AE629" s="787"/>
      <c r="AF629" s="550"/>
      <c r="AG629" s="697"/>
      <c r="AH629" s="698"/>
      <c r="AI629" s="697"/>
      <c r="AJ629" s="697"/>
      <c r="AK629" s="550"/>
      <c r="AR629" s="682"/>
      <c r="AS629" s="682"/>
      <c r="AT629" s="682"/>
      <c r="AU629" s="682"/>
      <c r="AV629" s="682"/>
      <c r="AW629" s="682"/>
      <c r="AX629" s="682"/>
      <c r="AY629" s="682"/>
      <c r="AZ629" s="682"/>
      <c r="BA629" s="682"/>
      <c r="BB629" s="68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</row>
    <row r="630" spans="1:116" s="679" customFormat="1" ht="15.7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13"/>
      <c r="AA630" s="2"/>
      <c r="AB630" s="724"/>
      <c r="AC630" s="784"/>
      <c r="AD630" s="787"/>
      <c r="AE630" s="787"/>
      <c r="AF630" s="550"/>
      <c r="AG630" s="697"/>
      <c r="AH630" s="698"/>
      <c r="AI630" s="697"/>
      <c r="AJ630" s="697"/>
      <c r="AK630" s="550"/>
      <c r="AR630" s="682"/>
      <c r="AS630" s="682"/>
      <c r="AT630" s="682"/>
      <c r="AU630" s="682"/>
      <c r="AV630" s="682"/>
      <c r="AW630" s="682"/>
      <c r="AX630" s="682"/>
      <c r="AY630" s="682"/>
      <c r="AZ630" s="682"/>
      <c r="BA630" s="682"/>
      <c r="BB630" s="68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</row>
    <row r="631" spans="1:116" s="679" customFormat="1" ht="15.7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13"/>
      <c r="AA631" s="2"/>
      <c r="AB631" s="724"/>
      <c r="AC631" s="784"/>
      <c r="AD631" s="787"/>
      <c r="AE631" s="787"/>
      <c r="AF631" s="550"/>
      <c r="AG631" s="697"/>
      <c r="AH631" s="698"/>
      <c r="AI631" s="697"/>
      <c r="AJ631" s="697"/>
      <c r="AK631" s="550"/>
      <c r="AR631" s="682"/>
      <c r="AS631" s="682"/>
      <c r="AT631" s="682"/>
      <c r="AU631" s="682"/>
      <c r="AV631" s="682"/>
      <c r="AW631" s="682"/>
      <c r="AX631" s="682"/>
      <c r="AY631" s="682"/>
      <c r="AZ631" s="682"/>
      <c r="BA631" s="682"/>
      <c r="BB631" s="68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</row>
    <row r="632" spans="1:116" s="679" customFormat="1" ht="15.7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13"/>
      <c r="AA632" s="2"/>
      <c r="AB632" s="724"/>
      <c r="AC632" s="784"/>
      <c r="AD632" s="787"/>
      <c r="AE632" s="787"/>
      <c r="AF632" s="550"/>
      <c r="AG632" s="697"/>
      <c r="AH632" s="698"/>
      <c r="AI632" s="697"/>
      <c r="AJ632" s="697"/>
      <c r="AK632" s="550"/>
      <c r="AR632" s="682"/>
      <c r="AS632" s="682"/>
      <c r="AT632" s="682"/>
      <c r="AU632" s="682"/>
      <c r="AV632" s="682"/>
      <c r="AW632" s="682"/>
      <c r="AX632" s="682"/>
      <c r="AY632" s="682"/>
      <c r="AZ632" s="682"/>
      <c r="BA632" s="682"/>
      <c r="BB632" s="68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</row>
    <row r="633" spans="1:116" s="679" customFormat="1" ht="15.7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13"/>
      <c r="AA633" s="2"/>
      <c r="AB633" s="724"/>
      <c r="AC633" s="784"/>
      <c r="AD633" s="787"/>
      <c r="AE633" s="787"/>
      <c r="AF633" s="550"/>
      <c r="AG633" s="697"/>
      <c r="AH633" s="698"/>
      <c r="AI633" s="697"/>
      <c r="AJ633" s="697"/>
      <c r="AK633" s="550"/>
      <c r="AR633" s="682"/>
      <c r="AS633" s="682"/>
      <c r="AT633" s="682"/>
      <c r="AU633" s="682"/>
      <c r="AV633" s="682"/>
      <c r="AW633" s="682"/>
      <c r="AX633" s="682"/>
      <c r="AY633" s="682"/>
      <c r="AZ633" s="682"/>
      <c r="BA633" s="682"/>
      <c r="BB633" s="68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</row>
    <row r="634" spans="1:116" s="679" customFormat="1" ht="15.7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13"/>
      <c r="AA634" s="2"/>
      <c r="AB634" s="724"/>
      <c r="AC634" s="784"/>
      <c r="AD634" s="787"/>
      <c r="AE634" s="787"/>
      <c r="AF634" s="550"/>
      <c r="AG634" s="697"/>
      <c r="AH634" s="698"/>
      <c r="AI634" s="697"/>
      <c r="AJ634" s="697"/>
      <c r="AK634" s="550"/>
      <c r="AR634" s="682"/>
      <c r="AS634" s="682"/>
      <c r="AT634" s="682"/>
      <c r="AU634" s="682"/>
      <c r="AV634" s="682"/>
      <c r="AW634" s="682"/>
      <c r="AX634" s="682"/>
      <c r="AY634" s="682"/>
      <c r="AZ634" s="682"/>
      <c r="BA634" s="682"/>
      <c r="BB634" s="68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</row>
    <row r="635" spans="1:116" s="679" customFormat="1" ht="15.7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13"/>
      <c r="AA635" s="2"/>
      <c r="AB635" s="724"/>
      <c r="AC635" s="784"/>
      <c r="AD635" s="787"/>
      <c r="AE635" s="787"/>
      <c r="AF635" s="550"/>
      <c r="AG635" s="697"/>
      <c r="AH635" s="698"/>
      <c r="AI635" s="697"/>
      <c r="AJ635" s="697"/>
      <c r="AK635" s="550"/>
      <c r="AR635" s="682"/>
      <c r="AS635" s="682"/>
      <c r="AT635" s="682"/>
      <c r="AU635" s="682"/>
      <c r="AV635" s="682"/>
      <c r="AW635" s="682"/>
      <c r="AX635" s="682"/>
      <c r="AY635" s="682"/>
      <c r="AZ635" s="682"/>
      <c r="BA635" s="682"/>
      <c r="BB635" s="68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</row>
    <row r="636" spans="1:116" s="679" customFormat="1" ht="15.7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13"/>
      <c r="AA636" s="2"/>
      <c r="AB636" s="724"/>
      <c r="AC636" s="784"/>
      <c r="AD636" s="787"/>
      <c r="AE636" s="787"/>
      <c r="AF636" s="550"/>
      <c r="AG636" s="697"/>
      <c r="AH636" s="698"/>
      <c r="AI636" s="697"/>
      <c r="AJ636" s="697"/>
      <c r="AK636" s="550"/>
      <c r="AR636" s="682"/>
      <c r="AS636" s="682"/>
      <c r="AT636" s="682"/>
      <c r="AU636" s="682"/>
      <c r="AV636" s="682"/>
      <c r="AW636" s="682"/>
      <c r="AX636" s="682"/>
      <c r="AY636" s="682"/>
      <c r="AZ636" s="682"/>
      <c r="BA636" s="682"/>
      <c r="BB636" s="68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</row>
    <row r="637" spans="1:116" s="679" customFormat="1" ht="15.7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13"/>
      <c r="AA637" s="2"/>
      <c r="AB637" s="724"/>
      <c r="AC637" s="784"/>
      <c r="AD637" s="787"/>
      <c r="AE637" s="787"/>
      <c r="AF637" s="550"/>
      <c r="AG637" s="697"/>
      <c r="AH637" s="698"/>
      <c r="AI637" s="697"/>
      <c r="AJ637" s="697"/>
      <c r="AK637" s="550"/>
      <c r="AR637" s="682"/>
      <c r="AS637" s="682"/>
      <c r="AT637" s="682"/>
      <c r="AU637" s="682"/>
      <c r="AV637" s="682"/>
      <c r="AW637" s="682"/>
      <c r="AX637" s="682"/>
      <c r="AY637" s="682"/>
      <c r="AZ637" s="682"/>
      <c r="BA637" s="682"/>
      <c r="BB637" s="68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</row>
    <row r="638" spans="1:116" s="679" customFormat="1" ht="15.7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13"/>
      <c r="AA638" s="2"/>
      <c r="AB638" s="724"/>
      <c r="AC638" s="784"/>
      <c r="AD638" s="787"/>
      <c r="AE638" s="787"/>
      <c r="AF638" s="550"/>
      <c r="AG638" s="697"/>
      <c r="AH638" s="698"/>
      <c r="AI638" s="697"/>
      <c r="AJ638" s="697"/>
      <c r="AK638" s="550"/>
      <c r="AR638" s="682"/>
      <c r="AS638" s="682"/>
      <c r="AT638" s="682"/>
      <c r="AU638" s="682"/>
      <c r="AV638" s="682"/>
      <c r="AW638" s="682"/>
      <c r="AX638" s="682"/>
      <c r="AY638" s="682"/>
      <c r="AZ638" s="682"/>
      <c r="BA638" s="682"/>
      <c r="BB638" s="68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</row>
    <row r="639" spans="1:116" s="679" customFormat="1" ht="15.7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13"/>
      <c r="AA639" s="2"/>
      <c r="AB639" s="724"/>
      <c r="AC639" s="784"/>
      <c r="AD639" s="787"/>
      <c r="AE639" s="787"/>
      <c r="AF639" s="550"/>
      <c r="AG639" s="697"/>
      <c r="AH639" s="698"/>
      <c r="AI639" s="697"/>
      <c r="AJ639" s="697"/>
      <c r="AK639" s="550"/>
      <c r="AR639" s="682"/>
      <c r="AS639" s="682"/>
      <c r="AT639" s="682"/>
      <c r="AU639" s="682"/>
      <c r="AV639" s="682"/>
      <c r="AW639" s="682"/>
      <c r="AX639" s="682"/>
      <c r="AY639" s="682"/>
      <c r="AZ639" s="682"/>
      <c r="BA639" s="682"/>
      <c r="BB639" s="68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</row>
    <row r="640" spans="1:116" s="679" customFormat="1" ht="15.7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13"/>
      <c r="AA640" s="2"/>
      <c r="AB640" s="724"/>
      <c r="AC640" s="784"/>
      <c r="AD640" s="787"/>
      <c r="AE640" s="787"/>
      <c r="AF640" s="550"/>
      <c r="AG640" s="697"/>
      <c r="AH640" s="698"/>
      <c r="AI640" s="697"/>
      <c r="AJ640" s="697"/>
      <c r="AK640" s="550"/>
      <c r="AR640" s="682"/>
      <c r="AS640" s="682"/>
      <c r="AT640" s="682"/>
      <c r="AU640" s="682"/>
      <c r="AV640" s="682"/>
      <c r="AW640" s="682"/>
      <c r="AX640" s="682"/>
      <c r="AY640" s="682"/>
      <c r="AZ640" s="682"/>
      <c r="BA640" s="682"/>
      <c r="BB640" s="68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</row>
    <row r="641" spans="1:116" s="679" customFormat="1" ht="15.7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13"/>
      <c r="AA641" s="2"/>
      <c r="AB641" s="724"/>
      <c r="AC641" s="784"/>
      <c r="AD641" s="787"/>
      <c r="AE641" s="787"/>
      <c r="AF641" s="550"/>
      <c r="AG641" s="697"/>
      <c r="AH641" s="698"/>
      <c r="AI641" s="697"/>
      <c r="AJ641" s="697"/>
      <c r="AK641" s="550"/>
      <c r="AR641" s="682"/>
      <c r="AS641" s="682"/>
      <c r="AT641" s="682"/>
      <c r="AU641" s="682"/>
      <c r="AV641" s="682"/>
      <c r="AW641" s="682"/>
      <c r="AX641" s="682"/>
      <c r="AY641" s="682"/>
      <c r="AZ641" s="682"/>
      <c r="BA641" s="682"/>
      <c r="BB641" s="68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</row>
    <row r="642" spans="1:116" s="679" customFormat="1" ht="15.7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13"/>
      <c r="AA642" s="2"/>
      <c r="AB642" s="724"/>
      <c r="AC642" s="784"/>
      <c r="AD642" s="787"/>
      <c r="AE642" s="787"/>
      <c r="AF642" s="550"/>
      <c r="AG642" s="697"/>
      <c r="AH642" s="698"/>
      <c r="AI642" s="697"/>
      <c r="AJ642" s="697"/>
      <c r="AK642" s="550"/>
      <c r="AR642" s="682"/>
      <c r="AS642" s="682"/>
      <c r="AT642" s="682"/>
      <c r="AU642" s="682"/>
      <c r="AV642" s="682"/>
      <c r="AW642" s="682"/>
      <c r="AX642" s="682"/>
      <c r="AY642" s="682"/>
      <c r="AZ642" s="682"/>
      <c r="BA642" s="682"/>
      <c r="BB642" s="68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</row>
    <row r="643" spans="1:116" s="679" customFormat="1" ht="15.7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13"/>
      <c r="AA643" s="2"/>
      <c r="AB643" s="724"/>
      <c r="AC643" s="784"/>
      <c r="AD643" s="787"/>
      <c r="AE643" s="787"/>
      <c r="AF643" s="550"/>
      <c r="AG643" s="697"/>
      <c r="AH643" s="698"/>
      <c r="AI643" s="697"/>
      <c r="AJ643" s="697"/>
      <c r="AK643" s="550"/>
      <c r="AR643" s="682"/>
      <c r="AS643" s="682"/>
      <c r="AT643" s="682"/>
      <c r="AU643" s="682"/>
      <c r="AV643" s="682"/>
      <c r="AW643" s="682"/>
      <c r="AX643" s="682"/>
      <c r="AY643" s="682"/>
      <c r="AZ643" s="682"/>
      <c r="BA643" s="682"/>
      <c r="BB643" s="68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</row>
    <row r="644" spans="1:116" s="679" customFormat="1" ht="15.7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13"/>
      <c r="AA644" s="2"/>
      <c r="AB644" s="724"/>
      <c r="AC644" s="784"/>
      <c r="AD644" s="787"/>
      <c r="AE644" s="787"/>
      <c r="AF644" s="550"/>
      <c r="AG644" s="697"/>
      <c r="AH644" s="698"/>
      <c r="AI644" s="697"/>
      <c r="AJ644" s="697"/>
      <c r="AK644" s="550"/>
      <c r="AR644" s="682"/>
      <c r="AS644" s="682"/>
      <c r="AT644" s="682"/>
      <c r="AU644" s="682"/>
      <c r="AV644" s="682"/>
      <c r="AW644" s="682"/>
      <c r="AX644" s="682"/>
      <c r="AY644" s="682"/>
      <c r="AZ644" s="682"/>
      <c r="BA644" s="682"/>
      <c r="BB644" s="68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</row>
    <row r="645" spans="1:116" s="679" customFormat="1" ht="15.7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13"/>
      <c r="AA645" s="2"/>
      <c r="AB645" s="724"/>
      <c r="AC645" s="784"/>
      <c r="AD645" s="787"/>
      <c r="AE645" s="787"/>
      <c r="AF645" s="550"/>
      <c r="AG645" s="697"/>
      <c r="AH645" s="698"/>
      <c r="AI645" s="697"/>
      <c r="AJ645" s="697"/>
      <c r="AK645" s="550"/>
      <c r="AR645" s="682"/>
      <c r="AS645" s="682"/>
      <c r="AT645" s="682"/>
      <c r="AU645" s="682"/>
      <c r="AV645" s="682"/>
      <c r="AW645" s="682"/>
      <c r="AX645" s="682"/>
      <c r="AY645" s="682"/>
      <c r="AZ645" s="682"/>
      <c r="BA645" s="682"/>
      <c r="BB645" s="68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</row>
    <row r="646" spans="1:116" s="679" customFormat="1" ht="15.7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13"/>
      <c r="AA646" s="2"/>
      <c r="AB646" s="724"/>
      <c r="AC646" s="784"/>
      <c r="AD646" s="787"/>
      <c r="AE646" s="787"/>
      <c r="AF646" s="550"/>
      <c r="AG646" s="697"/>
      <c r="AH646" s="698"/>
      <c r="AI646" s="697"/>
      <c r="AJ646" s="697"/>
      <c r="AK646" s="550"/>
      <c r="AR646" s="682"/>
      <c r="AS646" s="682"/>
      <c r="AT646" s="682"/>
      <c r="AU646" s="682"/>
      <c r="AV646" s="682"/>
      <c r="AW646" s="682"/>
      <c r="AX646" s="682"/>
      <c r="AY646" s="682"/>
      <c r="AZ646" s="682"/>
      <c r="BA646" s="682"/>
      <c r="BB646" s="68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</row>
    <row r="647" spans="1:116" s="679" customFormat="1" ht="15.7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13"/>
      <c r="AA647" s="2"/>
      <c r="AB647" s="724"/>
      <c r="AC647" s="784"/>
      <c r="AD647" s="787"/>
      <c r="AE647" s="787"/>
      <c r="AF647" s="550"/>
      <c r="AG647" s="697"/>
      <c r="AH647" s="698"/>
      <c r="AI647" s="697"/>
      <c r="AJ647" s="697"/>
      <c r="AK647" s="550"/>
      <c r="AR647" s="682"/>
      <c r="AS647" s="682"/>
      <c r="AT647" s="682"/>
      <c r="AU647" s="682"/>
      <c r="AV647" s="682"/>
      <c r="AW647" s="682"/>
      <c r="AX647" s="682"/>
      <c r="AY647" s="682"/>
      <c r="AZ647" s="682"/>
      <c r="BA647" s="682"/>
      <c r="BB647" s="68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</row>
    <row r="648" spans="1:116" s="679" customFormat="1" ht="15.7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13"/>
      <c r="AA648" s="2"/>
      <c r="AB648" s="724"/>
      <c r="AC648" s="784"/>
      <c r="AD648" s="787"/>
      <c r="AE648" s="787"/>
      <c r="AF648" s="550"/>
      <c r="AG648" s="697"/>
      <c r="AH648" s="698"/>
      <c r="AI648" s="697"/>
      <c r="AJ648" s="697"/>
      <c r="AK648" s="550"/>
      <c r="AR648" s="682"/>
      <c r="AS648" s="682"/>
      <c r="AT648" s="682"/>
      <c r="AU648" s="682"/>
      <c r="AV648" s="682"/>
      <c r="AW648" s="682"/>
      <c r="AX648" s="682"/>
      <c r="AY648" s="682"/>
      <c r="AZ648" s="682"/>
      <c r="BA648" s="682"/>
      <c r="BB648" s="68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</row>
    <row r="649" spans="1:116" s="679" customFormat="1" ht="15.7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13"/>
      <c r="AA649" s="2"/>
      <c r="AB649" s="724"/>
      <c r="AC649" s="784"/>
      <c r="AD649" s="787"/>
      <c r="AE649" s="787"/>
      <c r="AF649" s="550"/>
      <c r="AG649" s="697"/>
      <c r="AH649" s="698"/>
      <c r="AI649" s="697"/>
      <c r="AJ649" s="697"/>
      <c r="AK649" s="550"/>
      <c r="AR649" s="682"/>
      <c r="AS649" s="682"/>
      <c r="AT649" s="682"/>
      <c r="AU649" s="682"/>
      <c r="AV649" s="682"/>
      <c r="AW649" s="682"/>
      <c r="AX649" s="682"/>
      <c r="AY649" s="682"/>
      <c r="AZ649" s="682"/>
      <c r="BA649" s="682"/>
      <c r="BB649" s="68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</row>
    <row r="650" spans="1:116" s="679" customFormat="1" ht="15.7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13"/>
      <c r="AA650" s="2"/>
      <c r="AB650" s="724"/>
      <c r="AC650" s="784"/>
      <c r="AD650" s="787"/>
      <c r="AE650" s="787"/>
      <c r="AF650" s="550"/>
      <c r="AG650" s="697"/>
      <c r="AH650" s="698"/>
      <c r="AI650" s="697"/>
      <c r="AJ650" s="697"/>
      <c r="AK650" s="550"/>
      <c r="AR650" s="682"/>
      <c r="AS650" s="682"/>
      <c r="AT650" s="682"/>
      <c r="AU650" s="682"/>
      <c r="AV650" s="682"/>
      <c r="AW650" s="682"/>
      <c r="AX650" s="682"/>
      <c r="AY650" s="682"/>
      <c r="AZ650" s="682"/>
      <c r="BA650" s="682"/>
      <c r="BB650" s="68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</row>
    <row r="651" spans="1:116" s="679" customFormat="1" ht="15.7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13"/>
      <c r="AA651" s="2"/>
      <c r="AB651" s="724"/>
      <c r="AC651" s="784"/>
      <c r="AD651" s="787"/>
      <c r="AE651" s="787"/>
      <c r="AF651" s="550"/>
      <c r="AG651" s="697"/>
      <c r="AH651" s="698"/>
      <c r="AI651" s="697"/>
      <c r="AJ651" s="697"/>
      <c r="AK651" s="550"/>
      <c r="AR651" s="682"/>
      <c r="AS651" s="682"/>
      <c r="AT651" s="682"/>
      <c r="AU651" s="682"/>
      <c r="AV651" s="682"/>
      <c r="AW651" s="682"/>
      <c r="AX651" s="682"/>
      <c r="AY651" s="682"/>
      <c r="AZ651" s="682"/>
      <c r="BA651" s="682"/>
      <c r="BB651" s="68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</row>
    <row r="652" spans="1:116" s="679" customFormat="1" ht="15.7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13"/>
      <c r="AA652" s="2"/>
      <c r="AB652" s="724"/>
      <c r="AC652" s="784"/>
      <c r="AD652" s="787"/>
      <c r="AE652" s="787"/>
      <c r="AF652" s="550"/>
      <c r="AG652" s="697"/>
      <c r="AH652" s="698"/>
      <c r="AI652" s="697"/>
      <c r="AJ652" s="697"/>
      <c r="AK652" s="550"/>
      <c r="AR652" s="682"/>
      <c r="AS652" s="682"/>
      <c r="AT652" s="682"/>
      <c r="AU652" s="682"/>
      <c r="AV652" s="682"/>
      <c r="AW652" s="682"/>
      <c r="AX652" s="682"/>
      <c r="AY652" s="682"/>
      <c r="AZ652" s="682"/>
      <c r="BA652" s="682"/>
      <c r="BB652" s="68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</row>
    <row r="653" spans="1:116" s="679" customFormat="1" ht="15.7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13"/>
      <c r="AA653" s="2"/>
      <c r="AB653" s="724"/>
      <c r="AC653" s="784"/>
      <c r="AD653" s="787"/>
      <c r="AE653" s="787"/>
      <c r="AF653" s="550"/>
      <c r="AG653" s="697"/>
      <c r="AH653" s="698"/>
      <c r="AI653" s="697"/>
      <c r="AJ653" s="697"/>
      <c r="AK653" s="550"/>
      <c r="AR653" s="682"/>
      <c r="AS653" s="682"/>
      <c r="AT653" s="682"/>
      <c r="AU653" s="682"/>
      <c r="AV653" s="682"/>
      <c r="AW653" s="682"/>
      <c r="AX653" s="682"/>
      <c r="AY653" s="682"/>
      <c r="AZ653" s="682"/>
      <c r="BA653" s="682"/>
      <c r="BB653" s="68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</row>
    <row r="654" spans="1:116" s="679" customFormat="1" ht="15.7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13"/>
      <c r="AA654" s="2"/>
      <c r="AB654" s="724"/>
      <c r="AC654" s="784"/>
      <c r="AD654" s="787"/>
      <c r="AE654" s="787"/>
      <c r="AF654" s="550"/>
      <c r="AG654" s="697"/>
      <c r="AH654" s="698"/>
      <c r="AI654" s="697"/>
      <c r="AJ654" s="697"/>
      <c r="AK654" s="550"/>
      <c r="AR654" s="682"/>
      <c r="AS654" s="682"/>
      <c r="AT654" s="682"/>
      <c r="AU654" s="682"/>
      <c r="AV654" s="682"/>
      <c r="AW654" s="682"/>
      <c r="AX654" s="682"/>
      <c r="AY654" s="682"/>
      <c r="AZ654" s="682"/>
      <c r="BA654" s="682"/>
      <c r="BB654" s="68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</row>
    <row r="655" spans="1:116" s="679" customFormat="1" ht="15.7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13"/>
      <c r="AA655" s="2"/>
      <c r="AB655" s="724"/>
      <c r="AC655" s="784"/>
      <c r="AD655" s="787"/>
      <c r="AE655" s="787"/>
      <c r="AF655" s="550"/>
      <c r="AG655" s="697"/>
      <c r="AH655" s="698"/>
      <c r="AI655" s="697"/>
      <c r="AJ655" s="697"/>
      <c r="AK655" s="550"/>
      <c r="AR655" s="682"/>
      <c r="AS655" s="682"/>
      <c r="AT655" s="682"/>
      <c r="AU655" s="682"/>
      <c r="AV655" s="682"/>
      <c r="AW655" s="682"/>
      <c r="AX655" s="682"/>
      <c r="AY655" s="682"/>
      <c r="AZ655" s="682"/>
      <c r="BA655" s="682"/>
      <c r="BB655" s="68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</row>
    <row r="656" spans="1:116" s="679" customFormat="1" ht="15.7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13"/>
      <c r="AA656" s="2"/>
      <c r="AB656" s="724"/>
      <c r="AC656" s="784"/>
      <c r="AD656" s="787"/>
      <c r="AE656" s="787"/>
      <c r="AF656" s="550"/>
      <c r="AG656" s="697"/>
      <c r="AH656" s="698"/>
      <c r="AI656" s="697"/>
      <c r="AJ656" s="697"/>
      <c r="AK656" s="550"/>
      <c r="AR656" s="682"/>
      <c r="AS656" s="682"/>
      <c r="AT656" s="682"/>
      <c r="AU656" s="682"/>
      <c r="AV656" s="682"/>
      <c r="AW656" s="682"/>
      <c r="AX656" s="682"/>
      <c r="AY656" s="682"/>
      <c r="AZ656" s="682"/>
      <c r="BA656" s="682"/>
      <c r="BB656" s="68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</row>
    <row r="657" spans="1:116" s="679" customFormat="1" ht="15.7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13"/>
      <c r="AA657" s="2"/>
      <c r="AB657" s="724"/>
      <c r="AC657" s="784"/>
      <c r="AD657" s="787"/>
      <c r="AE657" s="787"/>
      <c r="AF657" s="550"/>
      <c r="AG657" s="697"/>
      <c r="AH657" s="698"/>
      <c r="AI657" s="697"/>
      <c r="AJ657" s="697"/>
      <c r="AK657" s="550"/>
      <c r="AR657" s="682"/>
      <c r="AS657" s="682"/>
      <c r="AT657" s="682"/>
      <c r="AU657" s="682"/>
      <c r="AV657" s="682"/>
      <c r="AW657" s="682"/>
      <c r="AX657" s="682"/>
      <c r="AY657" s="682"/>
      <c r="AZ657" s="682"/>
      <c r="BA657" s="682"/>
      <c r="BB657" s="68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</row>
    <row r="658" spans="1:116" s="679" customFormat="1" ht="15.7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13"/>
      <c r="AA658" s="2"/>
      <c r="AB658" s="724"/>
      <c r="AC658" s="784"/>
      <c r="AD658" s="787"/>
      <c r="AE658" s="787"/>
      <c r="AF658" s="550"/>
      <c r="AG658" s="697"/>
      <c r="AH658" s="698"/>
      <c r="AI658" s="697"/>
      <c r="AJ658" s="697"/>
      <c r="AK658" s="550"/>
      <c r="AR658" s="682"/>
      <c r="AS658" s="682"/>
      <c r="AT658" s="682"/>
      <c r="AU658" s="682"/>
      <c r="AV658" s="682"/>
      <c r="AW658" s="682"/>
      <c r="AX658" s="682"/>
      <c r="AY658" s="682"/>
      <c r="AZ658" s="682"/>
      <c r="BA658" s="682"/>
      <c r="BB658" s="68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</row>
    <row r="659" spans="1:116" s="679" customFormat="1" ht="15.7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13"/>
      <c r="AA659" s="2"/>
      <c r="AB659" s="724"/>
      <c r="AC659" s="784"/>
      <c r="AD659" s="787"/>
      <c r="AE659" s="787"/>
      <c r="AF659" s="550"/>
      <c r="AG659" s="697"/>
      <c r="AH659" s="698"/>
      <c r="AI659" s="697"/>
      <c r="AJ659" s="697"/>
      <c r="AK659" s="550"/>
      <c r="AR659" s="682"/>
      <c r="AS659" s="682"/>
      <c r="AT659" s="682"/>
      <c r="AU659" s="682"/>
      <c r="AV659" s="682"/>
      <c r="AW659" s="682"/>
      <c r="AX659" s="682"/>
      <c r="AY659" s="682"/>
      <c r="AZ659" s="682"/>
      <c r="BA659" s="682"/>
      <c r="BB659" s="68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</row>
    <row r="660" spans="1:116" s="679" customFormat="1" ht="15.7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13"/>
      <c r="AA660" s="2"/>
      <c r="AB660" s="724"/>
      <c r="AC660" s="784"/>
      <c r="AD660" s="787"/>
      <c r="AE660" s="787"/>
      <c r="AF660" s="550"/>
      <c r="AG660" s="697"/>
      <c r="AH660" s="698"/>
      <c r="AI660" s="697"/>
      <c r="AJ660" s="697"/>
      <c r="AK660" s="550"/>
      <c r="AR660" s="682"/>
      <c r="AS660" s="682"/>
      <c r="AT660" s="682"/>
      <c r="AU660" s="682"/>
      <c r="AV660" s="682"/>
      <c r="AW660" s="682"/>
      <c r="AX660" s="682"/>
      <c r="AY660" s="682"/>
      <c r="AZ660" s="682"/>
      <c r="BA660" s="682"/>
      <c r="BB660" s="68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</row>
    <row r="661" spans="1:116" s="679" customFormat="1" ht="15.7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13"/>
      <c r="AA661" s="2"/>
      <c r="AB661" s="724"/>
      <c r="AC661" s="784"/>
      <c r="AD661" s="787"/>
      <c r="AE661" s="787"/>
      <c r="AF661" s="550"/>
      <c r="AG661" s="697"/>
      <c r="AH661" s="698"/>
      <c r="AI661" s="697"/>
      <c r="AJ661" s="697"/>
      <c r="AK661" s="550"/>
      <c r="AR661" s="682"/>
      <c r="AS661" s="682"/>
      <c r="AT661" s="682"/>
      <c r="AU661" s="682"/>
      <c r="AV661" s="682"/>
      <c r="AW661" s="682"/>
      <c r="AX661" s="682"/>
      <c r="AY661" s="682"/>
      <c r="AZ661" s="682"/>
      <c r="BA661" s="682"/>
      <c r="BB661" s="68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</row>
    <row r="662" spans="1:116" s="679" customFormat="1" ht="15.7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13"/>
      <c r="AA662" s="2"/>
      <c r="AB662" s="724"/>
      <c r="AC662" s="784"/>
      <c r="AD662" s="787"/>
      <c r="AE662" s="787"/>
      <c r="AF662" s="550"/>
      <c r="AG662" s="697"/>
      <c r="AH662" s="698"/>
      <c r="AI662" s="697"/>
      <c r="AJ662" s="697"/>
      <c r="AK662" s="550"/>
      <c r="AR662" s="682"/>
      <c r="AS662" s="682"/>
      <c r="AT662" s="682"/>
      <c r="AU662" s="682"/>
      <c r="AV662" s="682"/>
      <c r="AW662" s="682"/>
      <c r="AX662" s="682"/>
      <c r="AY662" s="682"/>
      <c r="AZ662" s="682"/>
      <c r="BA662" s="682"/>
      <c r="BB662" s="68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</row>
    <row r="663" spans="1:116" s="679" customFormat="1" ht="15.7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13"/>
      <c r="AA663" s="2"/>
      <c r="AB663" s="724"/>
      <c r="AC663" s="784"/>
      <c r="AD663" s="787"/>
      <c r="AE663" s="787"/>
      <c r="AF663" s="550"/>
      <c r="AG663" s="697"/>
      <c r="AH663" s="698"/>
      <c r="AI663" s="697"/>
      <c r="AJ663" s="697"/>
      <c r="AK663" s="550"/>
      <c r="AR663" s="682"/>
      <c r="AS663" s="682"/>
      <c r="AT663" s="682"/>
      <c r="AU663" s="682"/>
      <c r="AV663" s="682"/>
      <c r="AW663" s="682"/>
      <c r="AX663" s="682"/>
      <c r="AY663" s="682"/>
      <c r="AZ663" s="682"/>
      <c r="BA663" s="682"/>
      <c r="BB663" s="68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</row>
    <row r="664" spans="1:116" s="679" customFormat="1" ht="15.7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13"/>
      <c r="AA664" s="2"/>
      <c r="AB664" s="724"/>
      <c r="AC664" s="784"/>
      <c r="AD664" s="787"/>
      <c r="AE664" s="787"/>
      <c r="AF664" s="550"/>
      <c r="AG664" s="697"/>
      <c r="AH664" s="698"/>
      <c r="AI664" s="697"/>
      <c r="AJ664" s="697"/>
      <c r="AK664" s="550"/>
      <c r="AR664" s="682"/>
      <c r="AS664" s="682"/>
      <c r="AT664" s="682"/>
      <c r="AU664" s="682"/>
      <c r="AV664" s="682"/>
      <c r="AW664" s="682"/>
      <c r="AX664" s="682"/>
      <c r="AY664" s="682"/>
      <c r="AZ664" s="682"/>
      <c r="BA664" s="682"/>
      <c r="BB664" s="68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</row>
    <row r="665" spans="1:116" s="679" customFormat="1" ht="15.7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13"/>
      <c r="AA665" s="2"/>
      <c r="AB665" s="724"/>
      <c r="AC665" s="784"/>
      <c r="AD665" s="787"/>
      <c r="AE665" s="787"/>
      <c r="AF665" s="550"/>
      <c r="AG665" s="697"/>
      <c r="AH665" s="698"/>
      <c r="AI665" s="697"/>
      <c r="AJ665" s="697"/>
      <c r="AK665" s="550"/>
      <c r="AR665" s="682"/>
      <c r="AS665" s="682"/>
      <c r="AT665" s="682"/>
      <c r="AU665" s="682"/>
      <c r="AV665" s="682"/>
      <c r="AW665" s="682"/>
      <c r="AX665" s="682"/>
      <c r="AY665" s="682"/>
      <c r="AZ665" s="682"/>
      <c r="BA665" s="682"/>
      <c r="BB665" s="68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</row>
    <row r="666" spans="1:116" s="679" customFormat="1" ht="15.7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13"/>
      <c r="AA666" s="2"/>
      <c r="AB666" s="724"/>
      <c r="AC666" s="784"/>
      <c r="AD666" s="787"/>
      <c r="AE666" s="787"/>
      <c r="AF666" s="550"/>
      <c r="AG666" s="697"/>
      <c r="AH666" s="698"/>
      <c r="AI666" s="697"/>
      <c r="AJ666" s="697"/>
      <c r="AK666" s="550"/>
      <c r="AR666" s="682"/>
      <c r="AS666" s="682"/>
      <c r="AT666" s="682"/>
      <c r="AU666" s="682"/>
      <c r="AV666" s="682"/>
      <c r="AW666" s="682"/>
      <c r="AX666" s="682"/>
      <c r="AY666" s="682"/>
      <c r="AZ666" s="682"/>
      <c r="BA666" s="682"/>
      <c r="BB666" s="68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</row>
    <row r="667" spans="1:116" s="679" customFormat="1" ht="15.7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13"/>
      <c r="AA667" s="2"/>
      <c r="AB667" s="724"/>
      <c r="AC667" s="784"/>
      <c r="AD667" s="787"/>
      <c r="AE667" s="787"/>
      <c r="AF667" s="550"/>
      <c r="AG667" s="697"/>
      <c r="AH667" s="698"/>
      <c r="AI667" s="697"/>
      <c r="AJ667" s="697"/>
      <c r="AK667" s="550"/>
      <c r="AR667" s="682"/>
      <c r="AS667" s="682"/>
      <c r="AT667" s="682"/>
      <c r="AU667" s="682"/>
      <c r="AV667" s="682"/>
      <c r="AW667" s="682"/>
      <c r="AX667" s="682"/>
      <c r="AY667" s="682"/>
      <c r="AZ667" s="682"/>
      <c r="BA667" s="682"/>
      <c r="BB667" s="68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</row>
    <row r="668" spans="1:116" s="679" customFormat="1" ht="15.7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13"/>
      <c r="AA668" s="2"/>
      <c r="AB668" s="724"/>
      <c r="AC668" s="784"/>
      <c r="AD668" s="787"/>
      <c r="AE668" s="787"/>
      <c r="AF668" s="550"/>
      <c r="AG668" s="697"/>
      <c r="AH668" s="698"/>
      <c r="AI668" s="697"/>
      <c r="AJ668" s="697"/>
      <c r="AK668" s="550"/>
      <c r="AR668" s="682"/>
      <c r="AS668" s="682"/>
      <c r="AT668" s="682"/>
      <c r="AU668" s="682"/>
      <c r="AV668" s="682"/>
      <c r="AW668" s="682"/>
      <c r="AX668" s="682"/>
      <c r="AY668" s="682"/>
      <c r="AZ668" s="682"/>
      <c r="BA668" s="682"/>
      <c r="BB668" s="68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</row>
    <row r="669" spans="1:116" s="679" customFormat="1" ht="15.7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13"/>
      <c r="AA669" s="2"/>
      <c r="AB669" s="724"/>
      <c r="AC669" s="784"/>
      <c r="AD669" s="787"/>
      <c r="AE669" s="787"/>
      <c r="AF669" s="550"/>
      <c r="AG669" s="697"/>
      <c r="AH669" s="698"/>
      <c r="AI669" s="697"/>
      <c r="AJ669" s="697"/>
      <c r="AK669" s="550"/>
      <c r="AR669" s="682"/>
      <c r="AS669" s="682"/>
      <c r="AT669" s="682"/>
      <c r="AU669" s="682"/>
      <c r="AV669" s="682"/>
      <c r="AW669" s="682"/>
      <c r="AX669" s="682"/>
      <c r="AY669" s="682"/>
      <c r="AZ669" s="682"/>
      <c r="BA669" s="682"/>
      <c r="BB669" s="68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</row>
    <row r="670" spans="1:116" s="679" customFormat="1" ht="15.7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13"/>
      <c r="AA670" s="2"/>
      <c r="AB670" s="724"/>
      <c r="AC670" s="784"/>
      <c r="AD670" s="787"/>
      <c r="AE670" s="787"/>
      <c r="AF670" s="550"/>
      <c r="AG670" s="697"/>
      <c r="AH670" s="698"/>
      <c r="AI670" s="697"/>
      <c r="AJ670" s="697"/>
      <c r="AK670" s="550"/>
      <c r="AR670" s="682"/>
      <c r="AS670" s="682"/>
      <c r="AT670" s="682"/>
      <c r="AU670" s="682"/>
      <c r="AV670" s="682"/>
      <c r="AW670" s="682"/>
      <c r="AX670" s="682"/>
      <c r="AY670" s="682"/>
      <c r="AZ670" s="682"/>
      <c r="BA670" s="682"/>
      <c r="BB670" s="68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</row>
    <row r="671" spans="1:116" s="679" customFormat="1" ht="15.7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13"/>
      <c r="AA671" s="2"/>
      <c r="AB671" s="724"/>
      <c r="AC671" s="784"/>
      <c r="AD671" s="787"/>
      <c r="AE671" s="787"/>
      <c r="AF671" s="550"/>
      <c r="AG671" s="697"/>
      <c r="AH671" s="698"/>
      <c r="AI671" s="697"/>
      <c r="AJ671" s="697"/>
      <c r="AK671" s="550"/>
      <c r="AR671" s="682"/>
      <c r="AS671" s="682"/>
      <c r="AT671" s="682"/>
      <c r="AU671" s="682"/>
      <c r="AV671" s="682"/>
      <c r="AW671" s="682"/>
      <c r="AX671" s="682"/>
      <c r="AY671" s="682"/>
      <c r="AZ671" s="682"/>
      <c r="BA671" s="682"/>
      <c r="BB671" s="68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</row>
    <row r="672" spans="1:116" s="679" customFormat="1" ht="15.7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13"/>
      <c r="AA672" s="2"/>
      <c r="AB672" s="724"/>
      <c r="AC672" s="784"/>
      <c r="AD672" s="787"/>
      <c r="AE672" s="787"/>
      <c r="AF672" s="550"/>
      <c r="AG672" s="697"/>
      <c r="AH672" s="698"/>
      <c r="AI672" s="697"/>
      <c r="AJ672" s="697"/>
      <c r="AK672" s="550"/>
      <c r="AR672" s="682"/>
      <c r="AS672" s="682"/>
      <c r="AT672" s="682"/>
      <c r="AU672" s="682"/>
      <c r="AV672" s="682"/>
      <c r="AW672" s="682"/>
      <c r="AX672" s="682"/>
      <c r="AY672" s="682"/>
      <c r="AZ672" s="682"/>
      <c r="BA672" s="682"/>
      <c r="BB672" s="68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</row>
    <row r="673" spans="1:116" s="679" customFormat="1" ht="15.7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13"/>
      <c r="AA673" s="2"/>
      <c r="AB673" s="724"/>
      <c r="AC673" s="784"/>
      <c r="AD673" s="787"/>
      <c r="AE673" s="787"/>
      <c r="AF673" s="550"/>
      <c r="AG673" s="697"/>
      <c r="AH673" s="698"/>
      <c r="AI673" s="697"/>
      <c r="AJ673" s="697"/>
      <c r="AK673" s="550"/>
      <c r="AR673" s="682"/>
      <c r="AS673" s="682"/>
      <c r="AT673" s="682"/>
      <c r="AU673" s="682"/>
      <c r="AV673" s="682"/>
      <c r="AW673" s="682"/>
      <c r="AX673" s="682"/>
      <c r="AY673" s="682"/>
      <c r="AZ673" s="682"/>
      <c r="BA673" s="682"/>
      <c r="BB673" s="68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</row>
    <row r="674" spans="1:116" s="679" customFormat="1" ht="15.7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13"/>
      <c r="AA674" s="2"/>
      <c r="AB674" s="724"/>
      <c r="AC674" s="784"/>
      <c r="AD674" s="787"/>
      <c r="AE674" s="787"/>
      <c r="AF674" s="550"/>
      <c r="AG674" s="697"/>
      <c r="AH674" s="698"/>
      <c r="AI674" s="697"/>
      <c r="AJ674" s="697"/>
      <c r="AK674" s="550"/>
      <c r="AR674" s="682"/>
      <c r="AS674" s="682"/>
      <c r="AT674" s="682"/>
      <c r="AU674" s="682"/>
      <c r="AV674" s="682"/>
      <c r="AW674" s="682"/>
      <c r="AX674" s="682"/>
      <c r="AY674" s="682"/>
      <c r="AZ674" s="682"/>
      <c r="BA674" s="682"/>
      <c r="BB674" s="68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</row>
    <row r="675" spans="1:116" s="679" customFormat="1" ht="15.7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13"/>
      <c r="AA675" s="2"/>
      <c r="AB675" s="724"/>
      <c r="AC675" s="784"/>
      <c r="AD675" s="787"/>
      <c r="AE675" s="787"/>
      <c r="AF675" s="550"/>
      <c r="AG675" s="697"/>
      <c r="AH675" s="698"/>
      <c r="AI675" s="697"/>
      <c r="AJ675" s="697"/>
      <c r="AK675" s="550"/>
      <c r="AR675" s="682"/>
      <c r="AS675" s="682"/>
      <c r="AT675" s="682"/>
      <c r="AU675" s="682"/>
      <c r="AV675" s="682"/>
      <c r="AW675" s="682"/>
      <c r="AX675" s="682"/>
      <c r="AY675" s="682"/>
      <c r="AZ675" s="682"/>
      <c r="BA675" s="682"/>
      <c r="BB675" s="68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</row>
    <row r="676" spans="1:116" s="679" customFormat="1" ht="15.7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13"/>
      <c r="AA676" s="2"/>
      <c r="AB676" s="724"/>
      <c r="AC676" s="784"/>
      <c r="AD676" s="787"/>
      <c r="AE676" s="787"/>
      <c r="AF676" s="550"/>
      <c r="AG676" s="697"/>
      <c r="AH676" s="698"/>
      <c r="AI676" s="697"/>
      <c r="AJ676" s="697"/>
      <c r="AK676" s="550"/>
      <c r="AR676" s="682"/>
      <c r="AS676" s="682"/>
      <c r="AT676" s="682"/>
      <c r="AU676" s="682"/>
      <c r="AV676" s="682"/>
      <c r="AW676" s="682"/>
      <c r="AX676" s="682"/>
      <c r="AY676" s="682"/>
      <c r="AZ676" s="682"/>
      <c r="BA676" s="682"/>
      <c r="BB676" s="68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</row>
    <row r="677" spans="1:116" s="679" customFormat="1" ht="15.7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13"/>
      <c r="AA677" s="2"/>
      <c r="AB677" s="724"/>
      <c r="AC677" s="784"/>
      <c r="AD677" s="787"/>
      <c r="AE677" s="787"/>
      <c r="AF677" s="550"/>
      <c r="AG677" s="697"/>
      <c r="AH677" s="698"/>
      <c r="AI677" s="697"/>
      <c r="AJ677" s="697"/>
      <c r="AK677" s="550"/>
      <c r="AR677" s="682"/>
      <c r="AS677" s="682"/>
      <c r="AT677" s="682"/>
      <c r="AU677" s="682"/>
      <c r="AV677" s="682"/>
      <c r="AW677" s="682"/>
      <c r="AX677" s="682"/>
      <c r="AY677" s="682"/>
      <c r="AZ677" s="682"/>
      <c r="BA677" s="682"/>
      <c r="BB677" s="68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</row>
    <row r="678" spans="1:116" s="679" customFormat="1" ht="15.7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13"/>
      <c r="AA678" s="2"/>
      <c r="AB678" s="724"/>
      <c r="AC678" s="784"/>
      <c r="AD678" s="787"/>
      <c r="AE678" s="787"/>
      <c r="AF678" s="550"/>
      <c r="AG678" s="697"/>
      <c r="AH678" s="698"/>
      <c r="AI678" s="697"/>
      <c r="AJ678" s="697"/>
      <c r="AK678" s="550"/>
      <c r="AR678" s="682"/>
      <c r="AS678" s="682"/>
      <c r="AT678" s="682"/>
      <c r="AU678" s="682"/>
      <c r="AV678" s="682"/>
      <c r="AW678" s="682"/>
      <c r="AX678" s="682"/>
      <c r="AY678" s="682"/>
      <c r="AZ678" s="682"/>
      <c r="BA678" s="682"/>
      <c r="BB678" s="68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</row>
    <row r="679" spans="1:116" s="679" customFormat="1" ht="15.7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13"/>
      <c r="AA679" s="2"/>
      <c r="AB679" s="724"/>
      <c r="AC679" s="784"/>
      <c r="AD679" s="787"/>
      <c r="AE679" s="787"/>
      <c r="AF679" s="550"/>
      <c r="AG679" s="697"/>
      <c r="AH679" s="698"/>
      <c r="AI679" s="697"/>
      <c r="AJ679" s="697"/>
      <c r="AK679" s="550"/>
      <c r="AR679" s="682"/>
      <c r="AS679" s="682"/>
      <c r="AT679" s="682"/>
      <c r="AU679" s="682"/>
      <c r="AV679" s="682"/>
      <c r="AW679" s="682"/>
      <c r="AX679" s="682"/>
      <c r="AY679" s="682"/>
      <c r="AZ679" s="682"/>
      <c r="BA679" s="682"/>
      <c r="BB679" s="68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</row>
    <row r="680" spans="1:116" s="679" customFormat="1" ht="15.7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13"/>
      <c r="AA680" s="2"/>
      <c r="AB680" s="724"/>
      <c r="AC680" s="784"/>
      <c r="AD680" s="787"/>
      <c r="AE680" s="787"/>
      <c r="AF680" s="550"/>
      <c r="AG680" s="697"/>
      <c r="AH680" s="698"/>
      <c r="AI680" s="697"/>
      <c r="AJ680" s="697"/>
      <c r="AK680" s="550"/>
      <c r="AR680" s="682"/>
      <c r="AS680" s="682"/>
      <c r="AT680" s="682"/>
      <c r="AU680" s="682"/>
      <c r="AV680" s="682"/>
      <c r="AW680" s="682"/>
      <c r="AX680" s="682"/>
      <c r="AY680" s="682"/>
      <c r="AZ680" s="682"/>
      <c r="BA680" s="682"/>
      <c r="BB680" s="68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</row>
    <row r="681" spans="1:116" s="679" customFormat="1" ht="15.7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13"/>
      <c r="AA681" s="2"/>
      <c r="AB681" s="724"/>
      <c r="AC681" s="784"/>
      <c r="AD681" s="787"/>
      <c r="AE681" s="787"/>
      <c r="AF681" s="550"/>
      <c r="AG681" s="697"/>
      <c r="AH681" s="698"/>
      <c r="AI681" s="697"/>
      <c r="AJ681" s="697"/>
      <c r="AK681" s="550"/>
      <c r="AR681" s="682"/>
      <c r="AS681" s="682"/>
      <c r="AT681" s="682"/>
      <c r="AU681" s="682"/>
      <c r="AV681" s="682"/>
      <c r="AW681" s="682"/>
      <c r="AX681" s="682"/>
      <c r="AY681" s="682"/>
      <c r="AZ681" s="682"/>
      <c r="BA681" s="682"/>
      <c r="BB681" s="68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</row>
    <row r="682" spans="1:116" s="679" customFormat="1" x14ac:dyDescent="0.25">
      <c r="A682" s="57"/>
      <c r="B682" s="2"/>
      <c r="C682" s="13"/>
      <c r="D682" s="16"/>
      <c r="E682" s="15"/>
      <c r="F682" s="141"/>
      <c r="G682" s="328"/>
      <c r="H682" s="202"/>
      <c r="I682" s="295"/>
      <c r="J682" s="228"/>
      <c r="K682" s="228"/>
      <c r="L682" s="228"/>
      <c r="M682" s="322"/>
      <c r="N682" s="2"/>
      <c r="O682" s="203"/>
      <c r="P682" s="203"/>
      <c r="Q682" s="328"/>
      <c r="R682" s="217"/>
      <c r="S682" s="220"/>
      <c r="T682" s="205"/>
      <c r="U682" s="220"/>
      <c r="V682" s="203"/>
      <c r="W682" s="328"/>
      <c r="X682" s="202"/>
      <c r="Y682" s="263"/>
      <c r="Z682"/>
      <c r="AA682" s="263"/>
      <c r="AB682" s="723"/>
      <c r="AC682" s="784"/>
      <c r="AD682" s="823"/>
      <c r="AE682" s="823"/>
      <c r="AF682" s="553"/>
      <c r="AG682" s="712"/>
      <c r="AH682" s="713"/>
      <c r="AI682" s="712"/>
      <c r="AJ682" s="712"/>
      <c r="AK682" s="553"/>
      <c r="AL682" s="690"/>
      <c r="AR682" s="682"/>
      <c r="AS682" s="682"/>
      <c r="AT682" s="682"/>
      <c r="AU682" s="682"/>
      <c r="AV682" s="682"/>
      <c r="AW682" s="682"/>
      <c r="AX682" s="682"/>
      <c r="AY682" s="682"/>
      <c r="AZ682" s="682"/>
      <c r="BA682" s="682"/>
      <c r="BB682" s="68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</row>
  </sheetData>
  <sheetProtection formatRows="0" insertColumns="0" insertRows="0" insertHyperlinks="0" deleteColumns="0" deleteRows="0" sort="0" autoFilter="0" pivotTables="0"/>
  <autoFilter ref="A12:DL13" xr:uid="{00000000-0009-0000-0000-000004000000}">
    <filterColumn colId="3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18" showButton="0"/>
    <filterColumn colId="20" showButton="0"/>
    <filterColumn colId="22" showButton="0"/>
  </autoFilter>
  <mergeCells count="87">
    <mergeCell ref="A109:A111"/>
    <mergeCell ref="B109:B111"/>
    <mergeCell ref="A97:A99"/>
    <mergeCell ref="B97:B99"/>
    <mergeCell ref="A155:A157"/>
    <mergeCell ref="B155:B157"/>
    <mergeCell ref="A113:A115"/>
    <mergeCell ref="B113:B115"/>
    <mergeCell ref="A147:A149"/>
    <mergeCell ref="B147:B149"/>
    <mergeCell ref="A151:A153"/>
    <mergeCell ref="B151:B153"/>
    <mergeCell ref="A117:A119"/>
    <mergeCell ref="B117:B119"/>
    <mergeCell ref="A101:A103"/>
    <mergeCell ref="B101:B103"/>
    <mergeCell ref="A105:A107"/>
    <mergeCell ref="B105:B107"/>
    <mergeCell ref="A73:A75"/>
    <mergeCell ref="B73:B75"/>
    <mergeCell ref="A81:A83"/>
    <mergeCell ref="B81:B83"/>
    <mergeCell ref="A85:A87"/>
    <mergeCell ref="B85:B87"/>
    <mergeCell ref="A77:A79"/>
    <mergeCell ref="B77:B79"/>
    <mergeCell ref="A89:A91"/>
    <mergeCell ref="B89:B91"/>
    <mergeCell ref="A93:A95"/>
    <mergeCell ref="B93:B95"/>
    <mergeCell ref="A14:A18"/>
    <mergeCell ref="B14:B18"/>
    <mergeCell ref="A65:A67"/>
    <mergeCell ref="B65:B67"/>
    <mergeCell ref="A59:A63"/>
    <mergeCell ref="B59:B63"/>
    <mergeCell ref="A69:A71"/>
    <mergeCell ref="B69:B71"/>
    <mergeCell ref="A20:A24"/>
    <mergeCell ref="B20:B24"/>
    <mergeCell ref="A46:A51"/>
    <mergeCell ref="B46:B51"/>
    <mergeCell ref="A53:A57"/>
    <mergeCell ref="B53:B57"/>
    <mergeCell ref="A26:A32"/>
    <mergeCell ref="B26:B32"/>
    <mergeCell ref="A34:A38"/>
    <mergeCell ref="B34:B38"/>
    <mergeCell ref="A40:A44"/>
    <mergeCell ref="B40:B44"/>
    <mergeCell ref="A167:B167"/>
    <mergeCell ref="A121:A124"/>
    <mergeCell ref="B121:B124"/>
    <mergeCell ref="A165:B165"/>
    <mergeCell ref="A166:B166"/>
    <mergeCell ref="A159:D159"/>
    <mergeCell ref="A126:A128"/>
    <mergeCell ref="B126:B128"/>
    <mergeCell ref="A130:A133"/>
    <mergeCell ref="B130:B133"/>
    <mergeCell ref="A135:A137"/>
    <mergeCell ref="B135:B137"/>
    <mergeCell ref="A139:A141"/>
    <mergeCell ref="B139:B141"/>
    <mergeCell ref="A143:A145"/>
    <mergeCell ref="B143:B145"/>
    <mergeCell ref="AA8:AB8"/>
    <mergeCell ref="A1:AB1"/>
    <mergeCell ref="A2:AB2"/>
    <mergeCell ref="C6:R6"/>
    <mergeCell ref="Y7:Z7"/>
    <mergeCell ref="AA7:AB7"/>
    <mergeCell ref="Y8:Z8"/>
    <mergeCell ref="A10:AB10"/>
    <mergeCell ref="A12:A13"/>
    <mergeCell ref="C12:C13"/>
    <mergeCell ref="D12:E13"/>
    <mergeCell ref="F12:F13"/>
    <mergeCell ref="G12:H12"/>
    <mergeCell ref="I12:J12"/>
    <mergeCell ref="U12:V12"/>
    <mergeCell ref="W12:X12"/>
    <mergeCell ref="K12:L12"/>
    <mergeCell ref="M12:N12"/>
    <mergeCell ref="Q12:R12"/>
    <mergeCell ref="O12:P12"/>
    <mergeCell ref="S12:T12"/>
  </mergeCells>
  <conditionalFormatting sqref="X121 X14:X18">
    <cfRule type="cellIs" dxfId="53" priority="89" operator="lessThan">
      <formula>0</formula>
    </cfRule>
  </conditionalFormatting>
  <conditionalFormatting sqref="X23:X24 X20:X21">
    <cfRule type="cellIs" dxfId="52" priority="74" operator="lessThan">
      <formula>0</formula>
    </cfRule>
  </conditionalFormatting>
  <conditionalFormatting sqref="X22">
    <cfRule type="cellIs" dxfId="51" priority="73" operator="lessThan">
      <formula>0</formula>
    </cfRule>
  </conditionalFormatting>
  <conditionalFormatting sqref="X26:X27 X29:X32">
    <cfRule type="cellIs" dxfId="50" priority="72" operator="lessThan">
      <formula>0</formula>
    </cfRule>
  </conditionalFormatting>
  <conditionalFormatting sqref="X28">
    <cfRule type="cellIs" dxfId="49" priority="71" operator="lessThan">
      <formula>0</formula>
    </cfRule>
  </conditionalFormatting>
  <conditionalFormatting sqref="X37:X38 X34:X35">
    <cfRule type="cellIs" dxfId="48" priority="70" operator="lessThan">
      <formula>0</formula>
    </cfRule>
  </conditionalFormatting>
  <conditionalFormatting sqref="X36">
    <cfRule type="cellIs" dxfId="47" priority="69" operator="lessThan">
      <formula>0</formula>
    </cfRule>
  </conditionalFormatting>
  <conditionalFormatting sqref="X43:X44 X40:X41">
    <cfRule type="cellIs" dxfId="46" priority="68" operator="lessThan">
      <formula>0</formula>
    </cfRule>
  </conditionalFormatting>
  <conditionalFormatting sqref="X42">
    <cfRule type="cellIs" dxfId="45" priority="67" operator="lessThan">
      <formula>0</formula>
    </cfRule>
  </conditionalFormatting>
  <conditionalFormatting sqref="X50:X51 X46:X47">
    <cfRule type="cellIs" dxfId="44" priority="66" operator="lessThan">
      <formula>0</formula>
    </cfRule>
  </conditionalFormatting>
  <conditionalFormatting sqref="X48">
    <cfRule type="cellIs" dxfId="43" priority="65" operator="lessThan">
      <formula>0</formula>
    </cfRule>
  </conditionalFormatting>
  <conditionalFormatting sqref="X56 X53:X54">
    <cfRule type="cellIs" dxfId="42" priority="64" operator="lessThan">
      <formula>0</formula>
    </cfRule>
  </conditionalFormatting>
  <conditionalFormatting sqref="X55">
    <cfRule type="cellIs" dxfId="41" priority="63" operator="lessThan">
      <formula>0</formula>
    </cfRule>
  </conditionalFormatting>
  <conditionalFormatting sqref="X49">
    <cfRule type="cellIs" dxfId="40" priority="51" operator="lessThan">
      <formula>0</formula>
    </cfRule>
  </conditionalFormatting>
  <conditionalFormatting sqref="X123:X124">
    <cfRule type="cellIs" dxfId="39" priority="48" operator="lessThan">
      <formula>0</formula>
    </cfRule>
  </conditionalFormatting>
  <conditionalFormatting sqref="X122">
    <cfRule type="cellIs" dxfId="38" priority="47" operator="lessThan">
      <formula>0</formula>
    </cfRule>
  </conditionalFormatting>
  <conditionalFormatting sqref="X126:X128">
    <cfRule type="cellIs" dxfId="37" priority="45" operator="lessThan">
      <formula>0</formula>
    </cfRule>
  </conditionalFormatting>
  <conditionalFormatting sqref="X62 X59:X60">
    <cfRule type="cellIs" dxfId="36" priority="42" operator="lessThan">
      <formula>0</formula>
    </cfRule>
  </conditionalFormatting>
  <conditionalFormatting sqref="X61">
    <cfRule type="cellIs" dxfId="35" priority="41" operator="lessThan">
      <formula>0</formula>
    </cfRule>
  </conditionalFormatting>
  <conditionalFormatting sqref="X57">
    <cfRule type="cellIs" dxfId="34" priority="40" operator="lessThan">
      <formula>0</formula>
    </cfRule>
  </conditionalFormatting>
  <conditionalFormatting sqref="X63">
    <cfRule type="cellIs" dxfId="33" priority="39" operator="lessThan">
      <formula>0</formula>
    </cfRule>
  </conditionalFormatting>
  <conditionalFormatting sqref="X65:X66">
    <cfRule type="cellIs" dxfId="32" priority="37" operator="lessThan">
      <formula>0</formula>
    </cfRule>
  </conditionalFormatting>
  <conditionalFormatting sqref="X67">
    <cfRule type="cellIs" dxfId="31" priority="34" operator="lessThan">
      <formula>0</formula>
    </cfRule>
  </conditionalFormatting>
  <conditionalFormatting sqref="X69:X70">
    <cfRule type="cellIs" dxfId="30" priority="33" operator="lessThan">
      <formula>0</formula>
    </cfRule>
  </conditionalFormatting>
  <conditionalFormatting sqref="X71">
    <cfRule type="cellIs" dxfId="29" priority="32" operator="lessThan">
      <formula>0</formula>
    </cfRule>
  </conditionalFormatting>
  <conditionalFormatting sqref="X73:X74">
    <cfRule type="cellIs" dxfId="28" priority="31" operator="lessThan">
      <formula>0</formula>
    </cfRule>
  </conditionalFormatting>
  <conditionalFormatting sqref="X75">
    <cfRule type="cellIs" dxfId="27" priority="30" operator="lessThan">
      <formula>0</formula>
    </cfRule>
  </conditionalFormatting>
  <conditionalFormatting sqref="X117:X118">
    <cfRule type="cellIs" dxfId="26" priority="29" operator="lessThan">
      <formula>0</formula>
    </cfRule>
  </conditionalFormatting>
  <conditionalFormatting sqref="X119">
    <cfRule type="cellIs" dxfId="25" priority="28" operator="lessThan">
      <formula>0</formula>
    </cfRule>
  </conditionalFormatting>
  <conditionalFormatting sqref="X77:X78">
    <cfRule type="cellIs" dxfId="24" priority="27" operator="lessThan">
      <formula>0</formula>
    </cfRule>
  </conditionalFormatting>
  <conditionalFormatting sqref="X79">
    <cfRule type="cellIs" dxfId="23" priority="26" operator="lessThan">
      <formula>0</formula>
    </cfRule>
  </conditionalFormatting>
  <conditionalFormatting sqref="X81:X82">
    <cfRule type="cellIs" dxfId="22" priority="25" operator="lessThan">
      <formula>0</formula>
    </cfRule>
  </conditionalFormatting>
  <conditionalFormatting sqref="X83">
    <cfRule type="cellIs" dxfId="21" priority="24" operator="lessThan">
      <formula>0</formula>
    </cfRule>
  </conditionalFormatting>
  <conditionalFormatting sqref="X85:X86">
    <cfRule type="cellIs" dxfId="20" priority="23" operator="lessThan">
      <formula>0</formula>
    </cfRule>
  </conditionalFormatting>
  <conditionalFormatting sqref="X87">
    <cfRule type="cellIs" dxfId="19" priority="22" operator="lessThan">
      <formula>0</formula>
    </cfRule>
  </conditionalFormatting>
  <conditionalFormatting sqref="X133">
    <cfRule type="cellIs" dxfId="18" priority="20" operator="lessThan">
      <formula>0</formula>
    </cfRule>
  </conditionalFormatting>
  <conditionalFormatting sqref="X141">
    <cfRule type="cellIs" dxfId="17" priority="19" operator="lessThan">
      <formula>0</formula>
    </cfRule>
  </conditionalFormatting>
  <conditionalFormatting sqref="X145">
    <cfRule type="cellIs" dxfId="16" priority="18" operator="lessThan">
      <formula>0</formula>
    </cfRule>
  </conditionalFormatting>
  <conditionalFormatting sqref="X89:X90">
    <cfRule type="cellIs" dxfId="15" priority="17" operator="lessThan">
      <formula>0</formula>
    </cfRule>
  </conditionalFormatting>
  <conditionalFormatting sqref="X91">
    <cfRule type="cellIs" dxfId="14" priority="16" operator="lessThan">
      <formula>0</formula>
    </cfRule>
  </conditionalFormatting>
  <conditionalFormatting sqref="X93:X94">
    <cfRule type="cellIs" dxfId="13" priority="15" operator="lessThan">
      <formula>0</formula>
    </cfRule>
  </conditionalFormatting>
  <conditionalFormatting sqref="X95">
    <cfRule type="cellIs" dxfId="12" priority="14" operator="lessThan">
      <formula>0</formula>
    </cfRule>
  </conditionalFormatting>
  <conditionalFormatting sqref="X97:X98">
    <cfRule type="cellIs" dxfId="11" priority="13" operator="lessThan">
      <formula>0</formula>
    </cfRule>
  </conditionalFormatting>
  <conditionalFormatting sqref="X99">
    <cfRule type="cellIs" dxfId="10" priority="12" operator="lessThan">
      <formula>0</formula>
    </cfRule>
  </conditionalFormatting>
  <conditionalFormatting sqref="X101:X102">
    <cfRule type="cellIs" dxfId="9" priority="11" operator="lessThan">
      <formula>0</formula>
    </cfRule>
  </conditionalFormatting>
  <conditionalFormatting sqref="X103">
    <cfRule type="cellIs" dxfId="8" priority="10" operator="lessThan">
      <formula>0</formula>
    </cfRule>
  </conditionalFormatting>
  <conditionalFormatting sqref="X149">
    <cfRule type="cellIs" dxfId="7" priority="9" operator="lessThan">
      <formula>0</formula>
    </cfRule>
  </conditionalFormatting>
  <conditionalFormatting sqref="X153">
    <cfRule type="cellIs" dxfId="6" priority="8" operator="lessThan">
      <formula>0</formula>
    </cfRule>
  </conditionalFormatting>
  <conditionalFormatting sqref="X105:X106">
    <cfRule type="cellIs" dxfId="5" priority="7" operator="lessThan">
      <formula>0</formula>
    </cfRule>
  </conditionalFormatting>
  <conditionalFormatting sqref="X107">
    <cfRule type="cellIs" dxfId="4" priority="6" operator="lessThan">
      <formula>0</formula>
    </cfRule>
  </conditionalFormatting>
  <conditionalFormatting sqref="X113:X114">
    <cfRule type="cellIs" dxfId="3" priority="5" operator="lessThan">
      <formula>0</formula>
    </cfRule>
  </conditionalFormatting>
  <conditionalFormatting sqref="X115">
    <cfRule type="cellIs" dxfId="2" priority="4" operator="lessThan">
      <formula>0</formula>
    </cfRule>
  </conditionalFormatting>
  <conditionalFormatting sqref="X109:X110">
    <cfRule type="cellIs" dxfId="1" priority="2" operator="lessThan">
      <formula>0</formula>
    </cfRule>
  </conditionalFormatting>
  <conditionalFormatting sqref="X111">
    <cfRule type="cellIs" dxfId="0" priority="1" operator="lessThan">
      <formula>0</formula>
    </cfRule>
  </conditionalFormatting>
  <printOptions horizontalCentered="1"/>
  <pageMargins left="0.19685039370078741" right="0.19685039370078741" top="0" bottom="0" header="0" footer="0"/>
  <pageSetup paperSize="9" scale="45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theme="5" tint="0.39997558519241921"/>
  </sheetPr>
  <dimension ref="A1:GO16436"/>
  <sheetViews>
    <sheetView zoomScale="77" zoomScaleNormal="77" workbookViewId="0">
      <pane ySplit="1" topLeftCell="A2" activePane="bottomLeft" state="frozen"/>
      <selection activeCell="J16" sqref="J16"/>
      <selection pane="bottomLeft" activeCell="J16" sqref="J16"/>
    </sheetView>
  </sheetViews>
  <sheetFormatPr defaultColWidth="9.140625" defaultRowHeight="12.75" x14ac:dyDescent="0.2"/>
  <cols>
    <col min="1" max="1" width="12.5703125" style="1062" customWidth="1"/>
    <col min="2" max="2" width="22.85546875" style="1063" customWidth="1"/>
    <col min="3" max="3" width="25" style="1063" customWidth="1"/>
    <col min="4" max="4" width="16.42578125" style="1063" bestFit="1" customWidth="1"/>
    <col min="5" max="5" width="14" style="1076" bestFit="1" customWidth="1"/>
    <col min="6" max="6" width="16.5703125" style="1063" bestFit="1" customWidth="1"/>
    <col min="7" max="7" width="13.140625" style="1063" bestFit="1" customWidth="1"/>
    <col min="8" max="8" width="10.7109375" style="1074" customWidth="1"/>
    <col min="9" max="9" width="17.42578125" style="1075" customWidth="1"/>
    <col min="10" max="10" width="21.85546875" style="1075" customWidth="1"/>
    <col min="11" max="11" width="24.42578125" style="1075" customWidth="1"/>
    <col min="12" max="12" width="14.42578125" style="1075" customWidth="1"/>
    <col min="13" max="13" width="11.28515625" style="1063" customWidth="1"/>
    <col min="14" max="14" width="17.85546875" style="1063" customWidth="1"/>
    <col min="15" max="15" width="18.42578125" style="1067" customWidth="1"/>
    <col min="16" max="20" width="12.7109375" style="1067" customWidth="1"/>
    <col min="21" max="23" width="9.140625" style="1067"/>
    <col min="24" max="27" width="18.5703125" style="1067" customWidth="1"/>
    <col min="28" max="16384" width="9.140625" style="1067"/>
  </cols>
  <sheetData>
    <row r="1" spans="1:197" s="1084" customFormat="1" ht="66.75" customHeight="1" x14ac:dyDescent="0.25">
      <c r="A1" s="1077" t="str">
        <f>LEFT(B1,6)</f>
        <v>ID COD</v>
      </c>
      <c r="B1" s="1078" t="s">
        <v>909</v>
      </c>
      <c r="C1" s="1078" t="s">
        <v>910</v>
      </c>
      <c r="D1" s="1078" t="s">
        <v>911</v>
      </c>
      <c r="E1" s="1078" t="s">
        <v>912</v>
      </c>
      <c r="F1" s="1078" t="s">
        <v>913</v>
      </c>
      <c r="G1" s="1078" t="s">
        <v>914</v>
      </c>
      <c r="H1" s="1079"/>
      <c r="I1" s="1080" t="s">
        <v>955</v>
      </c>
      <c r="J1" s="1081" t="s">
        <v>890</v>
      </c>
      <c r="K1" s="1082" t="s">
        <v>891</v>
      </c>
      <c r="L1" s="1078"/>
      <c r="M1" s="1078"/>
      <c r="N1" s="1083" t="s">
        <v>966</v>
      </c>
    </row>
    <row r="2" spans="1:197" ht="21" customHeight="1" x14ac:dyDescent="0.25">
      <c r="A2" s="1062" t="str">
        <f>LEFT(B2,6)</f>
        <v>ID Cod</v>
      </c>
      <c r="B2" s="1063" t="str">
        <f t="array" ref="B2:G186">TRANSPOSE(O2:FM8)</f>
        <v>ID Code</v>
      </c>
      <c r="C2" s="1063" t="str">
        <v>Description</v>
      </c>
      <c r="D2" s="1063" t="str">
        <v>Required (kgs)</v>
      </c>
      <c r="E2" s="1063" t="str">
        <v>Actual (kgs)</v>
      </c>
      <c r="F2" s="1063" t="str">
        <v>Deviation (kgs)</v>
      </c>
      <c r="G2" s="1063" t="str">
        <v>% Deviation</v>
      </c>
      <c r="I2" s="1064">
        <f>SUM(I3:I257)</f>
        <v>1070748.55</v>
      </c>
      <c r="J2" s="1173">
        <f>SUMIF($O$13:$BB$13,"26903",$O$16:$BB$16)+SUMIF($O$13:$BB$13,"26904",$O$16:$BB$16)</f>
        <v>67117.899999999994</v>
      </c>
      <c r="K2" s="1065">
        <f>I2-J2</f>
        <v>1003630.65</v>
      </c>
      <c r="L2" s="2333" t="s">
        <v>892</v>
      </c>
      <c r="M2" s="2334"/>
      <c r="N2" s="1066">
        <f>M51</f>
        <v>100224.74</v>
      </c>
      <c r="O2" t="s">
        <v>2262</v>
      </c>
      <c r="P2">
        <v>1</v>
      </c>
      <c r="Q2" t="s">
        <v>893</v>
      </c>
      <c r="R2" t="s">
        <v>894</v>
      </c>
      <c r="S2" t="s">
        <v>895</v>
      </c>
      <c r="T2" t="s">
        <v>896</v>
      </c>
      <c r="U2">
        <v>5</v>
      </c>
      <c r="V2">
        <v>6</v>
      </c>
      <c r="W2">
        <v>3602</v>
      </c>
      <c r="X2">
        <v>3603</v>
      </c>
      <c r="Y2">
        <v>3606</v>
      </c>
      <c r="Z2">
        <v>3607</v>
      </c>
      <c r="AA2">
        <v>3618</v>
      </c>
      <c r="AB2">
        <v>3619</v>
      </c>
      <c r="AC2">
        <v>5114</v>
      </c>
      <c r="AD2">
        <v>5116</v>
      </c>
      <c r="AE2">
        <v>5118</v>
      </c>
      <c r="AF2">
        <v>5121</v>
      </c>
      <c r="AG2">
        <v>5123</v>
      </c>
      <c r="AH2">
        <v>10252</v>
      </c>
      <c r="AI2">
        <v>21201</v>
      </c>
      <c r="AJ2">
        <v>21211</v>
      </c>
      <c r="AK2">
        <v>25201</v>
      </c>
      <c r="AL2">
        <v>26903</v>
      </c>
      <c r="AM2">
        <v>26904</v>
      </c>
      <c r="AN2">
        <v>43234</v>
      </c>
      <c r="AO2" t="s">
        <v>2263</v>
      </c>
      <c r="AP2">
        <v>50118</v>
      </c>
      <c r="AQ2">
        <v>104112</v>
      </c>
      <c r="AR2">
        <v>219752</v>
      </c>
      <c r="AS2">
        <v>220183</v>
      </c>
      <c r="AT2">
        <v>311235</v>
      </c>
      <c r="AU2">
        <v>335147</v>
      </c>
      <c r="AV2">
        <v>452136</v>
      </c>
      <c r="AW2">
        <v>5.31100041410002E+16</v>
      </c>
      <c r="AX2">
        <v>561428</v>
      </c>
      <c r="AY2">
        <v>600136</v>
      </c>
      <c r="AZ2">
        <v>610315</v>
      </c>
      <c r="BA2">
        <v>620115</v>
      </c>
      <c r="BB2">
        <v>630025</v>
      </c>
      <c r="BC2">
        <v>740725</v>
      </c>
      <c r="BD2">
        <v>790401</v>
      </c>
      <c r="BE2">
        <v>791739</v>
      </c>
      <c r="BF2">
        <v>791820</v>
      </c>
      <c r="BG2">
        <v>800211</v>
      </c>
      <c r="BH2">
        <v>801211</v>
      </c>
      <c r="BI2">
        <v>811000</v>
      </c>
      <c r="BJ2">
        <v>811003</v>
      </c>
      <c r="BK2">
        <v>820098</v>
      </c>
      <c r="BL2">
        <v>820207</v>
      </c>
      <c r="BM2">
        <v>820207</v>
      </c>
      <c r="BN2">
        <v>820300</v>
      </c>
      <c r="BO2">
        <v>820498</v>
      </c>
      <c r="BP2">
        <v>820500</v>
      </c>
      <c r="BQ2" t="s">
        <v>2264</v>
      </c>
      <c r="BR2">
        <v>831003</v>
      </c>
      <c r="BS2">
        <v>831918</v>
      </c>
      <c r="BT2">
        <v>831951</v>
      </c>
      <c r="BU2">
        <v>833101</v>
      </c>
      <c r="BV2">
        <v>840002</v>
      </c>
      <c r="BW2">
        <v>840011</v>
      </c>
      <c r="BX2" t="s">
        <v>2265</v>
      </c>
      <c r="BY2" t="s">
        <v>2266</v>
      </c>
      <c r="BZ2">
        <v>840012</v>
      </c>
      <c r="CA2">
        <v>840019</v>
      </c>
      <c r="CB2">
        <v>840020</v>
      </c>
      <c r="CC2">
        <v>840030</v>
      </c>
      <c r="CD2" t="s">
        <v>2267</v>
      </c>
      <c r="CE2">
        <v>840032</v>
      </c>
      <c r="CF2">
        <v>840035</v>
      </c>
      <c r="CG2">
        <v>840041</v>
      </c>
      <c r="CH2">
        <v>840058</v>
      </c>
      <c r="CI2">
        <v>840155</v>
      </c>
      <c r="CJ2">
        <v>840194</v>
      </c>
      <c r="CK2">
        <v>840197</v>
      </c>
      <c r="CL2">
        <v>840224</v>
      </c>
      <c r="CM2">
        <v>840245</v>
      </c>
      <c r="CN2">
        <v>840255</v>
      </c>
      <c r="CO2">
        <v>840305</v>
      </c>
      <c r="CP2">
        <v>840358</v>
      </c>
      <c r="CQ2">
        <v>840400</v>
      </c>
      <c r="CR2">
        <v>840537</v>
      </c>
      <c r="CS2">
        <v>840547</v>
      </c>
      <c r="CT2">
        <v>840550</v>
      </c>
      <c r="CU2">
        <v>840929</v>
      </c>
      <c r="CV2">
        <v>841299</v>
      </c>
      <c r="CW2">
        <v>841327</v>
      </c>
      <c r="CX2">
        <v>842107</v>
      </c>
      <c r="CY2">
        <v>842123</v>
      </c>
      <c r="CZ2">
        <v>842133</v>
      </c>
      <c r="DA2">
        <v>842154</v>
      </c>
      <c r="DB2">
        <v>842206</v>
      </c>
      <c r="DC2">
        <v>842259</v>
      </c>
      <c r="DD2">
        <v>842300</v>
      </c>
      <c r="DE2">
        <v>842520</v>
      </c>
      <c r="DF2">
        <v>842523</v>
      </c>
      <c r="DG2">
        <v>842880</v>
      </c>
      <c r="DH2">
        <v>842881</v>
      </c>
      <c r="DI2">
        <v>842903</v>
      </c>
      <c r="DJ2">
        <v>842906</v>
      </c>
      <c r="DK2">
        <v>842922</v>
      </c>
      <c r="DL2">
        <v>842930</v>
      </c>
      <c r="DM2">
        <v>842931</v>
      </c>
      <c r="DN2">
        <v>842934</v>
      </c>
      <c r="DO2">
        <v>842959</v>
      </c>
      <c r="DP2">
        <v>842984</v>
      </c>
      <c r="DQ2">
        <v>843060</v>
      </c>
      <c r="DR2">
        <v>843077</v>
      </c>
      <c r="DS2">
        <v>843084</v>
      </c>
      <c r="DT2">
        <v>843125</v>
      </c>
      <c r="DU2">
        <v>843274</v>
      </c>
      <c r="DV2">
        <v>890000</v>
      </c>
      <c r="DW2">
        <v>911101</v>
      </c>
      <c r="DX2">
        <v>911125</v>
      </c>
      <c r="DY2">
        <v>911401</v>
      </c>
      <c r="DZ2">
        <v>912101</v>
      </c>
      <c r="EA2">
        <v>913501</v>
      </c>
      <c r="EB2">
        <v>913511</v>
      </c>
      <c r="EC2">
        <v>913521</v>
      </c>
      <c r="ED2">
        <v>913561</v>
      </c>
      <c r="EE2">
        <v>913563</v>
      </c>
      <c r="EF2">
        <v>913572</v>
      </c>
      <c r="EG2">
        <v>914001</v>
      </c>
      <c r="EH2">
        <v>914521</v>
      </c>
      <c r="EI2">
        <v>916001</v>
      </c>
      <c r="EJ2">
        <v>916002</v>
      </c>
      <c r="EK2">
        <v>916201</v>
      </c>
      <c r="EL2">
        <v>917004</v>
      </c>
      <c r="EM2" t="s">
        <v>2268</v>
      </c>
      <c r="EN2">
        <v>917302</v>
      </c>
      <c r="EO2" t="s">
        <v>2269</v>
      </c>
      <c r="EP2" t="s">
        <v>2270</v>
      </c>
      <c r="EQ2" t="s">
        <v>2271</v>
      </c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</row>
    <row r="3" spans="1:197" ht="15.75" x14ac:dyDescent="0.25">
      <c r="A3" s="1062" t="str">
        <f t="shared" ref="A3:A66" si="0">IF(B3=0, "",LEFT(B3,6))</f>
        <v>1</v>
      </c>
      <c r="B3" s="1063">
        <v>1</v>
      </c>
      <c r="C3" s="1063" t="str">
        <v>corn clean line H.A</v>
      </c>
      <c r="D3" s="1063">
        <v>50</v>
      </c>
      <c r="E3" s="1063">
        <v>50</v>
      </c>
      <c r="F3" s="1063">
        <v>0</v>
      </c>
      <c r="G3" s="1063">
        <v>0</v>
      </c>
      <c r="H3" s="1066" t="str">
        <f t="shared" ref="H3:H66" si="1">IFERROR(VLOOKUP(B3,$L$3:$M$28,2,0),0)</f>
        <v>CORN</v>
      </c>
      <c r="I3" s="1068">
        <f>IF(H3="CORN",$E:$E,0)</f>
        <v>50</v>
      </c>
      <c r="J3" s="832"/>
      <c r="K3" s="1063"/>
      <c r="L3" s="833" t="s">
        <v>893</v>
      </c>
      <c r="M3" s="834" t="s">
        <v>804</v>
      </c>
      <c r="N3" s="1069">
        <f t="shared" ref="N3:N10" si="2">IFERROR(VLOOKUP(B3,$L$30:$M$50,2,0),0)</f>
        <v>0</v>
      </c>
      <c r="O3" t="s">
        <v>2272</v>
      </c>
      <c r="P3" t="s">
        <v>2273</v>
      </c>
      <c r="Q3" t="s">
        <v>2274</v>
      </c>
      <c r="R3" t="s">
        <v>2275</v>
      </c>
      <c r="S3" t="s">
        <v>2276</v>
      </c>
      <c r="T3" t="s">
        <v>2277</v>
      </c>
      <c r="U3" t="s">
        <v>2278</v>
      </c>
      <c r="V3" t="s">
        <v>2279</v>
      </c>
      <c r="W3" t="s">
        <v>2280</v>
      </c>
      <c r="X3" t="s">
        <v>2281</v>
      </c>
      <c r="Y3" t="s">
        <v>1645</v>
      </c>
      <c r="Z3" t="s">
        <v>2282</v>
      </c>
      <c r="AA3" t="s">
        <v>1786</v>
      </c>
      <c r="AB3" t="s">
        <v>1767</v>
      </c>
      <c r="AC3" t="s">
        <v>2283</v>
      </c>
      <c r="AD3" t="s">
        <v>1860</v>
      </c>
      <c r="AE3" t="s">
        <v>1785</v>
      </c>
      <c r="AF3" t="s">
        <v>1850</v>
      </c>
      <c r="AG3" t="s">
        <v>1825</v>
      </c>
      <c r="AH3" t="s">
        <v>2284</v>
      </c>
      <c r="AI3" t="s">
        <v>2285</v>
      </c>
      <c r="AJ3" t="s">
        <v>2286</v>
      </c>
      <c r="AK3" t="s">
        <v>2287</v>
      </c>
      <c r="AL3" t="s">
        <v>2288</v>
      </c>
      <c r="AM3" t="s">
        <v>2289</v>
      </c>
      <c r="AN3" t="s">
        <v>2290</v>
      </c>
      <c r="AO3" t="s">
        <v>2291</v>
      </c>
      <c r="AP3" t="s">
        <v>2292</v>
      </c>
      <c r="AQ3" t="s">
        <v>2293</v>
      </c>
      <c r="AR3" t="s">
        <v>2294</v>
      </c>
      <c r="AS3" t="s">
        <v>2295</v>
      </c>
      <c r="AT3" t="s">
        <v>996</v>
      </c>
      <c r="AU3" t="s">
        <v>2296</v>
      </c>
      <c r="AV3" t="s">
        <v>2297</v>
      </c>
      <c r="AW3">
        <v>6924</v>
      </c>
      <c r="AX3" t="s">
        <v>2298</v>
      </c>
      <c r="AY3" t="s">
        <v>2299</v>
      </c>
      <c r="AZ3" t="s">
        <v>2300</v>
      </c>
      <c r="BA3" t="s">
        <v>2301</v>
      </c>
      <c r="BB3" t="s">
        <v>2302</v>
      </c>
      <c r="BC3" t="s">
        <v>2303</v>
      </c>
      <c r="BD3" t="s">
        <v>2304</v>
      </c>
      <c r="BE3" t="s">
        <v>2305</v>
      </c>
      <c r="BF3" t="s">
        <v>2306</v>
      </c>
      <c r="BG3" t="s">
        <v>2307</v>
      </c>
      <c r="BH3" t="s">
        <v>998</v>
      </c>
      <c r="BI3" t="s">
        <v>2308</v>
      </c>
      <c r="BJ3" t="s">
        <v>2309</v>
      </c>
      <c r="BK3" t="s">
        <v>2310</v>
      </c>
      <c r="BL3" t="s">
        <v>2311</v>
      </c>
      <c r="BM3" t="s">
        <v>2312</v>
      </c>
      <c r="BN3" t="s">
        <v>500</v>
      </c>
      <c r="BO3" t="s">
        <v>2313</v>
      </c>
      <c r="BP3" t="s">
        <v>664</v>
      </c>
      <c r="BQ3" t="s">
        <v>2314</v>
      </c>
      <c r="BR3" t="s">
        <v>2315</v>
      </c>
      <c r="BS3" t="s">
        <v>2316</v>
      </c>
      <c r="BT3" t="s">
        <v>2317</v>
      </c>
      <c r="BU3" t="s">
        <v>2318</v>
      </c>
      <c r="BV3" t="s">
        <v>2319</v>
      </c>
      <c r="BW3" t="s">
        <v>2320</v>
      </c>
      <c r="BX3" t="s">
        <v>2321</v>
      </c>
      <c r="BY3" t="s">
        <v>2322</v>
      </c>
      <c r="BZ3" t="s">
        <v>2323</v>
      </c>
      <c r="CA3" t="s">
        <v>1314</v>
      </c>
      <c r="CB3" t="s">
        <v>2324</v>
      </c>
      <c r="CC3" t="s">
        <v>2325</v>
      </c>
      <c r="CD3" t="s">
        <v>2326</v>
      </c>
      <c r="CE3" t="s">
        <v>2327</v>
      </c>
      <c r="CF3" t="s">
        <v>1263</v>
      </c>
      <c r="CG3" t="s">
        <v>2328</v>
      </c>
      <c r="CH3" t="s">
        <v>2329</v>
      </c>
      <c r="CI3" t="s">
        <v>1350</v>
      </c>
      <c r="CJ3" t="s">
        <v>2330</v>
      </c>
      <c r="CK3" t="s">
        <v>2331</v>
      </c>
      <c r="CL3" t="s">
        <v>2332</v>
      </c>
      <c r="CM3" t="s">
        <v>1112</v>
      </c>
      <c r="CN3" t="s">
        <v>2333</v>
      </c>
      <c r="CO3" t="s">
        <v>2334</v>
      </c>
      <c r="CP3" t="s">
        <v>2335</v>
      </c>
      <c r="CQ3" t="s">
        <v>2336</v>
      </c>
      <c r="CR3" t="s">
        <v>2337</v>
      </c>
      <c r="CS3" t="s">
        <v>2338</v>
      </c>
      <c r="CT3" t="s">
        <v>1770</v>
      </c>
      <c r="CU3" t="s">
        <v>2339</v>
      </c>
      <c r="CV3" t="s">
        <v>380</v>
      </c>
      <c r="CW3" t="s">
        <v>2340</v>
      </c>
      <c r="CX3" t="s">
        <v>2341</v>
      </c>
      <c r="CY3" t="s">
        <v>2342</v>
      </c>
      <c r="CZ3" t="s">
        <v>2343</v>
      </c>
      <c r="DA3" t="s">
        <v>2344</v>
      </c>
      <c r="DB3" t="s">
        <v>2345</v>
      </c>
      <c r="DC3" t="s">
        <v>2346</v>
      </c>
      <c r="DD3" t="s">
        <v>2347</v>
      </c>
      <c r="DE3" t="s">
        <v>2348</v>
      </c>
      <c r="DF3" t="s">
        <v>462</v>
      </c>
      <c r="DG3" t="s">
        <v>2349</v>
      </c>
      <c r="DH3" t="s">
        <v>2350</v>
      </c>
      <c r="DI3" t="s">
        <v>2351</v>
      </c>
      <c r="DJ3" t="s">
        <v>1000</v>
      </c>
      <c r="DK3" t="s">
        <v>2352</v>
      </c>
      <c r="DL3" t="s">
        <v>2353</v>
      </c>
      <c r="DM3" t="s">
        <v>2354</v>
      </c>
      <c r="DN3" t="s">
        <v>2355</v>
      </c>
      <c r="DO3" t="s">
        <v>2356</v>
      </c>
      <c r="DP3" t="s">
        <v>2357</v>
      </c>
      <c r="DQ3" t="s">
        <v>455</v>
      </c>
      <c r="DR3" t="s">
        <v>2358</v>
      </c>
      <c r="DS3" t="s">
        <v>2359</v>
      </c>
      <c r="DT3" t="s">
        <v>2360</v>
      </c>
      <c r="DU3" t="s">
        <v>2361</v>
      </c>
      <c r="DV3" t="s">
        <v>2362</v>
      </c>
      <c r="DW3" t="s">
        <v>2363</v>
      </c>
      <c r="DX3" t="s">
        <v>2364</v>
      </c>
      <c r="DY3" t="s">
        <v>2365</v>
      </c>
      <c r="DZ3" t="s">
        <v>2366</v>
      </c>
      <c r="EA3" t="s">
        <v>2367</v>
      </c>
      <c r="EB3" t="s">
        <v>2368</v>
      </c>
      <c r="EC3" t="s">
        <v>2369</v>
      </c>
      <c r="ED3" t="s">
        <v>2370</v>
      </c>
      <c r="EE3" t="s">
        <v>2371</v>
      </c>
      <c r="EF3" t="s">
        <v>2372</v>
      </c>
      <c r="EG3" t="s">
        <v>2373</v>
      </c>
      <c r="EH3" t="s">
        <v>2374</v>
      </c>
      <c r="EI3" t="s">
        <v>1103</v>
      </c>
      <c r="EJ3" t="s">
        <v>2375</v>
      </c>
      <c r="EK3" t="s">
        <v>2376</v>
      </c>
      <c r="EL3" t="s">
        <v>1002</v>
      </c>
      <c r="EM3" t="s">
        <v>1002</v>
      </c>
      <c r="EN3" t="s">
        <v>1680</v>
      </c>
      <c r="EO3" t="s">
        <v>2269</v>
      </c>
      <c r="EP3" t="s">
        <v>2377</v>
      </c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</row>
    <row r="4" spans="1:197" ht="16.5" thickBot="1" x14ac:dyDescent="0.3">
      <c r="A4" s="1062" t="str">
        <f t="shared" si="0"/>
        <v>000001</v>
      </c>
      <c r="B4" s="1063" t="str">
        <v>000001*</v>
      </c>
      <c r="C4" s="1063" t="str">
        <v>corn clean line  g619</v>
      </c>
      <c r="D4" s="1063">
        <v>20</v>
      </c>
      <c r="E4" s="1063">
        <v>20</v>
      </c>
      <c r="F4" s="1063">
        <v>0</v>
      </c>
      <c r="G4" s="1063">
        <v>0</v>
      </c>
      <c r="H4" s="1066" t="str">
        <f t="shared" si="1"/>
        <v>CORN</v>
      </c>
      <c r="I4" s="1068">
        <f t="shared" ref="I4:I67" si="3">IF(H4="CORN",$E:$E,0)</f>
        <v>20</v>
      </c>
      <c r="J4" s="832"/>
      <c r="K4" s="1063"/>
      <c r="L4" s="833" t="s">
        <v>894</v>
      </c>
      <c r="M4" s="834" t="s">
        <v>804</v>
      </c>
      <c r="N4" s="1069">
        <f t="shared" si="2"/>
        <v>0</v>
      </c>
      <c r="O4" t="s">
        <v>2378</v>
      </c>
      <c r="P4">
        <v>50</v>
      </c>
      <c r="Q4">
        <v>20</v>
      </c>
      <c r="R4">
        <v>20</v>
      </c>
      <c r="S4">
        <v>100</v>
      </c>
      <c r="T4">
        <v>20</v>
      </c>
      <c r="U4">
        <v>6</v>
      </c>
      <c r="V4">
        <v>2920</v>
      </c>
      <c r="W4">
        <v>298.64999999999998</v>
      </c>
      <c r="X4">
        <v>4406.3</v>
      </c>
      <c r="Y4">
        <v>711.59</v>
      </c>
      <c r="Z4">
        <v>94.23</v>
      </c>
      <c r="AA4">
        <v>2.44</v>
      </c>
      <c r="AB4">
        <v>1.05</v>
      </c>
      <c r="AC4">
        <v>13</v>
      </c>
      <c r="AD4">
        <v>67.63</v>
      </c>
      <c r="AE4">
        <v>707.64</v>
      </c>
      <c r="AF4">
        <v>4286.04</v>
      </c>
      <c r="AG4">
        <v>498.31</v>
      </c>
      <c r="AH4">
        <v>23600</v>
      </c>
      <c r="AI4">
        <v>503285.59</v>
      </c>
      <c r="AJ4">
        <v>66772.37</v>
      </c>
      <c r="AK4">
        <v>423775.27</v>
      </c>
      <c r="AL4">
        <v>65790</v>
      </c>
      <c r="AM4">
        <v>10080</v>
      </c>
      <c r="AN4">
        <v>70860.800000000003</v>
      </c>
      <c r="AO4">
        <v>2539.8000000000002</v>
      </c>
      <c r="AP4">
        <v>6000</v>
      </c>
      <c r="AQ4">
        <v>36893.71</v>
      </c>
      <c r="AR4">
        <v>13764.63</v>
      </c>
      <c r="AS4">
        <v>3264.6</v>
      </c>
      <c r="AT4">
        <v>26319.83</v>
      </c>
      <c r="AU4">
        <v>316080.48</v>
      </c>
      <c r="AV4">
        <v>2646.9</v>
      </c>
      <c r="AW4">
        <v>3000</v>
      </c>
      <c r="AX4">
        <v>118167.85</v>
      </c>
      <c r="AY4">
        <v>101928.52</v>
      </c>
      <c r="AZ4">
        <v>20837.990000000002</v>
      </c>
      <c r="BA4">
        <v>10180.68</v>
      </c>
      <c r="BB4">
        <v>15901.99</v>
      </c>
      <c r="BC4">
        <v>74601.5</v>
      </c>
      <c r="BD4">
        <v>5425.12</v>
      </c>
      <c r="BE4">
        <v>3.9</v>
      </c>
      <c r="BF4">
        <v>21.05</v>
      </c>
      <c r="BG4">
        <v>11181.51</v>
      </c>
      <c r="BH4">
        <v>1260</v>
      </c>
      <c r="BI4">
        <v>31159.47</v>
      </c>
      <c r="BJ4">
        <v>5820.15</v>
      </c>
      <c r="BK4">
        <v>10655.26</v>
      </c>
      <c r="BL4">
        <v>10272.08</v>
      </c>
      <c r="BM4">
        <v>8914.7099999999991</v>
      </c>
      <c r="BN4">
        <v>3164.29</v>
      </c>
      <c r="BO4">
        <v>5938.28</v>
      </c>
      <c r="BP4">
        <v>697.57</v>
      </c>
      <c r="BQ4">
        <v>2800</v>
      </c>
      <c r="BR4">
        <v>2800</v>
      </c>
      <c r="BS4">
        <v>160</v>
      </c>
      <c r="BT4">
        <v>160</v>
      </c>
      <c r="BU4">
        <v>1120</v>
      </c>
      <c r="BV4">
        <v>1962.81</v>
      </c>
      <c r="BW4">
        <v>1296.46</v>
      </c>
      <c r="BX4">
        <v>1830.3</v>
      </c>
      <c r="BY4">
        <v>691.6</v>
      </c>
      <c r="BZ4">
        <v>4759.7299999999996</v>
      </c>
      <c r="CA4">
        <v>1044.23</v>
      </c>
      <c r="CB4">
        <v>335.51</v>
      </c>
      <c r="CC4">
        <v>869.79</v>
      </c>
      <c r="CD4">
        <v>702.08</v>
      </c>
      <c r="CE4">
        <v>353.05</v>
      </c>
      <c r="CF4">
        <v>206.06</v>
      </c>
      <c r="CG4">
        <v>992.86</v>
      </c>
      <c r="CH4">
        <v>1711.8</v>
      </c>
      <c r="CI4">
        <v>202.08</v>
      </c>
      <c r="CJ4">
        <v>164.64</v>
      </c>
      <c r="CK4">
        <v>63</v>
      </c>
      <c r="CL4">
        <v>27.3</v>
      </c>
      <c r="CM4">
        <v>69.72</v>
      </c>
      <c r="CN4">
        <v>235.2</v>
      </c>
      <c r="CO4">
        <v>23.6</v>
      </c>
      <c r="CP4">
        <v>9</v>
      </c>
      <c r="CQ4">
        <v>360</v>
      </c>
      <c r="CR4">
        <v>8.1999999999999993</v>
      </c>
      <c r="CS4">
        <v>38.64</v>
      </c>
      <c r="CT4">
        <v>8.4499999999999993</v>
      </c>
      <c r="CU4">
        <v>82.32</v>
      </c>
      <c r="CV4">
        <v>253.4</v>
      </c>
      <c r="CW4">
        <v>32.049999999999997</v>
      </c>
      <c r="CX4">
        <v>365.45</v>
      </c>
      <c r="CY4">
        <v>126</v>
      </c>
      <c r="CZ4">
        <v>126</v>
      </c>
      <c r="DA4">
        <v>33.6</v>
      </c>
      <c r="DB4">
        <v>31.5</v>
      </c>
      <c r="DC4">
        <v>197.4</v>
      </c>
      <c r="DD4">
        <v>81</v>
      </c>
      <c r="DE4">
        <v>8.83</v>
      </c>
      <c r="DF4">
        <v>22.68</v>
      </c>
      <c r="DG4">
        <v>420.74</v>
      </c>
      <c r="DH4">
        <v>6.3</v>
      </c>
      <c r="DI4">
        <v>164.74</v>
      </c>
      <c r="DJ4">
        <v>1589.53</v>
      </c>
      <c r="DK4">
        <v>203.36</v>
      </c>
      <c r="DL4">
        <v>8.4</v>
      </c>
      <c r="DM4">
        <v>378</v>
      </c>
      <c r="DN4">
        <v>664.8</v>
      </c>
      <c r="DO4">
        <v>25.2</v>
      </c>
      <c r="DP4">
        <v>300</v>
      </c>
      <c r="DQ4">
        <v>95.47</v>
      </c>
      <c r="DR4">
        <v>23.81</v>
      </c>
      <c r="DS4">
        <v>25.23</v>
      </c>
      <c r="DT4">
        <v>42</v>
      </c>
      <c r="DU4">
        <v>16</v>
      </c>
      <c r="DV4">
        <v>49644.01</v>
      </c>
      <c r="DW4">
        <v>296.10000000000002</v>
      </c>
      <c r="DX4">
        <v>16.8</v>
      </c>
      <c r="DY4">
        <v>16.8</v>
      </c>
      <c r="DZ4">
        <v>257.04000000000002</v>
      </c>
      <c r="EA4">
        <v>120</v>
      </c>
      <c r="EB4">
        <v>210</v>
      </c>
      <c r="EC4">
        <v>256.2</v>
      </c>
      <c r="ED4">
        <v>63</v>
      </c>
      <c r="EE4">
        <v>63</v>
      </c>
      <c r="EF4">
        <v>126</v>
      </c>
      <c r="EG4">
        <v>560.88</v>
      </c>
      <c r="EH4">
        <v>594.72</v>
      </c>
      <c r="EI4">
        <v>67.2</v>
      </c>
      <c r="EJ4">
        <v>25.2</v>
      </c>
      <c r="EK4">
        <v>159.6</v>
      </c>
      <c r="EL4">
        <v>180</v>
      </c>
      <c r="EM4">
        <v>450</v>
      </c>
      <c r="EN4">
        <v>592.20000000000005</v>
      </c>
      <c r="EO4">
        <v>2534</v>
      </c>
      <c r="EP4">
        <v>1905</v>
      </c>
      <c r="EQ4">
        <v>12029.96</v>
      </c>
      <c r="ER4">
        <v>2125526.4</v>
      </c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</row>
    <row r="5" spans="1:197" ht="15.75" x14ac:dyDescent="0.25">
      <c r="A5" s="1062" t="str">
        <f t="shared" si="0"/>
        <v>000001</v>
      </c>
      <c r="B5" s="1063" t="str">
        <v>000001**</v>
      </c>
      <c r="C5" s="1063" t="str">
        <v>corn clean line  g611</v>
      </c>
      <c r="D5" s="1063">
        <v>20</v>
      </c>
      <c r="E5" s="1063">
        <v>20.21</v>
      </c>
      <c r="F5" s="1063">
        <v>0.21</v>
      </c>
      <c r="G5" s="1063">
        <v>1.05</v>
      </c>
      <c r="H5" s="1066" t="str">
        <f t="shared" si="1"/>
        <v>CORN</v>
      </c>
      <c r="I5" s="1068">
        <f t="shared" si="3"/>
        <v>20.21</v>
      </c>
      <c r="J5" s="835" t="s">
        <v>940</v>
      </c>
      <c r="K5" s="1063"/>
      <c r="L5" s="833" t="s">
        <v>895</v>
      </c>
      <c r="M5" s="834" t="s">
        <v>804</v>
      </c>
      <c r="N5" s="1069">
        <f t="shared" si="2"/>
        <v>0</v>
      </c>
      <c r="O5" t="s">
        <v>2379</v>
      </c>
      <c r="P5">
        <v>50</v>
      </c>
      <c r="Q5">
        <v>20</v>
      </c>
      <c r="R5">
        <v>20.21</v>
      </c>
      <c r="S5">
        <v>95.82</v>
      </c>
      <c r="T5">
        <v>20.170000000000002</v>
      </c>
      <c r="U5">
        <v>6</v>
      </c>
      <c r="V5">
        <v>2946.35</v>
      </c>
      <c r="W5">
        <v>298.64999999999998</v>
      </c>
      <c r="X5">
        <v>4393</v>
      </c>
      <c r="Y5">
        <v>711.59</v>
      </c>
      <c r="Z5">
        <v>94.2</v>
      </c>
      <c r="AA5">
        <v>2.4</v>
      </c>
      <c r="AB5">
        <v>1.05</v>
      </c>
      <c r="AC5">
        <v>13</v>
      </c>
      <c r="AD5">
        <v>67.63</v>
      </c>
      <c r="AE5">
        <v>707.64</v>
      </c>
      <c r="AF5">
        <v>4278</v>
      </c>
      <c r="AG5">
        <v>493</v>
      </c>
      <c r="AH5">
        <v>23600</v>
      </c>
      <c r="AI5">
        <v>502261</v>
      </c>
      <c r="AJ5">
        <v>66854</v>
      </c>
      <c r="AK5">
        <v>423153</v>
      </c>
      <c r="AL5">
        <v>65205</v>
      </c>
      <c r="AM5">
        <v>10117</v>
      </c>
      <c r="AN5">
        <v>69909</v>
      </c>
      <c r="AO5">
        <v>2540</v>
      </c>
      <c r="AP5">
        <v>6098</v>
      </c>
      <c r="AQ5">
        <v>36610</v>
      </c>
      <c r="AR5">
        <v>13433</v>
      </c>
      <c r="AS5">
        <v>3203.5</v>
      </c>
      <c r="AT5">
        <v>26357</v>
      </c>
      <c r="AU5">
        <v>316008</v>
      </c>
      <c r="AV5">
        <v>2691</v>
      </c>
      <c r="AW5">
        <v>2827</v>
      </c>
      <c r="AX5">
        <v>118418</v>
      </c>
      <c r="AY5">
        <v>101922</v>
      </c>
      <c r="AZ5">
        <v>20852</v>
      </c>
      <c r="BA5">
        <v>10127</v>
      </c>
      <c r="BB5">
        <v>15750</v>
      </c>
      <c r="BC5">
        <v>74297</v>
      </c>
      <c r="BD5">
        <v>5428</v>
      </c>
      <c r="BE5">
        <v>3.9</v>
      </c>
      <c r="BF5">
        <v>20.93</v>
      </c>
      <c r="BG5">
        <v>11051.7</v>
      </c>
      <c r="BH5">
        <v>1260</v>
      </c>
      <c r="BI5">
        <v>31159.47</v>
      </c>
      <c r="BJ5">
        <v>5888.2</v>
      </c>
      <c r="BK5">
        <v>10655.4</v>
      </c>
      <c r="BL5">
        <v>10246.5</v>
      </c>
      <c r="BM5">
        <v>9048.5</v>
      </c>
      <c r="BN5">
        <v>3157.6</v>
      </c>
      <c r="BO5">
        <v>5889.1</v>
      </c>
      <c r="BP5">
        <v>693.5</v>
      </c>
      <c r="BQ5">
        <v>2800</v>
      </c>
      <c r="BR5">
        <v>2800</v>
      </c>
      <c r="BS5">
        <v>160</v>
      </c>
      <c r="BT5">
        <v>168</v>
      </c>
      <c r="BU5">
        <v>1117</v>
      </c>
      <c r="BV5">
        <v>1962.72</v>
      </c>
      <c r="BW5">
        <v>1295.8</v>
      </c>
      <c r="BX5">
        <v>1832</v>
      </c>
      <c r="BY5">
        <v>691.85</v>
      </c>
      <c r="BZ5">
        <v>4695.1000000000004</v>
      </c>
      <c r="CA5">
        <v>1040.9100000000001</v>
      </c>
      <c r="CB5">
        <v>334.17</v>
      </c>
      <c r="CC5">
        <v>867.66</v>
      </c>
      <c r="CD5">
        <v>704.7</v>
      </c>
      <c r="CE5">
        <v>351.32</v>
      </c>
      <c r="CF5">
        <v>204.1</v>
      </c>
      <c r="CG5">
        <v>980.09</v>
      </c>
      <c r="CH5">
        <v>1695.2</v>
      </c>
      <c r="CI5">
        <v>202.08</v>
      </c>
      <c r="CJ5">
        <v>162.88</v>
      </c>
      <c r="CK5">
        <v>62.63</v>
      </c>
      <c r="CL5">
        <v>27.3</v>
      </c>
      <c r="CM5">
        <v>69.819999999999993</v>
      </c>
      <c r="CN5">
        <v>235.25</v>
      </c>
      <c r="CO5">
        <v>23.61</v>
      </c>
      <c r="CP5">
        <v>9.0500000000000007</v>
      </c>
      <c r="CQ5">
        <v>356.4</v>
      </c>
      <c r="CR5">
        <v>8.1199999999999992</v>
      </c>
      <c r="CS5">
        <v>38.61</v>
      </c>
      <c r="CT5">
        <v>8.5</v>
      </c>
      <c r="CU5">
        <v>81.56</v>
      </c>
      <c r="CV5">
        <v>253.9</v>
      </c>
      <c r="CW5">
        <v>32.049999999999997</v>
      </c>
      <c r="CX5">
        <v>363.14</v>
      </c>
      <c r="CY5">
        <v>125.66</v>
      </c>
      <c r="CZ5">
        <v>124.62</v>
      </c>
      <c r="DA5">
        <v>33.659999999999997</v>
      </c>
      <c r="DB5">
        <v>31.16</v>
      </c>
      <c r="DC5">
        <v>196.18</v>
      </c>
      <c r="DD5">
        <v>81.459999999999994</v>
      </c>
      <c r="DE5">
        <v>8.85</v>
      </c>
      <c r="DF5">
        <v>22.68</v>
      </c>
      <c r="DG5">
        <v>420.74</v>
      </c>
      <c r="DH5">
        <v>6.35</v>
      </c>
      <c r="DI5">
        <v>165.55</v>
      </c>
      <c r="DJ5">
        <v>1588.5</v>
      </c>
      <c r="DK5">
        <v>203.31</v>
      </c>
      <c r="DL5">
        <v>8.34</v>
      </c>
      <c r="DM5">
        <v>375.66</v>
      </c>
      <c r="DN5">
        <v>657.68</v>
      </c>
      <c r="DO5">
        <v>24.96</v>
      </c>
      <c r="DP5">
        <v>300.89999999999998</v>
      </c>
      <c r="DQ5">
        <v>95.45</v>
      </c>
      <c r="DR5">
        <v>24</v>
      </c>
      <c r="DS5">
        <v>25.3</v>
      </c>
      <c r="DT5">
        <v>42.05</v>
      </c>
      <c r="DU5">
        <v>16</v>
      </c>
      <c r="DV5">
        <v>49519</v>
      </c>
      <c r="DW5">
        <v>294.44</v>
      </c>
      <c r="DX5">
        <v>16.62</v>
      </c>
      <c r="DY5">
        <v>16.8</v>
      </c>
      <c r="DZ5">
        <v>256.58</v>
      </c>
      <c r="EA5">
        <v>119.34</v>
      </c>
      <c r="EB5">
        <v>208.26</v>
      </c>
      <c r="EC5">
        <v>255.7</v>
      </c>
      <c r="ED5">
        <v>62.49</v>
      </c>
      <c r="EE5">
        <v>62.45</v>
      </c>
      <c r="EF5">
        <v>124.58</v>
      </c>
      <c r="EG5">
        <v>559.74</v>
      </c>
      <c r="EH5">
        <v>597.04</v>
      </c>
      <c r="EI5">
        <v>67.2</v>
      </c>
      <c r="EJ5">
        <v>25.04</v>
      </c>
      <c r="EK5">
        <v>159.6</v>
      </c>
      <c r="EL5">
        <v>178.84</v>
      </c>
      <c r="EM5">
        <v>450</v>
      </c>
      <c r="EN5">
        <v>581.82000000000005</v>
      </c>
      <c r="EO5">
        <v>2568.91</v>
      </c>
      <c r="EP5">
        <v>1908.51</v>
      </c>
      <c r="EQ5">
        <v>12039.77</v>
      </c>
      <c r="ER5">
        <v>2121241.3199999998</v>
      </c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</row>
    <row r="6" spans="1:197" s="1070" customFormat="1" ht="16.5" thickBot="1" x14ac:dyDescent="0.3">
      <c r="A6" s="1062" t="str">
        <f t="shared" si="0"/>
        <v>000001</v>
      </c>
      <c r="B6" s="1063" t="str">
        <v>000001***</v>
      </c>
      <c r="C6" s="1063" t="str">
        <v>corn clean line MC</v>
      </c>
      <c r="D6" s="1063">
        <v>100</v>
      </c>
      <c r="E6" s="1063">
        <v>95.82</v>
      </c>
      <c r="F6" s="1063">
        <v>-4.18</v>
      </c>
      <c r="G6" s="1063">
        <v>-4.18</v>
      </c>
      <c r="H6" s="1066" t="str">
        <f t="shared" si="1"/>
        <v>CORN</v>
      </c>
      <c r="I6" s="1068">
        <f t="shared" si="3"/>
        <v>95.82</v>
      </c>
      <c r="J6" s="836">
        <v>29997.75</v>
      </c>
      <c r="K6" s="1073"/>
      <c r="L6" s="833" t="s">
        <v>896</v>
      </c>
      <c r="M6" s="834" t="s">
        <v>804</v>
      </c>
      <c r="N6" s="1069">
        <f t="shared" si="2"/>
        <v>0</v>
      </c>
      <c r="O6" t="s">
        <v>2380</v>
      </c>
      <c r="P6">
        <v>0</v>
      </c>
      <c r="Q6">
        <v>0</v>
      </c>
      <c r="R6">
        <v>0.21</v>
      </c>
      <c r="S6">
        <v>-4.18</v>
      </c>
      <c r="T6">
        <v>0.17</v>
      </c>
      <c r="U6">
        <v>0</v>
      </c>
      <c r="V6">
        <v>26.35</v>
      </c>
      <c r="W6">
        <v>0</v>
      </c>
      <c r="X6">
        <v>-13.3</v>
      </c>
      <c r="Y6">
        <v>0</v>
      </c>
      <c r="Z6">
        <v>-0.04</v>
      </c>
      <c r="AA6">
        <v>-0.04</v>
      </c>
      <c r="AB6">
        <v>0</v>
      </c>
      <c r="AC6">
        <v>0</v>
      </c>
      <c r="AD6">
        <v>0</v>
      </c>
      <c r="AE6">
        <v>0</v>
      </c>
      <c r="AF6">
        <v>-8.0399999999999991</v>
      </c>
      <c r="AG6">
        <v>-5.31</v>
      </c>
      <c r="AH6">
        <v>0</v>
      </c>
      <c r="AI6">
        <v>-1024.5899999999999</v>
      </c>
      <c r="AJ6">
        <v>81.63</v>
      </c>
      <c r="AK6">
        <v>-622.27</v>
      </c>
      <c r="AL6">
        <v>-585</v>
      </c>
      <c r="AM6">
        <v>37</v>
      </c>
      <c r="AN6">
        <v>-951.8</v>
      </c>
      <c r="AO6">
        <v>0.2</v>
      </c>
      <c r="AP6">
        <v>98</v>
      </c>
      <c r="AQ6">
        <v>-283.70999999999998</v>
      </c>
      <c r="AR6">
        <v>-331.63</v>
      </c>
      <c r="AS6">
        <v>-61.1</v>
      </c>
      <c r="AT6">
        <v>37.17</v>
      </c>
      <c r="AU6">
        <v>-72.48</v>
      </c>
      <c r="AV6">
        <v>44.1</v>
      </c>
      <c r="AW6">
        <v>-173</v>
      </c>
      <c r="AX6">
        <v>250.15</v>
      </c>
      <c r="AY6">
        <v>-6.52</v>
      </c>
      <c r="AZ6">
        <v>14.01</v>
      </c>
      <c r="BA6">
        <v>-53.68</v>
      </c>
      <c r="BB6">
        <v>-151.99</v>
      </c>
      <c r="BC6">
        <v>-304.5</v>
      </c>
      <c r="BD6">
        <v>2.88</v>
      </c>
      <c r="BE6">
        <v>0</v>
      </c>
      <c r="BF6">
        <v>-0.12</v>
      </c>
      <c r="BG6">
        <v>-129.81</v>
      </c>
      <c r="BH6">
        <v>0</v>
      </c>
      <c r="BI6">
        <v>0</v>
      </c>
      <c r="BJ6">
        <v>68.05</v>
      </c>
      <c r="BK6">
        <v>0.14000000000000001</v>
      </c>
      <c r="BL6">
        <v>-25.58</v>
      </c>
      <c r="BM6">
        <v>133.79</v>
      </c>
      <c r="BN6">
        <v>-6.69</v>
      </c>
      <c r="BO6">
        <v>-49.18</v>
      </c>
      <c r="BP6">
        <v>-4.07</v>
      </c>
      <c r="BQ6">
        <v>0</v>
      </c>
      <c r="BR6">
        <v>0</v>
      </c>
      <c r="BS6">
        <v>0</v>
      </c>
      <c r="BT6">
        <v>8</v>
      </c>
      <c r="BU6">
        <v>-3</v>
      </c>
      <c r="BV6">
        <v>-0.09</v>
      </c>
      <c r="BW6">
        <v>-0.66</v>
      </c>
      <c r="BX6">
        <v>1.7</v>
      </c>
      <c r="BY6">
        <v>0.25</v>
      </c>
      <c r="BZ6">
        <v>-64.63</v>
      </c>
      <c r="CA6">
        <v>-3.32</v>
      </c>
      <c r="CB6">
        <v>-1.34</v>
      </c>
      <c r="CC6">
        <v>-2.13</v>
      </c>
      <c r="CD6">
        <v>2.62</v>
      </c>
      <c r="CE6">
        <v>-1.73</v>
      </c>
      <c r="CF6">
        <v>-1.96</v>
      </c>
      <c r="CG6">
        <v>-12.77</v>
      </c>
      <c r="CH6">
        <v>-16.600000000000001</v>
      </c>
      <c r="CI6">
        <v>0</v>
      </c>
      <c r="CJ6">
        <v>-1.76</v>
      </c>
      <c r="CK6">
        <v>-0.37</v>
      </c>
      <c r="CL6">
        <v>0</v>
      </c>
      <c r="CM6">
        <v>0.1</v>
      </c>
      <c r="CN6">
        <v>0.05</v>
      </c>
      <c r="CO6">
        <v>0.01</v>
      </c>
      <c r="CP6">
        <v>0.05</v>
      </c>
      <c r="CQ6">
        <v>-3.6</v>
      </c>
      <c r="CR6">
        <v>-0.08</v>
      </c>
      <c r="CS6">
        <v>-0.03</v>
      </c>
      <c r="CT6">
        <v>0.05</v>
      </c>
      <c r="CU6">
        <v>-0.76</v>
      </c>
      <c r="CV6">
        <v>0.5</v>
      </c>
      <c r="CW6">
        <v>0</v>
      </c>
      <c r="CX6">
        <v>-2.31</v>
      </c>
      <c r="CY6">
        <v>-0.34</v>
      </c>
      <c r="CZ6">
        <v>-1.38</v>
      </c>
      <c r="DA6">
        <v>0.06</v>
      </c>
      <c r="DB6">
        <v>-0.34</v>
      </c>
      <c r="DC6">
        <v>-1.22</v>
      </c>
      <c r="DD6">
        <v>0.46</v>
      </c>
      <c r="DE6">
        <v>0.02</v>
      </c>
      <c r="DF6">
        <v>0</v>
      </c>
      <c r="DG6">
        <v>0</v>
      </c>
      <c r="DH6">
        <v>0.05</v>
      </c>
      <c r="DI6">
        <v>0.81</v>
      </c>
      <c r="DJ6">
        <v>-1.03</v>
      </c>
      <c r="DK6">
        <v>-0.05</v>
      </c>
      <c r="DL6">
        <v>-0.06</v>
      </c>
      <c r="DM6">
        <v>-2.34</v>
      </c>
      <c r="DN6">
        <v>-7.12</v>
      </c>
      <c r="DO6">
        <v>-0.24</v>
      </c>
      <c r="DP6">
        <v>0.9</v>
      </c>
      <c r="DQ6">
        <v>-0.02</v>
      </c>
      <c r="DR6">
        <v>0.19</v>
      </c>
      <c r="DS6">
        <v>7.0000000000000007E-2</v>
      </c>
      <c r="DT6">
        <v>0.05</v>
      </c>
      <c r="DU6">
        <v>0</v>
      </c>
      <c r="DV6">
        <v>-125.01</v>
      </c>
      <c r="DW6">
        <v>-1.66</v>
      </c>
      <c r="DX6">
        <v>-0.18</v>
      </c>
      <c r="DY6">
        <v>0</v>
      </c>
      <c r="DZ6">
        <v>-0.46</v>
      </c>
      <c r="EA6">
        <v>-0.66</v>
      </c>
      <c r="EB6">
        <v>-1.74</v>
      </c>
      <c r="EC6">
        <v>-0.5</v>
      </c>
      <c r="ED6">
        <v>-0.51</v>
      </c>
      <c r="EE6">
        <v>-0.55000000000000004</v>
      </c>
      <c r="EF6">
        <v>-1.42</v>
      </c>
      <c r="EG6">
        <v>-1.1399999999999999</v>
      </c>
      <c r="EH6">
        <v>2.3199999999999998</v>
      </c>
      <c r="EI6">
        <v>0</v>
      </c>
      <c r="EJ6">
        <v>-0.16</v>
      </c>
      <c r="EK6">
        <v>0</v>
      </c>
      <c r="EL6">
        <v>-1.1599999999999999</v>
      </c>
      <c r="EM6">
        <v>0</v>
      </c>
      <c r="EN6">
        <v>-10.38</v>
      </c>
      <c r="EO6">
        <v>34.909999999999997</v>
      </c>
      <c r="EP6">
        <v>3.51</v>
      </c>
      <c r="EQ6">
        <v>9.81</v>
      </c>
      <c r="ER6">
        <v>-4285.08</v>
      </c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</row>
    <row r="7" spans="1:197" ht="15.75" x14ac:dyDescent="0.25">
      <c r="A7" s="1062" t="str">
        <f t="shared" si="0"/>
        <v>000001</v>
      </c>
      <c r="B7" s="1063" t="str">
        <v>000001****</v>
      </c>
      <c r="C7" s="1063" t="str">
        <v>clean line g615</v>
      </c>
      <c r="D7" s="1063">
        <v>20</v>
      </c>
      <c r="E7" s="1063">
        <v>20.170000000000002</v>
      </c>
      <c r="F7" s="1063">
        <v>0.17</v>
      </c>
      <c r="G7" s="1063">
        <v>0.85</v>
      </c>
      <c r="H7" s="1066" t="str">
        <f t="shared" si="1"/>
        <v>CORN</v>
      </c>
      <c r="I7" s="1068">
        <f t="shared" si="3"/>
        <v>20.170000000000002</v>
      </c>
      <c r="J7" s="832"/>
      <c r="K7" s="1063"/>
      <c r="L7" s="833">
        <v>25201</v>
      </c>
      <c r="M7" s="834" t="s">
        <v>804</v>
      </c>
      <c r="N7" s="1069">
        <f t="shared" si="2"/>
        <v>0</v>
      </c>
      <c r="O7" t="s">
        <v>2381</v>
      </c>
      <c r="P7">
        <v>0</v>
      </c>
      <c r="Q7">
        <v>0</v>
      </c>
      <c r="R7">
        <v>1.05</v>
      </c>
      <c r="S7">
        <v>-4.18</v>
      </c>
      <c r="T7">
        <v>0.85</v>
      </c>
      <c r="U7">
        <v>0</v>
      </c>
      <c r="V7">
        <v>0.9</v>
      </c>
      <c r="W7">
        <v>0</v>
      </c>
      <c r="X7">
        <v>-0.3</v>
      </c>
      <c r="Y7">
        <v>0</v>
      </c>
      <c r="Z7">
        <v>-0.04</v>
      </c>
      <c r="AA7">
        <v>-1.66</v>
      </c>
      <c r="AB7">
        <v>0</v>
      </c>
      <c r="AC7">
        <v>0</v>
      </c>
      <c r="AD7">
        <v>0</v>
      </c>
      <c r="AE7">
        <v>0</v>
      </c>
      <c r="AF7">
        <v>-0.19</v>
      </c>
      <c r="AG7">
        <v>-1.06</v>
      </c>
      <c r="AH7">
        <v>0</v>
      </c>
      <c r="AI7">
        <v>-0.2</v>
      </c>
      <c r="AJ7">
        <v>0.12</v>
      </c>
      <c r="AK7">
        <v>-0.15</v>
      </c>
      <c r="AL7">
        <v>-0.89</v>
      </c>
      <c r="AM7">
        <v>0.37</v>
      </c>
      <c r="AN7">
        <v>-1.34</v>
      </c>
      <c r="AO7">
        <v>0.01</v>
      </c>
      <c r="AP7">
        <v>1.63</v>
      </c>
      <c r="AQ7">
        <v>-0.77</v>
      </c>
      <c r="AR7">
        <v>-2.41</v>
      </c>
      <c r="AS7">
        <v>-1.87</v>
      </c>
      <c r="AT7">
        <v>0.14000000000000001</v>
      </c>
      <c r="AU7">
        <v>-0.02</v>
      </c>
      <c r="AV7">
        <v>1.67</v>
      </c>
      <c r="AW7">
        <v>-5.77</v>
      </c>
      <c r="AX7">
        <v>0.21</v>
      </c>
      <c r="AY7">
        <v>-0.01</v>
      </c>
      <c r="AZ7">
        <v>7.0000000000000007E-2</v>
      </c>
      <c r="BA7">
        <v>-0.53</v>
      </c>
      <c r="BB7">
        <v>-0.96</v>
      </c>
      <c r="BC7">
        <v>-0.41</v>
      </c>
      <c r="BD7">
        <v>0.05</v>
      </c>
      <c r="BE7">
        <v>0</v>
      </c>
      <c r="BF7">
        <v>-0.57999999999999996</v>
      </c>
      <c r="BG7">
        <v>-1.1599999999999999</v>
      </c>
      <c r="BH7">
        <v>0</v>
      </c>
      <c r="BI7">
        <v>0</v>
      </c>
      <c r="BJ7">
        <v>1.17</v>
      </c>
      <c r="BK7">
        <v>0</v>
      </c>
      <c r="BL7">
        <v>-0.25</v>
      </c>
      <c r="BM7">
        <v>1.5</v>
      </c>
      <c r="BN7">
        <v>-0.21</v>
      </c>
      <c r="BO7">
        <v>-0.83</v>
      </c>
      <c r="BP7">
        <v>-0.57999999999999996</v>
      </c>
      <c r="BQ7">
        <v>0</v>
      </c>
      <c r="BR7">
        <v>0</v>
      </c>
      <c r="BS7">
        <v>0</v>
      </c>
      <c r="BT7">
        <v>5</v>
      </c>
      <c r="BU7">
        <v>-0.27</v>
      </c>
      <c r="BV7">
        <v>0</v>
      </c>
      <c r="BW7">
        <v>-0.05</v>
      </c>
      <c r="BX7">
        <v>0.09</v>
      </c>
      <c r="BY7">
        <v>0.04</v>
      </c>
      <c r="BZ7">
        <v>-1.36</v>
      </c>
      <c r="CA7">
        <v>-0.32</v>
      </c>
      <c r="CB7">
        <v>-0.4</v>
      </c>
      <c r="CC7">
        <v>-0.24</v>
      </c>
      <c r="CD7">
        <v>0.37</v>
      </c>
      <c r="CE7">
        <v>-0.49</v>
      </c>
      <c r="CF7">
        <v>-0.95</v>
      </c>
      <c r="CG7">
        <v>-1.29</v>
      </c>
      <c r="CH7">
        <v>-0.97</v>
      </c>
      <c r="CI7">
        <v>0</v>
      </c>
      <c r="CJ7">
        <v>-1.07</v>
      </c>
      <c r="CK7">
        <v>-0.59</v>
      </c>
      <c r="CL7">
        <v>0</v>
      </c>
      <c r="CM7">
        <v>0.14000000000000001</v>
      </c>
      <c r="CN7">
        <v>0.02</v>
      </c>
      <c r="CO7">
        <v>0.04</v>
      </c>
      <c r="CP7">
        <v>0.56000000000000005</v>
      </c>
      <c r="CQ7">
        <v>-1</v>
      </c>
      <c r="CR7">
        <v>-0.97</v>
      </c>
      <c r="CS7">
        <v>-0.08</v>
      </c>
      <c r="CT7">
        <v>0.57999999999999996</v>
      </c>
      <c r="CU7">
        <v>-0.92</v>
      </c>
      <c r="CV7">
        <v>0.2</v>
      </c>
      <c r="CW7">
        <v>0</v>
      </c>
      <c r="CX7">
        <v>-0.63</v>
      </c>
      <c r="CY7">
        <v>-0.27</v>
      </c>
      <c r="CZ7">
        <v>-1.1000000000000001</v>
      </c>
      <c r="DA7">
        <v>0.18</v>
      </c>
      <c r="DB7">
        <v>-1.08</v>
      </c>
      <c r="DC7">
        <v>-0.62</v>
      </c>
      <c r="DD7">
        <v>0.56999999999999995</v>
      </c>
      <c r="DE7">
        <v>0.23</v>
      </c>
      <c r="DF7">
        <v>0</v>
      </c>
      <c r="DG7">
        <v>0</v>
      </c>
      <c r="DH7">
        <v>0.79</v>
      </c>
      <c r="DI7">
        <v>0.49</v>
      </c>
      <c r="DJ7">
        <v>-0.06</v>
      </c>
      <c r="DK7">
        <v>-0.02</v>
      </c>
      <c r="DL7">
        <v>-0.71</v>
      </c>
      <c r="DM7">
        <v>-0.62</v>
      </c>
      <c r="DN7">
        <v>-1.07</v>
      </c>
      <c r="DO7">
        <v>-0.95</v>
      </c>
      <c r="DP7">
        <v>0.3</v>
      </c>
      <c r="DQ7">
        <v>-0.02</v>
      </c>
      <c r="DR7">
        <v>0.81</v>
      </c>
      <c r="DS7">
        <v>0.28000000000000003</v>
      </c>
      <c r="DT7">
        <v>0.12</v>
      </c>
      <c r="DU7">
        <v>0</v>
      </c>
      <c r="DV7">
        <v>-0.25</v>
      </c>
      <c r="DW7">
        <v>-0.56000000000000005</v>
      </c>
      <c r="DX7">
        <v>-1.07</v>
      </c>
      <c r="DY7">
        <v>0</v>
      </c>
      <c r="DZ7">
        <v>-0.18</v>
      </c>
      <c r="EA7">
        <v>-0.55000000000000004</v>
      </c>
      <c r="EB7">
        <v>-0.83</v>
      </c>
      <c r="EC7">
        <v>-0.2</v>
      </c>
      <c r="ED7">
        <v>-0.81</v>
      </c>
      <c r="EE7">
        <v>-0.87</v>
      </c>
      <c r="EF7">
        <v>-1.1299999999999999</v>
      </c>
      <c r="EG7">
        <v>-0.2</v>
      </c>
      <c r="EH7">
        <v>0.39</v>
      </c>
      <c r="EI7">
        <v>0</v>
      </c>
      <c r="EJ7">
        <v>-0.63</v>
      </c>
      <c r="EK7">
        <v>0</v>
      </c>
      <c r="EL7">
        <v>-0.64</v>
      </c>
      <c r="EM7">
        <v>0</v>
      </c>
      <c r="EN7">
        <v>-1.75</v>
      </c>
      <c r="EO7">
        <v>1.38</v>
      </c>
      <c r="EP7">
        <v>0.18</v>
      </c>
      <c r="EQ7">
        <v>0.08</v>
      </c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</row>
    <row r="8" spans="1:197" ht="16.5" thickBot="1" x14ac:dyDescent="0.3">
      <c r="A8" s="1062" t="str">
        <f t="shared" si="0"/>
        <v>5</v>
      </c>
      <c r="B8" s="1063">
        <v>5</v>
      </c>
      <c r="C8" s="1063" t="str">
        <v>corn clean line Scale 649</v>
      </c>
      <c r="D8" s="1063">
        <v>6</v>
      </c>
      <c r="E8" s="1063">
        <v>6</v>
      </c>
      <c r="F8" s="1063">
        <v>0</v>
      </c>
      <c r="G8" s="1063">
        <v>0</v>
      </c>
      <c r="H8" s="1066" t="str">
        <f t="shared" si="1"/>
        <v>CORN</v>
      </c>
      <c r="I8" s="1068">
        <f t="shared" si="3"/>
        <v>6</v>
      </c>
      <c r="J8" s="832"/>
      <c r="K8" s="1063"/>
      <c r="L8" s="1190" t="s">
        <v>1668</v>
      </c>
      <c r="M8" s="834" t="s">
        <v>804</v>
      </c>
      <c r="N8" s="1069">
        <f t="shared" si="2"/>
        <v>0</v>
      </c>
    </row>
    <row r="9" spans="1:197" ht="15.75" x14ac:dyDescent="0.25">
      <c r="A9" s="1062" t="str">
        <f t="shared" si="0"/>
        <v>6</v>
      </c>
      <c r="B9" s="1063">
        <v>6</v>
      </c>
      <c r="C9" s="1063" t="str">
        <v>corn clean line miniscale 582</v>
      </c>
      <c r="D9" s="1063">
        <v>2920</v>
      </c>
      <c r="E9" s="1063">
        <v>2946.35</v>
      </c>
      <c r="F9" s="1063">
        <v>26.35</v>
      </c>
      <c r="G9" s="1063">
        <v>0.9</v>
      </c>
      <c r="H9" s="1066" t="str">
        <f t="shared" si="1"/>
        <v>CORN</v>
      </c>
      <c r="I9" s="1068">
        <f t="shared" si="3"/>
        <v>2946.35</v>
      </c>
      <c r="J9" s="835" t="s">
        <v>941</v>
      </c>
      <c r="K9" s="835" t="s">
        <v>1694</v>
      </c>
      <c r="L9" s="833">
        <v>25203</v>
      </c>
      <c r="M9" s="834" t="s">
        <v>804</v>
      </c>
      <c r="N9" s="1069">
        <f t="shared" si="2"/>
        <v>0</v>
      </c>
    </row>
    <row r="10" spans="1:197" ht="16.5" thickBot="1" x14ac:dyDescent="0.3">
      <c r="A10" s="1062" t="str">
        <f t="shared" si="0"/>
        <v>3602</v>
      </c>
      <c r="B10" s="1063">
        <v>3602</v>
      </c>
      <c r="C10" s="1063" t="str">
        <v>Kessent Mf Dry</v>
      </c>
      <c r="D10" s="1063">
        <v>298.64999999999998</v>
      </c>
      <c r="E10" s="1063">
        <v>298.64999999999998</v>
      </c>
      <c r="F10" s="1063">
        <v>0</v>
      </c>
      <c r="G10" s="1063">
        <v>0</v>
      </c>
      <c r="H10" s="1066">
        <f t="shared" si="1"/>
        <v>0</v>
      </c>
      <c r="I10" s="1068">
        <f t="shared" si="3"/>
        <v>0</v>
      </c>
      <c r="J10" s="836">
        <v>183</v>
      </c>
      <c r="K10" s="1892">
        <f>SUMIF($B:$B,"840155",$E:$E)</f>
        <v>202.08</v>
      </c>
      <c r="L10" s="833" t="s">
        <v>1567</v>
      </c>
      <c r="M10" s="834" t="s">
        <v>804</v>
      </c>
      <c r="N10" s="1069">
        <f t="shared" si="2"/>
        <v>0</v>
      </c>
    </row>
    <row r="11" spans="1:197" ht="16.5" thickBot="1" x14ac:dyDescent="0.3">
      <c r="A11" s="1062" t="str">
        <f t="shared" si="0"/>
        <v>3603</v>
      </c>
      <c r="B11" s="1063">
        <v>3603</v>
      </c>
      <c r="C11" s="1063" t="str">
        <v>Rumifatplus</v>
      </c>
      <c r="D11" s="1063">
        <v>4406.3</v>
      </c>
      <c r="E11" s="1063">
        <v>4393</v>
      </c>
      <c r="F11" s="1063">
        <v>-13.3</v>
      </c>
      <c r="G11" s="1063">
        <v>-0.3</v>
      </c>
      <c r="H11" s="1066">
        <f t="shared" si="1"/>
        <v>0</v>
      </c>
      <c r="I11" s="1068">
        <f t="shared" si="3"/>
        <v>0</v>
      </c>
      <c r="J11" s="832"/>
      <c r="K11" s="1063"/>
      <c r="L11" s="833">
        <v>26903</v>
      </c>
      <c r="M11" s="834" t="s">
        <v>804</v>
      </c>
      <c r="N11" s="1069"/>
    </row>
    <row r="12" spans="1:197" ht="15.75" x14ac:dyDescent="0.25">
      <c r="A12" s="1062" t="str">
        <f t="shared" si="0"/>
        <v>3606</v>
      </c>
      <c r="B12" s="1063">
        <v>3606</v>
      </c>
      <c r="C12" s="1063" t="str">
        <v>Rumifat R100</v>
      </c>
      <c r="D12" s="1063">
        <v>711.59</v>
      </c>
      <c r="E12" s="1063">
        <v>711.59</v>
      </c>
      <c r="F12" s="1063">
        <v>0</v>
      </c>
      <c r="G12" s="1063">
        <v>0</v>
      </c>
      <c r="H12" s="1066">
        <f t="shared" si="1"/>
        <v>0</v>
      </c>
      <c r="I12" s="1068">
        <f t="shared" si="3"/>
        <v>0</v>
      </c>
      <c r="J12" s="1182" t="s">
        <v>1133</v>
      </c>
      <c r="K12" s="835" t="s">
        <v>1522</v>
      </c>
      <c r="L12" s="1190" t="s">
        <v>1625</v>
      </c>
      <c r="M12" s="834" t="s">
        <v>804</v>
      </c>
      <c r="N12" s="1069">
        <f t="shared" ref="N12:N75" si="4">IFERROR(VLOOKUP(B12,$L$30:$M$50,2,0),0)</f>
        <v>0</v>
      </c>
    </row>
    <row r="13" spans="1:197" ht="16.5" thickBot="1" x14ac:dyDescent="0.3">
      <c r="A13" s="1062" t="str">
        <f t="shared" si="0"/>
        <v>3607</v>
      </c>
      <c r="B13" s="1063">
        <v>3607</v>
      </c>
      <c r="C13" s="1063" t="str">
        <v>VNM Premix</v>
      </c>
      <c r="D13" s="1063">
        <v>94.23</v>
      </c>
      <c r="E13" s="1063">
        <v>94.2</v>
      </c>
      <c r="F13" s="1063">
        <v>-0.04</v>
      </c>
      <c r="G13" s="1063">
        <v>-0.04</v>
      </c>
      <c r="H13" s="1066">
        <f t="shared" si="1"/>
        <v>0</v>
      </c>
      <c r="I13" s="1068">
        <f t="shared" si="3"/>
        <v>0</v>
      </c>
      <c r="J13" s="1085">
        <f>SUMIF($B:$B,"KOMOS MCL",$E:$E)</f>
        <v>1908.51</v>
      </c>
      <c r="K13" s="836"/>
      <c r="L13" s="1190">
        <v>26904</v>
      </c>
      <c r="M13" s="834" t="s">
        <v>804</v>
      </c>
      <c r="N13" s="1069">
        <f t="shared" si="4"/>
        <v>0</v>
      </c>
      <c r="O13" t="s">
        <v>2382</v>
      </c>
      <c r="P13">
        <v>26903</v>
      </c>
      <c r="Q13">
        <v>112001</v>
      </c>
      <c r="R13">
        <v>11252891</v>
      </c>
      <c r="S13">
        <v>112591</v>
      </c>
      <c r="T13" t="s">
        <v>2383</v>
      </c>
      <c r="U13">
        <v>115501</v>
      </c>
      <c r="V13">
        <v>162001</v>
      </c>
      <c r="W13">
        <v>162201</v>
      </c>
      <c r="X13">
        <v>203501</v>
      </c>
      <c r="Y13">
        <v>314011</v>
      </c>
      <c r="Z13">
        <v>31410825</v>
      </c>
      <c r="AA13">
        <v>31410831</v>
      </c>
      <c r="AB13">
        <v>31410858</v>
      </c>
      <c r="AC13">
        <v>320001</v>
      </c>
      <c r="AD13">
        <v>320101</v>
      </c>
      <c r="AE13">
        <v>321001</v>
      </c>
      <c r="AF13">
        <v>32100852</v>
      </c>
      <c r="AG13">
        <v>321018</v>
      </c>
      <c r="AH13">
        <v>321101</v>
      </c>
      <c r="AI13">
        <v>321181</v>
      </c>
      <c r="AJ13">
        <v>32500888</v>
      </c>
      <c r="AK13">
        <v>332301</v>
      </c>
      <c r="AL13">
        <v>364301</v>
      </c>
      <c r="AM13">
        <v>366201</v>
      </c>
      <c r="AN13">
        <v>366301</v>
      </c>
      <c r="AO13">
        <v>367301</v>
      </c>
      <c r="AP13">
        <v>411001</v>
      </c>
      <c r="AQ13">
        <v>422001</v>
      </c>
      <c r="AR13">
        <v>433000</v>
      </c>
      <c r="AS13">
        <v>433776</v>
      </c>
      <c r="AT13">
        <v>433784</v>
      </c>
      <c r="AU13">
        <v>433787</v>
      </c>
      <c r="AV13">
        <v>433792</v>
      </c>
      <c r="AW13">
        <v>433793</v>
      </c>
      <c r="AX13">
        <v>433794</v>
      </c>
      <c r="AY13">
        <v>546001</v>
      </c>
      <c r="AZ13"/>
      <c r="BA13"/>
      <c r="BB13"/>
      <c r="BC13"/>
      <c r="BD13"/>
      <c r="BE13"/>
      <c r="BF13"/>
      <c r="BG13"/>
      <c r="BH13"/>
      <c r="BI13"/>
      <c r="BJ13"/>
    </row>
    <row r="14" spans="1:197" ht="15.75" x14ac:dyDescent="0.25">
      <c r="A14" s="1062" t="str">
        <f t="shared" si="0"/>
        <v>3618</v>
      </c>
      <c r="B14" s="1063">
        <v>3618</v>
      </c>
      <c r="C14" s="1063" t="str">
        <v>KemZin 2000 CP</v>
      </c>
      <c r="D14" s="1063">
        <v>2.44</v>
      </c>
      <c r="E14" s="1063">
        <v>2.4</v>
      </c>
      <c r="F14" s="1063">
        <v>-0.04</v>
      </c>
      <c r="G14" s="1063">
        <v>-1.66</v>
      </c>
      <c r="H14" s="1066">
        <f t="shared" si="1"/>
        <v>0</v>
      </c>
      <c r="I14" s="1068">
        <f t="shared" si="3"/>
        <v>0</v>
      </c>
      <c r="J14" s="835" t="s">
        <v>942</v>
      </c>
      <c r="K14" s="835"/>
      <c r="L14" s="833" t="s">
        <v>1743</v>
      </c>
      <c r="M14" s="834" t="s">
        <v>804</v>
      </c>
      <c r="N14" s="1069">
        <f t="shared" si="4"/>
        <v>0</v>
      </c>
      <c r="O14" t="s">
        <v>2272</v>
      </c>
      <c r="P14" t="s">
        <v>2288</v>
      </c>
      <c r="Q14" t="s">
        <v>2384</v>
      </c>
      <c r="R14" t="s">
        <v>2385</v>
      </c>
      <c r="S14" t="s">
        <v>2386</v>
      </c>
      <c r="T14" t="s">
        <v>2387</v>
      </c>
      <c r="U14" t="s">
        <v>2388</v>
      </c>
      <c r="V14" t="s">
        <v>2389</v>
      </c>
      <c r="W14" t="s">
        <v>2390</v>
      </c>
      <c r="X14" t="s">
        <v>2391</v>
      </c>
      <c r="Y14" t="s">
        <v>2392</v>
      </c>
      <c r="Z14" t="s">
        <v>2393</v>
      </c>
      <c r="AA14" t="s">
        <v>2394</v>
      </c>
      <c r="AB14" t="s">
        <v>2395</v>
      </c>
      <c r="AC14" t="s">
        <v>2396</v>
      </c>
      <c r="AD14" t="s">
        <v>2397</v>
      </c>
      <c r="AE14" t="s">
        <v>2398</v>
      </c>
      <c r="AF14" t="s">
        <v>2399</v>
      </c>
      <c r="AG14" t="s">
        <v>2400</v>
      </c>
      <c r="AH14" t="s">
        <v>2401</v>
      </c>
      <c r="AI14" t="s">
        <v>2402</v>
      </c>
      <c r="AJ14" t="s">
        <v>2403</v>
      </c>
      <c r="AK14" t="s">
        <v>2404</v>
      </c>
      <c r="AL14" t="s">
        <v>2405</v>
      </c>
      <c r="AM14" t="s">
        <v>2406</v>
      </c>
      <c r="AN14" t="s">
        <v>2407</v>
      </c>
      <c r="AO14" t="s">
        <v>2408</v>
      </c>
      <c r="AP14" t="s">
        <v>2409</v>
      </c>
      <c r="AQ14" t="s">
        <v>2410</v>
      </c>
      <c r="AR14" t="s">
        <v>2411</v>
      </c>
      <c r="AS14" t="s">
        <v>2412</v>
      </c>
      <c r="AT14" t="s">
        <v>2413</v>
      </c>
      <c r="AU14" t="s">
        <v>2414</v>
      </c>
      <c r="AV14" t="s">
        <v>2415</v>
      </c>
      <c r="AW14" t="s">
        <v>2416</v>
      </c>
      <c r="AX14" t="s">
        <v>2417</v>
      </c>
      <c r="AY14" t="s">
        <v>2418</v>
      </c>
      <c r="AZ14"/>
      <c r="BA14"/>
      <c r="BB14"/>
      <c r="BC14"/>
      <c r="BD14"/>
      <c r="BE14"/>
      <c r="BF14"/>
      <c r="BG14"/>
      <c r="BH14"/>
      <c r="BI14"/>
      <c r="BJ14"/>
    </row>
    <row r="15" spans="1:197" ht="16.5" thickBot="1" x14ac:dyDescent="0.3">
      <c r="A15" s="1062" t="str">
        <f t="shared" si="0"/>
        <v>3619</v>
      </c>
      <c r="B15" s="1063">
        <v>3619</v>
      </c>
      <c r="C15" s="1063" t="str">
        <v>Acidoline</v>
      </c>
      <c r="D15" s="1063">
        <v>1.05</v>
      </c>
      <c r="E15" s="1063">
        <v>1.05</v>
      </c>
      <c r="F15" s="1063">
        <v>0</v>
      </c>
      <c r="G15" s="1063">
        <v>0</v>
      </c>
      <c r="H15" s="1066">
        <f t="shared" si="1"/>
        <v>0</v>
      </c>
      <c r="I15" s="1068">
        <f t="shared" si="3"/>
        <v>0</v>
      </c>
      <c r="J15" s="836">
        <v>56</v>
      </c>
      <c r="K15" s="1272"/>
      <c r="L15" s="833">
        <v>26203</v>
      </c>
      <c r="M15" s="834" t="s">
        <v>804</v>
      </c>
      <c r="N15" s="1069">
        <f t="shared" si="4"/>
        <v>0</v>
      </c>
      <c r="O15" t="s">
        <v>2378</v>
      </c>
      <c r="P15">
        <v>67230</v>
      </c>
      <c r="Q15">
        <v>50864</v>
      </c>
      <c r="R15">
        <v>42210</v>
      </c>
      <c r="S15">
        <v>25326</v>
      </c>
      <c r="T15">
        <v>84730.26</v>
      </c>
      <c r="U15">
        <v>130806.9</v>
      </c>
      <c r="V15">
        <v>8400</v>
      </c>
      <c r="W15">
        <v>59368.4</v>
      </c>
      <c r="X15">
        <v>16800</v>
      </c>
      <c r="Y15">
        <v>8000</v>
      </c>
      <c r="Z15">
        <v>16242.4</v>
      </c>
      <c r="AA15">
        <v>48240</v>
      </c>
      <c r="AB15">
        <v>48240</v>
      </c>
      <c r="AC15">
        <v>50652</v>
      </c>
      <c r="AD15">
        <v>348548.23</v>
      </c>
      <c r="AE15">
        <v>42203</v>
      </c>
      <c r="AF15">
        <v>16800</v>
      </c>
      <c r="AG15">
        <v>16800</v>
      </c>
      <c r="AH15">
        <v>390953.6</v>
      </c>
      <c r="AI15">
        <v>25453.599999999999</v>
      </c>
      <c r="AJ15">
        <v>25326</v>
      </c>
      <c r="AK15">
        <v>25203</v>
      </c>
      <c r="AL15">
        <v>126000</v>
      </c>
      <c r="AM15">
        <v>42000</v>
      </c>
      <c r="AN15">
        <v>84000</v>
      </c>
      <c r="AO15">
        <v>127848</v>
      </c>
      <c r="AP15">
        <v>8400</v>
      </c>
      <c r="AQ15">
        <v>25443.599999999999</v>
      </c>
      <c r="AR15">
        <v>25237.4</v>
      </c>
      <c r="AS15">
        <v>12000</v>
      </c>
      <c r="AT15">
        <v>5000</v>
      </c>
      <c r="AU15">
        <v>16400</v>
      </c>
      <c r="AV15">
        <v>48000</v>
      </c>
      <c r="AW15">
        <v>8000</v>
      </c>
      <c r="AX15">
        <v>32000</v>
      </c>
      <c r="AY15">
        <v>16800</v>
      </c>
      <c r="AZ15">
        <v>2125526.4</v>
      </c>
      <c r="BA15"/>
      <c r="BB15"/>
      <c r="BC15"/>
      <c r="BD15"/>
      <c r="BE15"/>
      <c r="BF15"/>
      <c r="BG15"/>
      <c r="BH15"/>
      <c r="BI15"/>
      <c r="BJ15"/>
    </row>
    <row r="16" spans="1:197" ht="16.5" thickBot="1" x14ac:dyDescent="0.3">
      <c r="A16" s="1062" t="str">
        <f t="shared" si="0"/>
        <v>5114</v>
      </c>
      <c r="B16" s="1063">
        <v>5114</v>
      </c>
      <c r="C16" s="1063" t="str">
        <v>Toxfin Dry CP</v>
      </c>
      <c r="D16" s="1063">
        <v>13</v>
      </c>
      <c r="E16" s="1063">
        <v>13</v>
      </c>
      <c r="F16" s="1063">
        <v>0</v>
      </c>
      <c r="G16" s="1063">
        <v>0</v>
      </c>
      <c r="H16" s="1066">
        <f t="shared" si="1"/>
        <v>0</v>
      </c>
      <c r="I16" s="1068">
        <f t="shared" si="3"/>
        <v>0</v>
      </c>
      <c r="J16" s="832"/>
      <c r="K16" s="1063"/>
      <c r="L16" s="833">
        <v>26213</v>
      </c>
      <c r="M16" s="834" t="s">
        <v>804</v>
      </c>
      <c r="N16" s="1069">
        <f t="shared" si="4"/>
        <v>0</v>
      </c>
      <c r="O16" t="s">
        <v>2379</v>
      </c>
      <c r="P16">
        <v>67117.899999999994</v>
      </c>
      <c r="Q16">
        <v>50753.19</v>
      </c>
      <c r="R16">
        <v>42150.26</v>
      </c>
      <c r="S16">
        <v>25271.5</v>
      </c>
      <c r="T16">
        <v>84599.05</v>
      </c>
      <c r="U16">
        <v>130641.49</v>
      </c>
      <c r="V16">
        <v>8382.42</v>
      </c>
      <c r="W16">
        <v>59203.01</v>
      </c>
      <c r="X16">
        <v>16797.22</v>
      </c>
      <c r="Y16">
        <v>7990.91</v>
      </c>
      <c r="Z16">
        <v>16178.96</v>
      </c>
      <c r="AA16">
        <v>48277.52</v>
      </c>
      <c r="AB16">
        <v>48286.59</v>
      </c>
      <c r="AC16">
        <v>50512.85</v>
      </c>
      <c r="AD16">
        <v>348162.38</v>
      </c>
      <c r="AE16">
        <v>41453.86</v>
      </c>
      <c r="AF16">
        <v>16747.439999999999</v>
      </c>
      <c r="AG16">
        <v>16717.13</v>
      </c>
      <c r="AH16">
        <v>390009.59999999998</v>
      </c>
      <c r="AI16">
        <v>25388.37</v>
      </c>
      <c r="AJ16">
        <v>25258.77</v>
      </c>
      <c r="AK16">
        <v>25080.57</v>
      </c>
      <c r="AL16">
        <v>125642.62</v>
      </c>
      <c r="AM16">
        <v>41899.93</v>
      </c>
      <c r="AN16">
        <v>84038.43</v>
      </c>
      <c r="AO16">
        <v>127602.69</v>
      </c>
      <c r="AP16">
        <v>8361.2000000000007</v>
      </c>
      <c r="AQ16">
        <v>25431</v>
      </c>
      <c r="AR16">
        <v>25211.18</v>
      </c>
      <c r="AS16">
        <v>12013.13</v>
      </c>
      <c r="AT16">
        <v>4990.46</v>
      </c>
      <c r="AU16">
        <v>16377.7</v>
      </c>
      <c r="AV16">
        <v>47983.98</v>
      </c>
      <c r="AW16">
        <v>7983.15</v>
      </c>
      <c r="AX16">
        <v>31988.55</v>
      </c>
      <c r="AY16">
        <v>16736.3</v>
      </c>
      <c r="AZ16">
        <v>2121241.3199999998</v>
      </c>
      <c r="BA16"/>
      <c r="BB16"/>
      <c r="BC16"/>
      <c r="BD16"/>
      <c r="BE16"/>
      <c r="BF16"/>
      <c r="BG16"/>
      <c r="BH16"/>
      <c r="BI16"/>
      <c r="BJ16"/>
    </row>
    <row r="17" spans="1:62" ht="15.75" x14ac:dyDescent="0.25">
      <c r="A17" s="1062" t="str">
        <f t="shared" si="0"/>
        <v>5116</v>
      </c>
      <c r="B17" s="1063">
        <v>5116</v>
      </c>
      <c r="C17" s="1063" t="str">
        <v>Stearolac 90</v>
      </c>
      <c r="D17" s="1063">
        <v>67.63</v>
      </c>
      <c r="E17" s="1063">
        <v>67.63</v>
      </c>
      <c r="F17" s="1063">
        <v>0</v>
      </c>
      <c r="G17" s="1063">
        <v>0</v>
      </c>
      <c r="H17" s="1066">
        <f t="shared" si="1"/>
        <v>0</v>
      </c>
      <c r="I17" s="1068">
        <f t="shared" si="3"/>
        <v>0</v>
      </c>
      <c r="J17" s="835" t="s">
        <v>1207</v>
      </c>
      <c r="K17" s="1063"/>
      <c r="L17" s="833">
        <v>21201</v>
      </c>
      <c r="M17" s="834" t="s">
        <v>804</v>
      </c>
      <c r="N17" s="1069">
        <f t="shared" si="4"/>
        <v>0</v>
      </c>
      <c r="O17" t="s">
        <v>2380</v>
      </c>
      <c r="P17">
        <v>-112.1</v>
      </c>
      <c r="Q17">
        <v>-110.81</v>
      </c>
      <c r="R17">
        <v>-59.74</v>
      </c>
      <c r="S17">
        <v>-54.5</v>
      </c>
      <c r="T17">
        <v>-131.22</v>
      </c>
      <c r="U17">
        <v>-165.41</v>
      </c>
      <c r="V17">
        <v>-17.579999999999998</v>
      </c>
      <c r="W17">
        <v>-165.4</v>
      </c>
      <c r="X17">
        <v>-2.78</v>
      </c>
      <c r="Y17">
        <v>-9.09</v>
      </c>
      <c r="Z17">
        <v>-63.44</v>
      </c>
      <c r="AA17">
        <v>37.520000000000003</v>
      </c>
      <c r="AB17">
        <v>46.59</v>
      </c>
      <c r="AC17">
        <v>-139.15</v>
      </c>
      <c r="AD17">
        <v>-385.84</v>
      </c>
      <c r="AE17">
        <v>-749.14</v>
      </c>
      <c r="AF17">
        <v>-52.56</v>
      </c>
      <c r="AG17">
        <v>-82.87</v>
      </c>
      <c r="AH17">
        <v>-944</v>
      </c>
      <c r="AI17">
        <v>-65.23</v>
      </c>
      <c r="AJ17">
        <v>-67.23</v>
      </c>
      <c r="AK17">
        <v>-122.43</v>
      </c>
      <c r="AL17">
        <v>-357.38</v>
      </c>
      <c r="AM17">
        <v>-100.07</v>
      </c>
      <c r="AN17">
        <v>38.43</v>
      </c>
      <c r="AO17">
        <v>-245.32</v>
      </c>
      <c r="AP17">
        <v>-38.799999999999997</v>
      </c>
      <c r="AQ17">
        <v>-12.6</v>
      </c>
      <c r="AR17">
        <v>-26.23</v>
      </c>
      <c r="AS17">
        <v>13.13</v>
      </c>
      <c r="AT17">
        <v>-9.5399999999999991</v>
      </c>
      <c r="AU17">
        <v>-22.3</v>
      </c>
      <c r="AV17">
        <v>-16.02</v>
      </c>
      <c r="AW17">
        <v>-16.850000000000001</v>
      </c>
      <c r="AX17">
        <v>-11.45</v>
      </c>
      <c r="AY17">
        <v>-63.7</v>
      </c>
      <c r="AZ17">
        <v>-4285.08</v>
      </c>
      <c r="BA17"/>
      <c r="BB17"/>
      <c r="BC17"/>
      <c r="BD17"/>
      <c r="BE17"/>
      <c r="BF17"/>
      <c r="BG17"/>
      <c r="BH17"/>
      <c r="BI17"/>
      <c r="BJ17"/>
    </row>
    <row r="18" spans="1:62" ht="16.5" thickBot="1" x14ac:dyDescent="0.3">
      <c r="A18" s="1062" t="str">
        <f t="shared" si="0"/>
        <v>5118</v>
      </c>
      <c r="B18" s="1063">
        <v>5118</v>
      </c>
      <c r="C18" s="1063" t="str">
        <v>Nutracor</v>
      </c>
      <c r="D18" s="1063">
        <v>707.64</v>
      </c>
      <c r="E18" s="1063">
        <v>707.64</v>
      </c>
      <c r="F18" s="1063">
        <v>0</v>
      </c>
      <c r="G18" s="1063">
        <v>0</v>
      </c>
      <c r="H18" s="1066">
        <f t="shared" si="1"/>
        <v>0</v>
      </c>
      <c r="I18" s="1068">
        <f t="shared" si="3"/>
        <v>0</v>
      </c>
      <c r="J18" s="1085">
        <f>SUMIF($B:$B,"840002.HA",$E:$E)+SUMIF($B:$B,"840002 MNS",$E:$E)+SUMIF($B:$B,"840002 nn",$E:$E)+SUMIF($B:$B,"840002 MNS",$E:$E)</f>
        <v>0</v>
      </c>
      <c r="K18" s="1063"/>
      <c r="L18" s="833">
        <v>25213</v>
      </c>
      <c r="M18" s="834" t="s">
        <v>804</v>
      </c>
      <c r="N18" s="1069">
        <f t="shared" si="4"/>
        <v>0</v>
      </c>
      <c r="O18" t="s">
        <v>2381</v>
      </c>
      <c r="P18">
        <v>-0.17</v>
      </c>
      <c r="Q18">
        <v>-0.22</v>
      </c>
      <c r="R18">
        <v>-0.14000000000000001</v>
      </c>
      <c r="S18">
        <v>-0.22</v>
      </c>
      <c r="T18">
        <v>-0.15</v>
      </c>
      <c r="U18">
        <v>-0.13</v>
      </c>
      <c r="V18">
        <v>-0.21</v>
      </c>
      <c r="W18">
        <v>-0.28000000000000003</v>
      </c>
      <c r="X18">
        <v>-0.02</v>
      </c>
      <c r="Y18">
        <v>-0.11</v>
      </c>
      <c r="Z18">
        <v>-0.39</v>
      </c>
      <c r="AA18">
        <v>0.08</v>
      </c>
      <c r="AB18">
        <v>0.1</v>
      </c>
      <c r="AC18">
        <v>-0.27</v>
      </c>
      <c r="AD18">
        <v>-0.11</v>
      </c>
      <c r="AE18">
        <v>-1.78</v>
      </c>
      <c r="AF18">
        <v>-0.31</v>
      </c>
      <c r="AG18">
        <v>-0.49</v>
      </c>
      <c r="AH18">
        <v>-0.24</v>
      </c>
      <c r="AI18">
        <v>-0.26</v>
      </c>
      <c r="AJ18">
        <v>-0.27</v>
      </c>
      <c r="AK18">
        <v>-0.49</v>
      </c>
      <c r="AL18">
        <v>-0.28000000000000003</v>
      </c>
      <c r="AM18">
        <v>-0.24</v>
      </c>
      <c r="AN18">
        <v>0.05</v>
      </c>
      <c r="AO18">
        <v>-0.19</v>
      </c>
      <c r="AP18">
        <v>-0.46</v>
      </c>
      <c r="AQ18">
        <v>-0.05</v>
      </c>
      <c r="AR18">
        <v>-0.1</v>
      </c>
      <c r="AS18">
        <v>0.11</v>
      </c>
      <c r="AT18">
        <v>-0.19</v>
      </c>
      <c r="AU18">
        <v>-0.14000000000000001</v>
      </c>
      <c r="AV18">
        <v>-0.03</v>
      </c>
      <c r="AW18">
        <v>-0.21</v>
      </c>
      <c r="AX18">
        <v>-0.04</v>
      </c>
      <c r="AY18">
        <v>-0.38</v>
      </c>
      <c r="AZ18"/>
      <c r="BA18"/>
      <c r="BB18"/>
      <c r="BC18"/>
      <c r="BD18"/>
      <c r="BE18"/>
      <c r="BF18"/>
      <c r="BG18"/>
      <c r="BH18"/>
      <c r="BI18"/>
      <c r="BJ18"/>
    </row>
    <row r="19" spans="1:62" ht="16.5" thickBot="1" x14ac:dyDescent="0.3">
      <c r="A19" s="1062" t="str">
        <f t="shared" si="0"/>
        <v>5121</v>
      </c>
      <c r="B19" s="1063">
        <v>5121</v>
      </c>
      <c r="C19" s="1063" t="str">
        <v>Amino Plus</v>
      </c>
      <c r="D19" s="1063">
        <v>4286.04</v>
      </c>
      <c r="E19" s="1063">
        <v>4278</v>
      </c>
      <c r="F19" s="1063">
        <v>-8.0399999999999991</v>
      </c>
      <c r="G19" s="1063">
        <v>-0.19</v>
      </c>
      <c r="H19" s="1066">
        <f t="shared" si="1"/>
        <v>0</v>
      </c>
      <c r="I19" s="1068">
        <f t="shared" si="3"/>
        <v>0</v>
      </c>
      <c r="J19" s="832"/>
      <c r="K19" s="1063"/>
      <c r="L19" s="833">
        <v>21211</v>
      </c>
      <c r="M19" s="834" t="s">
        <v>804</v>
      </c>
      <c r="N19" s="1069">
        <f t="shared" si="4"/>
        <v>0</v>
      </c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</row>
    <row r="20" spans="1:62" ht="15.75" x14ac:dyDescent="0.25">
      <c r="A20" s="1062" t="str">
        <f t="shared" si="0"/>
        <v>5123</v>
      </c>
      <c r="B20" s="1063">
        <v>5123</v>
      </c>
      <c r="C20" s="1063" t="str">
        <v>RHODIMET 88%</v>
      </c>
      <c r="D20" s="1063">
        <v>498.31</v>
      </c>
      <c r="E20" s="1063">
        <v>493</v>
      </c>
      <c r="F20" s="1063">
        <v>-5.31</v>
      </c>
      <c r="G20" s="1063">
        <v>-1.06</v>
      </c>
      <c r="H20" s="1066">
        <f t="shared" si="1"/>
        <v>0</v>
      </c>
      <c r="I20" s="1068">
        <f t="shared" si="3"/>
        <v>0</v>
      </c>
      <c r="J20" s="2336" t="s">
        <v>990</v>
      </c>
      <c r="K20" s="2337"/>
      <c r="L20" s="833">
        <v>5</v>
      </c>
      <c r="M20" s="834" t="s">
        <v>804</v>
      </c>
      <c r="N20" s="1069">
        <f t="shared" si="4"/>
        <v>0</v>
      </c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</row>
    <row r="21" spans="1:62" ht="15.75" x14ac:dyDescent="0.25">
      <c r="A21" s="1062" t="str">
        <f t="shared" si="0"/>
        <v>10252</v>
      </c>
      <c r="B21" s="1063">
        <v>10252</v>
      </c>
      <c r="C21" s="1063" t="str">
        <v>CORN#2_ EXT 8.2%</v>
      </c>
      <c r="D21" s="1063">
        <v>23600</v>
      </c>
      <c r="E21" s="1063">
        <v>23600</v>
      </c>
      <c r="F21" s="1063">
        <v>0</v>
      </c>
      <c r="G21" s="1063">
        <v>0</v>
      </c>
      <c r="H21" s="1066">
        <f t="shared" si="1"/>
        <v>0</v>
      </c>
      <c r="I21" s="1068">
        <f t="shared" si="3"/>
        <v>0</v>
      </c>
      <c r="J21" s="1169" t="s">
        <v>936</v>
      </c>
      <c r="K21" s="1170">
        <f>+usage!I255+usage!I222+usage!J69</f>
        <v>1986044.44</v>
      </c>
      <c r="L21" s="1168">
        <v>6</v>
      </c>
      <c r="M21" s="834" t="s">
        <v>804</v>
      </c>
      <c r="N21" s="1069">
        <f t="shared" si="4"/>
        <v>0</v>
      </c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</row>
    <row r="22" spans="1:62" ht="15.75" x14ac:dyDescent="0.25">
      <c r="A22" s="1062" t="str">
        <f t="shared" si="0"/>
        <v>21201</v>
      </c>
      <c r="B22" s="1063">
        <v>21201</v>
      </c>
      <c r="C22" s="1063" t="str">
        <v>CORN # USA</v>
      </c>
      <c r="D22" s="1063">
        <v>503285.59</v>
      </c>
      <c r="E22" s="1063">
        <v>502261</v>
      </c>
      <c r="F22" s="1063">
        <v>-1024.5899999999999</v>
      </c>
      <c r="G22" s="1063">
        <v>-0.2</v>
      </c>
      <c r="H22" s="1066" t="str">
        <f t="shared" si="1"/>
        <v>CORN</v>
      </c>
      <c r="I22" s="1068">
        <f t="shared" si="3"/>
        <v>502261</v>
      </c>
      <c r="J22" s="837" t="s">
        <v>938</v>
      </c>
      <c r="K22" s="1071">
        <f>+J2+N2-J15-J10-J6-J13-K13</f>
        <v>135197.38</v>
      </c>
      <c r="L22" s="834" t="s">
        <v>993</v>
      </c>
      <c r="M22" s="834" t="s">
        <v>804</v>
      </c>
      <c r="N22" s="1069">
        <f t="shared" si="4"/>
        <v>0</v>
      </c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</row>
    <row r="23" spans="1:62" ht="15.75" x14ac:dyDescent="0.25">
      <c r="A23" s="1062" t="str">
        <f t="shared" si="0"/>
        <v>21211</v>
      </c>
      <c r="B23" s="1063">
        <v>21211</v>
      </c>
      <c r="C23" s="1063" t="str">
        <v>CORN  # USA 8x8</v>
      </c>
      <c r="D23" s="1063">
        <v>66772.37</v>
      </c>
      <c r="E23" s="1063">
        <v>66854</v>
      </c>
      <c r="F23" s="1063">
        <v>81.63</v>
      </c>
      <c r="G23" s="1063">
        <v>0.12</v>
      </c>
      <c r="H23" s="1066" t="str">
        <f t="shared" si="1"/>
        <v>CORN</v>
      </c>
      <c r="I23" s="1068">
        <f t="shared" si="3"/>
        <v>66854</v>
      </c>
      <c r="J23" s="837" t="s">
        <v>937</v>
      </c>
      <c r="K23" s="1266">
        <f>+K21+K22+M60</f>
        <v>2121241.8199999998</v>
      </c>
      <c r="L23" s="834">
        <v>21200</v>
      </c>
      <c r="M23" s="834" t="s">
        <v>804</v>
      </c>
      <c r="N23" s="1069">
        <f t="shared" si="4"/>
        <v>0</v>
      </c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</row>
    <row r="24" spans="1:62" ht="16.5" x14ac:dyDescent="0.25">
      <c r="A24" s="1062" t="str">
        <f t="shared" si="0"/>
        <v>25201</v>
      </c>
      <c r="B24" s="1063">
        <v>25201</v>
      </c>
      <c r="C24" s="1063" t="str">
        <v>CRNArg #2 7.0% (3X3)</v>
      </c>
      <c r="D24" s="1063">
        <v>423775.27</v>
      </c>
      <c r="E24" s="1063">
        <v>423153</v>
      </c>
      <c r="F24" s="1063">
        <v>-622.27</v>
      </c>
      <c r="G24" s="1063">
        <v>-0.15</v>
      </c>
      <c r="H24" s="1066" t="str">
        <f t="shared" si="1"/>
        <v>CORN</v>
      </c>
      <c r="I24" s="1068">
        <f t="shared" si="3"/>
        <v>423153</v>
      </c>
      <c r="J24" s="838" t="s">
        <v>935</v>
      </c>
      <c r="K24" s="839">
        <f>MAX(E3:E156)</f>
        <v>2121241.3199999998</v>
      </c>
      <c r="L24" s="1176" t="s">
        <v>1109</v>
      </c>
      <c r="M24" s="834" t="s">
        <v>804</v>
      </c>
      <c r="N24" s="1069">
        <f t="shared" si="4"/>
        <v>0</v>
      </c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</row>
    <row r="25" spans="1:62" ht="16.5" thickBot="1" x14ac:dyDescent="0.3">
      <c r="A25" s="1062" t="str">
        <f t="shared" si="0"/>
        <v>26903</v>
      </c>
      <c r="B25" s="1063">
        <v>26903</v>
      </c>
      <c r="C25" s="1063" t="str">
        <v>CLEARLINE 1/8</v>
      </c>
      <c r="D25" s="1063">
        <v>65790</v>
      </c>
      <c r="E25" s="1063">
        <v>65205</v>
      </c>
      <c r="F25" s="1063">
        <v>-585</v>
      </c>
      <c r="G25" s="1063">
        <v>-0.89</v>
      </c>
      <c r="H25" s="1066" t="str">
        <f t="shared" si="1"/>
        <v>CORN</v>
      </c>
      <c r="I25" s="1068">
        <f t="shared" si="3"/>
        <v>65205</v>
      </c>
      <c r="J25" s="1086" t="s">
        <v>943</v>
      </c>
      <c r="K25" s="1072">
        <f>+K23-K24-M60</f>
        <v>0.5</v>
      </c>
      <c r="L25" s="1168" t="s">
        <v>1138</v>
      </c>
      <c r="M25" s="834" t="s">
        <v>804</v>
      </c>
      <c r="N25" s="1069">
        <f t="shared" si="4"/>
        <v>0</v>
      </c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</row>
    <row r="26" spans="1:62" ht="17.25" customHeight="1" x14ac:dyDescent="0.25">
      <c r="A26" s="1062" t="str">
        <f t="shared" si="0"/>
        <v>26904</v>
      </c>
      <c r="B26" s="1063">
        <v>26904</v>
      </c>
      <c r="C26" s="1063" t="str">
        <v>CLEARLINE 1/8 Poultry</v>
      </c>
      <c r="D26" s="1063">
        <v>10080</v>
      </c>
      <c r="E26" s="1063">
        <v>10117</v>
      </c>
      <c r="F26" s="1063">
        <v>37</v>
      </c>
      <c r="G26" s="1063">
        <v>0.37</v>
      </c>
      <c r="H26" s="1066" t="str">
        <f t="shared" si="1"/>
        <v>CORN</v>
      </c>
      <c r="I26" s="1068">
        <f t="shared" si="3"/>
        <v>10117</v>
      </c>
      <c r="J26" s="1063"/>
      <c r="K26" s="1073"/>
      <c r="L26" s="1168" t="s">
        <v>1146</v>
      </c>
      <c r="M26" s="834" t="s">
        <v>804</v>
      </c>
      <c r="N26" s="1069">
        <f t="shared" si="4"/>
        <v>0</v>
      </c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</row>
    <row r="27" spans="1:62" ht="15" x14ac:dyDescent="0.25">
      <c r="A27" s="1062" t="str">
        <f t="shared" si="0"/>
        <v>43234</v>
      </c>
      <c r="B27" s="1209">
        <v>43234</v>
      </c>
      <c r="C27" s="1063" t="str">
        <v>TAP BP Fiber high</v>
      </c>
      <c r="D27" s="1063">
        <v>70860.800000000003</v>
      </c>
      <c r="E27" s="1063">
        <v>69909</v>
      </c>
      <c r="F27" s="1063">
        <v>-951.8</v>
      </c>
      <c r="G27" s="1063">
        <v>-1.34</v>
      </c>
      <c r="H27" s="1066">
        <f t="shared" si="1"/>
        <v>0</v>
      </c>
      <c r="I27" s="1068">
        <f t="shared" si="3"/>
        <v>0</v>
      </c>
      <c r="J27" s="1063"/>
      <c r="K27" s="1063"/>
      <c r="L27" s="833">
        <v>1</v>
      </c>
      <c r="M27" s="834" t="s">
        <v>804</v>
      </c>
      <c r="N27" s="1069">
        <f t="shared" si="4"/>
        <v>0</v>
      </c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</row>
    <row r="28" spans="1:62" ht="15.75" thickBot="1" x14ac:dyDescent="0.3">
      <c r="A28" s="1062" t="str">
        <f t="shared" si="0"/>
        <v>043234</v>
      </c>
      <c r="B28" s="1063" t="str">
        <v>043234*</v>
      </c>
      <c r="C28" s="1063" t="str">
        <v>TAP BP fiber 25-27% (bin 74 bo de)</v>
      </c>
      <c r="D28" s="1063">
        <v>2539.8000000000002</v>
      </c>
      <c r="E28" s="1063">
        <v>2540</v>
      </c>
      <c r="F28" s="1063">
        <v>0.2</v>
      </c>
      <c r="G28" s="1063">
        <v>0.01</v>
      </c>
      <c r="H28" s="1066">
        <f t="shared" si="1"/>
        <v>0</v>
      </c>
      <c r="I28" s="1068">
        <f t="shared" si="3"/>
        <v>0</v>
      </c>
      <c r="J28" s="1063"/>
      <c r="K28" s="1063"/>
      <c r="L28" s="833">
        <v>3</v>
      </c>
      <c r="M28" s="834" t="s">
        <v>804</v>
      </c>
      <c r="N28" s="1069">
        <f t="shared" si="4"/>
        <v>0</v>
      </c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</row>
    <row r="29" spans="1:62" ht="15.75" x14ac:dyDescent="0.25">
      <c r="A29" s="1062" t="str">
        <f t="shared" si="0"/>
        <v>50118</v>
      </c>
      <c r="B29" s="1063">
        <v>50118</v>
      </c>
      <c r="C29" s="1063" t="str">
        <v>RCE. BR 8.2%</v>
      </c>
      <c r="D29" s="1063">
        <v>6000</v>
      </c>
      <c r="E29" s="1063">
        <v>6098</v>
      </c>
      <c r="F29" s="1063">
        <v>98</v>
      </c>
      <c r="G29" s="1063">
        <v>1.63</v>
      </c>
      <c r="H29" s="1066">
        <f t="shared" si="1"/>
        <v>0</v>
      </c>
      <c r="I29" s="1068">
        <f t="shared" si="3"/>
        <v>0</v>
      </c>
      <c r="J29" s="2336" t="s">
        <v>991</v>
      </c>
      <c r="K29" s="2337"/>
      <c r="L29" s="2335" t="s">
        <v>966</v>
      </c>
      <c r="M29" s="2335"/>
      <c r="N29" s="1069">
        <f t="shared" si="4"/>
        <v>0</v>
      </c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</row>
    <row r="30" spans="1:62" s="1070" customFormat="1" ht="16.5" customHeight="1" x14ac:dyDescent="0.25">
      <c r="A30" s="1062" t="str">
        <f t="shared" si="0"/>
        <v>104112</v>
      </c>
      <c r="B30" s="1063">
        <v>104112</v>
      </c>
      <c r="C30" s="1063" t="str">
        <v>WHEAT ARG</v>
      </c>
      <c r="D30" s="1063">
        <v>36893.71</v>
      </c>
      <c r="E30" s="1063">
        <v>36610</v>
      </c>
      <c r="F30" s="1063">
        <v>-283.70999999999998</v>
      </c>
      <c r="G30" s="1063">
        <v>-0.77</v>
      </c>
      <c r="H30" s="1066">
        <f t="shared" si="1"/>
        <v>0</v>
      </c>
      <c r="I30" s="1068">
        <f t="shared" si="3"/>
        <v>0</v>
      </c>
      <c r="J30" s="1171" t="s">
        <v>988</v>
      </c>
      <c r="K30" s="1267">
        <f>MAX($O$16:$BI$16)</f>
        <v>2121241.3199999998</v>
      </c>
      <c r="L30" s="1815">
        <v>7</v>
      </c>
      <c r="M30" s="1228">
        <f>SUMIF($A:$A,L30,$E:$E)</f>
        <v>0</v>
      </c>
      <c r="N30" s="1069">
        <f t="shared" si="4"/>
        <v>0</v>
      </c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</row>
    <row r="31" spans="1:62" ht="16.5" customHeight="1" x14ac:dyDescent="0.25">
      <c r="A31" s="1062" t="str">
        <f t="shared" si="0"/>
        <v>219752</v>
      </c>
      <c r="B31" s="1063">
        <v>219752</v>
      </c>
      <c r="C31" s="1063" t="str">
        <v>MBM 52%</v>
      </c>
      <c r="D31" s="1063">
        <v>13764.63</v>
      </c>
      <c r="E31" s="1063">
        <v>13433</v>
      </c>
      <c r="F31" s="1063">
        <v>-331.63</v>
      </c>
      <c r="G31" s="1063">
        <v>-2.41</v>
      </c>
      <c r="H31" s="1066">
        <f t="shared" si="1"/>
        <v>0</v>
      </c>
      <c r="I31" s="1068">
        <f t="shared" si="3"/>
        <v>0</v>
      </c>
      <c r="J31" s="1171" t="s">
        <v>989</v>
      </c>
      <c r="K31" s="1267">
        <f>K24</f>
        <v>2121241.3199999998</v>
      </c>
      <c r="L31" s="1815">
        <v>842704</v>
      </c>
      <c r="M31" s="1228">
        <f t="shared" ref="M31:M50" si="5">SUMIF($A:$A,L31,$E:$E)</f>
        <v>0</v>
      </c>
      <c r="N31" s="1069">
        <f t="shared" si="4"/>
        <v>0</v>
      </c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</row>
    <row r="32" spans="1:62" ht="16.5" customHeight="1" thickBot="1" x14ac:dyDescent="0.3">
      <c r="A32" s="1062" t="str">
        <f t="shared" si="0"/>
        <v>220183</v>
      </c>
      <c r="B32" s="1063">
        <v>220183</v>
      </c>
      <c r="C32" s="1063" t="str">
        <v>FEM 83%</v>
      </c>
      <c r="D32" s="1063">
        <v>3264.6</v>
      </c>
      <c r="E32" s="1063">
        <v>3203.5</v>
      </c>
      <c r="F32" s="1063">
        <v>-61.1</v>
      </c>
      <c r="G32" s="1063">
        <v>-1.87</v>
      </c>
      <c r="H32" s="1066">
        <f t="shared" si="1"/>
        <v>0</v>
      </c>
      <c r="I32" s="1068">
        <f t="shared" si="3"/>
        <v>0</v>
      </c>
      <c r="J32" s="1172" t="s">
        <v>943</v>
      </c>
      <c r="K32" s="1072">
        <f>+K30-K31</f>
        <v>0</v>
      </c>
      <c r="L32" s="1815">
        <v>811000</v>
      </c>
      <c r="M32" s="1228">
        <f t="shared" si="5"/>
        <v>31159.47</v>
      </c>
      <c r="N32" s="1069">
        <f t="shared" si="4"/>
        <v>0</v>
      </c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</row>
    <row r="33" spans="1:57" x14ac:dyDescent="0.2">
      <c r="A33" s="1062" t="str">
        <f t="shared" si="0"/>
        <v>311235</v>
      </c>
      <c r="B33" s="1063">
        <v>311235</v>
      </c>
      <c r="C33" s="1063" t="str">
        <v>FFSUsa35/19</v>
      </c>
      <c r="D33" s="1063">
        <v>26319.83</v>
      </c>
      <c r="E33" s="1063">
        <v>26357</v>
      </c>
      <c r="F33" s="1063">
        <v>37.17</v>
      </c>
      <c r="G33" s="1063">
        <v>0.14000000000000001</v>
      </c>
      <c r="H33" s="1066">
        <f t="shared" si="1"/>
        <v>0</v>
      </c>
      <c r="I33" s="1068">
        <f t="shared" si="3"/>
        <v>0</v>
      </c>
      <c r="J33" s="1063"/>
      <c r="K33" s="1063"/>
      <c r="L33" s="1815">
        <v>890000</v>
      </c>
      <c r="M33" s="1228">
        <f t="shared" si="5"/>
        <v>49519</v>
      </c>
      <c r="N33" s="1069">
        <f t="shared" si="4"/>
        <v>0</v>
      </c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</row>
    <row r="34" spans="1:57" x14ac:dyDescent="0.2">
      <c r="A34" s="1062" t="str">
        <f t="shared" si="0"/>
        <v>335147</v>
      </c>
      <c r="B34" s="1063">
        <v>335147</v>
      </c>
      <c r="C34" s="1063" t="str">
        <v>SBM.AGR 47%</v>
      </c>
      <c r="D34" s="1063">
        <v>316080.48</v>
      </c>
      <c r="E34" s="1063">
        <v>316008</v>
      </c>
      <c r="F34" s="1063">
        <v>-72.48</v>
      </c>
      <c r="G34" s="1063">
        <v>-0.02</v>
      </c>
      <c r="H34" s="1066">
        <f t="shared" si="1"/>
        <v>0</v>
      </c>
      <c r="I34" s="1068">
        <f t="shared" si="3"/>
        <v>0</v>
      </c>
      <c r="J34" s="1063"/>
      <c r="K34" s="1063"/>
      <c r="L34" s="1228">
        <v>840077</v>
      </c>
      <c r="M34" s="1228">
        <f t="shared" si="5"/>
        <v>0</v>
      </c>
      <c r="N34" s="1069">
        <f t="shared" si="4"/>
        <v>0</v>
      </c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</row>
    <row r="35" spans="1:57" x14ac:dyDescent="0.2">
      <c r="A35" s="1062" t="str">
        <f t="shared" si="0"/>
        <v>452136</v>
      </c>
      <c r="B35" s="1063">
        <v>452136</v>
      </c>
      <c r="C35" s="1063" t="str">
        <v>CANOLA 36%</v>
      </c>
      <c r="D35" s="1063">
        <v>2646.9</v>
      </c>
      <c r="E35" s="1063">
        <v>2691</v>
      </c>
      <c r="F35" s="1063">
        <v>44.1</v>
      </c>
      <c r="G35" s="1063">
        <v>1.67</v>
      </c>
      <c r="H35" s="1066">
        <f t="shared" si="1"/>
        <v>0</v>
      </c>
      <c r="I35" s="1068">
        <f t="shared" si="3"/>
        <v>0</v>
      </c>
      <c r="J35" s="1063"/>
      <c r="K35" s="1063"/>
      <c r="L35" s="1816" t="s">
        <v>974</v>
      </c>
      <c r="M35" s="1228">
        <f t="shared" si="5"/>
        <v>2568.91</v>
      </c>
      <c r="N35" s="1069">
        <f t="shared" si="4"/>
        <v>0</v>
      </c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</row>
    <row r="36" spans="1:57" x14ac:dyDescent="0.2">
      <c r="A36" s="1062" t="str">
        <f t="shared" si="0"/>
        <v>531100</v>
      </c>
      <c r="B36" s="1063">
        <v>5.31100041410002E+16</v>
      </c>
      <c r="C36" s="1063">
        <v>6924</v>
      </c>
      <c r="D36" s="1063">
        <v>3000</v>
      </c>
      <c r="E36" s="1063">
        <v>2827</v>
      </c>
      <c r="F36" s="1063">
        <v>-173</v>
      </c>
      <c r="G36" s="1063">
        <v>-5.77</v>
      </c>
      <c r="H36" s="1066">
        <f t="shared" si="1"/>
        <v>0</v>
      </c>
      <c r="I36" s="1068">
        <f t="shared" si="3"/>
        <v>0</v>
      </c>
      <c r="J36" s="1063"/>
      <c r="K36" s="1063"/>
      <c r="L36" s="1228" t="s">
        <v>975</v>
      </c>
      <c r="M36" s="1228">
        <f t="shared" si="5"/>
        <v>0</v>
      </c>
      <c r="N36" s="1069">
        <f t="shared" si="4"/>
        <v>0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</row>
    <row r="37" spans="1:57" x14ac:dyDescent="0.2">
      <c r="A37" s="1062" t="str">
        <f t="shared" si="0"/>
        <v>561428</v>
      </c>
      <c r="B37" s="1063">
        <v>561428</v>
      </c>
      <c r="C37" s="1063" t="str">
        <v>DDGS Fat 8%</v>
      </c>
      <c r="D37" s="1063">
        <v>118167.85</v>
      </c>
      <c r="E37" s="1063">
        <v>118418</v>
      </c>
      <c r="F37" s="1063">
        <v>250.15</v>
      </c>
      <c r="G37" s="1063">
        <v>0.21</v>
      </c>
      <c r="H37" s="1066">
        <f t="shared" si="1"/>
        <v>0</v>
      </c>
      <c r="I37" s="1068">
        <f t="shared" si="3"/>
        <v>0</v>
      </c>
      <c r="J37" s="1063"/>
      <c r="K37" s="1063"/>
      <c r="L37" s="1228">
        <v>531100</v>
      </c>
      <c r="M37" s="1228">
        <f t="shared" si="5"/>
        <v>2827</v>
      </c>
      <c r="N37" s="1069">
        <f t="shared" si="4"/>
        <v>0</v>
      </c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</row>
    <row r="38" spans="1:57" x14ac:dyDescent="0.2">
      <c r="A38" s="1062" t="str">
        <f t="shared" si="0"/>
        <v>600136</v>
      </c>
      <c r="B38" s="1063">
        <v>600136</v>
      </c>
      <c r="C38" s="1063" t="str">
        <v>RBF FAT CAO</v>
      </c>
      <c r="D38" s="1063">
        <v>101928.52</v>
      </c>
      <c r="E38" s="1063">
        <v>101922</v>
      </c>
      <c r="F38" s="1063">
        <v>-6.52</v>
      </c>
      <c r="G38" s="1063">
        <v>-0.01</v>
      </c>
      <c r="H38" s="1066">
        <f t="shared" si="1"/>
        <v>0</v>
      </c>
      <c r="I38" s="1068">
        <f t="shared" si="3"/>
        <v>0</v>
      </c>
      <c r="J38" s="1063"/>
      <c r="K38" s="1063"/>
      <c r="L38" s="1228" t="s">
        <v>1882</v>
      </c>
      <c r="M38" s="1228">
        <f t="shared" si="5"/>
        <v>0</v>
      </c>
      <c r="N38" s="1069">
        <f t="shared" si="4"/>
        <v>0</v>
      </c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</row>
    <row r="39" spans="1:57" x14ac:dyDescent="0.2">
      <c r="A39" s="1062" t="str">
        <f t="shared" si="0"/>
        <v>610315</v>
      </c>
      <c r="B39" s="1063">
        <v>610315</v>
      </c>
      <c r="C39" s="1063" t="str">
        <v>RB_S 15%</v>
      </c>
      <c r="D39" s="1063">
        <v>20837.990000000002</v>
      </c>
      <c r="E39" s="1063">
        <v>20852</v>
      </c>
      <c r="F39" s="1063">
        <v>14.01</v>
      </c>
      <c r="G39" s="1063">
        <v>7.0000000000000007E-2</v>
      </c>
      <c r="H39" s="1066">
        <f t="shared" si="1"/>
        <v>0</v>
      </c>
      <c r="I39" s="1068">
        <f t="shared" si="3"/>
        <v>0</v>
      </c>
      <c r="J39" s="1063"/>
      <c r="K39" s="1063"/>
      <c r="L39" s="1228" t="s">
        <v>2219</v>
      </c>
      <c r="M39" s="1228">
        <f>SUMIF($A:$A,L39,$E:$E)</f>
        <v>0</v>
      </c>
      <c r="N39" s="1069">
        <f t="shared" si="4"/>
        <v>0</v>
      </c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</row>
    <row r="40" spans="1:57" x14ac:dyDescent="0.2">
      <c r="A40" s="1062" t="str">
        <f t="shared" si="0"/>
        <v>620115</v>
      </c>
      <c r="B40" s="1063">
        <v>620115</v>
      </c>
      <c r="C40" s="1063" t="str">
        <v>WB 15%</v>
      </c>
      <c r="D40" s="1063">
        <v>10180.68</v>
      </c>
      <c r="E40" s="1063">
        <v>10127</v>
      </c>
      <c r="F40" s="1063">
        <v>-53.68</v>
      </c>
      <c r="G40" s="1063">
        <v>-0.53</v>
      </c>
      <c r="H40" s="1066">
        <f t="shared" si="1"/>
        <v>0</v>
      </c>
      <c r="I40" s="1068">
        <f t="shared" si="3"/>
        <v>0</v>
      </c>
      <c r="J40" s="1063"/>
      <c r="K40" s="1063"/>
      <c r="L40" s="1228" t="s">
        <v>1851</v>
      </c>
      <c r="M40" s="1228">
        <f t="shared" si="5"/>
        <v>0</v>
      </c>
      <c r="N40" s="1069">
        <f t="shared" si="4"/>
        <v>0</v>
      </c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</row>
    <row r="41" spans="1:57" x14ac:dyDescent="0.2">
      <c r="A41" s="1062" t="str">
        <f t="shared" si="0"/>
        <v>630025</v>
      </c>
      <c r="B41" s="1063">
        <v>630025</v>
      </c>
      <c r="C41" s="1063" t="str">
        <v>BDG_DRY 25%</v>
      </c>
      <c r="D41" s="1063">
        <v>15901.99</v>
      </c>
      <c r="E41" s="1063">
        <v>15750</v>
      </c>
      <c r="F41" s="1063">
        <v>-151.99</v>
      </c>
      <c r="G41" s="1063">
        <v>-0.96</v>
      </c>
      <c r="H41" s="1066">
        <f t="shared" si="1"/>
        <v>0</v>
      </c>
      <c r="I41" s="1068">
        <f t="shared" si="3"/>
        <v>0</v>
      </c>
      <c r="J41" s="1063"/>
      <c r="K41" s="1063"/>
      <c r="L41" s="1816">
        <v>840155</v>
      </c>
      <c r="M41" s="1228">
        <f t="shared" si="5"/>
        <v>202.08</v>
      </c>
      <c r="N41" s="1069">
        <f t="shared" si="4"/>
        <v>0</v>
      </c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</row>
    <row r="42" spans="1:57" x14ac:dyDescent="0.2">
      <c r="A42" s="1062" t="str">
        <f t="shared" si="0"/>
        <v>740725</v>
      </c>
      <c r="B42" s="1063">
        <v>740725</v>
      </c>
      <c r="C42" s="1063" t="str">
        <v>palm meal</v>
      </c>
      <c r="D42" s="1063">
        <v>74601.5</v>
      </c>
      <c r="E42" s="1063">
        <v>74297</v>
      </c>
      <c r="F42" s="1063">
        <v>-304.5</v>
      </c>
      <c r="G42" s="1063">
        <v>-0.41</v>
      </c>
      <c r="H42" s="1066">
        <f t="shared" si="1"/>
        <v>0</v>
      </c>
      <c r="I42" s="1068">
        <f t="shared" si="3"/>
        <v>0</v>
      </c>
      <c r="J42" s="1063"/>
      <c r="K42" s="1063"/>
      <c r="L42" s="1228" t="s">
        <v>1931</v>
      </c>
      <c r="M42" s="1228">
        <f t="shared" si="5"/>
        <v>0</v>
      </c>
      <c r="N42" s="1069">
        <f t="shared" si="4"/>
        <v>0</v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</row>
    <row r="43" spans="1:57" x14ac:dyDescent="0.2">
      <c r="A43" s="1062" t="str">
        <f t="shared" si="0"/>
        <v>790401</v>
      </c>
      <c r="B43" s="1063">
        <v>790401</v>
      </c>
      <c r="C43" s="1063" t="str">
        <v>SOY-HULL</v>
      </c>
      <c r="D43" s="1063">
        <v>5425.12</v>
      </c>
      <c r="E43" s="1063">
        <v>5428</v>
      </c>
      <c r="F43" s="1063">
        <v>2.88</v>
      </c>
      <c r="G43" s="1063">
        <v>0.05</v>
      </c>
      <c r="H43" s="1066">
        <f t="shared" si="1"/>
        <v>0</v>
      </c>
      <c r="I43" s="1068">
        <f t="shared" si="3"/>
        <v>0</v>
      </c>
      <c r="J43" s="1063"/>
      <c r="K43" s="1063"/>
      <c r="L43" s="1228" t="s">
        <v>1892</v>
      </c>
      <c r="M43" s="1228">
        <f t="shared" si="5"/>
        <v>0</v>
      </c>
      <c r="N43" s="1069">
        <f t="shared" si="4"/>
        <v>0</v>
      </c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</row>
    <row r="44" spans="1:57" x14ac:dyDescent="0.2">
      <c r="A44" s="1062" t="str">
        <f t="shared" si="0"/>
        <v>791739</v>
      </c>
      <c r="B44" s="1063">
        <v>791739</v>
      </c>
      <c r="C44" s="1063" t="str">
        <v>ACTISAF</v>
      </c>
      <c r="D44" s="1063">
        <v>3.9</v>
      </c>
      <c r="E44" s="1063">
        <v>3.9</v>
      </c>
      <c r="F44" s="1063">
        <v>0</v>
      </c>
      <c r="G44" s="1063">
        <v>0</v>
      </c>
      <c r="H44" s="1066">
        <f t="shared" si="1"/>
        <v>0</v>
      </c>
      <c r="I44" s="1068">
        <f t="shared" si="3"/>
        <v>0</v>
      </c>
      <c r="J44" s="1063"/>
      <c r="K44" s="1063"/>
      <c r="L44" s="1228" t="s">
        <v>1727</v>
      </c>
      <c r="M44" s="1228">
        <f t="shared" si="5"/>
        <v>0</v>
      </c>
      <c r="N44" s="1069">
        <f t="shared" si="4"/>
        <v>0</v>
      </c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</row>
    <row r="45" spans="1:57" x14ac:dyDescent="0.2">
      <c r="A45" s="1062" t="str">
        <f t="shared" si="0"/>
        <v>791820</v>
      </c>
      <c r="B45" s="1063">
        <v>791820</v>
      </c>
      <c r="C45" s="1063" t="str">
        <v>LEVUCELL</v>
      </c>
      <c r="D45" s="1063">
        <v>21.05</v>
      </c>
      <c r="E45" s="1063">
        <v>20.93</v>
      </c>
      <c r="F45" s="1063">
        <v>-0.12</v>
      </c>
      <c r="G45" s="1063">
        <v>-0.57999999999999996</v>
      </c>
      <c r="H45" s="1066">
        <f t="shared" si="1"/>
        <v>0</v>
      </c>
      <c r="I45" s="1068">
        <f t="shared" si="3"/>
        <v>0</v>
      </c>
      <c r="J45" s="1063"/>
      <c r="K45" s="1063"/>
      <c r="L45" s="1816" t="s">
        <v>1132</v>
      </c>
      <c r="M45" s="1228">
        <f t="shared" si="5"/>
        <v>13948.28</v>
      </c>
      <c r="N45" s="1069">
        <f t="shared" si="4"/>
        <v>0</v>
      </c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</row>
    <row r="46" spans="1:57" x14ac:dyDescent="0.2">
      <c r="A46" s="1062" t="str">
        <f t="shared" si="0"/>
        <v>800211</v>
      </c>
      <c r="B46" s="1063">
        <v>800211</v>
      </c>
      <c r="C46" s="1063" t="str">
        <v>FO BASA VNF</v>
      </c>
      <c r="D46" s="1063">
        <v>11181.51</v>
      </c>
      <c r="E46" s="1063">
        <v>11051.7</v>
      </c>
      <c r="F46" s="1063">
        <v>-129.81</v>
      </c>
      <c r="G46" s="1063">
        <v>-1.1599999999999999</v>
      </c>
      <c r="H46" s="1066">
        <f t="shared" si="1"/>
        <v>0</v>
      </c>
      <c r="I46" s="1068">
        <f t="shared" si="3"/>
        <v>0</v>
      </c>
      <c r="J46" s="1063"/>
      <c r="K46" s="1063"/>
      <c r="L46" s="1254">
        <v>842701</v>
      </c>
      <c r="M46" s="1228">
        <f t="shared" si="5"/>
        <v>0</v>
      </c>
      <c r="N46" s="1069">
        <f t="shared" si="4"/>
        <v>0</v>
      </c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</row>
    <row r="47" spans="1:57" x14ac:dyDescent="0.2">
      <c r="A47" s="1062" t="str">
        <f t="shared" si="0"/>
        <v>801211</v>
      </c>
      <c r="B47" s="1063">
        <v>801211</v>
      </c>
      <c r="C47" s="1063" t="str">
        <v>FO BASA VNF (D)</v>
      </c>
      <c r="D47" s="1063">
        <v>1260</v>
      </c>
      <c r="E47" s="1063">
        <v>1260</v>
      </c>
      <c r="F47" s="1063">
        <v>0</v>
      </c>
      <c r="G47" s="1063">
        <v>0</v>
      </c>
      <c r="H47" s="1066">
        <f t="shared" si="1"/>
        <v>0</v>
      </c>
      <c r="I47" s="1068">
        <f t="shared" si="3"/>
        <v>0</v>
      </c>
      <c r="J47" s="1063"/>
      <c r="K47" s="1063"/>
      <c r="L47" s="1254" t="s">
        <v>1435</v>
      </c>
      <c r="M47" s="1228">
        <f>SUMIF($A:$A,L47,$E:$E)</f>
        <v>0</v>
      </c>
      <c r="N47" s="1069">
        <f t="shared" si="4"/>
        <v>0</v>
      </c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</row>
    <row r="48" spans="1:57" x14ac:dyDescent="0.2">
      <c r="A48" s="1062" t="str">
        <f t="shared" si="0"/>
        <v>811000</v>
      </c>
      <c r="B48" s="1063">
        <v>811000</v>
      </c>
      <c r="C48" s="1063" t="str">
        <v>molasses Vnf</v>
      </c>
      <c r="D48" s="1063">
        <v>31159.47</v>
      </c>
      <c r="E48" s="1063">
        <v>31159.47</v>
      </c>
      <c r="F48" s="1063">
        <v>0</v>
      </c>
      <c r="G48" s="1063">
        <v>0</v>
      </c>
      <c r="H48" s="1066">
        <f t="shared" si="1"/>
        <v>0</v>
      </c>
      <c r="I48" s="1068">
        <f t="shared" si="3"/>
        <v>0</v>
      </c>
      <c r="J48" s="1063"/>
      <c r="K48" s="1063"/>
      <c r="L48" s="1228" t="s">
        <v>1252</v>
      </c>
      <c r="M48" s="1228">
        <f t="shared" si="5"/>
        <v>0</v>
      </c>
      <c r="N48" s="1069">
        <f t="shared" si="4"/>
        <v>31159.47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</row>
    <row r="49" spans="1:14" x14ac:dyDescent="0.2">
      <c r="A49" s="1062" t="str">
        <f t="shared" si="0"/>
        <v>811003</v>
      </c>
      <c r="B49" s="1063">
        <v>811003</v>
      </c>
      <c r="C49" s="1063" t="str">
        <v>VEDANFEED</v>
      </c>
      <c r="D49" s="1063">
        <v>5820.15</v>
      </c>
      <c r="E49" s="1063">
        <v>5888.2</v>
      </c>
      <c r="F49" s="1063">
        <v>68.05</v>
      </c>
      <c r="G49" s="1063">
        <v>1.17</v>
      </c>
      <c r="H49" s="1066">
        <f t="shared" si="1"/>
        <v>0</v>
      </c>
      <c r="I49" s="1068">
        <f t="shared" si="3"/>
        <v>0</v>
      </c>
      <c r="J49" s="1063"/>
      <c r="K49" s="1063"/>
      <c r="L49" s="1228" t="s">
        <v>1881</v>
      </c>
      <c r="M49" s="1228">
        <f t="shared" si="5"/>
        <v>0</v>
      </c>
      <c r="N49" s="1069">
        <f t="shared" si="4"/>
        <v>0</v>
      </c>
    </row>
    <row r="50" spans="1:14" x14ac:dyDescent="0.2">
      <c r="A50" s="1062" t="str">
        <f t="shared" si="0"/>
        <v>820098</v>
      </c>
      <c r="B50" s="1063">
        <v>820098</v>
      </c>
      <c r="C50" s="1063" t="str">
        <v>M DCP</v>
      </c>
      <c r="D50" s="1063">
        <v>10655.26</v>
      </c>
      <c r="E50" s="1063">
        <v>10655.4</v>
      </c>
      <c r="F50" s="1063">
        <v>0.14000000000000001</v>
      </c>
      <c r="G50" s="1063">
        <v>0</v>
      </c>
      <c r="H50" s="1066">
        <f t="shared" si="1"/>
        <v>0</v>
      </c>
      <c r="I50" s="1068">
        <f t="shared" si="3"/>
        <v>0</v>
      </c>
      <c r="J50" s="1063"/>
      <c r="K50" s="1063"/>
      <c r="L50" s="1228" t="s">
        <v>1846</v>
      </c>
      <c r="M50" s="1228">
        <f t="shared" si="5"/>
        <v>0</v>
      </c>
      <c r="N50" s="1069">
        <f t="shared" si="4"/>
        <v>0</v>
      </c>
    </row>
    <row r="51" spans="1:14" x14ac:dyDescent="0.2">
      <c r="A51" s="1062" t="str">
        <f t="shared" si="0"/>
        <v>820207</v>
      </c>
      <c r="B51" s="1063">
        <v>820207</v>
      </c>
      <c r="C51" s="1063" t="str">
        <v>L.S</v>
      </c>
      <c r="D51" s="1063">
        <v>10272.08</v>
      </c>
      <c r="E51" s="1063">
        <v>10246.5</v>
      </c>
      <c r="F51" s="1063">
        <v>-25.58</v>
      </c>
      <c r="G51" s="1063">
        <v>-0.25</v>
      </c>
      <c r="H51" s="1066">
        <f t="shared" si="1"/>
        <v>0</v>
      </c>
      <c r="I51" s="1068">
        <f t="shared" si="3"/>
        <v>0</v>
      </c>
      <c r="J51" s="1063"/>
      <c r="K51" s="1063"/>
      <c r="L51" s="1229" t="s">
        <v>453</v>
      </c>
      <c r="M51" s="1229">
        <f>+SUM(M30:M50)</f>
        <v>100224.74</v>
      </c>
      <c r="N51" s="1069">
        <f t="shared" si="4"/>
        <v>0</v>
      </c>
    </row>
    <row r="52" spans="1:14" x14ac:dyDescent="0.2">
      <c r="A52" s="1062" t="str">
        <f t="shared" si="0"/>
        <v>820207</v>
      </c>
      <c r="B52" s="1063">
        <v>820207</v>
      </c>
      <c r="C52" s="1063" t="str">
        <v>LS</v>
      </c>
      <c r="D52" s="1063">
        <v>8914.7099999999991</v>
      </c>
      <c r="E52" s="1063">
        <v>9048.5</v>
      </c>
      <c r="F52" s="1063">
        <v>133.79</v>
      </c>
      <c r="G52" s="1063">
        <v>1.5</v>
      </c>
      <c r="H52" s="1066">
        <f t="shared" si="1"/>
        <v>0</v>
      </c>
      <c r="I52" s="1068">
        <f t="shared" si="3"/>
        <v>0</v>
      </c>
      <c r="J52" s="1063"/>
      <c r="K52" s="1063"/>
      <c r="L52" s="1063"/>
      <c r="N52" s="1069">
        <f t="shared" si="4"/>
        <v>0</v>
      </c>
    </row>
    <row r="53" spans="1:14" x14ac:dyDescent="0.2">
      <c r="A53" s="1062" t="str">
        <f t="shared" si="0"/>
        <v>820300</v>
      </c>
      <c r="B53" s="1063">
        <v>820300</v>
      </c>
      <c r="C53" s="1063" t="str">
        <v>CALCIUM FEED</v>
      </c>
      <c r="D53" s="1063">
        <v>3164.29</v>
      </c>
      <c r="E53" s="1063">
        <v>3157.6</v>
      </c>
      <c r="F53" s="1063">
        <v>-6.69</v>
      </c>
      <c r="G53" s="1063">
        <v>-0.21</v>
      </c>
      <c r="H53" s="1066">
        <f t="shared" si="1"/>
        <v>0</v>
      </c>
      <c r="I53" s="1068">
        <f t="shared" si="3"/>
        <v>0</v>
      </c>
      <c r="J53" s="1063"/>
      <c r="K53" s="1063"/>
      <c r="L53" s="1063"/>
      <c r="N53" s="1069">
        <f t="shared" si="4"/>
        <v>0</v>
      </c>
    </row>
    <row r="54" spans="1:14" x14ac:dyDescent="0.2">
      <c r="A54" s="1062" t="str">
        <f t="shared" si="0"/>
        <v>820498</v>
      </c>
      <c r="B54" s="1063">
        <v>820498</v>
      </c>
      <c r="C54" s="1063" t="str">
        <v>SALT F98%</v>
      </c>
      <c r="D54" s="1063">
        <v>5938.28</v>
      </c>
      <c r="E54" s="1063">
        <v>5889.1</v>
      </c>
      <c r="F54" s="1063">
        <v>-49.18</v>
      </c>
      <c r="G54" s="1063">
        <v>-0.83</v>
      </c>
      <c r="H54" s="1066">
        <f t="shared" si="1"/>
        <v>0</v>
      </c>
      <c r="I54" s="1068">
        <f t="shared" si="3"/>
        <v>0</v>
      </c>
      <c r="J54" s="1063"/>
      <c r="K54" s="1063"/>
      <c r="L54" s="1063"/>
      <c r="N54" s="1069">
        <f t="shared" si="4"/>
        <v>0</v>
      </c>
    </row>
    <row r="55" spans="1:14" s="1070" customFormat="1" ht="29.25" customHeight="1" x14ac:dyDescent="0.2">
      <c r="A55" s="1062" t="str">
        <f t="shared" si="0"/>
        <v>820500</v>
      </c>
      <c r="B55" s="1063">
        <v>820500</v>
      </c>
      <c r="C55" s="1063" t="str">
        <v>Sodium Bicabonate</v>
      </c>
      <c r="D55" s="1063">
        <v>697.57</v>
      </c>
      <c r="E55" s="1063">
        <v>693.5</v>
      </c>
      <c r="F55" s="1063">
        <v>-4.07</v>
      </c>
      <c r="G55" s="1063">
        <v>-0.57999999999999996</v>
      </c>
      <c r="H55" s="1066">
        <f t="shared" si="1"/>
        <v>0</v>
      </c>
      <c r="I55" s="1068">
        <f t="shared" si="3"/>
        <v>0</v>
      </c>
      <c r="J55" s="1063"/>
      <c r="K55" s="1063"/>
      <c r="L55" s="1063"/>
      <c r="M55" s="1063"/>
      <c r="N55" s="1069">
        <f t="shared" si="4"/>
        <v>0</v>
      </c>
    </row>
    <row r="56" spans="1:14" ht="15.75" x14ac:dyDescent="0.25">
      <c r="A56" s="1062" t="str">
        <f t="shared" si="0"/>
        <v>831001</v>
      </c>
      <c r="B56" s="1063" t="str">
        <v>831001*H.A</v>
      </c>
      <c r="C56" s="1063" t="str">
        <v>WY SWEET 11.5%</v>
      </c>
      <c r="D56" s="1063">
        <v>2800</v>
      </c>
      <c r="E56" s="1063">
        <v>2800</v>
      </c>
      <c r="F56" s="1063">
        <v>0</v>
      </c>
      <c r="G56" s="1063">
        <v>0</v>
      </c>
      <c r="H56" s="1066">
        <f t="shared" si="1"/>
        <v>0</v>
      </c>
      <c r="I56" s="1068">
        <f t="shared" si="3"/>
        <v>0</v>
      </c>
      <c r="J56" s="1063"/>
      <c r="K56" s="1063"/>
      <c r="L56" s="2338" t="s">
        <v>1491</v>
      </c>
      <c r="M56" s="2339"/>
      <c r="N56" s="1069">
        <f t="shared" si="4"/>
        <v>0</v>
      </c>
    </row>
    <row r="57" spans="1:14" x14ac:dyDescent="0.2">
      <c r="A57" s="1062" t="str">
        <f t="shared" si="0"/>
        <v>831003</v>
      </c>
      <c r="B57" s="1063">
        <v>831003</v>
      </c>
      <c r="C57" s="1063" t="str">
        <v>WY DEPRO 3.6%</v>
      </c>
      <c r="D57" s="1063">
        <v>2800</v>
      </c>
      <c r="E57" s="1063">
        <v>2800</v>
      </c>
      <c r="F57" s="1063">
        <v>0</v>
      </c>
      <c r="G57" s="1063">
        <v>0</v>
      </c>
      <c r="H57" s="1066">
        <f t="shared" si="1"/>
        <v>0</v>
      </c>
      <c r="I57" s="1068">
        <f t="shared" si="3"/>
        <v>0</v>
      </c>
      <c r="J57" s="1063"/>
      <c r="K57" s="1063"/>
      <c r="L57" s="1707" t="s">
        <v>1196</v>
      </c>
      <c r="M57" s="1707"/>
      <c r="N57" s="1069">
        <f t="shared" si="4"/>
        <v>0</v>
      </c>
    </row>
    <row r="58" spans="1:14" x14ac:dyDescent="0.2">
      <c r="A58" s="1062" t="str">
        <f t="shared" si="0"/>
        <v>831918</v>
      </c>
      <c r="B58" s="1063">
        <v>831918</v>
      </c>
      <c r="C58" s="1063" t="str">
        <v>DPS50</v>
      </c>
      <c r="D58" s="1063">
        <v>160</v>
      </c>
      <c r="E58" s="1063">
        <v>160</v>
      </c>
      <c r="F58" s="1063">
        <v>0</v>
      </c>
      <c r="G58" s="1063">
        <v>0</v>
      </c>
      <c r="H58" s="1066">
        <f t="shared" si="1"/>
        <v>0</v>
      </c>
      <c r="I58" s="1068">
        <f t="shared" si="3"/>
        <v>0</v>
      </c>
      <c r="J58" s="1063"/>
      <c r="K58" s="1063"/>
      <c r="L58" s="1707" t="s">
        <v>1716</v>
      </c>
      <c r="M58" s="1707"/>
      <c r="N58" s="1069">
        <f t="shared" si="4"/>
        <v>0</v>
      </c>
    </row>
    <row r="59" spans="1:14" x14ac:dyDescent="0.2">
      <c r="A59" s="1062" t="str">
        <f t="shared" si="0"/>
        <v>831951</v>
      </c>
      <c r="B59" s="1063">
        <v>831951</v>
      </c>
      <c r="C59" s="1063" t="str">
        <v>PROVISOY</v>
      </c>
      <c r="D59" s="1063">
        <v>160</v>
      </c>
      <c r="E59" s="1063">
        <v>168</v>
      </c>
      <c r="F59" s="1063">
        <v>8</v>
      </c>
      <c r="G59" s="1063">
        <v>5</v>
      </c>
      <c r="H59" s="1066">
        <f t="shared" si="1"/>
        <v>0</v>
      </c>
      <c r="I59" s="1068">
        <f t="shared" si="3"/>
        <v>0</v>
      </c>
      <c r="J59" s="1063"/>
      <c r="K59" s="1063"/>
      <c r="L59" s="1707" t="s">
        <v>604</v>
      </c>
      <c r="M59" s="1707"/>
      <c r="N59" s="1069">
        <f t="shared" si="4"/>
        <v>0</v>
      </c>
    </row>
    <row r="60" spans="1:14" x14ac:dyDescent="0.2">
      <c r="A60" s="1062" t="str">
        <f t="shared" si="0"/>
        <v>833101</v>
      </c>
      <c r="B60" s="1063">
        <v>833101</v>
      </c>
      <c r="C60" s="1063" t="str">
        <v>CAROMIC/TRIGARROFA/ EURO BIOSWEET/CARANI</v>
      </c>
      <c r="D60" s="1063">
        <v>1120</v>
      </c>
      <c r="E60" s="1063">
        <v>1117</v>
      </c>
      <c r="F60" s="1063">
        <v>-3</v>
      </c>
      <c r="G60" s="1063">
        <v>-0.27</v>
      </c>
      <c r="H60" s="1066">
        <f t="shared" si="1"/>
        <v>0</v>
      </c>
      <c r="I60" s="1068">
        <f t="shared" si="3"/>
        <v>0</v>
      </c>
      <c r="J60" s="1063"/>
      <c r="K60" s="1063"/>
      <c r="L60" s="1708" t="s">
        <v>453</v>
      </c>
      <c r="M60" s="1708">
        <f>+M57+M58+M59</f>
        <v>0</v>
      </c>
      <c r="N60" s="1069">
        <f t="shared" si="4"/>
        <v>0</v>
      </c>
    </row>
    <row r="61" spans="1:14" x14ac:dyDescent="0.2">
      <c r="A61" s="1062" t="str">
        <f t="shared" si="0"/>
        <v>840002</v>
      </c>
      <c r="B61" s="1063">
        <v>840002</v>
      </c>
      <c r="C61" s="1063" t="str">
        <v>D-L 99%</v>
      </c>
      <c r="D61" s="1063">
        <v>1962.81</v>
      </c>
      <c r="E61" s="1063">
        <v>1962.72</v>
      </c>
      <c r="F61" s="1063">
        <v>-0.09</v>
      </c>
      <c r="G61" s="1063">
        <v>0</v>
      </c>
      <c r="H61" s="1066">
        <f t="shared" si="1"/>
        <v>0</v>
      </c>
      <c r="I61" s="1068">
        <f t="shared" si="3"/>
        <v>0</v>
      </c>
      <c r="J61" s="1063"/>
      <c r="K61" s="1063"/>
      <c r="L61" s="1063"/>
      <c r="N61" s="1069">
        <f t="shared" si="4"/>
        <v>0</v>
      </c>
    </row>
    <row r="62" spans="1:14" x14ac:dyDescent="0.2">
      <c r="A62" s="1062" t="str">
        <f t="shared" si="0"/>
        <v>840011</v>
      </c>
      <c r="B62" s="1063">
        <v>840011</v>
      </c>
      <c r="C62" s="1063" t="str">
        <v>L-LYSINE 78% MINERAL</v>
      </c>
      <c r="D62" s="1063">
        <v>1296.46</v>
      </c>
      <c r="E62" s="1063">
        <v>1295.8</v>
      </c>
      <c r="F62" s="1063">
        <v>-0.66</v>
      </c>
      <c r="G62" s="1063">
        <v>-0.05</v>
      </c>
      <c r="H62" s="1066">
        <f t="shared" si="1"/>
        <v>0</v>
      </c>
      <c r="I62" s="1068">
        <f t="shared" si="3"/>
        <v>0</v>
      </c>
      <c r="J62" s="1063"/>
      <c r="K62" s="1063"/>
      <c r="L62" s="1063"/>
      <c r="N62" s="1069">
        <f t="shared" si="4"/>
        <v>0</v>
      </c>
    </row>
    <row r="63" spans="1:14" x14ac:dyDescent="0.2">
      <c r="A63" s="1062" t="str">
        <f t="shared" si="0"/>
        <v>840011</v>
      </c>
      <c r="B63" s="1063" t="str">
        <v>840011.MNS</v>
      </c>
      <c r="C63" s="1063" t="str">
        <v>L-LYSINE 78%</v>
      </c>
      <c r="D63" s="1063">
        <v>1830.3</v>
      </c>
      <c r="E63" s="1063">
        <v>1832</v>
      </c>
      <c r="F63" s="1063">
        <v>1.7</v>
      </c>
      <c r="G63" s="1063">
        <v>0.09</v>
      </c>
      <c r="H63" s="1066">
        <f t="shared" si="1"/>
        <v>0</v>
      </c>
      <c r="I63" s="1068">
        <f t="shared" si="3"/>
        <v>0</v>
      </c>
      <c r="J63" s="1063"/>
      <c r="K63" s="1063"/>
      <c r="L63" s="1063"/>
      <c r="N63" s="1069">
        <f t="shared" si="4"/>
        <v>0</v>
      </c>
    </row>
    <row r="64" spans="1:14" x14ac:dyDescent="0.2">
      <c r="A64" s="1062" t="str">
        <f t="shared" si="0"/>
        <v>840012</v>
      </c>
      <c r="B64" s="1063" t="str">
        <v>840012 MNS</v>
      </c>
      <c r="C64" s="1063" t="str">
        <v>LL 55% M</v>
      </c>
      <c r="D64" s="1063">
        <v>691.6</v>
      </c>
      <c r="E64" s="1063">
        <v>691.85</v>
      </c>
      <c r="F64" s="1063">
        <v>0.25</v>
      </c>
      <c r="G64" s="1063">
        <v>0.04</v>
      </c>
      <c r="H64" s="1066">
        <f t="shared" si="1"/>
        <v>0</v>
      </c>
      <c r="I64" s="1068">
        <f t="shared" si="3"/>
        <v>0</v>
      </c>
      <c r="J64" s="1063"/>
      <c r="K64" s="1063"/>
      <c r="L64" s="1063"/>
      <c r="N64" s="1069">
        <f t="shared" si="4"/>
        <v>0</v>
      </c>
    </row>
    <row r="65" spans="1:14" x14ac:dyDescent="0.2">
      <c r="A65" s="1062" t="str">
        <f t="shared" si="0"/>
        <v>840012</v>
      </c>
      <c r="B65" s="1063">
        <v>840012</v>
      </c>
      <c r="C65" s="1063" t="str">
        <v>L-L55%</v>
      </c>
      <c r="D65" s="1063">
        <v>4759.7299999999996</v>
      </c>
      <c r="E65" s="1063">
        <v>4695.1000000000004</v>
      </c>
      <c r="F65" s="1063">
        <v>-64.63</v>
      </c>
      <c r="G65" s="1063">
        <v>-1.36</v>
      </c>
      <c r="H65" s="1066">
        <f t="shared" si="1"/>
        <v>0</v>
      </c>
      <c r="I65" s="1068">
        <f t="shared" si="3"/>
        <v>0</v>
      </c>
      <c r="J65" s="1063"/>
      <c r="K65" s="1063"/>
      <c r="L65" s="1063"/>
      <c r="N65" s="1069">
        <f t="shared" si="4"/>
        <v>0</v>
      </c>
    </row>
    <row r="66" spans="1:14" x14ac:dyDescent="0.2">
      <c r="A66" s="1062" t="str">
        <f t="shared" si="0"/>
        <v>840019</v>
      </c>
      <c r="B66" s="1063">
        <v>840019</v>
      </c>
      <c r="C66" s="1063" t="str">
        <v>LL50%</v>
      </c>
      <c r="D66" s="1063">
        <v>1044.23</v>
      </c>
      <c r="E66" s="1063">
        <v>1040.9100000000001</v>
      </c>
      <c r="F66" s="1063">
        <v>-3.32</v>
      </c>
      <c r="G66" s="1063">
        <v>-0.32</v>
      </c>
      <c r="H66" s="1066">
        <f t="shared" si="1"/>
        <v>0</v>
      </c>
      <c r="I66" s="1068">
        <f t="shared" si="3"/>
        <v>0</v>
      </c>
      <c r="J66" s="1063"/>
      <c r="K66" s="1063"/>
      <c r="L66" s="1063"/>
      <c r="N66" s="1069">
        <f t="shared" si="4"/>
        <v>0</v>
      </c>
    </row>
    <row r="67" spans="1:14" x14ac:dyDescent="0.2">
      <c r="A67" s="1062" t="str">
        <f t="shared" ref="A67:A118" si="6">IF(B67=0, "",LEFT(B67,6))</f>
        <v>840020</v>
      </c>
      <c r="B67" s="1063">
        <v>840020</v>
      </c>
      <c r="C67" s="1063" t="str">
        <v>L-TRYTOPHAN</v>
      </c>
      <c r="D67" s="1063">
        <v>335.51</v>
      </c>
      <c r="E67" s="1063">
        <v>334.17</v>
      </c>
      <c r="F67" s="1063">
        <v>-1.34</v>
      </c>
      <c r="G67" s="1063">
        <v>-0.4</v>
      </c>
      <c r="H67" s="1066">
        <f t="shared" ref="H67:H130" si="7">IFERROR(VLOOKUP(B67,$L$3:$M$28,2,0),0)</f>
        <v>0</v>
      </c>
      <c r="I67" s="1068">
        <f t="shared" si="3"/>
        <v>0</v>
      </c>
      <c r="J67" s="1063"/>
      <c r="K67" s="1063"/>
      <c r="L67" s="1063"/>
      <c r="N67" s="1069">
        <f t="shared" si="4"/>
        <v>0</v>
      </c>
    </row>
    <row r="68" spans="1:14" x14ac:dyDescent="0.2">
      <c r="A68" s="1062" t="str">
        <f t="shared" si="6"/>
        <v>840030</v>
      </c>
      <c r="B68" s="1063">
        <v>840030</v>
      </c>
      <c r="C68" s="1063" t="str">
        <v>L-THREONINE 98.5%</v>
      </c>
      <c r="D68" s="1063">
        <v>869.79</v>
      </c>
      <c r="E68" s="1063">
        <v>867.66</v>
      </c>
      <c r="F68" s="1063">
        <v>-2.13</v>
      </c>
      <c r="G68" s="1063">
        <v>-0.24</v>
      </c>
      <c r="H68" s="1066">
        <f t="shared" si="7"/>
        <v>0</v>
      </c>
      <c r="I68" s="1068">
        <f t="shared" ref="I68:I131" si="8">IF(H68="CORN",$E:$E,0)</f>
        <v>0</v>
      </c>
      <c r="J68" s="1063"/>
      <c r="K68" s="1063"/>
      <c r="L68" s="1063"/>
      <c r="N68" s="1069">
        <f t="shared" si="4"/>
        <v>0</v>
      </c>
    </row>
    <row r="69" spans="1:14" x14ac:dyDescent="0.2">
      <c r="A69" s="1062" t="str">
        <f t="shared" si="6"/>
        <v>840030</v>
      </c>
      <c r="B69" s="1063" t="str">
        <v>840030 Mini</v>
      </c>
      <c r="C69" s="1063" t="str">
        <v>L-THREONINE Mine scale</v>
      </c>
      <c r="D69" s="1063">
        <v>702.08</v>
      </c>
      <c r="E69" s="1063">
        <v>704.7</v>
      </c>
      <c r="F69" s="1063">
        <v>2.62</v>
      </c>
      <c r="G69" s="1063">
        <v>0.37</v>
      </c>
      <c r="H69" s="1066">
        <f t="shared" si="7"/>
        <v>0</v>
      </c>
      <c r="I69" s="1068">
        <f t="shared" si="8"/>
        <v>0</v>
      </c>
      <c r="J69" s="1063"/>
      <c r="K69" s="1063"/>
      <c r="L69" s="1063"/>
      <c r="N69" s="1069">
        <f t="shared" si="4"/>
        <v>0</v>
      </c>
    </row>
    <row r="70" spans="1:14" x14ac:dyDescent="0.2">
      <c r="A70" s="1062" t="str">
        <f t="shared" si="6"/>
        <v>840032</v>
      </c>
      <c r="B70" s="1063">
        <v>840032</v>
      </c>
      <c r="C70" s="1063" t="str">
        <v>L-VALINE</v>
      </c>
      <c r="D70" s="1063">
        <v>353.05</v>
      </c>
      <c r="E70" s="1063">
        <v>351.32</v>
      </c>
      <c r="F70" s="1063">
        <v>-1.73</v>
      </c>
      <c r="G70" s="1063">
        <v>-0.49</v>
      </c>
      <c r="H70" s="1066">
        <f t="shared" si="7"/>
        <v>0</v>
      </c>
      <c r="I70" s="1068">
        <f t="shared" si="8"/>
        <v>0</v>
      </c>
      <c r="J70" s="1063"/>
      <c r="K70" s="1063"/>
      <c r="L70" s="1063"/>
      <c r="N70" s="1069">
        <f t="shared" si="4"/>
        <v>0</v>
      </c>
    </row>
    <row r="71" spans="1:14" x14ac:dyDescent="0.2">
      <c r="A71" s="1062" t="str">
        <f t="shared" si="6"/>
        <v>840035</v>
      </c>
      <c r="B71" s="1063">
        <v>840035</v>
      </c>
      <c r="C71" s="1063" t="str">
        <v>L-ARG 99.7%</v>
      </c>
      <c r="D71" s="1063">
        <v>206.06</v>
      </c>
      <c r="E71" s="1063">
        <v>204.1</v>
      </c>
      <c r="F71" s="1063">
        <v>-1.96</v>
      </c>
      <c r="G71" s="1063">
        <v>-0.95</v>
      </c>
      <c r="H71" s="1066">
        <f t="shared" si="7"/>
        <v>0</v>
      </c>
      <c r="I71" s="1068">
        <f t="shared" si="8"/>
        <v>0</v>
      </c>
      <c r="J71" s="1063"/>
      <c r="K71" s="1063"/>
      <c r="L71" s="1063"/>
      <c r="N71" s="1069">
        <f t="shared" si="4"/>
        <v>0</v>
      </c>
    </row>
    <row r="72" spans="1:14" x14ac:dyDescent="0.2">
      <c r="A72" s="1062" t="str">
        <f t="shared" si="6"/>
        <v>840041</v>
      </c>
      <c r="B72" s="1063">
        <v>840041</v>
      </c>
      <c r="C72" s="1063" t="str">
        <v>Ch_CH 75%</v>
      </c>
      <c r="D72" s="1063">
        <v>992.86</v>
      </c>
      <c r="E72" s="1063">
        <v>980.09</v>
      </c>
      <c r="F72" s="1063">
        <v>-12.77</v>
      </c>
      <c r="G72" s="1063">
        <v>-1.29</v>
      </c>
      <c r="H72" s="1066">
        <f t="shared" si="7"/>
        <v>0</v>
      </c>
      <c r="I72" s="1068">
        <f t="shared" si="8"/>
        <v>0</v>
      </c>
      <c r="J72" s="1063"/>
      <c r="K72" s="1063"/>
      <c r="L72" s="1063"/>
      <c r="N72" s="1069">
        <f t="shared" si="4"/>
        <v>0</v>
      </c>
    </row>
    <row r="73" spans="1:14" x14ac:dyDescent="0.2">
      <c r="A73" s="1062" t="str">
        <f t="shared" si="6"/>
        <v>840058</v>
      </c>
      <c r="B73" s="1063">
        <v>840058</v>
      </c>
      <c r="C73" s="1063" t="str">
        <v>betafin liqiud 38%</v>
      </c>
      <c r="D73" s="1063">
        <v>1711.8</v>
      </c>
      <c r="E73" s="1063">
        <v>1695.2</v>
      </c>
      <c r="F73" s="1063">
        <v>-16.600000000000001</v>
      </c>
      <c r="G73" s="1063">
        <v>-0.97</v>
      </c>
      <c r="H73" s="1066">
        <f t="shared" si="7"/>
        <v>0</v>
      </c>
      <c r="I73" s="1068">
        <f t="shared" si="8"/>
        <v>0</v>
      </c>
      <c r="J73" s="1063"/>
      <c r="K73" s="1063"/>
      <c r="L73" s="1063"/>
      <c r="N73" s="1069">
        <f t="shared" si="4"/>
        <v>0</v>
      </c>
    </row>
    <row r="74" spans="1:14" x14ac:dyDescent="0.2">
      <c r="A74" s="1062" t="str">
        <f t="shared" si="6"/>
        <v>840155</v>
      </c>
      <c r="B74" s="1063">
        <v>840155</v>
      </c>
      <c r="C74" s="1063" t="str">
        <v>Rovabio Advance Phy L</v>
      </c>
      <c r="D74" s="1063">
        <v>202.08</v>
      </c>
      <c r="E74" s="1063">
        <v>202.08</v>
      </c>
      <c r="F74" s="1063">
        <v>0</v>
      </c>
      <c r="G74" s="1063">
        <v>0</v>
      </c>
      <c r="H74" s="1066">
        <f t="shared" si="7"/>
        <v>0</v>
      </c>
      <c r="I74" s="1068">
        <f t="shared" si="8"/>
        <v>0</v>
      </c>
      <c r="J74" s="1063"/>
      <c r="K74" s="1063"/>
      <c r="L74" s="1063"/>
      <c r="N74" s="1069">
        <f t="shared" si="4"/>
        <v>202.08</v>
      </c>
    </row>
    <row r="75" spans="1:14" s="1070" customFormat="1" x14ac:dyDescent="0.2">
      <c r="A75" s="1062" t="str">
        <f t="shared" si="6"/>
        <v>840194</v>
      </c>
      <c r="B75" s="1063">
        <v>840194</v>
      </c>
      <c r="C75" s="1063" t="str">
        <v>ROVABIO ADVNCE T-FLEX 25</v>
      </c>
      <c r="D75" s="1063">
        <v>164.64</v>
      </c>
      <c r="E75" s="1063">
        <v>162.88</v>
      </c>
      <c r="F75" s="1063">
        <v>-1.76</v>
      </c>
      <c r="G75" s="1063">
        <v>-1.07</v>
      </c>
      <c r="H75" s="1066">
        <f t="shared" si="7"/>
        <v>0</v>
      </c>
      <c r="I75" s="1068">
        <f t="shared" si="8"/>
        <v>0</v>
      </c>
      <c r="J75" s="1063"/>
      <c r="K75" s="1063"/>
      <c r="L75" s="1063"/>
      <c r="M75" s="1063"/>
      <c r="N75" s="1069">
        <f t="shared" si="4"/>
        <v>0</v>
      </c>
    </row>
    <row r="76" spans="1:14" x14ac:dyDescent="0.2">
      <c r="A76" s="1062" t="str">
        <f t="shared" si="6"/>
        <v>840197</v>
      </c>
      <c r="B76" s="1063">
        <v>840197</v>
      </c>
      <c r="C76" s="1063" t="str">
        <v>Versazyme/cibenza</v>
      </c>
      <c r="D76" s="1063">
        <v>63</v>
      </c>
      <c r="E76" s="1063">
        <v>62.63</v>
      </c>
      <c r="F76" s="1063">
        <v>-0.37</v>
      </c>
      <c r="G76" s="1063">
        <v>-0.59</v>
      </c>
      <c r="H76" s="1066">
        <f t="shared" si="7"/>
        <v>0</v>
      </c>
      <c r="I76" s="1068">
        <f t="shared" si="8"/>
        <v>0</v>
      </c>
      <c r="J76" s="1063"/>
      <c r="K76" s="1063"/>
      <c r="L76" s="1063"/>
      <c r="N76" s="1069">
        <f t="shared" ref="N76:N139" si="9">IFERROR(VLOOKUP(B76,$L$30:$M$50,2,0),0)</f>
        <v>0</v>
      </c>
    </row>
    <row r="77" spans="1:14" x14ac:dyDescent="0.2">
      <c r="A77" s="1062" t="str">
        <f t="shared" si="6"/>
        <v>840224</v>
      </c>
      <c r="B77" s="1063">
        <v>840224</v>
      </c>
      <c r="C77" s="1063" t="str">
        <v>LUCATINRED10%/LeaderRed/Canthaxanthin10%</v>
      </c>
      <c r="D77" s="1063">
        <v>27.3</v>
      </c>
      <c r="E77" s="1063">
        <v>27.3</v>
      </c>
      <c r="F77" s="1063">
        <v>0</v>
      </c>
      <c r="G77" s="1063">
        <v>0</v>
      </c>
      <c r="H77" s="1066">
        <f t="shared" si="7"/>
        <v>0</v>
      </c>
      <c r="I77" s="1068">
        <f t="shared" si="8"/>
        <v>0</v>
      </c>
      <c r="J77" s="1063"/>
      <c r="K77" s="1063"/>
      <c r="L77" s="1063"/>
      <c r="N77" s="1069">
        <f t="shared" si="9"/>
        <v>0</v>
      </c>
    </row>
    <row r="78" spans="1:14" x14ac:dyDescent="0.2">
      <c r="A78" s="1062" t="str">
        <f t="shared" si="6"/>
        <v>840245</v>
      </c>
      <c r="B78" s="1063">
        <v>840245</v>
      </c>
      <c r="C78" s="1063" t="str">
        <v>TARTRAZINE 50%</v>
      </c>
      <c r="D78" s="1063">
        <v>69.72</v>
      </c>
      <c r="E78" s="1063">
        <v>69.819999999999993</v>
      </c>
      <c r="F78" s="1063">
        <v>0.1</v>
      </c>
      <c r="G78" s="1063">
        <v>0.14000000000000001</v>
      </c>
      <c r="H78" s="1066">
        <f t="shared" si="7"/>
        <v>0</v>
      </c>
      <c r="I78" s="1068">
        <f t="shared" si="8"/>
        <v>0</v>
      </c>
      <c r="J78" s="1063"/>
      <c r="K78" s="1063"/>
      <c r="L78" s="1063"/>
      <c r="N78" s="1069">
        <f t="shared" si="9"/>
        <v>0</v>
      </c>
    </row>
    <row r="79" spans="1:14" x14ac:dyDescent="0.2">
      <c r="A79" s="1062" t="str">
        <f t="shared" si="6"/>
        <v>840255</v>
      </c>
      <c r="B79" s="1063">
        <v>840255</v>
      </c>
      <c r="C79" s="1063" t="str">
        <v>LEADER  YELLOW</v>
      </c>
      <c r="D79" s="1063">
        <v>235.2</v>
      </c>
      <c r="E79" s="1063">
        <v>235.25</v>
      </c>
      <c r="F79" s="1063">
        <v>0.05</v>
      </c>
      <c r="G79" s="1063">
        <v>0.02</v>
      </c>
      <c r="H79" s="1066">
        <f t="shared" si="7"/>
        <v>0</v>
      </c>
      <c r="I79" s="1068">
        <f t="shared" si="8"/>
        <v>0</v>
      </c>
      <c r="J79" s="1063"/>
      <c r="K79" s="1063"/>
      <c r="L79" s="1063"/>
      <c r="N79" s="1069">
        <f t="shared" si="9"/>
        <v>0</v>
      </c>
    </row>
    <row r="80" spans="1:14" x14ac:dyDescent="0.2">
      <c r="A80" s="1062" t="str">
        <f t="shared" si="6"/>
        <v>840305</v>
      </c>
      <c r="B80" s="1063">
        <v>840305</v>
      </c>
      <c r="C80" s="1063" t="str">
        <v>PIGOR TEX659</v>
      </c>
      <c r="D80" s="1063">
        <v>23.6</v>
      </c>
      <c r="E80" s="1063">
        <v>23.61</v>
      </c>
      <c r="F80" s="1063">
        <v>0.01</v>
      </c>
      <c r="G80" s="1063">
        <v>0.04</v>
      </c>
      <c r="H80" s="1066">
        <f t="shared" si="7"/>
        <v>0</v>
      </c>
      <c r="I80" s="1068">
        <f t="shared" si="8"/>
        <v>0</v>
      </c>
      <c r="J80" s="1063"/>
      <c r="K80" s="1063"/>
      <c r="L80" s="1063"/>
      <c r="N80" s="1069">
        <f t="shared" si="9"/>
        <v>0</v>
      </c>
    </row>
    <row r="81" spans="1:14" x14ac:dyDescent="0.2">
      <c r="A81" s="1062" t="str">
        <f t="shared" si="6"/>
        <v>840358</v>
      </c>
      <c r="B81" s="1063">
        <v>840358</v>
      </c>
      <c r="C81" s="1063" t="str">
        <v xml:space="preserve">Sucram 5S </v>
      </c>
      <c r="D81" s="1063">
        <v>9</v>
      </c>
      <c r="E81" s="1063">
        <v>9.0500000000000007</v>
      </c>
      <c r="F81" s="1063">
        <v>0.05</v>
      </c>
      <c r="G81" s="1063">
        <v>0.56000000000000005</v>
      </c>
      <c r="H81" s="1066">
        <f t="shared" si="7"/>
        <v>0</v>
      </c>
      <c r="I81" s="1068">
        <f t="shared" si="8"/>
        <v>0</v>
      </c>
      <c r="J81" s="1063"/>
      <c r="K81" s="1063"/>
      <c r="L81" s="1063"/>
      <c r="N81" s="1069">
        <f t="shared" si="9"/>
        <v>0</v>
      </c>
    </row>
    <row r="82" spans="1:14" x14ac:dyDescent="0.2">
      <c r="A82" s="1062" t="str">
        <f t="shared" si="6"/>
        <v>840400</v>
      </c>
      <c r="B82" s="1063">
        <v>840400</v>
      </c>
      <c r="C82" s="1063" t="str">
        <v>ACID LAC PREMIUM</v>
      </c>
      <c r="D82" s="1063">
        <v>360</v>
      </c>
      <c r="E82" s="1063">
        <v>356.4</v>
      </c>
      <c r="F82" s="1063">
        <v>-3.6</v>
      </c>
      <c r="G82" s="1063">
        <v>-1</v>
      </c>
      <c r="H82" s="1066">
        <f t="shared" si="7"/>
        <v>0</v>
      </c>
      <c r="I82" s="1068">
        <f t="shared" si="8"/>
        <v>0</v>
      </c>
      <c r="J82" s="1063"/>
      <c r="K82" s="1063"/>
      <c r="L82" s="1063"/>
      <c r="N82" s="1069">
        <f t="shared" si="9"/>
        <v>0</v>
      </c>
    </row>
    <row r="83" spans="1:14" x14ac:dyDescent="0.2">
      <c r="A83" s="1062" t="str">
        <f t="shared" si="6"/>
        <v>840537</v>
      </c>
      <c r="B83" s="1063">
        <v>840537</v>
      </c>
      <c r="C83" s="1063" t="str">
        <v>VITAMIN E</v>
      </c>
      <c r="D83" s="1063">
        <v>8.1999999999999993</v>
      </c>
      <c r="E83" s="1063">
        <v>8.1199999999999992</v>
      </c>
      <c r="F83" s="1063">
        <v>-0.08</v>
      </c>
      <c r="G83" s="1063">
        <v>-0.97</v>
      </c>
      <c r="H83" s="1066">
        <f t="shared" si="7"/>
        <v>0</v>
      </c>
      <c r="I83" s="1068">
        <f t="shared" si="8"/>
        <v>0</v>
      </c>
      <c r="J83" s="1063"/>
      <c r="K83" s="1063"/>
      <c r="L83" s="1063"/>
      <c r="N83" s="1069">
        <f t="shared" si="9"/>
        <v>0</v>
      </c>
    </row>
    <row r="84" spans="1:14" x14ac:dyDescent="0.2">
      <c r="A84" s="1062" t="str">
        <f t="shared" si="6"/>
        <v>840547</v>
      </c>
      <c r="B84" s="1063">
        <v>840547</v>
      </c>
      <c r="C84" s="1063" t="str">
        <v>PHYTOCEE</v>
      </c>
      <c r="D84" s="1063">
        <v>38.64</v>
      </c>
      <c r="E84" s="1063">
        <v>38.61</v>
      </c>
      <c r="F84" s="1063">
        <v>-0.03</v>
      </c>
      <c r="G84" s="1063">
        <v>-0.08</v>
      </c>
      <c r="H84" s="1066">
        <f t="shared" si="7"/>
        <v>0</v>
      </c>
      <c r="I84" s="1068">
        <f t="shared" si="8"/>
        <v>0</v>
      </c>
      <c r="J84" s="1063"/>
      <c r="K84" s="1063"/>
      <c r="L84" s="1063"/>
      <c r="N84" s="1069">
        <f t="shared" si="9"/>
        <v>0</v>
      </c>
    </row>
    <row r="85" spans="1:14" x14ac:dyDescent="0.2">
      <c r="A85" s="1062" t="str">
        <f t="shared" si="6"/>
        <v>840550</v>
      </c>
      <c r="B85" s="1063">
        <v>840550</v>
      </c>
      <c r="C85" s="1063" t="str">
        <v>BIOTIN(2%)</v>
      </c>
      <c r="D85" s="1063">
        <v>8.4499999999999993</v>
      </c>
      <c r="E85" s="1063">
        <v>8.5</v>
      </c>
      <c r="F85" s="1063">
        <v>0.05</v>
      </c>
      <c r="G85" s="1063">
        <v>0.57999999999999996</v>
      </c>
      <c r="H85" s="1066">
        <f t="shared" si="7"/>
        <v>0</v>
      </c>
      <c r="I85" s="1068">
        <f t="shared" si="8"/>
        <v>0</v>
      </c>
      <c r="J85" s="1063"/>
      <c r="K85" s="1063"/>
      <c r="L85" s="1063"/>
      <c r="N85" s="1069">
        <f t="shared" si="9"/>
        <v>0</v>
      </c>
    </row>
    <row r="86" spans="1:14" x14ac:dyDescent="0.2">
      <c r="A86" s="1062" t="str">
        <f t="shared" si="6"/>
        <v>840929</v>
      </c>
      <c r="B86" s="1063">
        <v>840929</v>
      </c>
      <c r="C86" s="1063" t="str">
        <v>Rovabio PHY</v>
      </c>
      <c r="D86" s="1063">
        <v>82.32</v>
      </c>
      <c r="E86" s="1063">
        <v>81.56</v>
      </c>
      <c r="F86" s="1063">
        <v>-0.76</v>
      </c>
      <c r="G86" s="1063">
        <v>-0.92</v>
      </c>
      <c r="H86" s="1066">
        <f t="shared" si="7"/>
        <v>0</v>
      </c>
      <c r="I86" s="1068">
        <f t="shared" si="8"/>
        <v>0</v>
      </c>
      <c r="J86" s="1063"/>
      <c r="K86" s="1063"/>
      <c r="L86" s="1063"/>
      <c r="N86" s="1069">
        <f t="shared" si="9"/>
        <v>0</v>
      </c>
    </row>
    <row r="87" spans="1:14" x14ac:dyDescent="0.2">
      <c r="A87" s="1062" t="str">
        <f t="shared" si="6"/>
        <v>841299</v>
      </c>
      <c r="B87" s="1063">
        <v>841299</v>
      </c>
      <c r="C87" s="1063" t="str">
        <v>Avi-multop</v>
      </c>
      <c r="D87" s="1063">
        <v>253.4</v>
      </c>
      <c r="E87" s="1063">
        <v>253.9</v>
      </c>
      <c r="F87" s="1063">
        <v>0.5</v>
      </c>
      <c r="G87" s="1063">
        <v>0.2</v>
      </c>
      <c r="H87" s="1066">
        <f t="shared" si="7"/>
        <v>0</v>
      </c>
      <c r="I87" s="1068">
        <f t="shared" si="8"/>
        <v>0</v>
      </c>
      <c r="J87" s="1063"/>
      <c r="K87" s="1063"/>
      <c r="L87" s="1063"/>
      <c r="N87" s="1069">
        <f t="shared" si="9"/>
        <v>0</v>
      </c>
    </row>
    <row r="88" spans="1:14" x14ac:dyDescent="0.2">
      <c r="A88" s="1062" t="str">
        <f t="shared" si="6"/>
        <v>841327</v>
      </c>
      <c r="B88" s="1063">
        <v>841327</v>
      </c>
      <c r="C88" s="1063" t="str">
        <v>Lysofrte Dry</v>
      </c>
      <c r="D88" s="1063">
        <v>32.049999999999997</v>
      </c>
      <c r="E88" s="1063">
        <v>32.049999999999997</v>
      </c>
      <c r="F88" s="1063">
        <v>0</v>
      </c>
      <c r="G88" s="1063">
        <v>0</v>
      </c>
      <c r="H88" s="1066">
        <f t="shared" si="7"/>
        <v>0</v>
      </c>
      <c r="I88" s="1068">
        <f t="shared" si="8"/>
        <v>0</v>
      </c>
      <c r="J88" s="1063"/>
      <c r="K88" s="1063"/>
      <c r="L88" s="1063"/>
      <c r="N88" s="1069">
        <f t="shared" si="9"/>
        <v>0</v>
      </c>
    </row>
    <row r="89" spans="1:14" x14ac:dyDescent="0.2">
      <c r="A89" s="1062" t="str">
        <f t="shared" si="6"/>
        <v>842107</v>
      </c>
      <c r="B89" s="1063">
        <v>842107</v>
      </c>
      <c r="C89" s="1063" t="str">
        <v xml:space="preserve">M-TOX PLUS </v>
      </c>
      <c r="D89" s="1063">
        <v>365.45</v>
      </c>
      <c r="E89" s="1063">
        <v>363.14</v>
      </c>
      <c r="F89" s="1063">
        <v>-2.31</v>
      </c>
      <c r="G89" s="1063">
        <v>-0.63</v>
      </c>
      <c r="H89" s="1066">
        <f t="shared" si="7"/>
        <v>0</v>
      </c>
      <c r="I89" s="1068">
        <f t="shared" si="8"/>
        <v>0</v>
      </c>
      <c r="J89" s="1063"/>
      <c r="K89" s="1063"/>
      <c r="L89" s="1063"/>
      <c r="N89" s="1069">
        <f t="shared" si="9"/>
        <v>0</v>
      </c>
    </row>
    <row r="90" spans="1:14" x14ac:dyDescent="0.2">
      <c r="A90" s="1062" t="str">
        <f t="shared" si="6"/>
        <v>842123</v>
      </c>
      <c r="B90" s="1063">
        <v>842123</v>
      </c>
      <c r="C90" s="1063" t="str">
        <v>MYCOFIX Plux 3.0</v>
      </c>
      <c r="D90" s="1063">
        <v>126</v>
      </c>
      <c r="E90" s="1063">
        <v>125.66</v>
      </c>
      <c r="F90" s="1063">
        <v>-0.34</v>
      </c>
      <c r="G90" s="1063">
        <v>-0.27</v>
      </c>
      <c r="H90" s="1066">
        <f t="shared" si="7"/>
        <v>0</v>
      </c>
      <c r="I90" s="1068">
        <f t="shared" si="8"/>
        <v>0</v>
      </c>
      <c r="J90" s="1063"/>
      <c r="K90" s="1063"/>
      <c r="L90" s="1063"/>
      <c r="N90" s="1069">
        <f t="shared" si="9"/>
        <v>0</v>
      </c>
    </row>
    <row r="91" spans="1:14" x14ac:dyDescent="0.2">
      <c r="A91" s="1062" t="str">
        <f t="shared" si="6"/>
        <v>842133</v>
      </c>
      <c r="B91" s="1063">
        <v>842133</v>
      </c>
      <c r="C91" s="1063" t="str">
        <v>Toxy-nil dry</v>
      </c>
      <c r="D91" s="1063">
        <v>126</v>
      </c>
      <c r="E91" s="1063">
        <v>124.62</v>
      </c>
      <c r="F91" s="1063">
        <v>-1.38</v>
      </c>
      <c r="G91" s="1063">
        <v>-1.1000000000000001</v>
      </c>
      <c r="H91" s="1066">
        <f t="shared" si="7"/>
        <v>0</v>
      </c>
      <c r="I91" s="1068">
        <f t="shared" si="8"/>
        <v>0</v>
      </c>
      <c r="J91" s="1063"/>
      <c r="K91" s="1063"/>
      <c r="L91" s="1063"/>
      <c r="N91" s="1069">
        <f t="shared" si="9"/>
        <v>0</v>
      </c>
    </row>
    <row r="92" spans="1:14" x14ac:dyDescent="0.2">
      <c r="A92" s="1062" t="str">
        <f t="shared" si="6"/>
        <v>842154</v>
      </c>
      <c r="B92" s="1063">
        <v>842154</v>
      </c>
      <c r="C92" s="1063" t="str">
        <v>BENTONITE</v>
      </c>
      <c r="D92" s="1063">
        <v>33.6</v>
      </c>
      <c r="E92" s="1063">
        <v>33.659999999999997</v>
      </c>
      <c r="F92" s="1063">
        <v>0.06</v>
      </c>
      <c r="G92" s="1063">
        <v>0.18</v>
      </c>
      <c r="H92" s="1066">
        <f t="shared" si="7"/>
        <v>0</v>
      </c>
      <c r="I92" s="1068">
        <f t="shared" si="8"/>
        <v>0</v>
      </c>
      <c r="J92" s="1063"/>
      <c r="K92" s="1063"/>
      <c r="L92" s="1063"/>
      <c r="N92" s="1069">
        <f t="shared" si="9"/>
        <v>0</v>
      </c>
    </row>
    <row r="93" spans="1:14" s="1070" customFormat="1" x14ac:dyDescent="0.2">
      <c r="A93" s="1062" t="str">
        <f t="shared" si="6"/>
        <v>842206</v>
      </c>
      <c r="B93" s="1063">
        <v>842206</v>
      </c>
      <c r="C93" s="1063" t="str">
        <v>BIOMIN</v>
      </c>
      <c r="D93" s="1063">
        <v>31.5</v>
      </c>
      <c r="E93" s="1063">
        <v>31.16</v>
      </c>
      <c r="F93" s="1063">
        <v>-0.34</v>
      </c>
      <c r="G93" s="1063">
        <v>-1.08</v>
      </c>
      <c r="H93" s="1066">
        <f t="shared" si="7"/>
        <v>0</v>
      </c>
      <c r="I93" s="1068">
        <f t="shared" si="8"/>
        <v>0</v>
      </c>
      <c r="J93" s="1063"/>
      <c r="K93" s="1063"/>
      <c r="L93" s="1063"/>
      <c r="M93" s="1063"/>
      <c r="N93" s="1069">
        <f t="shared" si="9"/>
        <v>0</v>
      </c>
    </row>
    <row r="94" spans="1:14" x14ac:dyDescent="0.2">
      <c r="A94" s="1062" t="str">
        <f t="shared" si="6"/>
        <v>842259</v>
      </c>
      <c r="B94" s="1063">
        <v>842259</v>
      </c>
      <c r="C94" s="1063" t="str">
        <v>GalliPro Tect(Probiotic)</v>
      </c>
      <c r="D94" s="1063">
        <v>197.4</v>
      </c>
      <c r="E94" s="1063">
        <v>196.18</v>
      </c>
      <c r="F94" s="1063">
        <v>-1.22</v>
      </c>
      <c r="G94" s="1063">
        <v>-0.62</v>
      </c>
      <c r="H94" s="1066">
        <f t="shared" si="7"/>
        <v>0</v>
      </c>
      <c r="I94" s="1068">
        <f t="shared" si="8"/>
        <v>0</v>
      </c>
      <c r="J94" s="1063"/>
      <c r="K94" s="1063"/>
      <c r="L94" s="1063"/>
      <c r="N94" s="1069">
        <f t="shared" si="9"/>
        <v>0</v>
      </c>
    </row>
    <row r="95" spans="1:14" x14ac:dyDescent="0.2">
      <c r="A95" s="1062" t="str">
        <f t="shared" si="6"/>
        <v>842300</v>
      </c>
      <c r="B95" s="1063">
        <v>842300</v>
      </c>
      <c r="C95" s="1063" t="str">
        <v>ENDOX</v>
      </c>
      <c r="D95" s="1063">
        <v>81</v>
      </c>
      <c r="E95" s="1063">
        <v>81.459999999999994</v>
      </c>
      <c r="F95" s="1063">
        <v>0.46</v>
      </c>
      <c r="G95" s="1063">
        <v>0.56999999999999995</v>
      </c>
      <c r="H95" s="1066">
        <f t="shared" si="7"/>
        <v>0</v>
      </c>
      <c r="I95" s="1068">
        <f t="shared" si="8"/>
        <v>0</v>
      </c>
      <c r="J95" s="1063"/>
      <c r="K95" s="1063"/>
      <c r="L95" s="1063"/>
      <c r="N95" s="1069">
        <f t="shared" si="9"/>
        <v>0</v>
      </c>
    </row>
    <row r="96" spans="1:14" x14ac:dyDescent="0.2">
      <c r="A96" s="1062" t="str">
        <f t="shared" si="6"/>
        <v>842520</v>
      </c>
      <c r="B96" s="1063">
        <v>842520</v>
      </c>
      <c r="C96" s="1063" t="str">
        <v>Monensin</v>
      </c>
      <c r="D96" s="1063">
        <v>8.83</v>
      </c>
      <c r="E96" s="1063">
        <v>8.85</v>
      </c>
      <c r="F96" s="1063">
        <v>0.02</v>
      </c>
      <c r="G96" s="1063">
        <v>0.23</v>
      </c>
      <c r="H96" s="1066">
        <f t="shared" si="7"/>
        <v>0</v>
      </c>
      <c r="I96" s="1068">
        <f t="shared" si="8"/>
        <v>0</v>
      </c>
      <c r="J96" s="1063"/>
      <c r="K96" s="1063"/>
      <c r="L96" s="1063"/>
      <c r="N96" s="1069">
        <f t="shared" si="9"/>
        <v>0</v>
      </c>
    </row>
    <row r="97" spans="1:14" x14ac:dyDescent="0.2">
      <c r="A97" s="1062" t="str">
        <f t="shared" si="6"/>
        <v>842523</v>
      </c>
      <c r="B97" s="1063">
        <v>842523</v>
      </c>
      <c r="C97" s="1063" t="str">
        <v>MAXIBAN</v>
      </c>
      <c r="D97" s="1063">
        <v>22.68</v>
      </c>
      <c r="E97" s="1063">
        <v>22.68</v>
      </c>
      <c r="F97" s="1063">
        <v>0</v>
      </c>
      <c r="G97" s="1063">
        <v>0</v>
      </c>
      <c r="H97" s="1066">
        <f t="shared" si="7"/>
        <v>0</v>
      </c>
      <c r="I97" s="1068">
        <f t="shared" si="8"/>
        <v>0</v>
      </c>
      <c r="J97" s="1063"/>
      <c r="K97" s="1063"/>
      <c r="L97" s="1063"/>
      <c r="N97" s="1069">
        <f t="shared" si="9"/>
        <v>0</v>
      </c>
    </row>
    <row r="98" spans="1:14" x14ac:dyDescent="0.2">
      <c r="A98" s="1062" t="str">
        <f t="shared" si="6"/>
        <v>842880</v>
      </c>
      <c r="B98" s="1063">
        <v>842880</v>
      </c>
      <c r="C98" s="1063" t="str">
        <v>Acid Buf 10</v>
      </c>
      <c r="D98" s="1063">
        <v>420.74</v>
      </c>
      <c r="E98" s="1063">
        <v>420.74</v>
      </c>
      <c r="F98" s="1063">
        <v>0</v>
      </c>
      <c r="G98" s="1063">
        <v>0</v>
      </c>
      <c r="H98" s="1066">
        <f t="shared" si="7"/>
        <v>0</v>
      </c>
      <c r="I98" s="1068">
        <f t="shared" si="8"/>
        <v>0</v>
      </c>
      <c r="J98" s="1063"/>
      <c r="K98" s="1063"/>
      <c r="L98" s="1063"/>
      <c r="N98" s="1069">
        <f t="shared" si="9"/>
        <v>0</v>
      </c>
    </row>
    <row r="99" spans="1:14" x14ac:dyDescent="0.2">
      <c r="A99" s="1062" t="str">
        <f t="shared" si="6"/>
        <v>842881</v>
      </c>
      <c r="B99" s="1063">
        <v>842881</v>
      </c>
      <c r="C99" s="1063" t="str">
        <v>SURMAX 10%</v>
      </c>
      <c r="D99" s="1063">
        <v>6.3</v>
      </c>
      <c r="E99" s="1063">
        <v>6.35</v>
      </c>
      <c r="F99" s="1063">
        <v>0.05</v>
      </c>
      <c r="G99" s="1063">
        <v>0.79</v>
      </c>
      <c r="H99" s="1066">
        <f t="shared" si="7"/>
        <v>0</v>
      </c>
      <c r="I99" s="1068">
        <f t="shared" si="8"/>
        <v>0</v>
      </c>
      <c r="J99" s="1063"/>
      <c r="K99" s="1063"/>
      <c r="L99" s="1063"/>
      <c r="N99" s="1069">
        <f t="shared" si="9"/>
        <v>0</v>
      </c>
    </row>
    <row r="100" spans="1:14" x14ac:dyDescent="0.2">
      <c r="A100" s="1062" t="str">
        <f t="shared" si="6"/>
        <v>842903</v>
      </c>
      <c r="B100" s="1063">
        <v>842903</v>
      </c>
      <c r="C100" s="1063" t="str">
        <v>COPPER CHLORIDE 58%Caliton</v>
      </c>
      <c r="D100" s="1063">
        <v>164.74</v>
      </c>
      <c r="E100" s="1063">
        <v>165.55</v>
      </c>
      <c r="F100" s="1063">
        <v>0.81</v>
      </c>
      <c r="G100" s="1063">
        <v>0.49</v>
      </c>
      <c r="H100" s="1066">
        <f t="shared" si="7"/>
        <v>0</v>
      </c>
      <c r="I100" s="1068">
        <f t="shared" si="8"/>
        <v>0</v>
      </c>
      <c r="J100" s="1063"/>
      <c r="K100" s="1063"/>
      <c r="L100" s="1063"/>
      <c r="N100" s="1069">
        <f t="shared" si="9"/>
        <v>0</v>
      </c>
    </row>
    <row r="101" spans="1:14" x14ac:dyDescent="0.2">
      <c r="A101" s="1062" t="str">
        <f t="shared" si="6"/>
        <v>842906</v>
      </c>
      <c r="B101" s="1063">
        <v>842906</v>
      </c>
      <c r="C101" s="1063" t="str">
        <v>UREA FINE</v>
      </c>
      <c r="D101" s="1063">
        <v>1589.53</v>
      </c>
      <c r="E101" s="1063">
        <v>1588.5</v>
      </c>
      <c r="F101" s="1063">
        <v>-1.03</v>
      </c>
      <c r="G101" s="1063">
        <v>-0.06</v>
      </c>
      <c r="H101" s="1066">
        <f t="shared" si="7"/>
        <v>0</v>
      </c>
      <c r="I101" s="1068">
        <f t="shared" si="8"/>
        <v>0</v>
      </c>
      <c r="J101" s="1063"/>
      <c r="K101" s="1063"/>
      <c r="L101" s="1063"/>
      <c r="N101" s="1069">
        <f t="shared" si="9"/>
        <v>0</v>
      </c>
    </row>
    <row r="102" spans="1:14" x14ac:dyDescent="0.2">
      <c r="A102" s="1062" t="str">
        <f t="shared" si="6"/>
        <v>842922</v>
      </c>
      <c r="B102" s="1063">
        <v>842922</v>
      </c>
      <c r="C102" s="1063" t="str">
        <v>AVAILA Zn</v>
      </c>
      <c r="D102" s="1063">
        <v>203.36</v>
      </c>
      <c r="E102" s="1063">
        <v>203.31</v>
      </c>
      <c r="F102" s="1063">
        <v>-0.05</v>
      </c>
      <c r="G102" s="1063">
        <v>-0.02</v>
      </c>
      <c r="H102" s="1066">
        <f t="shared" si="7"/>
        <v>0</v>
      </c>
      <c r="I102" s="1068">
        <f t="shared" si="8"/>
        <v>0</v>
      </c>
      <c r="J102" s="1063"/>
      <c r="K102" s="1063"/>
      <c r="L102" s="1063"/>
      <c r="N102" s="1069">
        <f t="shared" si="9"/>
        <v>0</v>
      </c>
    </row>
    <row r="103" spans="1:14" x14ac:dyDescent="0.2">
      <c r="A103" s="1062" t="str">
        <f t="shared" si="6"/>
        <v>842930</v>
      </c>
      <c r="B103" s="1063">
        <v>842930</v>
      </c>
      <c r="C103" s="1063" t="str">
        <v>ALLPLEX -B</v>
      </c>
      <c r="D103" s="1063">
        <v>8.4</v>
      </c>
      <c r="E103" s="1063">
        <v>8.34</v>
      </c>
      <c r="F103" s="1063">
        <v>-0.06</v>
      </c>
      <c r="G103" s="1063">
        <v>-0.71</v>
      </c>
      <c r="H103" s="1066">
        <f t="shared" si="7"/>
        <v>0</v>
      </c>
      <c r="I103" s="1068">
        <f t="shared" si="8"/>
        <v>0</v>
      </c>
      <c r="J103" s="1063"/>
      <c r="K103" s="1063"/>
      <c r="L103" s="1063"/>
      <c r="N103" s="1069">
        <f t="shared" si="9"/>
        <v>0</v>
      </c>
    </row>
    <row r="104" spans="1:14" x14ac:dyDescent="0.2">
      <c r="A104" s="1062" t="str">
        <f t="shared" si="6"/>
        <v>842931</v>
      </c>
      <c r="B104" s="1063">
        <v>842931</v>
      </c>
      <c r="C104" s="1063" t="str">
        <v>ALLPLEX -S</v>
      </c>
      <c r="D104" s="1063">
        <v>378</v>
      </c>
      <c r="E104" s="1063">
        <v>375.66</v>
      </c>
      <c r="F104" s="1063">
        <v>-2.34</v>
      </c>
      <c r="G104" s="1063">
        <v>-0.62</v>
      </c>
      <c r="H104" s="1066">
        <f t="shared" si="7"/>
        <v>0</v>
      </c>
      <c r="I104" s="1068">
        <f t="shared" si="8"/>
        <v>0</v>
      </c>
      <c r="J104" s="1063"/>
      <c r="K104" s="1063"/>
      <c r="L104" s="1063"/>
      <c r="N104" s="1069">
        <f t="shared" si="9"/>
        <v>0</v>
      </c>
    </row>
    <row r="105" spans="1:14" x14ac:dyDescent="0.2">
      <c r="A105" s="1062" t="str">
        <f t="shared" si="6"/>
        <v>842934</v>
      </c>
      <c r="B105" s="1063">
        <v>842934</v>
      </c>
      <c r="C105" s="1063" t="str">
        <v>ALLPLEX -GF</v>
      </c>
      <c r="D105" s="1063">
        <v>664.8</v>
      </c>
      <c r="E105" s="1063">
        <v>657.68</v>
      </c>
      <c r="F105" s="1063">
        <v>-7.12</v>
      </c>
      <c r="G105" s="1063">
        <v>-1.07</v>
      </c>
      <c r="H105" s="1066">
        <f t="shared" si="7"/>
        <v>0</v>
      </c>
      <c r="I105" s="1068">
        <f t="shared" si="8"/>
        <v>0</v>
      </c>
      <c r="J105" s="1063"/>
      <c r="K105" s="1063"/>
      <c r="L105" s="1063"/>
      <c r="N105" s="1069">
        <f t="shared" si="9"/>
        <v>0</v>
      </c>
    </row>
    <row r="106" spans="1:14" s="1070" customFormat="1" x14ac:dyDescent="0.2">
      <c r="A106" s="1062" t="str">
        <f t="shared" si="6"/>
        <v>842959</v>
      </c>
      <c r="B106" s="1063">
        <v>842959</v>
      </c>
      <c r="C106" s="1063" t="str">
        <v>Microplex Cr</v>
      </c>
      <c r="D106" s="1063">
        <v>25.2</v>
      </c>
      <c r="E106" s="1063">
        <v>24.96</v>
      </c>
      <c r="F106" s="1063">
        <v>-0.24</v>
      </c>
      <c r="G106" s="1063">
        <v>-0.95</v>
      </c>
      <c r="H106" s="1066">
        <f t="shared" si="7"/>
        <v>0</v>
      </c>
      <c r="I106" s="1068">
        <f t="shared" si="8"/>
        <v>0</v>
      </c>
      <c r="J106" s="1063"/>
      <c r="K106" s="1063"/>
      <c r="L106" s="1063"/>
      <c r="M106" s="1063"/>
      <c r="N106" s="1069">
        <f t="shared" si="9"/>
        <v>0</v>
      </c>
    </row>
    <row r="107" spans="1:14" x14ac:dyDescent="0.2">
      <c r="A107" s="1062" t="str">
        <f t="shared" si="6"/>
        <v>842984</v>
      </c>
      <c r="B107" s="1063">
        <v>842984</v>
      </c>
      <c r="C107" s="1063" t="str">
        <v>ZN OXIDE 75%</v>
      </c>
      <c r="D107" s="1063">
        <v>300</v>
      </c>
      <c r="E107" s="1063">
        <v>300.89999999999998</v>
      </c>
      <c r="F107" s="1063">
        <v>0.9</v>
      </c>
      <c r="G107" s="1063">
        <v>0.3</v>
      </c>
      <c r="H107" s="1066">
        <f t="shared" si="7"/>
        <v>0</v>
      </c>
      <c r="I107" s="1068">
        <f t="shared" si="8"/>
        <v>0</v>
      </c>
      <c r="J107" s="1063"/>
      <c r="K107" s="1063"/>
      <c r="L107" s="1063"/>
      <c r="N107" s="1069">
        <f t="shared" si="9"/>
        <v>0</v>
      </c>
    </row>
    <row r="108" spans="1:14" x14ac:dyDescent="0.2">
      <c r="A108" s="1062" t="str">
        <f t="shared" si="6"/>
        <v>843060</v>
      </c>
      <c r="B108" s="1063">
        <v>843060</v>
      </c>
      <c r="C108" s="1063" t="str">
        <v>MYCOSTATIN</v>
      </c>
      <c r="D108" s="1063">
        <v>95.47</v>
      </c>
      <c r="E108" s="1063">
        <v>95.45</v>
      </c>
      <c r="F108" s="1063">
        <v>-0.02</v>
      </c>
      <c r="G108" s="1063">
        <v>-0.02</v>
      </c>
      <c r="H108" s="1066">
        <f t="shared" si="7"/>
        <v>0</v>
      </c>
      <c r="I108" s="1068">
        <f t="shared" si="8"/>
        <v>0</v>
      </c>
      <c r="J108" s="1063"/>
      <c r="K108" s="1063"/>
      <c r="L108" s="1063"/>
      <c r="N108" s="1069">
        <f t="shared" si="9"/>
        <v>0</v>
      </c>
    </row>
    <row r="109" spans="1:14" x14ac:dyDescent="0.2">
      <c r="A109" s="1062" t="str">
        <f t="shared" si="6"/>
        <v>843077</v>
      </c>
      <c r="B109" s="1063">
        <v>843077</v>
      </c>
      <c r="C109" s="1063" t="str">
        <v>Halquinol 60</v>
      </c>
      <c r="D109" s="1063">
        <v>23.81</v>
      </c>
      <c r="E109" s="1063">
        <v>24</v>
      </c>
      <c r="F109" s="1063">
        <v>0.19</v>
      </c>
      <c r="G109" s="1063">
        <v>0.81</v>
      </c>
      <c r="H109" s="1066">
        <f t="shared" si="7"/>
        <v>0</v>
      </c>
      <c r="I109" s="1068">
        <f t="shared" si="8"/>
        <v>0</v>
      </c>
      <c r="J109" s="1063"/>
      <c r="K109" s="1063"/>
      <c r="L109" s="1063"/>
      <c r="N109" s="1069">
        <f t="shared" si="9"/>
        <v>0</v>
      </c>
    </row>
    <row r="110" spans="1:14" x14ac:dyDescent="0.2">
      <c r="A110" s="1062" t="str">
        <f t="shared" si="6"/>
        <v>843084</v>
      </c>
      <c r="B110" s="1063">
        <v>843084</v>
      </c>
      <c r="C110" s="1063" t="str">
        <v>TIOTILIN 80%</v>
      </c>
      <c r="D110" s="1063">
        <v>25.23</v>
      </c>
      <c r="E110" s="1063">
        <v>25.3</v>
      </c>
      <c r="F110" s="1063">
        <v>7.0000000000000007E-2</v>
      </c>
      <c r="G110" s="1063">
        <v>0.28000000000000003</v>
      </c>
      <c r="H110" s="1066">
        <f t="shared" si="7"/>
        <v>0</v>
      </c>
      <c r="I110" s="1068">
        <f t="shared" si="8"/>
        <v>0</v>
      </c>
      <c r="J110" s="1063"/>
      <c r="K110" s="1063"/>
      <c r="L110" s="1063"/>
      <c r="N110" s="1069">
        <f t="shared" si="9"/>
        <v>0</v>
      </c>
    </row>
    <row r="111" spans="1:14" x14ac:dyDescent="0.2">
      <c r="A111" s="1062" t="str">
        <f t="shared" si="6"/>
        <v>843125</v>
      </c>
      <c r="B111" s="1063">
        <v>843125</v>
      </c>
      <c r="C111" s="1063" t="str">
        <v>Amoxycillin 80%</v>
      </c>
      <c r="D111" s="1063">
        <v>42</v>
      </c>
      <c r="E111" s="1063">
        <v>42.05</v>
      </c>
      <c r="F111" s="1063">
        <v>0.05</v>
      </c>
      <c r="G111" s="1063">
        <v>0.12</v>
      </c>
      <c r="H111" s="1066">
        <f t="shared" si="7"/>
        <v>0</v>
      </c>
      <c r="I111" s="1068">
        <f t="shared" si="8"/>
        <v>0</v>
      </c>
      <c r="J111" s="1063"/>
      <c r="K111" s="1063"/>
      <c r="L111" s="1063"/>
      <c r="N111" s="1069">
        <f t="shared" si="9"/>
        <v>0</v>
      </c>
    </row>
    <row r="112" spans="1:14" x14ac:dyDescent="0.2">
      <c r="A112" s="1062" t="str">
        <f t="shared" si="6"/>
        <v>843274</v>
      </c>
      <c r="B112" s="1063">
        <v>843274</v>
      </c>
      <c r="C112" s="1063" t="str">
        <v>Tilmovet/Pulmotil/Timicox/Miclozan 200</v>
      </c>
      <c r="D112" s="1063">
        <v>16</v>
      </c>
      <c r="E112" s="1063">
        <v>16</v>
      </c>
      <c r="F112" s="1063">
        <v>0</v>
      </c>
      <c r="G112" s="1063">
        <v>0</v>
      </c>
      <c r="H112" s="1066">
        <f t="shared" si="7"/>
        <v>0</v>
      </c>
      <c r="I112" s="1068">
        <f t="shared" si="8"/>
        <v>0</v>
      </c>
      <c r="J112" s="1063"/>
      <c r="K112" s="1063"/>
      <c r="L112" s="1063"/>
      <c r="N112" s="1069">
        <f t="shared" si="9"/>
        <v>0</v>
      </c>
    </row>
    <row r="113" spans="1:14" x14ac:dyDescent="0.2">
      <c r="A113" s="1062" t="str">
        <f t="shared" si="6"/>
        <v>890000</v>
      </c>
      <c r="B113" s="1063">
        <v>890000</v>
      </c>
      <c r="C113" s="1063" t="str">
        <v>IR/FR (SWINE)</v>
      </c>
      <c r="D113" s="1063">
        <v>49644.01</v>
      </c>
      <c r="E113" s="1063">
        <v>49519</v>
      </c>
      <c r="F113" s="1063">
        <v>-125.01</v>
      </c>
      <c r="G113" s="1063">
        <v>-0.25</v>
      </c>
      <c r="H113" s="1066">
        <f t="shared" si="7"/>
        <v>0</v>
      </c>
      <c r="I113" s="1068">
        <f t="shared" si="8"/>
        <v>0</v>
      </c>
      <c r="J113" s="1063"/>
      <c r="K113" s="1063"/>
      <c r="L113" s="1063"/>
      <c r="N113" s="1069">
        <f t="shared" si="9"/>
        <v>49519</v>
      </c>
    </row>
    <row r="114" spans="1:14" x14ac:dyDescent="0.2">
      <c r="A114" s="1062" t="str">
        <f t="shared" si="6"/>
        <v>911101</v>
      </c>
      <c r="B114" s="1063">
        <v>911101</v>
      </c>
      <c r="C114" s="1063" t="str">
        <v>PX 10V</v>
      </c>
      <c r="D114" s="1063">
        <v>296.10000000000002</v>
      </c>
      <c r="E114" s="1063">
        <v>294.44</v>
      </c>
      <c r="F114" s="1063">
        <v>-1.66</v>
      </c>
      <c r="G114" s="1063">
        <v>-0.56000000000000005</v>
      </c>
      <c r="H114" s="1066">
        <f t="shared" si="7"/>
        <v>0</v>
      </c>
      <c r="I114" s="1068">
        <f t="shared" si="8"/>
        <v>0</v>
      </c>
      <c r="J114" s="1063"/>
      <c r="K114" s="1063"/>
      <c r="L114" s="1063"/>
      <c r="N114" s="1069">
        <f t="shared" si="9"/>
        <v>0</v>
      </c>
    </row>
    <row r="115" spans="1:14" x14ac:dyDescent="0.2">
      <c r="A115" s="1062" t="str">
        <f t="shared" si="6"/>
        <v>911125</v>
      </c>
      <c r="B115" s="1063">
        <v>911125</v>
      </c>
      <c r="C115" s="1063" t="str">
        <v>px 25v</v>
      </c>
      <c r="D115" s="1063">
        <v>16.8</v>
      </c>
      <c r="E115" s="1063">
        <v>16.62</v>
      </c>
      <c r="F115" s="1063">
        <v>-0.18</v>
      </c>
      <c r="G115" s="1063">
        <v>-1.07</v>
      </c>
      <c r="H115" s="1066">
        <f t="shared" si="7"/>
        <v>0</v>
      </c>
      <c r="I115" s="1068">
        <f t="shared" si="8"/>
        <v>0</v>
      </c>
      <c r="J115" s="1063"/>
      <c r="K115" s="1063"/>
      <c r="L115" s="1063"/>
      <c r="N115" s="1069">
        <f t="shared" si="9"/>
        <v>0</v>
      </c>
    </row>
    <row r="116" spans="1:14" x14ac:dyDescent="0.2">
      <c r="A116" s="1062" t="str">
        <f t="shared" si="6"/>
        <v>911401</v>
      </c>
      <c r="B116" s="1063">
        <v>911401</v>
      </c>
      <c r="C116" s="1063" t="str">
        <v>PX_48V</v>
      </c>
      <c r="D116" s="1063">
        <v>16.8</v>
      </c>
      <c r="E116" s="1063">
        <v>16.8</v>
      </c>
      <c r="F116" s="1063">
        <v>0</v>
      </c>
      <c r="G116" s="1063">
        <v>0</v>
      </c>
      <c r="H116" s="1066">
        <f t="shared" si="7"/>
        <v>0</v>
      </c>
      <c r="I116" s="1068">
        <f t="shared" si="8"/>
        <v>0</v>
      </c>
      <c r="J116" s="1063"/>
      <c r="K116" s="1063"/>
      <c r="L116" s="1063"/>
      <c r="N116" s="1069">
        <f t="shared" si="9"/>
        <v>0</v>
      </c>
    </row>
    <row r="117" spans="1:14" x14ac:dyDescent="0.2">
      <c r="A117" s="1062" t="str">
        <f t="shared" si="6"/>
        <v>912101</v>
      </c>
      <c r="B117" s="1063">
        <v>912101</v>
      </c>
      <c r="C117" s="1063" t="str">
        <v>PX 10M</v>
      </c>
      <c r="D117" s="1063">
        <v>257.04000000000002</v>
      </c>
      <c r="E117" s="1063">
        <v>256.58</v>
      </c>
      <c r="F117" s="1063">
        <v>-0.46</v>
      </c>
      <c r="G117" s="1063">
        <v>-0.18</v>
      </c>
      <c r="H117" s="1066">
        <f t="shared" si="7"/>
        <v>0</v>
      </c>
      <c r="I117" s="1068">
        <f t="shared" si="8"/>
        <v>0</v>
      </c>
      <c r="J117" s="1063"/>
      <c r="K117" s="1063"/>
      <c r="L117" s="1063"/>
      <c r="N117" s="1069">
        <f t="shared" si="9"/>
        <v>0</v>
      </c>
    </row>
    <row r="118" spans="1:14" x14ac:dyDescent="0.2">
      <c r="A118" s="1062" t="str">
        <f t="shared" si="6"/>
        <v>913501</v>
      </c>
      <c r="B118" s="1063">
        <v>913501</v>
      </c>
      <c r="C118" s="1063" t="str">
        <v>PX 51V</v>
      </c>
      <c r="D118" s="1063">
        <v>120</v>
      </c>
      <c r="E118" s="1063">
        <v>119.34</v>
      </c>
      <c r="F118" s="1063">
        <v>-0.66</v>
      </c>
      <c r="G118" s="1063">
        <v>-0.55000000000000004</v>
      </c>
      <c r="H118" s="1066">
        <f t="shared" si="7"/>
        <v>0</v>
      </c>
      <c r="I118" s="1068">
        <f t="shared" si="8"/>
        <v>0</v>
      </c>
      <c r="J118" s="1063"/>
      <c r="K118" s="1063"/>
      <c r="L118" s="1063"/>
      <c r="N118" s="1069">
        <f t="shared" si="9"/>
        <v>0</v>
      </c>
    </row>
    <row r="119" spans="1:14" x14ac:dyDescent="0.2">
      <c r="A119" s="1062" t="str">
        <f>IF(B119=0, "",LEFT(B119,6))</f>
        <v>913511</v>
      </c>
      <c r="B119" s="1063">
        <v>913511</v>
      </c>
      <c r="C119" s="1063" t="str">
        <v>PX 52SV</v>
      </c>
      <c r="D119" s="1063">
        <v>210</v>
      </c>
      <c r="E119" s="1063">
        <v>208.26</v>
      </c>
      <c r="F119" s="1063">
        <v>-1.74</v>
      </c>
      <c r="G119" s="1063">
        <v>-0.83</v>
      </c>
      <c r="H119" s="1066">
        <f t="shared" si="7"/>
        <v>0</v>
      </c>
      <c r="I119" s="1068">
        <f t="shared" si="8"/>
        <v>0</v>
      </c>
      <c r="J119" s="1063"/>
      <c r="K119" s="1063"/>
      <c r="L119" s="1063"/>
      <c r="N119" s="1069">
        <f t="shared" si="9"/>
        <v>0</v>
      </c>
    </row>
    <row r="120" spans="1:14" x14ac:dyDescent="0.2">
      <c r="A120" s="1062" t="str">
        <f t="shared" ref="A120:A183" si="10">IF(B120=0, "",LEFT(B120,6))</f>
        <v>913521</v>
      </c>
      <c r="B120" s="1063">
        <v>913521</v>
      </c>
      <c r="C120" s="1063" t="str">
        <v>PX52V</v>
      </c>
      <c r="D120" s="1063">
        <v>256.2</v>
      </c>
      <c r="E120" s="1063">
        <v>255.7</v>
      </c>
      <c r="F120" s="1063">
        <v>-0.5</v>
      </c>
      <c r="G120" s="1063">
        <v>-0.2</v>
      </c>
      <c r="H120" s="1066">
        <f t="shared" si="7"/>
        <v>0</v>
      </c>
      <c r="I120" s="1068">
        <f t="shared" si="8"/>
        <v>0</v>
      </c>
      <c r="J120" s="1063"/>
      <c r="K120" s="1063"/>
      <c r="L120" s="1063"/>
      <c r="N120" s="1069">
        <f t="shared" si="9"/>
        <v>0</v>
      </c>
    </row>
    <row r="121" spans="1:14" x14ac:dyDescent="0.2">
      <c r="A121" s="1062" t="str">
        <f t="shared" si="10"/>
        <v>913561</v>
      </c>
      <c r="B121" s="1063">
        <v>913561</v>
      </c>
      <c r="C121" s="1063" t="str">
        <v>PX-66V</v>
      </c>
      <c r="D121" s="1063">
        <v>63</v>
      </c>
      <c r="E121" s="1063">
        <v>62.49</v>
      </c>
      <c r="F121" s="1063">
        <v>-0.51</v>
      </c>
      <c r="G121" s="1063">
        <v>-0.81</v>
      </c>
      <c r="H121" s="1066">
        <f t="shared" si="7"/>
        <v>0</v>
      </c>
      <c r="I121" s="1068">
        <f t="shared" si="8"/>
        <v>0</v>
      </c>
      <c r="J121" s="1063"/>
      <c r="K121" s="1063"/>
      <c r="L121" s="1063"/>
      <c r="N121" s="1069">
        <f t="shared" si="9"/>
        <v>0</v>
      </c>
    </row>
    <row r="122" spans="1:14" x14ac:dyDescent="0.2">
      <c r="A122" s="1062" t="str">
        <f t="shared" si="10"/>
        <v>913563</v>
      </c>
      <c r="B122" s="1063">
        <v>913563</v>
      </c>
      <c r="C122" s="1063" t="str">
        <v>PX-62PV</v>
      </c>
      <c r="D122" s="1063">
        <v>63</v>
      </c>
      <c r="E122" s="1063">
        <v>62.45</v>
      </c>
      <c r="F122" s="1063">
        <v>-0.55000000000000004</v>
      </c>
      <c r="G122" s="1063">
        <v>-0.87</v>
      </c>
      <c r="H122" s="1066">
        <f t="shared" si="7"/>
        <v>0</v>
      </c>
      <c r="I122" s="1068">
        <f t="shared" si="8"/>
        <v>0</v>
      </c>
      <c r="J122" s="1063"/>
      <c r="K122" s="1063"/>
      <c r="L122" s="1063"/>
      <c r="N122" s="1069">
        <f t="shared" si="9"/>
        <v>0</v>
      </c>
    </row>
    <row r="123" spans="1:14" x14ac:dyDescent="0.2">
      <c r="A123" s="1062" t="str">
        <f t="shared" si="10"/>
        <v>913572</v>
      </c>
      <c r="B123" s="1063">
        <v>913572</v>
      </c>
      <c r="C123" s="1063" t="str">
        <v>PX-67SV</v>
      </c>
      <c r="D123" s="1063">
        <v>126</v>
      </c>
      <c r="E123" s="1063">
        <v>124.58</v>
      </c>
      <c r="F123" s="1063">
        <v>-1.42</v>
      </c>
      <c r="G123" s="1063">
        <v>-1.1299999999999999</v>
      </c>
      <c r="H123" s="1066">
        <f t="shared" si="7"/>
        <v>0</v>
      </c>
      <c r="I123" s="1068">
        <f t="shared" si="8"/>
        <v>0</v>
      </c>
      <c r="J123" s="1063"/>
      <c r="K123" s="1063"/>
      <c r="L123" s="1063"/>
      <c r="N123" s="1069">
        <f t="shared" si="9"/>
        <v>0</v>
      </c>
    </row>
    <row r="124" spans="1:14" x14ac:dyDescent="0.2">
      <c r="A124" s="1062" t="str">
        <f t="shared" si="10"/>
        <v>914001</v>
      </c>
      <c r="B124" s="1063">
        <v>914001</v>
      </c>
      <c r="C124" s="1063" t="str">
        <v>MS Swine 0314 (Biomin)</v>
      </c>
      <c r="D124" s="1063">
        <v>560.88</v>
      </c>
      <c r="E124" s="1063">
        <v>559.74</v>
      </c>
      <c r="F124" s="1063">
        <v>-1.1399999999999999</v>
      </c>
      <c r="G124" s="1063">
        <v>-0.2</v>
      </c>
      <c r="H124" s="1066">
        <f t="shared" si="7"/>
        <v>0</v>
      </c>
      <c r="I124" s="1068">
        <f t="shared" si="8"/>
        <v>0</v>
      </c>
      <c r="J124" s="1063"/>
      <c r="K124" s="1063"/>
      <c r="L124" s="1063"/>
      <c r="N124" s="1069">
        <f t="shared" si="9"/>
        <v>0</v>
      </c>
    </row>
    <row r="125" spans="1:14" x14ac:dyDescent="0.2">
      <c r="A125" s="1062" t="str">
        <f t="shared" si="10"/>
        <v>914521</v>
      </c>
      <c r="B125" s="1063">
        <v>914521</v>
      </c>
      <c r="C125" s="1063" t="str">
        <v>pX 52M</v>
      </c>
      <c r="D125" s="1063">
        <v>594.72</v>
      </c>
      <c r="E125" s="1063">
        <v>597.04</v>
      </c>
      <c r="F125" s="1063">
        <v>2.3199999999999998</v>
      </c>
      <c r="G125" s="1063">
        <v>0.39</v>
      </c>
      <c r="H125" s="1066">
        <f t="shared" si="7"/>
        <v>0</v>
      </c>
      <c r="I125" s="1068">
        <f t="shared" si="8"/>
        <v>0</v>
      </c>
      <c r="J125" s="1063"/>
      <c r="K125" s="1063"/>
      <c r="L125" s="1063"/>
      <c r="N125" s="1069">
        <f t="shared" si="9"/>
        <v>0</v>
      </c>
    </row>
    <row r="126" spans="1:14" x14ac:dyDescent="0.2">
      <c r="A126" s="1062" t="str">
        <f t="shared" si="10"/>
        <v>916001</v>
      </c>
      <c r="B126" s="1063">
        <v>916001</v>
      </c>
      <c r="C126" s="1063" t="str">
        <v>571V Premix</v>
      </c>
      <c r="D126" s="1063">
        <v>67.2</v>
      </c>
      <c r="E126" s="1063">
        <v>67.2</v>
      </c>
      <c r="F126" s="1063">
        <v>0</v>
      </c>
      <c r="G126" s="1063">
        <v>0</v>
      </c>
      <c r="H126" s="1066">
        <f t="shared" si="7"/>
        <v>0</v>
      </c>
      <c r="I126" s="1068">
        <f t="shared" si="8"/>
        <v>0</v>
      </c>
      <c r="J126" s="1063"/>
      <c r="K126" s="1063"/>
      <c r="L126" s="1063"/>
      <c r="N126" s="1069">
        <f t="shared" si="9"/>
        <v>0</v>
      </c>
    </row>
    <row r="127" spans="1:14" x14ac:dyDescent="0.2">
      <c r="A127" s="1062" t="str">
        <f t="shared" si="10"/>
        <v>916002</v>
      </c>
      <c r="B127" s="1063">
        <v>916002</v>
      </c>
      <c r="C127" s="1063" t="str">
        <v>572sv Premix</v>
      </c>
      <c r="D127" s="1063">
        <v>25.2</v>
      </c>
      <c r="E127" s="1063">
        <v>25.04</v>
      </c>
      <c r="F127" s="1063">
        <v>-0.16</v>
      </c>
      <c r="G127" s="1063">
        <v>-0.63</v>
      </c>
      <c r="H127" s="1066">
        <f t="shared" si="7"/>
        <v>0</v>
      </c>
      <c r="I127" s="1068">
        <f t="shared" si="8"/>
        <v>0</v>
      </c>
      <c r="J127" s="1063"/>
      <c r="K127" s="1063"/>
      <c r="L127" s="1063"/>
      <c r="N127" s="1069">
        <f t="shared" si="9"/>
        <v>0</v>
      </c>
    </row>
    <row r="128" spans="1:14" x14ac:dyDescent="0.2">
      <c r="A128" s="1062" t="str">
        <f t="shared" si="10"/>
        <v>916201</v>
      </c>
      <c r="B128" s="1063">
        <v>916201</v>
      </c>
      <c r="C128" s="1063" t="str">
        <v>MC-0697 Premix</v>
      </c>
      <c r="D128" s="1063">
        <v>159.6</v>
      </c>
      <c r="E128" s="1063">
        <v>159.6</v>
      </c>
      <c r="F128" s="1063">
        <v>0</v>
      </c>
      <c r="G128" s="1063">
        <v>0</v>
      </c>
      <c r="H128" s="1066">
        <f t="shared" si="7"/>
        <v>0</v>
      </c>
      <c r="I128" s="1068">
        <f t="shared" si="8"/>
        <v>0</v>
      </c>
      <c r="J128" s="1063"/>
      <c r="K128" s="1063"/>
      <c r="L128" s="1063"/>
      <c r="N128" s="1069">
        <f t="shared" si="9"/>
        <v>0</v>
      </c>
    </row>
    <row r="129" spans="1:14" x14ac:dyDescent="0.2">
      <c r="A129" s="1062" t="str">
        <f t="shared" si="10"/>
        <v>917004</v>
      </c>
      <c r="B129" s="1063">
        <v>917004</v>
      </c>
      <c r="C129" s="1063" t="str">
        <v>PMX 0.2% RED Premix</v>
      </c>
      <c r="D129" s="1063">
        <v>180</v>
      </c>
      <c r="E129" s="1063">
        <v>178.84</v>
      </c>
      <c r="F129" s="1063">
        <v>-1.1599999999999999</v>
      </c>
      <c r="G129" s="1063">
        <v>-0.64</v>
      </c>
      <c r="H129" s="1066">
        <f t="shared" si="7"/>
        <v>0</v>
      </c>
      <c r="I129" s="1068">
        <f t="shared" si="8"/>
        <v>0</v>
      </c>
      <c r="J129" s="1063"/>
      <c r="K129" s="1063"/>
      <c r="L129" s="1063"/>
      <c r="N129" s="1069">
        <f t="shared" si="9"/>
        <v>0</v>
      </c>
    </row>
    <row r="130" spans="1:14" x14ac:dyDescent="0.2">
      <c r="A130" s="1062" t="str">
        <f t="shared" si="10"/>
        <v>917004</v>
      </c>
      <c r="B130" s="1063" t="str">
        <v>917004 HA</v>
      </c>
      <c r="C130" s="1063" t="str">
        <v>PMX 0.2% RED Premix</v>
      </c>
      <c r="D130" s="1063">
        <v>450</v>
      </c>
      <c r="E130" s="1063">
        <v>450</v>
      </c>
      <c r="F130" s="1063">
        <v>0</v>
      </c>
      <c r="G130" s="1063">
        <v>0</v>
      </c>
      <c r="H130" s="1066">
        <f t="shared" si="7"/>
        <v>0</v>
      </c>
      <c r="I130" s="1068">
        <f t="shared" si="8"/>
        <v>0</v>
      </c>
      <c r="J130" s="1063"/>
      <c r="K130" s="1063"/>
      <c r="L130" s="1063"/>
      <c r="N130" s="1069">
        <f t="shared" si="9"/>
        <v>0</v>
      </c>
    </row>
    <row r="131" spans="1:14" x14ac:dyDescent="0.2">
      <c r="A131" s="1062" t="str">
        <f t="shared" si="10"/>
        <v>917302</v>
      </c>
      <c r="B131" s="1063">
        <v>917302</v>
      </c>
      <c r="C131" s="1063" t="str">
        <v>PREMIX AMNIL</v>
      </c>
      <c r="D131" s="1063">
        <v>592.20000000000005</v>
      </c>
      <c r="E131" s="1063">
        <v>581.82000000000005</v>
      </c>
      <c r="F131" s="1063">
        <v>-10.38</v>
      </c>
      <c r="G131" s="1063">
        <v>-1.75</v>
      </c>
      <c r="H131" s="1066">
        <f t="shared" ref="H131:H194" si="11">IFERROR(VLOOKUP(B131,$L$3:$M$28,2,0),0)</f>
        <v>0</v>
      </c>
      <c r="I131" s="1068">
        <f t="shared" si="8"/>
        <v>0</v>
      </c>
      <c r="J131" s="1063"/>
      <c r="K131" s="1063"/>
      <c r="L131" s="1063"/>
      <c r="N131" s="1069">
        <f t="shared" si="9"/>
        <v>0</v>
      </c>
    </row>
    <row r="132" spans="1:14" x14ac:dyDescent="0.2">
      <c r="A132" s="1062" t="str">
        <f t="shared" si="10"/>
        <v>AVI WA</v>
      </c>
      <c r="B132" s="1063" t="str">
        <v>AVI WATER</v>
      </c>
      <c r="C132" s="1063" t="str">
        <v>AVI WATER</v>
      </c>
      <c r="D132" s="1063">
        <v>2534</v>
      </c>
      <c r="E132" s="1063">
        <v>2568.91</v>
      </c>
      <c r="F132" s="1063">
        <v>34.909999999999997</v>
      </c>
      <c r="G132" s="1063">
        <v>1.38</v>
      </c>
      <c r="H132" s="1066">
        <f t="shared" si="11"/>
        <v>0</v>
      </c>
      <c r="I132" s="1068">
        <f t="shared" ref="I132:I195" si="12">IF(H132="CORN",$E:$E,0)</f>
        <v>0</v>
      </c>
      <c r="J132" s="1063"/>
      <c r="K132" s="1063"/>
      <c r="L132" s="1063"/>
      <c r="N132" s="1069">
        <f t="shared" si="9"/>
        <v>0</v>
      </c>
    </row>
    <row r="133" spans="1:14" x14ac:dyDescent="0.2">
      <c r="A133" s="1062" t="str">
        <f t="shared" si="10"/>
        <v xml:space="preserve">KOMOS </v>
      </c>
      <c r="B133" s="1063" t="str">
        <v>KOMOS MCL</v>
      </c>
      <c r="C133" s="1063" t="str">
        <v>MCL</v>
      </c>
      <c r="D133" s="1063">
        <v>1905</v>
      </c>
      <c r="E133" s="1063">
        <v>1908.51</v>
      </c>
      <c r="F133" s="1063">
        <v>3.51</v>
      </c>
      <c r="G133" s="1063">
        <v>0.18</v>
      </c>
      <c r="H133" s="1066">
        <f t="shared" si="11"/>
        <v>0</v>
      </c>
      <c r="I133" s="1068">
        <f t="shared" si="12"/>
        <v>0</v>
      </c>
      <c r="J133" s="1063"/>
      <c r="K133" s="1063"/>
      <c r="L133" s="1063"/>
      <c r="N133" s="1069">
        <f t="shared" si="9"/>
        <v>0</v>
      </c>
    </row>
    <row r="134" spans="1:14" x14ac:dyDescent="0.2">
      <c r="A134" s="1062" t="str">
        <f t="shared" si="10"/>
        <v xml:space="preserve">KOMOS </v>
      </c>
      <c r="B134" s="1063" t="str">
        <v>KOMOS Water</v>
      </c>
      <c r="C134" s="1063">
        <v>0</v>
      </c>
      <c r="D134" s="1063">
        <v>12029.96</v>
      </c>
      <c r="E134" s="1063">
        <v>12039.77</v>
      </c>
      <c r="F134" s="1063">
        <v>9.81</v>
      </c>
      <c r="G134" s="1063">
        <v>0.08</v>
      </c>
      <c r="H134" s="1066">
        <f t="shared" si="11"/>
        <v>0</v>
      </c>
      <c r="I134" s="1068">
        <f t="shared" si="12"/>
        <v>0</v>
      </c>
      <c r="J134" s="1063"/>
      <c r="K134" s="1063"/>
      <c r="L134" s="1063"/>
      <c r="N134" s="1069">
        <f t="shared" si="9"/>
        <v>0</v>
      </c>
    </row>
    <row r="135" spans="1:14" x14ac:dyDescent="0.2">
      <c r="A135" s="1062" t="str">
        <f t="shared" si="10"/>
        <v/>
      </c>
      <c r="B135" s="1063">
        <v>0</v>
      </c>
      <c r="C135" s="1063">
        <v>0</v>
      </c>
      <c r="D135" s="1063">
        <v>2125526.4</v>
      </c>
      <c r="E135" s="1063">
        <v>2121241.3199999998</v>
      </c>
      <c r="F135" s="1063">
        <v>-4285.08</v>
      </c>
      <c r="G135" s="1063">
        <v>0</v>
      </c>
      <c r="H135" s="1066">
        <f t="shared" si="11"/>
        <v>0</v>
      </c>
      <c r="I135" s="1068">
        <f t="shared" si="12"/>
        <v>0</v>
      </c>
      <c r="J135" s="1063"/>
      <c r="K135" s="1063"/>
      <c r="L135" s="1063"/>
      <c r="N135" s="1069">
        <f t="shared" si="9"/>
        <v>0</v>
      </c>
    </row>
    <row r="136" spans="1:14" x14ac:dyDescent="0.2">
      <c r="A136" s="1062" t="str">
        <f t="shared" si="10"/>
        <v/>
      </c>
      <c r="B136" s="1063">
        <v>0</v>
      </c>
      <c r="C136" s="1063">
        <v>0</v>
      </c>
      <c r="D136" s="1063">
        <v>0</v>
      </c>
      <c r="E136" s="1063">
        <v>0</v>
      </c>
      <c r="F136" s="1063">
        <v>0</v>
      </c>
      <c r="G136" s="1063">
        <v>0</v>
      </c>
      <c r="H136" s="1066">
        <f t="shared" si="11"/>
        <v>0</v>
      </c>
      <c r="I136" s="1068">
        <f t="shared" si="12"/>
        <v>0</v>
      </c>
      <c r="J136" s="1063"/>
      <c r="K136" s="1063"/>
      <c r="L136" s="1063"/>
      <c r="N136" s="1069">
        <f t="shared" si="9"/>
        <v>0</v>
      </c>
    </row>
    <row r="137" spans="1:14" x14ac:dyDescent="0.2">
      <c r="A137" s="1062" t="str">
        <f t="shared" si="10"/>
        <v/>
      </c>
      <c r="B137" s="1063">
        <v>0</v>
      </c>
      <c r="C137" s="1063">
        <v>0</v>
      </c>
      <c r="D137" s="1063">
        <v>0</v>
      </c>
      <c r="E137" s="1063">
        <v>0</v>
      </c>
      <c r="F137" s="1063">
        <v>0</v>
      </c>
      <c r="G137" s="1063">
        <v>0</v>
      </c>
      <c r="H137" s="1066">
        <f t="shared" si="11"/>
        <v>0</v>
      </c>
      <c r="I137" s="1068">
        <f t="shared" si="12"/>
        <v>0</v>
      </c>
      <c r="J137" s="1063"/>
      <c r="K137" s="1063"/>
      <c r="L137" s="1063"/>
      <c r="N137" s="1069">
        <f t="shared" si="9"/>
        <v>0</v>
      </c>
    </row>
    <row r="138" spans="1:14" x14ac:dyDescent="0.2">
      <c r="A138" s="1062" t="str">
        <f t="shared" si="10"/>
        <v/>
      </c>
      <c r="B138" s="1063">
        <v>0</v>
      </c>
      <c r="C138" s="1063">
        <v>0</v>
      </c>
      <c r="D138" s="1063">
        <v>0</v>
      </c>
      <c r="E138" s="1063">
        <v>0</v>
      </c>
      <c r="F138" s="1063">
        <v>0</v>
      </c>
      <c r="G138" s="1063">
        <v>0</v>
      </c>
      <c r="H138" s="1066">
        <f t="shared" si="11"/>
        <v>0</v>
      </c>
      <c r="I138" s="1068">
        <f t="shared" si="12"/>
        <v>0</v>
      </c>
      <c r="J138" s="1063"/>
      <c r="K138" s="1063"/>
      <c r="L138" s="1063"/>
      <c r="N138" s="1069">
        <f t="shared" si="9"/>
        <v>0</v>
      </c>
    </row>
    <row r="139" spans="1:14" x14ac:dyDescent="0.2">
      <c r="A139" s="1062" t="str">
        <f t="shared" si="10"/>
        <v/>
      </c>
      <c r="B139" s="1063">
        <v>0</v>
      </c>
      <c r="C139" s="1063">
        <v>0</v>
      </c>
      <c r="D139" s="1063">
        <v>0</v>
      </c>
      <c r="E139" s="1063">
        <v>0</v>
      </c>
      <c r="F139" s="1063">
        <v>0</v>
      </c>
      <c r="G139" s="1063">
        <v>0</v>
      </c>
      <c r="H139" s="1066">
        <f t="shared" si="11"/>
        <v>0</v>
      </c>
      <c r="I139" s="1068">
        <f t="shared" si="12"/>
        <v>0</v>
      </c>
      <c r="J139" s="1063"/>
      <c r="K139" s="1063"/>
      <c r="L139" s="1063"/>
      <c r="N139" s="1069">
        <f t="shared" si="9"/>
        <v>0</v>
      </c>
    </row>
    <row r="140" spans="1:14" x14ac:dyDescent="0.2">
      <c r="A140" s="1062" t="str">
        <f t="shared" si="10"/>
        <v/>
      </c>
      <c r="B140" s="1063">
        <v>0</v>
      </c>
      <c r="C140" s="1063">
        <v>0</v>
      </c>
      <c r="D140" s="1063">
        <v>0</v>
      </c>
      <c r="E140" s="1063">
        <v>0</v>
      </c>
      <c r="F140" s="1063">
        <v>0</v>
      </c>
      <c r="G140" s="1063">
        <v>0</v>
      </c>
      <c r="H140" s="1066">
        <f t="shared" si="11"/>
        <v>0</v>
      </c>
      <c r="I140" s="1068">
        <f t="shared" si="12"/>
        <v>0</v>
      </c>
      <c r="J140" s="1063"/>
      <c r="K140" s="1063"/>
      <c r="L140" s="1063"/>
      <c r="N140" s="1069">
        <f t="shared" ref="N140:N203" si="13">IFERROR(VLOOKUP(B140,$L$30:$M$50,2,0),0)</f>
        <v>0</v>
      </c>
    </row>
    <row r="141" spans="1:14" x14ac:dyDescent="0.2">
      <c r="A141" s="1062" t="str">
        <f t="shared" si="10"/>
        <v/>
      </c>
      <c r="B141" s="1063">
        <v>0</v>
      </c>
      <c r="C141" s="1063">
        <v>0</v>
      </c>
      <c r="D141" s="1063">
        <v>0</v>
      </c>
      <c r="E141" s="1063">
        <v>0</v>
      </c>
      <c r="F141" s="1063">
        <v>0</v>
      </c>
      <c r="G141" s="1063">
        <v>0</v>
      </c>
      <c r="H141" s="1066">
        <f t="shared" si="11"/>
        <v>0</v>
      </c>
      <c r="I141" s="1068">
        <f t="shared" si="12"/>
        <v>0</v>
      </c>
      <c r="J141" s="1063"/>
      <c r="K141" s="1063"/>
      <c r="L141" s="1063"/>
      <c r="N141" s="1069">
        <f t="shared" si="13"/>
        <v>0</v>
      </c>
    </row>
    <row r="142" spans="1:14" x14ac:dyDescent="0.2">
      <c r="A142" s="1062" t="str">
        <f t="shared" si="10"/>
        <v/>
      </c>
      <c r="B142" s="1063">
        <v>0</v>
      </c>
      <c r="C142" s="1063">
        <v>0</v>
      </c>
      <c r="D142" s="1063">
        <v>0</v>
      </c>
      <c r="E142" s="1063">
        <v>0</v>
      </c>
      <c r="F142" s="1063">
        <v>0</v>
      </c>
      <c r="G142" s="1063">
        <v>0</v>
      </c>
      <c r="H142" s="1066">
        <f t="shared" si="11"/>
        <v>0</v>
      </c>
      <c r="I142" s="1068">
        <f t="shared" si="12"/>
        <v>0</v>
      </c>
      <c r="J142" s="1063"/>
      <c r="K142" s="1063"/>
      <c r="L142" s="1063"/>
      <c r="N142" s="1069">
        <f t="shared" si="13"/>
        <v>0</v>
      </c>
    </row>
    <row r="143" spans="1:14" x14ac:dyDescent="0.2">
      <c r="A143" s="1062" t="str">
        <f t="shared" si="10"/>
        <v/>
      </c>
      <c r="B143" s="1063">
        <v>0</v>
      </c>
      <c r="C143" s="1063">
        <v>0</v>
      </c>
      <c r="D143" s="1063">
        <v>0</v>
      </c>
      <c r="E143" s="1063">
        <v>0</v>
      </c>
      <c r="F143" s="1063">
        <v>0</v>
      </c>
      <c r="G143" s="1063">
        <v>0</v>
      </c>
      <c r="H143" s="1066">
        <f t="shared" si="11"/>
        <v>0</v>
      </c>
      <c r="I143" s="1068">
        <f t="shared" si="12"/>
        <v>0</v>
      </c>
      <c r="J143" s="1063"/>
      <c r="K143" s="1063"/>
      <c r="L143" s="1063"/>
      <c r="N143" s="1069">
        <f t="shared" si="13"/>
        <v>0</v>
      </c>
    </row>
    <row r="144" spans="1:14" x14ac:dyDescent="0.2">
      <c r="A144" s="1062" t="str">
        <f t="shared" si="10"/>
        <v/>
      </c>
      <c r="B144" s="1063">
        <v>0</v>
      </c>
      <c r="C144" s="1063">
        <v>0</v>
      </c>
      <c r="D144" s="1063">
        <v>0</v>
      </c>
      <c r="E144" s="1063">
        <v>0</v>
      </c>
      <c r="F144" s="1063">
        <v>0</v>
      </c>
      <c r="G144" s="1063">
        <v>0</v>
      </c>
      <c r="H144" s="1066">
        <f t="shared" si="11"/>
        <v>0</v>
      </c>
      <c r="I144" s="1068">
        <f t="shared" si="12"/>
        <v>0</v>
      </c>
      <c r="J144" s="1063"/>
      <c r="K144" s="1063"/>
      <c r="L144" s="1063"/>
      <c r="N144" s="1069">
        <f t="shared" si="13"/>
        <v>0</v>
      </c>
    </row>
    <row r="145" spans="1:14" x14ac:dyDescent="0.2">
      <c r="A145" s="1062" t="str">
        <f t="shared" si="10"/>
        <v/>
      </c>
      <c r="B145" s="1063">
        <v>0</v>
      </c>
      <c r="C145" s="1063">
        <v>0</v>
      </c>
      <c r="D145" s="1063">
        <v>0</v>
      </c>
      <c r="E145" s="1063">
        <v>0</v>
      </c>
      <c r="F145" s="1063">
        <v>0</v>
      </c>
      <c r="G145" s="1063">
        <v>0</v>
      </c>
      <c r="H145" s="1066">
        <f t="shared" si="11"/>
        <v>0</v>
      </c>
      <c r="I145" s="1068">
        <f t="shared" si="12"/>
        <v>0</v>
      </c>
      <c r="J145" s="1063"/>
      <c r="K145" s="1063"/>
      <c r="L145" s="1063"/>
      <c r="N145" s="1069">
        <f t="shared" si="13"/>
        <v>0</v>
      </c>
    </row>
    <row r="146" spans="1:14" x14ac:dyDescent="0.2">
      <c r="A146" s="1062" t="str">
        <f t="shared" si="10"/>
        <v/>
      </c>
      <c r="B146" s="1063">
        <v>0</v>
      </c>
      <c r="C146" s="1063">
        <v>0</v>
      </c>
      <c r="D146" s="1063">
        <v>0</v>
      </c>
      <c r="E146" s="1063">
        <v>0</v>
      </c>
      <c r="F146" s="1063">
        <v>0</v>
      </c>
      <c r="G146" s="1063">
        <v>0</v>
      </c>
      <c r="H146" s="1066">
        <f t="shared" si="11"/>
        <v>0</v>
      </c>
      <c r="I146" s="1068">
        <f t="shared" si="12"/>
        <v>0</v>
      </c>
      <c r="J146" s="1063"/>
      <c r="K146" s="1063"/>
      <c r="L146" s="1063"/>
      <c r="N146" s="1069">
        <f t="shared" si="13"/>
        <v>0</v>
      </c>
    </row>
    <row r="147" spans="1:14" x14ac:dyDescent="0.2">
      <c r="A147" s="1062" t="str">
        <f t="shared" si="10"/>
        <v/>
      </c>
      <c r="B147" s="1063">
        <v>0</v>
      </c>
      <c r="C147" s="1063">
        <v>0</v>
      </c>
      <c r="D147" s="1063">
        <v>0</v>
      </c>
      <c r="E147" s="1063">
        <v>0</v>
      </c>
      <c r="F147" s="1063">
        <v>0</v>
      </c>
      <c r="G147" s="1063">
        <v>0</v>
      </c>
      <c r="H147" s="1066">
        <f t="shared" si="11"/>
        <v>0</v>
      </c>
      <c r="I147" s="1068">
        <f t="shared" si="12"/>
        <v>0</v>
      </c>
      <c r="J147" s="1063"/>
      <c r="K147" s="1063"/>
      <c r="L147" s="1063"/>
      <c r="N147" s="1069">
        <f t="shared" si="13"/>
        <v>0</v>
      </c>
    </row>
    <row r="148" spans="1:14" x14ac:dyDescent="0.2">
      <c r="A148" s="1062" t="str">
        <f t="shared" si="10"/>
        <v/>
      </c>
      <c r="B148" s="1063">
        <v>0</v>
      </c>
      <c r="C148" s="1063">
        <v>0</v>
      </c>
      <c r="D148" s="1063">
        <v>0</v>
      </c>
      <c r="E148" s="1063">
        <v>0</v>
      </c>
      <c r="F148" s="1063">
        <v>0</v>
      </c>
      <c r="G148" s="1063">
        <v>0</v>
      </c>
      <c r="H148" s="1066">
        <f t="shared" si="11"/>
        <v>0</v>
      </c>
      <c r="I148" s="1068">
        <f t="shared" si="12"/>
        <v>0</v>
      </c>
      <c r="J148" s="1063"/>
      <c r="K148" s="1063"/>
      <c r="L148" s="1063"/>
      <c r="N148" s="1069">
        <f t="shared" si="13"/>
        <v>0</v>
      </c>
    </row>
    <row r="149" spans="1:14" x14ac:dyDescent="0.2">
      <c r="A149" s="1062" t="str">
        <f t="shared" si="10"/>
        <v/>
      </c>
      <c r="B149" s="1063">
        <v>0</v>
      </c>
      <c r="C149" s="1063">
        <v>0</v>
      </c>
      <c r="D149" s="1063">
        <v>0</v>
      </c>
      <c r="E149" s="1063">
        <v>0</v>
      </c>
      <c r="F149" s="1063">
        <v>0</v>
      </c>
      <c r="G149" s="1063">
        <v>0</v>
      </c>
      <c r="H149" s="1066">
        <f t="shared" si="11"/>
        <v>0</v>
      </c>
      <c r="I149" s="1068">
        <f t="shared" si="12"/>
        <v>0</v>
      </c>
      <c r="J149" s="1063"/>
      <c r="K149" s="1063"/>
      <c r="L149" s="1063"/>
      <c r="N149" s="1069">
        <f t="shared" si="13"/>
        <v>0</v>
      </c>
    </row>
    <row r="150" spans="1:14" x14ac:dyDescent="0.2">
      <c r="A150" s="1062" t="str">
        <f t="shared" si="10"/>
        <v/>
      </c>
      <c r="B150" s="1063">
        <v>0</v>
      </c>
      <c r="C150" s="1063">
        <v>0</v>
      </c>
      <c r="D150" s="1063">
        <v>0</v>
      </c>
      <c r="E150" s="1063">
        <v>0</v>
      </c>
      <c r="F150" s="1063">
        <v>0</v>
      </c>
      <c r="G150" s="1063">
        <v>0</v>
      </c>
      <c r="H150" s="1066">
        <f t="shared" si="11"/>
        <v>0</v>
      </c>
      <c r="I150" s="1068">
        <f t="shared" si="12"/>
        <v>0</v>
      </c>
      <c r="J150" s="1063"/>
      <c r="K150" s="1063"/>
      <c r="L150" s="1063"/>
      <c r="N150" s="1069">
        <f t="shared" si="13"/>
        <v>0</v>
      </c>
    </row>
    <row r="151" spans="1:14" x14ac:dyDescent="0.2">
      <c r="A151" s="1062" t="str">
        <f t="shared" si="10"/>
        <v/>
      </c>
      <c r="B151" s="1063">
        <v>0</v>
      </c>
      <c r="C151" s="1063">
        <v>0</v>
      </c>
      <c r="D151" s="1063">
        <v>0</v>
      </c>
      <c r="E151" s="1063">
        <v>0</v>
      </c>
      <c r="F151" s="1063">
        <v>0</v>
      </c>
      <c r="G151" s="1063">
        <v>0</v>
      </c>
      <c r="H151" s="1066">
        <f t="shared" si="11"/>
        <v>0</v>
      </c>
      <c r="I151" s="1068">
        <f t="shared" si="12"/>
        <v>0</v>
      </c>
      <c r="J151" s="1063"/>
      <c r="K151" s="1063"/>
      <c r="L151" s="1063"/>
      <c r="N151" s="1069">
        <f t="shared" si="13"/>
        <v>0</v>
      </c>
    </row>
    <row r="152" spans="1:14" x14ac:dyDescent="0.2">
      <c r="A152" s="1062" t="str">
        <f t="shared" si="10"/>
        <v/>
      </c>
      <c r="B152" s="1063">
        <v>0</v>
      </c>
      <c r="C152" s="1063">
        <v>0</v>
      </c>
      <c r="D152" s="1063">
        <v>0</v>
      </c>
      <c r="E152" s="1063">
        <v>0</v>
      </c>
      <c r="F152" s="1063">
        <v>0</v>
      </c>
      <c r="G152" s="1063">
        <v>0</v>
      </c>
      <c r="H152" s="1066">
        <f t="shared" si="11"/>
        <v>0</v>
      </c>
      <c r="I152" s="1068">
        <f t="shared" si="12"/>
        <v>0</v>
      </c>
      <c r="J152" s="1063"/>
      <c r="K152" s="1063"/>
      <c r="L152" s="1063"/>
      <c r="N152" s="1069">
        <f t="shared" si="13"/>
        <v>0</v>
      </c>
    </row>
    <row r="153" spans="1:14" x14ac:dyDescent="0.2">
      <c r="A153" s="1062" t="str">
        <f t="shared" si="10"/>
        <v/>
      </c>
      <c r="B153" s="1063">
        <v>0</v>
      </c>
      <c r="C153" s="1063">
        <v>0</v>
      </c>
      <c r="D153" s="1063">
        <v>0</v>
      </c>
      <c r="E153" s="1063">
        <v>0</v>
      </c>
      <c r="F153" s="1063">
        <v>0</v>
      </c>
      <c r="G153" s="1063">
        <v>0</v>
      </c>
      <c r="H153" s="1066">
        <f t="shared" si="11"/>
        <v>0</v>
      </c>
      <c r="I153" s="1068">
        <f t="shared" si="12"/>
        <v>0</v>
      </c>
      <c r="J153" s="1063"/>
      <c r="K153" s="1063"/>
      <c r="L153" s="1063"/>
      <c r="N153" s="1069">
        <f t="shared" si="13"/>
        <v>0</v>
      </c>
    </row>
    <row r="154" spans="1:14" x14ac:dyDescent="0.2">
      <c r="A154" s="1062" t="str">
        <f t="shared" si="10"/>
        <v/>
      </c>
      <c r="B154" s="1063">
        <v>0</v>
      </c>
      <c r="C154" s="1063">
        <v>0</v>
      </c>
      <c r="D154" s="1063">
        <v>0</v>
      </c>
      <c r="E154" s="1063">
        <v>0</v>
      </c>
      <c r="F154" s="1063">
        <v>0</v>
      </c>
      <c r="G154" s="1063">
        <v>0</v>
      </c>
      <c r="H154" s="1066">
        <f t="shared" si="11"/>
        <v>0</v>
      </c>
      <c r="I154" s="1068">
        <f t="shared" si="12"/>
        <v>0</v>
      </c>
      <c r="J154" s="1063"/>
      <c r="K154" s="1063"/>
      <c r="L154" s="1063"/>
      <c r="N154" s="1069">
        <f t="shared" si="13"/>
        <v>0</v>
      </c>
    </row>
    <row r="155" spans="1:14" x14ac:dyDescent="0.2">
      <c r="A155" s="1062" t="str">
        <f t="shared" si="10"/>
        <v/>
      </c>
      <c r="B155" s="1063">
        <v>0</v>
      </c>
      <c r="C155" s="1063">
        <v>0</v>
      </c>
      <c r="D155" s="1063">
        <v>0</v>
      </c>
      <c r="E155" s="1063">
        <v>0</v>
      </c>
      <c r="F155" s="1063">
        <v>0</v>
      </c>
      <c r="G155" s="1063">
        <v>0</v>
      </c>
      <c r="H155" s="1066">
        <f t="shared" si="11"/>
        <v>0</v>
      </c>
      <c r="I155" s="1068">
        <f t="shared" si="12"/>
        <v>0</v>
      </c>
      <c r="J155" s="1063"/>
      <c r="K155" s="1063"/>
      <c r="L155" s="1063"/>
      <c r="N155" s="1069">
        <f t="shared" si="13"/>
        <v>0</v>
      </c>
    </row>
    <row r="156" spans="1:14" x14ac:dyDescent="0.2">
      <c r="A156" s="1062" t="str">
        <f t="shared" si="10"/>
        <v/>
      </c>
      <c r="B156" s="1063">
        <v>0</v>
      </c>
      <c r="C156" s="1063">
        <v>0</v>
      </c>
      <c r="D156" s="1063">
        <v>0</v>
      </c>
      <c r="E156" s="1063">
        <v>0</v>
      </c>
      <c r="F156" s="1063">
        <v>0</v>
      </c>
      <c r="G156" s="1063">
        <v>0</v>
      </c>
      <c r="H156" s="1066">
        <f t="shared" si="11"/>
        <v>0</v>
      </c>
      <c r="I156" s="1068">
        <f t="shared" si="12"/>
        <v>0</v>
      </c>
      <c r="J156" s="1063"/>
      <c r="K156" s="1063"/>
      <c r="L156" s="1063"/>
      <c r="N156" s="1069">
        <f t="shared" si="13"/>
        <v>0</v>
      </c>
    </row>
    <row r="157" spans="1:14" hidden="1" x14ac:dyDescent="0.2">
      <c r="A157" s="1062" t="e">
        <f t="shared" si="10"/>
        <v>#N/A</v>
      </c>
      <c r="B157" s="1063" t="e">
        <v>#N/A</v>
      </c>
      <c r="C157" s="1063" t="e">
        <v>#N/A</v>
      </c>
      <c r="D157" s="1063" t="e">
        <v>#N/A</v>
      </c>
      <c r="E157" s="1063" t="e">
        <v>#N/A</v>
      </c>
      <c r="F157" s="1063" t="e">
        <v>#N/A</v>
      </c>
      <c r="G157" s="1063" t="e">
        <v>#N/A</v>
      </c>
      <c r="H157" s="1066">
        <f t="shared" si="11"/>
        <v>0</v>
      </c>
      <c r="I157" s="1068">
        <f t="shared" si="12"/>
        <v>0</v>
      </c>
      <c r="J157" s="1063"/>
      <c r="K157" s="1063"/>
      <c r="L157" s="1063"/>
      <c r="N157" s="1069">
        <f t="shared" si="13"/>
        <v>0</v>
      </c>
    </row>
    <row r="158" spans="1:14" hidden="1" x14ac:dyDescent="0.2">
      <c r="A158" s="1062" t="e">
        <f t="shared" si="10"/>
        <v>#N/A</v>
      </c>
      <c r="B158" s="1063" t="e">
        <v>#N/A</v>
      </c>
      <c r="C158" s="1063" t="e">
        <v>#N/A</v>
      </c>
      <c r="D158" s="1063" t="e">
        <v>#N/A</v>
      </c>
      <c r="E158" s="1063" t="e">
        <v>#N/A</v>
      </c>
      <c r="F158" s="1063" t="e">
        <v>#N/A</v>
      </c>
      <c r="G158" s="1063" t="e">
        <v>#N/A</v>
      </c>
      <c r="H158" s="1066">
        <f t="shared" si="11"/>
        <v>0</v>
      </c>
      <c r="I158" s="1068">
        <f t="shared" si="12"/>
        <v>0</v>
      </c>
      <c r="J158" s="1063"/>
      <c r="K158" s="1063"/>
      <c r="L158" s="1063"/>
      <c r="N158" s="1069">
        <f t="shared" si="13"/>
        <v>0</v>
      </c>
    </row>
    <row r="159" spans="1:14" hidden="1" x14ac:dyDescent="0.2">
      <c r="A159" s="1062" t="e">
        <f t="shared" si="10"/>
        <v>#N/A</v>
      </c>
      <c r="B159" s="1063" t="e">
        <v>#N/A</v>
      </c>
      <c r="C159" s="1063" t="e">
        <v>#N/A</v>
      </c>
      <c r="D159" s="1063" t="e">
        <v>#N/A</v>
      </c>
      <c r="E159" s="1063" t="e">
        <v>#N/A</v>
      </c>
      <c r="F159" s="1063" t="e">
        <v>#N/A</v>
      </c>
      <c r="G159" s="1063" t="e">
        <v>#N/A</v>
      </c>
      <c r="H159" s="1066">
        <f t="shared" si="11"/>
        <v>0</v>
      </c>
      <c r="I159" s="1068">
        <f t="shared" si="12"/>
        <v>0</v>
      </c>
      <c r="J159" s="1063"/>
      <c r="K159" s="1063"/>
      <c r="L159" s="1063"/>
      <c r="N159" s="1069">
        <f t="shared" si="13"/>
        <v>0</v>
      </c>
    </row>
    <row r="160" spans="1:14" hidden="1" x14ac:dyDescent="0.2">
      <c r="A160" s="1062" t="e">
        <f t="shared" si="10"/>
        <v>#N/A</v>
      </c>
      <c r="B160" s="1063" t="e">
        <v>#N/A</v>
      </c>
      <c r="C160" s="1063" t="e">
        <v>#N/A</v>
      </c>
      <c r="D160" s="1063" t="e">
        <v>#N/A</v>
      </c>
      <c r="E160" s="1063" t="e">
        <v>#N/A</v>
      </c>
      <c r="F160" s="1063" t="e">
        <v>#N/A</v>
      </c>
      <c r="G160" s="1063" t="e">
        <v>#N/A</v>
      </c>
      <c r="H160" s="1066">
        <f t="shared" si="11"/>
        <v>0</v>
      </c>
      <c r="I160" s="1068">
        <f t="shared" si="12"/>
        <v>0</v>
      </c>
      <c r="J160" s="1063"/>
      <c r="K160" s="1063"/>
      <c r="L160" s="1063"/>
      <c r="N160" s="1069">
        <f t="shared" si="13"/>
        <v>0</v>
      </c>
    </row>
    <row r="161" spans="1:14" hidden="1" x14ac:dyDescent="0.2">
      <c r="A161" s="1062" t="e">
        <f t="shared" si="10"/>
        <v>#N/A</v>
      </c>
      <c r="B161" s="1063" t="e">
        <v>#N/A</v>
      </c>
      <c r="C161" s="1063" t="e">
        <v>#N/A</v>
      </c>
      <c r="D161" s="1063" t="e">
        <v>#N/A</v>
      </c>
      <c r="E161" s="1063" t="e">
        <v>#N/A</v>
      </c>
      <c r="F161" s="1063" t="e">
        <v>#N/A</v>
      </c>
      <c r="G161" s="1063" t="e">
        <v>#N/A</v>
      </c>
      <c r="H161" s="1066">
        <f t="shared" si="11"/>
        <v>0</v>
      </c>
      <c r="I161" s="1068">
        <f t="shared" si="12"/>
        <v>0</v>
      </c>
      <c r="J161" s="1063"/>
      <c r="K161" s="1063"/>
      <c r="L161" s="1063"/>
      <c r="N161" s="1069">
        <f t="shared" si="13"/>
        <v>0</v>
      </c>
    </row>
    <row r="162" spans="1:14" hidden="1" x14ac:dyDescent="0.2">
      <c r="A162" s="1062" t="e">
        <f t="shared" si="10"/>
        <v>#N/A</v>
      </c>
      <c r="B162" s="1063" t="e">
        <v>#N/A</v>
      </c>
      <c r="C162" s="1063" t="e">
        <v>#N/A</v>
      </c>
      <c r="D162" s="1063" t="e">
        <v>#N/A</v>
      </c>
      <c r="E162" s="1063" t="e">
        <v>#N/A</v>
      </c>
      <c r="F162" s="1063" t="e">
        <v>#N/A</v>
      </c>
      <c r="G162" s="1063" t="e">
        <v>#N/A</v>
      </c>
      <c r="H162" s="1066">
        <f t="shared" si="11"/>
        <v>0</v>
      </c>
      <c r="I162" s="1068">
        <f t="shared" si="12"/>
        <v>0</v>
      </c>
      <c r="J162" s="1063"/>
      <c r="K162" s="1063"/>
      <c r="L162" s="1063"/>
      <c r="N162" s="1069">
        <f t="shared" si="13"/>
        <v>0</v>
      </c>
    </row>
    <row r="163" spans="1:14" hidden="1" x14ac:dyDescent="0.2">
      <c r="A163" s="1062" t="e">
        <f t="shared" si="10"/>
        <v>#N/A</v>
      </c>
      <c r="B163" s="1063" t="e">
        <v>#N/A</v>
      </c>
      <c r="C163" s="1063" t="e">
        <v>#N/A</v>
      </c>
      <c r="D163" s="1063" t="e">
        <v>#N/A</v>
      </c>
      <c r="E163" s="1063" t="e">
        <v>#N/A</v>
      </c>
      <c r="F163" s="1063" t="e">
        <v>#N/A</v>
      </c>
      <c r="G163" s="1063" t="e">
        <v>#N/A</v>
      </c>
      <c r="H163" s="1066">
        <f t="shared" si="11"/>
        <v>0</v>
      </c>
      <c r="I163" s="1068">
        <f t="shared" si="12"/>
        <v>0</v>
      </c>
      <c r="J163" s="1063"/>
      <c r="K163" s="1063"/>
      <c r="L163" s="1063"/>
      <c r="N163" s="1069">
        <f t="shared" si="13"/>
        <v>0</v>
      </c>
    </row>
    <row r="164" spans="1:14" hidden="1" x14ac:dyDescent="0.2">
      <c r="A164" s="1062" t="e">
        <f t="shared" si="10"/>
        <v>#N/A</v>
      </c>
      <c r="B164" s="1063" t="e">
        <v>#N/A</v>
      </c>
      <c r="C164" s="1063" t="e">
        <v>#N/A</v>
      </c>
      <c r="D164" s="1063" t="e">
        <v>#N/A</v>
      </c>
      <c r="E164" s="1063" t="e">
        <v>#N/A</v>
      </c>
      <c r="F164" s="1063" t="e">
        <v>#N/A</v>
      </c>
      <c r="G164" s="1063" t="e">
        <v>#N/A</v>
      </c>
      <c r="H164" s="1066">
        <f t="shared" si="11"/>
        <v>0</v>
      </c>
      <c r="I164" s="1068">
        <f t="shared" si="12"/>
        <v>0</v>
      </c>
      <c r="J164" s="1063"/>
      <c r="K164" s="1063"/>
      <c r="L164" s="1063"/>
      <c r="N164" s="1069">
        <f t="shared" si="13"/>
        <v>0</v>
      </c>
    </row>
    <row r="165" spans="1:14" hidden="1" x14ac:dyDescent="0.2">
      <c r="A165" s="1062" t="e">
        <f t="shared" si="10"/>
        <v>#N/A</v>
      </c>
      <c r="B165" s="1063" t="e">
        <v>#N/A</v>
      </c>
      <c r="C165" s="1063" t="e">
        <v>#N/A</v>
      </c>
      <c r="D165" s="1063" t="e">
        <v>#N/A</v>
      </c>
      <c r="E165" s="1063" t="e">
        <v>#N/A</v>
      </c>
      <c r="F165" s="1063" t="e">
        <v>#N/A</v>
      </c>
      <c r="G165" s="1063" t="e">
        <v>#N/A</v>
      </c>
      <c r="H165" s="1066">
        <f t="shared" si="11"/>
        <v>0</v>
      </c>
      <c r="I165" s="1068">
        <f t="shared" si="12"/>
        <v>0</v>
      </c>
      <c r="J165" s="1063"/>
      <c r="K165" s="1063"/>
      <c r="L165" s="1063"/>
      <c r="N165" s="1069">
        <f t="shared" si="13"/>
        <v>0</v>
      </c>
    </row>
    <row r="166" spans="1:14" hidden="1" x14ac:dyDescent="0.2">
      <c r="A166" s="1062" t="e">
        <f t="shared" si="10"/>
        <v>#N/A</v>
      </c>
      <c r="B166" s="1063" t="e">
        <v>#N/A</v>
      </c>
      <c r="C166" s="1063" t="e">
        <v>#N/A</v>
      </c>
      <c r="D166" s="1063" t="e">
        <v>#N/A</v>
      </c>
      <c r="E166" s="1063" t="e">
        <v>#N/A</v>
      </c>
      <c r="F166" s="1063" t="e">
        <v>#N/A</v>
      </c>
      <c r="G166" s="1063" t="e">
        <v>#N/A</v>
      </c>
      <c r="H166" s="1066">
        <f t="shared" si="11"/>
        <v>0</v>
      </c>
      <c r="I166" s="1068">
        <f t="shared" si="12"/>
        <v>0</v>
      </c>
      <c r="J166" s="1063"/>
      <c r="K166" s="1063"/>
      <c r="L166" s="1063"/>
      <c r="N166" s="1069">
        <f t="shared" si="13"/>
        <v>0</v>
      </c>
    </row>
    <row r="167" spans="1:14" hidden="1" x14ac:dyDescent="0.2">
      <c r="A167" s="1062" t="e">
        <f t="shared" si="10"/>
        <v>#N/A</v>
      </c>
      <c r="B167" s="1063" t="e">
        <v>#N/A</v>
      </c>
      <c r="C167" s="1063" t="e">
        <v>#N/A</v>
      </c>
      <c r="D167" s="1063" t="e">
        <v>#N/A</v>
      </c>
      <c r="E167" s="1063" t="e">
        <v>#N/A</v>
      </c>
      <c r="F167" s="1063" t="e">
        <v>#N/A</v>
      </c>
      <c r="G167" s="1063" t="e">
        <v>#N/A</v>
      </c>
      <c r="H167" s="1066">
        <f t="shared" si="11"/>
        <v>0</v>
      </c>
      <c r="I167" s="1068">
        <f t="shared" si="12"/>
        <v>0</v>
      </c>
      <c r="J167" s="1063"/>
      <c r="K167" s="1063"/>
      <c r="L167" s="1063"/>
      <c r="N167" s="1069">
        <f t="shared" si="13"/>
        <v>0</v>
      </c>
    </row>
    <row r="168" spans="1:14" hidden="1" x14ac:dyDescent="0.2">
      <c r="A168" s="1062" t="e">
        <f t="shared" si="10"/>
        <v>#N/A</v>
      </c>
      <c r="B168" s="1063" t="e">
        <v>#N/A</v>
      </c>
      <c r="C168" s="1063" t="e">
        <v>#N/A</v>
      </c>
      <c r="D168" s="1063" t="e">
        <v>#N/A</v>
      </c>
      <c r="E168" s="1063" t="e">
        <v>#N/A</v>
      </c>
      <c r="F168" s="1063" t="e">
        <v>#N/A</v>
      </c>
      <c r="G168" s="1063" t="e">
        <v>#N/A</v>
      </c>
      <c r="H168" s="1066">
        <f t="shared" si="11"/>
        <v>0</v>
      </c>
      <c r="I168" s="1068">
        <f t="shared" si="12"/>
        <v>0</v>
      </c>
      <c r="J168" s="1063"/>
      <c r="K168" s="1063"/>
      <c r="L168" s="1063"/>
      <c r="N168" s="1069">
        <f t="shared" si="13"/>
        <v>0</v>
      </c>
    </row>
    <row r="169" spans="1:14" hidden="1" x14ac:dyDescent="0.2">
      <c r="A169" s="1062" t="e">
        <f t="shared" si="10"/>
        <v>#N/A</v>
      </c>
      <c r="B169" s="1063" t="e">
        <v>#N/A</v>
      </c>
      <c r="C169" s="1063" t="e">
        <v>#N/A</v>
      </c>
      <c r="D169" s="1063" t="e">
        <v>#N/A</v>
      </c>
      <c r="E169" s="1063" t="e">
        <v>#N/A</v>
      </c>
      <c r="F169" s="1063" t="e">
        <v>#N/A</v>
      </c>
      <c r="G169" s="1063" t="e">
        <v>#N/A</v>
      </c>
      <c r="H169" s="1066">
        <f t="shared" si="11"/>
        <v>0</v>
      </c>
      <c r="I169" s="1068">
        <f t="shared" si="12"/>
        <v>0</v>
      </c>
      <c r="J169" s="1063"/>
      <c r="K169" s="1063"/>
      <c r="L169" s="1063"/>
      <c r="N169" s="1069">
        <f t="shared" si="13"/>
        <v>0</v>
      </c>
    </row>
    <row r="170" spans="1:14" hidden="1" x14ac:dyDescent="0.2">
      <c r="A170" s="1062" t="e">
        <f t="shared" si="10"/>
        <v>#N/A</v>
      </c>
      <c r="B170" s="1063" t="e">
        <v>#N/A</v>
      </c>
      <c r="C170" s="1063" t="e">
        <v>#N/A</v>
      </c>
      <c r="D170" s="1063" t="e">
        <v>#N/A</v>
      </c>
      <c r="E170" s="1063" t="e">
        <v>#N/A</v>
      </c>
      <c r="F170" s="1063" t="e">
        <v>#N/A</v>
      </c>
      <c r="G170" s="1063" t="e">
        <v>#N/A</v>
      </c>
      <c r="H170" s="1066">
        <f t="shared" si="11"/>
        <v>0</v>
      </c>
      <c r="I170" s="1068">
        <f t="shared" si="12"/>
        <v>0</v>
      </c>
      <c r="J170" s="1063"/>
      <c r="K170" s="1063"/>
      <c r="L170" s="1063"/>
      <c r="N170" s="1069">
        <f t="shared" si="13"/>
        <v>0</v>
      </c>
    </row>
    <row r="171" spans="1:14" hidden="1" x14ac:dyDescent="0.2">
      <c r="A171" s="1062" t="e">
        <f t="shared" si="10"/>
        <v>#N/A</v>
      </c>
      <c r="B171" s="1063" t="e">
        <v>#N/A</v>
      </c>
      <c r="C171" s="1063" t="e">
        <v>#N/A</v>
      </c>
      <c r="D171" s="1063" t="e">
        <v>#N/A</v>
      </c>
      <c r="E171" s="1063" t="e">
        <v>#N/A</v>
      </c>
      <c r="F171" s="1063" t="e">
        <v>#N/A</v>
      </c>
      <c r="G171" s="1063" t="e">
        <v>#N/A</v>
      </c>
      <c r="H171" s="1066">
        <f t="shared" si="11"/>
        <v>0</v>
      </c>
      <c r="I171" s="1068">
        <f t="shared" si="12"/>
        <v>0</v>
      </c>
      <c r="J171" s="1063"/>
      <c r="K171" s="1063"/>
      <c r="L171" s="1063"/>
      <c r="N171" s="1069">
        <f t="shared" si="13"/>
        <v>0</v>
      </c>
    </row>
    <row r="172" spans="1:14" hidden="1" x14ac:dyDescent="0.2">
      <c r="A172" s="1062" t="e">
        <f t="shared" si="10"/>
        <v>#N/A</v>
      </c>
      <c r="B172" s="1063" t="e">
        <v>#N/A</v>
      </c>
      <c r="C172" s="1063" t="e">
        <v>#N/A</v>
      </c>
      <c r="D172" s="1063" t="e">
        <v>#N/A</v>
      </c>
      <c r="E172" s="1063" t="e">
        <v>#N/A</v>
      </c>
      <c r="F172" s="1063" t="e">
        <v>#N/A</v>
      </c>
      <c r="G172" s="1063" t="e">
        <v>#N/A</v>
      </c>
      <c r="H172" s="1066">
        <f t="shared" si="11"/>
        <v>0</v>
      </c>
      <c r="I172" s="1068">
        <f t="shared" si="12"/>
        <v>0</v>
      </c>
      <c r="J172" s="1063"/>
      <c r="K172" s="1063"/>
      <c r="L172" s="1063"/>
      <c r="N172" s="1069">
        <f t="shared" si="13"/>
        <v>0</v>
      </c>
    </row>
    <row r="173" spans="1:14" hidden="1" x14ac:dyDescent="0.2">
      <c r="A173" s="1062" t="e">
        <f t="shared" si="10"/>
        <v>#N/A</v>
      </c>
      <c r="B173" s="1063" t="e">
        <v>#N/A</v>
      </c>
      <c r="C173" s="1063" t="e">
        <v>#N/A</v>
      </c>
      <c r="D173" s="1063" t="e">
        <v>#N/A</v>
      </c>
      <c r="E173" s="1063" t="e">
        <v>#N/A</v>
      </c>
      <c r="F173" s="1063" t="e">
        <v>#N/A</v>
      </c>
      <c r="G173" s="1063" t="e">
        <v>#N/A</v>
      </c>
      <c r="H173" s="1066">
        <f t="shared" si="11"/>
        <v>0</v>
      </c>
      <c r="I173" s="1068">
        <f t="shared" si="12"/>
        <v>0</v>
      </c>
      <c r="J173" s="1063"/>
      <c r="K173" s="1063"/>
      <c r="L173" s="1063"/>
      <c r="N173" s="1069">
        <f t="shared" si="13"/>
        <v>0</v>
      </c>
    </row>
    <row r="174" spans="1:14" hidden="1" x14ac:dyDescent="0.2">
      <c r="A174" s="1062" t="e">
        <f t="shared" si="10"/>
        <v>#N/A</v>
      </c>
      <c r="B174" s="1063" t="e">
        <v>#N/A</v>
      </c>
      <c r="C174" s="1063" t="e">
        <v>#N/A</v>
      </c>
      <c r="D174" s="1063" t="e">
        <v>#N/A</v>
      </c>
      <c r="E174" s="1063" t="e">
        <v>#N/A</v>
      </c>
      <c r="F174" s="1063" t="e">
        <v>#N/A</v>
      </c>
      <c r="G174" s="1063" t="e">
        <v>#N/A</v>
      </c>
      <c r="H174" s="1066">
        <f t="shared" si="11"/>
        <v>0</v>
      </c>
      <c r="I174" s="1068">
        <f t="shared" si="12"/>
        <v>0</v>
      </c>
      <c r="J174" s="1063"/>
      <c r="K174" s="1063"/>
      <c r="L174" s="1063"/>
      <c r="N174" s="1069">
        <f t="shared" si="13"/>
        <v>0</v>
      </c>
    </row>
    <row r="175" spans="1:14" hidden="1" x14ac:dyDescent="0.2">
      <c r="A175" s="1062" t="e">
        <f t="shared" si="10"/>
        <v>#N/A</v>
      </c>
      <c r="B175" s="1063" t="e">
        <v>#N/A</v>
      </c>
      <c r="C175" s="1063" t="e">
        <v>#N/A</v>
      </c>
      <c r="D175" s="1063" t="e">
        <v>#N/A</v>
      </c>
      <c r="E175" s="1063" t="e">
        <v>#N/A</v>
      </c>
      <c r="F175" s="1063" t="e">
        <v>#N/A</v>
      </c>
      <c r="G175" s="1063" t="e">
        <v>#N/A</v>
      </c>
      <c r="H175" s="1066">
        <f t="shared" si="11"/>
        <v>0</v>
      </c>
      <c r="I175" s="1068">
        <f t="shared" si="12"/>
        <v>0</v>
      </c>
      <c r="J175" s="1063"/>
      <c r="K175" s="1063"/>
      <c r="L175" s="1063"/>
      <c r="N175" s="1069">
        <f t="shared" si="13"/>
        <v>0</v>
      </c>
    </row>
    <row r="176" spans="1:14" hidden="1" x14ac:dyDescent="0.2">
      <c r="A176" s="1062" t="e">
        <f t="shared" si="10"/>
        <v>#N/A</v>
      </c>
      <c r="B176" s="1063" t="e">
        <v>#N/A</v>
      </c>
      <c r="C176" s="1063" t="e">
        <v>#N/A</v>
      </c>
      <c r="D176" s="1063" t="e">
        <v>#N/A</v>
      </c>
      <c r="E176" s="1063" t="e">
        <v>#N/A</v>
      </c>
      <c r="F176" s="1063" t="e">
        <v>#N/A</v>
      </c>
      <c r="G176" s="1063" t="e">
        <v>#N/A</v>
      </c>
      <c r="H176" s="1066">
        <f t="shared" si="11"/>
        <v>0</v>
      </c>
      <c r="I176" s="1068">
        <f t="shared" si="12"/>
        <v>0</v>
      </c>
      <c r="J176" s="1063"/>
      <c r="K176" s="1063"/>
      <c r="L176" s="1063"/>
      <c r="N176" s="1069">
        <f t="shared" si="13"/>
        <v>0</v>
      </c>
    </row>
    <row r="177" spans="1:14" hidden="1" x14ac:dyDescent="0.2">
      <c r="A177" s="1062" t="e">
        <f t="shared" si="10"/>
        <v>#N/A</v>
      </c>
      <c r="B177" s="1063" t="e">
        <v>#N/A</v>
      </c>
      <c r="C177" s="1063" t="e">
        <v>#N/A</v>
      </c>
      <c r="D177" s="1063" t="e">
        <v>#N/A</v>
      </c>
      <c r="E177" s="1063" t="e">
        <v>#N/A</v>
      </c>
      <c r="F177" s="1063" t="e">
        <v>#N/A</v>
      </c>
      <c r="G177" s="1063" t="e">
        <v>#N/A</v>
      </c>
      <c r="H177" s="1066">
        <f t="shared" si="11"/>
        <v>0</v>
      </c>
      <c r="I177" s="1068">
        <f t="shared" si="12"/>
        <v>0</v>
      </c>
      <c r="J177" s="1063"/>
      <c r="K177" s="1063"/>
      <c r="L177" s="1063"/>
      <c r="N177" s="1069">
        <f t="shared" si="13"/>
        <v>0</v>
      </c>
    </row>
    <row r="178" spans="1:14" hidden="1" x14ac:dyDescent="0.2">
      <c r="A178" s="1062" t="e">
        <f t="shared" si="10"/>
        <v>#N/A</v>
      </c>
      <c r="B178" s="1063" t="e">
        <v>#N/A</v>
      </c>
      <c r="C178" s="1063" t="e">
        <v>#N/A</v>
      </c>
      <c r="D178" s="1063" t="e">
        <v>#N/A</v>
      </c>
      <c r="E178" s="1063" t="e">
        <v>#N/A</v>
      </c>
      <c r="F178" s="1063" t="e">
        <v>#N/A</v>
      </c>
      <c r="G178" s="1063" t="e">
        <v>#N/A</v>
      </c>
      <c r="H178" s="1066">
        <f t="shared" si="11"/>
        <v>0</v>
      </c>
      <c r="I178" s="1068">
        <f t="shared" si="12"/>
        <v>0</v>
      </c>
      <c r="J178" s="1063"/>
      <c r="K178" s="1063"/>
      <c r="L178" s="1063"/>
      <c r="N178" s="1069">
        <f t="shared" si="13"/>
        <v>0</v>
      </c>
    </row>
    <row r="179" spans="1:14" hidden="1" x14ac:dyDescent="0.2">
      <c r="A179" s="1062" t="e">
        <f t="shared" si="10"/>
        <v>#N/A</v>
      </c>
      <c r="B179" s="1063" t="e">
        <v>#N/A</v>
      </c>
      <c r="C179" s="1063" t="e">
        <v>#N/A</v>
      </c>
      <c r="D179" s="1063" t="e">
        <v>#N/A</v>
      </c>
      <c r="E179" s="1063" t="e">
        <v>#N/A</v>
      </c>
      <c r="F179" s="1063" t="e">
        <v>#N/A</v>
      </c>
      <c r="G179" s="1063" t="e">
        <v>#N/A</v>
      </c>
      <c r="H179" s="1066">
        <f t="shared" si="11"/>
        <v>0</v>
      </c>
      <c r="I179" s="1068">
        <f t="shared" si="12"/>
        <v>0</v>
      </c>
      <c r="J179" s="1063"/>
      <c r="K179" s="1063"/>
      <c r="L179" s="1063"/>
      <c r="N179" s="1069">
        <f t="shared" si="13"/>
        <v>0</v>
      </c>
    </row>
    <row r="180" spans="1:14" hidden="1" x14ac:dyDescent="0.2">
      <c r="A180" s="1062" t="e">
        <f t="shared" si="10"/>
        <v>#N/A</v>
      </c>
      <c r="B180" s="1063" t="e">
        <v>#N/A</v>
      </c>
      <c r="C180" s="1063" t="e">
        <v>#N/A</v>
      </c>
      <c r="D180" s="1063" t="e">
        <v>#N/A</v>
      </c>
      <c r="E180" s="1063" t="e">
        <v>#N/A</v>
      </c>
      <c r="F180" s="1063" t="e">
        <v>#N/A</v>
      </c>
      <c r="G180" s="1063" t="e">
        <v>#N/A</v>
      </c>
      <c r="H180" s="1066">
        <f t="shared" si="11"/>
        <v>0</v>
      </c>
      <c r="I180" s="1068">
        <f t="shared" si="12"/>
        <v>0</v>
      </c>
      <c r="J180" s="1063"/>
      <c r="K180" s="1063"/>
      <c r="L180" s="1063"/>
      <c r="N180" s="1069">
        <f t="shared" si="13"/>
        <v>0</v>
      </c>
    </row>
    <row r="181" spans="1:14" hidden="1" x14ac:dyDescent="0.2">
      <c r="A181" s="1062" t="e">
        <f t="shared" si="10"/>
        <v>#N/A</v>
      </c>
      <c r="B181" s="1063" t="e">
        <v>#N/A</v>
      </c>
      <c r="C181" s="1063" t="e">
        <v>#N/A</v>
      </c>
      <c r="D181" s="1063" t="e">
        <v>#N/A</v>
      </c>
      <c r="E181" s="1063" t="e">
        <v>#N/A</v>
      </c>
      <c r="F181" s="1063" t="e">
        <v>#N/A</v>
      </c>
      <c r="G181" s="1063" t="e">
        <v>#N/A</v>
      </c>
      <c r="H181" s="1066">
        <f t="shared" si="11"/>
        <v>0</v>
      </c>
      <c r="I181" s="1068">
        <f t="shared" si="12"/>
        <v>0</v>
      </c>
      <c r="J181" s="1063"/>
      <c r="K181" s="1063"/>
      <c r="L181" s="1063"/>
      <c r="N181" s="1069">
        <f t="shared" si="13"/>
        <v>0</v>
      </c>
    </row>
    <row r="182" spans="1:14" hidden="1" x14ac:dyDescent="0.2">
      <c r="A182" s="1062" t="e">
        <f t="shared" si="10"/>
        <v>#N/A</v>
      </c>
      <c r="B182" s="1063" t="e">
        <v>#N/A</v>
      </c>
      <c r="C182" s="1063" t="e">
        <v>#N/A</v>
      </c>
      <c r="D182" s="1063" t="e">
        <v>#N/A</v>
      </c>
      <c r="E182" s="1063" t="e">
        <v>#N/A</v>
      </c>
      <c r="F182" s="1063" t="e">
        <v>#N/A</v>
      </c>
      <c r="G182" s="1063" t="e">
        <v>#N/A</v>
      </c>
      <c r="H182" s="1066">
        <f t="shared" si="11"/>
        <v>0</v>
      </c>
      <c r="I182" s="1068">
        <f t="shared" si="12"/>
        <v>0</v>
      </c>
      <c r="J182" s="1063"/>
      <c r="K182" s="1063"/>
      <c r="L182" s="1063"/>
      <c r="N182" s="1069">
        <f t="shared" si="13"/>
        <v>0</v>
      </c>
    </row>
    <row r="183" spans="1:14" hidden="1" x14ac:dyDescent="0.2">
      <c r="A183" s="1062" t="e">
        <f t="shared" si="10"/>
        <v>#N/A</v>
      </c>
      <c r="B183" s="1063" t="e">
        <v>#N/A</v>
      </c>
      <c r="C183" s="1063" t="e">
        <v>#N/A</v>
      </c>
      <c r="D183" s="1063" t="e">
        <v>#N/A</v>
      </c>
      <c r="E183" s="1063" t="e">
        <v>#N/A</v>
      </c>
      <c r="F183" s="1063" t="e">
        <v>#N/A</v>
      </c>
      <c r="G183" s="1063" t="e">
        <v>#N/A</v>
      </c>
      <c r="H183" s="1066">
        <f t="shared" si="11"/>
        <v>0</v>
      </c>
      <c r="I183" s="1068">
        <f t="shared" si="12"/>
        <v>0</v>
      </c>
      <c r="J183" s="1063"/>
      <c r="K183" s="1063"/>
      <c r="L183" s="1063"/>
      <c r="N183" s="1069">
        <f t="shared" si="13"/>
        <v>0</v>
      </c>
    </row>
    <row r="184" spans="1:14" hidden="1" x14ac:dyDescent="0.2">
      <c r="A184" s="1062" t="e">
        <f t="shared" ref="A184:A244" si="14">IF(B184=0, "",LEFT(B184,6))</f>
        <v>#N/A</v>
      </c>
      <c r="B184" s="1063" t="e">
        <v>#N/A</v>
      </c>
      <c r="C184" s="1063" t="e">
        <v>#N/A</v>
      </c>
      <c r="D184" s="1063" t="e">
        <v>#N/A</v>
      </c>
      <c r="E184" s="1063" t="e">
        <v>#N/A</v>
      </c>
      <c r="F184" s="1063" t="e">
        <v>#N/A</v>
      </c>
      <c r="G184" s="1063" t="e">
        <v>#N/A</v>
      </c>
      <c r="H184" s="1066">
        <f t="shared" si="11"/>
        <v>0</v>
      </c>
      <c r="I184" s="1068">
        <f t="shared" si="12"/>
        <v>0</v>
      </c>
      <c r="J184" s="1063"/>
      <c r="K184" s="1063"/>
      <c r="L184" s="1063"/>
      <c r="N184" s="1069">
        <f t="shared" si="13"/>
        <v>0</v>
      </c>
    </row>
    <row r="185" spans="1:14" hidden="1" x14ac:dyDescent="0.2">
      <c r="A185" s="1062" t="e">
        <f t="shared" si="14"/>
        <v>#N/A</v>
      </c>
      <c r="B185" s="1063" t="e">
        <v>#N/A</v>
      </c>
      <c r="C185" s="1063" t="e">
        <v>#N/A</v>
      </c>
      <c r="D185" s="1063" t="e">
        <v>#N/A</v>
      </c>
      <c r="E185" s="1063" t="e">
        <v>#N/A</v>
      </c>
      <c r="F185" s="1063" t="e">
        <v>#N/A</v>
      </c>
      <c r="G185" s="1063" t="e">
        <v>#N/A</v>
      </c>
      <c r="H185" s="1066">
        <f t="shared" si="11"/>
        <v>0</v>
      </c>
      <c r="I185" s="1068">
        <f t="shared" si="12"/>
        <v>0</v>
      </c>
      <c r="J185" s="1063"/>
      <c r="K185" s="1063"/>
      <c r="L185" s="1063"/>
      <c r="N185" s="1069">
        <f t="shared" si="13"/>
        <v>0</v>
      </c>
    </row>
    <row r="186" spans="1:14" hidden="1" x14ac:dyDescent="0.2">
      <c r="A186" s="1062" t="e">
        <f t="shared" si="14"/>
        <v>#N/A</v>
      </c>
      <c r="B186" s="1063" t="e">
        <v>#N/A</v>
      </c>
      <c r="C186" s="1063" t="e">
        <v>#N/A</v>
      </c>
      <c r="D186" s="1063" t="e">
        <v>#N/A</v>
      </c>
      <c r="E186" s="1063" t="e">
        <v>#N/A</v>
      </c>
      <c r="F186" s="1063" t="e">
        <v>#N/A</v>
      </c>
      <c r="G186" s="1063" t="e">
        <v>#N/A</v>
      </c>
      <c r="H186" s="1066">
        <f t="shared" si="11"/>
        <v>0</v>
      </c>
      <c r="I186" s="1068">
        <f t="shared" si="12"/>
        <v>0</v>
      </c>
      <c r="J186" s="1063"/>
      <c r="K186" s="1063"/>
      <c r="L186" s="1063"/>
      <c r="N186" s="1069">
        <f t="shared" si="13"/>
        <v>0</v>
      </c>
    </row>
    <row r="187" spans="1:14" hidden="1" x14ac:dyDescent="0.2">
      <c r="A187" s="1062" t="str">
        <f t="shared" si="14"/>
        <v/>
      </c>
      <c r="E187" s="1063"/>
      <c r="H187" s="1066">
        <f t="shared" si="11"/>
        <v>0</v>
      </c>
      <c r="I187" s="1068">
        <f t="shared" si="12"/>
        <v>0</v>
      </c>
      <c r="J187" s="1063"/>
      <c r="K187" s="1063"/>
      <c r="L187" s="1063"/>
      <c r="N187" s="1069">
        <f t="shared" si="13"/>
        <v>0</v>
      </c>
    </row>
    <row r="188" spans="1:14" x14ac:dyDescent="0.2">
      <c r="A188" s="1062" t="str">
        <f t="shared" si="14"/>
        <v/>
      </c>
      <c r="E188" s="1063"/>
      <c r="H188" s="1066">
        <f t="shared" si="11"/>
        <v>0</v>
      </c>
      <c r="I188" s="1068">
        <f t="shared" si="12"/>
        <v>0</v>
      </c>
      <c r="J188" s="1063"/>
      <c r="K188" s="1063"/>
      <c r="L188" s="1063"/>
      <c r="N188" s="1069">
        <f t="shared" si="13"/>
        <v>0</v>
      </c>
    </row>
    <row r="189" spans="1:14" x14ac:dyDescent="0.2">
      <c r="A189" s="1062" t="str">
        <f t="shared" si="14"/>
        <v/>
      </c>
      <c r="E189" s="1063"/>
      <c r="H189" s="1066">
        <f t="shared" si="11"/>
        <v>0</v>
      </c>
      <c r="I189" s="1068">
        <f t="shared" si="12"/>
        <v>0</v>
      </c>
      <c r="J189" s="1063"/>
      <c r="K189" s="1063"/>
      <c r="L189" s="1063"/>
      <c r="N189" s="1069">
        <f t="shared" si="13"/>
        <v>0</v>
      </c>
    </row>
    <row r="190" spans="1:14" x14ac:dyDescent="0.2">
      <c r="A190" s="1062" t="str">
        <f t="shared" si="14"/>
        <v/>
      </c>
      <c r="E190" s="1063"/>
      <c r="H190" s="1066">
        <f t="shared" si="11"/>
        <v>0</v>
      </c>
      <c r="I190" s="1068">
        <f t="shared" si="12"/>
        <v>0</v>
      </c>
      <c r="J190" s="1063"/>
      <c r="K190" s="1063"/>
      <c r="L190" s="1063"/>
      <c r="N190" s="1069">
        <f t="shared" si="13"/>
        <v>0</v>
      </c>
    </row>
    <row r="191" spans="1:14" x14ac:dyDescent="0.2">
      <c r="A191" s="1062" t="str">
        <f t="shared" si="14"/>
        <v/>
      </c>
      <c r="E191" s="1063"/>
      <c r="H191" s="1066">
        <f t="shared" si="11"/>
        <v>0</v>
      </c>
      <c r="I191" s="1068">
        <f t="shared" si="12"/>
        <v>0</v>
      </c>
      <c r="J191" s="1063"/>
      <c r="K191" s="1063"/>
      <c r="L191" s="1063"/>
      <c r="N191" s="1069">
        <f t="shared" si="13"/>
        <v>0</v>
      </c>
    </row>
    <row r="192" spans="1:14" x14ac:dyDescent="0.2">
      <c r="A192" s="1062" t="str">
        <f t="shared" si="14"/>
        <v/>
      </c>
      <c r="E192" s="1063"/>
      <c r="H192" s="1066">
        <f t="shared" si="11"/>
        <v>0</v>
      </c>
      <c r="I192" s="1068">
        <f t="shared" si="12"/>
        <v>0</v>
      </c>
      <c r="J192" s="1063"/>
      <c r="K192" s="1063"/>
      <c r="L192" s="1063"/>
      <c r="N192" s="1069">
        <f t="shared" si="13"/>
        <v>0</v>
      </c>
    </row>
    <row r="193" spans="1:14" x14ac:dyDescent="0.2">
      <c r="A193" s="1062" t="str">
        <f t="shared" si="14"/>
        <v/>
      </c>
      <c r="E193" s="1063"/>
      <c r="H193" s="1066">
        <f t="shared" si="11"/>
        <v>0</v>
      </c>
      <c r="I193" s="1068">
        <f t="shared" si="12"/>
        <v>0</v>
      </c>
      <c r="J193" s="1063"/>
      <c r="K193" s="1063"/>
      <c r="L193" s="1063"/>
      <c r="N193" s="1069">
        <f t="shared" si="13"/>
        <v>0</v>
      </c>
    </row>
    <row r="194" spans="1:14" x14ac:dyDescent="0.2">
      <c r="A194" s="1062" t="str">
        <f t="shared" si="14"/>
        <v/>
      </c>
      <c r="E194" s="1063"/>
      <c r="H194" s="1066">
        <f t="shared" si="11"/>
        <v>0</v>
      </c>
      <c r="I194" s="1068">
        <f t="shared" si="12"/>
        <v>0</v>
      </c>
      <c r="J194" s="1063"/>
      <c r="K194" s="1063"/>
      <c r="L194" s="1063"/>
      <c r="N194" s="1069">
        <f t="shared" si="13"/>
        <v>0</v>
      </c>
    </row>
    <row r="195" spans="1:14" x14ac:dyDescent="0.2">
      <c r="A195" s="1062" t="str">
        <f t="shared" si="14"/>
        <v/>
      </c>
      <c r="E195" s="1063"/>
      <c r="H195" s="1066">
        <f t="shared" ref="H195:H257" si="15">IFERROR(VLOOKUP(B195,$L$3:$M$28,2,0),0)</f>
        <v>0</v>
      </c>
      <c r="I195" s="1068">
        <f t="shared" si="12"/>
        <v>0</v>
      </c>
      <c r="J195" s="1063"/>
      <c r="K195" s="1063"/>
      <c r="L195" s="1063"/>
      <c r="N195" s="1069">
        <f t="shared" si="13"/>
        <v>0</v>
      </c>
    </row>
    <row r="196" spans="1:14" x14ac:dyDescent="0.2">
      <c r="A196" s="1062" t="str">
        <f t="shared" si="14"/>
        <v/>
      </c>
      <c r="E196" s="1063"/>
      <c r="H196" s="1066">
        <f t="shared" si="15"/>
        <v>0</v>
      </c>
      <c r="I196" s="1068">
        <f t="shared" ref="I196:I257" si="16">IF(H196="CORN",$E:$E,0)</f>
        <v>0</v>
      </c>
      <c r="J196" s="1063"/>
      <c r="K196" s="1063"/>
      <c r="L196" s="1063"/>
      <c r="N196" s="1069">
        <f t="shared" si="13"/>
        <v>0</v>
      </c>
    </row>
    <row r="197" spans="1:14" x14ac:dyDescent="0.2">
      <c r="A197" s="1062" t="str">
        <f t="shared" si="14"/>
        <v/>
      </c>
      <c r="E197" s="1063"/>
      <c r="H197" s="1066">
        <f t="shared" si="15"/>
        <v>0</v>
      </c>
      <c r="I197" s="1068">
        <f t="shared" si="16"/>
        <v>0</v>
      </c>
      <c r="J197" s="1063"/>
      <c r="K197" s="1063"/>
      <c r="L197" s="1063"/>
      <c r="N197" s="1069">
        <f t="shared" si="13"/>
        <v>0</v>
      </c>
    </row>
    <row r="198" spans="1:14" x14ac:dyDescent="0.2">
      <c r="A198" s="1062" t="str">
        <f t="shared" si="14"/>
        <v/>
      </c>
      <c r="E198" s="1063"/>
      <c r="H198" s="1066">
        <f t="shared" si="15"/>
        <v>0</v>
      </c>
      <c r="I198" s="1068">
        <f t="shared" si="16"/>
        <v>0</v>
      </c>
      <c r="J198" s="1063"/>
      <c r="K198" s="1063"/>
      <c r="L198" s="1063"/>
      <c r="N198" s="1069">
        <f t="shared" si="13"/>
        <v>0</v>
      </c>
    </row>
    <row r="199" spans="1:14" x14ac:dyDescent="0.2">
      <c r="A199" s="1062" t="str">
        <f t="shared" si="14"/>
        <v/>
      </c>
      <c r="E199" s="1063"/>
      <c r="H199" s="1066">
        <f t="shared" si="15"/>
        <v>0</v>
      </c>
      <c r="I199" s="1068">
        <f t="shared" si="16"/>
        <v>0</v>
      </c>
      <c r="J199" s="1063"/>
      <c r="K199" s="1063"/>
      <c r="L199" s="1063"/>
      <c r="N199" s="1069">
        <f t="shared" si="13"/>
        <v>0</v>
      </c>
    </row>
    <row r="200" spans="1:14" x14ac:dyDescent="0.2">
      <c r="A200" s="1062" t="str">
        <f t="shared" si="14"/>
        <v/>
      </c>
      <c r="E200" s="1063"/>
      <c r="H200" s="1066">
        <f t="shared" si="15"/>
        <v>0</v>
      </c>
      <c r="I200" s="1068">
        <f t="shared" si="16"/>
        <v>0</v>
      </c>
      <c r="J200" s="1063"/>
      <c r="K200" s="1063"/>
      <c r="L200" s="1063"/>
      <c r="N200" s="1069">
        <f t="shared" si="13"/>
        <v>0</v>
      </c>
    </row>
    <row r="201" spans="1:14" x14ac:dyDescent="0.2">
      <c r="A201" s="1062" t="str">
        <f t="shared" si="14"/>
        <v/>
      </c>
      <c r="E201" s="1063"/>
      <c r="H201" s="1066">
        <f t="shared" si="15"/>
        <v>0</v>
      </c>
      <c r="I201" s="1068">
        <f t="shared" si="16"/>
        <v>0</v>
      </c>
      <c r="J201" s="1063"/>
      <c r="K201" s="1063"/>
      <c r="L201" s="1063"/>
      <c r="N201" s="1069">
        <f t="shared" si="13"/>
        <v>0</v>
      </c>
    </row>
    <row r="202" spans="1:14" x14ac:dyDescent="0.2">
      <c r="A202" s="1062" t="str">
        <f t="shared" si="14"/>
        <v/>
      </c>
      <c r="E202" s="1063"/>
      <c r="H202" s="1066">
        <f t="shared" si="15"/>
        <v>0</v>
      </c>
      <c r="I202" s="1068">
        <f t="shared" si="16"/>
        <v>0</v>
      </c>
      <c r="J202" s="1063"/>
      <c r="K202" s="1063"/>
      <c r="L202" s="1063"/>
      <c r="N202" s="1069">
        <f t="shared" si="13"/>
        <v>0</v>
      </c>
    </row>
    <row r="203" spans="1:14" x14ac:dyDescent="0.2">
      <c r="A203" s="1062" t="str">
        <f t="shared" si="14"/>
        <v/>
      </c>
      <c r="E203" s="1063"/>
      <c r="H203" s="1066">
        <f t="shared" si="15"/>
        <v>0</v>
      </c>
      <c r="I203" s="1068">
        <f t="shared" si="16"/>
        <v>0</v>
      </c>
      <c r="J203" s="1063"/>
      <c r="K203" s="1063"/>
      <c r="L203" s="1063"/>
      <c r="N203" s="1069">
        <f t="shared" si="13"/>
        <v>0</v>
      </c>
    </row>
    <row r="204" spans="1:14" x14ac:dyDescent="0.2">
      <c r="A204" s="1062" t="str">
        <f t="shared" si="14"/>
        <v/>
      </c>
      <c r="E204" s="1063"/>
      <c r="H204" s="1066">
        <f t="shared" si="15"/>
        <v>0</v>
      </c>
      <c r="I204" s="1068">
        <f t="shared" si="16"/>
        <v>0</v>
      </c>
      <c r="J204" s="1063"/>
      <c r="K204" s="1063"/>
      <c r="L204" s="1063"/>
      <c r="N204" s="1069">
        <f t="shared" ref="N204:N244" si="17">IFERROR(VLOOKUP(B204,$L$30:$M$50,2,0),0)</f>
        <v>0</v>
      </c>
    </row>
    <row r="205" spans="1:14" x14ac:dyDescent="0.2">
      <c r="A205" s="1062" t="str">
        <f t="shared" si="14"/>
        <v/>
      </c>
      <c r="E205" s="1063"/>
      <c r="H205" s="1066">
        <f t="shared" si="15"/>
        <v>0</v>
      </c>
      <c r="I205" s="1068">
        <f t="shared" si="16"/>
        <v>0</v>
      </c>
      <c r="J205" s="1063"/>
      <c r="K205" s="1063"/>
      <c r="L205" s="1063"/>
      <c r="N205" s="1069">
        <f t="shared" si="17"/>
        <v>0</v>
      </c>
    </row>
    <row r="206" spans="1:14" x14ac:dyDescent="0.2">
      <c r="A206" s="1062" t="str">
        <f t="shared" si="14"/>
        <v/>
      </c>
      <c r="E206" s="1063"/>
      <c r="H206" s="1066">
        <f t="shared" si="15"/>
        <v>0</v>
      </c>
      <c r="I206" s="1068">
        <f t="shared" si="16"/>
        <v>0</v>
      </c>
      <c r="J206" s="1063"/>
      <c r="K206" s="1063"/>
      <c r="L206" s="1063"/>
      <c r="N206" s="1069">
        <f t="shared" si="17"/>
        <v>0</v>
      </c>
    </row>
    <row r="207" spans="1:14" x14ac:dyDescent="0.2">
      <c r="A207" s="1062" t="str">
        <f t="shared" si="14"/>
        <v/>
      </c>
      <c r="E207" s="1063"/>
      <c r="H207" s="1066">
        <f t="shared" si="15"/>
        <v>0</v>
      </c>
      <c r="I207" s="1068">
        <f t="shared" si="16"/>
        <v>0</v>
      </c>
      <c r="J207" s="1063"/>
      <c r="K207" s="1063"/>
      <c r="L207" s="1063"/>
      <c r="N207" s="1069">
        <f t="shared" si="17"/>
        <v>0</v>
      </c>
    </row>
    <row r="208" spans="1:14" x14ac:dyDescent="0.2">
      <c r="A208" s="1062" t="str">
        <f t="shared" si="14"/>
        <v/>
      </c>
      <c r="E208" s="1063"/>
      <c r="H208" s="1066">
        <f t="shared" si="15"/>
        <v>0</v>
      </c>
      <c r="I208" s="1068">
        <f t="shared" si="16"/>
        <v>0</v>
      </c>
      <c r="J208" s="1063"/>
      <c r="K208" s="1063"/>
      <c r="L208" s="1063"/>
      <c r="N208" s="1069">
        <f t="shared" si="17"/>
        <v>0</v>
      </c>
    </row>
    <row r="209" spans="1:14" x14ac:dyDescent="0.2">
      <c r="A209" s="1062" t="str">
        <f t="shared" si="14"/>
        <v/>
      </c>
      <c r="E209" s="1063"/>
      <c r="H209" s="1066">
        <f t="shared" si="15"/>
        <v>0</v>
      </c>
      <c r="I209" s="1068">
        <f t="shared" si="16"/>
        <v>0</v>
      </c>
      <c r="J209" s="1063"/>
      <c r="K209" s="1063"/>
      <c r="L209" s="1063"/>
      <c r="N209" s="1069">
        <f t="shared" si="17"/>
        <v>0</v>
      </c>
    </row>
    <row r="210" spans="1:14" x14ac:dyDescent="0.2">
      <c r="A210" s="1062" t="str">
        <f t="shared" si="14"/>
        <v/>
      </c>
      <c r="E210" s="1063"/>
      <c r="H210" s="1066">
        <f t="shared" si="15"/>
        <v>0</v>
      </c>
      <c r="I210" s="1068">
        <f t="shared" si="16"/>
        <v>0</v>
      </c>
      <c r="J210" s="1063"/>
      <c r="K210" s="1063"/>
      <c r="L210" s="1063"/>
      <c r="N210" s="1069">
        <f t="shared" si="17"/>
        <v>0</v>
      </c>
    </row>
    <row r="211" spans="1:14" x14ac:dyDescent="0.2">
      <c r="A211" s="1062" t="str">
        <f t="shared" si="14"/>
        <v/>
      </c>
      <c r="E211" s="1063"/>
      <c r="H211" s="1066">
        <f t="shared" si="15"/>
        <v>0</v>
      </c>
      <c r="I211" s="1068">
        <f t="shared" si="16"/>
        <v>0</v>
      </c>
      <c r="J211" s="1063"/>
      <c r="K211" s="1063"/>
      <c r="L211" s="1063"/>
      <c r="N211" s="1069">
        <f t="shared" si="17"/>
        <v>0</v>
      </c>
    </row>
    <row r="212" spans="1:14" x14ac:dyDescent="0.2">
      <c r="A212" s="1062" t="str">
        <f t="shared" si="14"/>
        <v/>
      </c>
      <c r="E212" s="1063"/>
      <c r="H212" s="1066">
        <f t="shared" si="15"/>
        <v>0</v>
      </c>
      <c r="I212" s="1068">
        <f t="shared" si="16"/>
        <v>0</v>
      </c>
      <c r="J212" s="1063"/>
      <c r="K212" s="1063"/>
      <c r="L212" s="1063"/>
      <c r="N212" s="1069">
        <f t="shared" si="17"/>
        <v>0</v>
      </c>
    </row>
    <row r="213" spans="1:14" x14ac:dyDescent="0.2">
      <c r="A213" s="1062" t="str">
        <f t="shared" si="14"/>
        <v/>
      </c>
      <c r="E213" s="1063"/>
      <c r="H213" s="1066">
        <f t="shared" si="15"/>
        <v>0</v>
      </c>
      <c r="I213" s="1068">
        <f t="shared" si="16"/>
        <v>0</v>
      </c>
      <c r="J213" s="1063"/>
      <c r="K213" s="1063"/>
      <c r="L213" s="1063"/>
      <c r="N213" s="1069">
        <f t="shared" si="17"/>
        <v>0</v>
      </c>
    </row>
    <row r="214" spans="1:14" x14ac:dyDescent="0.2">
      <c r="A214" s="1062" t="str">
        <f t="shared" si="14"/>
        <v/>
      </c>
      <c r="E214" s="1063"/>
      <c r="H214" s="1066">
        <f t="shared" si="15"/>
        <v>0</v>
      </c>
      <c r="I214" s="1068">
        <f t="shared" si="16"/>
        <v>0</v>
      </c>
      <c r="J214" s="1063"/>
      <c r="K214" s="1063"/>
      <c r="L214" s="1063"/>
      <c r="N214" s="1069">
        <f t="shared" si="17"/>
        <v>0</v>
      </c>
    </row>
    <row r="215" spans="1:14" x14ac:dyDescent="0.2">
      <c r="A215" s="1062" t="str">
        <f t="shared" si="14"/>
        <v/>
      </c>
      <c r="E215" s="1063"/>
      <c r="H215" s="1066">
        <f t="shared" si="15"/>
        <v>0</v>
      </c>
      <c r="I215" s="1068">
        <f t="shared" si="16"/>
        <v>0</v>
      </c>
      <c r="J215" s="1063"/>
      <c r="K215" s="1063"/>
      <c r="L215" s="1063"/>
      <c r="N215" s="1069">
        <f t="shared" si="17"/>
        <v>0</v>
      </c>
    </row>
    <row r="216" spans="1:14" x14ac:dyDescent="0.2">
      <c r="A216" s="1062" t="str">
        <f t="shared" si="14"/>
        <v/>
      </c>
      <c r="E216" s="1063"/>
      <c r="H216" s="1066">
        <f t="shared" si="15"/>
        <v>0</v>
      </c>
      <c r="I216" s="1068">
        <f t="shared" si="16"/>
        <v>0</v>
      </c>
      <c r="J216" s="1063"/>
      <c r="K216" s="1063"/>
      <c r="L216" s="1063"/>
      <c r="N216" s="1069">
        <f t="shared" si="17"/>
        <v>0</v>
      </c>
    </row>
    <row r="217" spans="1:14" x14ac:dyDescent="0.2">
      <c r="A217" s="1062" t="str">
        <f t="shared" si="14"/>
        <v/>
      </c>
      <c r="E217" s="1063"/>
      <c r="H217" s="1066">
        <f t="shared" si="15"/>
        <v>0</v>
      </c>
      <c r="I217" s="1068">
        <f t="shared" si="16"/>
        <v>0</v>
      </c>
      <c r="J217" s="1063"/>
      <c r="K217" s="1063"/>
      <c r="L217" s="1063"/>
      <c r="N217" s="1069">
        <f t="shared" si="17"/>
        <v>0</v>
      </c>
    </row>
    <row r="218" spans="1:14" x14ac:dyDescent="0.2">
      <c r="A218" s="1062" t="str">
        <f t="shared" si="14"/>
        <v/>
      </c>
      <c r="E218" s="1063"/>
      <c r="H218" s="1066">
        <f t="shared" si="15"/>
        <v>0</v>
      </c>
      <c r="I218" s="1068">
        <f t="shared" si="16"/>
        <v>0</v>
      </c>
      <c r="J218" s="1063"/>
      <c r="K218" s="1063"/>
      <c r="L218" s="1063"/>
      <c r="N218" s="1069">
        <f t="shared" si="17"/>
        <v>0</v>
      </c>
    </row>
    <row r="219" spans="1:14" x14ac:dyDescent="0.2">
      <c r="A219" s="1062" t="str">
        <f t="shared" si="14"/>
        <v/>
      </c>
      <c r="E219" s="1063"/>
      <c r="H219" s="1066">
        <f t="shared" si="15"/>
        <v>0</v>
      </c>
      <c r="I219" s="1068">
        <f t="shared" si="16"/>
        <v>0</v>
      </c>
      <c r="J219" s="1063"/>
      <c r="K219" s="1063"/>
      <c r="L219" s="1063"/>
      <c r="N219" s="1069">
        <f t="shared" si="17"/>
        <v>0</v>
      </c>
    </row>
    <row r="220" spans="1:14" x14ac:dyDescent="0.2">
      <c r="A220" s="1062" t="str">
        <f t="shared" si="14"/>
        <v/>
      </c>
      <c r="E220" s="1063"/>
      <c r="H220" s="1066">
        <f t="shared" si="15"/>
        <v>0</v>
      </c>
      <c r="I220" s="1068">
        <f t="shared" si="16"/>
        <v>0</v>
      </c>
      <c r="J220" s="1063"/>
      <c r="K220" s="1063"/>
      <c r="L220" s="1063"/>
      <c r="N220" s="1069">
        <f t="shared" si="17"/>
        <v>0</v>
      </c>
    </row>
    <row r="221" spans="1:14" x14ac:dyDescent="0.2">
      <c r="A221" s="1062" t="str">
        <f t="shared" si="14"/>
        <v/>
      </c>
      <c r="E221" s="1063"/>
      <c r="H221" s="1066">
        <f t="shared" si="15"/>
        <v>0</v>
      </c>
      <c r="I221" s="1068">
        <f t="shared" si="16"/>
        <v>0</v>
      </c>
      <c r="J221" s="1063"/>
      <c r="K221" s="1063"/>
      <c r="L221" s="1063"/>
      <c r="N221" s="1069">
        <f t="shared" si="17"/>
        <v>0</v>
      </c>
    </row>
    <row r="222" spans="1:14" x14ac:dyDescent="0.2">
      <c r="A222" s="1062" t="str">
        <f t="shared" si="14"/>
        <v/>
      </c>
      <c r="E222" s="1063"/>
      <c r="H222" s="1066">
        <f t="shared" si="15"/>
        <v>0</v>
      </c>
      <c r="I222" s="1068">
        <f t="shared" si="16"/>
        <v>0</v>
      </c>
      <c r="J222" s="1063"/>
      <c r="K222" s="1063"/>
      <c r="L222" s="1063"/>
      <c r="N222" s="1069">
        <f t="shared" si="17"/>
        <v>0</v>
      </c>
    </row>
    <row r="223" spans="1:14" x14ac:dyDescent="0.2">
      <c r="A223" s="1062" t="str">
        <f t="shared" si="14"/>
        <v/>
      </c>
      <c r="E223" s="1063"/>
      <c r="H223" s="1066">
        <f t="shared" si="15"/>
        <v>0</v>
      </c>
      <c r="I223" s="1068">
        <f t="shared" si="16"/>
        <v>0</v>
      </c>
      <c r="J223" s="1063"/>
      <c r="K223" s="1063"/>
      <c r="L223" s="1063"/>
      <c r="N223" s="1069">
        <f t="shared" si="17"/>
        <v>0</v>
      </c>
    </row>
    <row r="224" spans="1:14" x14ac:dyDescent="0.2">
      <c r="A224" s="1062" t="str">
        <f t="shared" si="14"/>
        <v/>
      </c>
      <c r="E224" s="1063"/>
      <c r="H224" s="1066">
        <f t="shared" si="15"/>
        <v>0</v>
      </c>
      <c r="I224" s="1068">
        <f t="shared" si="16"/>
        <v>0</v>
      </c>
      <c r="J224" s="1063"/>
      <c r="K224" s="1063"/>
      <c r="L224" s="1063"/>
      <c r="N224" s="1069">
        <f t="shared" si="17"/>
        <v>0</v>
      </c>
    </row>
    <row r="225" spans="1:14" x14ac:dyDescent="0.2">
      <c r="A225" s="1062" t="str">
        <f t="shared" si="14"/>
        <v/>
      </c>
      <c r="E225" s="1063"/>
      <c r="H225" s="1066">
        <f t="shared" si="15"/>
        <v>0</v>
      </c>
      <c r="I225" s="1068">
        <f t="shared" si="16"/>
        <v>0</v>
      </c>
      <c r="J225" s="1063"/>
      <c r="K225" s="1063"/>
      <c r="L225" s="1063"/>
      <c r="N225" s="1069">
        <f t="shared" si="17"/>
        <v>0</v>
      </c>
    </row>
    <row r="226" spans="1:14" x14ac:dyDescent="0.2">
      <c r="A226" s="1062" t="str">
        <f t="shared" si="14"/>
        <v/>
      </c>
      <c r="E226" s="1063"/>
      <c r="H226" s="1066">
        <f t="shared" si="15"/>
        <v>0</v>
      </c>
      <c r="I226" s="1068">
        <f t="shared" si="16"/>
        <v>0</v>
      </c>
      <c r="J226" s="1063"/>
      <c r="K226" s="1063"/>
      <c r="L226" s="1063"/>
      <c r="N226" s="1069">
        <f t="shared" si="17"/>
        <v>0</v>
      </c>
    </row>
    <row r="227" spans="1:14" x14ac:dyDescent="0.2">
      <c r="A227" s="1062" t="str">
        <f t="shared" si="14"/>
        <v/>
      </c>
      <c r="E227" s="1063"/>
      <c r="H227" s="1066">
        <f t="shared" si="15"/>
        <v>0</v>
      </c>
      <c r="I227" s="1068">
        <f t="shared" si="16"/>
        <v>0</v>
      </c>
      <c r="J227" s="1063"/>
      <c r="K227" s="1063"/>
      <c r="L227" s="1063"/>
      <c r="N227" s="1069">
        <f t="shared" si="17"/>
        <v>0</v>
      </c>
    </row>
    <row r="228" spans="1:14" x14ac:dyDescent="0.2">
      <c r="A228" s="1062" t="str">
        <f t="shared" si="14"/>
        <v/>
      </c>
      <c r="E228" s="1063"/>
      <c r="H228" s="1066">
        <f t="shared" si="15"/>
        <v>0</v>
      </c>
      <c r="I228" s="1068">
        <f t="shared" si="16"/>
        <v>0</v>
      </c>
      <c r="J228" s="1063"/>
      <c r="K228" s="1063"/>
      <c r="L228" s="1063"/>
      <c r="N228" s="1069">
        <f t="shared" si="17"/>
        <v>0</v>
      </c>
    </row>
    <row r="229" spans="1:14" x14ac:dyDescent="0.2">
      <c r="A229" s="1062" t="str">
        <f t="shared" si="14"/>
        <v/>
      </c>
      <c r="E229" s="1063"/>
      <c r="H229" s="1066">
        <f t="shared" si="15"/>
        <v>0</v>
      </c>
      <c r="I229" s="1068">
        <f t="shared" si="16"/>
        <v>0</v>
      </c>
      <c r="J229" s="1063"/>
      <c r="K229" s="1063"/>
      <c r="L229" s="1063"/>
      <c r="N229" s="1069">
        <f t="shared" si="17"/>
        <v>0</v>
      </c>
    </row>
    <row r="230" spans="1:14" x14ac:dyDescent="0.2">
      <c r="A230" s="1062" t="str">
        <f t="shared" si="14"/>
        <v/>
      </c>
      <c r="E230" s="1063"/>
      <c r="H230" s="1066">
        <f t="shared" si="15"/>
        <v>0</v>
      </c>
      <c r="I230" s="1068">
        <f t="shared" si="16"/>
        <v>0</v>
      </c>
      <c r="J230" s="1063"/>
      <c r="K230" s="1063"/>
      <c r="L230" s="1063"/>
      <c r="N230" s="1069">
        <f t="shared" si="17"/>
        <v>0</v>
      </c>
    </row>
    <row r="231" spans="1:14" x14ac:dyDescent="0.2">
      <c r="A231" s="1062" t="str">
        <f t="shared" si="14"/>
        <v/>
      </c>
      <c r="E231" s="1063"/>
      <c r="H231" s="1066">
        <f t="shared" si="15"/>
        <v>0</v>
      </c>
      <c r="I231" s="1068">
        <f t="shared" si="16"/>
        <v>0</v>
      </c>
      <c r="J231" s="1063"/>
      <c r="K231" s="1063"/>
      <c r="L231" s="1063"/>
      <c r="N231" s="1069">
        <f t="shared" si="17"/>
        <v>0</v>
      </c>
    </row>
    <row r="232" spans="1:14" x14ac:dyDescent="0.2">
      <c r="A232" s="1062" t="str">
        <f t="shared" si="14"/>
        <v/>
      </c>
      <c r="E232" s="1063"/>
      <c r="H232" s="1066">
        <f t="shared" si="15"/>
        <v>0</v>
      </c>
      <c r="I232" s="1068">
        <f t="shared" si="16"/>
        <v>0</v>
      </c>
      <c r="J232" s="1063"/>
      <c r="K232" s="1063"/>
      <c r="L232" s="1063"/>
      <c r="N232" s="1069">
        <f t="shared" si="17"/>
        <v>0</v>
      </c>
    </row>
    <row r="233" spans="1:14" x14ac:dyDescent="0.2">
      <c r="A233" s="1062" t="str">
        <f t="shared" si="14"/>
        <v/>
      </c>
      <c r="E233" s="1063"/>
      <c r="H233" s="1066">
        <f t="shared" si="15"/>
        <v>0</v>
      </c>
      <c r="I233" s="1068">
        <f t="shared" si="16"/>
        <v>0</v>
      </c>
      <c r="J233" s="1063"/>
      <c r="K233" s="1063"/>
      <c r="L233" s="1063"/>
      <c r="N233" s="1069">
        <f t="shared" si="17"/>
        <v>0</v>
      </c>
    </row>
    <row r="234" spans="1:14" x14ac:dyDescent="0.2">
      <c r="A234" s="1062" t="str">
        <f t="shared" si="14"/>
        <v/>
      </c>
      <c r="E234" s="1063"/>
      <c r="H234" s="1066">
        <f t="shared" si="15"/>
        <v>0</v>
      </c>
      <c r="I234" s="1068">
        <f t="shared" si="16"/>
        <v>0</v>
      </c>
      <c r="J234" s="1063"/>
      <c r="K234" s="1063"/>
      <c r="L234" s="1063"/>
      <c r="N234" s="1069">
        <f t="shared" si="17"/>
        <v>0</v>
      </c>
    </row>
    <row r="235" spans="1:14" x14ac:dyDescent="0.2">
      <c r="A235" s="1062" t="str">
        <f t="shared" si="14"/>
        <v/>
      </c>
      <c r="E235" s="1063"/>
      <c r="H235" s="1066">
        <f t="shared" si="15"/>
        <v>0</v>
      </c>
      <c r="I235" s="1068">
        <f t="shared" si="16"/>
        <v>0</v>
      </c>
      <c r="J235" s="1063"/>
      <c r="K235" s="1063"/>
      <c r="L235" s="1063"/>
      <c r="N235" s="1069">
        <f t="shared" si="17"/>
        <v>0</v>
      </c>
    </row>
    <row r="236" spans="1:14" x14ac:dyDescent="0.2">
      <c r="A236" s="1062" t="str">
        <f t="shared" si="14"/>
        <v/>
      </c>
      <c r="E236" s="1063"/>
      <c r="H236" s="1066">
        <f t="shared" si="15"/>
        <v>0</v>
      </c>
      <c r="I236" s="1068">
        <f t="shared" si="16"/>
        <v>0</v>
      </c>
      <c r="J236" s="1063"/>
      <c r="K236" s="1063"/>
      <c r="L236" s="1063"/>
      <c r="N236" s="1069">
        <f t="shared" si="17"/>
        <v>0</v>
      </c>
    </row>
    <row r="237" spans="1:14" x14ac:dyDescent="0.2">
      <c r="A237" s="1062" t="str">
        <f t="shared" si="14"/>
        <v/>
      </c>
      <c r="E237" s="1063"/>
      <c r="H237" s="1066">
        <f t="shared" si="15"/>
        <v>0</v>
      </c>
      <c r="I237" s="1068">
        <f t="shared" si="16"/>
        <v>0</v>
      </c>
      <c r="J237" s="1063"/>
      <c r="K237" s="1063"/>
      <c r="L237" s="1063"/>
      <c r="N237" s="1069">
        <f t="shared" si="17"/>
        <v>0</v>
      </c>
    </row>
    <row r="238" spans="1:14" x14ac:dyDescent="0.2">
      <c r="A238" s="1062" t="str">
        <f t="shared" si="14"/>
        <v/>
      </c>
      <c r="E238" s="1063"/>
      <c r="H238" s="1066">
        <f t="shared" si="15"/>
        <v>0</v>
      </c>
      <c r="I238" s="1068">
        <f t="shared" si="16"/>
        <v>0</v>
      </c>
      <c r="J238" s="1063"/>
      <c r="K238" s="1063"/>
      <c r="L238" s="1063"/>
      <c r="N238" s="1069">
        <f t="shared" si="17"/>
        <v>0</v>
      </c>
    </row>
    <row r="239" spans="1:14" x14ac:dyDescent="0.2">
      <c r="A239" s="1062" t="str">
        <f t="shared" si="14"/>
        <v/>
      </c>
      <c r="E239" s="1063"/>
      <c r="H239" s="1066">
        <f t="shared" si="15"/>
        <v>0</v>
      </c>
      <c r="I239" s="1068">
        <f t="shared" si="16"/>
        <v>0</v>
      </c>
      <c r="J239" s="1063"/>
      <c r="K239" s="1063"/>
      <c r="L239" s="1063"/>
      <c r="N239" s="1069">
        <f t="shared" si="17"/>
        <v>0</v>
      </c>
    </row>
    <row r="240" spans="1:14" x14ac:dyDescent="0.2">
      <c r="A240" s="1062" t="str">
        <f t="shared" si="14"/>
        <v/>
      </c>
      <c r="E240" s="1063"/>
      <c r="H240" s="1066">
        <f t="shared" si="15"/>
        <v>0</v>
      </c>
      <c r="I240" s="1068">
        <f t="shared" si="16"/>
        <v>0</v>
      </c>
      <c r="J240" s="1063"/>
      <c r="K240" s="1063"/>
      <c r="L240" s="1063"/>
      <c r="N240" s="1069">
        <f t="shared" si="17"/>
        <v>0</v>
      </c>
    </row>
    <row r="241" spans="1:14" x14ac:dyDescent="0.2">
      <c r="A241" s="1062" t="str">
        <f t="shared" si="14"/>
        <v/>
      </c>
      <c r="E241" s="1063"/>
      <c r="H241" s="1066">
        <f t="shared" si="15"/>
        <v>0</v>
      </c>
      <c r="I241" s="1068">
        <f t="shared" si="16"/>
        <v>0</v>
      </c>
      <c r="J241" s="1063"/>
      <c r="K241" s="1063"/>
      <c r="L241" s="1063"/>
      <c r="N241" s="1069">
        <f t="shared" si="17"/>
        <v>0</v>
      </c>
    </row>
    <row r="242" spans="1:14" x14ac:dyDescent="0.2">
      <c r="A242" s="1062" t="str">
        <f t="shared" si="14"/>
        <v/>
      </c>
      <c r="E242" s="1063"/>
      <c r="H242" s="1066">
        <f t="shared" si="15"/>
        <v>0</v>
      </c>
      <c r="I242" s="1068">
        <f t="shared" si="16"/>
        <v>0</v>
      </c>
      <c r="J242" s="1063"/>
      <c r="K242" s="1063"/>
      <c r="L242" s="1063"/>
      <c r="N242" s="1069">
        <f t="shared" si="17"/>
        <v>0</v>
      </c>
    </row>
    <row r="243" spans="1:14" x14ac:dyDescent="0.2">
      <c r="A243" s="1062" t="str">
        <f t="shared" si="14"/>
        <v/>
      </c>
      <c r="E243" s="1063"/>
      <c r="H243" s="1066">
        <f t="shared" si="15"/>
        <v>0</v>
      </c>
      <c r="I243" s="1068">
        <f t="shared" si="16"/>
        <v>0</v>
      </c>
      <c r="J243" s="1063"/>
      <c r="K243" s="1063"/>
      <c r="L243" s="1063"/>
      <c r="N243" s="1069">
        <f t="shared" si="17"/>
        <v>0</v>
      </c>
    </row>
    <row r="244" spans="1:14" x14ac:dyDescent="0.2">
      <c r="A244" s="1062" t="str">
        <f t="shared" si="14"/>
        <v/>
      </c>
      <c r="E244" s="1063"/>
      <c r="H244" s="1066">
        <f t="shared" si="15"/>
        <v>0</v>
      </c>
      <c r="I244" s="1068">
        <f t="shared" si="16"/>
        <v>0</v>
      </c>
      <c r="J244" s="1063"/>
      <c r="K244" s="1063"/>
      <c r="L244" s="1063"/>
      <c r="N244" s="1069">
        <f t="shared" si="17"/>
        <v>0</v>
      </c>
    </row>
    <row r="245" spans="1:14" x14ac:dyDescent="0.2">
      <c r="A245" s="1062" t="str">
        <f t="shared" ref="A245:A256" si="18">LEFT(B245,6)</f>
        <v/>
      </c>
      <c r="E245" s="1063"/>
      <c r="H245" s="1066">
        <f t="shared" si="15"/>
        <v>0</v>
      </c>
      <c r="I245" s="1068">
        <f t="shared" si="16"/>
        <v>0</v>
      </c>
      <c r="J245" s="1063"/>
      <c r="K245" s="1063"/>
      <c r="L245" s="1063"/>
    </row>
    <row r="246" spans="1:14" x14ac:dyDescent="0.2">
      <c r="A246" s="1062" t="str">
        <f t="shared" si="18"/>
        <v/>
      </c>
      <c r="E246" s="1063"/>
      <c r="H246" s="1066">
        <f t="shared" si="15"/>
        <v>0</v>
      </c>
      <c r="I246" s="1068">
        <f t="shared" si="16"/>
        <v>0</v>
      </c>
      <c r="J246" s="1063"/>
      <c r="K246" s="1063"/>
      <c r="L246" s="1063"/>
    </row>
    <row r="247" spans="1:14" x14ac:dyDescent="0.2">
      <c r="A247" s="1062" t="str">
        <f t="shared" si="18"/>
        <v/>
      </c>
      <c r="E247" s="1063"/>
      <c r="H247" s="1066">
        <f t="shared" si="15"/>
        <v>0</v>
      </c>
      <c r="I247" s="1068">
        <f t="shared" si="16"/>
        <v>0</v>
      </c>
      <c r="J247" s="1063"/>
      <c r="K247" s="1063"/>
      <c r="L247" s="1063"/>
    </row>
    <row r="248" spans="1:14" x14ac:dyDescent="0.2">
      <c r="A248" s="1062" t="str">
        <f t="shared" si="18"/>
        <v/>
      </c>
      <c r="E248" s="1063"/>
      <c r="H248" s="1066">
        <f t="shared" si="15"/>
        <v>0</v>
      </c>
      <c r="I248" s="1068">
        <f t="shared" si="16"/>
        <v>0</v>
      </c>
      <c r="J248" s="1063"/>
      <c r="K248" s="1063"/>
      <c r="L248" s="1063"/>
    </row>
    <row r="249" spans="1:14" x14ac:dyDescent="0.2">
      <c r="A249" s="1062" t="str">
        <f t="shared" si="18"/>
        <v/>
      </c>
      <c r="E249" s="1063"/>
      <c r="H249" s="1066">
        <f t="shared" si="15"/>
        <v>0</v>
      </c>
      <c r="I249" s="1068">
        <f t="shared" si="16"/>
        <v>0</v>
      </c>
      <c r="J249" s="1063"/>
      <c r="K249" s="1063"/>
      <c r="L249" s="1063"/>
    </row>
    <row r="250" spans="1:14" x14ac:dyDescent="0.2">
      <c r="A250" s="1062" t="str">
        <f t="shared" si="18"/>
        <v/>
      </c>
      <c r="E250" s="1063"/>
      <c r="H250" s="1066">
        <f t="shared" si="15"/>
        <v>0</v>
      </c>
      <c r="I250" s="1068">
        <f t="shared" si="16"/>
        <v>0</v>
      </c>
      <c r="J250" s="1063"/>
      <c r="K250" s="1063"/>
      <c r="L250" s="1063"/>
    </row>
    <row r="251" spans="1:14" x14ac:dyDescent="0.2">
      <c r="A251" s="1062" t="str">
        <f t="shared" si="18"/>
        <v/>
      </c>
      <c r="E251" s="1063"/>
      <c r="H251" s="1066">
        <f t="shared" si="15"/>
        <v>0</v>
      </c>
      <c r="I251" s="1068">
        <f t="shared" si="16"/>
        <v>0</v>
      </c>
      <c r="J251" s="1063"/>
      <c r="K251" s="1063"/>
      <c r="L251" s="1063"/>
    </row>
    <row r="252" spans="1:14" x14ac:dyDescent="0.2">
      <c r="A252" s="1062" t="str">
        <f t="shared" si="18"/>
        <v/>
      </c>
      <c r="E252" s="1063"/>
      <c r="H252" s="1066">
        <f t="shared" si="15"/>
        <v>0</v>
      </c>
      <c r="I252" s="1068">
        <f t="shared" si="16"/>
        <v>0</v>
      </c>
      <c r="J252" s="1063"/>
      <c r="K252" s="1063"/>
      <c r="L252" s="1063"/>
    </row>
    <row r="253" spans="1:14" x14ac:dyDescent="0.2">
      <c r="A253" s="1062" t="str">
        <f t="shared" si="18"/>
        <v/>
      </c>
      <c r="E253" s="1063"/>
      <c r="H253" s="1066">
        <f t="shared" si="15"/>
        <v>0</v>
      </c>
      <c r="I253" s="1068">
        <f t="shared" si="16"/>
        <v>0</v>
      </c>
      <c r="J253" s="1063"/>
      <c r="K253" s="1063"/>
      <c r="L253" s="1063"/>
    </row>
    <row r="254" spans="1:14" x14ac:dyDescent="0.2">
      <c r="A254" s="1062" t="str">
        <f t="shared" si="18"/>
        <v/>
      </c>
      <c r="E254" s="1063"/>
      <c r="H254" s="1066">
        <f t="shared" si="15"/>
        <v>0</v>
      </c>
      <c r="I254" s="1068">
        <f t="shared" si="16"/>
        <v>0</v>
      </c>
      <c r="J254" s="1063"/>
      <c r="K254" s="1063"/>
      <c r="L254" s="1063"/>
    </row>
    <row r="255" spans="1:14" x14ac:dyDescent="0.2">
      <c r="A255" s="1062" t="str">
        <f t="shared" si="18"/>
        <v/>
      </c>
      <c r="E255" s="1063"/>
      <c r="H255" s="1066">
        <f t="shared" si="15"/>
        <v>0</v>
      </c>
      <c r="I255" s="1068">
        <f t="shared" si="16"/>
        <v>0</v>
      </c>
      <c r="J255" s="1063"/>
      <c r="K255" s="1063"/>
      <c r="L255" s="1063"/>
    </row>
    <row r="256" spans="1:14" x14ac:dyDescent="0.2">
      <c r="A256" s="1062" t="str">
        <f t="shared" si="18"/>
        <v/>
      </c>
      <c r="E256" s="1063"/>
      <c r="H256" s="1066">
        <f t="shared" si="15"/>
        <v>0</v>
      </c>
      <c r="I256" s="1068">
        <f t="shared" si="16"/>
        <v>0</v>
      </c>
      <c r="J256" s="1063"/>
      <c r="K256" s="1063"/>
      <c r="L256" s="1063"/>
    </row>
    <row r="257" spans="1:12" x14ac:dyDescent="0.2">
      <c r="A257" s="1062" t="str">
        <f>LEFT(B257,6)</f>
        <v/>
      </c>
      <c r="E257" s="1063"/>
      <c r="H257" s="1066">
        <f t="shared" si="15"/>
        <v>0</v>
      </c>
      <c r="I257" s="1068">
        <f t="shared" si="16"/>
        <v>0</v>
      </c>
      <c r="J257" s="1063"/>
      <c r="K257" s="1063"/>
      <c r="L257" s="1063"/>
    </row>
    <row r="258" spans="1:12" x14ac:dyDescent="0.2">
      <c r="E258" s="1063"/>
      <c r="H258" s="1066"/>
      <c r="I258" s="1063"/>
      <c r="J258" s="1063"/>
      <c r="K258" s="1063"/>
      <c r="L258" s="1063"/>
    </row>
    <row r="259" spans="1:12" x14ac:dyDescent="0.2">
      <c r="E259" s="1063"/>
      <c r="H259" s="1066"/>
      <c r="I259" s="1063"/>
      <c r="J259" s="1063"/>
      <c r="K259" s="1063"/>
      <c r="L259" s="1063"/>
    </row>
    <row r="260" spans="1:12" x14ac:dyDescent="0.2">
      <c r="E260" s="1063"/>
      <c r="H260" s="1066"/>
      <c r="I260" s="1063"/>
      <c r="J260" s="1063"/>
      <c r="K260" s="1063"/>
      <c r="L260" s="1063"/>
    </row>
    <row r="261" spans="1:12" x14ac:dyDescent="0.2">
      <c r="E261" s="1063"/>
      <c r="H261" s="1066"/>
      <c r="I261" s="1063"/>
      <c r="J261" s="1063"/>
      <c r="K261" s="1063"/>
      <c r="L261" s="1063"/>
    </row>
    <row r="262" spans="1:12" x14ac:dyDescent="0.2">
      <c r="E262" s="1063"/>
      <c r="H262" s="1066"/>
      <c r="I262" s="1063"/>
      <c r="J262" s="1063"/>
      <c r="K262" s="1063"/>
      <c r="L262" s="1063"/>
    </row>
    <row r="263" spans="1:12" x14ac:dyDescent="0.2">
      <c r="E263" s="1063"/>
      <c r="H263" s="1066"/>
      <c r="I263" s="1063"/>
      <c r="J263" s="1063"/>
      <c r="K263" s="1063"/>
      <c r="L263" s="1063"/>
    </row>
    <row r="264" spans="1:12" x14ac:dyDescent="0.2">
      <c r="E264" s="1063"/>
      <c r="H264" s="1066"/>
      <c r="I264" s="1063"/>
      <c r="J264" s="1063"/>
      <c r="K264" s="1063"/>
      <c r="L264" s="1063"/>
    </row>
    <row r="265" spans="1:12" x14ac:dyDescent="0.2">
      <c r="E265" s="1063"/>
      <c r="H265" s="1066"/>
      <c r="I265" s="1063"/>
      <c r="J265" s="1063"/>
      <c r="K265" s="1063"/>
      <c r="L265" s="1063"/>
    </row>
    <row r="266" spans="1:12" x14ac:dyDescent="0.2">
      <c r="E266" s="1063"/>
      <c r="H266" s="1066"/>
      <c r="I266" s="1063"/>
      <c r="J266" s="1063"/>
      <c r="K266" s="1063"/>
      <c r="L266" s="1063"/>
    </row>
    <row r="267" spans="1:12" x14ac:dyDescent="0.2">
      <c r="E267" s="1063"/>
      <c r="H267" s="1066"/>
      <c r="I267" s="1063"/>
      <c r="J267" s="1063"/>
      <c r="K267" s="1063"/>
      <c r="L267" s="1063"/>
    </row>
    <row r="268" spans="1:12" x14ac:dyDescent="0.2">
      <c r="E268" s="1063"/>
      <c r="H268" s="1066"/>
      <c r="I268" s="1063"/>
      <c r="J268" s="1063"/>
      <c r="K268" s="1063"/>
      <c r="L268" s="1063"/>
    </row>
    <row r="269" spans="1:12" x14ac:dyDescent="0.2">
      <c r="E269" s="1063"/>
      <c r="H269" s="1066"/>
      <c r="I269" s="1063"/>
      <c r="J269" s="1063"/>
      <c r="K269" s="1063"/>
      <c r="L269" s="1063"/>
    </row>
    <row r="270" spans="1:12" x14ac:dyDescent="0.2">
      <c r="E270" s="1063"/>
      <c r="H270" s="1066"/>
      <c r="I270" s="1063"/>
      <c r="J270" s="1063"/>
      <c r="K270" s="1063"/>
      <c r="L270" s="1063"/>
    </row>
    <row r="271" spans="1:12" x14ac:dyDescent="0.2">
      <c r="E271" s="1063"/>
      <c r="H271" s="1066"/>
      <c r="I271" s="1063"/>
      <c r="J271" s="1063"/>
      <c r="K271" s="1063"/>
      <c r="L271" s="1063"/>
    </row>
    <row r="272" spans="1:12" x14ac:dyDescent="0.2">
      <c r="E272" s="1063"/>
      <c r="H272" s="1066"/>
      <c r="I272" s="1063"/>
      <c r="J272" s="1063"/>
      <c r="K272" s="1063"/>
      <c r="L272" s="1063"/>
    </row>
    <row r="273" spans="5:12" x14ac:dyDescent="0.2">
      <c r="E273" s="1063"/>
      <c r="H273" s="1066"/>
      <c r="I273" s="1063"/>
      <c r="J273" s="1063"/>
      <c r="K273" s="1063"/>
      <c r="L273" s="1063"/>
    </row>
    <row r="274" spans="5:12" x14ac:dyDescent="0.2">
      <c r="E274" s="1063"/>
      <c r="H274" s="1066"/>
      <c r="I274" s="1063"/>
      <c r="J274" s="1063"/>
      <c r="K274" s="1063"/>
      <c r="L274" s="1063"/>
    </row>
    <row r="275" spans="5:12" x14ac:dyDescent="0.2">
      <c r="E275" s="1063"/>
      <c r="H275" s="1066"/>
      <c r="I275" s="1063"/>
      <c r="J275" s="1063"/>
      <c r="K275" s="1063"/>
      <c r="L275" s="1063"/>
    </row>
    <row r="276" spans="5:12" x14ac:dyDescent="0.2">
      <c r="E276" s="1063"/>
      <c r="H276" s="1066"/>
      <c r="I276" s="1063"/>
      <c r="J276" s="1063"/>
      <c r="K276" s="1063"/>
      <c r="L276" s="1063"/>
    </row>
    <row r="277" spans="5:12" x14ac:dyDescent="0.2">
      <c r="E277" s="1063"/>
      <c r="H277" s="1066"/>
      <c r="I277" s="1063"/>
      <c r="J277" s="1063"/>
      <c r="K277" s="1063"/>
      <c r="L277" s="1063"/>
    </row>
    <row r="278" spans="5:12" x14ac:dyDescent="0.2">
      <c r="E278" s="1063"/>
      <c r="H278" s="1066"/>
      <c r="I278" s="1063"/>
      <c r="J278" s="1063"/>
      <c r="K278" s="1063"/>
      <c r="L278" s="1063"/>
    </row>
    <row r="279" spans="5:12" x14ac:dyDescent="0.2">
      <c r="E279" s="1063"/>
      <c r="H279" s="1066"/>
      <c r="I279" s="1063"/>
      <c r="J279" s="1063"/>
      <c r="K279" s="1063"/>
      <c r="L279" s="1063"/>
    </row>
    <row r="280" spans="5:12" x14ac:dyDescent="0.2">
      <c r="E280" s="1063"/>
      <c r="H280" s="1066"/>
      <c r="I280" s="1063"/>
      <c r="J280" s="1063"/>
      <c r="K280" s="1063"/>
      <c r="L280" s="1063"/>
    </row>
    <row r="281" spans="5:12" x14ac:dyDescent="0.2">
      <c r="E281" s="1063"/>
      <c r="H281" s="1066"/>
      <c r="I281" s="1063"/>
      <c r="J281" s="1063"/>
      <c r="K281" s="1063"/>
      <c r="L281" s="1063"/>
    </row>
    <row r="282" spans="5:12" x14ac:dyDescent="0.2">
      <c r="E282" s="1063"/>
      <c r="H282" s="1066"/>
      <c r="I282" s="1063"/>
      <c r="J282" s="1063"/>
      <c r="K282" s="1063"/>
      <c r="L282" s="1063"/>
    </row>
    <row r="283" spans="5:12" x14ac:dyDescent="0.2">
      <c r="E283" s="1063"/>
      <c r="H283" s="1066"/>
      <c r="I283" s="1063"/>
      <c r="J283" s="1063"/>
      <c r="K283" s="1063"/>
      <c r="L283" s="1063"/>
    </row>
    <row r="284" spans="5:12" x14ac:dyDescent="0.2">
      <c r="E284" s="1063"/>
      <c r="H284" s="1066"/>
      <c r="I284" s="1063"/>
      <c r="J284" s="1063"/>
      <c r="K284" s="1063"/>
      <c r="L284" s="1063"/>
    </row>
    <row r="285" spans="5:12" x14ac:dyDescent="0.2">
      <c r="E285" s="1063"/>
      <c r="H285" s="1066"/>
      <c r="I285" s="1063"/>
      <c r="J285" s="1063"/>
      <c r="K285" s="1063"/>
      <c r="L285" s="1063"/>
    </row>
    <row r="286" spans="5:12" x14ac:dyDescent="0.2">
      <c r="E286" s="1063"/>
      <c r="H286" s="1066"/>
      <c r="I286" s="1063"/>
      <c r="J286" s="1063"/>
      <c r="K286" s="1063"/>
      <c r="L286" s="1063"/>
    </row>
    <row r="287" spans="5:12" x14ac:dyDescent="0.2">
      <c r="E287" s="1063"/>
      <c r="H287" s="1066"/>
      <c r="I287" s="1063"/>
      <c r="J287" s="1063"/>
      <c r="K287" s="1063"/>
      <c r="L287" s="1063"/>
    </row>
    <row r="288" spans="5:12" x14ac:dyDescent="0.2">
      <c r="E288" s="1063"/>
      <c r="H288" s="1066"/>
      <c r="I288" s="1063"/>
      <c r="J288" s="1063"/>
      <c r="K288" s="1063"/>
      <c r="L288" s="1063"/>
    </row>
    <row r="289" spans="5:12" x14ac:dyDescent="0.2">
      <c r="E289" s="1063"/>
      <c r="H289" s="1066"/>
      <c r="I289" s="1063"/>
      <c r="J289" s="1063"/>
      <c r="K289" s="1063"/>
      <c r="L289" s="1063"/>
    </row>
    <row r="290" spans="5:12" x14ac:dyDescent="0.2">
      <c r="E290" s="1063"/>
      <c r="H290" s="1066"/>
      <c r="I290" s="1063"/>
      <c r="J290" s="1063"/>
      <c r="K290" s="1063"/>
      <c r="L290" s="1063"/>
    </row>
    <row r="291" spans="5:12" x14ac:dyDescent="0.2">
      <c r="E291" s="1063"/>
      <c r="H291" s="1066"/>
      <c r="I291" s="1063"/>
      <c r="J291" s="1063"/>
      <c r="K291" s="1063"/>
      <c r="L291" s="1063"/>
    </row>
    <row r="292" spans="5:12" x14ac:dyDescent="0.2">
      <c r="E292" s="1063"/>
      <c r="H292" s="1066"/>
      <c r="I292" s="1063"/>
      <c r="J292" s="1063"/>
      <c r="K292" s="1063"/>
      <c r="L292" s="1063"/>
    </row>
    <row r="293" spans="5:12" x14ac:dyDescent="0.2">
      <c r="E293" s="1063"/>
      <c r="H293" s="1066"/>
      <c r="I293" s="1063"/>
      <c r="J293" s="1063"/>
      <c r="K293" s="1063"/>
      <c r="L293" s="1063"/>
    </row>
    <row r="294" spans="5:12" x14ac:dyDescent="0.2">
      <c r="E294" s="1063"/>
      <c r="H294" s="1066"/>
      <c r="I294" s="1063"/>
      <c r="J294" s="1063"/>
      <c r="K294" s="1063"/>
      <c r="L294" s="1063"/>
    </row>
    <row r="295" spans="5:12" x14ac:dyDescent="0.2">
      <c r="E295" s="1063"/>
      <c r="H295" s="1066"/>
      <c r="I295" s="1063"/>
      <c r="J295" s="1063"/>
      <c r="K295" s="1063"/>
      <c r="L295" s="1063"/>
    </row>
    <row r="296" spans="5:12" x14ac:dyDescent="0.2">
      <c r="E296" s="1063"/>
      <c r="H296" s="1066"/>
      <c r="I296" s="1063"/>
      <c r="J296" s="1063"/>
      <c r="K296" s="1063"/>
      <c r="L296" s="1063"/>
    </row>
    <row r="297" spans="5:12" x14ac:dyDescent="0.2">
      <c r="E297" s="1063"/>
      <c r="H297" s="1066"/>
      <c r="I297" s="1063"/>
      <c r="J297" s="1063"/>
      <c r="K297" s="1063"/>
      <c r="L297" s="1063"/>
    </row>
    <row r="298" spans="5:12" x14ac:dyDescent="0.2">
      <c r="E298" s="1063"/>
      <c r="H298" s="1066"/>
      <c r="I298" s="1063"/>
      <c r="J298" s="1063"/>
      <c r="K298" s="1063"/>
      <c r="L298" s="1063"/>
    </row>
    <row r="299" spans="5:12" x14ac:dyDescent="0.2">
      <c r="E299" s="1063"/>
      <c r="H299" s="1066"/>
      <c r="I299" s="1063"/>
      <c r="J299" s="1063"/>
      <c r="K299" s="1063"/>
      <c r="L299" s="1063"/>
    </row>
    <row r="300" spans="5:12" x14ac:dyDescent="0.2">
      <c r="E300" s="1063"/>
      <c r="H300" s="1066"/>
      <c r="I300" s="1063"/>
      <c r="J300" s="1063"/>
      <c r="K300" s="1063"/>
      <c r="L300" s="1063"/>
    </row>
    <row r="301" spans="5:12" x14ac:dyDescent="0.2">
      <c r="E301" s="1063"/>
      <c r="H301" s="1066"/>
      <c r="I301" s="1063"/>
      <c r="J301" s="1063"/>
      <c r="K301" s="1063"/>
      <c r="L301" s="1063"/>
    </row>
    <row r="302" spans="5:12" x14ac:dyDescent="0.2">
      <c r="E302" s="1063"/>
      <c r="H302" s="1066"/>
      <c r="I302" s="1063"/>
      <c r="J302" s="1063"/>
      <c r="K302" s="1063"/>
      <c r="L302" s="1063"/>
    </row>
    <row r="303" spans="5:12" x14ac:dyDescent="0.2">
      <c r="E303" s="1063"/>
      <c r="H303" s="1066"/>
      <c r="I303" s="1063"/>
      <c r="J303" s="1063"/>
      <c r="K303" s="1063"/>
      <c r="L303" s="1063"/>
    </row>
    <row r="304" spans="5:12" x14ac:dyDescent="0.2">
      <c r="E304" s="1063"/>
      <c r="H304" s="1066"/>
      <c r="I304" s="1063"/>
      <c r="J304" s="1063"/>
      <c r="K304" s="1063"/>
      <c r="L304" s="1063"/>
    </row>
    <row r="305" spans="5:12" x14ac:dyDescent="0.2">
      <c r="E305" s="1063"/>
      <c r="H305" s="1066"/>
      <c r="I305" s="1063"/>
      <c r="J305" s="1063"/>
      <c r="K305" s="1063"/>
      <c r="L305" s="1063"/>
    </row>
    <row r="306" spans="5:12" x14ac:dyDescent="0.2">
      <c r="E306" s="1063"/>
      <c r="H306" s="1066"/>
      <c r="I306" s="1063"/>
      <c r="J306" s="1063"/>
      <c r="K306" s="1063"/>
      <c r="L306" s="1063"/>
    </row>
    <row r="307" spans="5:12" x14ac:dyDescent="0.2">
      <c r="E307" s="1063"/>
      <c r="H307" s="1066"/>
      <c r="I307" s="1063"/>
      <c r="J307" s="1063"/>
      <c r="K307" s="1063"/>
      <c r="L307" s="1063"/>
    </row>
    <row r="308" spans="5:12" x14ac:dyDescent="0.2">
      <c r="E308" s="1063"/>
      <c r="H308" s="1066"/>
      <c r="I308" s="1063"/>
      <c r="J308" s="1063"/>
      <c r="K308" s="1063"/>
      <c r="L308" s="1063"/>
    </row>
    <row r="309" spans="5:12" x14ac:dyDescent="0.2">
      <c r="E309" s="1063"/>
      <c r="H309" s="1066"/>
      <c r="I309" s="1063"/>
      <c r="J309" s="1063"/>
      <c r="K309" s="1063"/>
      <c r="L309" s="1063"/>
    </row>
    <row r="310" spans="5:12" x14ac:dyDescent="0.2">
      <c r="E310" s="1063"/>
      <c r="H310" s="1066"/>
      <c r="I310" s="1063"/>
      <c r="J310" s="1063"/>
      <c r="K310" s="1063"/>
      <c r="L310" s="1063"/>
    </row>
    <row r="311" spans="5:12" x14ac:dyDescent="0.2">
      <c r="E311" s="1063"/>
      <c r="H311" s="1066"/>
      <c r="I311" s="1063"/>
      <c r="J311" s="1063"/>
      <c r="K311" s="1063"/>
      <c r="L311" s="1063"/>
    </row>
    <row r="312" spans="5:12" x14ac:dyDescent="0.2">
      <c r="E312" s="1063"/>
      <c r="H312" s="1066"/>
      <c r="I312" s="1063"/>
      <c r="J312" s="1063"/>
      <c r="K312" s="1063"/>
      <c r="L312" s="1063"/>
    </row>
    <row r="313" spans="5:12" x14ac:dyDescent="0.2">
      <c r="E313" s="1063"/>
      <c r="H313" s="1066"/>
      <c r="I313" s="1063"/>
      <c r="J313" s="1063"/>
      <c r="K313" s="1063"/>
      <c r="L313" s="1063"/>
    </row>
    <row r="314" spans="5:12" x14ac:dyDescent="0.2">
      <c r="E314" s="1063"/>
      <c r="H314" s="1066"/>
      <c r="I314" s="1063"/>
      <c r="J314" s="1063"/>
      <c r="K314" s="1063"/>
      <c r="L314" s="1063"/>
    </row>
    <row r="315" spans="5:12" x14ac:dyDescent="0.2">
      <c r="E315" s="1063"/>
      <c r="H315" s="1066"/>
      <c r="I315" s="1063"/>
      <c r="J315" s="1063"/>
      <c r="K315" s="1063"/>
      <c r="L315" s="1063"/>
    </row>
    <row r="316" spans="5:12" x14ac:dyDescent="0.2">
      <c r="E316" s="1063"/>
      <c r="H316" s="1066"/>
      <c r="I316" s="1063"/>
      <c r="J316" s="1063"/>
      <c r="K316" s="1063"/>
      <c r="L316" s="1063"/>
    </row>
    <row r="317" spans="5:12" x14ac:dyDescent="0.2">
      <c r="E317" s="1063"/>
      <c r="H317" s="1066"/>
      <c r="I317" s="1063"/>
      <c r="J317" s="1063"/>
      <c r="K317" s="1063"/>
      <c r="L317" s="1063"/>
    </row>
    <row r="318" spans="5:12" x14ac:dyDescent="0.2">
      <c r="E318" s="1063"/>
      <c r="H318" s="1066"/>
      <c r="I318" s="1063"/>
      <c r="J318" s="1063"/>
      <c r="K318" s="1063"/>
      <c r="L318" s="1063"/>
    </row>
    <row r="319" spans="5:12" x14ac:dyDescent="0.2">
      <c r="E319" s="1063"/>
      <c r="H319" s="1066"/>
      <c r="I319" s="1063"/>
      <c r="J319" s="1063"/>
      <c r="K319" s="1063"/>
      <c r="L319" s="1063"/>
    </row>
    <row r="320" spans="5:12" x14ac:dyDescent="0.2">
      <c r="E320" s="1063"/>
      <c r="H320" s="1066"/>
      <c r="I320" s="1063"/>
      <c r="J320" s="1063"/>
      <c r="K320" s="1063"/>
      <c r="L320" s="1063"/>
    </row>
    <row r="321" spans="5:12" x14ac:dyDescent="0.2">
      <c r="E321" s="1063"/>
      <c r="H321" s="1066"/>
      <c r="I321" s="1063"/>
      <c r="J321" s="1063"/>
      <c r="K321" s="1063"/>
      <c r="L321" s="1063"/>
    </row>
    <row r="322" spans="5:12" x14ac:dyDescent="0.2">
      <c r="E322" s="1063"/>
      <c r="H322" s="1066"/>
      <c r="I322" s="1063"/>
      <c r="J322" s="1063"/>
      <c r="K322" s="1063"/>
      <c r="L322" s="1063"/>
    </row>
    <row r="323" spans="5:12" x14ac:dyDescent="0.2">
      <c r="E323" s="1063"/>
      <c r="H323" s="1066"/>
      <c r="I323" s="1063"/>
      <c r="J323" s="1063"/>
      <c r="K323" s="1063"/>
      <c r="L323" s="1063"/>
    </row>
    <row r="324" spans="5:12" x14ac:dyDescent="0.2">
      <c r="E324" s="1063"/>
      <c r="H324" s="1066"/>
      <c r="I324" s="1063"/>
      <c r="J324" s="1063"/>
      <c r="K324" s="1063"/>
      <c r="L324" s="1063"/>
    </row>
    <row r="325" spans="5:12" x14ac:dyDescent="0.2">
      <c r="E325" s="1063"/>
      <c r="H325" s="1066"/>
      <c r="I325" s="1063"/>
      <c r="J325" s="1063"/>
      <c r="K325" s="1063"/>
      <c r="L325" s="1063"/>
    </row>
    <row r="326" spans="5:12" x14ac:dyDescent="0.2">
      <c r="E326" s="1063"/>
      <c r="H326" s="1066"/>
      <c r="I326" s="1063"/>
      <c r="J326" s="1063"/>
      <c r="K326" s="1063"/>
      <c r="L326" s="1063"/>
    </row>
    <row r="327" spans="5:12" x14ac:dyDescent="0.2">
      <c r="E327" s="1063"/>
      <c r="H327" s="1066"/>
      <c r="I327" s="1063"/>
      <c r="J327" s="1063"/>
      <c r="K327" s="1063"/>
      <c r="L327" s="1063"/>
    </row>
    <row r="328" spans="5:12" x14ac:dyDescent="0.2">
      <c r="E328" s="1063"/>
      <c r="H328" s="1066"/>
      <c r="I328" s="1063"/>
      <c r="J328" s="1063"/>
      <c r="K328" s="1063"/>
      <c r="L328" s="1063"/>
    </row>
    <row r="329" spans="5:12" x14ac:dyDescent="0.2">
      <c r="E329" s="1063"/>
      <c r="H329" s="1066"/>
      <c r="I329" s="1063"/>
      <c r="J329" s="1063"/>
      <c r="K329" s="1063"/>
      <c r="L329" s="1063"/>
    </row>
    <row r="330" spans="5:12" x14ac:dyDescent="0.2">
      <c r="E330" s="1063"/>
      <c r="H330" s="1066"/>
      <c r="I330" s="1063"/>
      <c r="J330" s="1063"/>
      <c r="K330" s="1063"/>
      <c r="L330" s="1063"/>
    </row>
    <row r="331" spans="5:12" x14ac:dyDescent="0.2">
      <c r="E331" s="1063"/>
      <c r="H331" s="1066"/>
      <c r="I331" s="1063"/>
      <c r="J331" s="1063"/>
      <c r="K331" s="1063"/>
      <c r="L331" s="1063"/>
    </row>
    <row r="332" spans="5:12" x14ac:dyDescent="0.2">
      <c r="E332" s="1063"/>
      <c r="H332" s="1066"/>
      <c r="I332" s="1063"/>
      <c r="J332" s="1063"/>
      <c r="K332" s="1063"/>
      <c r="L332" s="1063"/>
    </row>
    <row r="333" spans="5:12" x14ac:dyDescent="0.2">
      <c r="E333" s="1063"/>
      <c r="H333" s="1066"/>
      <c r="I333" s="1063"/>
      <c r="J333" s="1063"/>
      <c r="K333" s="1063"/>
      <c r="L333" s="1063"/>
    </row>
    <row r="334" spans="5:12" x14ac:dyDescent="0.2">
      <c r="E334" s="1063"/>
      <c r="H334" s="1066"/>
      <c r="I334" s="1063"/>
      <c r="J334" s="1063"/>
      <c r="K334" s="1063"/>
      <c r="L334" s="1063"/>
    </row>
    <row r="335" spans="5:12" x14ac:dyDescent="0.2">
      <c r="E335" s="1063"/>
      <c r="H335" s="1066"/>
      <c r="I335" s="1063"/>
      <c r="J335" s="1063"/>
      <c r="K335" s="1063"/>
      <c r="L335" s="1063"/>
    </row>
    <row r="336" spans="5:12" x14ac:dyDescent="0.2">
      <c r="E336" s="1063"/>
      <c r="H336" s="1066"/>
      <c r="I336" s="1063"/>
      <c r="J336" s="1063"/>
      <c r="K336" s="1063"/>
      <c r="L336" s="1063"/>
    </row>
    <row r="337" spans="5:12" x14ac:dyDescent="0.2">
      <c r="E337" s="1063"/>
      <c r="H337" s="1066"/>
      <c r="I337" s="1063"/>
      <c r="J337" s="1063"/>
      <c r="K337" s="1063"/>
      <c r="L337" s="1063"/>
    </row>
    <row r="338" spans="5:12" x14ac:dyDescent="0.2">
      <c r="E338" s="1063"/>
      <c r="H338" s="1066"/>
      <c r="I338" s="1063"/>
      <c r="J338" s="1063"/>
      <c r="K338" s="1063"/>
      <c r="L338" s="1063"/>
    </row>
    <row r="339" spans="5:12" x14ac:dyDescent="0.2">
      <c r="E339" s="1063"/>
      <c r="H339" s="1066"/>
      <c r="I339" s="1063"/>
      <c r="J339" s="1063"/>
      <c r="K339" s="1063"/>
      <c r="L339" s="1063"/>
    </row>
    <row r="340" spans="5:12" x14ac:dyDescent="0.2">
      <c r="E340" s="1063"/>
      <c r="H340" s="1066"/>
      <c r="I340" s="1063"/>
      <c r="J340" s="1063"/>
      <c r="K340" s="1063"/>
      <c r="L340" s="1063"/>
    </row>
    <row r="341" spans="5:12" x14ac:dyDescent="0.2">
      <c r="E341" s="1063"/>
      <c r="H341" s="1066"/>
      <c r="I341" s="1063"/>
      <c r="J341" s="1063"/>
      <c r="K341" s="1063"/>
      <c r="L341" s="1063"/>
    </row>
    <row r="342" spans="5:12" x14ac:dyDescent="0.2">
      <c r="E342" s="1063"/>
      <c r="H342" s="1066"/>
      <c r="I342" s="1063"/>
      <c r="J342" s="1063"/>
      <c r="K342" s="1063"/>
      <c r="L342" s="1063"/>
    </row>
    <row r="343" spans="5:12" x14ac:dyDescent="0.2">
      <c r="E343" s="1063"/>
      <c r="H343" s="1066"/>
      <c r="I343" s="1063"/>
      <c r="J343" s="1063"/>
      <c r="K343" s="1063"/>
      <c r="L343" s="1063"/>
    </row>
    <row r="344" spans="5:12" x14ac:dyDescent="0.2">
      <c r="E344" s="1063"/>
      <c r="H344" s="1066"/>
      <c r="I344" s="1063"/>
      <c r="J344" s="1063"/>
      <c r="K344" s="1063"/>
      <c r="L344" s="1063"/>
    </row>
    <row r="345" spans="5:12" x14ac:dyDescent="0.2">
      <c r="E345" s="1063"/>
      <c r="H345" s="1066"/>
      <c r="I345" s="1063"/>
      <c r="J345" s="1063"/>
      <c r="K345" s="1063"/>
      <c r="L345" s="1063"/>
    </row>
    <row r="346" spans="5:12" x14ac:dyDescent="0.2">
      <c r="E346" s="1063"/>
      <c r="H346" s="1066"/>
      <c r="I346" s="1063"/>
      <c r="J346" s="1063"/>
      <c r="K346" s="1063"/>
      <c r="L346" s="1063"/>
    </row>
    <row r="347" spans="5:12" x14ac:dyDescent="0.2">
      <c r="E347" s="1063"/>
      <c r="H347" s="1066"/>
      <c r="I347" s="1063"/>
      <c r="J347" s="1063"/>
      <c r="K347" s="1063"/>
      <c r="L347" s="1063"/>
    </row>
    <row r="348" spans="5:12" x14ac:dyDescent="0.2">
      <c r="E348" s="1063"/>
      <c r="H348" s="1066"/>
      <c r="I348" s="1063"/>
      <c r="J348" s="1063"/>
      <c r="K348" s="1063"/>
      <c r="L348" s="1063"/>
    </row>
    <row r="349" spans="5:12" x14ac:dyDescent="0.2">
      <c r="E349" s="1063"/>
      <c r="H349" s="1066"/>
      <c r="I349" s="1063"/>
      <c r="J349" s="1063"/>
      <c r="K349" s="1063"/>
      <c r="L349" s="1063"/>
    </row>
    <row r="350" spans="5:12" x14ac:dyDescent="0.2">
      <c r="E350" s="1063"/>
      <c r="H350" s="1066"/>
      <c r="I350" s="1063"/>
      <c r="J350" s="1063"/>
      <c r="K350" s="1063"/>
      <c r="L350" s="1063"/>
    </row>
    <row r="351" spans="5:12" x14ac:dyDescent="0.2">
      <c r="E351" s="1063"/>
      <c r="H351" s="1066"/>
      <c r="I351" s="1063"/>
      <c r="J351" s="1063"/>
      <c r="K351" s="1063"/>
      <c r="L351" s="1063"/>
    </row>
    <row r="352" spans="5:12" x14ac:dyDescent="0.2">
      <c r="E352" s="1063"/>
      <c r="H352" s="1066"/>
      <c r="I352" s="1063"/>
      <c r="J352" s="1063"/>
      <c r="K352" s="1063"/>
      <c r="L352" s="1063"/>
    </row>
    <row r="353" spans="5:12" x14ac:dyDescent="0.2">
      <c r="E353" s="1063"/>
      <c r="H353" s="1066"/>
      <c r="I353" s="1063"/>
      <c r="J353" s="1063"/>
      <c r="K353" s="1063"/>
      <c r="L353" s="1063"/>
    </row>
    <row r="354" spans="5:12" x14ac:dyDescent="0.2">
      <c r="E354" s="1063"/>
      <c r="H354" s="1066"/>
      <c r="I354" s="1063"/>
      <c r="J354" s="1063"/>
      <c r="K354" s="1063"/>
      <c r="L354" s="1063"/>
    </row>
    <row r="355" spans="5:12" x14ac:dyDescent="0.2">
      <c r="E355" s="1063"/>
      <c r="H355" s="1066"/>
      <c r="I355" s="1063"/>
      <c r="J355" s="1063"/>
      <c r="K355" s="1063"/>
      <c r="L355" s="1063"/>
    </row>
    <row r="356" spans="5:12" x14ac:dyDescent="0.2">
      <c r="E356" s="1063"/>
      <c r="H356" s="1066"/>
      <c r="I356" s="1063"/>
      <c r="J356" s="1063"/>
      <c r="K356" s="1063"/>
      <c r="L356" s="1063"/>
    </row>
    <row r="357" spans="5:12" x14ac:dyDescent="0.2">
      <c r="E357" s="1063"/>
      <c r="H357" s="1066"/>
      <c r="I357" s="1063"/>
      <c r="J357" s="1063"/>
      <c r="K357" s="1063"/>
      <c r="L357" s="1063"/>
    </row>
    <row r="358" spans="5:12" x14ac:dyDescent="0.2">
      <c r="E358" s="1063"/>
      <c r="H358" s="1066"/>
      <c r="I358" s="1063"/>
      <c r="J358" s="1063"/>
      <c r="K358" s="1063"/>
      <c r="L358" s="1063"/>
    </row>
    <row r="359" spans="5:12" x14ac:dyDescent="0.2">
      <c r="E359" s="1063"/>
      <c r="H359" s="1066"/>
      <c r="I359" s="1063"/>
      <c r="J359" s="1063"/>
      <c r="K359" s="1063"/>
      <c r="L359" s="1063"/>
    </row>
    <row r="360" spans="5:12" x14ac:dyDescent="0.2">
      <c r="E360" s="1063"/>
      <c r="H360" s="1066"/>
      <c r="I360" s="1063"/>
      <c r="J360" s="1063"/>
      <c r="K360" s="1063"/>
      <c r="L360" s="1063"/>
    </row>
    <row r="361" spans="5:12" x14ac:dyDescent="0.2">
      <c r="E361" s="1063"/>
      <c r="H361" s="1066"/>
      <c r="I361" s="1063"/>
      <c r="J361" s="1063"/>
      <c r="K361" s="1063"/>
      <c r="L361" s="1063"/>
    </row>
    <row r="362" spans="5:12" x14ac:dyDescent="0.2">
      <c r="E362" s="1063"/>
      <c r="H362" s="1066"/>
      <c r="I362" s="1063"/>
      <c r="J362" s="1063"/>
      <c r="K362" s="1063"/>
      <c r="L362" s="1063"/>
    </row>
    <row r="363" spans="5:12" x14ac:dyDescent="0.2">
      <c r="E363" s="1063"/>
      <c r="H363" s="1066"/>
      <c r="I363" s="1063"/>
      <c r="J363" s="1063"/>
      <c r="K363" s="1063"/>
      <c r="L363" s="1063"/>
    </row>
    <row r="364" spans="5:12" x14ac:dyDescent="0.2">
      <c r="E364" s="1063"/>
      <c r="H364" s="1066"/>
      <c r="I364" s="1063"/>
      <c r="J364" s="1063"/>
      <c r="K364" s="1063"/>
      <c r="L364" s="1063"/>
    </row>
    <row r="365" spans="5:12" x14ac:dyDescent="0.2">
      <c r="E365" s="1063"/>
      <c r="H365" s="1066"/>
      <c r="I365" s="1063"/>
      <c r="J365" s="1063"/>
      <c r="K365" s="1063"/>
      <c r="L365" s="1063"/>
    </row>
    <row r="366" spans="5:12" x14ac:dyDescent="0.2">
      <c r="E366" s="1063"/>
      <c r="H366" s="1066"/>
      <c r="I366" s="1063"/>
      <c r="J366" s="1063"/>
      <c r="K366" s="1063"/>
      <c r="L366" s="1063"/>
    </row>
    <row r="367" spans="5:12" x14ac:dyDescent="0.2">
      <c r="E367" s="1063"/>
      <c r="H367" s="1066"/>
      <c r="I367" s="1063"/>
      <c r="J367" s="1063"/>
      <c r="K367" s="1063"/>
      <c r="L367" s="1063"/>
    </row>
    <row r="368" spans="5:12" x14ac:dyDescent="0.2">
      <c r="E368" s="1063"/>
      <c r="H368" s="1066"/>
      <c r="I368" s="1063"/>
      <c r="J368" s="1063"/>
      <c r="K368" s="1063"/>
      <c r="L368" s="1063"/>
    </row>
    <row r="369" spans="5:12" x14ac:dyDescent="0.2">
      <c r="E369" s="1063"/>
      <c r="H369" s="1066"/>
      <c r="I369" s="1063"/>
      <c r="J369" s="1063"/>
      <c r="K369" s="1063"/>
      <c r="L369" s="1063"/>
    </row>
    <row r="370" spans="5:12" x14ac:dyDescent="0.2">
      <c r="E370" s="1063"/>
      <c r="H370" s="1066"/>
      <c r="I370" s="1063"/>
      <c r="J370" s="1063"/>
      <c r="K370" s="1063"/>
      <c r="L370" s="1063"/>
    </row>
    <row r="371" spans="5:12" x14ac:dyDescent="0.2">
      <c r="E371" s="1063"/>
      <c r="H371" s="1066"/>
      <c r="I371" s="1063"/>
      <c r="J371" s="1063"/>
      <c r="K371" s="1063"/>
      <c r="L371" s="1063"/>
    </row>
    <row r="372" spans="5:12" x14ac:dyDescent="0.2">
      <c r="E372" s="1063"/>
      <c r="H372" s="1066"/>
      <c r="I372" s="1063"/>
      <c r="J372" s="1063"/>
      <c r="K372" s="1063"/>
      <c r="L372" s="1063"/>
    </row>
    <row r="373" spans="5:12" x14ac:dyDescent="0.2">
      <c r="E373" s="1063"/>
      <c r="H373" s="1066"/>
      <c r="I373" s="1063"/>
      <c r="J373" s="1063"/>
      <c r="K373" s="1063"/>
      <c r="L373" s="1063"/>
    </row>
    <row r="374" spans="5:12" x14ac:dyDescent="0.2">
      <c r="E374" s="1063"/>
      <c r="H374" s="1066"/>
      <c r="I374" s="1063"/>
      <c r="J374" s="1063"/>
      <c r="K374" s="1063"/>
      <c r="L374" s="1063"/>
    </row>
    <row r="375" spans="5:12" x14ac:dyDescent="0.2">
      <c r="E375" s="1063"/>
      <c r="H375" s="1066"/>
      <c r="I375" s="1063"/>
      <c r="J375" s="1063"/>
      <c r="K375" s="1063"/>
      <c r="L375" s="1063"/>
    </row>
    <row r="376" spans="5:12" x14ac:dyDescent="0.2">
      <c r="E376" s="1063"/>
      <c r="H376" s="1066"/>
      <c r="I376" s="1063"/>
      <c r="J376" s="1063"/>
      <c r="K376" s="1063"/>
      <c r="L376" s="1063"/>
    </row>
    <row r="377" spans="5:12" x14ac:dyDescent="0.2">
      <c r="E377" s="1063"/>
      <c r="H377" s="1066"/>
      <c r="I377" s="1063"/>
      <c r="J377" s="1063"/>
      <c r="K377" s="1063"/>
      <c r="L377" s="1063"/>
    </row>
    <row r="378" spans="5:12" x14ac:dyDescent="0.2">
      <c r="E378" s="1063"/>
      <c r="H378" s="1066"/>
      <c r="I378" s="1063"/>
      <c r="J378" s="1063"/>
      <c r="K378" s="1063"/>
      <c r="L378" s="1063"/>
    </row>
    <row r="379" spans="5:12" x14ac:dyDescent="0.2">
      <c r="E379" s="1063"/>
      <c r="H379" s="1066"/>
      <c r="I379" s="1063"/>
      <c r="J379" s="1063"/>
      <c r="K379" s="1063"/>
      <c r="L379" s="1063"/>
    </row>
    <row r="380" spans="5:12" x14ac:dyDescent="0.2">
      <c r="E380" s="1063"/>
      <c r="H380" s="1066"/>
      <c r="I380" s="1063"/>
      <c r="J380" s="1063"/>
      <c r="K380" s="1063"/>
      <c r="L380" s="1063"/>
    </row>
    <row r="381" spans="5:12" x14ac:dyDescent="0.2">
      <c r="E381" s="1063"/>
      <c r="H381" s="1066"/>
      <c r="I381" s="1063"/>
      <c r="J381" s="1063"/>
      <c r="K381" s="1063"/>
      <c r="L381" s="1063"/>
    </row>
    <row r="382" spans="5:12" x14ac:dyDescent="0.2">
      <c r="E382" s="1063"/>
      <c r="H382" s="1066"/>
      <c r="I382" s="1063"/>
      <c r="J382" s="1063"/>
      <c r="K382" s="1063"/>
      <c r="L382" s="1063"/>
    </row>
    <row r="383" spans="5:12" x14ac:dyDescent="0.2">
      <c r="E383" s="1063"/>
      <c r="H383" s="1066"/>
      <c r="I383" s="1063"/>
      <c r="J383" s="1063"/>
      <c r="K383" s="1063"/>
      <c r="L383" s="1063"/>
    </row>
    <row r="384" spans="5:12" x14ac:dyDescent="0.2">
      <c r="E384" s="1063"/>
      <c r="H384" s="1066"/>
      <c r="I384" s="1063"/>
      <c r="J384" s="1063"/>
      <c r="K384" s="1063"/>
      <c r="L384" s="1063"/>
    </row>
    <row r="385" spans="5:12" x14ac:dyDescent="0.2">
      <c r="E385" s="1063"/>
      <c r="H385" s="1066"/>
      <c r="I385" s="1063"/>
      <c r="J385" s="1063"/>
      <c r="K385" s="1063"/>
      <c r="L385" s="1063"/>
    </row>
    <row r="386" spans="5:12" x14ac:dyDescent="0.2">
      <c r="E386" s="1063"/>
      <c r="H386" s="1066"/>
      <c r="I386" s="1063"/>
      <c r="J386" s="1063"/>
      <c r="K386" s="1063"/>
      <c r="L386" s="1063"/>
    </row>
    <row r="387" spans="5:12" x14ac:dyDescent="0.2">
      <c r="E387" s="1063"/>
      <c r="H387" s="1066"/>
      <c r="I387" s="1063"/>
      <c r="J387" s="1063"/>
      <c r="K387" s="1063"/>
      <c r="L387" s="1063"/>
    </row>
    <row r="388" spans="5:12" x14ac:dyDescent="0.2">
      <c r="E388" s="1063"/>
      <c r="H388" s="1066"/>
      <c r="I388" s="1063"/>
      <c r="J388" s="1063"/>
      <c r="K388" s="1063"/>
      <c r="L388" s="1063"/>
    </row>
    <row r="389" spans="5:12" x14ac:dyDescent="0.2">
      <c r="E389" s="1063"/>
      <c r="H389" s="1066"/>
      <c r="I389" s="1063"/>
      <c r="J389" s="1063"/>
      <c r="K389" s="1063"/>
      <c r="L389" s="1063"/>
    </row>
    <row r="390" spans="5:12" x14ac:dyDescent="0.2">
      <c r="E390" s="1063"/>
      <c r="H390" s="1066"/>
      <c r="I390" s="1063"/>
      <c r="J390" s="1063"/>
      <c r="K390" s="1063"/>
      <c r="L390" s="1063"/>
    </row>
    <row r="391" spans="5:12" x14ac:dyDescent="0.2">
      <c r="E391" s="1063"/>
      <c r="H391" s="1066"/>
      <c r="I391" s="1063"/>
      <c r="J391" s="1063"/>
      <c r="K391" s="1063"/>
      <c r="L391" s="1063"/>
    </row>
    <row r="392" spans="5:12" x14ac:dyDescent="0.2">
      <c r="E392" s="1063"/>
      <c r="H392" s="1066"/>
      <c r="I392" s="1063"/>
      <c r="J392" s="1063"/>
      <c r="K392" s="1063"/>
      <c r="L392" s="1063"/>
    </row>
    <row r="393" spans="5:12" x14ac:dyDescent="0.2">
      <c r="E393" s="1063"/>
      <c r="H393" s="1066"/>
      <c r="I393" s="1063"/>
      <c r="J393" s="1063"/>
      <c r="K393" s="1063"/>
      <c r="L393" s="1063"/>
    </row>
    <row r="394" spans="5:12" x14ac:dyDescent="0.2">
      <c r="E394" s="1063"/>
      <c r="H394" s="1066"/>
      <c r="I394" s="1063"/>
      <c r="J394" s="1063"/>
      <c r="K394" s="1063"/>
      <c r="L394" s="1063"/>
    </row>
    <row r="395" spans="5:12" x14ac:dyDescent="0.2">
      <c r="E395" s="1063"/>
      <c r="H395" s="1066"/>
      <c r="I395" s="1063"/>
      <c r="J395" s="1063"/>
      <c r="K395" s="1063"/>
      <c r="L395" s="1063"/>
    </row>
    <row r="396" spans="5:12" x14ac:dyDescent="0.2">
      <c r="E396" s="1063"/>
      <c r="H396" s="1066"/>
      <c r="I396" s="1063"/>
      <c r="J396" s="1063"/>
      <c r="K396" s="1063"/>
      <c r="L396" s="1063"/>
    </row>
    <row r="397" spans="5:12" x14ac:dyDescent="0.2">
      <c r="E397" s="1063"/>
      <c r="H397" s="1066"/>
      <c r="I397" s="1063"/>
      <c r="J397" s="1063"/>
      <c r="K397" s="1063"/>
      <c r="L397" s="1063"/>
    </row>
    <row r="398" spans="5:12" x14ac:dyDescent="0.2">
      <c r="E398" s="1063"/>
      <c r="H398" s="1066"/>
      <c r="I398" s="1063"/>
      <c r="J398" s="1063"/>
      <c r="K398" s="1063"/>
      <c r="L398" s="1063"/>
    </row>
    <row r="399" spans="5:12" x14ac:dyDescent="0.2">
      <c r="E399" s="1063"/>
      <c r="H399" s="1066"/>
      <c r="I399" s="1063"/>
      <c r="J399" s="1063"/>
      <c r="K399" s="1063"/>
      <c r="L399" s="1063"/>
    </row>
    <row r="400" spans="5:12" x14ac:dyDescent="0.2">
      <c r="E400" s="1063"/>
      <c r="H400" s="1066"/>
      <c r="I400" s="1063"/>
      <c r="J400" s="1063"/>
      <c r="K400" s="1063"/>
      <c r="L400" s="1063"/>
    </row>
    <row r="401" spans="5:12" x14ac:dyDescent="0.2">
      <c r="E401" s="1063"/>
      <c r="H401" s="1066"/>
      <c r="I401" s="1063"/>
      <c r="J401" s="1063"/>
      <c r="K401" s="1063"/>
      <c r="L401" s="1063"/>
    </row>
    <row r="402" spans="5:12" x14ac:dyDescent="0.2">
      <c r="E402" s="1063"/>
      <c r="H402" s="1066"/>
      <c r="I402" s="1063"/>
      <c r="J402" s="1063"/>
      <c r="K402" s="1063"/>
      <c r="L402" s="1063"/>
    </row>
    <row r="403" spans="5:12" x14ac:dyDescent="0.2">
      <c r="E403" s="1063"/>
      <c r="H403" s="1066"/>
      <c r="I403" s="1063"/>
      <c r="J403" s="1063"/>
      <c r="K403" s="1063"/>
      <c r="L403" s="1063"/>
    </row>
    <row r="404" spans="5:12" x14ac:dyDescent="0.2">
      <c r="E404" s="1063"/>
      <c r="H404" s="1066"/>
      <c r="I404" s="1063"/>
      <c r="J404" s="1063"/>
      <c r="K404" s="1063"/>
      <c r="L404" s="1063"/>
    </row>
    <row r="405" spans="5:12" x14ac:dyDescent="0.2">
      <c r="E405" s="1063"/>
      <c r="H405" s="1066"/>
      <c r="I405" s="1063"/>
      <c r="J405" s="1063"/>
      <c r="K405" s="1063"/>
      <c r="L405" s="1063"/>
    </row>
    <row r="406" spans="5:12" x14ac:dyDescent="0.2">
      <c r="E406" s="1063"/>
      <c r="H406" s="1066"/>
      <c r="I406" s="1063"/>
      <c r="J406" s="1063"/>
      <c r="K406" s="1063"/>
      <c r="L406" s="1063"/>
    </row>
    <row r="407" spans="5:12" x14ac:dyDescent="0.2">
      <c r="E407" s="1063"/>
      <c r="H407" s="1066"/>
      <c r="I407" s="1063"/>
      <c r="J407" s="1063"/>
      <c r="K407" s="1063"/>
      <c r="L407" s="1063"/>
    </row>
    <row r="408" spans="5:12" x14ac:dyDescent="0.2">
      <c r="E408" s="1063"/>
      <c r="H408" s="1066"/>
      <c r="I408" s="1063"/>
      <c r="J408" s="1063"/>
      <c r="K408" s="1063"/>
      <c r="L408" s="1063"/>
    </row>
    <row r="409" spans="5:12" x14ac:dyDescent="0.2">
      <c r="E409" s="1063"/>
      <c r="H409" s="1066"/>
      <c r="I409" s="1063"/>
      <c r="J409" s="1063"/>
      <c r="K409" s="1063"/>
      <c r="L409" s="1063"/>
    </row>
    <row r="410" spans="5:12" x14ac:dyDescent="0.2">
      <c r="E410" s="1063"/>
      <c r="H410" s="1066"/>
      <c r="I410" s="1063"/>
      <c r="J410" s="1063"/>
      <c r="K410" s="1063"/>
      <c r="L410" s="1063"/>
    </row>
    <row r="411" spans="5:12" x14ac:dyDescent="0.2">
      <c r="E411" s="1063"/>
      <c r="H411" s="1066"/>
      <c r="I411" s="1063"/>
      <c r="J411" s="1063"/>
      <c r="K411" s="1063"/>
      <c r="L411" s="1063"/>
    </row>
    <row r="412" spans="5:12" x14ac:dyDescent="0.2">
      <c r="E412" s="1063"/>
      <c r="H412" s="1066"/>
      <c r="I412" s="1063"/>
      <c r="J412" s="1063"/>
      <c r="K412" s="1063"/>
      <c r="L412" s="1063"/>
    </row>
    <row r="413" spans="5:12" x14ac:dyDescent="0.2">
      <c r="E413" s="1063"/>
      <c r="H413" s="1066"/>
      <c r="I413" s="1063"/>
      <c r="J413" s="1063"/>
      <c r="K413" s="1063"/>
      <c r="L413" s="1063"/>
    </row>
    <row r="414" spans="5:12" x14ac:dyDescent="0.2">
      <c r="E414" s="1063"/>
      <c r="H414" s="1066"/>
      <c r="I414" s="1063"/>
      <c r="J414" s="1063"/>
      <c r="K414" s="1063"/>
      <c r="L414" s="1063"/>
    </row>
    <row r="415" spans="5:12" x14ac:dyDescent="0.2">
      <c r="E415" s="1063"/>
      <c r="H415" s="1066"/>
      <c r="I415" s="1063"/>
      <c r="J415" s="1063"/>
      <c r="K415" s="1063"/>
      <c r="L415" s="1063"/>
    </row>
    <row r="416" spans="5:12" x14ac:dyDescent="0.2">
      <c r="E416" s="1063"/>
      <c r="H416" s="1066"/>
      <c r="I416" s="1063"/>
      <c r="J416" s="1063"/>
      <c r="K416" s="1063"/>
      <c r="L416" s="1063"/>
    </row>
    <row r="417" spans="5:12" x14ac:dyDescent="0.2">
      <c r="E417" s="1063"/>
      <c r="H417" s="1066"/>
      <c r="I417" s="1063"/>
      <c r="J417" s="1063"/>
      <c r="K417" s="1063"/>
      <c r="L417" s="1063"/>
    </row>
    <row r="418" spans="5:12" x14ac:dyDescent="0.2">
      <c r="E418" s="1063"/>
      <c r="H418" s="1066"/>
      <c r="I418" s="1063"/>
      <c r="J418" s="1063"/>
      <c r="K418" s="1063"/>
      <c r="L418" s="1063"/>
    </row>
    <row r="419" spans="5:12" x14ac:dyDescent="0.2">
      <c r="E419" s="1063"/>
      <c r="H419" s="1066"/>
      <c r="I419" s="1063"/>
      <c r="J419" s="1063"/>
      <c r="K419" s="1063"/>
      <c r="L419" s="1063"/>
    </row>
    <row r="420" spans="5:12" x14ac:dyDescent="0.2">
      <c r="E420" s="1063"/>
      <c r="H420" s="1066"/>
      <c r="I420" s="1063"/>
      <c r="J420" s="1063"/>
      <c r="K420" s="1063"/>
      <c r="L420" s="1063"/>
    </row>
    <row r="421" spans="5:12" x14ac:dyDescent="0.2">
      <c r="E421" s="1063"/>
      <c r="H421" s="1066"/>
      <c r="I421" s="1063"/>
      <c r="J421" s="1063"/>
      <c r="K421" s="1063"/>
      <c r="L421" s="1063"/>
    </row>
    <row r="422" spans="5:12" x14ac:dyDescent="0.2">
      <c r="E422" s="1063"/>
      <c r="H422" s="1066"/>
      <c r="I422" s="1063"/>
      <c r="J422" s="1063"/>
      <c r="K422" s="1063"/>
      <c r="L422" s="1063"/>
    </row>
    <row r="423" spans="5:12" x14ac:dyDescent="0.2">
      <c r="E423" s="1063"/>
      <c r="H423" s="1066"/>
      <c r="I423" s="1063"/>
      <c r="J423" s="1063"/>
      <c r="K423" s="1063"/>
      <c r="L423" s="1063"/>
    </row>
    <row r="424" spans="5:12" x14ac:dyDescent="0.2">
      <c r="E424" s="1063"/>
      <c r="H424" s="1066"/>
      <c r="I424" s="1063"/>
      <c r="J424" s="1063"/>
      <c r="K424" s="1063"/>
      <c r="L424" s="1063"/>
    </row>
    <row r="425" spans="5:12" x14ac:dyDescent="0.2">
      <c r="E425" s="1063"/>
      <c r="H425" s="1066"/>
      <c r="I425" s="1063"/>
      <c r="J425" s="1063"/>
      <c r="K425" s="1063"/>
      <c r="L425" s="1063"/>
    </row>
    <row r="426" spans="5:12" x14ac:dyDescent="0.2">
      <c r="E426" s="1063"/>
      <c r="H426" s="1066"/>
      <c r="I426" s="1063"/>
      <c r="J426" s="1063"/>
      <c r="K426" s="1063"/>
      <c r="L426" s="1063"/>
    </row>
    <row r="427" spans="5:12" x14ac:dyDescent="0.2">
      <c r="E427" s="1063"/>
      <c r="H427" s="1066"/>
      <c r="I427" s="1063"/>
      <c r="J427" s="1063"/>
      <c r="K427" s="1063"/>
      <c r="L427" s="1063"/>
    </row>
    <row r="428" spans="5:12" x14ac:dyDescent="0.2">
      <c r="E428" s="1063"/>
      <c r="H428" s="1066"/>
      <c r="I428" s="1063"/>
      <c r="J428" s="1063"/>
      <c r="K428" s="1063"/>
      <c r="L428" s="1063"/>
    </row>
    <row r="429" spans="5:12" x14ac:dyDescent="0.2">
      <c r="E429" s="1063"/>
      <c r="H429" s="1066"/>
      <c r="I429" s="1063"/>
      <c r="J429" s="1063"/>
      <c r="K429" s="1063"/>
      <c r="L429" s="1063"/>
    </row>
    <row r="430" spans="5:12" x14ac:dyDescent="0.2">
      <c r="E430" s="1063"/>
      <c r="H430" s="1066"/>
      <c r="I430" s="1063"/>
      <c r="J430" s="1063"/>
      <c r="K430" s="1063"/>
      <c r="L430" s="1063"/>
    </row>
    <row r="431" spans="5:12" x14ac:dyDescent="0.2">
      <c r="E431" s="1063"/>
      <c r="H431" s="1066"/>
      <c r="I431" s="1063"/>
      <c r="J431" s="1063"/>
      <c r="K431" s="1063"/>
      <c r="L431" s="1063"/>
    </row>
    <row r="432" spans="5:12" x14ac:dyDescent="0.2">
      <c r="E432" s="1063"/>
      <c r="H432" s="1066"/>
      <c r="I432" s="1063"/>
      <c r="J432" s="1063"/>
      <c r="K432" s="1063"/>
      <c r="L432" s="1063"/>
    </row>
    <row r="433" spans="5:12" x14ac:dyDescent="0.2">
      <c r="E433" s="1063"/>
      <c r="H433" s="1066"/>
      <c r="I433" s="1063"/>
      <c r="J433" s="1063"/>
      <c r="K433" s="1063"/>
      <c r="L433" s="1063"/>
    </row>
    <row r="434" spans="5:12" x14ac:dyDescent="0.2">
      <c r="E434" s="1063"/>
      <c r="H434" s="1066"/>
      <c r="I434" s="1063"/>
      <c r="J434" s="1063"/>
      <c r="K434" s="1063"/>
      <c r="L434" s="1063"/>
    </row>
    <row r="435" spans="5:12" x14ac:dyDescent="0.2">
      <c r="E435" s="1063"/>
      <c r="H435" s="1066"/>
      <c r="I435" s="1063"/>
      <c r="J435" s="1063"/>
      <c r="K435" s="1063"/>
      <c r="L435" s="1063"/>
    </row>
    <row r="436" spans="5:12" x14ac:dyDescent="0.2">
      <c r="E436" s="1063"/>
      <c r="H436" s="1066"/>
      <c r="I436" s="1063"/>
      <c r="J436" s="1063"/>
      <c r="K436" s="1063"/>
      <c r="L436" s="1063"/>
    </row>
    <row r="437" spans="5:12" x14ac:dyDescent="0.2">
      <c r="E437" s="1063"/>
      <c r="H437" s="1066"/>
      <c r="I437" s="1063"/>
      <c r="J437" s="1063"/>
      <c r="K437" s="1063"/>
      <c r="L437" s="1063"/>
    </row>
    <row r="438" spans="5:12" x14ac:dyDescent="0.2">
      <c r="E438" s="1063"/>
      <c r="H438" s="1066"/>
      <c r="I438" s="1063"/>
      <c r="J438" s="1063"/>
      <c r="K438" s="1063"/>
      <c r="L438" s="1063"/>
    </row>
    <row r="439" spans="5:12" x14ac:dyDescent="0.2">
      <c r="E439" s="1063"/>
      <c r="H439" s="1066"/>
      <c r="I439" s="1063"/>
      <c r="J439" s="1063"/>
      <c r="K439" s="1063"/>
      <c r="L439" s="1063"/>
    </row>
    <row r="440" spans="5:12" x14ac:dyDescent="0.2">
      <c r="E440" s="1063"/>
      <c r="H440" s="1066"/>
      <c r="I440" s="1063"/>
      <c r="J440" s="1063"/>
      <c r="K440" s="1063"/>
      <c r="L440" s="1063"/>
    </row>
    <row r="441" spans="5:12" x14ac:dyDescent="0.2">
      <c r="E441" s="1063"/>
      <c r="H441" s="1066"/>
      <c r="I441" s="1063"/>
      <c r="J441" s="1063"/>
      <c r="K441" s="1063"/>
      <c r="L441" s="1063"/>
    </row>
    <row r="442" spans="5:12" x14ac:dyDescent="0.2">
      <c r="E442" s="1063"/>
      <c r="H442" s="1066"/>
      <c r="I442" s="1063"/>
      <c r="J442" s="1063"/>
      <c r="K442" s="1063"/>
      <c r="L442" s="1063"/>
    </row>
    <row r="443" spans="5:12" x14ac:dyDescent="0.2">
      <c r="E443" s="1063"/>
      <c r="H443" s="1066"/>
      <c r="I443" s="1063"/>
      <c r="J443" s="1063"/>
      <c r="K443" s="1063"/>
      <c r="L443" s="1063"/>
    </row>
    <row r="444" spans="5:12" x14ac:dyDescent="0.2">
      <c r="E444" s="1063"/>
      <c r="H444" s="1066"/>
      <c r="I444" s="1063"/>
      <c r="J444" s="1063"/>
      <c r="K444" s="1063"/>
      <c r="L444" s="1063"/>
    </row>
    <row r="445" spans="5:12" x14ac:dyDescent="0.2">
      <c r="E445" s="1063"/>
      <c r="H445" s="1066"/>
      <c r="I445" s="1063"/>
      <c r="J445" s="1063"/>
      <c r="K445" s="1063"/>
      <c r="L445" s="1063"/>
    </row>
    <row r="446" spans="5:12" x14ac:dyDescent="0.2">
      <c r="E446" s="1063"/>
      <c r="H446" s="1066"/>
      <c r="I446" s="1063"/>
      <c r="J446" s="1063"/>
      <c r="K446" s="1063"/>
      <c r="L446" s="1063"/>
    </row>
    <row r="447" spans="5:12" x14ac:dyDescent="0.2">
      <c r="E447" s="1063"/>
      <c r="H447" s="1066"/>
      <c r="I447" s="1063"/>
      <c r="J447" s="1063"/>
      <c r="K447" s="1063"/>
      <c r="L447" s="1063"/>
    </row>
    <row r="448" spans="5:12" x14ac:dyDescent="0.2">
      <c r="E448" s="1063"/>
      <c r="H448" s="1066"/>
      <c r="I448" s="1063"/>
      <c r="J448" s="1063"/>
      <c r="K448" s="1063"/>
      <c r="L448" s="1063"/>
    </row>
    <row r="449" spans="5:12" x14ac:dyDescent="0.2">
      <c r="E449" s="1063"/>
      <c r="H449" s="1066"/>
      <c r="I449" s="1063"/>
      <c r="J449" s="1063"/>
      <c r="K449" s="1063"/>
      <c r="L449" s="1063"/>
    </row>
    <row r="450" spans="5:12" x14ac:dyDescent="0.2">
      <c r="E450" s="1063"/>
      <c r="H450" s="1066"/>
      <c r="I450" s="1063"/>
      <c r="J450" s="1063"/>
      <c r="K450" s="1063"/>
      <c r="L450" s="1063"/>
    </row>
    <row r="451" spans="5:12" x14ac:dyDescent="0.2">
      <c r="E451" s="1063"/>
      <c r="H451" s="1066"/>
      <c r="I451" s="1063"/>
      <c r="J451" s="1063"/>
      <c r="K451" s="1063"/>
      <c r="L451" s="1063"/>
    </row>
    <row r="452" spans="5:12" x14ac:dyDescent="0.2">
      <c r="E452" s="1063"/>
      <c r="H452" s="1066"/>
      <c r="I452" s="1063"/>
      <c r="J452" s="1063"/>
      <c r="K452" s="1063"/>
      <c r="L452" s="1063"/>
    </row>
    <row r="453" spans="5:12" x14ac:dyDescent="0.2">
      <c r="E453" s="1063"/>
      <c r="H453" s="1066"/>
      <c r="I453" s="1063"/>
      <c r="J453" s="1063"/>
      <c r="K453" s="1063"/>
      <c r="L453" s="1063"/>
    </row>
    <row r="454" spans="5:12" x14ac:dyDescent="0.2">
      <c r="E454" s="1063"/>
      <c r="H454" s="1066"/>
      <c r="I454" s="1063"/>
      <c r="J454" s="1063"/>
      <c r="K454" s="1063"/>
      <c r="L454" s="1063"/>
    </row>
    <row r="455" spans="5:12" x14ac:dyDescent="0.2">
      <c r="E455" s="1063"/>
      <c r="H455" s="1066"/>
      <c r="I455" s="1063"/>
      <c r="J455" s="1063"/>
      <c r="K455" s="1063"/>
      <c r="L455" s="1063"/>
    </row>
    <row r="456" spans="5:12" x14ac:dyDescent="0.2">
      <c r="E456" s="1063"/>
      <c r="H456" s="1066"/>
      <c r="I456" s="1063"/>
      <c r="J456" s="1063"/>
      <c r="K456" s="1063"/>
      <c r="L456" s="1063"/>
    </row>
    <row r="457" spans="5:12" x14ac:dyDescent="0.2">
      <c r="E457" s="1063"/>
      <c r="H457" s="1066"/>
      <c r="I457" s="1063"/>
      <c r="J457" s="1063"/>
      <c r="K457" s="1063"/>
      <c r="L457" s="1063"/>
    </row>
    <row r="458" spans="5:12" x14ac:dyDescent="0.2">
      <c r="E458" s="1063"/>
      <c r="H458" s="1066"/>
      <c r="I458" s="1063"/>
      <c r="J458" s="1063"/>
      <c r="K458" s="1063"/>
      <c r="L458" s="1063"/>
    </row>
    <row r="459" spans="5:12" x14ac:dyDescent="0.2">
      <c r="E459" s="1063"/>
      <c r="H459" s="1066"/>
      <c r="I459" s="1063"/>
      <c r="J459" s="1063"/>
      <c r="K459" s="1063"/>
      <c r="L459" s="1063"/>
    </row>
    <row r="460" spans="5:12" x14ac:dyDescent="0.2">
      <c r="E460" s="1063"/>
      <c r="H460" s="1066"/>
      <c r="I460" s="1063"/>
      <c r="J460" s="1063"/>
      <c r="K460" s="1063"/>
      <c r="L460" s="1063"/>
    </row>
    <row r="461" spans="5:12" x14ac:dyDescent="0.2">
      <c r="E461" s="1063"/>
      <c r="H461" s="1066"/>
      <c r="I461" s="1063"/>
      <c r="J461" s="1063"/>
      <c r="K461" s="1063"/>
      <c r="L461" s="1063"/>
    </row>
    <row r="462" spans="5:12" x14ac:dyDescent="0.2">
      <c r="E462" s="1063"/>
      <c r="H462" s="1066"/>
      <c r="I462" s="1063"/>
      <c r="J462" s="1063"/>
      <c r="K462" s="1063"/>
      <c r="L462" s="1063"/>
    </row>
    <row r="463" spans="5:12" x14ac:dyDescent="0.2">
      <c r="E463" s="1063"/>
      <c r="H463" s="1066"/>
      <c r="I463" s="1063"/>
      <c r="J463" s="1063"/>
      <c r="K463" s="1063"/>
      <c r="L463" s="1063"/>
    </row>
    <row r="464" spans="5:12" x14ac:dyDescent="0.2">
      <c r="E464" s="1063"/>
      <c r="H464" s="1066"/>
      <c r="I464" s="1063"/>
      <c r="J464" s="1063"/>
      <c r="K464" s="1063"/>
      <c r="L464" s="1063"/>
    </row>
    <row r="465" spans="5:12" x14ac:dyDescent="0.2">
      <c r="E465" s="1063"/>
      <c r="H465" s="1066"/>
      <c r="I465" s="1063"/>
      <c r="J465" s="1063"/>
      <c r="K465" s="1063"/>
      <c r="L465" s="1063"/>
    </row>
    <row r="466" spans="5:12" x14ac:dyDescent="0.2">
      <c r="E466" s="1063"/>
      <c r="H466" s="1066"/>
      <c r="I466" s="1063"/>
      <c r="J466" s="1063"/>
      <c r="K466" s="1063"/>
      <c r="L466" s="1063"/>
    </row>
    <row r="467" spans="5:12" x14ac:dyDescent="0.2">
      <c r="E467" s="1063"/>
      <c r="H467" s="1066"/>
      <c r="I467" s="1063"/>
      <c r="J467" s="1063"/>
      <c r="K467" s="1063"/>
      <c r="L467" s="1063"/>
    </row>
    <row r="468" spans="5:12" x14ac:dyDescent="0.2">
      <c r="E468" s="1063"/>
      <c r="H468" s="1066"/>
      <c r="I468" s="1063"/>
      <c r="J468" s="1063"/>
      <c r="K468" s="1063"/>
      <c r="L468" s="1063"/>
    </row>
    <row r="469" spans="5:12" x14ac:dyDescent="0.2">
      <c r="E469" s="1063"/>
      <c r="H469" s="1066"/>
      <c r="I469" s="1063"/>
      <c r="J469" s="1063"/>
      <c r="K469" s="1063"/>
      <c r="L469" s="1063"/>
    </row>
    <row r="470" spans="5:12" x14ac:dyDescent="0.2">
      <c r="E470" s="1063"/>
      <c r="H470" s="1066"/>
      <c r="I470" s="1063"/>
      <c r="J470" s="1063"/>
      <c r="K470" s="1063"/>
      <c r="L470" s="1063"/>
    </row>
    <row r="471" spans="5:12" x14ac:dyDescent="0.2">
      <c r="E471" s="1063"/>
      <c r="H471" s="1066"/>
      <c r="I471" s="1063"/>
      <c r="J471" s="1063"/>
      <c r="K471" s="1063"/>
      <c r="L471" s="1063"/>
    </row>
    <row r="472" spans="5:12" x14ac:dyDescent="0.2">
      <c r="E472" s="1063"/>
      <c r="H472" s="1066"/>
      <c r="I472" s="1063"/>
      <c r="J472" s="1063"/>
      <c r="K472" s="1063"/>
      <c r="L472" s="1063"/>
    </row>
    <row r="473" spans="5:12" x14ac:dyDescent="0.2">
      <c r="E473" s="1063"/>
      <c r="H473" s="1066"/>
      <c r="I473" s="1063"/>
      <c r="J473" s="1063"/>
      <c r="K473" s="1063"/>
      <c r="L473" s="1063"/>
    </row>
    <row r="474" spans="5:12" x14ac:dyDescent="0.2">
      <c r="E474" s="1063"/>
      <c r="H474" s="1066"/>
      <c r="I474" s="1063"/>
      <c r="J474" s="1063"/>
      <c r="K474" s="1063"/>
      <c r="L474" s="1063"/>
    </row>
    <row r="475" spans="5:12" x14ac:dyDescent="0.2">
      <c r="E475" s="1063"/>
      <c r="H475" s="1066"/>
      <c r="I475" s="1063"/>
      <c r="J475" s="1063"/>
      <c r="K475" s="1063"/>
      <c r="L475" s="1063"/>
    </row>
    <row r="476" spans="5:12" x14ac:dyDescent="0.2">
      <c r="E476" s="1063"/>
      <c r="H476" s="1066"/>
      <c r="I476" s="1063"/>
      <c r="J476" s="1063"/>
      <c r="K476" s="1063"/>
      <c r="L476" s="1063"/>
    </row>
    <row r="477" spans="5:12" x14ac:dyDescent="0.2">
      <c r="E477" s="1063"/>
      <c r="H477" s="1066"/>
      <c r="I477" s="1063"/>
      <c r="J477" s="1063"/>
      <c r="K477" s="1063"/>
      <c r="L477" s="1063"/>
    </row>
    <row r="478" spans="5:12" x14ac:dyDescent="0.2">
      <c r="E478" s="1063"/>
      <c r="H478" s="1066"/>
      <c r="I478" s="1063"/>
      <c r="J478" s="1063"/>
      <c r="K478" s="1063"/>
      <c r="L478" s="1063"/>
    </row>
    <row r="479" spans="5:12" x14ac:dyDescent="0.2">
      <c r="E479" s="1063"/>
      <c r="H479" s="1066"/>
      <c r="I479" s="1063"/>
      <c r="J479" s="1063"/>
      <c r="K479" s="1063"/>
      <c r="L479" s="1063"/>
    </row>
    <row r="480" spans="5:12" x14ac:dyDescent="0.2">
      <c r="E480" s="1063"/>
      <c r="H480" s="1066"/>
      <c r="I480" s="1063"/>
      <c r="J480" s="1063"/>
      <c r="K480" s="1063"/>
      <c r="L480" s="1063"/>
    </row>
    <row r="481" spans="5:12" x14ac:dyDescent="0.2">
      <c r="E481" s="1063"/>
      <c r="H481" s="1066"/>
      <c r="I481" s="1063"/>
      <c r="J481" s="1063"/>
      <c r="K481" s="1063"/>
      <c r="L481" s="1063"/>
    </row>
    <row r="482" spans="5:12" x14ac:dyDescent="0.2">
      <c r="E482" s="1063"/>
      <c r="H482" s="1066"/>
      <c r="I482" s="1063"/>
      <c r="J482" s="1063"/>
      <c r="K482" s="1063"/>
      <c r="L482" s="1063"/>
    </row>
    <row r="483" spans="5:12" x14ac:dyDescent="0.2">
      <c r="E483" s="1063"/>
      <c r="H483" s="1066"/>
      <c r="I483" s="1063"/>
      <c r="J483" s="1063"/>
      <c r="K483" s="1063"/>
      <c r="L483" s="1063"/>
    </row>
    <row r="484" spans="5:12" x14ac:dyDescent="0.2">
      <c r="E484" s="1063"/>
      <c r="H484" s="1066"/>
      <c r="I484" s="1063"/>
      <c r="J484" s="1063"/>
      <c r="K484" s="1063"/>
      <c r="L484" s="1063"/>
    </row>
    <row r="485" spans="5:12" x14ac:dyDescent="0.2">
      <c r="E485" s="1063"/>
      <c r="H485" s="1066"/>
      <c r="I485" s="1063"/>
      <c r="J485" s="1063"/>
      <c r="K485" s="1063"/>
      <c r="L485" s="1063"/>
    </row>
    <row r="486" spans="5:12" x14ac:dyDescent="0.2">
      <c r="E486" s="1063"/>
      <c r="H486" s="1066"/>
      <c r="I486" s="1063"/>
      <c r="J486" s="1063"/>
      <c r="K486" s="1063"/>
      <c r="L486" s="1063"/>
    </row>
    <row r="487" spans="5:12" x14ac:dyDescent="0.2">
      <c r="E487" s="1063"/>
      <c r="H487" s="1066"/>
      <c r="I487" s="1063"/>
      <c r="J487" s="1063"/>
      <c r="K487" s="1063"/>
      <c r="L487" s="1063"/>
    </row>
    <row r="488" spans="5:12" x14ac:dyDescent="0.2">
      <c r="E488" s="1063"/>
      <c r="H488" s="1066"/>
      <c r="I488" s="1063"/>
      <c r="J488" s="1063"/>
      <c r="K488" s="1063"/>
      <c r="L488" s="1063"/>
    </row>
    <row r="489" spans="5:12" x14ac:dyDescent="0.2">
      <c r="E489" s="1063"/>
      <c r="H489" s="1066"/>
      <c r="I489" s="1063"/>
      <c r="J489" s="1063"/>
      <c r="K489" s="1063"/>
      <c r="L489" s="1063"/>
    </row>
    <row r="490" spans="5:12" x14ac:dyDescent="0.2">
      <c r="E490" s="1063"/>
      <c r="H490" s="1066"/>
      <c r="I490" s="1063"/>
      <c r="J490" s="1063"/>
      <c r="K490" s="1063"/>
      <c r="L490" s="1063"/>
    </row>
    <row r="491" spans="5:12" x14ac:dyDescent="0.2">
      <c r="E491" s="1063"/>
      <c r="H491" s="1066"/>
      <c r="I491" s="1063"/>
      <c r="J491" s="1063"/>
      <c r="K491" s="1063"/>
      <c r="L491" s="1063"/>
    </row>
    <row r="492" spans="5:12" x14ac:dyDescent="0.2">
      <c r="E492" s="1063"/>
      <c r="H492" s="1066"/>
      <c r="I492" s="1063"/>
      <c r="J492" s="1063"/>
      <c r="K492" s="1063"/>
      <c r="L492" s="1063"/>
    </row>
    <row r="493" spans="5:12" x14ac:dyDescent="0.2">
      <c r="E493" s="1063"/>
      <c r="H493" s="1066"/>
      <c r="I493" s="1063"/>
      <c r="J493" s="1063"/>
      <c r="K493" s="1063"/>
      <c r="L493" s="1063"/>
    </row>
    <row r="494" spans="5:12" x14ac:dyDescent="0.2">
      <c r="E494" s="1063"/>
      <c r="H494" s="1066"/>
      <c r="I494" s="1063"/>
      <c r="J494" s="1063"/>
      <c r="K494" s="1063"/>
      <c r="L494" s="1063"/>
    </row>
    <row r="495" spans="5:12" x14ac:dyDescent="0.2">
      <c r="E495" s="1063"/>
      <c r="H495" s="1066"/>
      <c r="I495" s="1063"/>
      <c r="J495" s="1063"/>
      <c r="K495" s="1063"/>
      <c r="L495" s="1063"/>
    </row>
    <row r="496" spans="5:12" x14ac:dyDescent="0.2">
      <c r="E496" s="1063"/>
      <c r="H496" s="1066"/>
      <c r="I496" s="1063"/>
      <c r="J496" s="1063"/>
      <c r="K496" s="1063"/>
      <c r="L496" s="1063"/>
    </row>
    <row r="497" spans="5:12" x14ac:dyDescent="0.2">
      <c r="E497" s="1063"/>
      <c r="H497" s="1066"/>
      <c r="I497" s="1063"/>
      <c r="J497" s="1063"/>
      <c r="K497" s="1063"/>
      <c r="L497" s="1063"/>
    </row>
    <row r="498" spans="5:12" x14ac:dyDescent="0.2">
      <c r="E498" s="1063"/>
      <c r="H498" s="1066"/>
      <c r="I498" s="1063"/>
      <c r="J498" s="1063"/>
      <c r="K498" s="1063"/>
      <c r="L498" s="1063"/>
    </row>
    <row r="499" spans="5:12" x14ac:dyDescent="0.2">
      <c r="E499" s="1063"/>
      <c r="H499" s="1066"/>
      <c r="I499" s="1063"/>
      <c r="J499" s="1063"/>
      <c r="K499" s="1063"/>
      <c r="L499" s="1063"/>
    </row>
    <row r="500" spans="5:12" x14ac:dyDescent="0.2">
      <c r="E500" s="1063"/>
      <c r="H500" s="1066"/>
      <c r="I500" s="1063"/>
      <c r="J500" s="1063"/>
      <c r="K500" s="1063"/>
      <c r="L500" s="1063"/>
    </row>
    <row r="501" spans="5:12" x14ac:dyDescent="0.2">
      <c r="E501" s="1063"/>
      <c r="H501" s="1066"/>
      <c r="I501" s="1063"/>
      <c r="J501" s="1063"/>
      <c r="K501" s="1063"/>
      <c r="L501" s="1063"/>
    </row>
    <row r="502" spans="5:12" x14ac:dyDescent="0.2">
      <c r="E502" s="1063"/>
      <c r="H502" s="1066"/>
      <c r="I502" s="1063"/>
      <c r="J502" s="1063"/>
      <c r="K502" s="1063"/>
      <c r="L502" s="1063"/>
    </row>
    <row r="503" spans="5:12" x14ac:dyDescent="0.2">
      <c r="E503" s="1063"/>
      <c r="H503" s="1066"/>
      <c r="I503" s="1063"/>
      <c r="J503" s="1063"/>
      <c r="K503" s="1063"/>
      <c r="L503" s="1063"/>
    </row>
    <row r="504" spans="5:12" x14ac:dyDescent="0.2">
      <c r="E504" s="1063"/>
      <c r="H504" s="1066"/>
      <c r="I504" s="1063"/>
      <c r="J504" s="1063"/>
      <c r="K504" s="1063"/>
      <c r="L504" s="1063"/>
    </row>
    <row r="505" spans="5:12" x14ac:dyDescent="0.2">
      <c r="E505" s="1063"/>
      <c r="H505" s="1066"/>
      <c r="I505" s="1063"/>
      <c r="J505" s="1063"/>
      <c r="K505" s="1063"/>
      <c r="L505" s="1063"/>
    </row>
    <row r="506" spans="5:12" x14ac:dyDescent="0.2">
      <c r="E506" s="1063"/>
      <c r="H506" s="1066"/>
      <c r="I506" s="1063"/>
      <c r="J506" s="1063"/>
      <c r="K506" s="1063"/>
      <c r="L506" s="1063"/>
    </row>
    <row r="507" spans="5:12" x14ac:dyDescent="0.2">
      <c r="E507" s="1063"/>
      <c r="H507" s="1066"/>
      <c r="I507" s="1063"/>
      <c r="J507" s="1063"/>
      <c r="K507" s="1063"/>
      <c r="L507" s="1063"/>
    </row>
    <row r="508" spans="5:12" x14ac:dyDescent="0.2">
      <c r="E508" s="1063"/>
      <c r="H508" s="1066"/>
      <c r="I508" s="1063"/>
      <c r="J508" s="1063"/>
      <c r="K508" s="1063"/>
      <c r="L508" s="1063"/>
    </row>
    <row r="509" spans="5:12" x14ac:dyDescent="0.2">
      <c r="E509" s="1063"/>
      <c r="H509" s="1066"/>
      <c r="I509" s="1063"/>
      <c r="J509" s="1063"/>
      <c r="K509" s="1063"/>
      <c r="L509" s="1063"/>
    </row>
    <row r="510" spans="5:12" x14ac:dyDescent="0.2">
      <c r="E510" s="1063"/>
      <c r="H510" s="1066"/>
      <c r="I510" s="1063"/>
      <c r="J510" s="1063"/>
      <c r="K510" s="1063"/>
      <c r="L510" s="1063"/>
    </row>
    <row r="511" spans="5:12" x14ac:dyDescent="0.2">
      <c r="E511" s="1063"/>
      <c r="H511" s="1066"/>
      <c r="I511" s="1063"/>
      <c r="J511" s="1063"/>
      <c r="K511" s="1063"/>
      <c r="L511" s="1063"/>
    </row>
    <row r="512" spans="5:12" x14ac:dyDescent="0.2">
      <c r="E512" s="1063"/>
      <c r="H512" s="1066"/>
      <c r="I512" s="1063"/>
      <c r="J512" s="1063"/>
      <c r="K512" s="1063"/>
      <c r="L512" s="1063"/>
    </row>
    <row r="513" spans="5:12" x14ac:dyDescent="0.2">
      <c r="E513" s="1063"/>
      <c r="H513" s="1066"/>
      <c r="I513" s="1063"/>
      <c r="J513" s="1063"/>
      <c r="K513" s="1063"/>
      <c r="L513" s="1063"/>
    </row>
    <row r="514" spans="5:12" x14ac:dyDescent="0.2">
      <c r="E514" s="1063"/>
      <c r="H514" s="1066"/>
      <c r="I514" s="1063"/>
      <c r="J514" s="1063"/>
      <c r="K514" s="1063"/>
      <c r="L514" s="1063"/>
    </row>
    <row r="515" spans="5:12" x14ac:dyDescent="0.2">
      <c r="E515" s="1063"/>
      <c r="H515" s="1066"/>
      <c r="I515" s="1063"/>
      <c r="J515" s="1063"/>
      <c r="K515" s="1063"/>
      <c r="L515" s="1063"/>
    </row>
    <row r="516" spans="5:12" x14ac:dyDescent="0.2">
      <c r="E516" s="1063"/>
      <c r="H516" s="1066"/>
      <c r="I516" s="1063"/>
      <c r="J516" s="1063"/>
      <c r="K516" s="1063"/>
      <c r="L516" s="1063"/>
    </row>
    <row r="517" spans="5:12" x14ac:dyDescent="0.2">
      <c r="E517" s="1063"/>
      <c r="H517" s="1066"/>
      <c r="I517" s="1063"/>
      <c r="J517" s="1063"/>
      <c r="K517" s="1063"/>
      <c r="L517" s="1063"/>
    </row>
    <row r="518" spans="5:12" x14ac:dyDescent="0.2">
      <c r="E518" s="1063"/>
      <c r="H518" s="1066"/>
      <c r="I518" s="1063"/>
      <c r="J518" s="1063"/>
      <c r="K518" s="1063"/>
      <c r="L518" s="1063"/>
    </row>
    <row r="519" spans="5:12" x14ac:dyDescent="0.2">
      <c r="E519" s="1063"/>
      <c r="H519" s="1066"/>
      <c r="I519" s="1063"/>
      <c r="J519" s="1063"/>
      <c r="K519" s="1063"/>
      <c r="L519" s="1063"/>
    </row>
    <row r="520" spans="5:12" x14ac:dyDescent="0.2">
      <c r="E520" s="1063"/>
      <c r="H520" s="1066"/>
      <c r="I520" s="1063"/>
      <c r="J520" s="1063"/>
      <c r="K520" s="1063"/>
      <c r="L520" s="1063"/>
    </row>
    <row r="521" spans="5:12" x14ac:dyDescent="0.2">
      <c r="E521" s="1063"/>
      <c r="H521" s="1066"/>
      <c r="I521" s="1063"/>
      <c r="J521" s="1063"/>
      <c r="K521" s="1063"/>
      <c r="L521" s="1063"/>
    </row>
    <row r="522" spans="5:12" x14ac:dyDescent="0.2">
      <c r="E522" s="1063"/>
      <c r="H522" s="1066"/>
      <c r="I522" s="1063"/>
      <c r="J522" s="1063"/>
      <c r="K522" s="1063"/>
      <c r="L522" s="1063"/>
    </row>
    <row r="523" spans="5:12" x14ac:dyDescent="0.2">
      <c r="E523" s="1063"/>
      <c r="H523" s="1066"/>
      <c r="I523" s="1063"/>
      <c r="J523" s="1063"/>
      <c r="K523" s="1063"/>
      <c r="L523" s="1063"/>
    </row>
    <row r="524" spans="5:12" x14ac:dyDescent="0.2">
      <c r="E524" s="1063"/>
      <c r="H524" s="1066"/>
      <c r="I524" s="1063"/>
      <c r="J524" s="1063"/>
      <c r="K524" s="1063"/>
      <c r="L524" s="1063"/>
    </row>
    <row r="525" spans="5:12" x14ac:dyDescent="0.2">
      <c r="E525" s="1063"/>
      <c r="H525" s="1066"/>
      <c r="I525" s="1063"/>
      <c r="J525" s="1063"/>
      <c r="K525" s="1063"/>
      <c r="L525" s="1063"/>
    </row>
    <row r="526" spans="5:12" x14ac:dyDescent="0.2">
      <c r="E526" s="1063"/>
      <c r="H526" s="1066"/>
      <c r="I526" s="1063"/>
      <c r="J526" s="1063"/>
      <c r="K526" s="1063"/>
      <c r="L526" s="1063"/>
    </row>
    <row r="527" spans="5:12" x14ac:dyDescent="0.2">
      <c r="E527" s="1063"/>
      <c r="H527" s="1066"/>
      <c r="I527" s="1063"/>
      <c r="J527" s="1063"/>
      <c r="K527" s="1063"/>
      <c r="L527" s="1063"/>
    </row>
    <row r="528" spans="5:12" x14ac:dyDescent="0.2">
      <c r="E528" s="1063"/>
      <c r="H528" s="1066"/>
      <c r="I528" s="1063"/>
      <c r="J528" s="1063"/>
      <c r="K528" s="1063"/>
      <c r="L528" s="1063"/>
    </row>
    <row r="529" spans="5:12" x14ac:dyDescent="0.2">
      <c r="E529" s="1063"/>
      <c r="H529" s="1066"/>
      <c r="I529" s="1063"/>
      <c r="J529" s="1063"/>
      <c r="K529" s="1063"/>
      <c r="L529" s="1063"/>
    </row>
    <row r="530" spans="5:12" x14ac:dyDescent="0.2">
      <c r="E530" s="1063"/>
      <c r="H530" s="1066"/>
      <c r="I530" s="1063"/>
      <c r="J530" s="1063"/>
      <c r="K530" s="1063"/>
      <c r="L530" s="1063"/>
    </row>
    <row r="531" spans="5:12" x14ac:dyDescent="0.2">
      <c r="E531" s="1063"/>
      <c r="H531" s="1066"/>
      <c r="I531" s="1063"/>
      <c r="J531" s="1063"/>
      <c r="K531" s="1063"/>
      <c r="L531" s="1063"/>
    </row>
    <row r="532" spans="5:12" x14ac:dyDescent="0.2">
      <c r="E532" s="1063"/>
      <c r="H532" s="1066"/>
      <c r="I532" s="1063"/>
      <c r="J532" s="1063"/>
      <c r="K532" s="1063"/>
      <c r="L532" s="1063"/>
    </row>
    <row r="533" spans="5:12" x14ac:dyDescent="0.2">
      <c r="E533" s="1063"/>
      <c r="H533" s="1066"/>
      <c r="I533" s="1063"/>
      <c r="J533" s="1063"/>
      <c r="K533" s="1063"/>
      <c r="L533" s="1063"/>
    </row>
    <row r="534" spans="5:12" x14ac:dyDescent="0.2">
      <c r="E534" s="1063"/>
      <c r="H534" s="1066"/>
      <c r="I534" s="1063"/>
      <c r="J534" s="1063"/>
      <c r="K534" s="1063"/>
      <c r="L534" s="1063"/>
    </row>
    <row r="535" spans="5:12" x14ac:dyDescent="0.2">
      <c r="E535" s="1063"/>
      <c r="H535" s="1066"/>
      <c r="I535" s="1063"/>
      <c r="J535" s="1063"/>
      <c r="K535" s="1063"/>
      <c r="L535" s="1063"/>
    </row>
    <row r="536" spans="5:12" x14ac:dyDescent="0.2">
      <c r="E536" s="1063"/>
      <c r="H536" s="1066"/>
      <c r="I536" s="1063"/>
      <c r="J536" s="1063"/>
      <c r="K536" s="1063"/>
      <c r="L536" s="1063"/>
    </row>
    <row r="537" spans="5:12" x14ac:dyDescent="0.2">
      <c r="E537" s="1063"/>
      <c r="H537" s="1066"/>
      <c r="I537" s="1063"/>
      <c r="J537" s="1063"/>
      <c r="K537" s="1063"/>
      <c r="L537" s="1063"/>
    </row>
    <row r="538" spans="5:12" x14ac:dyDescent="0.2">
      <c r="E538" s="1063"/>
      <c r="H538" s="1066"/>
      <c r="I538" s="1063"/>
      <c r="J538" s="1063"/>
      <c r="K538" s="1063"/>
      <c r="L538" s="1063"/>
    </row>
    <row r="539" spans="5:12" x14ac:dyDescent="0.2">
      <c r="E539" s="1063"/>
      <c r="H539" s="1066"/>
      <c r="I539" s="1063"/>
      <c r="J539" s="1063"/>
      <c r="K539" s="1063"/>
      <c r="L539" s="1063"/>
    </row>
    <row r="540" spans="5:12" x14ac:dyDescent="0.2">
      <c r="E540" s="1063"/>
      <c r="H540" s="1066"/>
      <c r="I540" s="1063"/>
      <c r="J540" s="1063"/>
      <c r="K540" s="1063"/>
      <c r="L540" s="1063"/>
    </row>
    <row r="541" spans="5:12" x14ac:dyDescent="0.2">
      <c r="E541" s="1063"/>
      <c r="H541" s="1066"/>
      <c r="I541" s="1063"/>
      <c r="J541" s="1063"/>
      <c r="K541" s="1063"/>
      <c r="L541" s="1063"/>
    </row>
    <row r="542" spans="5:12" x14ac:dyDescent="0.2">
      <c r="E542" s="1063"/>
      <c r="H542" s="1066"/>
      <c r="I542" s="1063"/>
      <c r="J542" s="1063"/>
      <c r="K542" s="1063"/>
      <c r="L542" s="1063"/>
    </row>
    <row r="543" spans="5:12" x14ac:dyDescent="0.2">
      <c r="E543" s="1063"/>
      <c r="H543" s="1066"/>
      <c r="I543" s="1063"/>
      <c r="J543" s="1063"/>
      <c r="K543" s="1063"/>
      <c r="L543" s="1063"/>
    </row>
    <row r="544" spans="5:12" x14ac:dyDescent="0.2">
      <c r="E544" s="1063"/>
      <c r="H544" s="1066"/>
      <c r="I544" s="1063"/>
      <c r="J544" s="1063"/>
      <c r="K544" s="1063"/>
      <c r="L544" s="1063"/>
    </row>
    <row r="545" spans="5:12" x14ac:dyDescent="0.2">
      <c r="E545" s="1063"/>
      <c r="H545" s="1066"/>
      <c r="I545" s="1063"/>
      <c r="J545" s="1063"/>
      <c r="K545" s="1063"/>
      <c r="L545" s="1063"/>
    </row>
    <row r="546" spans="5:12" x14ac:dyDescent="0.2">
      <c r="E546" s="1063"/>
      <c r="H546" s="1066"/>
      <c r="I546" s="1063"/>
      <c r="J546" s="1063"/>
      <c r="K546" s="1063"/>
      <c r="L546" s="1063"/>
    </row>
    <row r="547" spans="5:12" x14ac:dyDescent="0.2">
      <c r="E547" s="1063"/>
      <c r="H547" s="1066"/>
      <c r="I547" s="1063"/>
      <c r="J547" s="1063"/>
      <c r="K547" s="1063"/>
      <c r="L547" s="1063"/>
    </row>
    <row r="548" spans="5:12" x14ac:dyDescent="0.2">
      <c r="E548" s="1063"/>
      <c r="H548" s="1066"/>
      <c r="I548" s="1063"/>
      <c r="J548" s="1063"/>
      <c r="K548" s="1063"/>
      <c r="L548" s="1063"/>
    </row>
    <row r="549" spans="5:12" x14ac:dyDescent="0.2">
      <c r="E549" s="1063"/>
      <c r="H549" s="1066"/>
      <c r="I549" s="1063"/>
      <c r="J549" s="1063"/>
      <c r="K549" s="1063"/>
      <c r="L549" s="1063"/>
    </row>
    <row r="550" spans="5:12" x14ac:dyDescent="0.2">
      <c r="E550" s="1063"/>
      <c r="H550" s="1066"/>
      <c r="I550" s="1063"/>
      <c r="J550" s="1063"/>
      <c r="K550" s="1063"/>
      <c r="L550" s="1063"/>
    </row>
    <row r="551" spans="5:12" x14ac:dyDescent="0.2">
      <c r="E551" s="1063"/>
      <c r="H551" s="1066"/>
      <c r="I551" s="1063"/>
      <c r="J551" s="1063"/>
      <c r="K551" s="1063"/>
      <c r="L551" s="1063"/>
    </row>
    <row r="552" spans="5:12" x14ac:dyDescent="0.2">
      <c r="E552" s="1063"/>
      <c r="H552" s="1066"/>
      <c r="I552" s="1063"/>
      <c r="J552" s="1063"/>
      <c r="K552" s="1063"/>
      <c r="L552" s="1063"/>
    </row>
    <row r="553" spans="5:12" x14ac:dyDescent="0.2">
      <c r="E553" s="1063"/>
      <c r="H553" s="1066"/>
      <c r="I553" s="1063"/>
      <c r="J553" s="1063"/>
      <c r="K553" s="1063"/>
      <c r="L553" s="1063"/>
    </row>
    <row r="554" spans="5:12" x14ac:dyDescent="0.2">
      <c r="E554" s="1063"/>
      <c r="H554" s="1066"/>
      <c r="I554" s="1063"/>
      <c r="J554" s="1063"/>
      <c r="K554" s="1063"/>
      <c r="L554" s="1063"/>
    </row>
    <row r="555" spans="5:12" x14ac:dyDescent="0.2">
      <c r="E555" s="1063"/>
      <c r="H555" s="1066"/>
      <c r="I555" s="1063"/>
      <c r="J555" s="1063"/>
      <c r="K555" s="1063"/>
      <c r="L555" s="1063"/>
    </row>
    <row r="556" spans="5:12" x14ac:dyDescent="0.2">
      <c r="E556" s="1063"/>
      <c r="H556" s="1066"/>
      <c r="I556" s="1063"/>
      <c r="J556" s="1063"/>
      <c r="K556" s="1063"/>
      <c r="L556" s="1063"/>
    </row>
    <row r="557" spans="5:12" x14ac:dyDescent="0.2">
      <c r="E557" s="1063"/>
      <c r="H557" s="1066"/>
      <c r="I557" s="1063"/>
      <c r="J557" s="1063"/>
      <c r="K557" s="1063"/>
      <c r="L557" s="1063"/>
    </row>
    <row r="558" spans="5:12" x14ac:dyDescent="0.2">
      <c r="E558" s="1063"/>
      <c r="H558" s="1066"/>
      <c r="I558" s="1063"/>
      <c r="J558" s="1063"/>
      <c r="K558" s="1063"/>
      <c r="L558" s="1063"/>
    </row>
    <row r="559" spans="5:12" x14ac:dyDescent="0.2">
      <c r="E559" s="1063"/>
      <c r="H559" s="1066"/>
      <c r="I559" s="1063"/>
      <c r="J559" s="1063"/>
      <c r="K559" s="1063"/>
      <c r="L559" s="1063"/>
    </row>
    <row r="560" spans="5:12" x14ac:dyDescent="0.2">
      <c r="E560" s="1063"/>
      <c r="H560" s="1066"/>
      <c r="I560" s="1063"/>
      <c r="J560" s="1063"/>
      <c r="K560" s="1063"/>
      <c r="L560" s="1063"/>
    </row>
    <row r="561" spans="5:12" x14ac:dyDescent="0.2">
      <c r="E561" s="1063"/>
      <c r="H561" s="1066"/>
      <c r="I561" s="1063"/>
      <c r="J561" s="1063"/>
      <c r="K561" s="1063"/>
      <c r="L561" s="1063"/>
    </row>
    <row r="562" spans="5:12" x14ac:dyDescent="0.2">
      <c r="E562" s="1063"/>
      <c r="H562" s="1066"/>
      <c r="I562" s="1063"/>
      <c r="J562" s="1063"/>
      <c r="K562" s="1063"/>
      <c r="L562" s="1063"/>
    </row>
    <row r="563" spans="5:12" x14ac:dyDescent="0.2">
      <c r="E563" s="1063"/>
      <c r="H563" s="1066"/>
      <c r="I563" s="1063"/>
      <c r="J563" s="1063"/>
      <c r="K563" s="1063"/>
      <c r="L563" s="1063"/>
    </row>
    <row r="564" spans="5:12" x14ac:dyDescent="0.2">
      <c r="E564" s="1063"/>
      <c r="H564" s="1066"/>
      <c r="I564" s="1063"/>
      <c r="J564" s="1063"/>
      <c r="K564" s="1063"/>
      <c r="L564" s="1063"/>
    </row>
    <row r="565" spans="5:12" x14ac:dyDescent="0.2">
      <c r="E565" s="1063"/>
      <c r="H565" s="1066"/>
      <c r="I565" s="1063"/>
      <c r="J565" s="1063"/>
      <c r="K565" s="1063"/>
      <c r="L565" s="1063"/>
    </row>
    <row r="566" spans="5:12" x14ac:dyDescent="0.2">
      <c r="E566" s="1063"/>
      <c r="H566" s="1066"/>
      <c r="I566" s="1063"/>
      <c r="J566" s="1063"/>
      <c r="K566" s="1063"/>
      <c r="L566" s="1063"/>
    </row>
    <row r="567" spans="5:12" x14ac:dyDescent="0.2">
      <c r="E567" s="1063"/>
      <c r="H567" s="1066"/>
      <c r="I567" s="1063"/>
      <c r="J567" s="1063"/>
      <c r="K567" s="1063"/>
      <c r="L567" s="1063"/>
    </row>
    <row r="568" spans="5:12" x14ac:dyDescent="0.2">
      <c r="E568" s="1063"/>
      <c r="H568" s="1066"/>
      <c r="I568" s="1063"/>
      <c r="J568" s="1063"/>
      <c r="K568" s="1063"/>
      <c r="L568" s="1063"/>
    </row>
    <row r="569" spans="5:12" x14ac:dyDescent="0.2">
      <c r="E569" s="1063"/>
      <c r="H569" s="1066"/>
      <c r="I569" s="1063"/>
      <c r="J569" s="1063"/>
      <c r="K569" s="1063"/>
      <c r="L569" s="1063"/>
    </row>
    <row r="570" spans="5:12" x14ac:dyDescent="0.2">
      <c r="E570" s="1063"/>
      <c r="H570" s="1066"/>
      <c r="I570" s="1063"/>
      <c r="J570" s="1063"/>
      <c r="K570" s="1063"/>
      <c r="L570" s="1063"/>
    </row>
    <row r="571" spans="5:12" x14ac:dyDescent="0.2">
      <c r="E571" s="1063"/>
      <c r="H571" s="1066"/>
      <c r="I571" s="1063"/>
      <c r="J571" s="1063"/>
      <c r="K571" s="1063"/>
      <c r="L571" s="1063"/>
    </row>
    <row r="572" spans="5:12" x14ac:dyDescent="0.2">
      <c r="E572" s="1063"/>
      <c r="H572" s="1066"/>
      <c r="I572" s="1063"/>
      <c r="J572" s="1063"/>
      <c r="K572" s="1063"/>
      <c r="L572" s="1063"/>
    </row>
    <row r="573" spans="5:12" x14ac:dyDescent="0.2">
      <c r="E573" s="1063"/>
      <c r="H573" s="1066"/>
      <c r="I573" s="1063"/>
      <c r="J573" s="1063"/>
      <c r="K573" s="1063"/>
      <c r="L573" s="1063"/>
    </row>
    <row r="574" spans="5:12" x14ac:dyDescent="0.2">
      <c r="E574" s="1063"/>
      <c r="H574" s="1066"/>
      <c r="I574" s="1063"/>
      <c r="J574" s="1063"/>
      <c r="K574" s="1063"/>
      <c r="L574" s="1063"/>
    </row>
    <row r="575" spans="5:12" x14ac:dyDescent="0.2">
      <c r="E575" s="1063"/>
      <c r="H575" s="1066"/>
      <c r="I575" s="1063"/>
      <c r="J575" s="1063"/>
      <c r="K575" s="1063"/>
      <c r="L575" s="1063"/>
    </row>
    <row r="576" spans="5:12" x14ac:dyDescent="0.2">
      <c r="E576" s="1063"/>
      <c r="H576" s="1066"/>
      <c r="I576" s="1063"/>
      <c r="J576" s="1063"/>
      <c r="K576" s="1063"/>
      <c r="L576" s="1063"/>
    </row>
    <row r="577" spans="5:12" x14ac:dyDescent="0.2">
      <c r="E577" s="1063"/>
      <c r="H577" s="1066"/>
      <c r="I577" s="1063"/>
      <c r="J577" s="1063"/>
      <c r="K577" s="1063"/>
      <c r="L577" s="1063"/>
    </row>
    <row r="578" spans="5:12" x14ac:dyDescent="0.2">
      <c r="E578" s="1063"/>
      <c r="H578" s="1066"/>
      <c r="I578" s="1063"/>
      <c r="J578" s="1063"/>
      <c r="K578" s="1063"/>
      <c r="L578" s="1063"/>
    </row>
    <row r="579" spans="5:12" x14ac:dyDescent="0.2">
      <c r="E579" s="1063"/>
      <c r="H579" s="1066"/>
      <c r="I579" s="1063"/>
      <c r="J579" s="1063"/>
      <c r="K579" s="1063"/>
      <c r="L579" s="1063"/>
    </row>
    <row r="580" spans="5:12" x14ac:dyDescent="0.2">
      <c r="E580" s="1063"/>
      <c r="H580" s="1066"/>
      <c r="I580" s="1063"/>
      <c r="J580" s="1063"/>
      <c r="K580" s="1063"/>
      <c r="L580" s="1063"/>
    </row>
    <row r="581" spans="5:12" x14ac:dyDescent="0.2">
      <c r="E581" s="1063"/>
      <c r="H581" s="1066"/>
      <c r="I581" s="1063"/>
      <c r="J581" s="1063"/>
      <c r="K581" s="1063"/>
      <c r="L581" s="1063"/>
    </row>
    <row r="582" spans="5:12" x14ac:dyDescent="0.2">
      <c r="E582" s="1063"/>
      <c r="H582" s="1066"/>
      <c r="I582" s="1063"/>
      <c r="J582" s="1063"/>
      <c r="K582" s="1063"/>
      <c r="L582" s="1063"/>
    </row>
    <row r="583" spans="5:12" x14ac:dyDescent="0.2">
      <c r="E583" s="1063"/>
      <c r="H583" s="1066"/>
      <c r="I583" s="1063"/>
      <c r="J583" s="1063"/>
      <c r="K583" s="1063"/>
      <c r="L583" s="1063"/>
    </row>
    <row r="584" spans="5:12" x14ac:dyDescent="0.2">
      <c r="E584" s="1063"/>
      <c r="H584" s="1066"/>
      <c r="I584" s="1063"/>
      <c r="J584" s="1063"/>
      <c r="K584" s="1063"/>
      <c r="L584" s="1063"/>
    </row>
    <row r="585" spans="5:12" x14ac:dyDescent="0.2">
      <c r="E585" s="1063"/>
      <c r="H585" s="1066"/>
      <c r="I585" s="1063"/>
      <c r="J585" s="1063"/>
      <c r="K585" s="1063"/>
      <c r="L585" s="1063"/>
    </row>
    <row r="586" spans="5:12" x14ac:dyDescent="0.2">
      <c r="E586" s="1063"/>
      <c r="H586" s="1066"/>
      <c r="I586" s="1063"/>
      <c r="J586" s="1063"/>
      <c r="K586" s="1063"/>
      <c r="L586" s="1063"/>
    </row>
    <row r="587" spans="5:12" x14ac:dyDescent="0.2">
      <c r="E587" s="1063"/>
      <c r="H587" s="1066"/>
      <c r="I587" s="1063"/>
      <c r="J587" s="1063"/>
      <c r="K587" s="1063"/>
      <c r="L587" s="1063"/>
    </row>
    <row r="588" spans="5:12" x14ac:dyDescent="0.2">
      <c r="E588" s="1063"/>
      <c r="H588" s="1066"/>
      <c r="I588" s="1063"/>
      <c r="J588" s="1063"/>
      <c r="K588" s="1063"/>
      <c r="L588" s="1063"/>
    </row>
    <row r="589" spans="5:12" x14ac:dyDescent="0.2">
      <c r="E589" s="1063"/>
      <c r="H589" s="1066"/>
      <c r="I589" s="1063"/>
      <c r="J589" s="1063"/>
      <c r="K589" s="1063"/>
      <c r="L589" s="1063"/>
    </row>
    <row r="590" spans="5:12" x14ac:dyDescent="0.2">
      <c r="E590" s="1063"/>
      <c r="H590" s="1066"/>
      <c r="I590" s="1063"/>
      <c r="J590" s="1063"/>
      <c r="K590" s="1063"/>
      <c r="L590" s="1063"/>
    </row>
    <row r="591" spans="5:12" x14ac:dyDescent="0.2">
      <c r="E591" s="1063"/>
      <c r="H591" s="1066"/>
      <c r="I591" s="1063"/>
      <c r="J591" s="1063"/>
      <c r="K591" s="1063"/>
      <c r="L591" s="1063"/>
    </row>
    <row r="592" spans="5:12" x14ac:dyDescent="0.2">
      <c r="E592" s="1063"/>
      <c r="H592" s="1066"/>
      <c r="I592" s="1063"/>
      <c r="J592" s="1063"/>
      <c r="K592" s="1063"/>
      <c r="L592" s="1063"/>
    </row>
    <row r="593" spans="5:12" x14ac:dyDescent="0.2">
      <c r="E593" s="1063"/>
      <c r="H593" s="1066"/>
      <c r="I593" s="1063"/>
      <c r="J593" s="1063"/>
      <c r="K593" s="1063"/>
      <c r="L593" s="1063"/>
    </row>
    <row r="594" spans="5:12" x14ac:dyDescent="0.2">
      <c r="E594" s="1063"/>
      <c r="H594" s="1066"/>
      <c r="I594" s="1063"/>
      <c r="J594" s="1063"/>
      <c r="K594" s="1063"/>
      <c r="L594" s="1063"/>
    </row>
    <row r="595" spans="5:12" x14ac:dyDescent="0.2">
      <c r="E595" s="1063"/>
      <c r="H595" s="1066"/>
      <c r="I595" s="1063"/>
      <c r="J595" s="1063"/>
      <c r="K595" s="1063"/>
      <c r="L595" s="1063"/>
    </row>
    <row r="596" spans="5:12" x14ac:dyDescent="0.2">
      <c r="E596" s="1063"/>
      <c r="H596" s="1066"/>
      <c r="I596" s="1063"/>
      <c r="J596" s="1063"/>
      <c r="K596" s="1063"/>
      <c r="L596" s="1063"/>
    </row>
    <row r="597" spans="5:12" x14ac:dyDescent="0.2">
      <c r="E597" s="1063"/>
      <c r="H597" s="1066"/>
      <c r="I597" s="1063"/>
      <c r="J597" s="1063"/>
      <c r="K597" s="1063"/>
      <c r="L597" s="1063"/>
    </row>
    <row r="598" spans="5:12" x14ac:dyDescent="0.2">
      <c r="E598" s="1063"/>
      <c r="H598" s="1066"/>
      <c r="I598" s="1063"/>
      <c r="J598" s="1063"/>
      <c r="K598" s="1063"/>
      <c r="L598" s="1063"/>
    </row>
    <row r="599" spans="5:12" x14ac:dyDescent="0.2">
      <c r="E599" s="1063"/>
      <c r="H599" s="1066"/>
      <c r="I599" s="1063"/>
      <c r="J599" s="1063"/>
      <c r="K599" s="1063"/>
      <c r="L599" s="1063"/>
    </row>
    <row r="600" spans="5:12" x14ac:dyDescent="0.2">
      <c r="E600" s="1063"/>
      <c r="H600" s="1066"/>
      <c r="I600" s="1063"/>
      <c r="J600" s="1063"/>
      <c r="K600" s="1063"/>
      <c r="L600" s="1063"/>
    </row>
    <row r="601" spans="5:12" x14ac:dyDescent="0.2">
      <c r="E601" s="1063"/>
      <c r="H601" s="1066"/>
      <c r="I601" s="1063"/>
      <c r="J601" s="1063"/>
      <c r="K601" s="1063"/>
      <c r="L601" s="1063"/>
    </row>
    <row r="602" spans="5:12" x14ac:dyDescent="0.2">
      <c r="E602" s="1063"/>
      <c r="H602" s="1066"/>
      <c r="I602" s="1063"/>
      <c r="J602" s="1063"/>
      <c r="K602" s="1063"/>
      <c r="L602" s="1063"/>
    </row>
    <row r="603" spans="5:12" x14ac:dyDescent="0.2">
      <c r="E603" s="1063"/>
      <c r="H603" s="1066"/>
      <c r="I603" s="1063"/>
      <c r="J603" s="1063"/>
      <c r="K603" s="1063"/>
      <c r="L603" s="1063"/>
    </row>
    <row r="604" spans="5:12" x14ac:dyDescent="0.2">
      <c r="E604" s="1063"/>
      <c r="H604" s="1066"/>
      <c r="I604" s="1063"/>
      <c r="J604" s="1063"/>
      <c r="K604" s="1063"/>
      <c r="L604" s="1063"/>
    </row>
    <row r="605" spans="5:12" x14ac:dyDescent="0.2">
      <c r="E605" s="1063"/>
      <c r="H605" s="1066"/>
      <c r="I605" s="1063"/>
      <c r="J605" s="1063"/>
      <c r="K605" s="1063"/>
      <c r="L605" s="1063"/>
    </row>
    <row r="606" spans="5:12" x14ac:dyDescent="0.2">
      <c r="E606" s="1063"/>
      <c r="H606" s="1066"/>
      <c r="I606" s="1063"/>
      <c r="J606" s="1063"/>
      <c r="K606" s="1063"/>
      <c r="L606" s="1063"/>
    </row>
    <row r="607" spans="5:12" x14ac:dyDescent="0.2">
      <c r="E607" s="1063"/>
      <c r="H607" s="1066"/>
      <c r="I607" s="1063"/>
      <c r="J607" s="1063"/>
      <c r="K607" s="1063"/>
      <c r="L607" s="1063"/>
    </row>
    <row r="608" spans="5:12" x14ac:dyDescent="0.2">
      <c r="E608" s="1063"/>
      <c r="H608" s="1066"/>
      <c r="I608" s="1063"/>
      <c r="J608" s="1063"/>
      <c r="K608" s="1063"/>
      <c r="L608" s="1063"/>
    </row>
    <row r="609" spans="5:12" x14ac:dyDescent="0.2">
      <c r="E609" s="1063"/>
      <c r="H609" s="1066"/>
      <c r="I609" s="1063"/>
      <c r="J609" s="1063"/>
      <c r="K609" s="1063"/>
      <c r="L609" s="1063"/>
    </row>
    <row r="610" spans="5:12" x14ac:dyDescent="0.2">
      <c r="E610" s="1063"/>
      <c r="H610" s="1066"/>
      <c r="I610" s="1063"/>
      <c r="J610" s="1063"/>
      <c r="K610" s="1063"/>
      <c r="L610" s="1063"/>
    </row>
    <row r="611" spans="5:12" x14ac:dyDescent="0.2">
      <c r="E611" s="1063"/>
      <c r="H611" s="1066"/>
      <c r="I611" s="1063"/>
      <c r="J611" s="1063"/>
      <c r="K611" s="1063"/>
      <c r="L611" s="1063"/>
    </row>
    <row r="612" spans="5:12" x14ac:dyDescent="0.2">
      <c r="E612" s="1063"/>
      <c r="H612" s="1066"/>
      <c r="I612" s="1063"/>
      <c r="J612" s="1063"/>
      <c r="K612" s="1063"/>
      <c r="L612" s="1063"/>
    </row>
    <row r="613" spans="5:12" x14ac:dyDescent="0.2">
      <c r="E613" s="1063"/>
      <c r="H613" s="1066"/>
      <c r="I613" s="1063"/>
      <c r="J613" s="1063"/>
      <c r="K613" s="1063"/>
      <c r="L613" s="1063"/>
    </row>
    <row r="614" spans="5:12" x14ac:dyDescent="0.2">
      <c r="E614" s="1063"/>
      <c r="H614" s="1066"/>
      <c r="I614" s="1063"/>
      <c r="J614" s="1063"/>
      <c r="K614" s="1063"/>
      <c r="L614" s="1063"/>
    </row>
    <row r="615" spans="5:12" x14ac:dyDescent="0.2">
      <c r="E615" s="1063"/>
      <c r="H615" s="1066"/>
      <c r="I615" s="1063"/>
      <c r="J615" s="1063"/>
      <c r="K615" s="1063"/>
      <c r="L615" s="1063"/>
    </row>
    <row r="616" spans="5:12" x14ac:dyDescent="0.2">
      <c r="E616" s="1063"/>
      <c r="H616" s="1066"/>
      <c r="I616" s="1063"/>
      <c r="J616" s="1063"/>
      <c r="K616" s="1063"/>
      <c r="L616" s="1063"/>
    </row>
    <row r="617" spans="5:12" x14ac:dyDescent="0.2">
      <c r="E617" s="1063"/>
      <c r="H617" s="1066"/>
      <c r="I617" s="1063"/>
      <c r="J617" s="1063"/>
      <c r="K617" s="1063"/>
      <c r="L617" s="1063"/>
    </row>
    <row r="618" spans="5:12" x14ac:dyDescent="0.2">
      <c r="E618" s="1063"/>
      <c r="H618" s="1066"/>
      <c r="I618" s="1063"/>
      <c r="J618" s="1063"/>
      <c r="K618" s="1063"/>
      <c r="L618" s="1063"/>
    </row>
    <row r="619" spans="5:12" x14ac:dyDescent="0.2">
      <c r="E619" s="1063"/>
      <c r="H619" s="1066"/>
      <c r="I619" s="1063"/>
      <c r="J619" s="1063"/>
      <c r="K619" s="1063"/>
      <c r="L619" s="1063"/>
    </row>
    <row r="620" spans="5:12" x14ac:dyDescent="0.2">
      <c r="E620" s="1063"/>
      <c r="H620" s="1066"/>
      <c r="I620" s="1063"/>
      <c r="J620" s="1063"/>
      <c r="K620" s="1063"/>
      <c r="L620" s="1063"/>
    </row>
    <row r="621" spans="5:12" x14ac:dyDescent="0.2">
      <c r="E621" s="1063"/>
      <c r="H621" s="1066"/>
      <c r="I621" s="1063"/>
      <c r="J621" s="1063"/>
      <c r="K621" s="1063"/>
      <c r="L621" s="1063"/>
    </row>
    <row r="622" spans="5:12" x14ac:dyDescent="0.2">
      <c r="E622" s="1063"/>
      <c r="H622" s="1066"/>
      <c r="I622" s="1063"/>
      <c r="J622" s="1063"/>
      <c r="K622" s="1063"/>
      <c r="L622" s="1063"/>
    </row>
    <row r="623" spans="5:12" x14ac:dyDescent="0.2">
      <c r="E623" s="1063"/>
      <c r="H623" s="1066"/>
      <c r="I623" s="1063"/>
      <c r="J623" s="1063"/>
      <c r="K623" s="1063"/>
      <c r="L623" s="1063"/>
    </row>
    <row r="624" spans="5:12" x14ac:dyDescent="0.2">
      <c r="E624" s="1063"/>
      <c r="H624" s="1066"/>
      <c r="I624" s="1063"/>
      <c r="J624" s="1063"/>
      <c r="K624" s="1063"/>
      <c r="L624" s="1063"/>
    </row>
    <row r="625" spans="5:12" x14ac:dyDescent="0.2">
      <c r="E625" s="1063"/>
      <c r="H625" s="1066"/>
      <c r="I625" s="1063"/>
      <c r="J625" s="1063"/>
      <c r="K625" s="1063"/>
      <c r="L625" s="1063"/>
    </row>
    <row r="626" spans="5:12" x14ac:dyDescent="0.2">
      <c r="E626" s="1063"/>
      <c r="H626" s="1066"/>
      <c r="I626" s="1063"/>
      <c r="J626" s="1063"/>
      <c r="K626" s="1063"/>
      <c r="L626" s="1063"/>
    </row>
    <row r="627" spans="5:12" x14ac:dyDescent="0.2">
      <c r="E627" s="1063"/>
      <c r="H627" s="1066"/>
      <c r="I627" s="1063"/>
      <c r="J627" s="1063"/>
      <c r="K627" s="1063"/>
      <c r="L627" s="1063"/>
    </row>
    <row r="628" spans="5:12" x14ac:dyDescent="0.2">
      <c r="E628" s="1063"/>
      <c r="H628" s="1066"/>
      <c r="I628" s="1063"/>
      <c r="J628" s="1063"/>
      <c r="K628" s="1063"/>
      <c r="L628" s="1063"/>
    </row>
    <row r="629" spans="5:12" x14ac:dyDescent="0.2">
      <c r="E629" s="1063"/>
      <c r="H629" s="1066"/>
      <c r="I629" s="1063"/>
      <c r="J629" s="1063"/>
      <c r="K629" s="1063"/>
      <c r="L629" s="1063"/>
    </row>
    <row r="630" spans="5:12" x14ac:dyDescent="0.2">
      <c r="E630" s="1063"/>
      <c r="H630" s="1066"/>
      <c r="I630" s="1063"/>
      <c r="J630" s="1063"/>
      <c r="K630" s="1063"/>
      <c r="L630" s="1063"/>
    </row>
    <row r="631" spans="5:12" x14ac:dyDescent="0.2">
      <c r="E631" s="1063"/>
      <c r="H631" s="1066"/>
      <c r="I631" s="1063"/>
      <c r="J631" s="1063"/>
      <c r="K631" s="1063"/>
      <c r="L631" s="1063"/>
    </row>
    <row r="632" spans="5:12" x14ac:dyDescent="0.2">
      <c r="E632" s="1063"/>
      <c r="H632" s="1066"/>
      <c r="I632" s="1063"/>
      <c r="J632" s="1063"/>
      <c r="K632" s="1063"/>
      <c r="L632" s="1063"/>
    </row>
    <row r="633" spans="5:12" x14ac:dyDescent="0.2">
      <c r="E633" s="1063"/>
      <c r="H633" s="1066"/>
      <c r="I633" s="1063"/>
      <c r="J633" s="1063"/>
      <c r="K633" s="1063"/>
      <c r="L633" s="1063"/>
    </row>
    <row r="634" spans="5:12" x14ac:dyDescent="0.2">
      <c r="E634" s="1063"/>
      <c r="H634" s="1066"/>
      <c r="I634" s="1063"/>
      <c r="J634" s="1063"/>
      <c r="K634" s="1063"/>
      <c r="L634" s="1063"/>
    </row>
    <row r="635" spans="5:12" x14ac:dyDescent="0.2">
      <c r="E635" s="1063"/>
      <c r="H635" s="1066"/>
      <c r="I635" s="1063"/>
      <c r="J635" s="1063"/>
      <c r="K635" s="1063"/>
      <c r="L635" s="1063"/>
    </row>
    <row r="636" spans="5:12" x14ac:dyDescent="0.2">
      <c r="E636" s="1063"/>
      <c r="H636" s="1066"/>
      <c r="I636" s="1063"/>
      <c r="J636" s="1063"/>
      <c r="K636" s="1063"/>
      <c r="L636" s="1063"/>
    </row>
    <row r="637" spans="5:12" x14ac:dyDescent="0.2">
      <c r="E637" s="1063"/>
      <c r="H637" s="1066"/>
      <c r="I637" s="1063"/>
      <c r="J637" s="1063"/>
      <c r="K637" s="1063"/>
      <c r="L637" s="1063"/>
    </row>
    <row r="638" spans="5:12" x14ac:dyDescent="0.2">
      <c r="E638" s="1063"/>
      <c r="H638" s="1066"/>
      <c r="I638" s="1063"/>
      <c r="J638" s="1063"/>
      <c r="K638" s="1063"/>
      <c r="L638" s="1063"/>
    </row>
    <row r="639" spans="5:12" x14ac:dyDescent="0.2">
      <c r="E639" s="1063"/>
      <c r="H639" s="1066"/>
      <c r="I639" s="1063"/>
      <c r="J639" s="1063"/>
      <c r="K639" s="1063"/>
      <c r="L639" s="1063"/>
    </row>
    <row r="640" spans="5:12" x14ac:dyDescent="0.2">
      <c r="E640" s="1063"/>
      <c r="H640" s="1066"/>
      <c r="I640" s="1063"/>
      <c r="J640" s="1063"/>
      <c r="K640" s="1063"/>
      <c r="L640" s="1063"/>
    </row>
    <row r="641" spans="5:12" x14ac:dyDescent="0.2">
      <c r="E641" s="1063"/>
      <c r="H641" s="1066"/>
      <c r="I641" s="1063"/>
      <c r="J641" s="1063"/>
      <c r="K641" s="1063"/>
      <c r="L641" s="1063"/>
    </row>
    <row r="642" spans="5:12" x14ac:dyDescent="0.2">
      <c r="E642" s="1063"/>
      <c r="H642" s="1066"/>
      <c r="I642" s="1063"/>
      <c r="J642" s="1063"/>
      <c r="K642" s="1063"/>
      <c r="L642" s="1063"/>
    </row>
    <row r="643" spans="5:12" x14ac:dyDescent="0.2">
      <c r="E643" s="1063"/>
      <c r="H643" s="1066"/>
      <c r="I643" s="1063"/>
      <c r="J643" s="1063"/>
      <c r="K643" s="1063"/>
      <c r="L643" s="1063"/>
    </row>
    <row r="644" spans="5:12" x14ac:dyDescent="0.2">
      <c r="E644" s="1063"/>
      <c r="H644" s="1066"/>
      <c r="I644" s="1063"/>
      <c r="J644" s="1063"/>
      <c r="K644" s="1063"/>
      <c r="L644" s="1063"/>
    </row>
    <row r="645" spans="5:12" x14ac:dyDescent="0.2">
      <c r="E645" s="1063"/>
      <c r="H645" s="1066"/>
      <c r="I645" s="1063"/>
      <c r="J645" s="1063"/>
      <c r="K645" s="1063"/>
      <c r="L645" s="1063"/>
    </row>
    <row r="646" spans="5:12" x14ac:dyDescent="0.2">
      <c r="E646" s="1063"/>
      <c r="H646" s="1066"/>
      <c r="I646" s="1063"/>
      <c r="J646" s="1063"/>
      <c r="K646" s="1063"/>
      <c r="L646" s="1063"/>
    </row>
    <row r="647" spans="5:12" x14ac:dyDescent="0.2">
      <c r="E647" s="1063"/>
      <c r="H647" s="1066"/>
      <c r="I647" s="1063"/>
      <c r="J647" s="1063"/>
      <c r="K647" s="1063"/>
      <c r="L647" s="1063"/>
    </row>
    <row r="648" spans="5:12" x14ac:dyDescent="0.2">
      <c r="E648" s="1063"/>
      <c r="H648" s="1066"/>
      <c r="I648" s="1063"/>
      <c r="J648" s="1063"/>
      <c r="K648" s="1063"/>
      <c r="L648" s="1063"/>
    </row>
    <row r="649" spans="5:12" x14ac:dyDescent="0.2">
      <c r="E649" s="1063"/>
      <c r="H649" s="1066"/>
      <c r="I649" s="1063"/>
      <c r="J649" s="1063"/>
      <c r="K649" s="1063"/>
      <c r="L649" s="1063"/>
    </row>
    <row r="650" spans="5:12" x14ac:dyDescent="0.2">
      <c r="E650" s="1063"/>
      <c r="H650" s="1066"/>
      <c r="I650" s="1063"/>
      <c r="J650" s="1063"/>
      <c r="K650" s="1063"/>
      <c r="L650" s="1063"/>
    </row>
    <row r="651" spans="5:12" x14ac:dyDescent="0.2">
      <c r="E651" s="1063"/>
      <c r="H651" s="1066"/>
      <c r="I651" s="1063"/>
      <c r="J651" s="1063"/>
      <c r="K651" s="1063"/>
      <c r="L651" s="1063"/>
    </row>
    <row r="652" spans="5:12" x14ac:dyDescent="0.2">
      <c r="E652" s="1063"/>
      <c r="H652" s="1066"/>
      <c r="I652" s="1063"/>
      <c r="J652" s="1063"/>
      <c r="K652" s="1063"/>
      <c r="L652" s="1063"/>
    </row>
    <row r="653" spans="5:12" x14ac:dyDescent="0.2">
      <c r="E653" s="1063"/>
      <c r="H653" s="1066"/>
      <c r="I653" s="1063"/>
      <c r="J653" s="1063"/>
      <c r="K653" s="1063"/>
      <c r="L653" s="1063"/>
    </row>
    <row r="654" spans="5:12" x14ac:dyDescent="0.2">
      <c r="E654" s="1063"/>
      <c r="H654" s="1066"/>
      <c r="I654" s="1063"/>
      <c r="J654" s="1063"/>
      <c r="K654" s="1063"/>
      <c r="L654" s="1063"/>
    </row>
    <row r="655" spans="5:12" x14ac:dyDescent="0.2">
      <c r="E655" s="1063"/>
      <c r="H655" s="1066"/>
      <c r="I655" s="1063"/>
      <c r="J655" s="1063"/>
      <c r="K655" s="1063"/>
      <c r="L655" s="1063"/>
    </row>
    <row r="656" spans="5:12" x14ac:dyDescent="0.2">
      <c r="E656" s="1063"/>
      <c r="H656" s="1066"/>
      <c r="I656" s="1063"/>
      <c r="J656" s="1063"/>
      <c r="K656" s="1063"/>
      <c r="L656" s="1063"/>
    </row>
    <row r="657" spans="5:12" x14ac:dyDescent="0.2">
      <c r="E657" s="1063"/>
      <c r="H657" s="1066"/>
      <c r="I657" s="1063"/>
      <c r="J657" s="1063"/>
      <c r="K657" s="1063"/>
      <c r="L657" s="1063"/>
    </row>
    <row r="658" spans="5:12" x14ac:dyDescent="0.2">
      <c r="E658" s="1063"/>
      <c r="H658" s="1066"/>
      <c r="I658" s="1063"/>
      <c r="J658" s="1063"/>
      <c r="K658" s="1063"/>
      <c r="L658" s="1063"/>
    </row>
    <row r="659" spans="5:12" x14ac:dyDescent="0.2">
      <c r="E659" s="1063"/>
      <c r="H659" s="1066"/>
      <c r="I659" s="1063"/>
      <c r="J659" s="1063"/>
      <c r="K659" s="1063"/>
      <c r="L659" s="1063"/>
    </row>
    <row r="660" spans="5:12" x14ac:dyDescent="0.2">
      <c r="E660" s="1063"/>
      <c r="H660" s="1066"/>
      <c r="I660" s="1063"/>
      <c r="J660" s="1063"/>
      <c r="K660" s="1063"/>
      <c r="L660" s="1063"/>
    </row>
    <row r="661" spans="5:12" x14ac:dyDescent="0.2">
      <c r="E661" s="1063"/>
      <c r="H661" s="1066"/>
      <c r="I661" s="1063"/>
      <c r="J661" s="1063"/>
      <c r="K661" s="1063"/>
      <c r="L661" s="1063"/>
    </row>
    <row r="662" spans="5:12" x14ac:dyDescent="0.2">
      <c r="E662" s="1063"/>
      <c r="H662" s="1066"/>
      <c r="I662" s="1063"/>
      <c r="J662" s="1063"/>
      <c r="K662" s="1063"/>
      <c r="L662" s="1063"/>
    </row>
    <row r="663" spans="5:12" x14ac:dyDescent="0.2">
      <c r="E663" s="1063"/>
      <c r="H663" s="1066"/>
      <c r="I663" s="1063"/>
      <c r="J663" s="1063"/>
      <c r="K663" s="1063"/>
      <c r="L663" s="1063"/>
    </row>
    <row r="664" spans="5:12" x14ac:dyDescent="0.2">
      <c r="E664" s="1063"/>
      <c r="H664" s="1066"/>
      <c r="I664" s="1063"/>
      <c r="J664" s="1063"/>
      <c r="K664" s="1063"/>
      <c r="L664" s="1063"/>
    </row>
    <row r="665" spans="5:12" x14ac:dyDescent="0.2">
      <c r="E665" s="1063"/>
      <c r="H665" s="1066"/>
      <c r="I665" s="1063"/>
      <c r="J665" s="1063"/>
      <c r="K665" s="1063"/>
      <c r="L665" s="1063"/>
    </row>
    <row r="666" spans="5:12" x14ac:dyDescent="0.2">
      <c r="E666" s="1063"/>
      <c r="H666" s="1066"/>
      <c r="I666" s="1063"/>
      <c r="J666" s="1063"/>
      <c r="K666" s="1063"/>
      <c r="L666" s="1063"/>
    </row>
    <row r="667" spans="5:12" x14ac:dyDescent="0.2">
      <c r="E667" s="1063"/>
      <c r="H667" s="1066"/>
      <c r="I667" s="1063"/>
      <c r="J667" s="1063"/>
      <c r="K667" s="1063"/>
      <c r="L667" s="1063"/>
    </row>
    <row r="668" spans="5:12" x14ac:dyDescent="0.2">
      <c r="E668" s="1063"/>
      <c r="H668" s="1066"/>
      <c r="I668" s="1063"/>
      <c r="J668" s="1063"/>
      <c r="K668" s="1063"/>
      <c r="L668" s="1063"/>
    </row>
    <row r="669" spans="5:12" x14ac:dyDescent="0.2">
      <c r="E669" s="1063"/>
      <c r="H669" s="1066"/>
      <c r="I669" s="1063"/>
      <c r="J669" s="1063"/>
      <c r="K669" s="1063"/>
      <c r="L669" s="1063"/>
    </row>
    <row r="670" spans="5:12" x14ac:dyDescent="0.2">
      <c r="E670" s="1063"/>
      <c r="H670" s="1066"/>
      <c r="I670" s="1063"/>
      <c r="J670" s="1063"/>
      <c r="K670" s="1063"/>
      <c r="L670" s="1063"/>
    </row>
    <row r="671" spans="5:12" x14ac:dyDescent="0.2">
      <c r="E671" s="1063"/>
      <c r="H671" s="1066"/>
      <c r="I671" s="1063"/>
      <c r="J671" s="1063"/>
      <c r="K671" s="1063"/>
      <c r="L671" s="1063"/>
    </row>
    <row r="672" spans="5:12" x14ac:dyDescent="0.2">
      <c r="E672" s="1063"/>
      <c r="H672" s="1066"/>
      <c r="I672" s="1063"/>
      <c r="J672" s="1063"/>
      <c r="K672" s="1063"/>
      <c r="L672" s="1063"/>
    </row>
    <row r="673" spans="5:12" x14ac:dyDescent="0.2">
      <c r="E673" s="1063"/>
      <c r="H673" s="1066"/>
      <c r="I673" s="1063"/>
      <c r="J673" s="1063"/>
      <c r="K673" s="1063"/>
      <c r="L673" s="1063"/>
    </row>
    <row r="674" spans="5:12" x14ac:dyDescent="0.2">
      <c r="E674" s="1063"/>
      <c r="H674" s="1066"/>
      <c r="I674" s="1063"/>
      <c r="J674" s="1063"/>
      <c r="K674" s="1063"/>
      <c r="L674" s="1063"/>
    </row>
    <row r="675" spans="5:12" x14ac:dyDescent="0.2">
      <c r="E675" s="1063"/>
      <c r="H675" s="1066"/>
      <c r="I675" s="1063"/>
      <c r="J675" s="1063"/>
      <c r="K675" s="1063"/>
      <c r="L675" s="1063"/>
    </row>
    <row r="676" spans="5:12" x14ac:dyDescent="0.2">
      <c r="E676" s="1063"/>
      <c r="H676" s="1066"/>
      <c r="I676" s="1063"/>
      <c r="J676" s="1063"/>
      <c r="K676" s="1063"/>
      <c r="L676" s="1063"/>
    </row>
    <row r="677" spans="5:12" x14ac:dyDescent="0.2">
      <c r="E677" s="1063"/>
      <c r="H677" s="1066"/>
      <c r="I677" s="1063"/>
      <c r="J677" s="1063"/>
      <c r="K677" s="1063"/>
      <c r="L677" s="1063"/>
    </row>
    <row r="678" spans="5:12" x14ac:dyDescent="0.2">
      <c r="E678" s="1063"/>
      <c r="H678" s="1066"/>
      <c r="I678" s="1063"/>
      <c r="J678" s="1063"/>
      <c r="K678" s="1063"/>
      <c r="L678" s="1063"/>
    </row>
    <row r="679" spans="5:12" x14ac:dyDescent="0.2">
      <c r="E679" s="1063"/>
      <c r="H679" s="1066"/>
      <c r="I679" s="1063"/>
      <c r="J679" s="1063"/>
      <c r="K679" s="1063"/>
      <c r="L679" s="1063"/>
    </row>
    <row r="680" spans="5:12" x14ac:dyDescent="0.2">
      <c r="E680" s="1063"/>
      <c r="H680" s="1066"/>
      <c r="I680" s="1063"/>
      <c r="J680" s="1063"/>
      <c r="K680" s="1063"/>
      <c r="L680" s="1063"/>
    </row>
    <row r="681" spans="5:12" x14ac:dyDescent="0.2">
      <c r="E681" s="1063"/>
      <c r="H681" s="1066"/>
      <c r="I681" s="1063"/>
      <c r="J681" s="1063"/>
      <c r="K681" s="1063"/>
      <c r="L681" s="1063"/>
    </row>
    <row r="682" spans="5:12" x14ac:dyDescent="0.2">
      <c r="E682" s="1063"/>
      <c r="H682" s="1066"/>
      <c r="I682" s="1063"/>
      <c r="J682" s="1063"/>
      <c r="K682" s="1063"/>
      <c r="L682" s="1063"/>
    </row>
    <row r="683" spans="5:12" x14ac:dyDescent="0.2">
      <c r="E683" s="1063"/>
      <c r="H683" s="1066"/>
      <c r="I683" s="1063"/>
      <c r="J683" s="1063"/>
      <c r="K683" s="1063"/>
      <c r="L683" s="1063"/>
    </row>
    <row r="684" spans="5:12" x14ac:dyDescent="0.2">
      <c r="E684" s="1063"/>
      <c r="H684" s="1066"/>
      <c r="I684" s="1063"/>
      <c r="J684" s="1063"/>
      <c r="K684" s="1063"/>
      <c r="L684" s="1063"/>
    </row>
    <row r="685" spans="5:12" x14ac:dyDescent="0.2">
      <c r="E685" s="1063"/>
      <c r="H685" s="1066"/>
      <c r="I685" s="1063"/>
      <c r="J685" s="1063"/>
      <c r="K685" s="1063"/>
      <c r="L685" s="1063"/>
    </row>
    <row r="686" spans="5:12" x14ac:dyDescent="0.2">
      <c r="E686" s="1063"/>
      <c r="H686" s="1066"/>
      <c r="I686" s="1063"/>
      <c r="J686" s="1063"/>
      <c r="K686" s="1063"/>
      <c r="L686" s="1063"/>
    </row>
    <row r="687" spans="5:12" x14ac:dyDescent="0.2">
      <c r="E687" s="1063"/>
      <c r="H687" s="1066"/>
      <c r="I687" s="1063"/>
      <c r="J687" s="1063"/>
      <c r="K687" s="1063"/>
      <c r="L687" s="1063"/>
    </row>
    <row r="688" spans="5:12" x14ac:dyDescent="0.2">
      <c r="E688" s="1063"/>
      <c r="H688" s="1066"/>
      <c r="I688" s="1063"/>
      <c r="J688" s="1063"/>
      <c r="K688" s="1063"/>
      <c r="L688" s="1063"/>
    </row>
    <row r="689" spans="5:12" x14ac:dyDescent="0.2">
      <c r="E689" s="1063"/>
      <c r="H689" s="1066"/>
      <c r="I689" s="1063"/>
      <c r="J689" s="1063"/>
      <c r="K689" s="1063"/>
      <c r="L689" s="1063"/>
    </row>
    <row r="690" spans="5:12" x14ac:dyDescent="0.2">
      <c r="E690" s="1063"/>
      <c r="H690" s="1066"/>
      <c r="I690" s="1063"/>
      <c r="J690" s="1063"/>
      <c r="K690" s="1063"/>
      <c r="L690" s="1063"/>
    </row>
    <row r="691" spans="5:12" x14ac:dyDescent="0.2">
      <c r="E691" s="1063"/>
      <c r="H691" s="1066"/>
      <c r="I691" s="1063"/>
      <c r="J691" s="1063"/>
      <c r="K691" s="1063"/>
      <c r="L691" s="1063"/>
    </row>
    <row r="692" spans="5:12" x14ac:dyDescent="0.2">
      <c r="E692" s="1063"/>
      <c r="H692" s="1066"/>
      <c r="I692" s="1063"/>
      <c r="J692" s="1063"/>
      <c r="K692" s="1063"/>
      <c r="L692" s="1063"/>
    </row>
    <row r="693" spans="5:12" x14ac:dyDescent="0.2">
      <c r="E693" s="1063"/>
      <c r="H693" s="1066"/>
      <c r="I693" s="1063"/>
      <c r="J693" s="1063"/>
      <c r="K693" s="1063"/>
      <c r="L693" s="1063"/>
    </row>
    <row r="694" spans="5:12" x14ac:dyDescent="0.2">
      <c r="E694" s="1063"/>
      <c r="H694" s="1066"/>
      <c r="I694" s="1063"/>
      <c r="J694" s="1063"/>
      <c r="K694" s="1063"/>
      <c r="L694" s="1063"/>
    </row>
    <row r="695" spans="5:12" x14ac:dyDescent="0.2">
      <c r="E695" s="1063"/>
      <c r="H695" s="1066"/>
      <c r="I695" s="1063"/>
      <c r="J695" s="1063"/>
      <c r="K695" s="1063"/>
      <c r="L695" s="1063"/>
    </row>
    <row r="696" spans="5:12" x14ac:dyDescent="0.2">
      <c r="E696" s="1063"/>
      <c r="H696" s="1066"/>
      <c r="I696" s="1063"/>
      <c r="J696" s="1063"/>
      <c r="K696" s="1063"/>
      <c r="L696" s="1063"/>
    </row>
    <row r="697" spans="5:12" x14ac:dyDescent="0.2">
      <c r="E697" s="1063"/>
      <c r="H697" s="1066"/>
      <c r="I697" s="1063"/>
      <c r="J697" s="1063"/>
      <c r="K697" s="1063"/>
      <c r="L697" s="1063"/>
    </row>
    <row r="698" spans="5:12" x14ac:dyDescent="0.2">
      <c r="E698" s="1063"/>
      <c r="H698" s="1066"/>
      <c r="I698" s="1063"/>
      <c r="J698" s="1063"/>
      <c r="K698" s="1063"/>
      <c r="L698" s="1063"/>
    </row>
    <row r="699" spans="5:12" x14ac:dyDescent="0.2">
      <c r="E699" s="1063"/>
      <c r="H699" s="1066"/>
      <c r="I699" s="1063"/>
      <c r="J699" s="1063"/>
      <c r="K699" s="1063"/>
      <c r="L699" s="1063"/>
    </row>
    <row r="700" spans="5:12" x14ac:dyDescent="0.2">
      <c r="E700" s="1063"/>
      <c r="H700" s="1066"/>
      <c r="I700" s="1063"/>
      <c r="J700" s="1063"/>
      <c r="K700" s="1063"/>
      <c r="L700" s="1063"/>
    </row>
    <row r="701" spans="5:12" x14ac:dyDescent="0.2">
      <c r="E701" s="1063"/>
      <c r="H701" s="1066"/>
      <c r="I701" s="1063"/>
      <c r="J701" s="1063"/>
      <c r="K701" s="1063"/>
      <c r="L701" s="1063"/>
    </row>
    <row r="702" spans="5:12" x14ac:dyDescent="0.2">
      <c r="E702" s="1063"/>
      <c r="H702" s="1066"/>
      <c r="I702" s="1063"/>
      <c r="J702" s="1063"/>
      <c r="K702" s="1063"/>
      <c r="L702" s="1063"/>
    </row>
    <row r="703" spans="5:12" x14ac:dyDescent="0.2">
      <c r="E703" s="1063"/>
      <c r="H703" s="1066"/>
      <c r="I703" s="1063"/>
      <c r="J703" s="1063"/>
      <c r="K703" s="1063"/>
      <c r="L703" s="1063"/>
    </row>
    <row r="704" spans="5:12" x14ac:dyDescent="0.2">
      <c r="E704" s="1063"/>
      <c r="H704" s="1066"/>
      <c r="I704" s="1063"/>
      <c r="J704" s="1063"/>
      <c r="K704" s="1063"/>
      <c r="L704" s="1063"/>
    </row>
    <row r="705" spans="5:12" x14ac:dyDescent="0.2">
      <c r="E705" s="1063"/>
      <c r="H705" s="1066"/>
      <c r="I705" s="1063"/>
      <c r="J705" s="1063"/>
      <c r="K705" s="1063"/>
      <c r="L705" s="1063"/>
    </row>
    <row r="706" spans="5:12" x14ac:dyDescent="0.2">
      <c r="E706" s="1063"/>
      <c r="H706" s="1066"/>
      <c r="I706" s="1063"/>
      <c r="J706" s="1063"/>
      <c r="K706" s="1063"/>
      <c r="L706" s="1063"/>
    </row>
    <row r="707" spans="5:12" x14ac:dyDescent="0.2">
      <c r="E707" s="1063"/>
      <c r="H707" s="1066"/>
      <c r="I707" s="1063"/>
      <c r="J707" s="1063"/>
      <c r="K707" s="1063"/>
      <c r="L707" s="1063"/>
    </row>
    <row r="708" spans="5:12" x14ac:dyDescent="0.2">
      <c r="E708" s="1063"/>
      <c r="H708" s="1066"/>
      <c r="I708" s="1063"/>
      <c r="J708" s="1063"/>
      <c r="K708" s="1063"/>
      <c r="L708" s="1063"/>
    </row>
    <row r="709" spans="5:12" x14ac:dyDescent="0.2">
      <c r="E709" s="1063"/>
      <c r="H709" s="1066"/>
      <c r="I709" s="1063"/>
      <c r="J709" s="1063"/>
      <c r="K709" s="1063"/>
      <c r="L709" s="1063"/>
    </row>
    <row r="710" spans="5:12" x14ac:dyDescent="0.2">
      <c r="E710" s="1063"/>
      <c r="H710" s="1066"/>
      <c r="I710" s="1063"/>
      <c r="J710" s="1063"/>
      <c r="K710" s="1063"/>
      <c r="L710" s="1063"/>
    </row>
    <row r="711" spans="5:12" x14ac:dyDescent="0.2">
      <c r="E711" s="1063"/>
      <c r="H711" s="1066"/>
      <c r="I711" s="1063"/>
      <c r="J711" s="1063"/>
      <c r="K711" s="1063"/>
      <c r="L711" s="1063"/>
    </row>
    <row r="712" spans="5:12" x14ac:dyDescent="0.2">
      <c r="E712" s="1063"/>
      <c r="H712" s="1066"/>
      <c r="I712" s="1063"/>
      <c r="J712" s="1063"/>
      <c r="K712" s="1063"/>
      <c r="L712" s="1063"/>
    </row>
    <row r="713" spans="5:12" x14ac:dyDescent="0.2">
      <c r="E713" s="1063"/>
      <c r="H713" s="1066"/>
      <c r="I713" s="1063"/>
      <c r="J713" s="1063"/>
      <c r="K713" s="1063"/>
      <c r="L713" s="1063"/>
    </row>
    <row r="714" spans="5:12" x14ac:dyDescent="0.2">
      <c r="E714" s="1063"/>
      <c r="H714" s="1066"/>
      <c r="I714" s="1063"/>
      <c r="J714" s="1063"/>
      <c r="K714" s="1063"/>
      <c r="L714" s="1063"/>
    </row>
    <row r="715" spans="5:12" x14ac:dyDescent="0.2">
      <c r="E715" s="1063"/>
      <c r="H715" s="1066"/>
      <c r="I715" s="1063"/>
      <c r="J715" s="1063"/>
      <c r="K715" s="1063"/>
      <c r="L715" s="1063"/>
    </row>
    <row r="716" spans="5:12" x14ac:dyDescent="0.2">
      <c r="E716" s="1063"/>
      <c r="H716" s="1066"/>
      <c r="I716" s="1063"/>
      <c r="J716" s="1063"/>
      <c r="K716" s="1063"/>
      <c r="L716" s="1063"/>
    </row>
    <row r="717" spans="5:12" x14ac:dyDescent="0.2">
      <c r="E717" s="1063"/>
      <c r="H717" s="1066"/>
      <c r="I717" s="1063"/>
      <c r="J717" s="1063"/>
      <c r="K717" s="1063"/>
      <c r="L717" s="1063"/>
    </row>
    <row r="718" spans="5:12" x14ac:dyDescent="0.2">
      <c r="E718" s="1063"/>
      <c r="H718" s="1066"/>
      <c r="I718" s="1063"/>
      <c r="J718" s="1063"/>
      <c r="K718" s="1063"/>
      <c r="L718" s="1063"/>
    </row>
    <row r="719" spans="5:12" x14ac:dyDescent="0.2">
      <c r="E719" s="1063"/>
      <c r="H719" s="1066"/>
      <c r="I719" s="1063"/>
      <c r="J719" s="1063"/>
      <c r="K719" s="1063"/>
      <c r="L719" s="1063"/>
    </row>
    <row r="720" spans="5:12" x14ac:dyDescent="0.2">
      <c r="E720" s="1063"/>
      <c r="H720" s="1066"/>
      <c r="I720" s="1063"/>
      <c r="J720" s="1063"/>
      <c r="K720" s="1063"/>
      <c r="L720" s="1063"/>
    </row>
    <row r="721" spans="5:12" x14ac:dyDescent="0.2">
      <c r="E721" s="1063"/>
      <c r="H721" s="1066"/>
      <c r="I721" s="1063"/>
      <c r="J721" s="1063"/>
      <c r="K721" s="1063"/>
      <c r="L721" s="1063"/>
    </row>
    <row r="722" spans="5:12" x14ac:dyDescent="0.2">
      <c r="E722" s="1063"/>
      <c r="H722" s="1066"/>
      <c r="I722" s="1063"/>
      <c r="J722" s="1063"/>
      <c r="K722" s="1063"/>
      <c r="L722" s="1063"/>
    </row>
    <row r="723" spans="5:12" x14ac:dyDescent="0.2">
      <c r="E723" s="1063"/>
      <c r="H723" s="1066"/>
      <c r="I723" s="1063"/>
      <c r="J723" s="1063"/>
      <c r="K723" s="1063"/>
      <c r="L723" s="1063"/>
    </row>
    <row r="724" spans="5:12" x14ac:dyDescent="0.2">
      <c r="E724" s="1063"/>
      <c r="H724" s="1066"/>
      <c r="I724" s="1063"/>
      <c r="J724" s="1063"/>
      <c r="K724" s="1063"/>
      <c r="L724" s="1063"/>
    </row>
    <row r="725" spans="5:12" x14ac:dyDescent="0.2">
      <c r="E725" s="1063"/>
      <c r="H725" s="1066"/>
      <c r="I725" s="1063"/>
      <c r="J725" s="1063"/>
      <c r="K725" s="1063"/>
      <c r="L725" s="1063"/>
    </row>
    <row r="726" spans="5:12" x14ac:dyDescent="0.2">
      <c r="E726" s="1063"/>
      <c r="H726" s="1066"/>
      <c r="I726" s="1063"/>
      <c r="J726" s="1063"/>
      <c r="K726" s="1063"/>
      <c r="L726" s="1063"/>
    </row>
    <row r="727" spans="5:12" x14ac:dyDescent="0.2">
      <c r="E727" s="1063"/>
      <c r="H727" s="1066"/>
      <c r="I727" s="1063"/>
      <c r="J727" s="1063"/>
      <c r="K727" s="1063"/>
      <c r="L727" s="1063"/>
    </row>
    <row r="728" spans="5:12" x14ac:dyDescent="0.2">
      <c r="E728" s="1063"/>
      <c r="H728" s="1066"/>
      <c r="I728" s="1063"/>
      <c r="J728" s="1063"/>
      <c r="K728" s="1063"/>
      <c r="L728" s="1063"/>
    </row>
    <row r="729" spans="5:12" x14ac:dyDescent="0.2">
      <c r="E729" s="1063"/>
      <c r="H729" s="1066"/>
      <c r="I729" s="1063"/>
      <c r="J729" s="1063"/>
      <c r="K729" s="1063"/>
      <c r="L729" s="1063"/>
    </row>
    <row r="730" spans="5:12" x14ac:dyDescent="0.2">
      <c r="E730" s="1063"/>
      <c r="H730" s="1066"/>
      <c r="I730" s="1063"/>
      <c r="J730" s="1063"/>
      <c r="K730" s="1063"/>
      <c r="L730" s="1063"/>
    </row>
    <row r="731" spans="5:12" x14ac:dyDescent="0.2">
      <c r="E731" s="1063"/>
      <c r="H731" s="1066"/>
      <c r="I731" s="1063"/>
      <c r="J731" s="1063"/>
      <c r="K731" s="1063"/>
      <c r="L731" s="1063"/>
    </row>
    <row r="732" spans="5:12" x14ac:dyDescent="0.2">
      <c r="E732" s="1063"/>
      <c r="H732" s="1066"/>
      <c r="I732" s="1063"/>
      <c r="J732" s="1063"/>
      <c r="K732" s="1063"/>
      <c r="L732" s="1063"/>
    </row>
    <row r="733" spans="5:12" x14ac:dyDescent="0.2">
      <c r="E733" s="1063"/>
      <c r="H733" s="1066"/>
      <c r="I733" s="1063"/>
      <c r="J733" s="1063"/>
      <c r="K733" s="1063"/>
      <c r="L733" s="1063"/>
    </row>
    <row r="734" spans="5:12" x14ac:dyDescent="0.2">
      <c r="E734" s="1063"/>
      <c r="H734" s="1066"/>
      <c r="I734" s="1063"/>
      <c r="J734" s="1063"/>
      <c r="K734" s="1063"/>
      <c r="L734" s="1063"/>
    </row>
    <row r="735" spans="5:12" x14ac:dyDescent="0.2">
      <c r="E735" s="1063"/>
      <c r="H735" s="1066"/>
      <c r="I735" s="1063"/>
      <c r="J735" s="1063"/>
      <c r="K735" s="1063"/>
      <c r="L735" s="1063"/>
    </row>
    <row r="736" spans="5:12" x14ac:dyDescent="0.2">
      <c r="E736" s="1063"/>
      <c r="H736" s="1066"/>
      <c r="I736" s="1063"/>
      <c r="J736" s="1063"/>
      <c r="K736" s="1063"/>
      <c r="L736" s="1063"/>
    </row>
    <row r="737" spans="5:12" x14ac:dyDescent="0.2">
      <c r="E737" s="1063"/>
      <c r="H737" s="1066"/>
      <c r="I737" s="1063"/>
      <c r="J737" s="1063"/>
      <c r="K737" s="1063"/>
      <c r="L737" s="1063"/>
    </row>
    <row r="738" spans="5:12" x14ac:dyDescent="0.2">
      <c r="E738" s="1063"/>
      <c r="H738" s="1066"/>
      <c r="I738" s="1063"/>
      <c r="J738" s="1063"/>
      <c r="K738" s="1063"/>
      <c r="L738" s="1063"/>
    </row>
    <row r="739" spans="5:12" x14ac:dyDescent="0.2">
      <c r="E739" s="1063"/>
      <c r="H739" s="1066"/>
      <c r="I739" s="1063"/>
      <c r="J739" s="1063"/>
      <c r="K739" s="1063"/>
      <c r="L739" s="1063"/>
    </row>
    <row r="740" spans="5:12" x14ac:dyDescent="0.2">
      <c r="E740" s="1063"/>
      <c r="H740" s="1066"/>
      <c r="I740" s="1063"/>
      <c r="J740" s="1063"/>
      <c r="K740" s="1063"/>
      <c r="L740" s="1063"/>
    </row>
    <row r="741" spans="5:12" x14ac:dyDescent="0.2">
      <c r="E741" s="1063"/>
      <c r="H741" s="1066"/>
      <c r="I741" s="1063"/>
      <c r="J741" s="1063"/>
      <c r="K741" s="1063"/>
      <c r="L741" s="1063"/>
    </row>
    <row r="742" spans="5:12" x14ac:dyDescent="0.2">
      <c r="E742" s="1063"/>
      <c r="H742" s="1066"/>
      <c r="I742" s="1063"/>
      <c r="J742" s="1063"/>
      <c r="K742" s="1063"/>
      <c r="L742" s="1063"/>
    </row>
    <row r="743" spans="5:12" x14ac:dyDescent="0.2">
      <c r="E743" s="1063"/>
      <c r="H743" s="1066"/>
      <c r="I743" s="1063"/>
      <c r="J743" s="1063"/>
      <c r="K743" s="1063"/>
      <c r="L743" s="1063"/>
    </row>
    <row r="744" spans="5:12" x14ac:dyDescent="0.2">
      <c r="E744" s="1063"/>
      <c r="H744" s="1066"/>
      <c r="I744" s="1063"/>
      <c r="J744" s="1063"/>
      <c r="K744" s="1063"/>
      <c r="L744" s="1063"/>
    </row>
    <row r="745" spans="5:12" x14ac:dyDescent="0.2">
      <c r="E745" s="1063"/>
      <c r="H745" s="1066"/>
      <c r="I745" s="1063"/>
      <c r="J745" s="1063"/>
      <c r="K745" s="1063"/>
      <c r="L745" s="1063"/>
    </row>
    <row r="746" spans="5:12" x14ac:dyDescent="0.2">
      <c r="E746" s="1063"/>
      <c r="H746" s="1066"/>
      <c r="I746" s="1063"/>
      <c r="J746" s="1063"/>
      <c r="K746" s="1063"/>
      <c r="L746" s="1063"/>
    </row>
    <row r="747" spans="5:12" x14ac:dyDescent="0.2">
      <c r="E747" s="1063"/>
      <c r="H747" s="1066"/>
      <c r="I747" s="1063"/>
      <c r="J747" s="1063"/>
      <c r="K747" s="1063"/>
      <c r="L747" s="1063"/>
    </row>
    <row r="748" spans="5:12" x14ac:dyDescent="0.2">
      <c r="E748" s="1063"/>
      <c r="H748" s="1066"/>
      <c r="I748" s="1063"/>
      <c r="J748" s="1063"/>
      <c r="K748" s="1063"/>
      <c r="L748" s="1063"/>
    </row>
    <row r="749" spans="5:12" x14ac:dyDescent="0.2">
      <c r="E749" s="1063"/>
      <c r="H749" s="1066"/>
      <c r="I749" s="1063"/>
      <c r="J749" s="1063"/>
      <c r="K749" s="1063"/>
      <c r="L749" s="1063"/>
    </row>
    <row r="750" spans="5:12" x14ac:dyDescent="0.2">
      <c r="E750" s="1063"/>
      <c r="H750" s="1066"/>
      <c r="I750" s="1063"/>
      <c r="J750" s="1063"/>
      <c r="K750" s="1063"/>
      <c r="L750" s="1063"/>
    </row>
    <row r="751" spans="5:12" x14ac:dyDescent="0.2">
      <c r="E751" s="1063"/>
      <c r="H751" s="1066"/>
      <c r="I751" s="1063"/>
      <c r="J751" s="1063"/>
      <c r="K751" s="1063"/>
      <c r="L751" s="1063"/>
    </row>
    <row r="752" spans="5:12" x14ac:dyDescent="0.2">
      <c r="E752" s="1063"/>
      <c r="H752" s="1066"/>
      <c r="I752" s="1063"/>
      <c r="J752" s="1063"/>
      <c r="K752" s="1063"/>
      <c r="L752" s="1063"/>
    </row>
    <row r="753" spans="5:12" x14ac:dyDescent="0.2">
      <c r="E753" s="1063"/>
      <c r="H753" s="1066"/>
      <c r="I753" s="1063"/>
      <c r="J753" s="1063"/>
      <c r="K753" s="1063"/>
      <c r="L753" s="1063"/>
    </row>
    <row r="754" spans="5:12" x14ac:dyDescent="0.2">
      <c r="E754" s="1063"/>
      <c r="H754" s="1066"/>
      <c r="I754" s="1063"/>
      <c r="J754" s="1063"/>
      <c r="K754" s="1063"/>
      <c r="L754" s="1063"/>
    </row>
    <row r="755" spans="5:12" x14ac:dyDescent="0.2">
      <c r="E755" s="1063"/>
      <c r="H755" s="1066"/>
      <c r="I755" s="1063"/>
      <c r="J755" s="1063"/>
      <c r="K755" s="1063"/>
      <c r="L755" s="1063"/>
    </row>
    <row r="756" spans="5:12" x14ac:dyDescent="0.2">
      <c r="E756" s="1063"/>
      <c r="H756" s="1066"/>
      <c r="I756" s="1063"/>
      <c r="J756" s="1063"/>
      <c r="K756" s="1063"/>
      <c r="L756" s="1063"/>
    </row>
    <row r="757" spans="5:12" x14ac:dyDescent="0.2">
      <c r="E757" s="1063"/>
      <c r="H757" s="1066"/>
      <c r="I757" s="1063"/>
      <c r="J757" s="1063"/>
      <c r="K757" s="1063"/>
      <c r="L757" s="1063"/>
    </row>
    <row r="758" spans="5:12" x14ac:dyDescent="0.2">
      <c r="E758" s="1063"/>
      <c r="H758" s="1066"/>
      <c r="I758" s="1063"/>
      <c r="J758" s="1063"/>
      <c r="K758" s="1063"/>
      <c r="L758" s="1063"/>
    </row>
    <row r="759" spans="5:12" x14ac:dyDescent="0.2">
      <c r="E759" s="1063"/>
      <c r="H759" s="1066"/>
      <c r="I759" s="1063"/>
      <c r="J759" s="1063"/>
      <c r="K759" s="1063"/>
      <c r="L759" s="1063"/>
    </row>
    <row r="760" spans="5:12" x14ac:dyDescent="0.2">
      <c r="E760" s="1063"/>
      <c r="H760" s="1066"/>
      <c r="I760" s="1063"/>
      <c r="J760" s="1063"/>
      <c r="K760" s="1063"/>
      <c r="L760" s="1063"/>
    </row>
    <row r="761" spans="5:12" x14ac:dyDescent="0.2">
      <c r="E761" s="1063"/>
      <c r="H761" s="1066"/>
      <c r="I761" s="1063"/>
      <c r="J761" s="1063"/>
      <c r="K761" s="1063"/>
      <c r="L761" s="1063"/>
    </row>
    <row r="762" spans="5:12" x14ac:dyDescent="0.2">
      <c r="E762" s="1063"/>
      <c r="H762" s="1066"/>
      <c r="I762" s="1063"/>
      <c r="J762" s="1063"/>
      <c r="K762" s="1063"/>
      <c r="L762" s="1063"/>
    </row>
    <row r="763" spans="5:12" x14ac:dyDescent="0.2">
      <c r="E763" s="1063"/>
      <c r="H763" s="1066"/>
      <c r="I763" s="1063"/>
      <c r="J763" s="1063"/>
      <c r="K763" s="1063"/>
      <c r="L763" s="1063"/>
    </row>
    <row r="764" spans="5:12" x14ac:dyDescent="0.2">
      <c r="E764" s="1063"/>
      <c r="H764" s="1066"/>
      <c r="I764" s="1063"/>
      <c r="J764" s="1063"/>
      <c r="K764" s="1063"/>
      <c r="L764" s="1063"/>
    </row>
    <row r="765" spans="5:12" x14ac:dyDescent="0.2">
      <c r="E765" s="1063"/>
      <c r="H765" s="1066"/>
      <c r="I765" s="1063"/>
      <c r="J765" s="1063"/>
      <c r="K765" s="1063"/>
      <c r="L765" s="1063"/>
    </row>
    <row r="766" spans="5:12" x14ac:dyDescent="0.2">
      <c r="E766" s="1063"/>
      <c r="H766" s="1066"/>
      <c r="I766" s="1063"/>
      <c r="J766" s="1063"/>
      <c r="K766" s="1063"/>
      <c r="L766" s="1063"/>
    </row>
    <row r="767" spans="5:12" x14ac:dyDescent="0.2">
      <c r="E767" s="1063"/>
      <c r="H767" s="1066"/>
      <c r="I767" s="1063"/>
      <c r="J767" s="1063"/>
      <c r="K767" s="1063"/>
      <c r="L767" s="1063"/>
    </row>
    <row r="768" spans="5:12" x14ac:dyDescent="0.2">
      <c r="E768" s="1063"/>
      <c r="H768" s="1066"/>
      <c r="I768" s="1063"/>
      <c r="J768" s="1063"/>
      <c r="K768" s="1063"/>
      <c r="L768" s="1063"/>
    </row>
    <row r="769" spans="5:12" x14ac:dyDescent="0.2">
      <c r="E769" s="1063"/>
      <c r="H769" s="1066"/>
      <c r="I769" s="1063"/>
      <c r="J769" s="1063"/>
      <c r="K769" s="1063"/>
      <c r="L769" s="1063"/>
    </row>
    <row r="770" spans="5:12" x14ac:dyDescent="0.2">
      <c r="E770" s="1063"/>
      <c r="H770" s="1066"/>
      <c r="I770" s="1063"/>
      <c r="J770" s="1063"/>
      <c r="K770" s="1063"/>
      <c r="L770" s="1063"/>
    </row>
    <row r="771" spans="5:12" x14ac:dyDescent="0.2">
      <c r="E771" s="1063"/>
      <c r="H771" s="1066"/>
      <c r="I771" s="1063"/>
      <c r="J771" s="1063"/>
      <c r="K771" s="1063"/>
      <c r="L771" s="1063"/>
    </row>
    <row r="772" spans="5:12" x14ac:dyDescent="0.2">
      <c r="E772" s="1063"/>
      <c r="H772" s="1066"/>
      <c r="I772" s="1063"/>
      <c r="J772" s="1063"/>
      <c r="K772" s="1063"/>
      <c r="L772" s="1063"/>
    </row>
    <row r="773" spans="5:12" x14ac:dyDescent="0.2">
      <c r="E773" s="1063"/>
      <c r="H773" s="1066"/>
      <c r="I773" s="1063"/>
      <c r="J773" s="1063"/>
      <c r="K773" s="1063"/>
      <c r="L773" s="1063"/>
    </row>
    <row r="774" spans="5:12" x14ac:dyDescent="0.2">
      <c r="E774" s="1063"/>
      <c r="H774" s="1066"/>
      <c r="I774" s="1063"/>
      <c r="J774" s="1063"/>
      <c r="K774" s="1063"/>
      <c r="L774" s="1063"/>
    </row>
    <row r="775" spans="5:12" x14ac:dyDescent="0.2">
      <c r="E775" s="1063"/>
      <c r="H775" s="1066"/>
      <c r="I775" s="1063"/>
      <c r="J775" s="1063"/>
      <c r="K775" s="1063"/>
      <c r="L775" s="1063"/>
    </row>
    <row r="776" spans="5:12" x14ac:dyDescent="0.2">
      <c r="E776" s="1063"/>
      <c r="H776" s="1066"/>
      <c r="I776" s="1063"/>
      <c r="J776" s="1063"/>
      <c r="K776" s="1063"/>
      <c r="L776" s="1063"/>
    </row>
    <row r="777" spans="5:12" x14ac:dyDescent="0.2">
      <c r="E777" s="1063"/>
      <c r="H777" s="1066"/>
      <c r="I777" s="1063"/>
      <c r="J777" s="1063"/>
      <c r="K777" s="1063"/>
      <c r="L777" s="1063"/>
    </row>
    <row r="778" spans="5:12" x14ac:dyDescent="0.2">
      <c r="E778" s="1063"/>
      <c r="H778" s="1066"/>
      <c r="I778" s="1063"/>
      <c r="J778" s="1063"/>
      <c r="K778" s="1063"/>
      <c r="L778" s="1063"/>
    </row>
    <row r="779" spans="5:12" x14ac:dyDescent="0.2">
      <c r="E779" s="1063"/>
      <c r="H779" s="1066"/>
      <c r="I779" s="1063"/>
      <c r="J779" s="1063"/>
      <c r="K779" s="1063"/>
      <c r="L779" s="1063"/>
    </row>
    <row r="780" spans="5:12" x14ac:dyDescent="0.2">
      <c r="E780" s="1063"/>
      <c r="H780" s="1066"/>
      <c r="I780" s="1063"/>
      <c r="J780" s="1063"/>
      <c r="K780" s="1063"/>
      <c r="L780" s="1063"/>
    </row>
    <row r="781" spans="5:12" x14ac:dyDescent="0.2">
      <c r="E781" s="1063"/>
      <c r="H781" s="1066"/>
      <c r="I781" s="1063"/>
      <c r="J781" s="1063"/>
      <c r="K781" s="1063"/>
      <c r="L781" s="1063"/>
    </row>
    <row r="782" spans="5:12" x14ac:dyDescent="0.2">
      <c r="E782" s="1063"/>
      <c r="H782" s="1066"/>
      <c r="I782" s="1063"/>
      <c r="J782" s="1063"/>
      <c r="K782" s="1063"/>
      <c r="L782" s="1063"/>
    </row>
    <row r="783" spans="5:12" x14ac:dyDescent="0.2">
      <c r="E783" s="1063"/>
      <c r="H783" s="1066"/>
      <c r="I783" s="1063"/>
      <c r="J783" s="1063"/>
      <c r="K783" s="1063"/>
      <c r="L783" s="1063"/>
    </row>
    <row r="784" spans="5:12" x14ac:dyDescent="0.2">
      <c r="E784" s="1063"/>
      <c r="H784" s="1066"/>
      <c r="I784" s="1063"/>
      <c r="J784" s="1063"/>
      <c r="K784" s="1063"/>
      <c r="L784" s="1063"/>
    </row>
    <row r="785" spans="5:12" x14ac:dyDescent="0.2">
      <c r="E785" s="1063"/>
      <c r="H785" s="1066"/>
      <c r="I785" s="1063"/>
      <c r="J785" s="1063"/>
      <c r="K785" s="1063"/>
      <c r="L785" s="1063"/>
    </row>
    <row r="786" spans="5:12" x14ac:dyDescent="0.2">
      <c r="E786" s="1063"/>
      <c r="H786" s="1066"/>
      <c r="I786" s="1063"/>
      <c r="J786" s="1063"/>
      <c r="K786" s="1063"/>
      <c r="L786" s="1063"/>
    </row>
    <row r="787" spans="5:12" x14ac:dyDescent="0.2">
      <c r="E787" s="1063"/>
      <c r="H787" s="1066"/>
      <c r="I787" s="1063"/>
      <c r="J787" s="1063"/>
      <c r="K787" s="1063"/>
      <c r="L787" s="1063"/>
    </row>
    <row r="788" spans="5:12" x14ac:dyDescent="0.2">
      <c r="E788" s="1063"/>
      <c r="H788" s="1066"/>
      <c r="I788" s="1063"/>
      <c r="J788" s="1063"/>
      <c r="K788" s="1063"/>
      <c r="L788" s="1063"/>
    </row>
    <row r="789" spans="5:12" x14ac:dyDescent="0.2">
      <c r="E789" s="1063"/>
      <c r="H789" s="1066"/>
      <c r="I789" s="1063"/>
      <c r="J789" s="1063"/>
      <c r="K789" s="1063"/>
      <c r="L789" s="1063"/>
    </row>
    <row r="790" spans="5:12" x14ac:dyDescent="0.2">
      <c r="E790" s="1063"/>
      <c r="H790" s="1066"/>
      <c r="I790" s="1063"/>
      <c r="J790" s="1063"/>
      <c r="K790" s="1063"/>
      <c r="L790" s="1063"/>
    </row>
    <row r="791" spans="5:12" x14ac:dyDescent="0.2">
      <c r="E791" s="1063"/>
      <c r="H791" s="1066"/>
      <c r="I791" s="1063"/>
      <c r="J791" s="1063"/>
      <c r="K791" s="1063"/>
      <c r="L791" s="1063"/>
    </row>
    <row r="792" spans="5:12" x14ac:dyDescent="0.2">
      <c r="E792" s="1063"/>
      <c r="H792" s="1066"/>
      <c r="I792" s="1063"/>
      <c r="J792" s="1063"/>
      <c r="K792" s="1063"/>
      <c r="L792" s="1063"/>
    </row>
    <row r="793" spans="5:12" x14ac:dyDescent="0.2">
      <c r="E793" s="1063"/>
      <c r="H793" s="1066"/>
      <c r="I793" s="1063"/>
      <c r="J793" s="1063"/>
      <c r="K793" s="1063"/>
      <c r="L793" s="1063"/>
    </row>
    <row r="794" spans="5:12" x14ac:dyDescent="0.2">
      <c r="E794" s="1063"/>
      <c r="H794" s="1066"/>
      <c r="I794" s="1063"/>
      <c r="J794" s="1063"/>
      <c r="K794" s="1063"/>
      <c r="L794" s="1063"/>
    </row>
    <row r="795" spans="5:12" x14ac:dyDescent="0.2">
      <c r="E795" s="1063"/>
      <c r="H795" s="1066"/>
      <c r="I795" s="1063"/>
      <c r="J795" s="1063"/>
      <c r="K795" s="1063"/>
      <c r="L795" s="1063"/>
    </row>
    <row r="796" spans="5:12" x14ac:dyDescent="0.2">
      <c r="E796" s="1063"/>
      <c r="H796" s="1066"/>
      <c r="I796" s="1063"/>
      <c r="J796" s="1063"/>
      <c r="K796" s="1063"/>
      <c r="L796" s="1063"/>
    </row>
    <row r="797" spans="5:12" x14ac:dyDescent="0.2">
      <c r="E797" s="1063"/>
      <c r="H797" s="1066"/>
      <c r="I797" s="1063"/>
      <c r="J797" s="1063"/>
      <c r="K797" s="1063"/>
      <c r="L797" s="1063"/>
    </row>
    <row r="798" spans="5:12" x14ac:dyDescent="0.2">
      <c r="E798" s="1063"/>
      <c r="H798" s="1066"/>
      <c r="I798" s="1063"/>
      <c r="J798" s="1063"/>
      <c r="K798" s="1063"/>
      <c r="L798" s="1063"/>
    </row>
    <row r="799" spans="5:12" x14ac:dyDescent="0.2">
      <c r="E799" s="1063"/>
      <c r="H799" s="1066"/>
      <c r="I799" s="1063"/>
      <c r="J799" s="1063"/>
      <c r="K799" s="1063"/>
      <c r="L799" s="1063"/>
    </row>
    <row r="800" spans="5:12" x14ac:dyDescent="0.2">
      <c r="E800" s="1063"/>
      <c r="H800" s="1066"/>
      <c r="I800" s="1063"/>
      <c r="J800" s="1063"/>
      <c r="K800" s="1063"/>
      <c r="L800" s="1063"/>
    </row>
    <row r="801" spans="5:12" x14ac:dyDescent="0.2">
      <c r="E801" s="1063"/>
      <c r="H801" s="1066"/>
      <c r="I801" s="1063"/>
      <c r="J801" s="1063"/>
      <c r="K801" s="1063"/>
      <c r="L801" s="1063"/>
    </row>
    <row r="802" spans="5:12" x14ac:dyDescent="0.2">
      <c r="E802" s="1063"/>
      <c r="H802" s="1066"/>
      <c r="I802" s="1063"/>
      <c r="J802" s="1063"/>
      <c r="K802" s="1063"/>
      <c r="L802" s="1063"/>
    </row>
    <row r="803" spans="5:12" x14ac:dyDescent="0.2">
      <c r="E803" s="1063"/>
      <c r="H803" s="1066"/>
      <c r="I803" s="1063"/>
      <c r="J803" s="1063"/>
      <c r="K803" s="1063"/>
      <c r="L803" s="1063"/>
    </row>
    <row r="804" spans="5:12" x14ac:dyDescent="0.2">
      <c r="E804" s="1063"/>
      <c r="H804" s="1066"/>
      <c r="I804" s="1063"/>
      <c r="J804" s="1063"/>
      <c r="K804" s="1063"/>
      <c r="L804" s="1063"/>
    </row>
    <row r="805" spans="5:12" x14ac:dyDescent="0.2">
      <c r="E805" s="1063"/>
      <c r="H805" s="1066"/>
      <c r="I805" s="1063"/>
      <c r="J805" s="1063"/>
      <c r="K805" s="1063"/>
      <c r="L805" s="1063"/>
    </row>
    <row r="806" spans="5:12" x14ac:dyDescent="0.2">
      <c r="E806" s="1063"/>
      <c r="H806" s="1066"/>
      <c r="I806" s="1063"/>
      <c r="J806" s="1063"/>
      <c r="K806" s="1063"/>
      <c r="L806" s="1063"/>
    </row>
    <row r="807" spans="5:12" x14ac:dyDescent="0.2">
      <c r="E807" s="1063"/>
      <c r="H807" s="1066"/>
      <c r="I807" s="1063"/>
      <c r="J807" s="1063"/>
      <c r="K807" s="1063"/>
      <c r="L807" s="1063"/>
    </row>
    <row r="808" spans="5:12" x14ac:dyDescent="0.2">
      <c r="E808" s="1063"/>
      <c r="H808" s="1066"/>
      <c r="I808" s="1063"/>
      <c r="J808" s="1063"/>
      <c r="K808" s="1063"/>
      <c r="L808" s="1063"/>
    </row>
    <row r="809" spans="5:12" x14ac:dyDescent="0.2">
      <c r="E809" s="1063"/>
      <c r="H809" s="1066"/>
      <c r="I809" s="1063"/>
      <c r="J809" s="1063"/>
      <c r="K809" s="1063"/>
      <c r="L809" s="1063"/>
    </row>
    <row r="810" spans="5:12" x14ac:dyDescent="0.2">
      <c r="E810" s="1063"/>
      <c r="H810" s="1066"/>
      <c r="I810" s="1063"/>
      <c r="J810" s="1063"/>
      <c r="K810" s="1063"/>
      <c r="L810" s="1063"/>
    </row>
    <row r="811" spans="5:12" x14ac:dyDescent="0.2">
      <c r="E811" s="1063"/>
      <c r="H811" s="1066"/>
      <c r="I811" s="1063"/>
      <c r="J811" s="1063"/>
      <c r="K811" s="1063"/>
      <c r="L811" s="1063"/>
    </row>
    <row r="812" spans="5:12" x14ac:dyDescent="0.2">
      <c r="E812" s="1063"/>
      <c r="H812" s="1066"/>
      <c r="I812" s="1063"/>
      <c r="J812" s="1063"/>
      <c r="K812" s="1063"/>
      <c r="L812" s="1063"/>
    </row>
    <row r="813" spans="5:12" x14ac:dyDescent="0.2">
      <c r="E813" s="1063"/>
      <c r="H813" s="1066"/>
      <c r="I813" s="1063"/>
      <c r="J813" s="1063"/>
      <c r="K813" s="1063"/>
      <c r="L813" s="1063"/>
    </row>
    <row r="814" spans="5:12" x14ac:dyDescent="0.2">
      <c r="E814" s="1063"/>
      <c r="H814" s="1066"/>
      <c r="I814" s="1063"/>
      <c r="J814" s="1063"/>
      <c r="K814" s="1063"/>
      <c r="L814" s="1063"/>
    </row>
    <row r="815" spans="5:12" x14ac:dyDescent="0.2">
      <c r="E815" s="1063"/>
      <c r="H815" s="1066"/>
      <c r="I815" s="1063"/>
      <c r="J815" s="1063"/>
      <c r="K815" s="1063"/>
      <c r="L815" s="1063"/>
    </row>
    <row r="816" spans="5:12" x14ac:dyDescent="0.2">
      <c r="E816" s="1063"/>
      <c r="H816" s="1066"/>
      <c r="I816" s="1063"/>
      <c r="J816" s="1063"/>
      <c r="K816" s="1063"/>
      <c r="L816" s="1063"/>
    </row>
    <row r="817" spans="5:12" x14ac:dyDescent="0.2">
      <c r="E817" s="1063"/>
      <c r="H817" s="1066"/>
      <c r="I817" s="1063"/>
      <c r="J817" s="1063"/>
      <c r="K817" s="1063"/>
      <c r="L817" s="1063"/>
    </row>
    <row r="818" spans="5:12" x14ac:dyDescent="0.2">
      <c r="E818" s="1063"/>
      <c r="H818" s="1066"/>
      <c r="I818" s="1063"/>
      <c r="J818" s="1063"/>
      <c r="K818" s="1063"/>
      <c r="L818" s="1063"/>
    </row>
    <row r="819" spans="5:12" x14ac:dyDescent="0.2">
      <c r="E819" s="1063"/>
      <c r="H819" s="1066"/>
      <c r="I819" s="1063"/>
      <c r="J819" s="1063"/>
      <c r="K819" s="1063"/>
      <c r="L819" s="1063"/>
    </row>
    <row r="820" spans="5:12" x14ac:dyDescent="0.2">
      <c r="E820" s="1063"/>
      <c r="H820" s="1066"/>
      <c r="I820" s="1063"/>
      <c r="J820" s="1063"/>
      <c r="K820" s="1063"/>
      <c r="L820" s="1063"/>
    </row>
    <row r="821" spans="5:12" x14ac:dyDescent="0.2">
      <c r="E821" s="1063"/>
      <c r="H821" s="1066"/>
      <c r="I821" s="1063"/>
      <c r="J821" s="1063"/>
      <c r="K821" s="1063"/>
      <c r="L821" s="1063"/>
    </row>
    <row r="822" spans="5:12" x14ac:dyDescent="0.2">
      <c r="E822" s="1063"/>
      <c r="H822" s="1066"/>
      <c r="I822" s="1063"/>
      <c r="J822" s="1063"/>
      <c r="K822" s="1063"/>
      <c r="L822" s="1063"/>
    </row>
    <row r="823" spans="5:12" x14ac:dyDescent="0.2">
      <c r="E823" s="1063"/>
      <c r="H823" s="1066"/>
      <c r="I823" s="1063"/>
      <c r="J823" s="1063"/>
      <c r="K823" s="1063"/>
      <c r="L823" s="1063"/>
    </row>
    <row r="824" spans="5:12" x14ac:dyDescent="0.2">
      <c r="E824" s="1063"/>
      <c r="H824" s="1066"/>
      <c r="I824" s="1063"/>
      <c r="J824" s="1063"/>
      <c r="K824" s="1063"/>
      <c r="L824" s="1063"/>
    </row>
    <row r="825" spans="5:12" x14ac:dyDescent="0.2">
      <c r="E825" s="1063"/>
      <c r="H825" s="1066"/>
      <c r="I825" s="1063"/>
      <c r="J825" s="1063"/>
      <c r="K825" s="1063"/>
      <c r="L825" s="1063"/>
    </row>
    <row r="826" spans="5:12" x14ac:dyDescent="0.2">
      <c r="E826" s="1063"/>
      <c r="H826" s="1066"/>
      <c r="I826" s="1063"/>
      <c r="J826" s="1063"/>
      <c r="K826" s="1063"/>
      <c r="L826" s="1063"/>
    </row>
    <row r="827" spans="5:12" x14ac:dyDescent="0.2">
      <c r="E827" s="1063"/>
      <c r="H827" s="1066"/>
      <c r="I827" s="1063"/>
      <c r="J827" s="1063"/>
      <c r="K827" s="1063"/>
      <c r="L827" s="1063"/>
    </row>
    <row r="828" spans="5:12" x14ac:dyDescent="0.2">
      <c r="E828" s="1063"/>
      <c r="H828" s="1066"/>
      <c r="I828" s="1063"/>
      <c r="J828" s="1063"/>
      <c r="K828" s="1063"/>
      <c r="L828" s="1063"/>
    </row>
    <row r="829" spans="5:12" x14ac:dyDescent="0.2">
      <c r="E829" s="1063"/>
      <c r="H829" s="1066"/>
      <c r="I829" s="1063"/>
      <c r="J829" s="1063"/>
      <c r="K829" s="1063"/>
      <c r="L829" s="1063"/>
    </row>
    <row r="830" spans="5:12" x14ac:dyDescent="0.2">
      <c r="E830" s="1063"/>
      <c r="H830" s="1066"/>
      <c r="I830" s="1063"/>
      <c r="J830" s="1063"/>
      <c r="K830" s="1063"/>
      <c r="L830" s="1063"/>
    </row>
    <row r="831" spans="5:12" x14ac:dyDescent="0.2">
      <c r="E831" s="1063"/>
      <c r="H831" s="1066"/>
      <c r="I831" s="1063"/>
      <c r="J831" s="1063"/>
      <c r="K831" s="1063"/>
      <c r="L831" s="1063"/>
    </row>
    <row r="832" spans="5:12" x14ac:dyDescent="0.2">
      <c r="E832" s="1063"/>
      <c r="H832" s="1066"/>
      <c r="I832" s="1063"/>
      <c r="J832" s="1063"/>
      <c r="K832" s="1063"/>
      <c r="L832" s="1063"/>
    </row>
    <row r="833" spans="5:12" x14ac:dyDescent="0.2">
      <c r="E833" s="1063"/>
      <c r="H833" s="1066"/>
      <c r="I833" s="1063"/>
      <c r="J833" s="1063"/>
      <c r="K833" s="1063"/>
      <c r="L833" s="1063"/>
    </row>
    <row r="834" spans="5:12" x14ac:dyDescent="0.2">
      <c r="E834" s="1063"/>
      <c r="H834" s="1066"/>
      <c r="I834" s="1063"/>
      <c r="J834" s="1063"/>
      <c r="K834" s="1063"/>
      <c r="L834" s="1063"/>
    </row>
    <row r="835" spans="5:12" x14ac:dyDescent="0.2">
      <c r="E835" s="1063"/>
      <c r="H835" s="1066"/>
      <c r="I835" s="1063"/>
      <c r="J835" s="1063"/>
      <c r="K835" s="1063"/>
      <c r="L835" s="1063"/>
    </row>
    <row r="836" spans="5:12" x14ac:dyDescent="0.2">
      <c r="E836" s="1063"/>
      <c r="H836" s="1066"/>
      <c r="I836" s="1063"/>
      <c r="J836" s="1063"/>
      <c r="K836" s="1063"/>
      <c r="L836" s="1063"/>
    </row>
    <row r="837" spans="5:12" x14ac:dyDescent="0.2">
      <c r="E837" s="1063"/>
      <c r="H837" s="1066"/>
      <c r="I837" s="1063"/>
      <c r="J837" s="1063"/>
      <c r="K837" s="1063"/>
      <c r="L837" s="1063"/>
    </row>
    <row r="838" spans="5:12" x14ac:dyDescent="0.2">
      <c r="E838" s="1063"/>
      <c r="H838" s="1066"/>
      <c r="I838" s="1063"/>
      <c r="J838" s="1063"/>
      <c r="K838" s="1063"/>
      <c r="L838" s="1063"/>
    </row>
    <row r="839" spans="5:12" x14ac:dyDescent="0.2">
      <c r="E839" s="1063"/>
      <c r="H839" s="1066"/>
      <c r="I839" s="1063"/>
      <c r="J839" s="1063"/>
      <c r="K839" s="1063"/>
      <c r="L839" s="1063"/>
    </row>
    <row r="840" spans="5:12" x14ac:dyDescent="0.2">
      <c r="E840" s="1063"/>
      <c r="H840" s="1066"/>
      <c r="I840" s="1063"/>
      <c r="J840" s="1063"/>
      <c r="K840" s="1063"/>
      <c r="L840" s="1063"/>
    </row>
    <row r="841" spans="5:12" x14ac:dyDescent="0.2">
      <c r="E841" s="1063"/>
      <c r="H841" s="1066"/>
      <c r="I841" s="1063"/>
      <c r="J841" s="1063"/>
      <c r="K841" s="1063"/>
      <c r="L841" s="1063"/>
    </row>
    <row r="842" spans="5:12" x14ac:dyDescent="0.2">
      <c r="E842" s="1063"/>
      <c r="H842" s="1066"/>
      <c r="I842" s="1063"/>
      <c r="J842" s="1063"/>
      <c r="K842" s="1063"/>
      <c r="L842" s="1063"/>
    </row>
    <row r="843" spans="5:12" x14ac:dyDescent="0.2">
      <c r="E843" s="1063"/>
      <c r="H843" s="1066"/>
      <c r="I843" s="1063"/>
      <c r="J843" s="1063"/>
      <c r="K843" s="1063"/>
      <c r="L843" s="1063"/>
    </row>
    <row r="844" spans="5:12" x14ac:dyDescent="0.2">
      <c r="E844" s="1063"/>
      <c r="H844" s="1066"/>
      <c r="I844" s="1063"/>
      <c r="J844" s="1063"/>
      <c r="K844" s="1063"/>
      <c r="L844" s="1063"/>
    </row>
    <row r="845" spans="5:12" x14ac:dyDescent="0.2">
      <c r="E845" s="1063"/>
      <c r="H845" s="1066"/>
      <c r="I845" s="1063"/>
      <c r="J845" s="1063"/>
      <c r="K845" s="1063"/>
      <c r="L845" s="1063"/>
    </row>
    <row r="846" spans="5:12" x14ac:dyDescent="0.2">
      <c r="E846" s="1063"/>
      <c r="H846" s="1066"/>
      <c r="I846" s="1063"/>
      <c r="J846" s="1063"/>
      <c r="K846" s="1063"/>
      <c r="L846" s="1063"/>
    </row>
    <row r="847" spans="5:12" x14ac:dyDescent="0.2">
      <c r="E847" s="1063"/>
      <c r="H847" s="1066"/>
      <c r="I847" s="1063"/>
      <c r="J847" s="1063"/>
      <c r="K847" s="1063"/>
      <c r="L847" s="1063"/>
    </row>
    <row r="848" spans="5:12" x14ac:dyDescent="0.2">
      <c r="E848" s="1063"/>
      <c r="H848" s="1066"/>
      <c r="I848" s="1063"/>
      <c r="J848" s="1063"/>
      <c r="K848" s="1063"/>
      <c r="L848" s="1063"/>
    </row>
    <row r="849" spans="5:12" x14ac:dyDescent="0.2">
      <c r="E849" s="1063"/>
      <c r="H849" s="1066"/>
      <c r="I849" s="1063"/>
      <c r="J849" s="1063"/>
      <c r="K849" s="1063"/>
      <c r="L849" s="1063"/>
    </row>
    <row r="850" spans="5:12" x14ac:dyDescent="0.2">
      <c r="E850" s="1063"/>
      <c r="H850" s="1066"/>
      <c r="I850" s="1063"/>
      <c r="J850" s="1063"/>
      <c r="K850" s="1063"/>
      <c r="L850" s="1063"/>
    </row>
    <row r="851" spans="5:12" x14ac:dyDescent="0.2">
      <c r="E851" s="1063"/>
      <c r="H851" s="1066"/>
      <c r="I851" s="1063"/>
      <c r="J851" s="1063"/>
      <c r="K851" s="1063"/>
      <c r="L851" s="1063"/>
    </row>
    <row r="852" spans="5:12" x14ac:dyDescent="0.2">
      <c r="E852" s="1063"/>
      <c r="H852" s="1066"/>
      <c r="I852" s="1063"/>
      <c r="J852" s="1063"/>
      <c r="K852" s="1063"/>
      <c r="L852" s="1063"/>
    </row>
    <row r="853" spans="5:12" x14ac:dyDescent="0.2">
      <c r="E853" s="1063"/>
      <c r="H853" s="1066"/>
      <c r="I853" s="1063"/>
      <c r="J853" s="1063"/>
      <c r="K853" s="1063"/>
      <c r="L853" s="1063"/>
    </row>
    <row r="854" spans="5:12" x14ac:dyDescent="0.2">
      <c r="E854" s="1063"/>
      <c r="H854" s="1066"/>
      <c r="I854" s="1063"/>
      <c r="J854" s="1063"/>
      <c r="K854" s="1063"/>
      <c r="L854" s="1063"/>
    </row>
    <row r="855" spans="5:12" x14ac:dyDescent="0.2">
      <c r="E855" s="1063"/>
      <c r="H855" s="1066"/>
      <c r="I855" s="1063"/>
      <c r="J855" s="1063"/>
      <c r="K855" s="1063"/>
      <c r="L855" s="1063"/>
    </row>
    <row r="856" spans="5:12" x14ac:dyDescent="0.2">
      <c r="E856" s="1063"/>
      <c r="H856" s="1066"/>
      <c r="I856" s="1063"/>
      <c r="J856" s="1063"/>
      <c r="K856" s="1063"/>
      <c r="L856" s="1063"/>
    </row>
    <row r="857" spans="5:12" x14ac:dyDescent="0.2">
      <c r="E857" s="1063"/>
      <c r="H857" s="1066"/>
      <c r="I857" s="1063"/>
      <c r="J857" s="1063"/>
      <c r="K857" s="1063"/>
      <c r="L857" s="1063"/>
    </row>
    <row r="858" spans="5:12" x14ac:dyDescent="0.2">
      <c r="E858" s="1063"/>
      <c r="H858" s="1066"/>
      <c r="I858" s="1063"/>
      <c r="J858" s="1063"/>
      <c r="K858" s="1063"/>
      <c r="L858" s="1063"/>
    </row>
    <row r="859" spans="5:12" x14ac:dyDescent="0.2">
      <c r="E859" s="1063"/>
      <c r="H859" s="1066"/>
      <c r="I859" s="1063"/>
      <c r="J859" s="1063"/>
      <c r="K859" s="1063"/>
      <c r="L859" s="1063"/>
    </row>
    <row r="860" spans="5:12" x14ac:dyDescent="0.2">
      <c r="E860" s="1063"/>
      <c r="H860" s="1066"/>
      <c r="I860" s="1063"/>
      <c r="J860" s="1063"/>
      <c r="K860" s="1063"/>
      <c r="L860" s="1063"/>
    </row>
    <row r="861" spans="5:12" x14ac:dyDescent="0.2">
      <c r="E861" s="1063"/>
      <c r="H861" s="1066"/>
      <c r="I861" s="1063"/>
      <c r="J861" s="1063"/>
      <c r="K861" s="1063"/>
      <c r="L861" s="1063"/>
    </row>
    <row r="862" spans="5:12" x14ac:dyDescent="0.2">
      <c r="E862" s="1063"/>
      <c r="H862" s="1066"/>
      <c r="I862" s="1063"/>
      <c r="J862" s="1063"/>
      <c r="K862" s="1063"/>
      <c r="L862" s="1063"/>
    </row>
    <row r="863" spans="5:12" x14ac:dyDescent="0.2">
      <c r="E863" s="1063"/>
      <c r="H863" s="1066"/>
      <c r="I863" s="1063"/>
      <c r="J863" s="1063"/>
      <c r="K863" s="1063"/>
      <c r="L863" s="1063"/>
    </row>
    <row r="864" spans="5:12" x14ac:dyDescent="0.2">
      <c r="E864" s="1063"/>
      <c r="H864" s="1066"/>
      <c r="I864" s="1063"/>
      <c r="J864" s="1063"/>
      <c r="K864" s="1063"/>
      <c r="L864" s="1063"/>
    </row>
    <row r="865" spans="5:12" x14ac:dyDescent="0.2">
      <c r="E865" s="1063"/>
      <c r="H865" s="1066"/>
      <c r="I865" s="1063"/>
      <c r="J865" s="1063"/>
      <c r="K865" s="1063"/>
      <c r="L865" s="1063"/>
    </row>
    <row r="866" spans="5:12" x14ac:dyDescent="0.2">
      <c r="E866" s="1063"/>
      <c r="H866" s="1066"/>
      <c r="I866" s="1063"/>
      <c r="J866" s="1063"/>
      <c r="K866" s="1063"/>
      <c r="L866" s="1063"/>
    </row>
    <row r="867" spans="5:12" x14ac:dyDescent="0.2">
      <c r="E867" s="1063"/>
      <c r="H867" s="1066"/>
      <c r="I867" s="1063"/>
      <c r="J867" s="1063"/>
      <c r="K867" s="1063"/>
      <c r="L867" s="1063"/>
    </row>
    <row r="868" spans="5:12" x14ac:dyDescent="0.2">
      <c r="E868" s="1063"/>
      <c r="H868" s="1066"/>
      <c r="I868" s="1063"/>
      <c r="J868" s="1063"/>
      <c r="K868" s="1063"/>
      <c r="L868" s="1063"/>
    </row>
    <row r="869" spans="5:12" x14ac:dyDescent="0.2">
      <c r="E869" s="1063"/>
      <c r="H869" s="1066"/>
      <c r="I869" s="1063"/>
      <c r="J869" s="1063"/>
      <c r="K869" s="1063"/>
      <c r="L869" s="1063"/>
    </row>
    <row r="870" spans="5:12" x14ac:dyDescent="0.2">
      <c r="E870" s="1063"/>
      <c r="H870" s="1066"/>
      <c r="I870" s="1063"/>
      <c r="J870" s="1063"/>
      <c r="K870" s="1063"/>
      <c r="L870" s="1063"/>
    </row>
    <row r="871" spans="5:12" x14ac:dyDescent="0.2">
      <c r="E871" s="1063"/>
      <c r="H871" s="1066"/>
      <c r="I871" s="1063"/>
      <c r="J871" s="1063"/>
      <c r="K871" s="1063"/>
      <c r="L871" s="1063"/>
    </row>
    <row r="872" spans="5:12" x14ac:dyDescent="0.2">
      <c r="E872" s="1063"/>
      <c r="H872" s="1066"/>
      <c r="I872" s="1063"/>
      <c r="J872" s="1063"/>
      <c r="K872" s="1063"/>
      <c r="L872" s="1063"/>
    </row>
    <row r="873" spans="5:12" x14ac:dyDescent="0.2">
      <c r="E873" s="1063"/>
      <c r="H873" s="1066"/>
      <c r="I873" s="1063"/>
      <c r="J873" s="1063"/>
      <c r="K873" s="1063"/>
      <c r="L873" s="1063"/>
    </row>
    <row r="874" spans="5:12" x14ac:dyDescent="0.2">
      <c r="E874" s="1063"/>
      <c r="H874" s="1066"/>
      <c r="I874" s="1063"/>
      <c r="J874" s="1063"/>
      <c r="K874" s="1063"/>
      <c r="L874" s="1063"/>
    </row>
    <row r="875" spans="5:12" x14ac:dyDescent="0.2">
      <c r="E875" s="1063"/>
      <c r="H875" s="1066"/>
      <c r="I875" s="1063"/>
      <c r="J875" s="1063"/>
      <c r="K875" s="1063"/>
      <c r="L875" s="1063"/>
    </row>
    <row r="876" spans="5:12" x14ac:dyDescent="0.2">
      <c r="E876" s="1063"/>
      <c r="H876" s="1066"/>
      <c r="I876" s="1063"/>
      <c r="J876" s="1063"/>
      <c r="K876" s="1063"/>
      <c r="L876" s="1063"/>
    </row>
    <row r="877" spans="5:12" x14ac:dyDescent="0.2">
      <c r="E877" s="1063"/>
      <c r="H877" s="1066"/>
      <c r="I877" s="1063"/>
      <c r="J877" s="1063"/>
      <c r="K877" s="1063"/>
      <c r="L877" s="1063"/>
    </row>
    <row r="878" spans="5:12" x14ac:dyDescent="0.2">
      <c r="E878" s="1063"/>
      <c r="H878" s="1066"/>
      <c r="I878" s="1063"/>
      <c r="J878" s="1063"/>
      <c r="K878" s="1063"/>
      <c r="L878" s="1063"/>
    </row>
    <row r="879" spans="5:12" x14ac:dyDescent="0.2">
      <c r="E879" s="1063"/>
      <c r="H879" s="1066"/>
      <c r="I879" s="1063"/>
      <c r="J879" s="1063"/>
      <c r="K879" s="1063"/>
      <c r="L879" s="1063"/>
    </row>
    <row r="880" spans="5:12" x14ac:dyDescent="0.2">
      <c r="E880" s="1063"/>
      <c r="H880" s="1066"/>
      <c r="I880" s="1063"/>
      <c r="J880" s="1063"/>
      <c r="K880" s="1063"/>
      <c r="L880" s="1063"/>
    </row>
    <row r="881" spans="5:12" x14ac:dyDescent="0.2">
      <c r="E881" s="1063"/>
      <c r="H881" s="1066"/>
      <c r="I881" s="1063"/>
      <c r="J881" s="1063"/>
      <c r="K881" s="1063"/>
      <c r="L881" s="1063"/>
    </row>
    <row r="882" spans="5:12" x14ac:dyDescent="0.2">
      <c r="E882" s="1063"/>
      <c r="H882" s="1066"/>
      <c r="I882" s="1063"/>
      <c r="J882" s="1063"/>
      <c r="K882" s="1063"/>
      <c r="L882" s="1063"/>
    </row>
    <row r="883" spans="5:12" x14ac:dyDescent="0.2">
      <c r="E883" s="1063"/>
      <c r="H883" s="1066"/>
      <c r="I883" s="1063"/>
      <c r="J883" s="1063"/>
      <c r="K883" s="1063"/>
      <c r="L883" s="1063"/>
    </row>
    <row r="884" spans="5:12" x14ac:dyDescent="0.2">
      <c r="E884" s="1063"/>
      <c r="H884" s="1066"/>
      <c r="I884" s="1063"/>
      <c r="J884" s="1063"/>
      <c r="K884" s="1063"/>
      <c r="L884" s="1063"/>
    </row>
    <row r="885" spans="5:12" x14ac:dyDescent="0.2">
      <c r="E885" s="1063"/>
      <c r="H885" s="1066"/>
      <c r="I885" s="1063"/>
      <c r="J885" s="1063"/>
      <c r="K885" s="1063"/>
      <c r="L885" s="1063"/>
    </row>
    <row r="886" spans="5:12" x14ac:dyDescent="0.2">
      <c r="E886" s="1063"/>
      <c r="H886" s="1066"/>
      <c r="I886" s="1063"/>
      <c r="J886" s="1063"/>
      <c r="K886" s="1063"/>
      <c r="L886" s="1063"/>
    </row>
    <row r="887" spans="5:12" x14ac:dyDescent="0.2">
      <c r="E887" s="1063"/>
      <c r="H887" s="1066"/>
      <c r="I887" s="1063"/>
      <c r="J887" s="1063"/>
      <c r="K887" s="1063"/>
      <c r="L887" s="1063"/>
    </row>
    <row r="888" spans="5:12" x14ac:dyDescent="0.2">
      <c r="E888" s="1063"/>
      <c r="H888" s="1066"/>
      <c r="I888" s="1063"/>
      <c r="J888" s="1063"/>
      <c r="K888" s="1063"/>
      <c r="L888" s="1063"/>
    </row>
    <row r="889" spans="5:12" x14ac:dyDescent="0.2">
      <c r="E889" s="1063"/>
      <c r="H889" s="1066"/>
      <c r="I889" s="1063"/>
      <c r="J889" s="1063"/>
      <c r="K889" s="1063"/>
      <c r="L889" s="1063"/>
    </row>
    <row r="890" spans="5:12" x14ac:dyDescent="0.2">
      <c r="E890" s="1063"/>
      <c r="H890" s="1066"/>
      <c r="I890" s="1063"/>
      <c r="J890" s="1063"/>
      <c r="K890" s="1063"/>
      <c r="L890" s="1063"/>
    </row>
    <row r="891" spans="5:12" x14ac:dyDescent="0.2">
      <c r="E891" s="1063"/>
      <c r="H891" s="1066"/>
      <c r="I891" s="1063"/>
      <c r="J891" s="1063"/>
      <c r="K891" s="1063"/>
      <c r="L891" s="1063"/>
    </row>
    <row r="892" spans="5:12" x14ac:dyDescent="0.2">
      <c r="E892" s="1063"/>
      <c r="H892" s="1066"/>
      <c r="I892" s="1063"/>
      <c r="J892" s="1063"/>
      <c r="K892" s="1063"/>
      <c r="L892" s="1063"/>
    </row>
    <row r="893" spans="5:12" x14ac:dyDescent="0.2">
      <c r="E893" s="1063"/>
      <c r="H893" s="1066"/>
      <c r="I893" s="1063"/>
      <c r="J893" s="1063"/>
      <c r="K893" s="1063"/>
      <c r="L893" s="1063"/>
    </row>
    <row r="894" spans="5:12" x14ac:dyDescent="0.2">
      <c r="E894" s="1063"/>
      <c r="H894" s="1066"/>
      <c r="I894" s="1063"/>
      <c r="J894" s="1063"/>
      <c r="K894" s="1063"/>
      <c r="L894" s="1063"/>
    </row>
    <row r="895" spans="5:12" x14ac:dyDescent="0.2">
      <c r="E895" s="1063"/>
      <c r="H895" s="1066"/>
      <c r="I895" s="1063"/>
      <c r="J895" s="1063"/>
      <c r="K895" s="1063"/>
      <c r="L895" s="1063"/>
    </row>
    <row r="896" spans="5:12" x14ac:dyDescent="0.2">
      <c r="E896" s="1063"/>
      <c r="H896" s="1066"/>
      <c r="I896" s="1063"/>
      <c r="J896" s="1063"/>
      <c r="K896" s="1063"/>
      <c r="L896" s="1063"/>
    </row>
    <row r="897" spans="5:12" x14ac:dyDescent="0.2">
      <c r="E897" s="1063"/>
      <c r="H897" s="1066"/>
      <c r="I897" s="1063"/>
      <c r="J897" s="1063"/>
      <c r="K897" s="1063"/>
      <c r="L897" s="1063"/>
    </row>
    <row r="898" spans="5:12" x14ac:dyDescent="0.2">
      <c r="E898" s="1063"/>
      <c r="H898" s="1066"/>
      <c r="I898" s="1063"/>
      <c r="J898" s="1063"/>
      <c r="K898" s="1063"/>
      <c r="L898" s="1063"/>
    </row>
    <row r="899" spans="5:12" x14ac:dyDescent="0.2">
      <c r="E899" s="1063"/>
      <c r="H899" s="1066"/>
      <c r="I899" s="1063"/>
      <c r="J899" s="1063"/>
      <c r="K899" s="1063"/>
      <c r="L899" s="1063"/>
    </row>
    <row r="900" spans="5:12" x14ac:dyDescent="0.2">
      <c r="E900" s="1063"/>
      <c r="H900" s="1066"/>
      <c r="I900" s="1063"/>
      <c r="J900" s="1063"/>
      <c r="K900" s="1063"/>
      <c r="L900" s="1063"/>
    </row>
    <row r="901" spans="5:12" x14ac:dyDescent="0.2">
      <c r="E901" s="1063"/>
      <c r="H901" s="1066"/>
      <c r="I901" s="1063"/>
      <c r="J901" s="1063"/>
      <c r="K901" s="1063"/>
      <c r="L901" s="1063"/>
    </row>
    <row r="902" spans="5:12" x14ac:dyDescent="0.2">
      <c r="E902" s="1063"/>
      <c r="H902" s="1066"/>
      <c r="I902" s="1063"/>
      <c r="J902" s="1063"/>
      <c r="K902" s="1063"/>
      <c r="L902" s="1063"/>
    </row>
    <row r="903" spans="5:12" x14ac:dyDescent="0.2">
      <c r="E903" s="1063"/>
      <c r="H903" s="1066"/>
      <c r="I903" s="1063"/>
      <c r="J903" s="1063"/>
      <c r="K903" s="1063"/>
      <c r="L903" s="1063"/>
    </row>
    <row r="904" spans="5:12" x14ac:dyDescent="0.2">
      <c r="E904" s="1063"/>
      <c r="H904" s="1066"/>
      <c r="I904" s="1063"/>
      <c r="J904" s="1063"/>
      <c r="K904" s="1063"/>
      <c r="L904" s="1063"/>
    </row>
    <row r="905" spans="5:12" x14ac:dyDescent="0.2">
      <c r="E905" s="1063"/>
      <c r="H905" s="1066"/>
      <c r="I905" s="1063"/>
      <c r="J905" s="1063"/>
      <c r="K905" s="1063"/>
      <c r="L905" s="1063"/>
    </row>
    <row r="906" spans="5:12" x14ac:dyDescent="0.2">
      <c r="E906" s="1063"/>
      <c r="H906" s="1066"/>
      <c r="I906" s="1063"/>
      <c r="J906" s="1063"/>
      <c r="K906" s="1063"/>
      <c r="L906" s="1063"/>
    </row>
    <row r="907" spans="5:12" x14ac:dyDescent="0.2">
      <c r="E907" s="1063"/>
      <c r="H907" s="1066"/>
      <c r="I907" s="1063"/>
      <c r="J907" s="1063"/>
      <c r="K907" s="1063"/>
      <c r="L907" s="1063"/>
    </row>
    <row r="908" spans="5:12" x14ac:dyDescent="0.2">
      <c r="E908" s="1063"/>
      <c r="H908" s="1066"/>
      <c r="I908" s="1063"/>
      <c r="J908" s="1063"/>
      <c r="K908" s="1063"/>
      <c r="L908" s="1063"/>
    </row>
    <row r="909" spans="5:12" x14ac:dyDescent="0.2">
      <c r="E909" s="1063"/>
      <c r="H909" s="1066"/>
      <c r="I909" s="1063"/>
      <c r="J909" s="1063"/>
      <c r="K909" s="1063"/>
      <c r="L909" s="1063"/>
    </row>
    <row r="910" spans="5:12" x14ac:dyDescent="0.2">
      <c r="E910" s="1063"/>
      <c r="H910" s="1066"/>
      <c r="I910" s="1063"/>
      <c r="J910" s="1063"/>
      <c r="K910" s="1063"/>
      <c r="L910" s="1063"/>
    </row>
    <row r="911" spans="5:12" x14ac:dyDescent="0.2">
      <c r="E911" s="1063"/>
      <c r="H911" s="1066"/>
      <c r="I911" s="1063"/>
      <c r="J911" s="1063"/>
      <c r="K911" s="1063"/>
      <c r="L911" s="1063"/>
    </row>
    <row r="912" spans="5:12" x14ac:dyDescent="0.2">
      <c r="E912" s="1063"/>
      <c r="H912" s="1066"/>
      <c r="I912" s="1063"/>
      <c r="J912" s="1063"/>
      <c r="K912" s="1063"/>
      <c r="L912" s="1063"/>
    </row>
    <row r="913" spans="5:12" x14ac:dyDescent="0.2">
      <c r="E913" s="1063"/>
      <c r="H913" s="1066"/>
      <c r="I913" s="1063"/>
      <c r="J913" s="1063"/>
      <c r="K913" s="1063"/>
      <c r="L913" s="1063"/>
    </row>
    <row r="914" spans="5:12" x14ac:dyDescent="0.2">
      <c r="E914" s="1063"/>
      <c r="H914" s="1066"/>
      <c r="I914" s="1063"/>
      <c r="J914" s="1063"/>
      <c r="K914" s="1063"/>
      <c r="L914" s="1063"/>
    </row>
    <row r="915" spans="5:12" x14ac:dyDescent="0.2">
      <c r="E915" s="1063"/>
      <c r="H915" s="1066"/>
      <c r="I915" s="1063"/>
      <c r="J915" s="1063"/>
      <c r="K915" s="1063"/>
      <c r="L915" s="1063"/>
    </row>
    <row r="916" spans="5:12" x14ac:dyDescent="0.2">
      <c r="E916" s="1063"/>
      <c r="H916" s="1066"/>
      <c r="I916" s="1063"/>
      <c r="J916" s="1063"/>
      <c r="K916" s="1063"/>
      <c r="L916" s="1063"/>
    </row>
    <row r="917" spans="5:12" x14ac:dyDescent="0.2">
      <c r="E917" s="1063"/>
      <c r="H917" s="1066"/>
      <c r="I917" s="1063"/>
      <c r="J917" s="1063"/>
      <c r="K917" s="1063"/>
      <c r="L917" s="1063"/>
    </row>
    <row r="918" spans="5:12" x14ac:dyDescent="0.2">
      <c r="E918" s="1063"/>
      <c r="H918" s="1066"/>
      <c r="I918" s="1063"/>
      <c r="J918" s="1063"/>
      <c r="K918" s="1063"/>
      <c r="L918" s="1063"/>
    </row>
    <row r="919" spans="5:12" x14ac:dyDescent="0.2">
      <c r="E919" s="1063"/>
      <c r="H919" s="1066"/>
      <c r="I919" s="1063"/>
      <c r="J919" s="1063"/>
      <c r="K919" s="1063"/>
      <c r="L919" s="1063"/>
    </row>
    <row r="920" spans="5:12" x14ac:dyDescent="0.2">
      <c r="E920" s="1063"/>
      <c r="H920" s="1066"/>
      <c r="I920" s="1063"/>
      <c r="J920" s="1063"/>
      <c r="K920" s="1063"/>
      <c r="L920" s="1063"/>
    </row>
    <row r="921" spans="5:12" x14ac:dyDescent="0.2">
      <c r="E921" s="1063"/>
      <c r="H921" s="1066"/>
      <c r="I921" s="1063"/>
      <c r="J921" s="1063"/>
      <c r="K921" s="1063"/>
      <c r="L921" s="1063"/>
    </row>
    <row r="922" spans="5:12" x14ac:dyDescent="0.2">
      <c r="E922" s="1063"/>
      <c r="H922" s="1066"/>
      <c r="I922" s="1063"/>
      <c r="J922" s="1063"/>
      <c r="K922" s="1063"/>
      <c r="L922" s="1063"/>
    </row>
    <row r="923" spans="5:12" x14ac:dyDescent="0.2">
      <c r="E923" s="1063"/>
      <c r="H923" s="1066"/>
      <c r="I923" s="1063"/>
      <c r="J923" s="1063"/>
      <c r="K923" s="1063"/>
      <c r="L923" s="1063"/>
    </row>
    <row r="924" spans="5:12" x14ac:dyDescent="0.2">
      <c r="E924" s="1063"/>
      <c r="H924" s="1066"/>
      <c r="I924" s="1063"/>
      <c r="J924" s="1063"/>
      <c r="K924" s="1063"/>
      <c r="L924" s="1063"/>
    </row>
    <row r="925" spans="5:12" x14ac:dyDescent="0.2">
      <c r="E925" s="1063"/>
      <c r="H925" s="1066"/>
      <c r="I925" s="1063"/>
      <c r="J925" s="1063"/>
      <c r="K925" s="1063"/>
      <c r="L925" s="1063"/>
    </row>
    <row r="926" spans="5:12" x14ac:dyDescent="0.2">
      <c r="E926" s="1063"/>
      <c r="H926" s="1066"/>
      <c r="I926" s="1063"/>
      <c r="J926" s="1063"/>
      <c r="K926" s="1063"/>
      <c r="L926" s="1063"/>
    </row>
    <row r="927" spans="5:12" x14ac:dyDescent="0.2">
      <c r="E927" s="1063"/>
      <c r="H927" s="1066"/>
      <c r="I927" s="1063"/>
      <c r="J927" s="1063"/>
      <c r="K927" s="1063"/>
      <c r="L927" s="1063"/>
    </row>
    <row r="928" spans="5:12" x14ac:dyDescent="0.2">
      <c r="E928" s="1063"/>
      <c r="H928" s="1066"/>
      <c r="I928" s="1063"/>
      <c r="J928" s="1063"/>
      <c r="K928" s="1063"/>
      <c r="L928" s="1063"/>
    </row>
    <row r="929" spans="5:12" x14ac:dyDescent="0.2">
      <c r="E929" s="1063"/>
      <c r="H929" s="1066"/>
      <c r="I929" s="1063"/>
      <c r="J929" s="1063"/>
      <c r="K929" s="1063"/>
      <c r="L929" s="1063"/>
    </row>
    <row r="930" spans="5:12" x14ac:dyDescent="0.2">
      <c r="E930" s="1063"/>
      <c r="H930" s="1066"/>
      <c r="I930" s="1063"/>
      <c r="J930" s="1063"/>
      <c r="K930" s="1063"/>
      <c r="L930" s="1063"/>
    </row>
    <row r="931" spans="5:12" x14ac:dyDescent="0.2">
      <c r="E931" s="1063"/>
      <c r="H931" s="1066"/>
      <c r="I931" s="1063"/>
      <c r="J931" s="1063"/>
      <c r="K931" s="1063"/>
      <c r="L931" s="1063"/>
    </row>
    <row r="932" spans="5:12" x14ac:dyDescent="0.2">
      <c r="E932" s="1063"/>
      <c r="H932" s="1066"/>
      <c r="I932" s="1063"/>
      <c r="J932" s="1063"/>
      <c r="K932" s="1063"/>
      <c r="L932" s="1063"/>
    </row>
    <row r="933" spans="5:12" x14ac:dyDescent="0.2">
      <c r="E933" s="1063"/>
      <c r="H933" s="1066"/>
      <c r="I933" s="1063"/>
      <c r="J933" s="1063"/>
      <c r="K933" s="1063"/>
      <c r="L933" s="1063"/>
    </row>
    <row r="934" spans="5:12" x14ac:dyDescent="0.2">
      <c r="E934" s="1063"/>
      <c r="H934" s="1066"/>
      <c r="I934" s="1063"/>
      <c r="J934" s="1063"/>
      <c r="K934" s="1063"/>
      <c r="L934" s="1063"/>
    </row>
    <row r="935" spans="5:12" x14ac:dyDescent="0.2">
      <c r="E935" s="1063"/>
      <c r="H935" s="1066"/>
      <c r="I935" s="1063"/>
      <c r="J935" s="1063"/>
      <c r="K935" s="1063"/>
      <c r="L935" s="1063"/>
    </row>
    <row r="936" spans="5:12" x14ac:dyDescent="0.2">
      <c r="E936" s="1063"/>
      <c r="H936" s="1066"/>
      <c r="I936" s="1063"/>
      <c r="J936" s="1063"/>
      <c r="K936" s="1063"/>
      <c r="L936" s="1063"/>
    </row>
    <row r="937" spans="5:12" x14ac:dyDescent="0.2">
      <c r="E937" s="1063"/>
      <c r="H937" s="1066"/>
      <c r="I937" s="1063"/>
      <c r="J937" s="1063"/>
      <c r="K937" s="1063"/>
      <c r="L937" s="1063"/>
    </row>
    <row r="938" spans="5:12" x14ac:dyDescent="0.2">
      <c r="E938" s="1063"/>
      <c r="H938" s="1066"/>
      <c r="I938" s="1063"/>
      <c r="J938" s="1063"/>
      <c r="K938" s="1063"/>
      <c r="L938" s="1063"/>
    </row>
    <row r="939" spans="5:12" x14ac:dyDescent="0.2">
      <c r="E939" s="1063"/>
      <c r="H939" s="1066"/>
      <c r="I939" s="1063"/>
      <c r="J939" s="1063"/>
      <c r="K939" s="1063"/>
      <c r="L939" s="1063"/>
    </row>
    <row r="940" spans="5:12" x14ac:dyDescent="0.2">
      <c r="E940" s="1063"/>
      <c r="H940" s="1066"/>
      <c r="I940" s="1063"/>
      <c r="J940" s="1063"/>
      <c r="K940" s="1063"/>
      <c r="L940" s="1063"/>
    </row>
    <row r="941" spans="5:12" x14ac:dyDescent="0.2">
      <c r="E941" s="1063"/>
      <c r="H941" s="1066"/>
      <c r="I941" s="1063"/>
      <c r="J941" s="1063"/>
      <c r="K941" s="1063"/>
      <c r="L941" s="1063"/>
    </row>
    <row r="942" spans="5:12" x14ac:dyDescent="0.2">
      <c r="E942" s="1063"/>
      <c r="H942" s="1066"/>
      <c r="I942" s="1063"/>
      <c r="J942" s="1063"/>
      <c r="K942" s="1063"/>
      <c r="L942" s="1063"/>
    </row>
    <row r="943" spans="5:12" x14ac:dyDescent="0.2">
      <c r="E943" s="1063"/>
      <c r="H943" s="1066"/>
      <c r="I943" s="1063"/>
      <c r="J943" s="1063"/>
      <c r="K943" s="1063"/>
      <c r="L943" s="1063"/>
    </row>
    <row r="944" spans="5:12" x14ac:dyDescent="0.2">
      <c r="E944" s="1063"/>
      <c r="H944" s="1066"/>
      <c r="I944" s="1063"/>
      <c r="J944" s="1063"/>
      <c r="K944" s="1063"/>
      <c r="L944" s="1063"/>
    </row>
    <row r="945" spans="5:12" x14ac:dyDescent="0.2">
      <c r="E945" s="1063"/>
      <c r="H945" s="1066"/>
      <c r="I945" s="1063"/>
      <c r="J945" s="1063"/>
      <c r="K945" s="1063"/>
      <c r="L945" s="1063"/>
    </row>
    <row r="946" spans="5:12" x14ac:dyDescent="0.2">
      <c r="E946" s="1063"/>
      <c r="H946" s="1066"/>
      <c r="I946" s="1063"/>
      <c r="J946" s="1063"/>
      <c r="K946" s="1063"/>
      <c r="L946" s="1063"/>
    </row>
    <row r="947" spans="5:12" x14ac:dyDescent="0.2">
      <c r="E947" s="1063"/>
      <c r="H947" s="1066"/>
      <c r="I947" s="1063"/>
      <c r="J947" s="1063"/>
      <c r="K947" s="1063"/>
      <c r="L947" s="1063"/>
    </row>
    <row r="948" spans="5:12" x14ac:dyDescent="0.2">
      <c r="E948" s="1063"/>
      <c r="H948" s="1066"/>
      <c r="I948" s="1063"/>
      <c r="J948" s="1063"/>
      <c r="K948" s="1063"/>
      <c r="L948" s="1063"/>
    </row>
    <row r="949" spans="5:12" x14ac:dyDescent="0.2">
      <c r="E949" s="1063"/>
      <c r="H949" s="1066"/>
      <c r="I949" s="1063"/>
      <c r="J949" s="1063"/>
      <c r="K949" s="1063"/>
      <c r="L949" s="1063"/>
    </row>
    <row r="950" spans="5:12" x14ac:dyDescent="0.2">
      <c r="E950" s="1063"/>
      <c r="H950" s="1066"/>
      <c r="I950" s="1063"/>
      <c r="J950" s="1063"/>
      <c r="K950" s="1063"/>
      <c r="L950" s="1063"/>
    </row>
    <row r="951" spans="5:12" x14ac:dyDescent="0.2">
      <c r="E951" s="1063"/>
      <c r="H951" s="1066"/>
      <c r="I951" s="1063"/>
      <c r="J951" s="1063"/>
      <c r="K951" s="1063"/>
      <c r="L951" s="1063"/>
    </row>
    <row r="952" spans="5:12" x14ac:dyDescent="0.2">
      <c r="E952" s="1063"/>
      <c r="H952" s="1066"/>
      <c r="I952" s="1063"/>
      <c r="J952" s="1063"/>
      <c r="K952" s="1063"/>
      <c r="L952" s="1063"/>
    </row>
    <row r="953" spans="5:12" x14ac:dyDescent="0.2">
      <c r="E953" s="1063"/>
      <c r="H953" s="1066"/>
      <c r="I953" s="1063"/>
      <c r="J953" s="1063"/>
      <c r="K953" s="1063"/>
      <c r="L953" s="1063"/>
    </row>
    <row r="954" spans="5:12" x14ac:dyDescent="0.2">
      <c r="E954" s="1063"/>
      <c r="H954" s="1066"/>
      <c r="I954" s="1063"/>
      <c r="J954" s="1063"/>
      <c r="K954" s="1063"/>
      <c r="L954" s="1063"/>
    </row>
    <row r="955" spans="5:12" x14ac:dyDescent="0.2">
      <c r="E955" s="1063"/>
      <c r="H955" s="1066"/>
      <c r="I955" s="1063"/>
      <c r="J955" s="1063"/>
      <c r="K955" s="1063"/>
      <c r="L955" s="1063"/>
    </row>
    <row r="956" spans="5:12" x14ac:dyDescent="0.2">
      <c r="E956" s="1063"/>
      <c r="H956" s="1066"/>
      <c r="I956" s="1063"/>
      <c r="J956" s="1063"/>
      <c r="K956" s="1063"/>
      <c r="L956" s="1063"/>
    </row>
    <row r="957" spans="5:12" x14ac:dyDescent="0.2">
      <c r="E957" s="1063"/>
      <c r="H957" s="1066"/>
      <c r="I957" s="1063"/>
      <c r="J957" s="1063"/>
      <c r="K957" s="1063"/>
      <c r="L957" s="1063"/>
    </row>
    <row r="958" spans="5:12" x14ac:dyDescent="0.2">
      <c r="E958" s="1063"/>
      <c r="H958" s="1066"/>
      <c r="I958" s="1063"/>
      <c r="J958" s="1063"/>
      <c r="K958" s="1063"/>
      <c r="L958" s="1063"/>
    </row>
    <row r="959" spans="5:12" x14ac:dyDescent="0.2">
      <c r="E959" s="1063"/>
      <c r="H959" s="1066"/>
      <c r="I959" s="1063"/>
      <c r="J959" s="1063"/>
      <c r="K959" s="1063"/>
      <c r="L959" s="1063"/>
    </row>
    <row r="960" spans="5:12" x14ac:dyDescent="0.2">
      <c r="E960" s="1063"/>
      <c r="H960" s="1066"/>
      <c r="I960" s="1063"/>
      <c r="J960" s="1063"/>
      <c r="K960" s="1063"/>
      <c r="L960" s="1063"/>
    </row>
    <row r="961" spans="5:12" x14ac:dyDescent="0.2">
      <c r="E961" s="1063"/>
      <c r="H961" s="1066"/>
      <c r="I961" s="1063"/>
      <c r="J961" s="1063"/>
      <c r="K961" s="1063"/>
      <c r="L961" s="1063"/>
    </row>
    <row r="962" spans="5:12" x14ac:dyDescent="0.2">
      <c r="E962" s="1063"/>
      <c r="H962" s="1066"/>
      <c r="I962" s="1063"/>
      <c r="J962" s="1063"/>
      <c r="K962" s="1063"/>
      <c r="L962" s="1063"/>
    </row>
    <row r="963" spans="5:12" x14ac:dyDescent="0.2">
      <c r="E963" s="1063"/>
      <c r="H963" s="1066"/>
      <c r="I963" s="1063"/>
      <c r="J963" s="1063"/>
      <c r="K963" s="1063"/>
      <c r="L963" s="1063"/>
    </row>
    <row r="964" spans="5:12" x14ac:dyDescent="0.2">
      <c r="E964" s="1063"/>
      <c r="H964" s="1066"/>
      <c r="I964" s="1063"/>
      <c r="J964" s="1063"/>
      <c r="K964" s="1063"/>
      <c r="L964" s="1063"/>
    </row>
    <row r="965" spans="5:12" x14ac:dyDescent="0.2">
      <c r="E965" s="1063"/>
      <c r="H965" s="1066"/>
      <c r="I965" s="1063"/>
      <c r="J965" s="1063"/>
      <c r="K965" s="1063"/>
      <c r="L965" s="1063"/>
    </row>
    <row r="966" spans="5:12" x14ac:dyDescent="0.2">
      <c r="E966" s="1063"/>
      <c r="H966" s="1066"/>
      <c r="I966" s="1063"/>
      <c r="J966" s="1063"/>
      <c r="K966" s="1063"/>
      <c r="L966" s="1063"/>
    </row>
    <row r="967" spans="5:12" x14ac:dyDescent="0.2">
      <c r="E967" s="1063"/>
      <c r="H967" s="1066"/>
      <c r="I967" s="1063"/>
      <c r="J967" s="1063"/>
      <c r="K967" s="1063"/>
      <c r="L967" s="1063"/>
    </row>
    <row r="968" spans="5:12" x14ac:dyDescent="0.2">
      <c r="E968" s="1063"/>
      <c r="H968" s="1066"/>
      <c r="I968" s="1063"/>
      <c r="J968" s="1063"/>
      <c r="K968" s="1063"/>
      <c r="L968" s="1063"/>
    </row>
    <row r="969" spans="5:12" x14ac:dyDescent="0.2">
      <c r="E969" s="1063"/>
      <c r="H969" s="1066"/>
      <c r="I969" s="1063"/>
      <c r="J969" s="1063"/>
      <c r="K969" s="1063"/>
      <c r="L969" s="1063"/>
    </row>
    <row r="970" spans="5:12" x14ac:dyDescent="0.2">
      <c r="E970" s="1063"/>
      <c r="H970" s="1066"/>
      <c r="I970" s="1063"/>
      <c r="J970" s="1063"/>
      <c r="K970" s="1063"/>
      <c r="L970" s="1063"/>
    </row>
    <row r="971" spans="5:12" x14ac:dyDescent="0.2">
      <c r="E971" s="1063"/>
      <c r="H971" s="1066"/>
      <c r="I971" s="1063"/>
      <c r="J971" s="1063"/>
      <c r="K971" s="1063"/>
      <c r="L971" s="1063"/>
    </row>
    <row r="972" spans="5:12" x14ac:dyDescent="0.2">
      <c r="E972" s="1063"/>
      <c r="H972" s="1066"/>
      <c r="I972" s="1063"/>
      <c r="J972" s="1063"/>
      <c r="K972" s="1063"/>
      <c r="L972" s="1063"/>
    </row>
    <row r="973" spans="5:12" x14ac:dyDescent="0.2">
      <c r="E973" s="1063"/>
      <c r="H973" s="1066"/>
      <c r="I973" s="1063"/>
      <c r="J973" s="1063"/>
      <c r="K973" s="1063"/>
      <c r="L973" s="1063"/>
    </row>
    <row r="974" spans="5:12" x14ac:dyDescent="0.2">
      <c r="E974" s="1063"/>
      <c r="H974" s="1066"/>
      <c r="I974" s="1063"/>
      <c r="J974" s="1063"/>
      <c r="K974" s="1063"/>
      <c r="L974" s="1063"/>
    </row>
    <row r="975" spans="5:12" x14ac:dyDescent="0.2">
      <c r="E975" s="1063"/>
      <c r="H975" s="1066"/>
      <c r="I975" s="1063"/>
      <c r="J975" s="1063"/>
      <c r="K975" s="1063"/>
      <c r="L975" s="1063"/>
    </row>
    <row r="976" spans="5:12" x14ac:dyDescent="0.2">
      <c r="E976" s="1063"/>
      <c r="H976" s="1066"/>
      <c r="I976" s="1063"/>
      <c r="J976" s="1063"/>
      <c r="K976" s="1063"/>
      <c r="L976" s="1063"/>
    </row>
    <row r="977" spans="5:12" x14ac:dyDescent="0.2">
      <c r="E977" s="1063"/>
      <c r="H977" s="1066"/>
      <c r="I977" s="1063"/>
      <c r="J977" s="1063"/>
      <c r="K977" s="1063"/>
      <c r="L977" s="1063"/>
    </row>
    <row r="978" spans="5:12" x14ac:dyDescent="0.2">
      <c r="E978" s="1063"/>
      <c r="H978" s="1066"/>
      <c r="I978" s="1063"/>
      <c r="J978" s="1063"/>
      <c r="K978" s="1063"/>
      <c r="L978" s="1063"/>
    </row>
    <row r="979" spans="5:12" x14ac:dyDescent="0.2">
      <c r="E979" s="1063"/>
      <c r="H979" s="1066"/>
      <c r="I979" s="1063"/>
      <c r="J979" s="1063"/>
      <c r="K979" s="1063"/>
      <c r="L979" s="1063"/>
    </row>
    <row r="980" spans="5:12" x14ac:dyDescent="0.2">
      <c r="E980" s="1063"/>
      <c r="H980" s="1066"/>
      <c r="I980" s="1063"/>
      <c r="J980" s="1063"/>
      <c r="K980" s="1063"/>
      <c r="L980" s="1063"/>
    </row>
    <row r="981" spans="5:12" x14ac:dyDescent="0.2">
      <c r="E981" s="1063"/>
      <c r="H981" s="1066"/>
      <c r="I981" s="1063"/>
      <c r="J981" s="1063"/>
      <c r="K981" s="1063"/>
      <c r="L981" s="1063"/>
    </row>
    <row r="982" spans="5:12" x14ac:dyDescent="0.2">
      <c r="E982" s="1063"/>
      <c r="H982" s="1066"/>
      <c r="I982" s="1063"/>
      <c r="J982" s="1063"/>
      <c r="K982" s="1063"/>
      <c r="L982" s="1063"/>
    </row>
    <row r="983" spans="5:12" x14ac:dyDescent="0.2">
      <c r="E983" s="1063"/>
      <c r="H983" s="1066"/>
      <c r="I983" s="1063"/>
      <c r="J983" s="1063"/>
      <c r="K983" s="1063"/>
      <c r="L983" s="1063"/>
    </row>
    <row r="984" spans="5:12" x14ac:dyDescent="0.2">
      <c r="E984" s="1063"/>
      <c r="H984" s="1066"/>
      <c r="I984" s="1063"/>
      <c r="J984" s="1063"/>
      <c r="K984" s="1063"/>
      <c r="L984" s="1063"/>
    </row>
    <row r="985" spans="5:12" x14ac:dyDescent="0.2">
      <c r="E985" s="1063"/>
      <c r="H985" s="1066"/>
      <c r="I985" s="1063"/>
      <c r="J985" s="1063"/>
      <c r="K985" s="1063"/>
      <c r="L985" s="1063"/>
    </row>
    <row r="986" spans="5:12" x14ac:dyDescent="0.2">
      <c r="E986" s="1063"/>
      <c r="H986" s="1066"/>
      <c r="I986" s="1063"/>
      <c r="J986" s="1063"/>
      <c r="K986" s="1063"/>
      <c r="L986" s="1063"/>
    </row>
    <row r="987" spans="5:12" x14ac:dyDescent="0.2">
      <c r="E987" s="1063"/>
      <c r="H987" s="1066"/>
      <c r="I987" s="1063"/>
      <c r="J987" s="1063"/>
      <c r="K987" s="1063"/>
      <c r="L987" s="1063"/>
    </row>
    <row r="988" spans="5:12" x14ac:dyDescent="0.2">
      <c r="E988" s="1063"/>
      <c r="H988" s="1066"/>
      <c r="I988" s="1063"/>
      <c r="J988" s="1063"/>
      <c r="K988" s="1063"/>
      <c r="L988" s="1063"/>
    </row>
    <row r="989" spans="5:12" x14ac:dyDescent="0.2">
      <c r="E989" s="1063"/>
      <c r="H989" s="1066"/>
      <c r="I989" s="1063"/>
      <c r="J989" s="1063"/>
      <c r="K989" s="1063"/>
      <c r="L989" s="1063"/>
    </row>
    <row r="990" spans="5:12" x14ac:dyDescent="0.2">
      <c r="E990" s="1063"/>
      <c r="H990" s="1066"/>
      <c r="I990" s="1063"/>
      <c r="J990" s="1063"/>
      <c r="K990" s="1063"/>
      <c r="L990" s="1063"/>
    </row>
    <row r="991" spans="5:12" x14ac:dyDescent="0.2">
      <c r="E991" s="1063"/>
      <c r="H991" s="1066"/>
      <c r="I991" s="1063"/>
      <c r="J991" s="1063"/>
      <c r="K991" s="1063"/>
      <c r="L991" s="1063"/>
    </row>
    <row r="992" spans="5:12" x14ac:dyDescent="0.2">
      <c r="E992" s="1063"/>
      <c r="H992" s="1066"/>
      <c r="I992" s="1063"/>
      <c r="J992" s="1063"/>
      <c r="K992" s="1063"/>
      <c r="L992" s="1063"/>
    </row>
    <row r="993" spans="5:12" x14ac:dyDescent="0.2">
      <c r="E993" s="1063"/>
      <c r="H993" s="1066"/>
      <c r="I993" s="1063"/>
      <c r="J993" s="1063"/>
      <c r="K993" s="1063"/>
      <c r="L993" s="1063"/>
    </row>
    <row r="994" spans="5:12" x14ac:dyDescent="0.2">
      <c r="E994" s="1063"/>
      <c r="H994" s="1066"/>
      <c r="I994" s="1063"/>
      <c r="J994" s="1063"/>
      <c r="K994" s="1063"/>
      <c r="L994" s="1063"/>
    </row>
    <row r="995" spans="5:12" x14ac:dyDescent="0.2">
      <c r="E995" s="1063"/>
      <c r="H995" s="1066"/>
      <c r="I995" s="1063"/>
      <c r="J995" s="1063"/>
      <c r="K995" s="1063"/>
      <c r="L995" s="1063"/>
    </row>
    <row r="996" spans="5:12" x14ac:dyDescent="0.2">
      <c r="E996" s="1063"/>
      <c r="H996" s="1066"/>
      <c r="I996" s="1063"/>
      <c r="J996" s="1063"/>
      <c r="K996" s="1063"/>
      <c r="L996" s="1063"/>
    </row>
    <row r="997" spans="5:12" x14ac:dyDescent="0.2">
      <c r="E997" s="1063"/>
      <c r="H997" s="1066"/>
      <c r="I997" s="1063"/>
      <c r="J997" s="1063"/>
      <c r="K997" s="1063"/>
      <c r="L997" s="1063"/>
    </row>
    <row r="998" spans="5:12" x14ac:dyDescent="0.2">
      <c r="E998" s="1063"/>
      <c r="H998" s="1066"/>
      <c r="I998" s="1063"/>
      <c r="J998" s="1063"/>
      <c r="K998" s="1063"/>
      <c r="L998" s="1063"/>
    </row>
    <row r="999" spans="5:12" x14ac:dyDescent="0.2">
      <c r="E999" s="1063"/>
      <c r="H999" s="1066"/>
      <c r="I999" s="1063"/>
      <c r="J999" s="1063"/>
      <c r="K999" s="1063"/>
      <c r="L999" s="1063"/>
    </row>
    <row r="1000" spans="5:12" x14ac:dyDescent="0.2">
      <c r="E1000" s="1063"/>
      <c r="H1000" s="1066"/>
      <c r="I1000" s="1063"/>
      <c r="J1000" s="1063"/>
      <c r="K1000" s="1063"/>
      <c r="L1000" s="1063"/>
    </row>
    <row r="1001" spans="5:12" x14ac:dyDescent="0.2">
      <c r="E1001" s="1063"/>
      <c r="H1001" s="1066"/>
      <c r="I1001" s="1063"/>
      <c r="J1001" s="1063"/>
      <c r="K1001" s="1063"/>
      <c r="L1001" s="1063"/>
    </row>
    <row r="1002" spans="5:12" x14ac:dyDescent="0.2">
      <c r="E1002" s="1063"/>
      <c r="H1002" s="1066"/>
      <c r="I1002" s="1063"/>
      <c r="J1002" s="1063"/>
      <c r="K1002" s="1063"/>
      <c r="L1002" s="1063"/>
    </row>
    <row r="1003" spans="5:12" x14ac:dyDescent="0.2">
      <c r="E1003" s="1063"/>
      <c r="H1003" s="1066"/>
      <c r="I1003" s="1063"/>
      <c r="J1003" s="1063"/>
      <c r="K1003" s="1063"/>
      <c r="L1003" s="1063"/>
    </row>
    <row r="1004" spans="5:12" x14ac:dyDescent="0.2">
      <c r="E1004" s="1063"/>
      <c r="H1004" s="1066"/>
      <c r="I1004" s="1063"/>
      <c r="J1004" s="1063"/>
      <c r="K1004" s="1063"/>
      <c r="L1004" s="1063"/>
    </row>
    <row r="1005" spans="5:12" x14ac:dyDescent="0.2">
      <c r="E1005" s="1063"/>
      <c r="H1005" s="1066"/>
      <c r="I1005" s="1063"/>
      <c r="J1005" s="1063"/>
      <c r="K1005" s="1063"/>
      <c r="L1005" s="1063"/>
    </row>
    <row r="1006" spans="5:12" x14ac:dyDescent="0.2">
      <c r="E1006" s="1063"/>
      <c r="H1006" s="1066"/>
      <c r="I1006" s="1063"/>
      <c r="J1006" s="1063"/>
      <c r="K1006" s="1063"/>
      <c r="L1006" s="1063"/>
    </row>
    <row r="1007" spans="5:12" x14ac:dyDescent="0.2">
      <c r="E1007" s="1063"/>
      <c r="H1007" s="1066"/>
      <c r="I1007" s="1063"/>
      <c r="J1007" s="1063"/>
      <c r="K1007" s="1063"/>
      <c r="L1007" s="1063"/>
    </row>
    <row r="1008" spans="5:12" x14ac:dyDescent="0.2">
      <c r="E1008" s="1063"/>
      <c r="H1008" s="1066"/>
      <c r="I1008" s="1063"/>
      <c r="J1008" s="1063"/>
      <c r="K1008" s="1063"/>
      <c r="L1008" s="1063"/>
    </row>
    <row r="1009" spans="5:12" x14ac:dyDescent="0.2">
      <c r="E1009" s="1063"/>
      <c r="H1009" s="1066"/>
      <c r="I1009" s="1063"/>
      <c r="J1009" s="1063"/>
      <c r="K1009" s="1063"/>
      <c r="L1009" s="1063"/>
    </row>
    <row r="1010" spans="5:12" x14ac:dyDescent="0.2">
      <c r="E1010" s="1063"/>
      <c r="H1010" s="1066"/>
      <c r="I1010" s="1063"/>
      <c r="J1010" s="1063"/>
      <c r="K1010" s="1063"/>
      <c r="L1010" s="1063"/>
    </row>
    <row r="1011" spans="5:12" x14ac:dyDescent="0.2">
      <c r="E1011" s="1063"/>
      <c r="H1011" s="1066"/>
      <c r="I1011" s="1063"/>
      <c r="J1011" s="1063"/>
      <c r="K1011" s="1063"/>
      <c r="L1011" s="1063"/>
    </row>
    <row r="1012" spans="5:12" x14ac:dyDescent="0.2">
      <c r="E1012" s="1063"/>
      <c r="H1012" s="1066"/>
      <c r="I1012" s="1063"/>
      <c r="J1012" s="1063"/>
      <c r="K1012" s="1063"/>
      <c r="L1012" s="1063"/>
    </row>
    <row r="1013" spans="5:12" x14ac:dyDescent="0.2">
      <c r="E1013" s="1063"/>
      <c r="H1013" s="1066"/>
      <c r="I1013" s="1063"/>
      <c r="J1013" s="1063"/>
      <c r="K1013" s="1063"/>
      <c r="L1013" s="1063"/>
    </row>
    <row r="1014" spans="5:12" x14ac:dyDescent="0.2">
      <c r="E1014" s="1063"/>
      <c r="H1014" s="1066"/>
      <c r="I1014" s="1063"/>
      <c r="J1014" s="1063"/>
      <c r="K1014" s="1063"/>
      <c r="L1014" s="1063"/>
    </row>
    <row r="1015" spans="5:12" x14ac:dyDescent="0.2">
      <c r="E1015" s="1063"/>
      <c r="H1015" s="1066"/>
      <c r="I1015" s="1063"/>
      <c r="J1015" s="1063"/>
      <c r="K1015" s="1063"/>
      <c r="L1015" s="1063"/>
    </row>
    <row r="1016" spans="5:12" x14ac:dyDescent="0.2">
      <c r="E1016" s="1063"/>
      <c r="H1016" s="1066"/>
      <c r="I1016" s="1063"/>
      <c r="J1016" s="1063"/>
      <c r="K1016" s="1063"/>
      <c r="L1016" s="1063"/>
    </row>
    <row r="1017" spans="5:12" x14ac:dyDescent="0.2">
      <c r="E1017" s="1063"/>
      <c r="H1017" s="1066"/>
      <c r="I1017" s="1063"/>
      <c r="J1017" s="1063"/>
      <c r="K1017" s="1063"/>
      <c r="L1017" s="1063"/>
    </row>
    <row r="1018" spans="5:12" x14ac:dyDescent="0.2">
      <c r="E1018" s="1063"/>
      <c r="H1018" s="1066"/>
      <c r="I1018" s="1063"/>
      <c r="J1018" s="1063"/>
      <c r="K1018" s="1063"/>
      <c r="L1018" s="1063"/>
    </row>
    <row r="1019" spans="5:12" x14ac:dyDescent="0.2">
      <c r="E1019" s="1063"/>
      <c r="H1019" s="1066"/>
      <c r="I1019" s="1063"/>
      <c r="J1019" s="1063"/>
      <c r="K1019" s="1063"/>
      <c r="L1019" s="1063"/>
    </row>
    <row r="1020" spans="5:12" x14ac:dyDescent="0.2">
      <c r="E1020" s="1063"/>
      <c r="H1020" s="1066"/>
      <c r="I1020" s="1063"/>
      <c r="J1020" s="1063"/>
      <c r="K1020" s="1063"/>
      <c r="L1020" s="1063"/>
    </row>
    <row r="1021" spans="5:12" x14ac:dyDescent="0.2">
      <c r="E1021" s="1063"/>
      <c r="H1021" s="1066"/>
      <c r="I1021" s="1063"/>
      <c r="J1021" s="1063"/>
      <c r="K1021" s="1063"/>
      <c r="L1021" s="1063"/>
    </row>
    <row r="1022" spans="5:12" x14ac:dyDescent="0.2">
      <c r="E1022" s="1063"/>
      <c r="H1022" s="1066"/>
      <c r="I1022" s="1063"/>
      <c r="J1022" s="1063"/>
      <c r="K1022" s="1063"/>
      <c r="L1022" s="1063"/>
    </row>
    <row r="1023" spans="5:12" x14ac:dyDescent="0.2">
      <c r="E1023" s="1063"/>
      <c r="H1023" s="1066"/>
      <c r="I1023" s="1063"/>
      <c r="J1023" s="1063"/>
      <c r="K1023" s="1063"/>
      <c r="L1023" s="1063"/>
    </row>
    <row r="1024" spans="5:12" x14ac:dyDescent="0.2">
      <c r="E1024" s="1063"/>
      <c r="H1024" s="1066"/>
      <c r="I1024" s="1063"/>
      <c r="J1024" s="1063"/>
      <c r="K1024" s="1063"/>
      <c r="L1024" s="1063"/>
    </row>
    <row r="1025" spans="5:12" x14ac:dyDescent="0.2">
      <c r="E1025" s="1063"/>
      <c r="H1025" s="1066"/>
      <c r="I1025" s="1063"/>
      <c r="J1025" s="1063"/>
      <c r="K1025" s="1063"/>
      <c r="L1025" s="1063"/>
    </row>
    <row r="1026" spans="5:12" x14ac:dyDescent="0.2">
      <c r="E1026" s="1063"/>
      <c r="H1026" s="1066"/>
      <c r="I1026" s="1063"/>
      <c r="J1026" s="1063"/>
      <c r="K1026" s="1063"/>
      <c r="L1026" s="1063"/>
    </row>
    <row r="1027" spans="5:12" x14ac:dyDescent="0.2">
      <c r="E1027" s="1063"/>
      <c r="H1027" s="1066"/>
      <c r="I1027" s="1063"/>
      <c r="J1027" s="1063"/>
      <c r="K1027" s="1063"/>
      <c r="L1027" s="1063"/>
    </row>
    <row r="1028" spans="5:12" x14ac:dyDescent="0.2">
      <c r="E1028" s="1063"/>
      <c r="H1028" s="1066"/>
      <c r="I1028" s="1063"/>
      <c r="J1028" s="1063"/>
      <c r="K1028" s="1063"/>
      <c r="L1028" s="1063"/>
    </row>
    <row r="1029" spans="5:12" x14ac:dyDescent="0.2">
      <c r="E1029" s="1063"/>
      <c r="H1029" s="1066"/>
      <c r="I1029" s="1063"/>
      <c r="J1029" s="1063"/>
      <c r="K1029" s="1063"/>
      <c r="L1029" s="1063"/>
    </row>
    <row r="1030" spans="5:12" x14ac:dyDescent="0.2">
      <c r="E1030" s="1063"/>
      <c r="H1030" s="1066"/>
      <c r="I1030" s="1063"/>
      <c r="J1030" s="1063"/>
      <c r="K1030" s="1063"/>
      <c r="L1030" s="1063"/>
    </row>
    <row r="1031" spans="5:12" x14ac:dyDescent="0.2">
      <c r="E1031" s="1063"/>
      <c r="H1031" s="1066"/>
      <c r="I1031" s="1063"/>
      <c r="J1031" s="1063"/>
      <c r="K1031" s="1063"/>
      <c r="L1031" s="1063"/>
    </row>
    <row r="1032" spans="5:12" x14ac:dyDescent="0.2">
      <c r="E1032" s="1063"/>
      <c r="H1032" s="1066"/>
      <c r="I1032" s="1063"/>
      <c r="J1032" s="1063"/>
      <c r="K1032" s="1063"/>
      <c r="L1032" s="1063"/>
    </row>
    <row r="1033" spans="5:12" x14ac:dyDescent="0.2">
      <c r="E1033" s="1063"/>
      <c r="H1033" s="1066"/>
      <c r="I1033" s="1063"/>
      <c r="J1033" s="1063"/>
      <c r="K1033" s="1063"/>
      <c r="L1033" s="1063"/>
    </row>
    <row r="1034" spans="5:12" x14ac:dyDescent="0.2">
      <c r="E1034" s="1063"/>
      <c r="H1034" s="1066"/>
      <c r="I1034" s="1063"/>
      <c r="J1034" s="1063"/>
      <c r="K1034" s="1063"/>
      <c r="L1034" s="1063"/>
    </row>
    <row r="1035" spans="5:12" x14ac:dyDescent="0.2">
      <c r="E1035" s="1063"/>
      <c r="H1035" s="1066"/>
      <c r="I1035" s="1063"/>
      <c r="J1035" s="1063"/>
      <c r="K1035" s="1063"/>
      <c r="L1035" s="1063"/>
    </row>
    <row r="1036" spans="5:12" x14ac:dyDescent="0.2">
      <c r="E1036" s="1063"/>
      <c r="H1036" s="1066"/>
      <c r="I1036" s="1063"/>
      <c r="J1036" s="1063"/>
      <c r="K1036" s="1063"/>
      <c r="L1036" s="1063"/>
    </row>
    <row r="1037" spans="5:12" x14ac:dyDescent="0.2">
      <c r="E1037" s="1063"/>
      <c r="H1037" s="1066"/>
      <c r="I1037" s="1063"/>
      <c r="J1037" s="1063"/>
      <c r="K1037" s="1063"/>
      <c r="L1037" s="1063"/>
    </row>
    <row r="1038" spans="5:12" x14ac:dyDescent="0.2">
      <c r="E1038" s="1063"/>
      <c r="H1038" s="1066"/>
      <c r="I1038" s="1063"/>
      <c r="J1038" s="1063"/>
      <c r="K1038" s="1063"/>
      <c r="L1038" s="1063"/>
    </row>
    <row r="1039" spans="5:12" x14ac:dyDescent="0.2">
      <c r="E1039" s="1063"/>
      <c r="H1039" s="1066"/>
      <c r="I1039" s="1063"/>
      <c r="J1039" s="1063"/>
      <c r="K1039" s="1063"/>
      <c r="L1039" s="1063"/>
    </row>
    <row r="1040" spans="5:12" x14ac:dyDescent="0.2">
      <c r="E1040" s="1063"/>
      <c r="H1040" s="1066"/>
      <c r="I1040" s="1063"/>
      <c r="J1040" s="1063"/>
      <c r="K1040" s="1063"/>
      <c r="L1040" s="1063"/>
    </row>
    <row r="1041" spans="5:12" x14ac:dyDescent="0.2">
      <c r="E1041" s="1063"/>
      <c r="H1041" s="1066"/>
      <c r="I1041" s="1063"/>
      <c r="J1041" s="1063"/>
      <c r="K1041" s="1063"/>
      <c r="L1041" s="1063"/>
    </row>
    <row r="1042" spans="5:12" x14ac:dyDescent="0.2">
      <c r="E1042" s="1063"/>
      <c r="H1042" s="1066"/>
      <c r="I1042" s="1063"/>
      <c r="J1042" s="1063"/>
      <c r="K1042" s="1063"/>
      <c r="L1042" s="1063"/>
    </row>
    <row r="1043" spans="5:12" x14ac:dyDescent="0.2">
      <c r="E1043" s="1063"/>
      <c r="H1043" s="1066"/>
      <c r="I1043" s="1063"/>
      <c r="J1043" s="1063"/>
      <c r="K1043" s="1063"/>
      <c r="L1043" s="1063"/>
    </row>
    <row r="1044" spans="5:12" x14ac:dyDescent="0.2">
      <c r="E1044" s="1063"/>
      <c r="H1044" s="1066"/>
      <c r="I1044" s="1063"/>
      <c r="J1044" s="1063"/>
      <c r="K1044" s="1063"/>
      <c r="L1044" s="1063"/>
    </row>
    <row r="1045" spans="5:12" x14ac:dyDescent="0.2">
      <c r="E1045" s="1063"/>
      <c r="H1045" s="1066"/>
      <c r="I1045" s="1063"/>
      <c r="J1045" s="1063"/>
      <c r="K1045" s="1063"/>
      <c r="L1045" s="1063"/>
    </row>
    <row r="1046" spans="5:12" x14ac:dyDescent="0.2">
      <c r="E1046" s="1063"/>
      <c r="H1046" s="1066"/>
      <c r="I1046" s="1063"/>
      <c r="J1046" s="1063"/>
      <c r="K1046" s="1063"/>
      <c r="L1046" s="1063"/>
    </row>
    <row r="1047" spans="5:12" x14ac:dyDescent="0.2">
      <c r="E1047" s="1063"/>
      <c r="H1047" s="1066"/>
      <c r="I1047" s="1063"/>
      <c r="J1047" s="1063"/>
      <c r="K1047" s="1063"/>
      <c r="L1047" s="1063"/>
    </row>
    <row r="1048" spans="5:12" x14ac:dyDescent="0.2">
      <c r="E1048" s="1063"/>
      <c r="H1048" s="1066"/>
      <c r="I1048" s="1063"/>
      <c r="J1048" s="1063"/>
      <c r="K1048" s="1063"/>
      <c r="L1048" s="1063"/>
    </row>
    <row r="1049" spans="5:12" x14ac:dyDescent="0.2">
      <c r="E1049" s="1063"/>
      <c r="H1049" s="1066"/>
      <c r="I1049" s="1063"/>
      <c r="J1049" s="1063"/>
      <c r="K1049" s="1063"/>
      <c r="L1049" s="1063"/>
    </row>
    <row r="1050" spans="5:12" x14ac:dyDescent="0.2">
      <c r="E1050" s="1063"/>
      <c r="H1050" s="1066"/>
      <c r="I1050" s="1063"/>
      <c r="J1050" s="1063"/>
      <c r="K1050" s="1063"/>
      <c r="L1050" s="1063"/>
    </row>
    <row r="1051" spans="5:12" x14ac:dyDescent="0.2">
      <c r="E1051" s="1063"/>
      <c r="H1051" s="1066"/>
      <c r="I1051" s="1063"/>
      <c r="J1051" s="1063"/>
      <c r="K1051" s="1063"/>
      <c r="L1051" s="1063"/>
    </row>
    <row r="1052" spans="5:12" x14ac:dyDescent="0.2">
      <c r="E1052" s="1063"/>
      <c r="H1052" s="1066"/>
      <c r="I1052" s="1063"/>
      <c r="J1052" s="1063"/>
      <c r="K1052" s="1063"/>
      <c r="L1052" s="1063"/>
    </row>
    <row r="1053" spans="5:12" x14ac:dyDescent="0.2">
      <c r="E1053" s="1063"/>
      <c r="H1053" s="1066"/>
      <c r="I1053" s="1063"/>
      <c r="J1053" s="1063"/>
      <c r="K1053" s="1063"/>
      <c r="L1053" s="1063"/>
    </row>
    <row r="1054" spans="5:12" x14ac:dyDescent="0.2">
      <c r="E1054" s="1063"/>
      <c r="H1054" s="1066"/>
      <c r="I1054" s="1063"/>
      <c r="J1054" s="1063"/>
      <c r="K1054" s="1063"/>
      <c r="L1054" s="1063"/>
    </row>
    <row r="1055" spans="5:12" x14ac:dyDescent="0.2">
      <c r="E1055" s="1063"/>
      <c r="H1055" s="1066"/>
      <c r="I1055" s="1063"/>
      <c r="J1055" s="1063"/>
      <c r="K1055" s="1063"/>
      <c r="L1055" s="1063"/>
    </row>
    <row r="1056" spans="5:12" x14ac:dyDescent="0.2">
      <c r="E1056" s="1063"/>
      <c r="H1056" s="1066"/>
      <c r="I1056" s="1063"/>
      <c r="J1056" s="1063"/>
      <c r="K1056" s="1063"/>
      <c r="L1056" s="1063"/>
    </row>
    <row r="1057" spans="5:12" x14ac:dyDescent="0.2">
      <c r="E1057" s="1063"/>
      <c r="H1057" s="1066"/>
      <c r="I1057" s="1063"/>
      <c r="J1057" s="1063"/>
      <c r="K1057" s="1063"/>
      <c r="L1057" s="1063"/>
    </row>
    <row r="1058" spans="5:12" x14ac:dyDescent="0.2">
      <c r="E1058" s="1063"/>
      <c r="H1058" s="1066"/>
      <c r="I1058" s="1063"/>
      <c r="J1058" s="1063"/>
      <c r="K1058" s="1063"/>
      <c r="L1058" s="1063"/>
    </row>
    <row r="1059" spans="5:12" x14ac:dyDescent="0.2">
      <c r="E1059" s="1063"/>
      <c r="H1059" s="1066"/>
      <c r="I1059" s="1063"/>
      <c r="J1059" s="1063"/>
      <c r="K1059" s="1063"/>
      <c r="L1059" s="1063"/>
    </row>
    <row r="1060" spans="5:12" x14ac:dyDescent="0.2">
      <c r="E1060" s="1063"/>
      <c r="H1060" s="1066"/>
      <c r="I1060" s="1063"/>
      <c r="J1060" s="1063"/>
      <c r="K1060" s="1063"/>
      <c r="L1060" s="1063"/>
    </row>
    <row r="1061" spans="5:12" x14ac:dyDescent="0.2">
      <c r="E1061" s="1063"/>
      <c r="H1061" s="1066"/>
      <c r="I1061" s="1063"/>
      <c r="J1061" s="1063"/>
      <c r="K1061" s="1063"/>
      <c r="L1061" s="1063"/>
    </row>
    <row r="1062" spans="5:12" x14ac:dyDescent="0.2">
      <c r="E1062" s="1063"/>
      <c r="H1062" s="1066"/>
      <c r="I1062" s="1063"/>
      <c r="J1062" s="1063"/>
      <c r="K1062" s="1063"/>
      <c r="L1062" s="1063"/>
    </row>
    <row r="1063" spans="5:12" x14ac:dyDescent="0.2">
      <c r="E1063" s="1063"/>
      <c r="H1063" s="1066"/>
      <c r="I1063" s="1063"/>
      <c r="J1063" s="1063"/>
      <c r="K1063" s="1063"/>
      <c r="L1063" s="1063"/>
    </row>
    <row r="1064" spans="5:12" x14ac:dyDescent="0.2">
      <c r="E1064" s="1063"/>
      <c r="H1064" s="1066"/>
      <c r="I1064" s="1063"/>
      <c r="J1064" s="1063"/>
      <c r="K1064" s="1063"/>
      <c r="L1064" s="1063"/>
    </row>
    <row r="1065" spans="5:12" x14ac:dyDescent="0.2">
      <c r="E1065" s="1063"/>
      <c r="H1065" s="1066"/>
      <c r="I1065" s="1063"/>
      <c r="J1065" s="1063"/>
      <c r="K1065" s="1063"/>
      <c r="L1065" s="1063"/>
    </row>
    <row r="1066" spans="5:12" x14ac:dyDescent="0.2">
      <c r="E1066" s="1063"/>
      <c r="H1066" s="1066"/>
      <c r="I1066" s="1063"/>
      <c r="J1066" s="1063"/>
      <c r="K1066" s="1063"/>
      <c r="L1066" s="1063"/>
    </row>
    <row r="1067" spans="5:12" x14ac:dyDescent="0.2">
      <c r="E1067" s="1063"/>
      <c r="H1067" s="1066"/>
      <c r="I1067" s="1063"/>
      <c r="J1067" s="1063"/>
      <c r="K1067" s="1063"/>
      <c r="L1067" s="1063"/>
    </row>
    <row r="1068" spans="5:12" x14ac:dyDescent="0.2">
      <c r="E1068" s="1063"/>
      <c r="H1068" s="1066"/>
      <c r="I1068" s="1063"/>
      <c r="J1068" s="1063"/>
      <c r="K1068" s="1063"/>
      <c r="L1068" s="1063"/>
    </row>
    <row r="1069" spans="5:12" x14ac:dyDescent="0.2">
      <c r="E1069" s="1063"/>
      <c r="H1069" s="1066"/>
      <c r="I1069" s="1063"/>
      <c r="J1069" s="1063"/>
      <c r="K1069" s="1063"/>
      <c r="L1069" s="1063"/>
    </row>
    <row r="1070" spans="5:12" x14ac:dyDescent="0.2">
      <c r="E1070" s="1063"/>
      <c r="H1070" s="1066"/>
      <c r="I1070" s="1063"/>
      <c r="J1070" s="1063"/>
      <c r="K1070" s="1063"/>
      <c r="L1070" s="1063"/>
    </row>
    <row r="1071" spans="5:12" x14ac:dyDescent="0.2">
      <c r="E1071" s="1063"/>
      <c r="H1071" s="1066"/>
      <c r="I1071" s="1063"/>
      <c r="J1071" s="1063"/>
      <c r="K1071" s="1063"/>
      <c r="L1071" s="1063"/>
    </row>
    <row r="1072" spans="5:12" x14ac:dyDescent="0.2">
      <c r="E1072" s="1063"/>
      <c r="H1072" s="1066"/>
      <c r="I1072" s="1063"/>
      <c r="J1072" s="1063"/>
      <c r="K1072" s="1063"/>
      <c r="L1072" s="1063"/>
    </row>
    <row r="1073" spans="5:12" x14ac:dyDescent="0.2">
      <c r="E1073" s="1063"/>
      <c r="H1073" s="1066"/>
      <c r="I1073" s="1063"/>
      <c r="J1073" s="1063"/>
      <c r="K1073" s="1063"/>
      <c r="L1073" s="1063"/>
    </row>
    <row r="1074" spans="5:12" x14ac:dyDescent="0.2">
      <c r="E1074" s="1063"/>
      <c r="H1074" s="1066"/>
      <c r="I1074" s="1063"/>
      <c r="J1074" s="1063"/>
      <c r="K1074" s="1063"/>
      <c r="L1074" s="1063"/>
    </row>
    <row r="1075" spans="5:12" x14ac:dyDescent="0.2">
      <c r="E1075" s="1063"/>
      <c r="H1075" s="1066"/>
      <c r="I1075" s="1063"/>
      <c r="J1075" s="1063"/>
      <c r="K1075" s="1063"/>
      <c r="L1075" s="1063"/>
    </row>
    <row r="1076" spans="5:12" x14ac:dyDescent="0.2">
      <c r="E1076" s="1063"/>
      <c r="H1076" s="1066"/>
      <c r="I1076" s="1063"/>
      <c r="J1076" s="1063"/>
      <c r="K1076" s="1063"/>
      <c r="L1076" s="1063"/>
    </row>
    <row r="1077" spans="5:12" x14ac:dyDescent="0.2">
      <c r="E1077" s="1063"/>
      <c r="H1077" s="1066"/>
      <c r="I1077" s="1063"/>
      <c r="J1077" s="1063"/>
      <c r="K1077" s="1063"/>
      <c r="L1077" s="1063"/>
    </row>
    <row r="1078" spans="5:12" x14ac:dyDescent="0.2">
      <c r="E1078" s="1063"/>
      <c r="H1078" s="1066"/>
      <c r="I1078" s="1063"/>
      <c r="J1078" s="1063"/>
      <c r="K1078" s="1063"/>
      <c r="L1078" s="1063"/>
    </row>
    <row r="1079" spans="5:12" x14ac:dyDescent="0.2">
      <c r="E1079" s="1063"/>
      <c r="H1079" s="1066"/>
      <c r="I1079" s="1063"/>
      <c r="J1079" s="1063"/>
      <c r="K1079" s="1063"/>
      <c r="L1079" s="1063"/>
    </row>
    <row r="1080" spans="5:12" x14ac:dyDescent="0.2">
      <c r="E1080" s="1063"/>
      <c r="H1080" s="1066"/>
      <c r="I1080" s="1063"/>
      <c r="J1080" s="1063"/>
      <c r="K1080" s="1063"/>
      <c r="L1080" s="1063"/>
    </row>
    <row r="1081" spans="5:12" x14ac:dyDescent="0.2">
      <c r="E1081" s="1063"/>
      <c r="H1081" s="1066"/>
      <c r="I1081" s="1063"/>
      <c r="J1081" s="1063"/>
      <c r="K1081" s="1063"/>
      <c r="L1081" s="1063"/>
    </row>
    <row r="1082" spans="5:12" x14ac:dyDescent="0.2">
      <c r="E1082" s="1063"/>
      <c r="H1082" s="1066"/>
      <c r="I1082" s="1063"/>
      <c r="J1082" s="1063"/>
      <c r="K1082" s="1063"/>
      <c r="L1082" s="1063"/>
    </row>
    <row r="1083" spans="5:12" x14ac:dyDescent="0.2">
      <c r="E1083" s="1063"/>
      <c r="H1083" s="1066"/>
      <c r="I1083" s="1063"/>
      <c r="J1083" s="1063"/>
      <c r="K1083" s="1063"/>
      <c r="L1083" s="1063"/>
    </row>
    <row r="1084" spans="5:12" x14ac:dyDescent="0.2">
      <c r="E1084" s="1063"/>
      <c r="H1084" s="1066"/>
      <c r="I1084" s="1063"/>
      <c r="J1084" s="1063"/>
      <c r="K1084" s="1063"/>
      <c r="L1084" s="1063"/>
    </row>
    <row r="1085" spans="5:12" x14ac:dyDescent="0.2">
      <c r="E1085" s="1063"/>
      <c r="H1085" s="1066"/>
      <c r="I1085" s="1063"/>
      <c r="J1085" s="1063"/>
      <c r="K1085" s="1063"/>
      <c r="L1085" s="1063"/>
    </row>
    <row r="1086" spans="5:12" x14ac:dyDescent="0.2">
      <c r="E1086" s="1063"/>
      <c r="H1086" s="1066"/>
      <c r="I1086" s="1063"/>
      <c r="J1086" s="1063"/>
      <c r="K1086" s="1063"/>
      <c r="L1086" s="1063"/>
    </row>
    <row r="1087" spans="5:12" x14ac:dyDescent="0.2">
      <c r="E1087" s="1063"/>
      <c r="H1087" s="1066"/>
      <c r="I1087" s="1063"/>
      <c r="J1087" s="1063"/>
      <c r="K1087" s="1063"/>
      <c r="L1087" s="1063"/>
    </row>
    <row r="1088" spans="5:12" x14ac:dyDescent="0.2">
      <c r="E1088" s="1063"/>
      <c r="H1088" s="1066"/>
      <c r="I1088" s="1063"/>
      <c r="J1088" s="1063"/>
      <c r="K1088" s="1063"/>
      <c r="L1088" s="1063"/>
    </row>
    <row r="1089" spans="5:12" x14ac:dyDescent="0.2">
      <c r="E1089" s="1063"/>
      <c r="H1089" s="1066"/>
      <c r="I1089" s="1063"/>
      <c r="J1089" s="1063"/>
      <c r="K1089" s="1063"/>
      <c r="L1089" s="1063"/>
    </row>
    <row r="1090" spans="5:12" x14ac:dyDescent="0.2">
      <c r="E1090" s="1063"/>
      <c r="H1090" s="1066"/>
      <c r="I1090" s="1063"/>
      <c r="J1090" s="1063"/>
      <c r="K1090" s="1063"/>
      <c r="L1090" s="1063"/>
    </row>
    <row r="1091" spans="5:12" x14ac:dyDescent="0.2">
      <c r="E1091" s="1063"/>
      <c r="H1091" s="1066"/>
      <c r="I1091" s="1063"/>
      <c r="J1091" s="1063"/>
      <c r="K1091" s="1063"/>
      <c r="L1091" s="1063"/>
    </row>
    <row r="1092" spans="5:12" x14ac:dyDescent="0.2">
      <c r="E1092" s="1063"/>
      <c r="H1092" s="1066"/>
      <c r="I1092" s="1063"/>
      <c r="J1092" s="1063"/>
      <c r="K1092" s="1063"/>
      <c r="L1092" s="1063"/>
    </row>
    <row r="1093" spans="5:12" x14ac:dyDescent="0.2">
      <c r="E1093" s="1063"/>
      <c r="H1093" s="1066"/>
      <c r="I1093" s="1063"/>
      <c r="J1093" s="1063"/>
      <c r="K1093" s="1063"/>
      <c r="L1093" s="1063"/>
    </row>
    <row r="1094" spans="5:12" x14ac:dyDescent="0.2">
      <c r="E1094" s="1063"/>
      <c r="H1094" s="1066"/>
      <c r="I1094" s="1063"/>
      <c r="J1094" s="1063"/>
      <c r="K1094" s="1063"/>
      <c r="L1094" s="1063"/>
    </row>
    <row r="1095" spans="5:12" x14ac:dyDescent="0.2">
      <c r="E1095" s="1063"/>
      <c r="H1095" s="1066"/>
      <c r="I1095" s="1063"/>
      <c r="J1095" s="1063"/>
      <c r="K1095" s="1063"/>
      <c r="L1095" s="1063"/>
    </row>
    <row r="1096" spans="5:12" x14ac:dyDescent="0.2">
      <c r="E1096" s="1063"/>
      <c r="H1096" s="1066"/>
      <c r="I1096" s="1063"/>
      <c r="J1096" s="1063"/>
      <c r="K1096" s="1063"/>
      <c r="L1096" s="1063"/>
    </row>
    <row r="1097" spans="5:12" x14ac:dyDescent="0.2">
      <c r="E1097" s="1063"/>
      <c r="H1097" s="1066"/>
      <c r="I1097" s="1063"/>
      <c r="J1097" s="1063"/>
      <c r="K1097" s="1063"/>
      <c r="L1097" s="1063"/>
    </row>
    <row r="1098" spans="5:12" x14ac:dyDescent="0.2">
      <c r="E1098" s="1063"/>
      <c r="H1098" s="1066"/>
      <c r="I1098" s="1063"/>
      <c r="J1098" s="1063"/>
      <c r="K1098" s="1063"/>
      <c r="L1098" s="1063"/>
    </row>
    <row r="1099" spans="5:12" x14ac:dyDescent="0.2">
      <c r="E1099" s="1063"/>
      <c r="H1099" s="1066"/>
      <c r="I1099" s="1063"/>
      <c r="J1099" s="1063"/>
      <c r="K1099" s="1063"/>
      <c r="L1099" s="1063"/>
    </row>
    <row r="1100" spans="5:12" x14ac:dyDescent="0.2">
      <c r="E1100" s="1063"/>
      <c r="H1100" s="1066"/>
      <c r="I1100" s="1063"/>
      <c r="J1100" s="1063"/>
      <c r="K1100" s="1063"/>
      <c r="L1100" s="1063"/>
    </row>
    <row r="1101" spans="5:12" x14ac:dyDescent="0.2">
      <c r="E1101" s="1063"/>
      <c r="H1101" s="1066"/>
      <c r="I1101" s="1063"/>
      <c r="J1101" s="1063"/>
      <c r="K1101" s="1063"/>
      <c r="L1101" s="1063"/>
    </row>
    <row r="1102" spans="5:12" x14ac:dyDescent="0.2">
      <c r="E1102" s="1063"/>
      <c r="H1102" s="1066"/>
      <c r="I1102" s="1063"/>
      <c r="J1102" s="1063"/>
      <c r="K1102" s="1063"/>
      <c r="L1102" s="1063"/>
    </row>
    <row r="1103" spans="5:12" x14ac:dyDescent="0.2">
      <c r="E1103" s="1063"/>
      <c r="H1103" s="1066"/>
      <c r="I1103" s="1063"/>
      <c r="J1103" s="1063"/>
      <c r="K1103" s="1063"/>
      <c r="L1103" s="1063"/>
    </row>
    <row r="1104" spans="5:12" x14ac:dyDescent="0.2">
      <c r="E1104" s="1063"/>
      <c r="H1104" s="1066"/>
      <c r="I1104" s="1063"/>
      <c r="J1104" s="1063"/>
      <c r="K1104" s="1063"/>
      <c r="L1104" s="1063"/>
    </row>
    <row r="1105" spans="5:12" x14ac:dyDescent="0.2">
      <c r="E1105" s="1063"/>
      <c r="H1105" s="1066"/>
      <c r="I1105" s="1063"/>
      <c r="J1105" s="1063"/>
      <c r="K1105" s="1063"/>
      <c r="L1105" s="1063"/>
    </row>
    <row r="1106" spans="5:12" x14ac:dyDescent="0.2">
      <c r="E1106" s="1063"/>
      <c r="H1106" s="1066"/>
      <c r="I1106" s="1063"/>
      <c r="J1106" s="1063"/>
      <c r="K1106" s="1063"/>
      <c r="L1106" s="1063"/>
    </row>
    <row r="1107" spans="5:12" x14ac:dyDescent="0.2">
      <c r="E1107" s="1063"/>
      <c r="H1107" s="1066"/>
      <c r="I1107" s="1063"/>
      <c r="J1107" s="1063"/>
      <c r="K1107" s="1063"/>
      <c r="L1107" s="1063"/>
    </row>
    <row r="1108" spans="5:12" x14ac:dyDescent="0.2">
      <c r="E1108" s="1063"/>
      <c r="H1108" s="1066"/>
      <c r="I1108" s="1063"/>
      <c r="J1108" s="1063"/>
      <c r="K1108" s="1063"/>
      <c r="L1108" s="1063"/>
    </row>
    <row r="1109" spans="5:12" x14ac:dyDescent="0.2">
      <c r="E1109" s="1063"/>
      <c r="H1109" s="1066"/>
      <c r="I1109" s="1063"/>
      <c r="J1109" s="1063"/>
      <c r="K1109" s="1063"/>
      <c r="L1109" s="1063"/>
    </row>
    <row r="1110" spans="5:12" x14ac:dyDescent="0.2">
      <c r="E1110" s="1063"/>
      <c r="H1110" s="1066"/>
      <c r="I1110" s="1063"/>
      <c r="J1110" s="1063"/>
      <c r="K1110" s="1063"/>
      <c r="L1110" s="1063"/>
    </row>
    <row r="1111" spans="5:12" x14ac:dyDescent="0.2">
      <c r="E1111" s="1063"/>
      <c r="H1111" s="1066"/>
      <c r="I1111" s="1063"/>
      <c r="J1111" s="1063"/>
      <c r="K1111" s="1063"/>
      <c r="L1111" s="1063"/>
    </row>
    <row r="1112" spans="5:12" x14ac:dyDescent="0.2">
      <c r="E1112" s="1063"/>
      <c r="H1112" s="1066"/>
      <c r="I1112" s="1063"/>
      <c r="J1112" s="1063"/>
      <c r="K1112" s="1063"/>
      <c r="L1112" s="1063"/>
    </row>
    <row r="1113" spans="5:12" x14ac:dyDescent="0.2">
      <c r="E1113" s="1063"/>
      <c r="H1113" s="1066"/>
      <c r="I1113" s="1063"/>
      <c r="J1113" s="1063"/>
      <c r="K1113" s="1063"/>
      <c r="L1113" s="1063"/>
    </row>
    <row r="1114" spans="5:12" x14ac:dyDescent="0.2">
      <c r="E1114" s="1063"/>
      <c r="H1114" s="1066"/>
      <c r="I1114" s="1063"/>
      <c r="J1114" s="1063"/>
      <c r="K1114" s="1063"/>
      <c r="L1114" s="1063"/>
    </row>
    <row r="1115" spans="5:12" x14ac:dyDescent="0.2">
      <c r="E1115" s="1063"/>
      <c r="H1115" s="1066"/>
      <c r="I1115" s="1063"/>
      <c r="J1115" s="1063"/>
      <c r="K1115" s="1063"/>
      <c r="L1115" s="1063"/>
    </row>
    <row r="1116" spans="5:12" x14ac:dyDescent="0.2">
      <c r="E1116" s="1063"/>
      <c r="H1116" s="1066"/>
      <c r="I1116" s="1063"/>
      <c r="J1116" s="1063"/>
      <c r="K1116" s="1063"/>
      <c r="L1116" s="1063"/>
    </row>
    <row r="1117" spans="5:12" x14ac:dyDescent="0.2">
      <c r="E1117" s="1063"/>
      <c r="H1117" s="1066"/>
      <c r="I1117" s="1063"/>
      <c r="J1117" s="1063"/>
      <c r="K1117" s="1063"/>
      <c r="L1117" s="1063"/>
    </row>
    <row r="1118" spans="5:12" x14ac:dyDescent="0.2">
      <c r="E1118" s="1063"/>
      <c r="H1118" s="1066"/>
      <c r="I1118" s="1063"/>
      <c r="J1118" s="1063"/>
      <c r="K1118" s="1063"/>
      <c r="L1118" s="1063"/>
    </row>
    <row r="1119" spans="5:12" x14ac:dyDescent="0.2">
      <c r="E1119" s="1063"/>
      <c r="H1119" s="1066"/>
      <c r="I1119" s="1063"/>
      <c r="J1119" s="1063"/>
      <c r="K1119" s="1063"/>
      <c r="L1119" s="1063"/>
    </row>
    <row r="1120" spans="5:12" x14ac:dyDescent="0.2">
      <c r="E1120" s="1063"/>
      <c r="H1120" s="1066"/>
      <c r="I1120" s="1063"/>
      <c r="J1120" s="1063"/>
      <c r="K1120" s="1063"/>
      <c r="L1120" s="1063"/>
    </row>
    <row r="1121" spans="5:12" x14ac:dyDescent="0.2">
      <c r="E1121" s="1063"/>
      <c r="H1121" s="1066"/>
      <c r="I1121" s="1063"/>
      <c r="J1121" s="1063"/>
      <c r="K1121" s="1063"/>
      <c r="L1121" s="1063"/>
    </row>
    <row r="1122" spans="5:12" x14ac:dyDescent="0.2">
      <c r="E1122" s="1063"/>
      <c r="H1122" s="1066"/>
      <c r="I1122" s="1063"/>
      <c r="J1122" s="1063"/>
      <c r="K1122" s="1063"/>
      <c r="L1122" s="1063"/>
    </row>
    <row r="1123" spans="5:12" x14ac:dyDescent="0.2">
      <c r="E1123" s="1063"/>
      <c r="H1123" s="1066"/>
      <c r="I1123" s="1063"/>
      <c r="J1123" s="1063"/>
      <c r="K1123" s="1063"/>
      <c r="L1123" s="1063"/>
    </row>
    <row r="1124" spans="5:12" x14ac:dyDescent="0.2">
      <c r="E1124" s="1063"/>
      <c r="H1124" s="1066"/>
      <c r="I1124" s="1063"/>
      <c r="J1124" s="1063"/>
      <c r="K1124" s="1063"/>
      <c r="L1124" s="1063"/>
    </row>
    <row r="1125" spans="5:12" x14ac:dyDescent="0.2">
      <c r="E1125" s="1063"/>
      <c r="H1125" s="1066"/>
      <c r="I1125" s="1063"/>
      <c r="J1125" s="1063"/>
      <c r="K1125" s="1063"/>
      <c r="L1125" s="1063"/>
    </row>
    <row r="1126" spans="5:12" x14ac:dyDescent="0.2">
      <c r="E1126" s="1063"/>
      <c r="H1126" s="1066"/>
      <c r="I1126" s="1063"/>
      <c r="J1126" s="1063"/>
      <c r="K1126" s="1063"/>
      <c r="L1126" s="1063"/>
    </row>
    <row r="1127" spans="5:12" x14ac:dyDescent="0.2">
      <c r="E1127" s="1063"/>
      <c r="H1127" s="1066"/>
      <c r="I1127" s="1063"/>
      <c r="J1127" s="1063"/>
      <c r="K1127" s="1063"/>
      <c r="L1127" s="1063"/>
    </row>
    <row r="1128" spans="5:12" x14ac:dyDescent="0.2">
      <c r="E1128" s="1063"/>
      <c r="H1128" s="1066"/>
      <c r="I1128" s="1063"/>
      <c r="J1128" s="1063"/>
      <c r="K1128" s="1063"/>
      <c r="L1128" s="1063"/>
    </row>
    <row r="1129" spans="5:12" x14ac:dyDescent="0.2">
      <c r="E1129" s="1063"/>
      <c r="H1129" s="1066"/>
      <c r="I1129" s="1063"/>
      <c r="J1129" s="1063"/>
      <c r="K1129" s="1063"/>
      <c r="L1129" s="1063"/>
    </row>
    <row r="1130" spans="5:12" x14ac:dyDescent="0.2">
      <c r="E1130" s="1063"/>
      <c r="H1130" s="1066"/>
      <c r="I1130" s="1063"/>
      <c r="J1130" s="1063"/>
      <c r="K1130" s="1063"/>
      <c r="L1130" s="1063"/>
    </row>
    <row r="1131" spans="5:12" x14ac:dyDescent="0.2">
      <c r="E1131" s="1063"/>
      <c r="H1131" s="1066"/>
      <c r="I1131" s="1063"/>
      <c r="J1131" s="1063"/>
      <c r="K1131" s="1063"/>
      <c r="L1131" s="1063"/>
    </row>
    <row r="1132" spans="5:12" x14ac:dyDescent="0.2">
      <c r="E1132" s="1063"/>
      <c r="H1132" s="1066"/>
      <c r="I1132" s="1063"/>
      <c r="J1132" s="1063"/>
      <c r="K1132" s="1063"/>
      <c r="L1132" s="1063"/>
    </row>
    <row r="1133" spans="5:12" x14ac:dyDescent="0.2">
      <c r="E1133" s="1063"/>
      <c r="H1133" s="1066"/>
      <c r="I1133" s="1063"/>
      <c r="J1133" s="1063"/>
      <c r="K1133" s="1063"/>
      <c r="L1133" s="1063"/>
    </row>
    <row r="1134" spans="5:12" x14ac:dyDescent="0.2">
      <c r="E1134" s="1063"/>
      <c r="H1134" s="1066"/>
      <c r="I1134" s="1063"/>
      <c r="J1134" s="1063"/>
      <c r="K1134" s="1063"/>
      <c r="L1134" s="1063"/>
    </row>
    <row r="1135" spans="5:12" x14ac:dyDescent="0.2">
      <c r="E1135" s="1063"/>
      <c r="H1135" s="1066"/>
      <c r="I1135" s="1063"/>
      <c r="J1135" s="1063"/>
      <c r="K1135" s="1063"/>
      <c r="L1135" s="1063"/>
    </row>
    <row r="1136" spans="5:12" x14ac:dyDescent="0.2">
      <c r="E1136" s="1063"/>
      <c r="H1136" s="1066"/>
      <c r="I1136" s="1063"/>
      <c r="J1136" s="1063"/>
      <c r="K1136" s="1063"/>
      <c r="L1136" s="1063"/>
    </row>
    <row r="1137" spans="5:12" x14ac:dyDescent="0.2">
      <c r="E1137" s="1063"/>
      <c r="H1137" s="1066"/>
      <c r="I1137" s="1063"/>
      <c r="J1137" s="1063"/>
      <c r="K1137" s="1063"/>
      <c r="L1137" s="1063"/>
    </row>
    <row r="1138" spans="5:12" x14ac:dyDescent="0.2">
      <c r="E1138" s="1063"/>
      <c r="H1138" s="1066"/>
      <c r="I1138" s="1063"/>
      <c r="J1138" s="1063"/>
      <c r="K1138" s="1063"/>
      <c r="L1138" s="1063"/>
    </row>
    <row r="1139" spans="5:12" x14ac:dyDescent="0.2">
      <c r="E1139" s="1063"/>
      <c r="H1139" s="1066"/>
      <c r="I1139" s="1063"/>
      <c r="J1139" s="1063"/>
      <c r="K1139" s="1063"/>
      <c r="L1139" s="1063"/>
    </row>
    <row r="1140" spans="5:12" x14ac:dyDescent="0.2">
      <c r="E1140" s="1063"/>
      <c r="H1140" s="1066"/>
      <c r="I1140" s="1063"/>
      <c r="J1140" s="1063"/>
      <c r="K1140" s="1063"/>
      <c r="L1140" s="1063"/>
    </row>
    <row r="1141" spans="5:12" x14ac:dyDescent="0.2">
      <c r="E1141" s="1063"/>
      <c r="H1141" s="1066"/>
      <c r="I1141" s="1063"/>
      <c r="J1141" s="1063"/>
      <c r="K1141" s="1063"/>
      <c r="L1141" s="1063"/>
    </row>
    <row r="1142" spans="5:12" x14ac:dyDescent="0.2">
      <c r="E1142" s="1063"/>
      <c r="H1142" s="1066"/>
      <c r="I1142" s="1063"/>
      <c r="J1142" s="1063"/>
      <c r="K1142" s="1063"/>
      <c r="L1142" s="1063"/>
    </row>
    <row r="1143" spans="5:12" x14ac:dyDescent="0.2">
      <c r="E1143" s="1063"/>
      <c r="H1143" s="1066"/>
      <c r="I1143" s="1063"/>
      <c r="J1143" s="1063"/>
      <c r="K1143" s="1063"/>
      <c r="L1143" s="1063"/>
    </row>
    <row r="1144" spans="5:12" x14ac:dyDescent="0.2">
      <c r="E1144" s="1063"/>
      <c r="H1144" s="1066"/>
      <c r="I1144" s="1063"/>
      <c r="J1144" s="1063"/>
      <c r="K1144" s="1063"/>
      <c r="L1144" s="1063"/>
    </row>
    <row r="1145" spans="5:12" x14ac:dyDescent="0.2">
      <c r="E1145" s="1063"/>
      <c r="H1145" s="1066"/>
      <c r="I1145" s="1063"/>
      <c r="J1145" s="1063"/>
      <c r="K1145" s="1063"/>
      <c r="L1145" s="1063"/>
    </row>
    <row r="1146" spans="5:12" x14ac:dyDescent="0.2">
      <c r="E1146" s="1063"/>
      <c r="H1146" s="1066"/>
      <c r="I1146" s="1063"/>
      <c r="J1146" s="1063"/>
      <c r="K1146" s="1063"/>
      <c r="L1146" s="1063"/>
    </row>
    <row r="1147" spans="5:12" x14ac:dyDescent="0.2">
      <c r="E1147" s="1063"/>
      <c r="H1147" s="1066"/>
      <c r="I1147" s="1063"/>
      <c r="J1147" s="1063"/>
      <c r="K1147" s="1063"/>
      <c r="L1147" s="1063"/>
    </row>
    <row r="1148" spans="5:12" x14ac:dyDescent="0.2">
      <c r="E1148" s="1063"/>
      <c r="H1148" s="1066"/>
      <c r="I1148" s="1063"/>
      <c r="J1148" s="1063"/>
      <c r="K1148" s="1063"/>
      <c r="L1148" s="1063"/>
    </row>
    <row r="1149" spans="5:12" x14ac:dyDescent="0.2">
      <c r="E1149" s="1063"/>
      <c r="H1149" s="1066"/>
      <c r="I1149" s="1063"/>
      <c r="J1149" s="1063"/>
      <c r="K1149" s="1063"/>
      <c r="L1149" s="1063"/>
    </row>
    <row r="1150" spans="5:12" x14ac:dyDescent="0.2">
      <c r="E1150" s="1063"/>
      <c r="H1150" s="1066"/>
      <c r="I1150" s="1063"/>
      <c r="J1150" s="1063"/>
      <c r="K1150" s="1063"/>
      <c r="L1150" s="1063"/>
    </row>
    <row r="1151" spans="5:12" x14ac:dyDescent="0.2">
      <c r="E1151" s="1063"/>
      <c r="H1151" s="1066"/>
      <c r="I1151" s="1063"/>
      <c r="J1151" s="1063"/>
      <c r="K1151" s="1063"/>
      <c r="L1151" s="1063"/>
    </row>
    <row r="1152" spans="5:12" x14ac:dyDescent="0.2">
      <c r="E1152" s="1063"/>
      <c r="H1152" s="1066"/>
      <c r="I1152" s="1063"/>
      <c r="J1152" s="1063"/>
      <c r="K1152" s="1063"/>
      <c r="L1152" s="1063"/>
    </row>
    <row r="1153" spans="5:12" x14ac:dyDescent="0.2">
      <c r="E1153" s="1063"/>
      <c r="H1153" s="1066"/>
      <c r="I1153" s="1063"/>
      <c r="J1153" s="1063"/>
      <c r="K1153" s="1063"/>
      <c r="L1153" s="1063"/>
    </row>
    <row r="1154" spans="5:12" x14ac:dyDescent="0.2">
      <c r="E1154" s="1063"/>
      <c r="H1154" s="1066"/>
      <c r="I1154" s="1063"/>
      <c r="J1154" s="1063"/>
      <c r="K1154" s="1063"/>
      <c r="L1154" s="1063"/>
    </row>
    <row r="1155" spans="5:12" x14ac:dyDescent="0.2">
      <c r="E1155" s="1063"/>
      <c r="H1155" s="1066"/>
      <c r="I1155" s="1063"/>
      <c r="J1155" s="1063"/>
      <c r="K1155" s="1063"/>
      <c r="L1155" s="1063"/>
    </row>
    <row r="1156" spans="5:12" x14ac:dyDescent="0.2">
      <c r="E1156" s="1063"/>
      <c r="H1156" s="1066"/>
      <c r="I1156" s="1063"/>
      <c r="J1156" s="1063"/>
      <c r="K1156" s="1063"/>
      <c r="L1156" s="1063"/>
    </row>
    <row r="1157" spans="5:12" x14ac:dyDescent="0.2">
      <c r="E1157" s="1063"/>
      <c r="H1157" s="1066"/>
      <c r="I1157" s="1063"/>
      <c r="J1157" s="1063"/>
      <c r="K1157" s="1063"/>
      <c r="L1157" s="1063"/>
    </row>
    <row r="1158" spans="5:12" x14ac:dyDescent="0.2">
      <c r="E1158" s="1063"/>
      <c r="H1158" s="1066"/>
      <c r="I1158" s="1063"/>
      <c r="J1158" s="1063"/>
      <c r="K1158" s="1063"/>
      <c r="L1158" s="1063"/>
    </row>
    <row r="1159" spans="5:12" x14ac:dyDescent="0.2">
      <c r="E1159" s="1063"/>
      <c r="H1159" s="1066"/>
      <c r="I1159" s="1063"/>
      <c r="J1159" s="1063"/>
      <c r="K1159" s="1063"/>
      <c r="L1159" s="1063"/>
    </row>
    <row r="1160" spans="5:12" x14ac:dyDescent="0.2">
      <c r="E1160" s="1063"/>
      <c r="H1160" s="1066"/>
      <c r="I1160" s="1063"/>
      <c r="J1160" s="1063"/>
      <c r="K1160" s="1063"/>
      <c r="L1160" s="1063"/>
    </row>
    <row r="1161" spans="5:12" x14ac:dyDescent="0.2">
      <c r="E1161" s="1063"/>
      <c r="H1161" s="1066"/>
      <c r="I1161" s="1063"/>
      <c r="J1161" s="1063"/>
      <c r="K1161" s="1063"/>
      <c r="L1161" s="1063"/>
    </row>
    <row r="1162" spans="5:12" x14ac:dyDescent="0.2">
      <c r="E1162" s="1063"/>
      <c r="H1162" s="1066"/>
      <c r="I1162" s="1063"/>
      <c r="J1162" s="1063"/>
      <c r="K1162" s="1063"/>
      <c r="L1162" s="1063"/>
    </row>
    <row r="1163" spans="5:12" x14ac:dyDescent="0.2">
      <c r="E1163" s="1063"/>
      <c r="H1163" s="1066"/>
      <c r="I1163" s="1063"/>
      <c r="J1163" s="1063"/>
      <c r="K1163" s="1063"/>
      <c r="L1163" s="1063"/>
    </row>
    <row r="1164" spans="5:12" x14ac:dyDescent="0.2">
      <c r="E1164" s="1063"/>
      <c r="H1164" s="1066"/>
      <c r="I1164" s="1063"/>
      <c r="J1164" s="1063"/>
      <c r="K1164" s="1063"/>
      <c r="L1164" s="1063"/>
    </row>
    <row r="1165" spans="5:12" x14ac:dyDescent="0.2">
      <c r="E1165" s="1063"/>
      <c r="H1165" s="1066"/>
      <c r="I1165" s="1063"/>
      <c r="J1165" s="1063"/>
      <c r="K1165" s="1063"/>
      <c r="L1165" s="1063"/>
    </row>
    <row r="1166" spans="5:12" x14ac:dyDescent="0.2">
      <c r="E1166" s="1063"/>
      <c r="H1166" s="1066"/>
      <c r="I1166" s="1063"/>
      <c r="J1166" s="1063"/>
      <c r="K1166" s="1063"/>
      <c r="L1166" s="1063"/>
    </row>
    <row r="1167" spans="5:12" x14ac:dyDescent="0.2">
      <c r="E1167" s="1063"/>
      <c r="H1167" s="1066"/>
      <c r="I1167" s="1063"/>
      <c r="J1167" s="1063"/>
      <c r="K1167" s="1063"/>
      <c r="L1167" s="1063"/>
    </row>
    <row r="1168" spans="5:12" x14ac:dyDescent="0.2">
      <c r="E1168" s="1063"/>
      <c r="H1168" s="1066"/>
      <c r="I1168" s="1063"/>
      <c r="J1168" s="1063"/>
      <c r="K1168" s="1063"/>
      <c r="L1168" s="1063"/>
    </row>
    <row r="1169" spans="5:12" x14ac:dyDescent="0.2">
      <c r="E1169" s="1063"/>
      <c r="H1169" s="1066"/>
      <c r="I1169" s="1063"/>
      <c r="J1169" s="1063"/>
      <c r="K1169" s="1063"/>
      <c r="L1169" s="1063"/>
    </row>
    <row r="1170" spans="5:12" x14ac:dyDescent="0.2">
      <c r="E1170" s="1063"/>
      <c r="H1170" s="1066"/>
      <c r="I1170" s="1063"/>
      <c r="J1170" s="1063"/>
      <c r="K1170" s="1063"/>
      <c r="L1170" s="1063"/>
    </row>
    <row r="1171" spans="5:12" x14ac:dyDescent="0.2">
      <c r="E1171" s="1063"/>
      <c r="H1171" s="1066"/>
      <c r="I1171" s="1063"/>
      <c r="J1171" s="1063"/>
      <c r="K1171" s="1063"/>
      <c r="L1171" s="1063"/>
    </row>
    <row r="1172" spans="5:12" x14ac:dyDescent="0.2">
      <c r="E1172" s="1063"/>
      <c r="H1172" s="1066"/>
      <c r="I1172" s="1063"/>
      <c r="J1172" s="1063"/>
      <c r="K1172" s="1063"/>
      <c r="L1172" s="1063"/>
    </row>
    <row r="1173" spans="5:12" x14ac:dyDescent="0.2">
      <c r="E1173" s="1063"/>
      <c r="H1173" s="1066"/>
      <c r="I1173" s="1063"/>
      <c r="J1173" s="1063"/>
      <c r="K1173" s="1063"/>
      <c r="L1173" s="1063"/>
    </row>
    <row r="1174" spans="5:12" x14ac:dyDescent="0.2">
      <c r="E1174" s="1063"/>
      <c r="H1174" s="1066"/>
      <c r="I1174" s="1063"/>
      <c r="J1174" s="1063"/>
      <c r="K1174" s="1063"/>
      <c r="L1174" s="1063"/>
    </row>
    <row r="1175" spans="5:12" x14ac:dyDescent="0.2">
      <c r="E1175" s="1063"/>
      <c r="H1175" s="1066"/>
      <c r="I1175" s="1063"/>
      <c r="J1175" s="1063"/>
      <c r="K1175" s="1063"/>
      <c r="L1175" s="1063"/>
    </row>
    <row r="1176" spans="5:12" x14ac:dyDescent="0.2">
      <c r="E1176" s="1063"/>
      <c r="H1176" s="1066"/>
      <c r="I1176" s="1063"/>
      <c r="J1176" s="1063"/>
      <c r="K1176" s="1063"/>
      <c r="L1176" s="1063"/>
    </row>
    <row r="1177" spans="5:12" x14ac:dyDescent="0.2">
      <c r="E1177" s="1063"/>
      <c r="H1177" s="1066"/>
      <c r="I1177" s="1063"/>
      <c r="J1177" s="1063"/>
      <c r="K1177" s="1063"/>
      <c r="L1177" s="1063"/>
    </row>
    <row r="1178" spans="5:12" x14ac:dyDescent="0.2">
      <c r="E1178" s="1063"/>
      <c r="H1178" s="1066"/>
      <c r="I1178" s="1063"/>
      <c r="J1178" s="1063"/>
      <c r="K1178" s="1063"/>
      <c r="L1178" s="1063"/>
    </row>
    <row r="1179" spans="5:12" x14ac:dyDescent="0.2">
      <c r="E1179" s="1063"/>
      <c r="H1179" s="1066"/>
      <c r="I1179" s="1063"/>
      <c r="J1179" s="1063"/>
      <c r="K1179" s="1063"/>
      <c r="L1179" s="1063"/>
    </row>
    <row r="1180" spans="5:12" x14ac:dyDescent="0.2">
      <c r="E1180" s="1063"/>
      <c r="H1180" s="1066"/>
      <c r="I1180" s="1063"/>
      <c r="J1180" s="1063"/>
      <c r="K1180" s="1063"/>
      <c r="L1180" s="1063"/>
    </row>
    <row r="1181" spans="5:12" x14ac:dyDescent="0.2">
      <c r="E1181" s="1063"/>
      <c r="H1181" s="1066"/>
      <c r="I1181" s="1063"/>
      <c r="J1181" s="1063"/>
      <c r="K1181" s="1063"/>
      <c r="L1181" s="1063"/>
    </row>
    <row r="1182" spans="5:12" x14ac:dyDescent="0.2">
      <c r="E1182" s="1063"/>
      <c r="H1182" s="1066"/>
      <c r="I1182" s="1063"/>
      <c r="J1182" s="1063"/>
      <c r="K1182" s="1063"/>
      <c r="L1182" s="1063"/>
    </row>
    <row r="1183" spans="5:12" x14ac:dyDescent="0.2">
      <c r="E1183" s="1063"/>
      <c r="H1183" s="1066"/>
      <c r="I1183" s="1063"/>
      <c r="J1183" s="1063"/>
      <c r="K1183" s="1063"/>
      <c r="L1183" s="1063"/>
    </row>
    <row r="1184" spans="5:12" x14ac:dyDescent="0.2">
      <c r="E1184" s="1063"/>
      <c r="H1184" s="1066"/>
      <c r="I1184" s="1063"/>
      <c r="J1184" s="1063"/>
      <c r="K1184" s="1063"/>
      <c r="L1184" s="1063"/>
    </row>
    <row r="1185" spans="5:12" x14ac:dyDescent="0.2">
      <c r="E1185" s="1063"/>
      <c r="H1185" s="1066"/>
      <c r="I1185" s="1063"/>
      <c r="J1185" s="1063"/>
      <c r="K1185" s="1063"/>
      <c r="L1185" s="1063"/>
    </row>
    <row r="1186" spans="5:12" x14ac:dyDescent="0.2">
      <c r="E1186" s="1063"/>
      <c r="H1186" s="1066"/>
      <c r="I1186" s="1063"/>
      <c r="J1186" s="1063"/>
      <c r="K1186" s="1063"/>
      <c r="L1186" s="1063"/>
    </row>
    <row r="1187" spans="5:12" x14ac:dyDescent="0.2">
      <c r="E1187" s="1063"/>
      <c r="H1187" s="1066"/>
      <c r="I1187" s="1063"/>
      <c r="J1187" s="1063"/>
      <c r="K1187" s="1063"/>
      <c r="L1187" s="1063"/>
    </row>
    <row r="1188" spans="5:12" x14ac:dyDescent="0.2">
      <c r="E1188" s="1063"/>
      <c r="H1188" s="1066"/>
      <c r="I1188" s="1063"/>
      <c r="J1188" s="1063"/>
      <c r="K1188" s="1063"/>
      <c r="L1188" s="1063"/>
    </row>
    <row r="1189" spans="5:12" x14ac:dyDescent="0.2">
      <c r="E1189" s="1063"/>
      <c r="H1189" s="1066"/>
      <c r="I1189" s="1063"/>
      <c r="J1189" s="1063"/>
      <c r="K1189" s="1063"/>
      <c r="L1189" s="1063"/>
    </row>
    <row r="1190" spans="5:12" x14ac:dyDescent="0.2">
      <c r="E1190" s="1063"/>
      <c r="H1190" s="1066"/>
      <c r="I1190" s="1063"/>
      <c r="J1190" s="1063"/>
      <c r="K1190" s="1063"/>
      <c r="L1190" s="1063"/>
    </row>
    <row r="1191" spans="5:12" x14ac:dyDescent="0.2">
      <c r="E1191" s="1063"/>
      <c r="H1191" s="1066"/>
      <c r="I1191" s="1063"/>
      <c r="J1191" s="1063"/>
      <c r="K1191" s="1063"/>
      <c r="L1191" s="1063"/>
    </row>
    <row r="1192" spans="5:12" x14ac:dyDescent="0.2">
      <c r="E1192" s="1063"/>
      <c r="H1192" s="1066"/>
      <c r="I1192" s="1063"/>
      <c r="J1192" s="1063"/>
      <c r="K1192" s="1063"/>
      <c r="L1192" s="1063"/>
    </row>
    <row r="1193" spans="5:12" x14ac:dyDescent="0.2">
      <c r="E1193" s="1063"/>
      <c r="H1193" s="1066"/>
      <c r="I1193" s="1063"/>
      <c r="J1193" s="1063"/>
      <c r="K1193" s="1063"/>
      <c r="L1193" s="1063"/>
    </row>
    <row r="1194" spans="5:12" x14ac:dyDescent="0.2">
      <c r="E1194" s="1063"/>
      <c r="H1194" s="1066"/>
      <c r="I1194" s="1063"/>
      <c r="J1194" s="1063"/>
      <c r="K1194" s="1063"/>
      <c r="L1194" s="1063"/>
    </row>
    <row r="1195" spans="5:12" x14ac:dyDescent="0.2">
      <c r="E1195" s="1063"/>
      <c r="H1195" s="1066"/>
      <c r="I1195" s="1063"/>
      <c r="J1195" s="1063"/>
      <c r="K1195" s="1063"/>
      <c r="L1195" s="1063"/>
    </row>
    <row r="1196" spans="5:12" x14ac:dyDescent="0.2">
      <c r="E1196" s="1063"/>
      <c r="H1196" s="1066"/>
      <c r="I1196" s="1063"/>
      <c r="J1196" s="1063"/>
      <c r="K1196" s="1063"/>
      <c r="L1196" s="1063"/>
    </row>
    <row r="1197" spans="5:12" x14ac:dyDescent="0.2">
      <c r="E1197" s="1063"/>
      <c r="H1197" s="1066"/>
      <c r="I1197" s="1063"/>
      <c r="J1197" s="1063"/>
      <c r="K1197" s="1063"/>
      <c r="L1197" s="1063"/>
    </row>
    <row r="1198" spans="5:12" x14ac:dyDescent="0.2">
      <c r="E1198" s="1063"/>
      <c r="H1198" s="1066"/>
      <c r="I1198" s="1063"/>
      <c r="J1198" s="1063"/>
      <c r="K1198" s="1063"/>
      <c r="L1198" s="1063"/>
    </row>
    <row r="1199" spans="5:12" x14ac:dyDescent="0.2">
      <c r="E1199" s="1063"/>
      <c r="H1199" s="1066"/>
      <c r="I1199" s="1063"/>
      <c r="J1199" s="1063"/>
      <c r="K1199" s="1063"/>
      <c r="L1199" s="1063"/>
    </row>
    <row r="1200" spans="5:12" x14ac:dyDescent="0.2">
      <c r="E1200" s="1063"/>
      <c r="H1200" s="1066"/>
      <c r="I1200" s="1063"/>
      <c r="J1200" s="1063"/>
      <c r="K1200" s="1063"/>
      <c r="L1200" s="1063"/>
    </row>
    <row r="1201" spans="5:12" x14ac:dyDescent="0.2">
      <c r="E1201" s="1063"/>
      <c r="H1201" s="1066"/>
      <c r="I1201" s="1063"/>
      <c r="J1201" s="1063"/>
      <c r="K1201" s="1063"/>
      <c r="L1201" s="1063"/>
    </row>
    <row r="1202" spans="5:12" x14ac:dyDescent="0.2">
      <c r="E1202" s="1063"/>
      <c r="H1202" s="1066"/>
      <c r="I1202" s="1063"/>
      <c r="J1202" s="1063"/>
      <c r="K1202" s="1063"/>
      <c r="L1202" s="1063"/>
    </row>
    <row r="1203" spans="5:12" x14ac:dyDescent="0.2">
      <c r="E1203" s="1063"/>
      <c r="H1203" s="1066"/>
      <c r="I1203" s="1063"/>
      <c r="J1203" s="1063"/>
      <c r="K1203" s="1063"/>
      <c r="L1203" s="1063"/>
    </row>
    <row r="1204" spans="5:12" x14ac:dyDescent="0.2">
      <c r="E1204" s="1063"/>
      <c r="H1204" s="1066"/>
      <c r="I1204" s="1063"/>
      <c r="J1204" s="1063"/>
      <c r="K1204" s="1063"/>
      <c r="L1204" s="1063"/>
    </row>
    <row r="1205" spans="5:12" x14ac:dyDescent="0.2">
      <c r="E1205" s="1063"/>
      <c r="H1205" s="1066"/>
      <c r="I1205" s="1063"/>
      <c r="J1205" s="1063"/>
      <c r="K1205" s="1063"/>
      <c r="L1205" s="1063"/>
    </row>
    <row r="1206" spans="5:12" x14ac:dyDescent="0.2">
      <c r="E1206" s="1063"/>
      <c r="H1206" s="1066"/>
      <c r="I1206" s="1063"/>
      <c r="J1206" s="1063"/>
      <c r="K1206" s="1063"/>
      <c r="L1206" s="1063"/>
    </row>
    <row r="1207" spans="5:12" x14ac:dyDescent="0.2">
      <c r="E1207" s="1063"/>
      <c r="H1207" s="1066"/>
      <c r="I1207" s="1063"/>
      <c r="J1207" s="1063"/>
      <c r="K1207" s="1063"/>
      <c r="L1207" s="1063"/>
    </row>
    <row r="1208" spans="5:12" x14ac:dyDescent="0.2">
      <c r="E1208" s="1063"/>
      <c r="H1208" s="1066"/>
      <c r="I1208" s="1063"/>
      <c r="J1208" s="1063"/>
      <c r="K1208" s="1063"/>
      <c r="L1208" s="1063"/>
    </row>
    <row r="1209" spans="5:12" x14ac:dyDescent="0.2">
      <c r="E1209" s="1063"/>
      <c r="H1209" s="1066"/>
      <c r="I1209" s="1063"/>
      <c r="J1209" s="1063"/>
      <c r="K1209" s="1063"/>
      <c r="L1209" s="1063"/>
    </row>
    <row r="1210" spans="5:12" x14ac:dyDescent="0.2">
      <c r="E1210" s="1063"/>
      <c r="H1210" s="1066"/>
      <c r="I1210" s="1063"/>
      <c r="J1210" s="1063"/>
      <c r="K1210" s="1063"/>
      <c r="L1210" s="1063"/>
    </row>
    <row r="1211" spans="5:12" x14ac:dyDescent="0.2">
      <c r="E1211" s="1063"/>
      <c r="H1211" s="1066"/>
      <c r="I1211" s="1063"/>
      <c r="J1211" s="1063"/>
      <c r="K1211" s="1063"/>
      <c r="L1211" s="1063"/>
    </row>
    <row r="1212" spans="5:12" x14ac:dyDescent="0.2">
      <c r="E1212" s="1063"/>
      <c r="H1212" s="1066"/>
      <c r="I1212" s="1063"/>
      <c r="J1212" s="1063"/>
      <c r="K1212" s="1063"/>
      <c r="L1212" s="1063"/>
    </row>
    <row r="1213" spans="5:12" x14ac:dyDescent="0.2">
      <c r="E1213" s="1063"/>
      <c r="H1213" s="1066"/>
      <c r="I1213" s="1063"/>
      <c r="J1213" s="1063"/>
      <c r="K1213" s="1063"/>
      <c r="L1213" s="1063"/>
    </row>
    <row r="1214" spans="5:12" x14ac:dyDescent="0.2">
      <c r="E1214" s="1063"/>
      <c r="H1214" s="1066"/>
      <c r="I1214" s="1063"/>
      <c r="J1214" s="1063"/>
      <c r="K1214" s="1063"/>
      <c r="L1214" s="1063"/>
    </row>
    <row r="1215" spans="5:12" x14ac:dyDescent="0.2">
      <c r="E1215" s="1063"/>
      <c r="H1215" s="1066"/>
      <c r="I1215" s="1063"/>
      <c r="J1215" s="1063"/>
      <c r="K1215" s="1063"/>
      <c r="L1215" s="1063"/>
    </row>
    <row r="1216" spans="5:12" x14ac:dyDescent="0.2">
      <c r="E1216" s="1063"/>
      <c r="H1216" s="1066"/>
      <c r="I1216" s="1063"/>
      <c r="J1216" s="1063"/>
      <c r="K1216" s="1063"/>
      <c r="L1216" s="1063"/>
    </row>
    <row r="1217" spans="5:12" x14ac:dyDescent="0.2">
      <c r="E1217" s="1063"/>
      <c r="H1217" s="1066"/>
      <c r="I1217" s="1063"/>
      <c r="J1217" s="1063"/>
      <c r="K1217" s="1063"/>
      <c r="L1217" s="1063"/>
    </row>
    <row r="1218" spans="5:12" x14ac:dyDescent="0.2">
      <c r="E1218" s="1063"/>
      <c r="H1218" s="1066"/>
      <c r="I1218" s="1063"/>
      <c r="J1218" s="1063"/>
      <c r="K1218" s="1063"/>
      <c r="L1218" s="1063"/>
    </row>
    <row r="1219" spans="5:12" x14ac:dyDescent="0.2">
      <c r="E1219" s="1063"/>
      <c r="H1219" s="1066"/>
      <c r="I1219" s="1063"/>
      <c r="J1219" s="1063"/>
      <c r="K1219" s="1063"/>
      <c r="L1219" s="1063"/>
    </row>
    <row r="1220" spans="5:12" x14ac:dyDescent="0.2">
      <c r="E1220" s="1063"/>
      <c r="H1220" s="1066"/>
      <c r="I1220" s="1063"/>
      <c r="J1220" s="1063"/>
      <c r="K1220" s="1063"/>
      <c r="L1220" s="1063"/>
    </row>
    <row r="1221" spans="5:12" x14ac:dyDescent="0.2">
      <c r="E1221" s="1063"/>
      <c r="H1221" s="1066"/>
      <c r="I1221" s="1063"/>
      <c r="J1221" s="1063"/>
      <c r="K1221" s="1063"/>
      <c r="L1221" s="1063"/>
    </row>
    <row r="1222" spans="5:12" x14ac:dyDescent="0.2">
      <c r="E1222" s="1063"/>
      <c r="H1222" s="1066"/>
      <c r="I1222" s="1063"/>
      <c r="J1222" s="1063"/>
      <c r="K1222" s="1063"/>
      <c r="L1222" s="1063"/>
    </row>
    <row r="1223" spans="5:12" x14ac:dyDescent="0.2">
      <c r="E1223" s="1063"/>
      <c r="H1223" s="1066"/>
      <c r="I1223" s="1063"/>
      <c r="J1223" s="1063"/>
      <c r="K1223" s="1063"/>
      <c r="L1223" s="1063"/>
    </row>
    <row r="1224" spans="5:12" x14ac:dyDescent="0.2">
      <c r="E1224" s="1063"/>
      <c r="H1224" s="1066"/>
      <c r="I1224" s="1063"/>
      <c r="J1224" s="1063"/>
      <c r="K1224" s="1063"/>
      <c r="L1224" s="1063"/>
    </row>
    <row r="1225" spans="5:12" x14ac:dyDescent="0.2">
      <c r="E1225" s="1063"/>
      <c r="H1225" s="1066"/>
      <c r="I1225" s="1063"/>
      <c r="J1225" s="1063"/>
      <c r="K1225" s="1063"/>
      <c r="L1225" s="1063"/>
    </row>
    <row r="1226" spans="5:12" x14ac:dyDescent="0.2">
      <c r="E1226" s="1063"/>
      <c r="H1226" s="1066"/>
      <c r="I1226" s="1063"/>
      <c r="J1226" s="1063"/>
      <c r="K1226" s="1063"/>
      <c r="L1226" s="1063"/>
    </row>
    <row r="1227" spans="5:12" x14ac:dyDescent="0.2">
      <c r="E1227" s="1063"/>
      <c r="H1227" s="1066"/>
      <c r="I1227" s="1063"/>
      <c r="J1227" s="1063"/>
      <c r="K1227" s="1063"/>
      <c r="L1227" s="1063"/>
    </row>
    <row r="1228" spans="5:12" x14ac:dyDescent="0.2">
      <c r="E1228" s="1063"/>
      <c r="H1228" s="1066"/>
      <c r="I1228" s="1063"/>
      <c r="J1228" s="1063"/>
      <c r="K1228" s="1063"/>
      <c r="L1228" s="1063"/>
    </row>
    <row r="1229" spans="5:12" x14ac:dyDescent="0.2">
      <c r="E1229" s="1063"/>
      <c r="H1229" s="1066"/>
      <c r="I1229" s="1063"/>
      <c r="J1229" s="1063"/>
      <c r="K1229" s="1063"/>
      <c r="L1229" s="1063"/>
    </row>
    <row r="1230" spans="5:12" x14ac:dyDescent="0.2">
      <c r="E1230" s="1063"/>
      <c r="H1230" s="1066"/>
      <c r="I1230" s="1063"/>
      <c r="J1230" s="1063"/>
      <c r="K1230" s="1063"/>
      <c r="L1230" s="1063"/>
    </row>
    <row r="1231" spans="5:12" x14ac:dyDescent="0.2">
      <c r="E1231" s="1063"/>
      <c r="H1231" s="1066"/>
      <c r="I1231" s="1063"/>
      <c r="J1231" s="1063"/>
      <c r="K1231" s="1063"/>
      <c r="L1231" s="1063"/>
    </row>
    <row r="1232" spans="5:12" x14ac:dyDescent="0.2">
      <c r="E1232" s="1063"/>
      <c r="H1232" s="1066"/>
      <c r="I1232" s="1063"/>
      <c r="J1232" s="1063"/>
      <c r="K1232" s="1063"/>
      <c r="L1232" s="1063"/>
    </row>
    <row r="1233" spans="5:12" x14ac:dyDescent="0.2">
      <c r="E1233" s="1063"/>
      <c r="H1233" s="1066"/>
      <c r="I1233" s="1063"/>
      <c r="J1233" s="1063"/>
      <c r="K1233" s="1063"/>
      <c r="L1233" s="1063"/>
    </row>
    <row r="1234" spans="5:12" x14ac:dyDescent="0.2">
      <c r="E1234" s="1063"/>
      <c r="H1234" s="1066"/>
      <c r="I1234" s="1063"/>
      <c r="J1234" s="1063"/>
      <c r="K1234" s="1063"/>
      <c r="L1234" s="1063"/>
    </row>
    <row r="1235" spans="5:12" x14ac:dyDescent="0.2">
      <c r="E1235" s="1063"/>
      <c r="H1235" s="1066"/>
      <c r="I1235" s="1063"/>
      <c r="J1235" s="1063"/>
      <c r="K1235" s="1063"/>
      <c r="L1235" s="1063"/>
    </row>
    <row r="1236" spans="5:12" x14ac:dyDescent="0.2">
      <c r="E1236" s="1063"/>
      <c r="H1236" s="1066"/>
      <c r="I1236" s="1063"/>
      <c r="J1236" s="1063"/>
      <c r="K1236" s="1063"/>
      <c r="L1236" s="1063"/>
    </row>
    <row r="1237" spans="5:12" x14ac:dyDescent="0.2">
      <c r="E1237" s="1063"/>
      <c r="H1237" s="1066"/>
      <c r="I1237" s="1063"/>
      <c r="J1237" s="1063"/>
      <c r="K1237" s="1063"/>
      <c r="L1237" s="1063"/>
    </row>
    <row r="1238" spans="5:12" x14ac:dyDescent="0.2">
      <c r="E1238" s="1063"/>
      <c r="H1238" s="1066"/>
      <c r="I1238" s="1063"/>
      <c r="J1238" s="1063"/>
      <c r="K1238" s="1063"/>
      <c r="L1238" s="1063"/>
    </row>
    <row r="1239" spans="5:12" x14ac:dyDescent="0.2">
      <c r="E1239" s="1063"/>
      <c r="H1239" s="1066"/>
      <c r="I1239" s="1063"/>
      <c r="J1239" s="1063"/>
      <c r="K1239" s="1063"/>
      <c r="L1239" s="1063"/>
    </row>
    <row r="1240" spans="5:12" x14ac:dyDescent="0.2">
      <c r="E1240" s="1063"/>
      <c r="H1240" s="1066"/>
      <c r="I1240" s="1063"/>
      <c r="J1240" s="1063"/>
      <c r="K1240" s="1063"/>
      <c r="L1240" s="1063"/>
    </row>
    <row r="1241" spans="5:12" x14ac:dyDescent="0.2">
      <c r="E1241" s="1063"/>
      <c r="H1241" s="1066"/>
      <c r="I1241" s="1063"/>
      <c r="J1241" s="1063"/>
      <c r="K1241" s="1063"/>
      <c r="L1241" s="1063"/>
    </row>
    <row r="1242" spans="5:12" x14ac:dyDescent="0.2">
      <c r="E1242" s="1063"/>
      <c r="H1242" s="1066"/>
      <c r="I1242" s="1063"/>
      <c r="J1242" s="1063"/>
      <c r="K1242" s="1063"/>
      <c r="L1242" s="1063"/>
    </row>
    <row r="1243" spans="5:12" x14ac:dyDescent="0.2">
      <c r="E1243" s="1063"/>
      <c r="H1243" s="1066"/>
      <c r="I1243" s="1063"/>
      <c r="J1243" s="1063"/>
      <c r="K1243" s="1063"/>
      <c r="L1243" s="1063"/>
    </row>
    <row r="1244" spans="5:12" x14ac:dyDescent="0.2">
      <c r="E1244" s="1063"/>
      <c r="H1244" s="1066"/>
      <c r="I1244" s="1063"/>
      <c r="J1244" s="1063"/>
      <c r="K1244" s="1063"/>
      <c r="L1244" s="1063"/>
    </row>
    <row r="1245" spans="5:12" x14ac:dyDescent="0.2">
      <c r="E1245" s="1063"/>
      <c r="H1245" s="1066"/>
      <c r="I1245" s="1063"/>
      <c r="J1245" s="1063"/>
      <c r="K1245" s="1063"/>
      <c r="L1245" s="1063"/>
    </row>
    <row r="1246" spans="5:12" x14ac:dyDescent="0.2">
      <c r="E1246" s="1063"/>
      <c r="H1246" s="1066"/>
      <c r="I1246" s="1063"/>
      <c r="J1246" s="1063"/>
      <c r="K1246" s="1063"/>
      <c r="L1246" s="1063"/>
    </row>
    <row r="1247" spans="5:12" x14ac:dyDescent="0.2">
      <c r="E1247" s="1063"/>
      <c r="H1247" s="1066"/>
      <c r="I1247" s="1063"/>
      <c r="J1247" s="1063"/>
      <c r="K1247" s="1063"/>
      <c r="L1247" s="1063"/>
    </row>
    <row r="1248" spans="5:12" x14ac:dyDescent="0.2">
      <c r="E1248" s="1063"/>
      <c r="H1248" s="1066"/>
      <c r="I1248" s="1063"/>
      <c r="J1248" s="1063"/>
      <c r="K1248" s="1063"/>
      <c r="L1248" s="1063"/>
    </row>
    <row r="1249" spans="5:12" x14ac:dyDescent="0.2">
      <c r="E1249" s="1063"/>
      <c r="H1249" s="1066"/>
      <c r="I1249" s="1063"/>
      <c r="J1249" s="1063"/>
      <c r="K1249" s="1063"/>
      <c r="L1249" s="1063"/>
    </row>
    <row r="1250" spans="5:12" x14ac:dyDescent="0.2">
      <c r="E1250" s="1063"/>
      <c r="H1250" s="1066"/>
      <c r="I1250" s="1063"/>
      <c r="J1250" s="1063"/>
      <c r="K1250" s="1063"/>
      <c r="L1250" s="1063"/>
    </row>
    <row r="1251" spans="5:12" x14ac:dyDescent="0.2">
      <c r="E1251" s="1063"/>
      <c r="H1251" s="1066"/>
      <c r="I1251" s="1063"/>
      <c r="J1251" s="1063"/>
      <c r="K1251" s="1063"/>
      <c r="L1251" s="1063"/>
    </row>
    <row r="1252" spans="5:12" x14ac:dyDescent="0.2">
      <c r="E1252" s="1063"/>
      <c r="H1252" s="1066"/>
      <c r="I1252" s="1063"/>
      <c r="J1252" s="1063"/>
      <c r="K1252" s="1063"/>
      <c r="L1252" s="1063"/>
    </row>
    <row r="1253" spans="5:12" x14ac:dyDescent="0.2">
      <c r="E1253" s="1063"/>
      <c r="H1253" s="1066"/>
      <c r="I1253" s="1063"/>
      <c r="J1253" s="1063"/>
      <c r="K1253" s="1063"/>
      <c r="L1253" s="1063"/>
    </row>
    <row r="1254" spans="5:12" x14ac:dyDescent="0.2">
      <c r="E1254" s="1063"/>
      <c r="H1254" s="1066"/>
      <c r="I1254" s="1063"/>
      <c r="J1254" s="1063"/>
      <c r="K1254" s="1063"/>
      <c r="L1254" s="1063"/>
    </row>
    <row r="1255" spans="5:12" x14ac:dyDescent="0.2">
      <c r="E1255" s="1063"/>
      <c r="H1255" s="1066"/>
      <c r="I1255" s="1063"/>
      <c r="J1255" s="1063"/>
      <c r="K1255" s="1063"/>
      <c r="L1255" s="1063"/>
    </row>
    <row r="1256" spans="5:12" x14ac:dyDescent="0.2">
      <c r="E1256" s="1063"/>
      <c r="H1256" s="1066"/>
      <c r="I1256" s="1063"/>
      <c r="J1256" s="1063"/>
      <c r="K1256" s="1063"/>
      <c r="L1256" s="1063"/>
    </row>
    <row r="1257" spans="5:12" x14ac:dyDescent="0.2">
      <c r="E1257" s="1063"/>
      <c r="H1257" s="1066"/>
      <c r="I1257" s="1063"/>
      <c r="J1257" s="1063"/>
      <c r="K1257" s="1063"/>
      <c r="L1257" s="1063"/>
    </row>
    <row r="1258" spans="5:12" x14ac:dyDescent="0.2">
      <c r="E1258" s="1063"/>
      <c r="H1258" s="1066"/>
      <c r="I1258" s="1063"/>
      <c r="J1258" s="1063"/>
      <c r="K1258" s="1063"/>
      <c r="L1258" s="1063"/>
    </row>
    <row r="1259" spans="5:12" x14ac:dyDescent="0.2">
      <c r="E1259" s="1063"/>
      <c r="H1259" s="1066"/>
      <c r="I1259" s="1063"/>
      <c r="J1259" s="1063"/>
      <c r="K1259" s="1063"/>
      <c r="L1259" s="1063"/>
    </row>
    <row r="1260" spans="5:12" x14ac:dyDescent="0.2">
      <c r="E1260" s="1063"/>
      <c r="H1260" s="1066"/>
      <c r="I1260" s="1063"/>
      <c r="J1260" s="1063"/>
      <c r="K1260" s="1063"/>
      <c r="L1260" s="1063"/>
    </row>
    <row r="1261" spans="5:12" x14ac:dyDescent="0.2">
      <c r="E1261" s="1063"/>
      <c r="H1261" s="1066"/>
      <c r="I1261" s="1063"/>
      <c r="J1261" s="1063"/>
      <c r="K1261" s="1063"/>
      <c r="L1261" s="1063"/>
    </row>
    <row r="1262" spans="5:12" x14ac:dyDescent="0.2">
      <c r="E1262" s="1063"/>
      <c r="H1262" s="1066"/>
      <c r="I1262" s="1063"/>
      <c r="J1262" s="1063"/>
      <c r="K1262" s="1063"/>
      <c r="L1262" s="1063"/>
    </row>
    <row r="1263" spans="5:12" x14ac:dyDescent="0.2">
      <c r="E1263" s="1063"/>
      <c r="H1263" s="1066"/>
      <c r="I1263" s="1063"/>
      <c r="J1263" s="1063"/>
      <c r="K1263" s="1063"/>
      <c r="L1263" s="1063"/>
    </row>
    <row r="1264" spans="5:12" x14ac:dyDescent="0.2">
      <c r="E1264" s="1063"/>
      <c r="H1264" s="1066"/>
      <c r="I1264" s="1063"/>
      <c r="J1264" s="1063"/>
      <c r="K1264" s="1063"/>
      <c r="L1264" s="1063"/>
    </row>
    <row r="1265" spans="5:12" x14ac:dyDescent="0.2">
      <c r="E1265" s="1063"/>
      <c r="H1265" s="1066"/>
      <c r="I1265" s="1063"/>
      <c r="J1265" s="1063"/>
      <c r="K1265" s="1063"/>
      <c r="L1265" s="1063"/>
    </row>
    <row r="1266" spans="5:12" x14ac:dyDescent="0.2">
      <c r="E1266" s="1063"/>
      <c r="H1266" s="1066"/>
      <c r="I1266" s="1063"/>
      <c r="J1266" s="1063"/>
      <c r="K1266" s="1063"/>
      <c r="L1266" s="1063"/>
    </row>
    <row r="1267" spans="5:12" x14ac:dyDescent="0.2">
      <c r="E1267" s="1063"/>
      <c r="H1267" s="1066"/>
      <c r="I1267" s="1063"/>
      <c r="J1267" s="1063"/>
      <c r="K1267" s="1063"/>
      <c r="L1267" s="1063"/>
    </row>
    <row r="1268" spans="5:12" x14ac:dyDescent="0.2">
      <c r="E1268" s="1063"/>
      <c r="H1268" s="1066"/>
      <c r="I1268" s="1063"/>
      <c r="J1268" s="1063"/>
      <c r="K1268" s="1063"/>
      <c r="L1268" s="1063"/>
    </row>
    <row r="1269" spans="5:12" x14ac:dyDescent="0.2">
      <c r="E1269" s="1063"/>
      <c r="H1269" s="1066"/>
      <c r="I1269" s="1063"/>
      <c r="J1269" s="1063"/>
      <c r="K1269" s="1063"/>
      <c r="L1269" s="1063"/>
    </row>
    <row r="1270" spans="5:12" x14ac:dyDescent="0.2">
      <c r="E1270" s="1063"/>
      <c r="H1270" s="1066"/>
      <c r="I1270" s="1063"/>
      <c r="J1270" s="1063"/>
      <c r="K1270" s="1063"/>
      <c r="L1270" s="1063"/>
    </row>
    <row r="1271" spans="5:12" x14ac:dyDescent="0.2">
      <c r="E1271" s="1063"/>
      <c r="H1271" s="1066"/>
      <c r="I1271" s="1063"/>
      <c r="J1271" s="1063"/>
      <c r="K1271" s="1063"/>
      <c r="L1271" s="1063"/>
    </row>
    <row r="1272" spans="5:12" x14ac:dyDescent="0.2">
      <c r="E1272" s="1063"/>
      <c r="H1272" s="1066"/>
      <c r="I1272" s="1063"/>
      <c r="J1272" s="1063"/>
      <c r="K1272" s="1063"/>
      <c r="L1272" s="1063"/>
    </row>
    <row r="1273" spans="5:12" x14ac:dyDescent="0.2">
      <c r="E1273" s="1063"/>
      <c r="H1273" s="1066"/>
      <c r="I1273" s="1063"/>
      <c r="J1273" s="1063"/>
      <c r="K1273" s="1063"/>
      <c r="L1273" s="1063"/>
    </row>
    <row r="1274" spans="5:12" x14ac:dyDescent="0.2">
      <c r="E1274" s="1063"/>
      <c r="H1274" s="1066"/>
      <c r="I1274" s="1063"/>
      <c r="J1274" s="1063"/>
      <c r="K1274" s="1063"/>
      <c r="L1274" s="1063"/>
    </row>
    <row r="1275" spans="5:12" x14ac:dyDescent="0.2">
      <c r="E1275" s="1063"/>
      <c r="H1275" s="1066"/>
      <c r="I1275" s="1063"/>
      <c r="J1275" s="1063"/>
      <c r="K1275" s="1063"/>
      <c r="L1275" s="1063"/>
    </row>
    <row r="1276" spans="5:12" x14ac:dyDescent="0.2">
      <c r="E1276" s="1063"/>
      <c r="H1276" s="1066"/>
      <c r="I1276" s="1063"/>
      <c r="J1276" s="1063"/>
      <c r="K1276" s="1063"/>
      <c r="L1276" s="1063"/>
    </row>
    <row r="1277" spans="5:12" x14ac:dyDescent="0.2">
      <c r="E1277" s="1063"/>
      <c r="H1277" s="1066"/>
      <c r="I1277" s="1063"/>
      <c r="J1277" s="1063"/>
      <c r="K1277" s="1063"/>
      <c r="L1277" s="1063"/>
    </row>
    <row r="1278" spans="5:12" x14ac:dyDescent="0.2">
      <c r="E1278" s="1063"/>
      <c r="H1278" s="1066"/>
      <c r="I1278" s="1063"/>
      <c r="J1278" s="1063"/>
      <c r="K1278" s="1063"/>
      <c r="L1278" s="1063"/>
    </row>
    <row r="1279" spans="5:12" x14ac:dyDescent="0.2">
      <c r="E1279" s="1063"/>
      <c r="H1279" s="1066"/>
      <c r="I1279" s="1063"/>
      <c r="J1279" s="1063"/>
      <c r="K1279" s="1063"/>
      <c r="L1279" s="1063"/>
    </row>
    <row r="1280" spans="5:12" x14ac:dyDescent="0.2">
      <c r="E1280" s="1063"/>
      <c r="H1280" s="1066"/>
      <c r="I1280" s="1063"/>
      <c r="J1280" s="1063"/>
      <c r="K1280" s="1063"/>
      <c r="L1280" s="1063"/>
    </row>
    <row r="1281" spans="5:12" x14ac:dyDescent="0.2">
      <c r="E1281" s="1063"/>
      <c r="H1281" s="1066"/>
      <c r="I1281" s="1063"/>
      <c r="J1281" s="1063"/>
      <c r="K1281" s="1063"/>
      <c r="L1281" s="1063"/>
    </row>
    <row r="1282" spans="5:12" x14ac:dyDescent="0.2">
      <c r="E1282" s="1063"/>
      <c r="H1282" s="1066"/>
      <c r="I1282" s="1063"/>
      <c r="J1282" s="1063"/>
      <c r="K1282" s="1063"/>
      <c r="L1282" s="1063"/>
    </row>
    <row r="1283" spans="5:12" x14ac:dyDescent="0.2">
      <c r="E1283" s="1063"/>
      <c r="H1283" s="1066"/>
      <c r="I1283" s="1063"/>
      <c r="J1283" s="1063"/>
      <c r="K1283" s="1063"/>
      <c r="L1283" s="1063"/>
    </row>
    <row r="1284" spans="5:12" x14ac:dyDescent="0.2">
      <c r="E1284" s="1063"/>
      <c r="H1284" s="1066"/>
      <c r="I1284" s="1063"/>
      <c r="J1284" s="1063"/>
      <c r="K1284" s="1063"/>
      <c r="L1284" s="1063"/>
    </row>
    <row r="1285" spans="5:12" x14ac:dyDescent="0.2">
      <c r="E1285" s="1063"/>
      <c r="H1285" s="1066"/>
      <c r="I1285" s="1063"/>
      <c r="J1285" s="1063"/>
      <c r="K1285" s="1063"/>
      <c r="L1285" s="1063"/>
    </row>
    <row r="1286" spans="5:12" x14ac:dyDescent="0.2">
      <c r="E1286" s="1063"/>
      <c r="H1286" s="1066"/>
      <c r="I1286" s="1063"/>
      <c r="J1286" s="1063"/>
      <c r="K1286" s="1063"/>
      <c r="L1286" s="1063"/>
    </row>
    <row r="1287" spans="5:12" x14ac:dyDescent="0.2">
      <c r="E1287" s="1063"/>
      <c r="H1287" s="1066"/>
      <c r="I1287" s="1063"/>
      <c r="J1287" s="1063"/>
      <c r="K1287" s="1063"/>
      <c r="L1287" s="1063"/>
    </row>
    <row r="1288" spans="5:12" x14ac:dyDescent="0.2">
      <c r="E1288" s="1063"/>
      <c r="H1288" s="1066"/>
      <c r="I1288" s="1063"/>
      <c r="J1288" s="1063"/>
      <c r="K1288" s="1063"/>
      <c r="L1288" s="1063"/>
    </row>
    <row r="1289" spans="5:12" x14ac:dyDescent="0.2">
      <c r="E1289" s="1063"/>
      <c r="H1289" s="1066"/>
      <c r="I1289" s="1063"/>
      <c r="J1289" s="1063"/>
      <c r="K1289" s="1063"/>
      <c r="L1289" s="1063"/>
    </row>
    <row r="1290" spans="5:12" x14ac:dyDescent="0.2">
      <c r="E1290" s="1063"/>
      <c r="H1290" s="1066"/>
      <c r="I1290" s="1063"/>
      <c r="J1290" s="1063"/>
      <c r="K1290" s="1063"/>
      <c r="L1290" s="1063"/>
    </row>
    <row r="1291" spans="5:12" x14ac:dyDescent="0.2">
      <c r="E1291" s="1063"/>
      <c r="H1291" s="1066"/>
      <c r="I1291" s="1063"/>
      <c r="J1291" s="1063"/>
      <c r="K1291" s="1063"/>
      <c r="L1291" s="1063"/>
    </row>
    <row r="1292" spans="5:12" x14ac:dyDescent="0.2">
      <c r="E1292" s="1063"/>
      <c r="H1292" s="1066"/>
      <c r="I1292" s="1063"/>
      <c r="J1292" s="1063"/>
      <c r="K1292" s="1063"/>
      <c r="L1292" s="1063"/>
    </row>
    <row r="1293" spans="5:12" x14ac:dyDescent="0.2">
      <c r="E1293" s="1063"/>
      <c r="H1293" s="1066"/>
      <c r="I1293" s="1063"/>
      <c r="J1293" s="1063"/>
      <c r="K1293" s="1063"/>
      <c r="L1293" s="1063"/>
    </row>
    <row r="1294" spans="5:12" x14ac:dyDescent="0.2">
      <c r="E1294" s="1063"/>
      <c r="H1294" s="1066"/>
      <c r="I1294" s="1063"/>
      <c r="J1294" s="1063"/>
      <c r="K1294" s="1063"/>
      <c r="L1294" s="1063"/>
    </row>
    <row r="1295" spans="5:12" x14ac:dyDescent="0.2">
      <c r="E1295" s="1063"/>
      <c r="H1295" s="1066"/>
      <c r="I1295" s="1063"/>
      <c r="J1295" s="1063"/>
      <c r="K1295" s="1063"/>
      <c r="L1295" s="1063"/>
    </row>
    <row r="1296" spans="5:12" x14ac:dyDescent="0.2">
      <c r="E1296" s="1063"/>
      <c r="H1296" s="1066"/>
      <c r="I1296" s="1063"/>
      <c r="J1296" s="1063"/>
      <c r="K1296" s="1063"/>
      <c r="L1296" s="1063"/>
    </row>
    <row r="1297" spans="5:12" x14ac:dyDescent="0.2">
      <c r="E1297" s="1063"/>
      <c r="H1297" s="1066"/>
      <c r="I1297" s="1063"/>
      <c r="J1297" s="1063"/>
      <c r="K1297" s="1063"/>
      <c r="L1297" s="1063"/>
    </row>
    <row r="1298" spans="5:12" x14ac:dyDescent="0.2">
      <c r="E1298" s="1063"/>
      <c r="H1298" s="1066"/>
      <c r="I1298" s="1063"/>
      <c r="J1298" s="1063"/>
      <c r="K1298" s="1063"/>
      <c r="L1298" s="1063"/>
    </row>
    <row r="1299" spans="5:12" x14ac:dyDescent="0.2">
      <c r="E1299" s="1063"/>
      <c r="H1299" s="1066"/>
      <c r="I1299" s="1063"/>
      <c r="J1299" s="1063"/>
      <c r="K1299" s="1063"/>
      <c r="L1299" s="1063"/>
    </row>
    <row r="1300" spans="5:12" x14ac:dyDescent="0.2">
      <c r="E1300" s="1063"/>
      <c r="H1300" s="1066"/>
      <c r="I1300" s="1063"/>
      <c r="J1300" s="1063"/>
      <c r="K1300" s="1063"/>
      <c r="L1300" s="1063"/>
    </row>
    <row r="1301" spans="5:12" x14ac:dyDescent="0.2">
      <c r="E1301" s="1063"/>
      <c r="H1301" s="1066"/>
      <c r="I1301" s="1063"/>
      <c r="J1301" s="1063"/>
      <c r="K1301" s="1063"/>
      <c r="L1301" s="1063"/>
    </row>
    <row r="1302" spans="5:12" x14ac:dyDescent="0.2">
      <c r="E1302" s="1063"/>
      <c r="H1302" s="1066"/>
      <c r="I1302" s="1063"/>
      <c r="J1302" s="1063"/>
      <c r="K1302" s="1063"/>
      <c r="L1302" s="1063"/>
    </row>
    <row r="1303" spans="5:12" x14ac:dyDescent="0.2">
      <c r="E1303" s="1063"/>
      <c r="H1303" s="1066"/>
      <c r="I1303" s="1063"/>
      <c r="J1303" s="1063"/>
      <c r="K1303" s="1063"/>
      <c r="L1303" s="1063"/>
    </row>
    <row r="1304" spans="5:12" x14ac:dyDescent="0.2">
      <c r="E1304" s="1063"/>
      <c r="H1304" s="1066"/>
      <c r="I1304" s="1063"/>
      <c r="J1304" s="1063"/>
      <c r="K1304" s="1063"/>
      <c r="L1304" s="1063"/>
    </row>
    <row r="1305" spans="5:12" x14ac:dyDescent="0.2">
      <c r="E1305" s="1063"/>
      <c r="H1305" s="1066"/>
      <c r="I1305" s="1063"/>
      <c r="J1305" s="1063"/>
      <c r="K1305" s="1063"/>
      <c r="L1305" s="1063"/>
    </row>
    <row r="1306" spans="5:12" x14ac:dyDescent="0.2">
      <c r="E1306" s="1063"/>
      <c r="H1306" s="1066"/>
      <c r="I1306" s="1063"/>
      <c r="J1306" s="1063"/>
      <c r="K1306" s="1063"/>
      <c r="L1306" s="1063"/>
    </row>
    <row r="1307" spans="5:12" x14ac:dyDescent="0.2">
      <c r="E1307" s="1063"/>
      <c r="H1307" s="1066"/>
      <c r="I1307" s="1063"/>
      <c r="J1307" s="1063"/>
      <c r="K1307" s="1063"/>
      <c r="L1307" s="1063"/>
    </row>
    <row r="1308" spans="5:12" x14ac:dyDescent="0.2">
      <c r="E1308" s="1063"/>
      <c r="H1308" s="1066"/>
      <c r="I1308" s="1063"/>
      <c r="J1308" s="1063"/>
      <c r="K1308" s="1063"/>
      <c r="L1308" s="1063"/>
    </row>
    <row r="1309" spans="5:12" x14ac:dyDescent="0.2">
      <c r="E1309" s="1063"/>
      <c r="H1309" s="1066"/>
      <c r="I1309" s="1063"/>
      <c r="J1309" s="1063"/>
      <c r="K1309" s="1063"/>
      <c r="L1309" s="1063"/>
    </row>
    <row r="1310" spans="5:12" x14ac:dyDescent="0.2">
      <c r="E1310" s="1063"/>
      <c r="H1310" s="1066"/>
      <c r="I1310" s="1063"/>
      <c r="J1310" s="1063"/>
      <c r="K1310" s="1063"/>
      <c r="L1310" s="1063"/>
    </row>
    <row r="1311" spans="5:12" x14ac:dyDescent="0.2">
      <c r="E1311" s="1063"/>
      <c r="H1311" s="1066"/>
      <c r="I1311" s="1063"/>
      <c r="J1311" s="1063"/>
      <c r="K1311" s="1063"/>
      <c r="L1311" s="1063"/>
    </row>
    <row r="1312" spans="5:12" x14ac:dyDescent="0.2">
      <c r="E1312" s="1063"/>
      <c r="H1312" s="1066"/>
      <c r="I1312" s="1063"/>
      <c r="J1312" s="1063"/>
      <c r="K1312" s="1063"/>
      <c r="L1312" s="1063"/>
    </row>
    <row r="1313" spans="5:12" x14ac:dyDescent="0.2">
      <c r="E1313" s="1063"/>
      <c r="H1313" s="1066"/>
      <c r="I1313" s="1063"/>
      <c r="J1313" s="1063"/>
      <c r="K1313" s="1063"/>
      <c r="L1313" s="1063"/>
    </row>
    <row r="1314" spans="5:12" x14ac:dyDescent="0.2">
      <c r="E1314" s="1063"/>
      <c r="H1314" s="1066"/>
      <c r="I1314" s="1063"/>
      <c r="J1314" s="1063"/>
      <c r="K1314" s="1063"/>
      <c r="L1314" s="1063"/>
    </row>
    <row r="1315" spans="5:12" x14ac:dyDescent="0.2">
      <c r="E1315" s="1063"/>
      <c r="H1315" s="1066"/>
      <c r="I1315" s="1063"/>
      <c r="J1315" s="1063"/>
      <c r="K1315" s="1063"/>
      <c r="L1315" s="1063"/>
    </row>
    <row r="1316" spans="5:12" x14ac:dyDescent="0.2">
      <c r="E1316" s="1063"/>
      <c r="H1316" s="1066"/>
      <c r="I1316" s="1063"/>
      <c r="J1316" s="1063"/>
      <c r="K1316" s="1063"/>
      <c r="L1316" s="1063"/>
    </row>
    <row r="1317" spans="5:12" x14ac:dyDescent="0.2">
      <c r="E1317" s="1063"/>
      <c r="H1317" s="1066"/>
      <c r="I1317" s="1063"/>
      <c r="J1317" s="1063"/>
      <c r="K1317" s="1063"/>
      <c r="L1317" s="1063"/>
    </row>
    <row r="1318" spans="5:12" x14ac:dyDescent="0.2">
      <c r="E1318" s="1063"/>
      <c r="H1318" s="1066"/>
      <c r="I1318" s="1063"/>
      <c r="J1318" s="1063"/>
      <c r="K1318" s="1063"/>
      <c r="L1318" s="1063"/>
    </row>
    <row r="1319" spans="5:12" x14ac:dyDescent="0.2">
      <c r="E1319" s="1063"/>
      <c r="H1319" s="1066"/>
      <c r="I1319" s="1063"/>
      <c r="J1319" s="1063"/>
      <c r="K1319" s="1063"/>
      <c r="L1319" s="1063"/>
    </row>
    <row r="1320" spans="5:12" x14ac:dyDescent="0.2">
      <c r="E1320" s="1063"/>
      <c r="H1320" s="1066"/>
      <c r="I1320" s="1063"/>
      <c r="J1320" s="1063"/>
      <c r="K1320" s="1063"/>
      <c r="L1320" s="1063"/>
    </row>
    <row r="1321" spans="5:12" x14ac:dyDescent="0.2">
      <c r="E1321" s="1063"/>
      <c r="H1321" s="1066"/>
      <c r="I1321" s="1063"/>
      <c r="J1321" s="1063"/>
      <c r="K1321" s="1063"/>
      <c r="L1321" s="1063"/>
    </row>
    <row r="1322" spans="5:12" x14ac:dyDescent="0.2">
      <c r="E1322" s="1063"/>
      <c r="H1322" s="1066"/>
      <c r="I1322" s="1063"/>
      <c r="J1322" s="1063"/>
      <c r="K1322" s="1063"/>
      <c r="L1322" s="1063"/>
    </row>
    <row r="1323" spans="5:12" x14ac:dyDescent="0.2">
      <c r="E1323" s="1063"/>
      <c r="H1323" s="1066"/>
      <c r="I1323" s="1063"/>
      <c r="J1323" s="1063"/>
      <c r="K1323" s="1063"/>
      <c r="L1323" s="1063"/>
    </row>
    <row r="1324" spans="5:12" x14ac:dyDescent="0.2">
      <c r="E1324" s="1063"/>
      <c r="H1324" s="1066"/>
      <c r="I1324" s="1063"/>
      <c r="J1324" s="1063"/>
      <c r="K1324" s="1063"/>
      <c r="L1324" s="1063"/>
    </row>
    <row r="1325" spans="5:12" x14ac:dyDescent="0.2">
      <c r="E1325" s="1063"/>
      <c r="H1325" s="1066"/>
      <c r="I1325" s="1063"/>
      <c r="J1325" s="1063"/>
      <c r="K1325" s="1063"/>
      <c r="L1325" s="1063"/>
    </row>
    <row r="1326" spans="5:12" x14ac:dyDescent="0.2">
      <c r="E1326" s="1063"/>
      <c r="H1326" s="1066"/>
      <c r="I1326" s="1063"/>
      <c r="J1326" s="1063"/>
      <c r="K1326" s="1063"/>
      <c r="L1326" s="1063"/>
    </row>
    <row r="1327" spans="5:12" x14ac:dyDescent="0.2">
      <c r="E1327" s="1063"/>
      <c r="H1327" s="1066"/>
      <c r="I1327" s="1063"/>
      <c r="J1327" s="1063"/>
      <c r="K1327" s="1063"/>
      <c r="L1327" s="1063"/>
    </row>
    <row r="1328" spans="5:12" x14ac:dyDescent="0.2">
      <c r="E1328" s="1063"/>
      <c r="H1328" s="1066"/>
      <c r="I1328" s="1063"/>
      <c r="J1328" s="1063"/>
      <c r="K1328" s="1063"/>
      <c r="L1328" s="1063"/>
    </row>
    <row r="1329" spans="5:12" x14ac:dyDescent="0.2">
      <c r="E1329" s="1063"/>
      <c r="H1329" s="1066"/>
      <c r="I1329" s="1063"/>
      <c r="J1329" s="1063"/>
      <c r="K1329" s="1063"/>
      <c r="L1329" s="1063"/>
    </row>
    <row r="1330" spans="5:12" x14ac:dyDescent="0.2">
      <c r="E1330" s="1063"/>
      <c r="H1330" s="1066"/>
      <c r="I1330" s="1063"/>
      <c r="J1330" s="1063"/>
      <c r="K1330" s="1063"/>
      <c r="L1330" s="1063"/>
    </row>
    <row r="1331" spans="5:12" x14ac:dyDescent="0.2">
      <c r="E1331" s="1063"/>
      <c r="H1331" s="1066"/>
      <c r="I1331" s="1063"/>
      <c r="J1331" s="1063"/>
      <c r="K1331" s="1063"/>
      <c r="L1331" s="1063"/>
    </row>
    <row r="1332" spans="5:12" x14ac:dyDescent="0.2">
      <c r="E1332" s="1063"/>
      <c r="H1332" s="1066"/>
      <c r="I1332" s="1063"/>
      <c r="J1332" s="1063"/>
      <c r="K1332" s="1063"/>
      <c r="L1332" s="1063"/>
    </row>
    <row r="1333" spans="5:12" x14ac:dyDescent="0.2">
      <c r="E1333" s="1063"/>
      <c r="H1333" s="1066"/>
      <c r="I1333" s="1063"/>
      <c r="J1333" s="1063"/>
      <c r="K1333" s="1063"/>
      <c r="L1333" s="1063"/>
    </row>
    <row r="1334" spans="5:12" x14ac:dyDescent="0.2">
      <c r="E1334" s="1063"/>
      <c r="H1334" s="1066"/>
      <c r="I1334" s="1063"/>
      <c r="J1334" s="1063"/>
      <c r="K1334" s="1063"/>
      <c r="L1334" s="1063"/>
    </row>
    <row r="1335" spans="5:12" x14ac:dyDescent="0.2">
      <c r="E1335" s="1063"/>
      <c r="H1335" s="1066"/>
      <c r="I1335" s="1063"/>
      <c r="J1335" s="1063"/>
      <c r="K1335" s="1063"/>
      <c r="L1335" s="1063"/>
    </row>
    <row r="1336" spans="5:12" x14ac:dyDescent="0.2">
      <c r="E1336" s="1063"/>
      <c r="H1336" s="1066"/>
      <c r="I1336" s="1063"/>
      <c r="J1336" s="1063"/>
      <c r="K1336" s="1063"/>
      <c r="L1336" s="1063"/>
    </row>
    <row r="1337" spans="5:12" x14ac:dyDescent="0.2">
      <c r="E1337" s="1063"/>
      <c r="H1337" s="1066"/>
      <c r="I1337" s="1063"/>
      <c r="J1337" s="1063"/>
      <c r="K1337" s="1063"/>
      <c r="L1337" s="1063"/>
    </row>
    <row r="1338" spans="5:12" x14ac:dyDescent="0.2">
      <c r="E1338" s="1063"/>
      <c r="H1338" s="1066"/>
      <c r="I1338" s="1063"/>
      <c r="J1338" s="1063"/>
      <c r="K1338" s="1063"/>
      <c r="L1338" s="1063"/>
    </row>
    <row r="1339" spans="5:12" x14ac:dyDescent="0.2">
      <c r="E1339" s="1063"/>
      <c r="H1339" s="1066"/>
      <c r="I1339" s="1063"/>
      <c r="J1339" s="1063"/>
      <c r="K1339" s="1063"/>
      <c r="L1339" s="1063"/>
    </row>
    <row r="1340" spans="5:12" x14ac:dyDescent="0.2">
      <c r="E1340" s="1063"/>
      <c r="H1340" s="1066"/>
      <c r="I1340" s="1063"/>
      <c r="J1340" s="1063"/>
      <c r="K1340" s="1063"/>
      <c r="L1340" s="1063"/>
    </row>
    <row r="1341" spans="5:12" x14ac:dyDescent="0.2">
      <c r="E1341" s="1063"/>
      <c r="H1341" s="1066"/>
      <c r="I1341" s="1063"/>
      <c r="J1341" s="1063"/>
      <c r="K1341" s="1063"/>
      <c r="L1341" s="1063"/>
    </row>
    <row r="1342" spans="5:12" x14ac:dyDescent="0.2">
      <c r="E1342" s="1063"/>
      <c r="H1342" s="1066"/>
      <c r="I1342" s="1063"/>
      <c r="J1342" s="1063"/>
      <c r="K1342" s="1063"/>
      <c r="L1342" s="1063"/>
    </row>
    <row r="1343" spans="5:12" x14ac:dyDescent="0.2">
      <c r="E1343" s="1063"/>
      <c r="H1343" s="1066"/>
      <c r="I1343" s="1063"/>
      <c r="J1343" s="1063"/>
      <c r="K1343" s="1063"/>
      <c r="L1343" s="1063"/>
    </row>
    <row r="1344" spans="5:12" x14ac:dyDescent="0.2">
      <c r="E1344" s="1063"/>
      <c r="H1344" s="1066"/>
      <c r="I1344" s="1063"/>
      <c r="J1344" s="1063"/>
      <c r="K1344" s="1063"/>
      <c r="L1344" s="1063"/>
    </row>
    <row r="1345" spans="5:12" x14ac:dyDescent="0.2">
      <c r="E1345" s="1063"/>
      <c r="H1345" s="1066"/>
      <c r="I1345" s="1063"/>
      <c r="J1345" s="1063"/>
      <c r="K1345" s="1063"/>
      <c r="L1345" s="1063"/>
    </row>
    <row r="1346" spans="5:12" x14ac:dyDescent="0.2">
      <c r="E1346" s="1063"/>
      <c r="H1346" s="1066"/>
      <c r="I1346" s="1063"/>
      <c r="J1346" s="1063"/>
      <c r="K1346" s="1063"/>
      <c r="L1346" s="1063"/>
    </row>
    <row r="1347" spans="5:12" x14ac:dyDescent="0.2">
      <c r="E1347" s="1063"/>
      <c r="H1347" s="1066"/>
      <c r="I1347" s="1063"/>
      <c r="J1347" s="1063"/>
      <c r="K1347" s="1063"/>
      <c r="L1347" s="1063"/>
    </row>
    <row r="1348" spans="5:12" x14ac:dyDescent="0.2">
      <c r="E1348" s="1063"/>
      <c r="H1348" s="1066"/>
      <c r="I1348" s="1063"/>
      <c r="J1348" s="1063"/>
      <c r="K1348" s="1063"/>
      <c r="L1348" s="1063"/>
    </row>
    <row r="1349" spans="5:12" x14ac:dyDescent="0.2">
      <c r="E1349" s="1063"/>
      <c r="H1349" s="1066"/>
      <c r="I1349" s="1063"/>
      <c r="J1349" s="1063"/>
      <c r="K1349" s="1063"/>
      <c r="L1349" s="1063"/>
    </row>
    <row r="1350" spans="5:12" x14ac:dyDescent="0.2">
      <c r="E1350" s="1063"/>
      <c r="H1350" s="1066"/>
      <c r="I1350" s="1063"/>
      <c r="J1350" s="1063"/>
      <c r="K1350" s="1063"/>
      <c r="L1350" s="1063"/>
    </row>
    <row r="1351" spans="5:12" x14ac:dyDescent="0.2">
      <c r="E1351" s="1063"/>
      <c r="H1351" s="1066"/>
      <c r="I1351" s="1063"/>
      <c r="J1351" s="1063"/>
      <c r="K1351" s="1063"/>
      <c r="L1351" s="1063"/>
    </row>
    <row r="1352" spans="5:12" x14ac:dyDescent="0.2">
      <c r="E1352" s="1063"/>
      <c r="H1352" s="1066"/>
      <c r="I1352" s="1063"/>
      <c r="J1352" s="1063"/>
      <c r="K1352" s="1063"/>
      <c r="L1352" s="1063"/>
    </row>
    <row r="1353" spans="5:12" x14ac:dyDescent="0.2">
      <c r="E1353" s="1063"/>
      <c r="H1353" s="1066"/>
      <c r="I1353" s="1063"/>
      <c r="J1353" s="1063"/>
      <c r="K1353" s="1063"/>
      <c r="L1353" s="1063"/>
    </row>
    <row r="1354" spans="5:12" x14ac:dyDescent="0.2">
      <c r="E1354" s="1063"/>
      <c r="H1354" s="1066"/>
      <c r="I1354" s="1063"/>
      <c r="J1354" s="1063"/>
      <c r="K1354" s="1063"/>
      <c r="L1354" s="1063"/>
    </row>
    <row r="1355" spans="5:12" x14ac:dyDescent="0.2">
      <c r="E1355" s="1063"/>
      <c r="H1355" s="1066"/>
      <c r="I1355" s="1063"/>
      <c r="J1355" s="1063"/>
      <c r="K1355" s="1063"/>
      <c r="L1355" s="1063"/>
    </row>
    <row r="1356" spans="5:12" x14ac:dyDescent="0.2">
      <c r="E1356" s="1063"/>
      <c r="H1356" s="1066"/>
      <c r="I1356" s="1063"/>
      <c r="J1356" s="1063"/>
      <c r="K1356" s="1063"/>
      <c r="L1356" s="1063"/>
    </row>
    <row r="1357" spans="5:12" x14ac:dyDescent="0.2">
      <c r="E1357" s="1063"/>
      <c r="H1357" s="1066"/>
      <c r="I1357" s="1063"/>
      <c r="J1357" s="1063"/>
      <c r="K1357" s="1063"/>
      <c r="L1357" s="1063"/>
    </row>
    <row r="1358" spans="5:12" x14ac:dyDescent="0.2">
      <c r="E1358" s="1063"/>
      <c r="H1358" s="1066"/>
      <c r="I1358" s="1063"/>
      <c r="J1358" s="1063"/>
      <c r="K1358" s="1063"/>
      <c r="L1358" s="1063"/>
    </row>
    <row r="1359" spans="5:12" x14ac:dyDescent="0.2">
      <c r="E1359" s="1063"/>
      <c r="H1359" s="1066"/>
      <c r="I1359" s="1063"/>
      <c r="J1359" s="1063"/>
      <c r="K1359" s="1063"/>
      <c r="L1359" s="1063"/>
    </row>
    <row r="1360" spans="5:12" x14ac:dyDescent="0.2">
      <c r="E1360" s="1063"/>
      <c r="H1360" s="1066"/>
      <c r="I1360" s="1063"/>
      <c r="J1360" s="1063"/>
      <c r="K1360" s="1063"/>
      <c r="L1360" s="1063"/>
    </row>
    <row r="1361" spans="5:12" x14ac:dyDescent="0.2">
      <c r="E1361" s="1063"/>
      <c r="H1361" s="1066"/>
      <c r="I1361" s="1063"/>
      <c r="J1361" s="1063"/>
      <c r="K1361" s="1063"/>
      <c r="L1361" s="1063"/>
    </row>
    <row r="1362" spans="5:12" x14ac:dyDescent="0.2">
      <c r="E1362" s="1063"/>
      <c r="H1362" s="1066"/>
      <c r="I1362" s="1063"/>
      <c r="J1362" s="1063"/>
      <c r="K1362" s="1063"/>
      <c r="L1362" s="1063"/>
    </row>
    <row r="1363" spans="5:12" x14ac:dyDescent="0.2">
      <c r="E1363" s="1063"/>
      <c r="H1363" s="1066"/>
      <c r="I1363" s="1063"/>
      <c r="J1363" s="1063"/>
      <c r="K1363" s="1063"/>
      <c r="L1363" s="1063"/>
    </row>
    <row r="1364" spans="5:12" x14ac:dyDescent="0.2">
      <c r="E1364" s="1063"/>
      <c r="H1364" s="1066"/>
      <c r="I1364" s="1063"/>
      <c r="J1364" s="1063"/>
      <c r="K1364" s="1063"/>
      <c r="L1364" s="1063"/>
    </row>
    <row r="1365" spans="5:12" x14ac:dyDescent="0.2">
      <c r="E1365" s="1063"/>
      <c r="H1365" s="1066"/>
      <c r="I1365" s="1063"/>
      <c r="J1365" s="1063"/>
      <c r="K1365" s="1063"/>
      <c r="L1365" s="1063"/>
    </row>
    <row r="1366" spans="5:12" x14ac:dyDescent="0.2">
      <c r="E1366" s="1063"/>
      <c r="H1366" s="1066"/>
      <c r="I1366" s="1063"/>
      <c r="J1366" s="1063"/>
      <c r="K1366" s="1063"/>
      <c r="L1366" s="1063"/>
    </row>
    <row r="1367" spans="5:12" x14ac:dyDescent="0.2">
      <c r="E1367" s="1063"/>
      <c r="H1367" s="1066"/>
      <c r="I1367" s="1063"/>
      <c r="J1367" s="1063"/>
      <c r="K1367" s="1063"/>
      <c r="L1367" s="1063"/>
    </row>
    <row r="1368" spans="5:12" x14ac:dyDescent="0.2">
      <c r="E1368" s="1063"/>
      <c r="H1368" s="1066"/>
      <c r="I1368" s="1063"/>
      <c r="J1368" s="1063"/>
      <c r="K1368" s="1063"/>
      <c r="L1368" s="1063"/>
    </row>
    <row r="1369" spans="5:12" x14ac:dyDescent="0.2">
      <c r="E1369" s="1063"/>
      <c r="H1369" s="1066"/>
      <c r="I1369" s="1063"/>
      <c r="J1369" s="1063"/>
      <c r="K1369" s="1063"/>
      <c r="L1369" s="1063"/>
    </row>
    <row r="1370" spans="5:12" x14ac:dyDescent="0.2">
      <c r="E1370" s="1063"/>
      <c r="H1370" s="1066"/>
      <c r="I1370" s="1063"/>
      <c r="J1370" s="1063"/>
      <c r="K1370" s="1063"/>
      <c r="L1370" s="1063"/>
    </row>
    <row r="1371" spans="5:12" x14ac:dyDescent="0.2">
      <c r="E1371" s="1063"/>
      <c r="H1371" s="1066"/>
      <c r="I1371" s="1063"/>
      <c r="J1371" s="1063"/>
      <c r="K1371" s="1063"/>
      <c r="L1371" s="1063"/>
    </row>
    <row r="1372" spans="5:12" x14ac:dyDescent="0.2">
      <c r="E1372" s="1063"/>
      <c r="H1372" s="1066"/>
      <c r="I1372" s="1063"/>
      <c r="J1372" s="1063"/>
      <c r="K1372" s="1063"/>
      <c r="L1372" s="1063"/>
    </row>
    <row r="1373" spans="5:12" x14ac:dyDescent="0.2">
      <c r="E1373" s="1063"/>
      <c r="H1373" s="1066"/>
      <c r="I1373" s="1063"/>
      <c r="J1373" s="1063"/>
      <c r="K1373" s="1063"/>
      <c r="L1373" s="1063"/>
    </row>
    <row r="1374" spans="5:12" x14ac:dyDescent="0.2">
      <c r="E1374" s="1063"/>
      <c r="H1374" s="1066"/>
      <c r="I1374" s="1063"/>
      <c r="J1374" s="1063"/>
      <c r="K1374" s="1063"/>
      <c r="L1374" s="1063"/>
    </row>
    <row r="1375" spans="5:12" x14ac:dyDescent="0.2">
      <c r="E1375" s="1063"/>
      <c r="H1375" s="1066"/>
      <c r="I1375" s="1063"/>
      <c r="J1375" s="1063"/>
      <c r="K1375" s="1063"/>
      <c r="L1375" s="1063"/>
    </row>
    <row r="1376" spans="5:12" x14ac:dyDescent="0.2">
      <c r="E1376" s="1063"/>
      <c r="H1376" s="1066"/>
      <c r="I1376" s="1063"/>
      <c r="J1376" s="1063"/>
      <c r="K1376" s="1063"/>
      <c r="L1376" s="1063"/>
    </row>
    <row r="1377" spans="5:12" x14ac:dyDescent="0.2">
      <c r="E1377" s="1063"/>
      <c r="H1377" s="1066"/>
      <c r="I1377" s="1063"/>
      <c r="J1377" s="1063"/>
      <c r="K1377" s="1063"/>
      <c r="L1377" s="1063"/>
    </row>
    <row r="1378" spans="5:12" x14ac:dyDescent="0.2">
      <c r="E1378" s="1063"/>
      <c r="H1378" s="1066"/>
      <c r="I1378" s="1063"/>
      <c r="J1378" s="1063"/>
      <c r="K1378" s="1063"/>
      <c r="L1378" s="1063"/>
    </row>
    <row r="1379" spans="5:12" x14ac:dyDescent="0.2">
      <c r="E1379" s="1063"/>
      <c r="H1379" s="1066"/>
      <c r="I1379" s="1063"/>
      <c r="J1379" s="1063"/>
      <c r="K1379" s="1063"/>
      <c r="L1379" s="1063"/>
    </row>
    <row r="1380" spans="5:12" x14ac:dyDescent="0.2">
      <c r="E1380" s="1063"/>
      <c r="H1380" s="1066"/>
      <c r="I1380" s="1063"/>
      <c r="J1380" s="1063"/>
      <c r="K1380" s="1063"/>
      <c r="L1380" s="1063"/>
    </row>
    <row r="1381" spans="5:12" x14ac:dyDescent="0.2">
      <c r="E1381" s="1063"/>
      <c r="H1381" s="1066"/>
      <c r="I1381" s="1063"/>
      <c r="J1381" s="1063"/>
      <c r="K1381" s="1063"/>
      <c r="L1381" s="1063"/>
    </row>
    <row r="1382" spans="5:12" x14ac:dyDescent="0.2">
      <c r="E1382" s="1063"/>
      <c r="H1382" s="1066"/>
      <c r="I1382" s="1063"/>
      <c r="J1382" s="1063"/>
      <c r="K1382" s="1063"/>
      <c r="L1382" s="1063"/>
    </row>
    <row r="1383" spans="5:12" x14ac:dyDescent="0.2">
      <c r="E1383" s="1063"/>
      <c r="H1383" s="1066"/>
      <c r="I1383" s="1063"/>
      <c r="J1383" s="1063"/>
      <c r="K1383" s="1063"/>
      <c r="L1383" s="1063"/>
    </row>
    <row r="1384" spans="5:12" x14ac:dyDescent="0.2">
      <c r="E1384" s="1063"/>
      <c r="H1384" s="1066"/>
      <c r="I1384" s="1063"/>
      <c r="J1384" s="1063"/>
      <c r="K1384" s="1063"/>
      <c r="L1384" s="1063"/>
    </row>
    <row r="1385" spans="5:12" x14ac:dyDescent="0.2">
      <c r="E1385" s="1063"/>
      <c r="H1385" s="1066"/>
      <c r="I1385" s="1063"/>
      <c r="J1385" s="1063"/>
      <c r="K1385" s="1063"/>
      <c r="L1385" s="1063"/>
    </row>
    <row r="1386" spans="5:12" x14ac:dyDescent="0.2">
      <c r="E1386" s="1063"/>
      <c r="H1386" s="1066"/>
      <c r="I1386" s="1063"/>
      <c r="J1386" s="1063"/>
      <c r="K1386" s="1063"/>
      <c r="L1386" s="1063"/>
    </row>
    <row r="1387" spans="5:12" x14ac:dyDescent="0.2">
      <c r="E1387" s="1063"/>
      <c r="H1387" s="1066"/>
      <c r="I1387" s="1063"/>
      <c r="J1387" s="1063"/>
      <c r="K1387" s="1063"/>
      <c r="L1387" s="1063"/>
    </row>
    <row r="1388" spans="5:12" x14ac:dyDescent="0.2">
      <c r="E1388" s="1063"/>
      <c r="H1388" s="1066"/>
      <c r="I1388" s="1063"/>
      <c r="J1388" s="1063"/>
      <c r="K1388" s="1063"/>
      <c r="L1388" s="1063"/>
    </row>
    <row r="1389" spans="5:12" x14ac:dyDescent="0.2">
      <c r="E1389" s="1063"/>
      <c r="H1389" s="1066"/>
      <c r="I1389" s="1063"/>
      <c r="J1389" s="1063"/>
      <c r="K1389" s="1063"/>
      <c r="L1389" s="1063"/>
    </row>
    <row r="1390" spans="5:12" x14ac:dyDescent="0.2">
      <c r="E1390" s="1063"/>
      <c r="H1390" s="1066"/>
      <c r="I1390" s="1063"/>
      <c r="J1390" s="1063"/>
      <c r="K1390" s="1063"/>
      <c r="L1390" s="1063"/>
    </row>
    <row r="1391" spans="5:12" x14ac:dyDescent="0.2">
      <c r="E1391" s="1063"/>
      <c r="H1391" s="1066"/>
      <c r="I1391" s="1063"/>
      <c r="J1391" s="1063"/>
      <c r="K1391" s="1063"/>
      <c r="L1391" s="1063"/>
    </row>
    <row r="1392" spans="5:12" x14ac:dyDescent="0.2">
      <c r="E1392" s="1063"/>
      <c r="H1392" s="1066"/>
      <c r="I1392" s="1063"/>
      <c r="J1392" s="1063"/>
      <c r="K1392" s="1063"/>
      <c r="L1392" s="1063"/>
    </row>
    <row r="1393" spans="5:12" x14ac:dyDescent="0.2">
      <c r="E1393" s="1063"/>
      <c r="H1393" s="1066"/>
      <c r="I1393" s="1063"/>
      <c r="J1393" s="1063"/>
      <c r="K1393" s="1063"/>
      <c r="L1393" s="1063"/>
    </row>
    <row r="1394" spans="5:12" x14ac:dyDescent="0.2">
      <c r="E1394" s="1063"/>
      <c r="H1394" s="1066"/>
      <c r="I1394" s="1063"/>
      <c r="J1394" s="1063"/>
      <c r="K1394" s="1063"/>
      <c r="L1394" s="1063"/>
    </row>
    <row r="1395" spans="5:12" x14ac:dyDescent="0.2">
      <c r="E1395" s="1063"/>
      <c r="H1395" s="1066"/>
      <c r="I1395" s="1063"/>
      <c r="J1395" s="1063"/>
      <c r="K1395" s="1063"/>
      <c r="L1395" s="1063"/>
    </row>
    <row r="1396" spans="5:12" x14ac:dyDescent="0.2">
      <c r="E1396" s="1063"/>
      <c r="H1396" s="1066"/>
      <c r="I1396" s="1063"/>
      <c r="J1396" s="1063"/>
      <c r="K1396" s="1063"/>
      <c r="L1396" s="1063"/>
    </row>
    <row r="1397" spans="5:12" x14ac:dyDescent="0.2">
      <c r="E1397" s="1063"/>
      <c r="H1397" s="1066"/>
      <c r="I1397" s="1063"/>
      <c r="J1397" s="1063"/>
      <c r="K1397" s="1063"/>
      <c r="L1397" s="1063"/>
    </row>
    <row r="1398" spans="5:12" x14ac:dyDescent="0.2">
      <c r="E1398" s="1063"/>
      <c r="H1398" s="1066"/>
      <c r="I1398" s="1063"/>
      <c r="J1398" s="1063"/>
      <c r="K1398" s="1063"/>
      <c r="L1398" s="1063"/>
    </row>
    <row r="1399" spans="5:12" x14ac:dyDescent="0.2">
      <c r="E1399" s="1063"/>
      <c r="H1399" s="1066"/>
      <c r="I1399" s="1063"/>
      <c r="J1399" s="1063"/>
      <c r="K1399" s="1063"/>
      <c r="L1399" s="1063"/>
    </row>
    <row r="1400" spans="5:12" x14ac:dyDescent="0.2">
      <c r="E1400" s="1063"/>
      <c r="H1400" s="1066"/>
      <c r="I1400" s="1063"/>
      <c r="J1400" s="1063"/>
      <c r="K1400" s="1063"/>
      <c r="L1400" s="1063"/>
    </row>
    <row r="1401" spans="5:12" x14ac:dyDescent="0.2">
      <c r="E1401" s="1063"/>
      <c r="H1401" s="1066"/>
      <c r="I1401" s="1063"/>
      <c r="J1401" s="1063"/>
      <c r="K1401" s="1063"/>
      <c r="L1401" s="1063"/>
    </row>
    <row r="1402" spans="5:12" x14ac:dyDescent="0.2">
      <c r="E1402" s="1063"/>
      <c r="H1402" s="1066"/>
      <c r="I1402" s="1063"/>
      <c r="J1402" s="1063"/>
      <c r="K1402" s="1063"/>
      <c r="L1402" s="1063"/>
    </row>
    <row r="1403" spans="5:12" x14ac:dyDescent="0.2">
      <c r="E1403" s="1063"/>
      <c r="H1403" s="1066"/>
      <c r="I1403" s="1063"/>
      <c r="J1403" s="1063"/>
      <c r="K1403" s="1063"/>
      <c r="L1403" s="1063"/>
    </row>
    <row r="1404" spans="5:12" x14ac:dyDescent="0.2">
      <c r="E1404" s="1063"/>
      <c r="H1404" s="1066"/>
      <c r="I1404" s="1063"/>
      <c r="J1404" s="1063"/>
      <c r="K1404" s="1063"/>
      <c r="L1404" s="1063"/>
    </row>
    <row r="1405" spans="5:12" x14ac:dyDescent="0.2">
      <c r="E1405" s="1063"/>
      <c r="H1405" s="1066"/>
      <c r="I1405" s="1063"/>
      <c r="J1405" s="1063"/>
      <c r="K1405" s="1063"/>
      <c r="L1405" s="1063"/>
    </row>
    <row r="1406" spans="5:12" x14ac:dyDescent="0.2">
      <c r="E1406" s="1063"/>
      <c r="H1406" s="1066"/>
      <c r="I1406" s="1063"/>
      <c r="J1406" s="1063"/>
      <c r="K1406" s="1063"/>
      <c r="L1406" s="1063"/>
    </row>
    <row r="1407" spans="5:12" x14ac:dyDescent="0.2">
      <c r="E1407" s="1063"/>
      <c r="H1407" s="1066"/>
      <c r="I1407" s="1063"/>
      <c r="J1407" s="1063"/>
      <c r="K1407" s="1063"/>
      <c r="L1407" s="1063"/>
    </row>
    <row r="1408" spans="5:12" x14ac:dyDescent="0.2">
      <c r="E1408" s="1063"/>
      <c r="H1408" s="1066"/>
      <c r="I1408" s="1063"/>
      <c r="J1408" s="1063"/>
      <c r="K1408" s="1063"/>
      <c r="L1408" s="1063"/>
    </row>
    <row r="1409" spans="5:12" x14ac:dyDescent="0.2">
      <c r="E1409" s="1063"/>
      <c r="H1409" s="1066"/>
      <c r="I1409" s="1063"/>
      <c r="J1409" s="1063"/>
      <c r="K1409" s="1063"/>
      <c r="L1409" s="1063"/>
    </row>
    <row r="1410" spans="5:12" x14ac:dyDescent="0.2">
      <c r="E1410" s="1063"/>
      <c r="H1410" s="1066"/>
      <c r="I1410" s="1063"/>
      <c r="J1410" s="1063"/>
      <c r="K1410" s="1063"/>
      <c r="L1410" s="1063"/>
    </row>
    <row r="1411" spans="5:12" x14ac:dyDescent="0.2">
      <c r="E1411" s="1063"/>
      <c r="H1411" s="1066"/>
      <c r="I1411" s="1063"/>
      <c r="J1411" s="1063"/>
      <c r="K1411" s="1063"/>
      <c r="L1411" s="1063"/>
    </row>
    <row r="1412" spans="5:12" x14ac:dyDescent="0.2">
      <c r="E1412" s="1063"/>
      <c r="H1412" s="1066"/>
      <c r="I1412" s="1063"/>
      <c r="J1412" s="1063"/>
      <c r="K1412" s="1063"/>
      <c r="L1412" s="1063"/>
    </row>
    <row r="1413" spans="5:12" x14ac:dyDescent="0.2">
      <c r="E1413" s="1063"/>
      <c r="H1413" s="1066"/>
      <c r="I1413" s="1063"/>
      <c r="J1413" s="1063"/>
      <c r="K1413" s="1063"/>
      <c r="L1413" s="1063"/>
    </row>
    <row r="1414" spans="5:12" x14ac:dyDescent="0.2">
      <c r="E1414" s="1063"/>
      <c r="H1414" s="1066"/>
      <c r="I1414" s="1063"/>
      <c r="J1414" s="1063"/>
      <c r="K1414" s="1063"/>
      <c r="L1414" s="1063"/>
    </row>
    <row r="1415" spans="5:12" x14ac:dyDescent="0.2">
      <c r="E1415" s="1063"/>
      <c r="H1415" s="1066"/>
      <c r="I1415" s="1063"/>
      <c r="J1415" s="1063"/>
      <c r="K1415" s="1063"/>
      <c r="L1415" s="1063"/>
    </row>
    <row r="1416" spans="5:12" x14ac:dyDescent="0.2">
      <c r="E1416" s="1063"/>
      <c r="H1416" s="1066"/>
      <c r="I1416" s="1063"/>
      <c r="J1416" s="1063"/>
      <c r="K1416" s="1063"/>
      <c r="L1416" s="1063"/>
    </row>
    <row r="1417" spans="5:12" x14ac:dyDescent="0.2">
      <c r="E1417" s="1063"/>
      <c r="H1417" s="1066"/>
      <c r="I1417" s="1063"/>
      <c r="J1417" s="1063"/>
      <c r="K1417" s="1063"/>
      <c r="L1417" s="1063"/>
    </row>
    <row r="1418" spans="5:12" x14ac:dyDescent="0.2">
      <c r="E1418" s="1063"/>
      <c r="H1418" s="1066"/>
      <c r="I1418" s="1063"/>
      <c r="J1418" s="1063"/>
      <c r="K1418" s="1063"/>
      <c r="L1418" s="1063"/>
    </row>
    <row r="1419" spans="5:12" x14ac:dyDescent="0.2">
      <c r="E1419" s="1063"/>
      <c r="H1419" s="1066"/>
      <c r="I1419" s="1063"/>
      <c r="J1419" s="1063"/>
      <c r="K1419" s="1063"/>
      <c r="L1419" s="1063"/>
    </row>
    <row r="1420" spans="5:12" x14ac:dyDescent="0.2">
      <c r="E1420" s="1063"/>
      <c r="H1420" s="1066"/>
      <c r="I1420" s="1063"/>
      <c r="J1420" s="1063"/>
      <c r="K1420" s="1063"/>
      <c r="L1420" s="1063"/>
    </row>
    <row r="1421" spans="5:12" x14ac:dyDescent="0.2">
      <c r="E1421" s="1063"/>
      <c r="H1421" s="1066"/>
      <c r="I1421" s="1063"/>
      <c r="J1421" s="1063"/>
      <c r="K1421" s="1063"/>
      <c r="L1421" s="1063"/>
    </row>
    <row r="1422" spans="5:12" x14ac:dyDescent="0.2">
      <c r="E1422" s="1063"/>
      <c r="H1422" s="1066"/>
      <c r="I1422" s="1063"/>
      <c r="J1422" s="1063"/>
      <c r="K1422" s="1063"/>
      <c r="L1422" s="1063"/>
    </row>
    <row r="1423" spans="5:12" x14ac:dyDescent="0.2">
      <c r="E1423" s="1063"/>
      <c r="H1423" s="1066"/>
      <c r="I1423" s="1063"/>
      <c r="J1423" s="1063"/>
      <c r="K1423" s="1063"/>
      <c r="L1423" s="1063"/>
    </row>
    <row r="1424" spans="5:12" x14ac:dyDescent="0.2">
      <c r="E1424" s="1063"/>
      <c r="H1424" s="1066"/>
      <c r="I1424" s="1063"/>
      <c r="J1424" s="1063"/>
      <c r="K1424" s="1063"/>
      <c r="L1424" s="1063"/>
    </row>
    <row r="1425" spans="5:12" x14ac:dyDescent="0.2">
      <c r="E1425" s="1063"/>
      <c r="H1425" s="1066"/>
      <c r="I1425" s="1063"/>
      <c r="J1425" s="1063"/>
      <c r="K1425" s="1063"/>
      <c r="L1425" s="1063"/>
    </row>
    <row r="1426" spans="5:12" x14ac:dyDescent="0.2">
      <c r="E1426" s="1063"/>
      <c r="H1426" s="1066"/>
      <c r="I1426" s="1063"/>
      <c r="J1426" s="1063"/>
      <c r="K1426" s="1063"/>
      <c r="L1426" s="1063"/>
    </row>
    <row r="1427" spans="5:12" x14ac:dyDescent="0.2">
      <c r="E1427" s="1063"/>
      <c r="H1427" s="1066"/>
      <c r="I1427" s="1063"/>
      <c r="J1427" s="1063"/>
      <c r="K1427" s="1063"/>
      <c r="L1427" s="1063"/>
    </row>
    <row r="1428" spans="5:12" x14ac:dyDescent="0.2">
      <c r="E1428" s="1063"/>
      <c r="H1428" s="1066"/>
      <c r="I1428" s="1063"/>
      <c r="J1428" s="1063"/>
      <c r="K1428" s="1063"/>
      <c r="L1428" s="1063"/>
    </row>
    <row r="1429" spans="5:12" x14ac:dyDescent="0.2">
      <c r="E1429" s="1063"/>
      <c r="H1429" s="1066"/>
      <c r="I1429" s="1063"/>
      <c r="J1429" s="1063"/>
      <c r="K1429" s="1063"/>
      <c r="L1429" s="1063"/>
    </row>
    <row r="1430" spans="5:12" x14ac:dyDescent="0.2">
      <c r="E1430" s="1063"/>
      <c r="H1430" s="1066"/>
      <c r="I1430" s="1063"/>
      <c r="J1430" s="1063"/>
      <c r="K1430" s="1063"/>
      <c r="L1430" s="1063"/>
    </row>
    <row r="1431" spans="5:12" x14ac:dyDescent="0.2">
      <c r="E1431" s="1063"/>
      <c r="H1431" s="1066"/>
      <c r="I1431" s="1063"/>
      <c r="J1431" s="1063"/>
      <c r="K1431" s="1063"/>
      <c r="L1431" s="1063"/>
    </row>
    <row r="1432" spans="5:12" x14ac:dyDescent="0.2">
      <c r="E1432" s="1063"/>
      <c r="H1432" s="1066"/>
      <c r="I1432" s="1063"/>
      <c r="J1432" s="1063"/>
      <c r="K1432" s="1063"/>
      <c r="L1432" s="1063"/>
    </row>
    <row r="1433" spans="5:12" x14ac:dyDescent="0.2">
      <c r="E1433" s="1063"/>
      <c r="H1433" s="1066"/>
      <c r="I1433" s="1063"/>
      <c r="J1433" s="1063"/>
      <c r="K1433" s="1063"/>
      <c r="L1433" s="1063"/>
    </row>
    <row r="1434" spans="5:12" x14ac:dyDescent="0.2">
      <c r="E1434" s="1063"/>
      <c r="H1434" s="1066"/>
      <c r="I1434" s="1063"/>
      <c r="J1434" s="1063"/>
      <c r="K1434" s="1063"/>
      <c r="L1434" s="1063"/>
    </row>
    <row r="1435" spans="5:12" x14ac:dyDescent="0.2">
      <c r="E1435" s="1063"/>
      <c r="H1435" s="1066"/>
      <c r="I1435" s="1063"/>
      <c r="J1435" s="1063"/>
      <c r="K1435" s="1063"/>
      <c r="L1435" s="1063"/>
    </row>
    <row r="1436" spans="5:12" x14ac:dyDescent="0.2">
      <c r="E1436" s="1063"/>
      <c r="H1436" s="1066"/>
      <c r="I1436" s="1063"/>
      <c r="J1436" s="1063"/>
      <c r="K1436" s="1063"/>
      <c r="L1436" s="1063"/>
    </row>
    <row r="1437" spans="5:12" x14ac:dyDescent="0.2">
      <c r="E1437" s="1063"/>
      <c r="H1437" s="1066"/>
      <c r="I1437" s="1063"/>
      <c r="J1437" s="1063"/>
      <c r="K1437" s="1063"/>
      <c r="L1437" s="1063"/>
    </row>
    <row r="1438" spans="5:12" x14ac:dyDescent="0.2">
      <c r="E1438" s="1063"/>
      <c r="H1438" s="1066"/>
      <c r="I1438" s="1063"/>
      <c r="J1438" s="1063"/>
      <c r="K1438" s="1063"/>
      <c r="L1438" s="1063"/>
    </row>
    <row r="1439" spans="5:12" x14ac:dyDescent="0.2">
      <c r="E1439" s="1063"/>
      <c r="H1439" s="1066"/>
      <c r="I1439" s="1063"/>
      <c r="J1439" s="1063"/>
      <c r="K1439" s="1063"/>
      <c r="L1439" s="1063"/>
    </row>
    <row r="1440" spans="5:12" x14ac:dyDescent="0.2">
      <c r="E1440" s="1063"/>
      <c r="H1440" s="1066"/>
      <c r="I1440" s="1063"/>
      <c r="J1440" s="1063"/>
      <c r="K1440" s="1063"/>
      <c r="L1440" s="1063"/>
    </row>
    <row r="1441" spans="5:12" x14ac:dyDescent="0.2">
      <c r="E1441" s="1063"/>
      <c r="H1441" s="1066"/>
      <c r="I1441" s="1063"/>
      <c r="J1441" s="1063"/>
      <c r="K1441" s="1063"/>
      <c r="L1441" s="1063"/>
    </row>
    <row r="1442" spans="5:12" x14ac:dyDescent="0.2">
      <c r="E1442" s="1063"/>
      <c r="H1442" s="1066"/>
      <c r="I1442" s="1063"/>
      <c r="J1442" s="1063"/>
      <c r="K1442" s="1063"/>
      <c r="L1442" s="1063"/>
    </row>
    <row r="1443" spans="5:12" x14ac:dyDescent="0.2">
      <c r="E1443" s="1063"/>
      <c r="H1443" s="1066"/>
      <c r="I1443" s="1063"/>
      <c r="J1443" s="1063"/>
      <c r="K1443" s="1063"/>
      <c r="L1443" s="1063"/>
    </row>
    <row r="1444" spans="5:12" x14ac:dyDescent="0.2">
      <c r="E1444" s="1063"/>
      <c r="H1444" s="1066"/>
      <c r="I1444" s="1063"/>
      <c r="J1444" s="1063"/>
      <c r="K1444" s="1063"/>
      <c r="L1444" s="1063"/>
    </row>
    <row r="1445" spans="5:12" x14ac:dyDescent="0.2">
      <c r="E1445" s="1063"/>
      <c r="H1445" s="1066"/>
      <c r="I1445" s="1063"/>
      <c r="J1445" s="1063"/>
      <c r="K1445" s="1063"/>
      <c r="L1445" s="1063"/>
    </row>
    <row r="1446" spans="5:12" x14ac:dyDescent="0.2">
      <c r="E1446" s="1063"/>
      <c r="H1446" s="1066"/>
      <c r="I1446" s="1063"/>
      <c r="J1446" s="1063"/>
      <c r="K1446" s="1063"/>
      <c r="L1446" s="1063"/>
    </row>
    <row r="1447" spans="5:12" x14ac:dyDescent="0.2">
      <c r="E1447" s="1063"/>
      <c r="H1447" s="1066"/>
      <c r="I1447" s="1063"/>
      <c r="J1447" s="1063"/>
      <c r="K1447" s="1063"/>
      <c r="L1447" s="1063"/>
    </row>
    <row r="1448" spans="5:12" x14ac:dyDescent="0.2">
      <c r="E1448" s="1063"/>
      <c r="H1448" s="1066"/>
      <c r="I1448" s="1063"/>
      <c r="J1448" s="1063"/>
      <c r="K1448" s="1063"/>
      <c r="L1448" s="1063"/>
    </row>
    <row r="1449" spans="5:12" x14ac:dyDescent="0.2">
      <c r="E1449" s="1063"/>
      <c r="H1449" s="1066"/>
      <c r="I1449" s="1063"/>
      <c r="J1449" s="1063"/>
      <c r="K1449" s="1063"/>
      <c r="L1449" s="1063"/>
    </row>
    <row r="1450" spans="5:12" x14ac:dyDescent="0.2">
      <c r="E1450" s="1063"/>
      <c r="H1450" s="1066"/>
      <c r="I1450" s="1063"/>
      <c r="J1450" s="1063"/>
      <c r="K1450" s="1063"/>
      <c r="L1450" s="1063"/>
    </row>
    <row r="1451" spans="5:12" x14ac:dyDescent="0.2">
      <c r="E1451" s="1063"/>
      <c r="H1451" s="1066"/>
      <c r="I1451" s="1063"/>
      <c r="J1451" s="1063"/>
      <c r="K1451" s="1063"/>
      <c r="L1451" s="1063"/>
    </row>
    <row r="1452" spans="5:12" x14ac:dyDescent="0.2">
      <c r="E1452" s="1063"/>
      <c r="H1452" s="1066"/>
      <c r="I1452" s="1063"/>
      <c r="J1452" s="1063"/>
      <c r="K1452" s="1063"/>
      <c r="L1452" s="1063"/>
    </row>
    <row r="1453" spans="5:12" x14ac:dyDescent="0.2">
      <c r="E1453" s="1063"/>
      <c r="H1453" s="1066"/>
      <c r="I1453" s="1063"/>
      <c r="J1453" s="1063"/>
      <c r="K1453" s="1063"/>
      <c r="L1453" s="1063"/>
    </row>
    <row r="1454" spans="5:12" x14ac:dyDescent="0.2">
      <c r="E1454" s="1063"/>
      <c r="H1454" s="1066"/>
      <c r="I1454" s="1063"/>
      <c r="J1454" s="1063"/>
      <c r="K1454" s="1063"/>
      <c r="L1454" s="1063"/>
    </row>
    <row r="1455" spans="5:12" x14ac:dyDescent="0.2">
      <c r="E1455" s="1063"/>
      <c r="H1455" s="1066"/>
      <c r="I1455" s="1063"/>
      <c r="J1455" s="1063"/>
      <c r="K1455" s="1063"/>
      <c r="L1455" s="1063"/>
    </row>
    <row r="1456" spans="5:12" x14ac:dyDescent="0.2">
      <c r="E1456" s="1063"/>
      <c r="H1456" s="1066"/>
      <c r="I1456" s="1063"/>
      <c r="J1456" s="1063"/>
      <c r="K1456" s="1063"/>
      <c r="L1456" s="1063"/>
    </row>
    <row r="1457" spans="5:12" x14ac:dyDescent="0.2">
      <c r="E1457" s="1063"/>
      <c r="H1457" s="1066"/>
      <c r="I1457" s="1063"/>
      <c r="J1457" s="1063"/>
      <c r="K1457" s="1063"/>
      <c r="L1457" s="1063"/>
    </row>
    <row r="1458" spans="5:12" x14ac:dyDescent="0.2">
      <c r="E1458" s="1063"/>
      <c r="H1458" s="1066"/>
      <c r="I1458" s="1063"/>
      <c r="J1458" s="1063"/>
      <c r="K1458" s="1063"/>
      <c r="L1458" s="1063"/>
    </row>
    <row r="1459" spans="5:12" x14ac:dyDescent="0.2">
      <c r="E1459" s="1063"/>
      <c r="H1459" s="1066"/>
      <c r="I1459" s="1063"/>
      <c r="J1459" s="1063"/>
      <c r="K1459" s="1063"/>
      <c r="L1459" s="1063"/>
    </row>
    <row r="1460" spans="5:12" x14ac:dyDescent="0.2">
      <c r="E1460" s="1063"/>
      <c r="H1460" s="1066"/>
      <c r="I1460" s="1063"/>
      <c r="J1460" s="1063"/>
      <c r="K1460" s="1063"/>
      <c r="L1460" s="1063"/>
    </row>
    <row r="1461" spans="5:12" x14ac:dyDescent="0.2">
      <c r="E1461" s="1063"/>
      <c r="H1461" s="1066"/>
      <c r="I1461" s="1063"/>
      <c r="J1461" s="1063"/>
      <c r="K1461" s="1063"/>
      <c r="L1461" s="1063"/>
    </row>
    <row r="1462" spans="5:12" x14ac:dyDescent="0.2">
      <c r="E1462" s="1063"/>
      <c r="H1462" s="1066"/>
      <c r="I1462" s="1063"/>
      <c r="J1462" s="1063"/>
      <c r="K1462" s="1063"/>
      <c r="L1462" s="1063"/>
    </row>
    <row r="1463" spans="5:12" x14ac:dyDescent="0.2">
      <c r="E1463" s="1063"/>
      <c r="H1463" s="1066"/>
      <c r="I1463" s="1063"/>
      <c r="J1463" s="1063"/>
      <c r="K1463" s="1063"/>
      <c r="L1463" s="1063"/>
    </row>
    <row r="1464" spans="5:12" x14ac:dyDescent="0.2">
      <c r="E1464" s="1063"/>
      <c r="H1464" s="1066"/>
      <c r="I1464" s="1063"/>
      <c r="J1464" s="1063"/>
      <c r="K1464" s="1063"/>
      <c r="L1464" s="1063"/>
    </row>
    <row r="1465" spans="5:12" x14ac:dyDescent="0.2">
      <c r="E1465" s="1063"/>
      <c r="H1465" s="1066"/>
      <c r="I1465" s="1063"/>
      <c r="J1465" s="1063"/>
      <c r="K1465" s="1063"/>
      <c r="L1465" s="1063"/>
    </row>
    <row r="1466" spans="5:12" x14ac:dyDescent="0.2">
      <c r="E1466" s="1063"/>
      <c r="H1466" s="1066"/>
      <c r="I1466" s="1063"/>
      <c r="J1466" s="1063"/>
      <c r="K1466" s="1063"/>
      <c r="L1466" s="1063"/>
    </row>
    <row r="1467" spans="5:12" x14ac:dyDescent="0.2">
      <c r="E1467" s="1063"/>
      <c r="H1467" s="1066"/>
      <c r="I1467" s="1063"/>
      <c r="J1467" s="1063"/>
      <c r="K1467" s="1063"/>
      <c r="L1467" s="1063"/>
    </row>
    <row r="1468" spans="5:12" x14ac:dyDescent="0.2">
      <c r="E1468" s="1063"/>
      <c r="H1468" s="1066"/>
      <c r="I1468" s="1063"/>
      <c r="J1468" s="1063"/>
      <c r="K1468" s="1063"/>
      <c r="L1468" s="1063"/>
    </row>
    <row r="1469" spans="5:12" x14ac:dyDescent="0.2">
      <c r="E1469" s="1063"/>
      <c r="H1469" s="1066"/>
      <c r="I1469" s="1063"/>
      <c r="J1469" s="1063"/>
      <c r="K1469" s="1063"/>
      <c r="L1469" s="1063"/>
    </row>
    <row r="1470" spans="5:12" x14ac:dyDescent="0.2">
      <c r="E1470" s="1063"/>
      <c r="H1470" s="1066"/>
      <c r="I1470" s="1063"/>
      <c r="J1470" s="1063"/>
      <c r="K1470" s="1063"/>
      <c r="L1470" s="1063"/>
    </row>
    <row r="1471" spans="5:12" x14ac:dyDescent="0.2">
      <c r="E1471" s="1063"/>
      <c r="H1471" s="1066"/>
      <c r="I1471" s="1063"/>
      <c r="J1471" s="1063"/>
      <c r="K1471" s="1063"/>
      <c r="L1471" s="1063"/>
    </row>
    <row r="1472" spans="5:12" x14ac:dyDescent="0.2">
      <c r="E1472" s="1063"/>
      <c r="H1472" s="1066"/>
      <c r="I1472" s="1063"/>
      <c r="J1472" s="1063"/>
      <c r="K1472" s="1063"/>
      <c r="L1472" s="1063"/>
    </row>
    <row r="1473" spans="5:12" x14ac:dyDescent="0.2">
      <c r="E1473" s="1063"/>
      <c r="H1473" s="1066"/>
      <c r="I1473" s="1063"/>
      <c r="J1473" s="1063"/>
      <c r="K1473" s="1063"/>
      <c r="L1473" s="1063"/>
    </row>
    <row r="1474" spans="5:12" x14ac:dyDescent="0.2">
      <c r="E1474" s="1063"/>
      <c r="H1474" s="1066"/>
      <c r="I1474" s="1063"/>
      <c r="J1474" s="1063"/>
      <c r="K1474" s="1063"/>
      <c r="L1474" s="1063"/>
    </row>
    <row r="1475" spans="5:12" x14ac:dyDescent="0.2">
      <c r="E1475" s="1063"/>
      <c r="H1475" s="1066"/>
      <c r="I1475" s="1063"/>
      <c r="J1475" s="1063"/>
      <c r="K1475" s="1063"/>
      <c r="L1475" s="1063"/>
    </row>
    <row r="1476" spans="5:12" x14ac:dyDescent="0.2">
      <c r="E1476" s="1063"/>
      <c r="H1476" s="1066"/>
      <c r="I1476" s="1063"/>
      <c r="J1476" s="1063"/>
      <c r="K1476" s="1063"/>
      <c r="L1476" s="1063"/>
    </row>
    <row r="1477" spans="5:12" x14ac:dyDescent="0.2">
      <c r="E1477" s="1063"/>
      <c r="H1477" s="1066"/>
      <c r="I1477" s="1063"/>
      <c r="J1477" s="1063"/>
      <c r="K1477" s="1063"/>
      <c r="L1477" s="1063"/>
    </row>
    <row r="1478" spans="5:12" x14ac:dyDescent="0.2">
      <c r="E1478" s="1063"/>
      <c r="H1478" s="1066"/>
      <c r="I1478" s="1063"/>
      <c r="J1478" s="1063"/>
      <c r="K1478" s="1063"/>
      <c r="L1478" s="1063"/>
    </row>
    <row r="1479" spans="5:12" x14ac:dyDescent="0.2">
      <c r="E1479" s="1063"/>
      <c r="H1479" s="1066"/>
      <c r="I1479" s="1063"/>
      <c r="J1479" s="1063"/>
      <c r="K1479" s="1063"/>
      <c r="L1479" s="1063"/>
    </row>
    <row r="1480" spans="5:12" x14ac:dyDescent="0.2">
      <c r="E1480" s="1063"/>
      <c r="H1480" s="1066"/>
      <c r="I1480" s="1063"/>
      <c r="J1480" s="1063"/>
      <c r="K1480" s="1063"/>
      <c r="L1480" s="1063"/>
    </row>
    <row r="1481" spans="5:12" x14ac:dyDescent="0.2">
      <c r="E1481" s="1063"/>
      <c r="H1481" s="1066"/>
      <c r="I1481" s="1063"/>
      <c r="J1481" s="1063"/>
      <c r="K1481" s="1063"/>
      <c r="L1481" s="1063"/>
    </row>
    <row r="1482" spans="5:12" x14ac:dyDescent="0.2">
      <c r="E1482" s="1063"/>
      <c r="H1482" s="1066"/>
      <c r="I1482" s="1063"/>
      <c r="J1482" s="1063"/>
      <c r="K1482" s="1063"/>
      <c r="L1482" s="1063"/>
    </row>
    <row r="1483" spans="5:12" x14ac:dyDescent="0.2">
      <c r="E1483" s="1063"/>
      <c r="H1483" s="1066"/>
      <c r="I1483" s="1063"/>
      <c r="J1483" s="1063"/>
      <c r="K1483" s="1063"/>
      <c r="L1483" s="1063"/>
    </row>
    <row r="1484" spans="5:12" x14ac:dyDescent="0.2">
      <c r="E1484" s="1063"/>
      <c r="H1484" s="1066"/>
      <c r="I1484" s="1063"/>
      <c r="J1484" s="1063"/>
      <c r="K1484" s="1063"/>
      <c r="L1484" s="1063"/>
    </row>
    <row r="1485" spans="5:12" x14ac:dyDescent="0.2">
      <c r="E1485" s="1063"/>
      <c r="H1485" s="1066"/>
      <c r="I1485" s="1063"/>
      <c r="J1485" s="1063"/>
      <c r="K1485" s="1063"/>
      <c r="L1485" s="1063"/>
    </row>
    <row r="1486" spans="5:12" x14ac:dyDescent="0.2">
      <c r="E1486" s="1063"/>
      <c r="H1486" s="1066"/>
      <c r="I1486" s="1063"/>
      <c r="J1486" s="1063"/>
      <c r="K1486" s="1063"/>
      <c r="L1486" s="1063"/>
    </row>
    <row r="1487" spans="5:12" x14ac:dyDescent="0.2">
      <c r="E1487" s="1063"/>
      <c r="H1487" s="1066"/>
      <c r="I1487" s="1063"/>
      <c r="J1487" s="1063"/>
      <c r="K1487" s="1063"/>
      <c r="L1487" s="1063"/>
    </row>
    <row r="1488" spans="5:12" x14ac:dyDescent="0.2">
      <c r="E1488" s="1063"/>
      <c r="H1488" s="1066"/>
      <c r="I1488" s="1063"/>
      <c r="J1488" s="1063"/>
      <c r="K1488" s="1063"/>
      <c r="L1488" s="1063"/>
    </row>
    <row r="1489" spans="5:12" x14ac:dyDescent="0.2">
      <c r="E1489" s="1063"/>
      <c r="H1489" s="1066"/>
      <c r="I1489" s="1063"/>
      <c r="J1489" s="1063"/>
      <c r="K1489" s="1063"/>
      <c r="L1489" s="1063"/>
    </row>
    <row r="1490" spans="5:12" x14ac:dyDescent="0.2">
      <c r="E1490" s="1063"/>
      <c r="H1490" s="1066"/>
      <c r="I1490" s="1063"/>
      <c r="J1490" s="1063"/>
      <c r="K1490" s="1063"/>
      <c r="L1490" s="1063"/>
    </row>
    <row r="1491" spans="5:12" x14ac:dyDescent="0.2">
      <c r="E1491" s="1063"/>
      <c r="H1491" s="1066"/>
      <c r="I1491" s="1063"/>
      <c r="J1491" s="1063"/>
      <c r="K1491" s="1063"/>
      <c r="L1491" s="1063"/>
    </row>
    <row r="1492" spans="5:12" x14ac:dyDescent="0.2">
      <c r="E1492" s="1063"/>
      <c r="H1492" s="1066"/>
      <c r="I1492" s="1063"/>
      <c r="J1492" s="1063"/>
      <c r="K1492" s="1063"/>
      <c r="L1492" s="1063"/>
    </row>
    <row r="1493" spans="5:12" x14ac:dyDescent="0.2">
      <c r="E1493" s="1063"/>
      <c r="H1493" s="1066"/>
      <c r="I1493" s="1063"/>
      <c r="J1493" s="1063"/>
      <c r="K1493" s="1063"/>
      <c r="L1493" s="1063"/>
    </row>
    <row r="1494" spans="5:12" x14ac:dyDescent="0.2">
      <c r="E1494" s="1063"/>
      <c r="H1494" s="1066"/>
      <c r="I1494" s="1063"/>
      <c r="J1494" s="1063"/>
      <c r="K1494" s="1063"/>
      <c r="L1494" s="1063"/>
    </row>
    <row r="1495" spans="5:12" x14ac:dyDescent="0.2">
      <c r="E1495" s="1063"/>
      <c r="H1495" s="1066"/>
      <c r="I1495" s="1063"/>
      <c r="J1495" s="1063"/>
      <c r="K1495" s="1063"/>
      <c r="L1495" s="1063"/>
    </row>
    <row r="1496" spans="5:12" x14ac:dyDescent="0.2">
      <c r="E1496" s="1063"/>
      <c r="H1496" s="1066"/>
      <c r="I1496" s="1063"/>
      <c r="J1496" s="1063"/>
      <c r="K1496" s="1063"/>
      <c r="L1496" s="1063"/>
    </row>
    <row r="1497" spans="5:12" x14ac:dyDescent="0.2">
      <c r="E1497" s="1063"/>
      <c r="H1497" s="1066"/>
      <c r="I1497" s="1063"/>
      <c r="J1497" s="1063"/>
      <c r="K1497" s="1063"/>
      <c r="L1497" s="1063"/>
    </row>
    <row r="1498" spans="5:12" x14ac:dyDescent="0.2">
      <c r="E1498" s="1063"/>
      <c r="H1498" s="1066"/>
      <c r="I1498" s="1063"/>
      <c r="J1498" s="1063"/>
      <c r="K1498" s="1063"/>
      <c r="L1498" s="1063"/>
    </row>
    <row r="1499" spans="5:12" x14ac:dyDescent="0.2">
      <c r="E1499" s="1063"/>
      <c r="H1499" s="1066"/>
      <c r="I1499" s="1063"/>
      <c r="J1499" s="1063"/>
      <c r="K1499" s="1063"/>
      <c r="L1499" s="1063"/>
    </row>
    <row r="1500" spans="5:12" x14ac:dyDescent="0.2">
      <c r="E1500" s="1063"/>
      <c r="H1500" s="1066"/>
      <c r="I1500" s="1063"/>
      <c r="J1500" s="1063"/>
      <c r="K1500" s="1063"/>
      <c r="L1500" s="1063"/>
    </row>
    <row r="1501" spans="5:12" x14ac:dyDescent="0.2">
      <c r="E1501" s="1063"/>
      <c r="H1501" s="1066"/>
      <c r="I1501" s="1063"/>
      <c r="J1501" s="1063"/>
      <c r="K1501" s="1063"/>
      <c r="L1501" s="1063"/>
    </row>
    <row r="1502" spans="5:12" x14ac:dyDescent="0.2">
      <c r="E1502" s="1063"/>
      <c r="H1502" s="1066"/>
      <c r="I1502" s="1063"/>
      <c r="J1502" s="1063"/>
      <c r="K1502" s="1063"/>
      <c r="L1502" s="1063"/>
    </row>
    <row r="1503" spans="5:12" x14ac:dyDescent="0.2">
      <c r="E1503" s="1063"/>
      <c r="H1503" s="1066"/>
      <c r="I1503" s="1063"/>
      <c r="J1503" s="1063"/>
      <c r="K1503" s="1063"/>
      <c r="L1503" s="1063"/>
    </row>
    <row r="1504" spans="5:12" x14ac:dyDescent="0.2">
      <c r="E1504" s="1063"/>
      <c r="H1504" s="1066"/>
      <c r="I1504" s="1063"/>
      <c r="J1504" s="1063"/>
      <c r="K1504" s="1063"/>
      <c r="L1504" s="1063"/>
    </row>
    <row r="1505" spans="5:12" x14ac:dyDescent="0.2">
      <c r="E1505" s="1063"/>
      <c r="H1505" s="1066"/>
      <c r="I1505" s="1063"/>
      <c r="J1505" s="1063"/>
      <c r="K1505" s="1063"/>
      <c r="L1505" s="1063"/>
    </row>
    <row r="1506" spans="5:12" x14ac:dyDescent="0.2">
      <c r="E1506" s="1063"/>
      <c r="H1506" s="1066"/>
      <c r="I1506" s="1063"/>
      <c r="J1506" s="1063"/>
      <c r="K1506" s="1063"/>
      <c r="L1506" s="1063"/>
    </row>
    <row r="1507" spans="5:12" x14ac:dyDescent="0.2">
      <c r="E1507" s="1063"/>
      <c r="H1507" s="1066"/>
      <c r="I1507" s="1063"/>
      <c r="J1507" s="1063"/>
      <c r="K1507" s="1063"/>
      <c r="L1507" s="1063"/>
    </row>
    <row r="1508" spans="5:12" x14ac:dyDescent="0.2">
      <c r="E1508" s="1063"/>
      <c r="H1508" s="1066"/>
      <c r="I1508" s="1063"/>
      <c r="J1508" s="1063"/>
      <c r="K1508" s="1063"/>
      <c r="L1508" s="1063"/>
    </row>
    <row r="1509" spans="5:12" x14ac:dyDescent="0.2">
      <c r="E1509" s="1063"/>
      <c r="H1509" s="1066"/>
      <c r="I1509" s="1063"/>
      <c r="J1509" s="1063"/>
      <c r="K1509" s="1063"/>
      <c r="L1509" s="1063"/>
    </row>
    <row r="1510" spans="5:12" x14ac:dyDescent="0.2">
      <c r="E1510" s="1063"/>
      <c r="H1510" s="1066"/>
      <c r="I1510" s="1063"/>
      <c r="J1510" s="1063"/>
      <c r="K1510" s="1063"/>
      <c r="L1510" s="1063"/>
    </row>
    <row r="1511" spans="5:12" x14ac:dyDescent="0.2">
      <c r="E1511" s="1063"/>
      <c r="H1511" s="1066"/>
      <c r="I1511" s="1063"/>
      <c r="J1511" s="1063"/>
      <c r="K1511" s="1063"/>
      <c r="L1511" s="1063"/>
    </row>
    <row r="1512" spans="5:12" x14ac:dyDescent="0.2">
      <c r="E1512" s="1063"/>
      <c r="H1512" s="1066"/>
      <c r="I1512" s="1063"/>
      <c r="J1512" s="1063"/>
      <c r="K1512" s="1063"/>
      <c r="L1512" s="1063"/>
    </row>
    <row r="1513" spans="5:12" x14ac:dyDescent="0.2">
      <c r="E1513" s="1063"/>
      <c r="H1513" s="1066"/>
      <c r="I1513" s="1063"/>
      <c r="J1513" s="1063"/>
      <c r="K1513" s="1063"/>
      <c r="L1513" s="1063"/>
    </row>
    <row r="1514" spans="5:12" x14ac:dyDescent="0.2">
      <c r="E1514" s="1063"/>
      <c r="H1514" s="1066"/>
      <c r="I1514" s="1063"/>
      <c r="J1514" s="1063"/>
      <c r="K1514" s="1063"/>
      <c r="L1514" s="1063"/>
    </row>
    <row r="1515" spans="5:12" x14ac:dyDescent="0.2">
      <c r="E1515" s="1063"/>
      <c r="H1515" s="1066"/>
      <c r="I1515" s="1063"/>
      <c r="J1515" s="1063"/>
      <c r="K1515" s="1063"/>
      <c r="L1515" s="1063"/>
    </row>
    <row r="1516" spans="5:12" x14ac:dyDescent="0.2">
      <c r="E1516" s="1063"/>
      <c r="H1516" s="1066"/>
      <c r="I1516" s="1063"/>
      <c r="J1516" s="1063"/>
      <c r="K1516" s="1063"/>
      <c r="L1516" s="1063"/>
    </row>
    <row r="1517" spans="5:12" x14ac:dyDescent="0.2">
      <c r="E1517" s="1063"/>
      <c r="H1517" s="1066"/>
      <c r="I1517" s="1063"/>
      <c r="J1517" s="1063"/>
      <c r="K1517" s="1063"/>
      <c r="L1517" s="1063"/>
    </row>
    <row r="1518" spans="5:12" x14ac:dyDescent="0.2">
      <c r="E1518" s="1063"/>
      <c r="H1518" s="1066"/>
      <c r="I1518" s="1063"/>
      <c r="J1518" s="1063"/>
      <c r="K1518" s="1063"/>
      <c r="L1518" s="1063"/>
    </row>
    <row r="1519" spans="5:12" x14ac:dyDescent="0.2">
      <c r="E1519" s="1063"/>
      <c r="H1519" s="1066"/>
      <c r="I1519" s="1063"/>
      <c r="J1519" s="1063"/>
      <c r="K1519" s="1063"/>
      <c r="L1519" s="1063"/>
    </row>
    <row r="1520" spans="5:12" x14ac:dyDescent="0.2">
      <c r="E1520" s="1063"/>
      <c r="H1520" s="1066"/>
      <c r="I1520" s="1063"/>
      <c r="J1520" s="1063"/>
      <c r="K1520" s="1063"/>
      <c r="L1520" s="1063"/>
    </row>
    <row r="1521" spans="5:12" x14ac:dyDescent="0.2">
      <c r="E1521" s="1063"/>
      <c r="H1521" s="1066"/>
      <c r="I1521" s="1063"/>
      <c r="J1521" s="1063"/>
      <c r="K1521" s="1063"/>
      <c r="L1521" s="1063"/>
    </row>
    <row r="1522" spans="5:12" x14ac:dyDescent="0.2">
      <c r="E1522" s="1063"/>
      <c r="H1522" s="1066"/>
      <c r="I1522" s="1063"/>
      <c r="J1522" s="1063"/>
      <c r="K1522" s="1063"/>
      <c r="L1522" s="1063"/>
    </row>
    <row r="1523" spans="5:12" x14ac:dyDescent="0.2">
      <c r="E1523" s="1063"/>
      <c r="H1523" s="1066"/>
      <c r="I1523" s="1063"/>
      <c r="J1523" s="1063"/>
      <c r="K1523" s="1063"/>
      <c r="L1523" s="1063"/>
    </row>
    <row r="1524" spans="5:12" x14ac:dyDescent="0.2">
      <c r="E1524" s="1063"/>
      <c r="H1524" s="1066"/>
      <c r="I1524" s="1063"/>
      <c r="J1524" s="1063"/>
      <c r="K1524" s="1063"/>
      <c r="L1524" s="1063"/>
    </row>
    <row r="1525" spans="5:12" x14ac:dyDescent="0.2">
      <c r="E1525" s="1063"/>
      <c r="H1525" s="1066"/>
      <c r="I1525" s="1063"/>
      <c r="J1525" s="1063"/>
      <c r="K1525" s="1063"/>
      <c r="L1525" s="1063"/>
    </row>
    <row r="1526" spans="5:12" x14ac:dyDescent="0.2">
      <c r="E1526" s="1063"/>
      <c r="H1526" s="1066"/>
      <c r="I1526" s="1063"/>
      <c r="J1526" s="1063"/>
      <c r="K1526" s="1063"/>
      <c r="L1526" s="1063"/>
    </row>
    <row r="1527" spans="5:12" x14ac:dyDescent="0.2">
      <c r="E1527" s="1063"/>
      <c r="H1527" s="1066"/>
      <c r="I1527" s="1063"/>
      <c r="J1527" s="1063"/>
      <c r="K1527" s="1063"/>
      <c r="L1527" s="1063"/>
    </row>
    <row r="1528" spans="5:12" x14ac:dyDescent="0.2">
      <c r="E1528" s="1063"/>
      <c r="H1528" s="1066"/>
      <c r="I1528" s="1063"/>
      <c r="J1528" s="1063"/>
      <c r="K1528" s="1063"/>
      <c r="L1528" s="1063"/>
    </row>
    <row r="1529" spans="5:12" x14ac:dyDescent="0.2">
      <c r="E1529" s="1063"/>
      <c r="H1529" s="1066"/>
      <c r="I1529" s="1063"/>
      <c r="J1529" s="1063"/>
      <c r="K1529" s="1063"/>
      <c r="L1529" s="1063"/>
    </row>
    <row r="1530" spans="5:12" x14ac:dyDescent="0.2">
      <c r="E1530" s="1063"/>
      <c r="H1530" s="1066"/>
      <c r="I1530" s="1063"/>
      <c r="J1530" s="1063"/>
      <c r="K1530" s="1063"/>
      <c r="L1530" s="1063"/>
    </row>
    <row r="1531" spans="5:12" x14ac:dyDescent="0.2">
      <c r="E1531" s="1063"/>
      <c r="H1531" s="1066"/>
      <c r="I1531" s="1063"/>
      <c r="J1531" s="1063"/>
      <c r="K1531" s="1063"/>
      <c r="L1531" s="1063"/>
    </row>
    <row r="1532" spans="5:12" x14ac:dyDescent="0.2">
      <c r="E1532" s="1063"/>
      <c r="H1532" s="1066"/>
      <c r="I1532" s="1063"/>
      <c r="J1532" s="1063"/>
      <c r="K1532" s="1063"/>
      <c r="L1532" s="1063"/>
    </row>
    <row r="1533" spans="5:12" x14ac:dyDescent="0.2">
      <c r="E1533" s="1063"/>
      <c r="H1533" s="1066"/>
      <c r="I1533" s="1063"/>
      <c r="J1533" s="1063"/>
      <c r="K1533" s="1063"/>
      <c r="L1533" s="1063"/>
    </row>
    <row r="1534" spans="5:12" x14ac:dyDescent="0.2">
      <c r="E1534" s="1063"/>
      <c r="H1534" s="1066"/>
      <c r="I1534" s="1063"/>
      <c r="J1534" s="1063"/>
      <c r="K1534" s="1063"/>
      <c r="L1534" s="1063"/>
    </row>
    <row r="1535" spans="5:12" x14ac:dyDescent="0.2">
      <c r="E1535" s="1063"/>
      <c r="H1535" s="1066"/>
      <c r="I1535" s="1063"/>
      <c r="J1535" s="1063"/>
      <c r="K1535" s="1063"/>
      <c r="L1535" s="1063"/>
    </row>
    <row r="1536" spans="5:12" x14ac:dyDescent="0.2">
      <c r="E1536" s="1063"/>
      <c r="H1536" s="1066"/>
      <c r="I1536" s="1063"/>
      <c r="J1536" s="1063"/>
      <c r="K1536" s="1063"/>
      <c r="L1536" s="1063"/>
    </row>
    <row r="1537" spans="5:12" x14ac:dyDescent="0.2">
      <c r="E1537" s="1063"/>
      <c r="H1537" s="1066"/>
      <c r="I1537" s="1063"/>
      <c r="J1537" s="1063"/>
      <c r="K1537" s="1063"/>
      <c r="L1537" s="1063"/>
    </row>
    <row r="1538" spans="5:12" x14ac:dyDescent="0.2">
      <c r="E1538" s="1063"/>
      <c r="H1538" s="1066"/>
      <c r="I1538" s="1063"/>
      <c r="J1538" s="1063"/>
      <c r="K1538" s="1063"/>
      <c r="L1538" s="1063"/>
    </row>
    <row r="1539" spans="5:12" x14ac:dyDescent="0.2">
      <c r="E1539" s="1063"/>
      <c r="H1539" s="1066"/>
      <c r="I1539" s="1063"/>
      <c r="J1539" s="1063"/>
      <c r="K1539" s="1063"/>
      <c r="L1539" s="1063"/>
    </row>
    <row r="1540" spans="5:12" x14ac:dyDescent="0.2">
      <c r="E1540" s="1063"/>
      <c r="H1540" s="1066"/>
      <c r="I1540" s="1063"/>
      <c r="J1540" s="1063"/>
      <c r="K1540" s="1063"/>
      <c r="L1540" s="1063"/>
    </row>
    <row r="1541" spans="5:12" x14ac:dyDescent="0.2">
      <c r="E1541" s="1063"/>
      <c r="H1541" s="1066"/>
      <c r="I1541" s="1063"/>
      <c r="J1541" s="1063"/>
      <c r="K1541" s="1063"/>
      <c r="L1541" s="1063"/>
    </row>
    <row r="1542" spans="5:12" x14ac:dyDescent="0.2">
      <c r="E1542" s="1063"/>
      <c r="H1542" s="1066"/>
      <c r="I1542" s="1063"/>
      <c r="J1542" s="1063"/>
      <c r="K1542" s="1063"/>
      <c r="L1542" s="1063"/>
    </row>
    <row r="1543" spans="5:12" x14ac:dyDescent="0.2">
      <c r="E1543" s="1063"/>
      <c r="H1543" s="1066"/>
      <c r="I1543" s="1063"/>
      <c r="J1543" s="1063"/>
      <c r="K1543" s="1063"/>
      <c r="L1543" s="1063"/>
    </row>
    <row r="1544" spans="5:12" x14ac:dyDescent="0.2">
      <c r="E1544" s="1063"/>
      <c r="H1544" s="1066"/>
      <c r="I1544" s="1063"/>
      <c r="J1544" s="1063"/>
      <c r="K1544" s="1063"/>
      <c r="L1544" s="1063"/>
    </row>
    <row r="1545" spans="5:12" x14ac:dyDescent="0.2">
      <c r="E1545" s="1063"/>
      <c r="H1545" s="1066"/>
      <c r="I1545" s="1063"/>
      <c r="J1545" s="1063"/>
      <c r="K1545" s="1063"/>
      <c r="L1545" s="1063"/>
    </row>
    <row r="1546" spans="5:12" x14ac:dyDescent="0.2">
      <c r="E1546" s="1063"/>
      <c r="H1546" s="1066"/>
      <c r="I1546" s="1063"/>
      <c r="J1546" s="1063"/>
      <c r="K1546" s="1063"/>
      <c r="L1546" s="1063"/>
    </row>
    <row r="1547" spans="5:12" x14ac:dyDescent="0.2">
      <c r="E1547" s="1063"/>
      <c r="H1547" s="1066"/>
      <c r="I1547" s="1063"/>
      <c r="J1547" s="1063"/>
      <c r="K1547" s="1063"/>
      <c r="L1547" s="1063"/>
    </row>
    <row r="1548" spans="5:12" x14ac:dyDescent="0.2">
      <c r="E1548" s="1063"/>
      <c r="H1548" s="1066"/>
      <c r="I1548" s="1063"/>
      <c r="J1548" s="1063"/>
      <c r="K1548" s="1063"/>
      <c r="L1548" s="1063"/>
    </row>
    <row r="1549" spans="5:12" x14ac:dyDescent="0.2">
      <c r="E1549" s="1063"/>
      <c r="H1549" s="1066"/>
      <c r="I1549" s="1063"/>
      <c r="J1549" s="1063"/>
      <c r="K1549" s="1063"/>
      <c r="L1549" s="1063"/>
    </row>
    <row r="1550" spans="5:12" x14ac:dyDescent="0.2">
      <c r="E1550" s="1063"/>
      <c r="H1550" s="1066"/>
      <c r="I1550" s="1063"/>
      <c r="J1550" s="1063"/>
      <c r="K1550" s="1063"/>
      <c r="L1550" s="1063"/>
    </row>
    <row r="1551" spans="5:12" x14ac:dyDescent="0.2">
      <c r="E1551" s="1063"/>
      <c r="H1551" s="1066"/>
      <c r="I1551" s="1063"/>
      <c r="J1551" s="1063"/>
      <c r="K1551" s="1063"/>
      <c r="L1551" s="1063"/>
    </row>
    <row r="1552" spans="5:12" x14ac:dyDescent="0.2">
      <c r="E1552" s="1063"/>
      <c r="H1552" s="1066"/>
      <c r="I1552" s="1063"/>
      <c r="J1552" s="1063"/>
      <c r="K1552" s="1063"/>
      <c r="L1552" s="1063"/>
    </row>
    <row r="1553" spans="5:12" x14ac:dyDescent="0.2">
      <c r="E1553" s="1063"/>
      <c r="H1553" s="1066"/>
      <c r="I1553" s="1063"/>
      <c r="J1553" s="1063"/>
      <c r="K1553" s="1063"/>
      <c r="L1553" s="1063"/>
    </row>
    <row r="1554" spans="5:12" x14ac:dyDescent="0.2">
      <c r="E1554" s="1063"/>
      <c r="H1554" s="1066"/>
      <c r="I1554" s="1063"/>
      <c r="J1554" s="1063"/>
      <c r="K1554" s="1063"/>
      <c r="L1554" s="1063"/>
    </row>
    <row r="1555" spans="5:12" x14ac:dyDescent="0.2">
      <c r="E1555" s="1063"/>
      <c r="H1555" s="1066"/>
      <c r="I1555" s="1063"/>
      <c r="J1555" s="1063"/>
      <c r="K1555" s="1063"/>
      <c r="L1555" s="1063"/>
    </row>
    <row r="1556" spans="5:12" x14ac:dyDescent="0.2">
      <c r="E1556" s="1063"/>
      <c r="H1556" s="1066"/>
      <c r="I1556" s="1063"/>
      <c r="J1556" s="1063"/>
      <c r="K1556" s="1063"/>
      <c r="L1556" s="1063"/>
    </row>
    <row r="1557" spans="5:12" x14ac:dyDescent="0.2">
      <c r="E1557" s="1063"/>
      <c r="H1557" s="1066"/>
      <c r="I1557" s="1063"/>
      <c r="J1557" s="1063"/>
      <c r="K1557" s="1063"/>
      <c r="L1557" s="1063"/>
    </row>
    <row r="1558" spans="5:12" x14ac:dyDescent="0.2">
      <c r="E1558" s="1063"/>
      <c r="H1558" s="1066"/>
      <c r="I1558" s="1063"/>
      <c r="J1558" s="1063"/>
      <c r="K1558" s="1063"/>
      <c r="L1558" s="1063"/>
    </row>
    <row r="1559" spans="5:12" x14ac:dyDescent="0.2">
      <c r="E1559" s="1063"/>
      <c r="H1559" s="1066"/>
      <c r="I1559" s="1063"/>
      <c r="J1559" s="1063"/>
      <c r="K1559" s="1063"/>
      <c r="L1559" s="1063"/>
    </row>
    <row r="1560" spans="5:12" x14ac:dyDescent="0.2">
      <c r="E1560" s="1063"/>
      <c r="H1560" s="1066"/>
      <c r="I1560" s="1063"/>
      <c r="J1560" s="1063"/>
      <c r="K1560" s="1063"/>
      <c r="L1560" s="1063"/>
    </row>
    <row r="1561" spans="5:12" x14ac:dyDescent="0.2">
      <c r="E1561" s="1063"/>
      <c r="H1561" s="1066"/>
      <c r="I1561" s="1063"/>
      <c r="J1561" s="1063"/>
      <c r="K1561" s="1063"/>
      <c r="L1561" s="1063"/>
    </row>
    <row r="1562" spans="5:12" x14ac:dyDescent="0.2">
      <c r="E1562" s="1063"/>
      <c r="H1562" s="1066"/>
      <c r="I1562" s="1063"/>
      <c r="J1562" s="1063"/>
      <c r="K1562" s="1063"/>
      <c r="L1562" s="1063"/>
    </row>
    <row r="1563" spans="5:12" x14ac:dyDescent="0.2">
      <c r="E1563" s="1063"/>
      <c r="H1563" s="1066"/>
      <c r="I1563" s="1063"/>
      <c r="J1563" s="1063"/>
      <c r="K1563" s="1063"/>
      <c r="L1563" s="1063"/>
    </row>
    <row r="1564" spans="5:12" x14ac:dyDescent="0.2">
      <c r="E1564" s="1063"/>
      <c r="H1564" s="1066"/>
      <c r="I1564" s="1063"/>
      <c r="J1564" s="1063"/>
      <c r="K1564" s="1063"/>
      <c r="L1564" s="1063"/>
    </row>
    <row r="1565" spans="5:12" x14ac:dyDescent="0.2">
      <c r="E1565" s="1063"/>
      <c r="H1565" s="1066"/>
      <c r="I1565" s="1063"/>
      <c r="J1565" s="1063"/>
      <c r="K1565" s="1063"/>
      <c r="L1565" s="1063"/>
    </row>
    <row r="1566" spans="5:12" x14ac:dyDescent="0.2">
      <c r="E1566" s="1063"/>
      <c r="H1566" s="1066"/>
      <c r="I1566" s="1063"/>
      <c r="J1566" s="1063"/>
      <c r="K1566" s="1063"/>
      <c r="L1566" s="1063"/>
    </row>
    <row r="1567" spans="5:12" x14ac:dyDescent="0.2">
      <c r="E1567" s="1063"/>
      <c r="H1567" s="1066"/>
      <c r="I1567" s="1063"/>
      <c r="J1567" s="1063"/>
      <c r="K1567" s="1063"/>
      <c r="L1567" s="1063"/>
    </row>
    <row r="1568" spans="5:12" x14ac:dyDescent="0.2">
      <c r="E1568" s="1063"/>
      <c r="H1568" s="1066"/>
      <c r="I1568" s="1063"/>
      <c r="J1568" s="1063"/>
      <c r="K1568" s="1063"/>
      <c r="L1568" s="1063"/>
    </row>
    <row r="1569" spans="5:12" x14ac:dyDescent="0.2">
      <c r="E1569" s="1063"/>
      <c r="H1569" s="1066"/>
      <c r="I1569" s="1063"/>
      <c r="J1569" s="1063"/>
      <c r="K1569" s="1063"/>
      <c r="L1569" s="1063"/>
    </row>
    <row r="1570" spans="5:12" x14ac:dyDescent="0.2">
      <c r="E1570" s="1063"/>
      <c r="H1570" s="1066"/>
      <c r="I1570" s="1063"/>
      <c r="J1570" s="1063"/>
      <c r="K1570" s="1063"/>
      <c r="L1570" s="1063"/>
    </row>
    <row r="1571" spans="5:12" x14ac:dyDescent="0.2">
      <c r="E1571" s="1063"/>
      <c r="H1571" s="1066"/>
      <c r="I1571" s="1063"/>
      <c r="J1571" s="1063"/>
      <c r="K1571" s="1063"/>
      <c r="L1571" s="1063"/>
    </row>
    <row r="1572" spans="5:12" x14ac:dyDescent="0.2">
      <c r="E1572" s="1063"/>
      <c r="H1572" s="1066"/>
      <c r="I1572" s="1063"/>
      <c r="J1572" s="1063"/>
      <c r="K1572" s="1063"/>
      <c r="L1572" s="1063"/>
    </row>
    <row r="1573" spans="5:12" x14ac:dyDescent="0.2">
      <c r="E1573" s="1063"/>
      <c r="H1573" s="1066"/>
      <c r="I1573" s="1063"/>
      <c r="J1573" s="1063"/>
      <c r="K1573" s="1063"/>
      <c r="L1573" s="1063"/>
    </row>
    <row r="1574" spans="5:12" x14ac:dyDescent="0.2">
      <c r="E1574" s="1063"/>
      <c r="H1574" s="1066"/>
      <c r="I1574" s="1063"/>
      <c r="J1574" s="1063"/>
      <c r="K1574" s="1063"/>
      <c r="L1574" s="1063"/>
    </row>
    <row r="1575" spans="5:12" x14ac:dyDescent="0.2">
      <c r="E1575" s="1063"/>
      <c r="H1575" s="1066"/>
      <c r="I1575" s="1063"/>
      <c r="J1575" s="1063"/>
      <c r="K1575" s="1063"/>
      <c r="L1575" s="1063"/>
    </row>
    <row r="1576" spans="5:12" x14ac:dyDescent="0.2">
      <c r="E1576" s="1063"/>
      <c r="H1576" s="1066"/>
      <c r="I1576" s="1063"/>
      <c r="J1576" s="1063"/>
      <c r="K1576" s="1063"/>
      <c r="L1576" s="1063"/>
    </row>
    <row r="1577" spans="5:12" x14ac:dyDescent="0.2">
      <c r="E1577" s="1063"/>
      <c r="H1577" s="1066"/>
      <c r="I1577" s="1063"/>
      <c r="J1577" s="1063"/>
      <c r="K1577" s="1063"/>
      <c r="L1577" s="1063"/>
    </row>
    <row r="1578" spans="5:12" x14ac:dyDescent="0.2">
      <c r="E1578" s="1063"/>
      <c r="H1578" s="1066"/>
      <c r="I1578" s="1063"/>
      <c r="J1578" s="1063"/>
      <c r="K1578" s="1063"/>
      <c r="L1578" s="1063"/>
    </row>
    <row r="1579" spans="5:12" x14ac:dyDescent="0.2">
      <c r="E1579" s="1063"/>
      <c r="H1579" s="1066"/>
      <c r="I1579" s="1063"/>
      <c r="J1579" s="1063"/>
      <c r="K1579" s="1063"/>
      <c r="L1579" s="1063"/>
    </row>
    <row r="1580" spans="5:12" x14ac:dyDescent="0.2">
      <c r="E1580" s="1063"/>
      <c r="H1580" s="1066"/>
      <c r="I1580" s="1063"/>
      <c r="J1580" s="1063"/>
      <c r="K1580" s="1063"/>
      <c r="L1580" s="1063"/>
    </row>
    <row r="1581" spans="5:12" x14ac:dyDescent="0.2">
      <c r="E1581" s="1063"/>
      <c r="H1581" s="1066"/>
      <c r="I1581" s="1063"/>
      <c r="J1581" s="1063"/>
      <c r="K1581" s="1063"/>
      <c r="L1581" s="1063"/>
    </row>
    <row r="1582" spans="5:12" x14ac:dyDescent="0.2">
      <c r="E1582" s="1063"/>
      <c r="H1582" s="1066"/>
      <c r="I1582" s="1063"/>
      <c r="J1582" s="1063"/>
      <c r="K1582" s="1063"/>
      <c r="L1582" s="1063"/>
    </row>
    <row r="1583" spans="5:12" x14ac:dyDescent="0.2">
      <c r="E1583" s="1063"/>
      <c r="H1583" s="1066"/>
      <c r="I1583" s="1063"/>
      <c r="J1583" s="1063"/>
      <c r="K1583" s="1063"/>
      <c r="L1583" s="1063"/>
    </row>
    <row r="1584" spans="5:12" x14ac:dyDescent="0.2">
      <c r="E1584" s="1063"/>
      <c r="H1584" s="1066"/>
      <c r="I1584" s="1063"/>
      <c r="J1584" s="1063"/>
      <c r="K1584" s="1063"/>
      <c r="L1584" s="1063"/>
    </row>
    <row r="1585" spans="5:12" x14ac:dyDescent="0.2">
      <c r="E1585" s="1063"/>
      <c r="H1585" s="1066"/>
      <c r="I1585" s="1063"/>
      <c r="J1585" s="1063"/>
      <c r="K1585" s="1063"/>
      <c r="L1585" s="1063"/>
    </row>
    <row r="1586" spans="5:12" x14ac:dyDescent="0.2">
      <c r="E1586" s="1063"/>
      <c r="H1586" s="1066"/>
      <c r="I1586" s="1063"/>
      <c r="J1586" s="1063"/>
      <c r="K1586" s="1063"/>
      <c r="L1586" s="1063"/>
    </row>
    <row r="1587" spans="5:12" x14ac:dyDescent="0.2">
      <c r="E1587" s="1063"/>
      <c r="H1587" s="1066"/>
      <c r="I1587" s="1063"/>
      <c r="J1587" s="1063"/>
      <c r="K1587" s="1063"/>
      <c r="L1587" s="1063"/>
    </row>
    <row r="1588" spans="5:12" x14ac:dyDescent="0.2">
      <c r="E1588" s="1063"/>
      <c r="H1588" s="1066"/>
      <c r="I1588" s="1063"/>
      <c r="J1588" s="1063"/>
      <c r="K1588" s="1063"/>
      <c r="L1588" s="1063"/>
    </row>
    <row r="1589" spans="5:12" x14ac:dyDescent="0.2">
      <c r="E1589" s="1063"/>
      <c r="H1589" s="1066"/>
      <c r="I1589" s="1063"/>
      <c r="J1589" s="1063"/>
      <c r="K1589" s="1063"/>
      <c r="L1589" s="1063"/>
    </row>
    <row r="1590" spans="5:12" x14ac:dyDescent="0.2">
      <c r="E1590" s="1063"/>
      <c r="H1590" s="1066"/>
      <c r="I1590" s="1063"/>
      <c r="J1590" s="1063"/>
      <c r="K1590" s="1063"/>
      <c r="L1590" s="1063"/>
    </row>
    <row r="1591" spans="5:12" x14ac:dyDescent="0.2">
      <c r="E1591" s="1063"/>
      <c r="H1591" s="1066"/>
      <c r="I1591" s="1063"/>
      <c r="J1591" s="1063"/>
      <c r="K1591" s="1063"/>
      <c r="L1591" s="1063"/>
    </row>
    <row r="1592" spans="5:12" x14ac:dyDescent="0.2">
      <c r="E1592" s="1063"/>
      <c r="H1592" s="1066"/>
      <c r="I1592" s="1063"/>
      <c r="J1592" s="1063"/>
      <c r="K1592" s="1063"/>
      <c r="L1592" s="1063"/>
    </row>
    <row r="1593" spans="5:12" x14ac:dyDescent="0.2">
      <c r="E1593" s="1063"/>
      <c r="H1593" s="1066"/>
      <c r="I1593" s="1063"/>
      <c r="J1593" s="1063"/>
      <c r="K1593" s="1063"/>
      <c r="L1593" s="1063"/>
    </row>
    <row r="1594" spans="5:12" x14ac:dyDescent="0.2">
      <c r="E1594" s="1063"/>
      <c r="H1594" s="1066"/>
      <c r="I1594" s="1063"/>
      <c r="J1594" s="1063"/>
      <c r="K1594" s="1063"/>
      <c r="L1594" s="1063"/>
    </row>
    <row r="1595" spans="5:12" x14ac:dyDescent="0.2">
      <c r="E1595" s="1063"/>
      <c r="H1595" s="1066"/>
      <c r="I1595" s="1063"/>
      <c r="J1595" s="1063"/>
      <c r="K1595" s="1063"/>
      <c r="L1595" s="1063"/>
    </row>
    <row r="1596" spans="5:12" x14ac:dyDescent="0.2">
      <c r="E1596" s="1063"/>
      <c r="H1596" s="1066"/>
      <c r="I1596" s="1063"/>
      <c r="J1596" s="1063"/>
      <c r="K1596" s="1063"/>
      <c r="L1596" s="1063"/>
    </row>
    <row r="1597" spans="5:12" x14ac:dyDescent="0.2">
      <c r="E1597" s="1063"/>
      <c r="H1597" s="1066"/>
      <c r="I1597" s="1063"/>
      <c r="J1597" s="1063"/>
      <c r="K1597" s="1063"/>
      <c r="L1597" s="1063"/>
    </row>
    <row r="1598" spans="5:12" x14ac:dyDescent="0.2">
      <c r="E1598" s="1063"/>
      <c r="H1598" s="1066"/>
      <c r="I1598" s="1063"/>
      <c r="J1598" s="1063"/>
      <c r="K1598" s="1063"/>
      <c r="L1598" s="1063"/>
    </row>
    <row r="1599" spans="5:12" x14ac:dyDescent="0.2">
      <c r="E1599" s="1063"/>
      <c r="H1599" s="1066"/>
      <c r="I1599" s="1063"/>
      <c r="J1599" s="1063"/>
      <c r="K1599" s="1063"/>
      <c r="L1599" s="1063"/>
    </row>
    <row r="1600" spans="5:12" x14ac:dyDescent="0.2">
      <c r="E1600" s="1063"/>
      <c r="H1600" s="1066"/>
      <c r="I1600" s="1063"/>
      <c r="J1600" s="1063"/>
      <c r="K1600" s="1063"/>
      <c r="L1600" s="1063"/>
    </row>
    <row r="1601" spans="5:12" x14ac:dyDescent="0.2">
      <c r="E1601" s="1063"/>
      <c r="H1601" s="1066"/>
      <c r="I1601" s="1063"/>
      <c r="J1601" s="1063"/>
      <c r="K1601" s="1063"/>
      <c r="L1601" s="1063"/>
    </row>
    <row r="1602" spans="5:12" x14ac:dyDescent="0.2">
      <c r="E1602" s="1063"/>
      <c r="H1602" s="1066"/>
      <c r="I1602" s="1063"/>
      <c r="J1602" s="1063"/>
      <c r="K1602" s="1063"/>
      <c r="L1602" s="1063"/>
    </row>
    <row r="1603" spans="5:12" x14ac:dyDescent="0.2">
      <c r="E1603" s="1063"/>
      <c r="H1603" s="1066"/>
      <c r="I1603" s="1063"/>
      <c r="J1603" s="1063"/>
      <c r="K1603" s="1063"/>
      <c r="L1603" s="1063"/>
    </row>
    <row r="1604" spans="5:12" x14ac:dyDescent="0.2">
      <c r="E1604" s="1063"/>
      <c r="H1604" s="1066"/>
      <c r="I1604" s="1063"/>
      <c r="J1604" s="1063"/>
      <c r="K1604" s="1063"/>
      <c r="L1604" s="1063"/>
    </row>
    <row r="1605" spans="5:12" x14ac:dyDescent="0.2">
      <c r="E1605" s="1063"/>
      <c r="H1605" s="1066"/>
      <c r="I1605" s="1063"/>
      <c r="J1605" s="1063"/>
      <c r="K1605" s="1063"/>
      <c r="L1605" s="1063"/>
    </row>
    <row r="1606" spans="5:12" x14ac:dyDescent="0.2">
      <c r="E1606" s="1063"/>
      <c r="H1606" s="1066"/>
      <c r="I1606" s="1063"/>
      <c r="J1606" s="1063"/>
      <c r="K1606" s="1063"/>
      <c r="L1606" s="1063"/>
    </row>
    <row r="1607" spans="5:12" x14ac:dyDescent="0.2">
      <c r="E1607" s="1063"/>
      <c r="H1607" s="1066"/>
      <c r="I1607" s="1063"/>
      <c r="J1607" s="1063"/>
      <c r="K1607" s="1063"/>
      <c r="L1607" s="1063"/>
    </row>
    <row r="1608" spans="5:12" x14ac:dyDescent="0.2">
      <c r="E1608" s="1063"/>
      <c r="H1608" s="1066"/>
      <c r="I1608" s="1063"/>
      <c r="J1608" s="1063"/>
      <c r="K1608" s="1063"/>
      <c r="L1608" s="1063"/>
    </row>
    <row r="1609" spans="5:12" x14ac:dyDescent="0.2">
      <c r="E1609" s="1063"/>
      <c r="H1609" s="1066"/>
      <c r="I1609" s="1063"/>
      <c r="J1609" s="1063"/>
      <c r="K1609" s="1063"/>
      <c r="L1609" s="1063"/>
    </row>
    <row r="1610" spans="5:12" x14ac:dyDescent="0.2">
      <c r="E1610" s="1063"/>
      <c r="H1610" s="1066"/>
      <c r="I1610" s="1063"/>
      <c r="J1610" s="1063"/>
      <c r="K1610" s="1063"/>
      <c r="L1610" s="1063"/>
    </row>
    <row r="1611" spans="5:12" x14ac:dyDescent="0.2">
      <c r="E1611" s="1063"/>
      <c r="H1611" s="1066"/>
      <c r="I1611" s="1063"/>
      <c r="J1611" s="1063"/>
      <c r="K1611" s="1063"/>
      <c r="L1611" s="1063"/>
    </row>
    <row r="1612" spans="5:12" x14ac:dyDescent="0.2">
      <c r="E1612" s="1063"/>
      <c r="H1612" s="1066"/>
      <c r="I1612" s="1063"/>
      <c r="J1612" s="1063"/>
      <c r="K1612" s="1063"/>
      <c r="L1612" s="1063"/>
    </row>
    <row r="1613" spans="5:12" x14ac:dyDescent="0.2">
      <c r="E1613" s="1063"/>
      <c r="H1613" s="1066"/>
      <c r="I1613" s="1063"/>
      <c r="J1613" s="1063"/>
      <c r="K1613" s="1063"/>
      <c r="L1613" s="1063"/>
    </row>
    <row r="1614" spans="5:12" x14ac:dyDescent="0.2">
      <c r="E1614" s="1063"/>
      <c r="H1614" s="1066"/>
      <c r="I1614" s="1063"/>
      <c r="J1614" s="1063"/>
      <c r="K1614" s="1063"/>
      <c r="L1614" s="1063"/>
    </row>
    <row r="1615" spans="5:12" x14ac:dyDescent="0.2">
      <c r="E1615" s="1063"/>
      <c r="H1615" s="1066"/>
      <c r="I1615" s="1063"/>
      <c r="J1615" s="1063"/>
      <c r="K1615" s="1063"/>
      <c r="L1615" s="1063"/>
    </row>
    <row r="1616" spans="5:12" x14ac:dyDescent="0.2">
      <c r="E1616" s="1063"/>
      <c r="H1616" s="1066"/>
      <c r="I1616" s="1063"/>
      <c r="J1616" s="1063"/>
      <c r="K1616" s="1063"/>
      <c r="L1616" s="1063"/>
    </row>
    <row r="1617" spans="5:12" x14ac:dyDescent="0.2">
      <c r="E1617" s="1063"/>
      <c r="H1617" s="1066"/>
      <c r="I1617" s="1063"/>
      <c r="J1617" s="1063"/>
      <c r="K1617" s="1063"/>
      <c r="L1617" s="1063"/>
    </row>
    <row r="1618" spans="5:12" x14ac:dyDescent="0.2">
      <c r="E1618" s="1063"/>
      <c r="H1618" s="1066"/>
      <c r="I1618" s="1063"/>
      <c r="J1618" s="1063"/>
      <c r="K1618" s="1063"/>
      <c r="L1618" s="1063"/>
    </row>
    <row r="1619" spans="5:12" x14ac:dyDescent="0.2">
      <c r="E1619" s="1063"/>
      <c r="H1619" s="1066"/>
      <c r="I1619" s="1063"/>
      <c r="J1619" s="1063"/>
      <c r="K1619" s="1063"/>
      <c r="L1619" s="1063"/>
    </row>
    <row r="1620" spans="5:12" x14ac:dyDescent="0.2">
      <c r="E1620" s="1063"/>
      <c r="H1620" s="1066"/>
      <c r="I1620" s="1063"/>
      <c r="J1620" s="1063"/>
      <c r="K1620" s="1063"/>
      <c r="L1620" s="1063"/>
    </row>
    <row r="1621" spans="5:12" x14ac:dyDescent="0.2">
      <c r="E1621" s="1063"/>
      <c r="H1621" s="1066"/>
      <c r="I1621" s="1063"/>
      <c r="J1621" s="1063"/>
      <c r="K1621" s="1063"/>
      <c r="L1621" s="1063"/>
    </row>
    <row r="1622" spans="5:12" x14ac:dyDescent="0.2">
      <c r="E1622" s="1063"/>
      <c r="H1622" s="1066"/>
      <c r="I1622" s="1063"/>
      <c r="J1622" s="1063"/>
      <c r="K1622" s="1063"/>
      <c r="L1622" s="1063"/>
    </row>
    <row r="1623" spans="5:12" x14ac:dyDescent="0.2">
      <c r="E1623" s="1063"/>
      <c r="H1623" s="1066"/>
      <c r="I1623" s="1063"/>
      <c r="J1623" s="1063"/>
      <c r="K1623" s="1063"/>
      <c r="L1623" s="1063"/>
    </row>
    <row r="1624" spans="5:12" x14ac:dyDescent="0.2">
      <c r="E1624" s="1063"/>
      <c r="H1624" s="1066"/>
      <c r="I1624" s="1063"/>
      <c r="J1624" s="1063"/>
      <c r="K1624" s="1063"/>
      <c r="L1624" s="1063"/>
    </row>
    <row r="1625" spans="5:12" x14ac:dyDescent="0.2">
      <c r="E1625" s="1063"/>
      <c r="H1625" s="1066"/>
      <c r="I1625" s="1063"/>
      <c r="J1625" s="1063"/>
      <c r="K1625" s="1063"/>
      <c r="L1625" s="1063"/>
    </row>
    <row r="1626" spans="5:12" x14ac:dyDescent="0.2">
      <c r="E1626" s="1063"/>
      <c r="H1626" s="1066"/>
      <c r="I1626" s="1063"/>
      <c r="J1626" s="1063"/>
      <c r="K1626" s="1063"/>
      <c r="L1626" s="1063"/>
    </row>
    <row r="1627" spans="5:12" x14ac:dyDescent="0.2">
      <c r="E1627" s="1063"/>
      <c r="H1627" s="1066"/>
      <c r="I1627" s="1063"/>
      <c r="J1627" s="1063"/>
      <c r="K1627" s="1063"/>
      <c r="L1627" s="1063"/>
    </row>
    <row r="1628" spans="5:12" x14ac:dyDescent="0.2">
      <c r="E1628" s="1063"/>
      <c r="H1628" s="1066"/>
      <c r="I1628" s="1063"/>
      <c r="J1628" s="1063"/>
      <c r="K1628" s="1063"/>
      <c r="L1628" s="1063"/>
    </row>
    <row r="1629" spans="5:12" x14ac:dyDescent="0.2">
      <c r="E1629" s="1063"/>
      <c r="H1629" s="1066"/>
      <c r="I1629" s="1063"/>
      <c r="J1629" s="1063"/>
      <c r="K1629" s="1063"/>
      <c r="L1629" s="1063"/>
    </row>
    <row r="1630" spans="5:12" x14ac:dyDescent="0.2">
      <c r="E1630" s="1063"/>
      <c r="H1630" s="1066"/>
      <c r="I1630" s="1063"/>
      <c r="J1630" s="1063"/>
      <c r="K1630" s="1063"/>
      <c r="L1630" s="1063"/>
    </row>
    <row r="1631" spans="5:12" x14ac:dyDescent="0.2">
      <c r="E1631" s="1063"/>
      <c r="H1631" s="1066"/>
      <c r="I1631" s="1063"/>
      <c r="J1631" s="1063"/>
      <c r="K1631" s="1063"/>
      <c r="L1631" s="1063"/>
    </row>
    <row r="1632" spans="5:12" x14ac:dyDescent="0.2">
      <c r="E1632" s="1063"/>
      <c r="H1632" s="1066"/>
      <c r="I1632" s="1063"/>
      <c r="J1632" s="1063"/>
      <c r="K1632" s="1063"/>
      <c r="L1632" s="1063"/>
    </row>
    <row r="1633" spans="5:12" x14ac:dyDescent="0.2">
      <c r="E1633" s="1063"/>
      <c r="H1633" s="1066"/>
      <c r="I1633" s="1063"/>
      <c r="J1633" s="1063"/>
      <c r="K1633" s="1063"/>
      <c r="L1633" s="1063"/>
    </row>
    <row r="1634" spans="5:12" x14ac:dyDescent="0.2">
      <c r="E1634" s="1063"/>
      <c r="H1634" s="1066"/>
      <c r="I1634" s="1063"/>
      <c r="J1634" s="1063"/>
      <c r="K1634" s="1063"/>
      <c r="L1634" s="1063"/>
    </row>
    <row r="1635" spans="5:12" x14ac:dyDescent="0.2">
      <c r="E1635" s="1063"/>
      <c r="H1635" s="1066"/>
      <c r="I1635" s="1063"/>
      <c r="J1635" s="1063"/>
      <c r="K1635" s="1063"/>
      <c r="L1635" s="1063"/>
    </row>
    <row r="1636" spans="5:12" x14ac:dyDescent="0.2">
      <c r="E1636" s="1063"/>
      <c r="H1636" s="1066"/>
      <c r="I1636" s="1063"/>
      <c r="J1636" s="1063"/>
      <c r="K1636" s="1063"/>
      <c r="L1636" s="1063"/>
    </row>
    <row r="1637" spans="5:12" x14ac:dyDescent="0.2">
      <c r="E1637" s="1063"/>
      <c r="H1637" s="1066"/>
      <c r="I1637" s="1063"/>
      <c r="J1637" s="1063"/>
      <c r="K1637" s="1063"/>
      <c r="L1637" s="1063"/>
    </row>
    <row r="1638" spans="5:12" x14ac:dyDescent="0.2">
      <c r="E1638" s="1063"/>
      <c r="H1638" s="1066"/>
      <c r="I1638" s="1063"/>
      <c r="J1638" s="1063"/>
      <c r="K1638" s="1063"/>
      <c r="L1638" s="1063"/>
    </row>
    <row r="1639" spans="5:12" x14ac:dyDescent="0.2">
      <c r="E1639" s="1063"/>
      <c r="H1639" s="1066"/>
      <c r="I1639" s="1063"/>
      <c r="J1639" s="1063"/>
      <c r="K1639" s="1063"/>
      <c r="L1639" s="1063"/>
    </row>
    <row r="1640" spans="5:12" x14ac:dyDescent="0.2">
      <c r="E1640" s="1063"/>
      <c r="H1640" s="1066"/>
      <c r="I1640" s="1063"/>
      <c r="J1640" s="1063"/>
      <c r="K1640" s="1063"/>
      <c r="L1640" s="1063"/>
    </row>
    <row r="1641" spans="5:12" x14ac:dyDescent="0.2">
      <c r="E1641" s="1063"/>
      <c r="H1641" s="1066"/>
      <c r="I1641" s="1063"/>
      <c r="J1641" s="1063"/>
      <c r="K1641" s="1063"/>
      <c r="L1641" s="1063"/>
    </row>
    <row r="1642" spans="5:12" x14ac:dyDescent="0.2">
      <c r="E1642" s="1063"/>
      <c r="H1642" s="1066"/>
      <c r="I1642" s="1063"/>
      <c r="J1642" s="1063"/>
      <c r="K1642" s="1063"/>
      <c r="L1642" s="1063"/>
    </row>
    <row r="1643" spans="5:12" x14ac:dyDescent="0.2">
      <c r="E1643" s="1063"/>
      <c r="H1643" s="1066"/>
      <c r="I1643" s="1063"/>
      <c r="J1643" s="1063"/>
      <c r="K1643" s="1063"/>
      <c r="L1643" s="1063"/>
    </row>
    <row r="1644" spans="5:12" x14ac:dyDescent="0.2">
      <c r="E1644" s="1063"/>
      <c r="H1644" s="1066"/>
      <c r="I1644" s="1063"/>
      <c r="J1644" s="1063"/>
      <c r="K1644" s="1063"/>
      <c r="L1644" s="1063"/>
    </row>
    <row r="1645" spans="5:12" x14ac:dyDescent="0.2">
      <c r="E1645" s="1063"/>
      <c r="H1645" s="1066"/>
      <c r="I1645" s="1063"/>
      <c r="J1645" s="1063"/>
      <c r="K1645" s="1063"/>
      <c r="L1645" s="1063"/>
    </row>
    <row r="1646" spans="5:12" x14ac:dyDescent="0.2">
      <c r="E1646" s="1063"/>
      <c r="H1646" s="1066"/>
      <c r="I1646" s="1063"/>
      <c r="J1646" s="1063"/>
      <c r="K1646" s="1063"/>
      <c r="L1646" s="1063"/>
    </row>
    <row r="1647" spans="5:12" x14ac:dyDescent="0.2">
      <c r="E1647" s="1063"/>
      <c r="H1647" s="1066"/>
      <c r="I1647" s="1063"/>
      <c r="J1647" s="1063"/>
      <c r="K1647" s="1063"/>
      <c r="L1647" s="1063"/>
    </row>
    <row r="1648" spans="5:12" x14ac:dyDescent="0.2">
      <c r="E1648" s="1063"/>
      <c r="H1648" s="1066"/>
      <c r="I1648" s="1063"/>
      <c r="J1648" s="1063"/>
      <c r="K1648" s="1063"/>
      <c r="L1648" s="1063"/>
    </row>
    <row r="1649" spans="5:12" x14ac:dyDescent="0.2">
      <c r="E1649" s="1063"/>
      <c r="H1649" s="1066"/>
      <c r="I1649" s="1063"/>
      <c r="J1649" s="1063"/>
      <c r="K1649" s="1063"/>
      <c r="L1649" s="1063"/>
    </row>
    <row r="1650" spans="5:12" x14ac:dyDescent="0.2">
      <c r="E1650" s="1063"/>
      <c r="H1650" s="1066"/>
      <c r="I1650" s="1063"/>
      <c r="J1650" s="1063"/>
      <c r="K1650" s="1063"/>
      <c r="L1650" s="1063"/>
    </row>
    <row r="1651" spans="5:12" x14ac:dyDescent="0.2">
      <c r="E1651" s="1063"/>
      <c r="H1651" s="1066"/>
      <c r="I1651" s="1063"/>
      <c r="J1651" s="1063"/>
      <c r="K1651" s="1063"/>
      <c r="L1651" s="1063"/>
    </row>
    <row r="1652" spans="5:12" x14ac:dyDescent="0.2">
      <c r="E1652" s="1063"/>
      <c r="H1652" s="1066"/>
      <c r="I1652" s="1063"/>
      <c r="J1652" s="1063"/>
      <c r="K1652" s="1063"/>
      <c r="L1652" s="1063"/>
    </row>
    <row r="1653" spans="5:12" x14ac:dyDescent="0.2">
      <c r="E1653" s="1063"/>
      <c r="H1653" s="1066"/>
      <c r="I1653" s="1063"/>
      <c r="J1653" s="1063"/>
      <c r="K1653" s="1063"/>
      <c r="L1653" s="1063"/>
    </row>
    <row r="1654" spans="5:12" x14ac:dyDescent="0.2">
      <c r="E1654" s="1063"/>
      <c r="H1654" s="1066"/>
      <c r="I1654" s="1063"/>
      <c r="J1654" s="1063"/>
      <c r="K1654" s="1063"/>
      <c r="L1654" s="1063"/>
    </row>
    <row r="1655" spans="5:12" x14ac:dyDescent="0.2">
      <c r="E1655" s="1063"/>
      <c r="H1655" s="1066"/>
      <c r="I1655" s="1063"/>
      <c r="J1655" s="1063"/>
      <c r="K1655" s="1063"/>
      <c r="L1655" s="1063"/>
    </row>
    <row r="1656" spans="5:12" x14ac:dyDescent="0.2">
      <c r="E1656" s="1063"/>
      <c r="H1656" s="1066"/>
      <c r="I1656" s="1063"/>
      <c r="J1656" s="1063"/>
      <c r="K1656" s="1063"/>
      <c r="L1656" s="1063"/>
    </row>
    <row r="1657" spans="5:12" x14ac:dyDescent="0.2">
      <c r="E1657" s="1063"/>
      <c r="H1657" s="1066"/>
      <c r="I1657" s="1063"/>
      <c r="J1657" s="1063"/>
      <c r="K1657" s="1063"/>
      <c r="L1657" s="1063"/>
    </row>
    <row r="1658" spans="5:12" x14ac:dyDescent="0.2">
      <c r="E1658" s="1063"/>
      <c r="H1658" s="1066"/>
      <c r="I1658" s="1063"/>
      <c r="J1658" s="1063"/>
      <c r="K1658" s="1063"/>
      <c r="L1658" s="1063"/>
    </row>
    <row r="1659" spans="5:12" x14ac:dyDescent="0.2">
      <c r="E1659" s="1063"/>
      <c r="H1659" s="1066"/>
      <c r="I1659" s="1063"/>
      <c r="J1659" s="1063"/>
      <c r="K1659" s="1063"/>
      <c r="L1659" s="1063"/>
    </row>
    <row r="1660" spans="5:12" x14ac:dyDescent="0.2">
      <c r="E1660" s="1063"/>
      <c r="H1660" s="1066"/>
      <c r="I1660" s="1063"/>
      <c r="J1660" s="1063"/>
      <c r="K1660" s="1063"/>
      <c r="L1660" s="1063"/>
    </row>
    <row r="1661" spans="5:12" x14ac:dyDescent="0.2">
      <c r="E1661" s="1063"/>
      <c r="H1661" s="1066"/>
      <c r="I1661" s="1063"/>
      <c r="J1661" s="1063"/>
      <c r="K1661" s="1063"/>
      <c r="L1661" s="1063"/>
    </row>
    <row r="1662" spans="5:12" x14ac:dyDescent="0.2">
      <c r="E1662" s="1063"/>
      <c r="H1662" s="1066"/>
      <c r="I1662" s="1063"/>
      <c r="J1662" s="1063"/>
      <c r="K1662" s="1063"/>
      <c r="L1662" s="1063"/>
    </row>
    <row r="1663" spans="5:12" x14ac:dyDescent="0.2">
      <c r="E1663" s="1063"/>
      <c r="H1663" s="1066"/>
      <c r="I1663" s="1063"/>
      <c r="J1663" s="1063"/>
      <c r="K1663" s="1063"/>
      <c r="L1663" s="1063"/>
    </row>
    <row r="1664" spans="5:12" x14ac:dyDescent="0.2">
      <c r="E1664" s="1063"/>
      <c r="H1664" s="1066"/>
      <c r="I1664" s="1063"/>
      <c r="J1664" s="1063"/>
      <c r="K1664" s="1063"/>
      <c r="L1664" s="1063"/>
    </row>
    <row r="1665" spans="5:12" x14ac:dyDescent="0.2">
      <c r="E1665" s="1063"/>
      <c r="H1665" s="1066"/>
      <c r="I1665" s="1063"/>
      <c r="J1665" s="1063"/>
      <c r="K1665" s="1063"/>
      <c r="L1665" s="1063"/>
    </row>
    <row r="1666" spans="5:12" x14ac:dyDescent="0.2">
      <c r="E1666" s="1063"/>
      <c r="H1666" s="1066"/>
      <c r="I1666" s="1063"/>
      <c r="J1666" s="1063"/>
      <c r="K1666" s="1063"/>
      <c r="L1666" s="1063"/>
    </row>
    <row r="1667" spans="5:12" x14ac:dyDescent="0.2">
      <c r="E1667" s="1063"/>
      <c r="H1667" s="1066"/>
      <c r="I1667" s="1063"/>
      <c r="J1667" s="1063"/>
      <c r="K1667" s="1063"/>
      <c r="L1667" s="1063"/>
    </row>
    <row r="1668" spans="5:12" x14ac:dyDescent="0.2">
      <c r="E1668" s="1063"/>
      <c r="H1668" s="1066"/>
      <c r="I1668" s="1063"/>
      <c r="J1668" s="1063"/>
      <c r="K1668" s="1063"/>
      <c r="L1668" s="1063"/>
    </row>
    <row r="1669" spans="5:12" x14ac:dyDescent="0.2">
      <c r="E1669" s="1063"/>
      <c r="H1669" s="1066"/>
      <c r="I1669" s="1063"/>
      <c r="J1669" s="1063"/>
      <c r="K1669" s="1063"/>
      <c r="L1669" s="1063"/>
    </row>
    <row r="1670" spans="5:12" x14ac:dyDescent="0.2">
      <c r="E1670" s="1063"/>
      <c r="H1670" s="1066"/>
      <c r="I1670" s="1063"/>
      <c r="J1670" s="1063"/>
      <c r="K1670" s="1063"/>
      <c r="L1670" s="1063"/>
    </row>
    <row r="1671" spans="5:12" x14ac:dyDescent="0.2">
      <c r="E1671" s="1063"/>
      <c r="H1671" s="1066"/>
      <c r="I1671" s="1063"/>
      <c r="J1671" s="1063"/>
      <c r="K1671" s="1063"/>
      <c r="L1671" s="1063"/>
    </row>
    <row r="1672" spans="5:12" x14ac:dyDescent="0.2">
      <c r="E1672" s="1063"/>
      <c r="H1672" s="1066"/>
      <c r="I1672" s="1063"/>
      <c r="J1672" s="1063"/>
      <c r="K1672" s="1063"/>
      <c r="L1672" s="1063"/>
    </row>
    <row r="1673" spans="5:12" x14ac:dyDescent="0.2">
      <c r="E1673" s="1063"/>
      <c r="H1673" s="1066"/>
      <c r="I1673" s="1063"/>
      <c r="J1673" s="1063"/>
      <c r="K1673" s="1063"/>
      <c r="L1673" s="1063"/>
    </row>
    <row r="1674" spans="5:12" x14ac:dyDescent="0.2">
      <c r="E1674" s="1063"/>
      <c r="H1674" s="1066"/>
      <c r="I1674" s="1063"/>
      <c r="J1674" s="1063"/>
      <c r="K1674" s="1063"/>
      <c r="L1674" s="1063"/>
    </row>
    <row r="1675" spans="5:12" x14ac:dyDescent="0.2">
      <c r="E1675" s="1063"/>
      <c r="H1675" s="1066"/>
      <c r="I1675" s="1063"/>
      <c r="J1675" s="1063"/>
      <c r="K1675" s="1063"/>
      <c r="L1675" s="1063"/>
    </row>
    <row r="1676" spans="5:12" x14ac:dyDescent="0.2">
      <c r="E1676" s="1063"/>
      <c r="H1676" s="1066"/>
      <c r="I1676" s="1063"/>
      <c r="J1676" s="1063"/>
      <c r="K1676" s="1063"/>
      <c r="L1676" s="1063"/>
    </row>
    <row r="1677" spans="5:12" x14ac:dyDescent="0.2">
      <c r="E1677" s="1063"/>
      <c r="H1677" s="1066"/>
      <c r="I1677" s="1063"/>
      <c r="J1677" s="1063"/>
      <c r="K1677" s="1063"/>
      <c r="L1677" s="1063"/>
    </row>
    <row r="1678" spans="5:12" x14ac:dyDescent="0.2">
      <c r="E1678" s="1063"/>
      <c r="H1678" s="1066"/>
      <c r="I1678" s="1063"/>
      <c r="J1678" s="1063"/>
      <c r="K1678" s="1063"/>
      <c r="L1678" s="1063"/>
    </row>
    <row r="1679" spans="5:12" x14ac:dyDescent="0.2">
      <c r="E1679" s="1063"/>
      <c r="H1679" s="1066"/>
      <c r="I1679" s="1063"/>
      <c r="J1679" s="1063"/>
      <c r="K1679" s="1063"/>
      <c r="L1679" s="1063"/>
    </row>
    <row r="1680" spans="5:12" x14ac:dyDescent="0.2">
      <c r="E1680" s="1063"/>
      <c r="H1680" s="1066"/>
      <c r="I1680" s="1063"/>
      <c r="J1680" s="1063"/>
      <c r="K1680" s="1063"/>
      <c r="L1680" s="1063"/>
    </row>
    <row r="1681" spans="5:12" x14ac:dyDescent="0.2">
      <c r="E1681" s="1063"/>
      <c r="H1681" s="1066"/>
      <c r="I1681" s="1063"/>
      <c r="J1681" s="1063"/>
      <c r="K1681" s="1063"/>
      <c r="L1681" s="1063"/>
    </row>
    <row r="1682" spans="5:12" x14ac:dyDescent="0.2">
      <c r="E1682" s="1063"/>
      <c r="H1682" s="1066"/>
      <c r="I1682" s="1063"/>
      <c r="J1682" s="1063"/>
      <c r="K1682" s="1063"/>
      <c r="L1682" s="1063"/>
    </row>
    <row r="1683" spans="5:12" x14ac:dyDescent="0.2">
      <c r="E1683" s="1063"/>
      <c r="H1683" s="1066"/>
      <c r="I1683" s="1063"/>
      <c r="J1683" s="1063"/>
      <c r="K1683" s="1063"/>
      <c r="L1683" s="1063"/>
    </row>
    <row r="1684" spans="5:12" x14ac:dyDescent="0.2">
      <c r="E1684" s="1063"/>
      <c r="H1684" s="1066"/>
      <c r="I1684" s="1063"/>
      <c r="J1684" s="1063"/>
      <c r="K1684" s="1063"/>
      <c r="L1684" s="1063"/>
    </row>
    <row r="1685" spans="5:12" x14ac:dyDescent="0.2">
      <c r="E1685" s="1063"/>
      <c r="H1685" s="1066"/>
      <c r="I1685" s="1063"/>
      <c r="J1685" s="1063"/>
      <c r="K1685" s="1063"/>
      <c r="L1685" s="1063"/>
    </row>
    <row r="1686" spans="5:12" x14ac:dyDescent="0.2">
      <c r="E1686" s="1063"/>
      <c r="H1686" s="1066"/>
      <c r="I1686" s="1063"/>
      <c r="J1686" s="1063"/>
      <c r="K1686" s="1063"/>
      <c r="L1686" s="1063"/>
    </row>
    <row r="1687" spans="5:12" x14ac:dyDescent="0.2">
      <c r="E1687" s="1063"/>
      <c r="H1687" s="1066"/>
      <c r="I1687" s="1063"/>
      <c r="J1687" s="1063"/>
      <c r="K1687" s="1063"/>
      <c r="L1687" s="1063"/>
    </row>
    <row r="1688" spans="5:12" x14ac:dyDescent="0.2">
      <c r="E1688" s="1063"/>
      <c r="H1688" s="1066"/>
      <c r="I1688" s="1063"/>
      <c r="J1688" s="1063"/>
      <c r="K1688" s="1063"/>
      <c r="L1688" s="1063"/>
    </row>
    <row r="1689" spans="5:12" x14ac:dyDescent="0.2">
      <c r="E1689" s="1063"/>
      <c r="H1689" s="1066"/>
      <c r="I1689" s="1063"/>
      <c r="J1689" s="1063"/>
      <c r="K1689" s="1063"/>
      <c r="L1689" s="1063"/>
    </row>
    <row r="1690" spans="5:12" x14ac:dyDescent="0.2">
      <c r="E1690" s="1063"/>
      <c r="H1690" s="1066"/>
      <c r="I1690" s="1063"/>
      <c r="J1690" s="1063"/>
      <c r="K1690" s="1063"/>
      <c r="L1690" s="1063"/>
    </row>
    <row r="1691" spans="5:12" x14ac:dyDescent="0.2">
      <c r="E1691" s="1063"/>
      <c r="H1691" s="1066"/>
      <c r="I1691" s="1063"/>
      <c r="J1691" s="1063"/>
      <c r="K1691" s="1063"/>
      <c r="L1691" s="1063"/>
    </row>
    <row r="1692" spans="5:12" x14ac:dyDescent="0.2">
      <c r="E1692" s="1063"/>
      <c r="H1692" s="1066"/>
      <c r="I1692" s="1063"/>
      <c r="J1692" s="1063"/>
      <c r="K1692" s="1063"/>
      <c r="L1692" s="1063"/>
    </row>
    <row r="1693" spans="5:12" x14ac:dyDescent="0.2">
      <c r="E1693" s="1063"/>
      <c r="H1693" s="1066"/>
      <c r="I1693" s="1063"/>
      <c r="J1693" s="1063"/>
      <c r="K1693" s="1063"/>
      <c r="L1693" s="1063"/>
    </row>
    <row r="1694" spans="5:12" x14ac:dyDescent="0.2">
      <c r="E1694" s="1063"/>
      <c r="H1694" s="1066"/>
      <c r="I1694" s="1063"/>
      <c r="J1694" s="1063"/>
      <c r="K1694" s="1063"/>
      <c r="L1694" s="1063"/>
    </row>
    <row r="1695" spans="5:12" x14ac:dyDescent="0.2">
      <c r="E1695" s="1063"/>
      <c r="H1695" s="1066"/>
      <c r="I1695" s="1063"/>
      <c r="J1695" s="1063"/>
      <c r="K1695" s="1063"/>
      <c r="L1695" s="1063"/>
    </row>
    <row r="1696" spans="5:12" x14ac:dyDescent="0.2">
      <c r="E1696" s="1063"/>
      <c r="H1696" s="1066"/>
      <c r="I1696" s="1063"/>
      <c r="J1696" s="1063"/>
      <c r="K1696" s="1063"/>
      <c r="L1696" s="1063"/>
    </row>
    <row r="1697" spans="5:12" x14ac:dyDescent="0.2">
      <c r="E1697" s="1063"/>
      <c r="H1697" s="1066"/>
      <c r="I1697" s="1063"/>
      <c r="J1697" s="1063"/>
      <c r="K1697" s="1063"/>
      <c r="L1697" s="1063"/>
    </row>
    <row r="1698" spans="5:12" x14ac:dyDescent="0.2">
      <c r="E1698" s="1063"/>
      <c r="H1698" s="1066"/>
      <c r="I1698" s="1063"/>
      <c r="J1698" s="1063"/>
      <c r="K1698" s="1063"/>
      <c r="L1698" s="1063"/>
    </row>
    <row r="1699" spans="5:12" x14ac:dyDescent="0.2">
      <c r="E1699" s="1063"/>
      <c r="H1699" s="1066"/>
      <c r="I1699" s="1063"/>
      <c r="J1699" s="1063"/>
      <c r="K1699" s="1063"/>
      <c r="L1699" s="1063"/>
    </row>
    <row r="1700" spans="5:12" x14ac:dyDescent="0.2">
      <c r="E1700" s="1063"/>
      <c r="H1700" s="1066"/>
      <c r="I1700" s="1063"/>
      <c r="J1700" s="1063"/>
      <c r="K1700" s="1063"/>
      <c r="L1700" s="1063"/>
    </row>
    <row r="1701" spans="5:12" x14ac:dyDescent="0.2">
      <c r="E1701" s="1063"/>
      <c r="H1701" s="1066"/>
      <c r="I1701" s="1063"/>
      <c r="J1701" s="1063"/>
      <c r="K1701" s="1063"/>
      <c r="L1701" s="1063"/>
    </row>
    <row r="1702" spans="5:12" x14ac:dyDescent="0.2">
      <c r="E1702" s="1063"/>
      <c r="H1702" s="1066"/>
      <c r="I1702" s="1063"/>
      <c r="J1702" s="1063"/>
      <c r="K1702" s="1063"/>
      <c r="L1702" s="1063"/>
    </row>
    <row r="1703" spans="5:12" x14ac:dyDescent="0.2">
      <c r="E1703" s="1063"/>
      <c r="H1703" s="1066"/>
      <c r="I1703" s="1063"/>
      <c r="J1703" s="1063"/>
      <c r="K1703" s="1063"/>
      <c r="L1703" s="1063"/>
    </row>
    <row r="1704" spans="5:12" x14ac:dyDescent="0.2">
      <c r="E1704" s="1063"/>
      <c r="H1704" s="1066"/>
      <c r="I1704" s="1063"/>
      <c r="J1704" s="1063"/>
      <c r="K1704" s="1063"/>
      <c r="L1704" s="1063"/>
    </row>
    <row r="1705" spans="5:12" x14ac:dyDescent="0.2">
      <c r="E1705" s="1063"/>
      <c r="H1705" s="1066"/>
      <c r="I1705" s="1063"/>
      <c r="J1705" s="1063"/>
      <c r="K1705" s="1063"/>
      <c r="L1705" s="1063"/>
    </row>
    <row r="1706" spans="5:12" x14ac:dyDescent="0.2">
      <c r="E1706" s="1063"/>
      <c r="H1706" s="1066"/>
      <c r="I1706" s="1063"/>
      <c r="J1706" s="1063"/>
      <c r="K1706" s="1063"/>
      <c r="L1706" s="1063"/>
    </row>
    <row r="1707" spans="5:12" x14ac:dyDescent="0.2">
      <c r="E1707" s="1063"/>
      <c r="H1707" s="1066"/>
      <c r="I1707" s="1063"/>
      <c r="J1707" s="1063"/>
      <c r="K1707" s="1063"/>
      <c r="L1707" s="1063"/>
    </row>
    <row r="1708" spans="5:12" x14ac:dyDescent="0.2">
      <c r="E1708" s="1063"/>
      <c r="H1708" s="1066"/>
      <c r="I1708" s="1063"/>
      <c r="J1708" s="1063"/>
      <c r="K1708" s="1063"/>
      <c r="L1708" s="1063"/>
    </row>
    <row r="1709" spans="5:12" x14ac:dyDescent="0.2">
      <c r="E1709" s="1063"/>
      <c r="H1709" s="1066"/>
      <c r="I1709" s="1063"/>
      <c r="J1709" s="1063"/>
      <c r="K1709" s="1063"/>
      <c r="L1709" s="1063"/>
    </row>
    <row r="1710" spans="5:12" x14ac:dyDescent="0.2">
      <c r="E1710" s="1063"/>
      <c r="H1710" s="1066"/>
      <c r="I1710" s="1063"/>
      <c r="J1710" s="1063"/>
      <c r="K1710" s="1063"/>
      <c r="L1710" s="1063"/>
    </row>
    <row r="1711" spans="5:12" x14ac:dyDescent="0.2">
      <c r="E1711" s="1063"/>
      <c r="H1711" s="1066"/>
      <c r="I1711" s="1063"/>
      <c r="J1711" s="1063"/>
      <c r="K1711" s="1063"/>
      <c r="L1711" s="1063"/>
    </row>
    <row r="1712" spans="5:12" x14ac:dyDescent="0.2">
      <c r="E1712" s="1063"/>
      <c r="H1712" s="1066"/>
      <c r="I1712" s="1063"/>
      <c r="J1712" s="1063"/>
      <c r="K1712" s="1063"/>
      <c r="L1712" s="1063"/>
    </row>
    <row r="1713" spans="5:12" x14ac:dyDescent="0.2">
      <c r="E1713" s="1063"/>
      <c r="H1713" s="1066"/>
      <c r="I1713" s="1063"/>
      <c r="J1713" s="1063"/>
      <c r="K1713" s="1063"/>
      <c r="L1713" s="1063"/>
    </row>
    <row r="1714" spans="5:12" x14ac:dyDescent="0.2">
      <c r="E1714" s="1063"/>
      <c r="H1714" s="1066"/>
      <c r="I1714" s="1063"/>
      <c r="J1714" s="1063"/>
      <c r="K1714" s="1063"/>
      <c r="L1714" s="1063"/>
    </row>
    <row r="1715" spans="5:12" x14ac:dyDescent="0.2">
      <c r="E1715" s="1063"/>
      <c r="H1715" s="1066"/>
      <c r="I1715" s="1063"/>
      <c r="J1715" s="1063"/>
      <c r="K1715" s="1063"/>
      <c r="L1715" s="1063"/>
    </row>
    <row r="1716" spans="5:12" x14ac:dyDescent="0.2">
      <c r="E1716" s="1063"/>
      <c r="H1716" s="1066"/>
      <c r="I1716" s="1063"/>
      <c r="J1716" s="1063"/>
      <c r="K1716" s="1063"/>
      <c r="L1716" s="1063"/>
    </row>
    <row r="1717" spans="5:12" x14ac:dyDescent="0.2">
      <c r="E1717" s="1063"/>
      <c r="H1717" s="1066"/>
      <c r="I1717" s="1063"/>
      <c r="J1717" s="1063"/>
      <c r="K1717" s="1063"/>
      <c r="L1717" s="1063"/>
    </row>
    <row r="1718" spans="5:12" x14ac:dyDescent="0.2">
      <c r="E1718" s="1063"/>
      <c r="H1718" s="1066"/>
      <c r="I1718" s="1063"/>
      <c r="J1718" s="1063"/>
      <c r="K1718" s="1063"/>
      <c r="L1718" s="1063"/>
    </row>
    <row r="1719" spans="5:12" x14ac:dyDescent="0.2">
      <c r="E1719" s="1063"/>
      <c r="H1719" s="1066"/>
      <c r="I1719" s="1063"/>
      <c r="J1719" s="1063"/>
      <c r="K1719" s="1063"/>
      <c r="L1719" s="1063"/>
    </row>
    <row r="1720" spans="5:12" x14ac:dyDescent="0.2">
      <c r="E1720" s="1063"/>
      <c r="H1720" s="1066"/>
      <c r="I1720" s="1063"/>
      <c r="J1720" s="1063"/>
      <c r="K1720" s="1063"/>
      <c r="L1720" s="1063"/>
    </row>
    <row r="1721" spans="5:12" x14ac:dyDescent="0.2">
      <c r="E1721" s="1063"/>
      <c r="H1721" s="1066"/>
      <c r="I1721" s="1063"/>
      <c r="J1721" s="1063"/>
      <c r="K1721" s="1063"/>
      <c r="L1721" s="1063"/>
    </row>
    <row r="1722" spans="5:12" x14ac:dyDescent="0.2">
      <c r="E1722" s="1063"/>
      <c r="H1722" s="1066"/>
      <c r="I1722" s="1063"/>
      <c r="J1722" s="1063"/>
      <c r="K1722" s="1063"/>
      <c r="L1722" s="1063"/>
    </row>
    <row r="1723" spans="5:12" x14ac:dyDescent="0.2">
      <c r="E1723" s="1063"/>
      <c r="H1723" s="1066"/>
      <c r="I1723" s="1063"/>
      <c r="J1723" s="1063"/>
      <c r="K1723" s="1063"/>
      <c r="L1723" s="1063"/>
    </row>
    <row r="1724" spans="5:12" x14ac:dyDescent="0.2">
      <c r="E1724" s="1063"/>
      <c r="H1724" s="1066"/>
      <c r="I1724" s="1063"/>
      <c r="J1724" s="1063"/>
      <c r="K1724" s="1063"/>
      <c r="L1724" s="1063"/>
    </row>
    <row r="1725" spans="5:12" x14ac:dyDescent="0.2">
      <c r="E1725" s="1063"/>
      <c r="H1725" s="1066"/>
      <c r="I1725" s="1063"/>
      <c r="J1725" s="1063"/>
      <c r="K1725" s="1063"/>
      <c r="L1725" s="1063"/>
    </row>
    <row r="1726" spans="5:12" x14ac:dyDescent="0.2">
      <c r="E1726" s="1063"/>
      <c r="H1726" s="1066"/>
      <c r="I1726" s="1063"/>
      <c r="J1726" s="1063"/>
      <c r="K1726" s="1063"/>
      <c r="L1726" s="1063"/>
    </row>
    <row r="1727" spans="5:12" x14ac:dyDescent="0.2">
      <c r="E1727" s="1063"/>
      <c r="H1727" s="1066"/>
      <c r="I1727" s="1063"/>
      <c r="J1727" s="1063"/>
      <c r="K1727" s="1063"/>
      <c r="L1727" s="1063"/>
    </row>
    <row r="1728" spans="5:12" x14ac:dyDescent="0.2">
      <c r="E1728" s="1063"/>
      <c r="H1728" s="1066"/>
      <c r="I1728" s="1063"/>
      <c r="J1728" s="1063"/>
      <c r="K1728" s="1063"/>
      <c r="L1728" s="1063"/>
    </row>
    <row r="1729" spans="5:12" x14ac:dyDescent="0.2">
      <c r="E1729" s="1063"/>
      <c r="H1729" s="1066"/>
      <c r="I1729" s="1063"/>
      <c r="J1729" s="1063"/>
      <c r="K1729" s="1063"/>
      <c r="L1729" s="1063"/>
    </row>
    <row r="1730" spans="5:12" x14ac:dyDescent="0.2">
      <c r="E1730" s="1063"/>
      <c r="H1730" s="1066"/>
      <c r="I1730" s="1063"/>
      <c r="J1730" s="1063"/>
      <c r="K1730" s="1063"/>
      <c r="L1730" s="1063"/>
    </row>
    <row r="1731" spans="5:12" x14ac:dyDescent="0.2">
      <c r="E1731" s="1063"/>
      <c r="H1731" s="1066"/>
      <c r="I1731" s="1063"/>
      <c r="J1731" s="1063"/>
      <c r="K1731" s="1063"/>
      <c r="L1731" s="1063"/>
    </row>
    <row r="1732" spans="5:12" x14ac:dyDescent="0.2">
      <c r="E1732" s="1063"/>
      <c r="H1732" s="1066"/>
      <c r="I1732" s="1063"/>
      <c r="J1732" s="1063"/>
      <c r="K1732" s="1063"/>
      <c r="L1732" s="1063"/>
    </row>
    <row r="1733" spans="5:12" x14ac:dyDescent="0.2">
      <c r="E1733" s="1063"/>
      <c r="H1733" s="1066"/>
      <c r="I1733" s="1063"/>
      <c r="J1733" s="1063"/>
      <c r="K1733" s="1063"/>
      <c r="L1733" s="1063"/>
    </row>
    <row r="1734" spans="5:12" x14ac:dyDescent="0.2">
      <c r="E1734" s="1063"/>
      <c r="H1734" s="1066"/>
      <c r="I1734" s="1063"/>
      <c r="J1734" s="1063"/>
      <c r="K1734" s="1063"/>
      <c r="L1734" s="1063"/>
    </row>
    <row r="1735" spans="5:12" x14ac:dyDescent="0.2">
      <c r="E1735" s="1063"/>
      <c r="H1735" s="1066"/>
      <c r="I1735" s="1063"/>
      <c r="J1735" s="1063"/>
      <c r="K1735" s="1063"/>
      <c r="L1735" s="1063"/>
    </row>
    <row r="1736" spans="5:12" x14ac:dyDescent="0.2">
      <c r="E1736" s="1063"/>
      <c r="H1736" s="1066"/>
      <c r="I1736" s="1063"/>
      <c r="J1736" s="1063"/>
      <c r="K1736" s="1063"/>
      <c r="L1736" s="1063"/>
    </row>
    <row r="1737" spans="5:12" x14ac:dyDescent="0.2">
      <c r="E1737" s="1063"/>
      <c r="H1737" s="1066"/>
      <c r="I1737" s="1063"/>
      <c r="J1737" s="1063"/>
      <c r="K1737" s="1063"/>
      <c r="L1737" s="1063"/>
    </row>
    <row r="1738" spans="5:12" x14ac:dyDescent="0.2">
      <c r="E1738" s="1063"/>
      <c r="H1738" s="1066"/>
      <c r="I1738" s="1063"/>
      <c r="J1738" s="1063"/>
      <c r="K1738" s="1063"/>
      <c r="L1738" s="1063"/>
    </row>
    <row r="1739" spans="5:12" x14ac:dyDescent="0.2">
      <c r="E1739" s="1063"/>
      <c r="H1739" s="1066"/>
      <c r="I1739" s="1063"/>
      <c r="J1739" s="1063"/>
      <c r="K1739" s="1063"/>
      <c r="L1739" s="1063"/>
    </row>
    <row r="1740" spans="5:12" x14ac:dyDescent="0.2">
      <c r="E1740" s="1063"/>
      <c r="H1740" s="1066"/>
      <c r="I1740" s="1063"/>
      <c r="J1740" s="1063"/>
      <c r="K1740" s="1063"/>
      <c r="L1740" s="1063"/>
    </row>
    <row r="1741" spans="5:12" x14ac:dyDescent="0.2">
      <c r="E1741" s="1063"/>
      <c r="H1741" s="1066"/>
      <c r="I1741" s="1063"/>
      <c r="J1741" s="1063"/>
      <c r="K1741" s="1063"/>
      <c r="L1741" s="1063"/>
    </row>
    <row r="1742" spans="5:12" x14ac:dyDescent="0.2">
      <c r="E1742" s="1063"/>
      <c r="H1742" s="1066"/>
      <c r="I1742" s="1063"/>
      <c r="J1742" s="1063"/>
      <c r="K1742" s="1063"/>
      <c r="L1742" s="1063"/>
    </row>
    <row r="1743" spans="5:12" x14ac:dyDescent="0.2">
      <c r="E1743" s="1063"/>
      <c r="H1743" s="1066"/>
      <c r="I1743" s="1063"/>
      <c r="J1743" s="1063"/>
      <c r="K1743" s="1063"/>
      <c r="L1743" s="1063"/>
    </row>
    <row r="1744" spans="5:12" x14ac:dyDescent="0.2">
      <c r="E1744" s="1063"/>
      <c r="H1744" s="1066"/>
      <c r="I1744" s="1063"/>
      <c r="J1744" s="1063"/>
      <c r="K1744" s="1063"/>
      <c r="L1744" s="1063"/>
    </row>
    <row r="1745" spans="5:12" x14ac:dyDescent="0.2">
      <c r="E1745" s="1063"/>
      <c r="H1745" s="1066"/>
      <c r="I1745" s="1063"/>
      <c r="J1745" s="1063"/>
      <c r="K1745" s="1063"/>
      <c r="L1745" s="1063"/>
    </row>
    <row r="1746" spans="5:12" x14ac:dyDescent="0.2">
      <c r="E1746" s="1063"/>
      <c r="H1746" s="1066"/>
      <c r="I1746" s="1063"/>
      <c r="J1746" s="1063"/>
      <c r="K1746" s="1063"/>
      <c r="L1746" s="1063"/>
    </row>
    <row r="1747" spans="5:12" x14ac:dyDescent="0.2">
      <c r="E1747" s="1063"/>
      <c r="H1747" s="1066"/>
      <c r="I1747" s="1063"/>
      <c r="J1747" s="1063"/>
      <c r="K1747" s="1063"/>
      <c r="L1747" s="1063"/>
    </row>
    <row r="1748" spans="5:12" x14ac:dyDescent="0.2">
      <c r="E1748" s="1063"/>
      <c r="H1748" s="1066"/>
      <c r="I1748" s="1063"/>
      <c r="J1748" s="1063"/>
      <c r="K1748" s="1063"/>
      <c r="L1748" s="1063"/>
    </row>
    <row r="1749" spans="5:12" x14ac:dyDescent="0.2">
      <c r="E1749" s="1063"/>
      <c r="H1749" s="1066"/>
      <c r="I1749" s="1063"/>
      <c r="J1749" s="1063"/>
      <c r="K1749" s="1063"/>
      <c r="L1749" s="1063"/>
    </row>
    <row r="1750" spans="5:12" x14ac:dyDescent="0.2">
      <c r="E1750" s="1063"/>
      <c r="H1750" s="1066"/>
      <c r="I1750" s="1063"/>
      <c r="J1750" s="1063"/>
      <c r="K1750" s="1063"/>
      <c r="L1750" s="1063"/>
    </row>
    <row r="1751" spans="5:12" x14ac:dyDescent="0.2">
      <c r="E1751" s="1063"/>
      <c r="H1751" s="1066"/>
      <c r="I1751" s="1063"/>
      <c r="J1751" s="1063"/>
      <c r="K1751" s="1063"/>
      <c r="L1751" s="1063"/>
    </row>
    <row r="1752" spans="5:12" x14ac:dyDescent="0.2">
      <c r="E1752" s="1063"/>
      <c r="H1752" s="1066"/>
      <c r="I1752" s="1063"/>
      <c r="J1752" s="1063"/>
      <c r="K1752" s="1063"/>
      <c r="L1752" s="1063"/>
    </row>
    <row r="1753" spans="5:12" x14ac:dyDescent="0.2">
      <c r="E1753" s="1063"/>
      <c r="H1753" s="1066"/>
      <c r="I1753" s="1063"/>
      <c r="J1753" s="1063"/>
      <c r="K1753" s="1063"/>
      <c r="L1753" s="1063"/>
    </row>
    <row r="1754" spans="5:12" x14ac:dyDescent="0.2">
      <c r="E1754" s="1063"/>
      <c r="H1754" s="1066"/>
      <c r="I1754" s="1063"/>
      <c r="J1754" s="1063"/>
      <c r="K1754" s="1063"/>
      <c r="L1754" s="1063"/>
    </row>
    <row r="1755" spans="5:12" x14ac:dyDescent="0.2">
      <c r="E1755" s="1063"/>
      <c r="H1755" s="1066"/>
      <c r="I1755" s="1063"/>
      <c r="J1755" s="1063"/>
      <c r="K1755" s="1063"/>
      <c r="L1755" s="1063"/>
    </row>
    <row r="1756" spans="5:12" x14ac:dyDescent="0.2">
      <c r="E1756" s="1063"/>
      <c r="H1756" s="1066"/>
      <c r="I1756" s="1063"/>
      <c r="J1756" s="1063"/>
      <c r="K1756" s="1063"/>
      <c r="L1756" s="1063"/>
    </row>
    <row r="1757" spans="5:12" x14ac:dyDescent="0.2">
      <c r="E1757" s="1063"/>
      <c r="H1757" s="1066"/>
      <c r="I1757" s="1063"/>
      <c r="J1757" s="1063"/>
      <c r="K1757" s="1063"/>
      <c r="L1757" s="1063"/>
    </row>
    <row r="1758" spans="5:12" x14ac:dyDescent="0.2">
      <c r="E1758" s="1063"/>
      <c r="H1758" s="1066"/>
      <c r="I1758" s="1063"/>
      <c r="J1758" s="1063"/>
      <c r="K1758" s="1063"/>
      <c r="L1758" s="1063"/>
    </row>
    <row r="1759" spans="5:12" x14ac:dyDescent="0.2">
      <c r="E1759" s="1063"/>
      <c r="H1759" s="1066"/>
      <c r="I1759" s="1063"/>
      <c r="J1759" s="1063"/>
      <c r="K1759" s="1063"/>
      <c r="L1759" s="1063"/>
    </row>
    <row r="1760" spans="5:12" x14ac:dyDescent="0.2">
      <c r="E1760" s="1063"/>
      <c r="H1760" s="1066"/>
      <c r="I1760" s="1063"/>
      <c r="J1760" s="1063"/>
      <c r="K1760" s="1063"/>
      <c r="L1760" s="1063"/>
    </row>
    <row r="1761" spans="5:12" x14ac:dyDescent="0.2">
      <c r="E1761" s="1063"/>
      <c r="H1761" s="1066"/>
      <c r="I1761" s="1063"/>
      <c r="J1761" s="1063"/>
      <c r="K1761" s="1063"/>
      <c r="L1761" s="1063"/>
    </row>
    <row r="1762" spans="5:12" x14ac:dyDescent="0.2">
      <c r="E1762" s="1063"/>
      <c r="H1762" s="1066"/>
      <c r="I1762" s="1063"/>
      <c r="J1762" s="1063"/>
      <c r="K1762" s="1063"/>
      <c r="L1762" s="1063"/>
    </row>
    <row r="1763" spans="5:12" x14ac:dyDescent="0.2">
      <c r="E1763" s="1063"/>
      <c r="H1763" s="1066"/>
      <c r="I1763" s="1063"/>
      <c r="J1763" s="1063"/>
      <c r="K1763" s="1063"/>
      <c r="L1763" s="1063"/>
    </row>
    <row r="1764" spans="5:12" x14ac:dyDescent="0.2">
      <c r="E1764" s="1063"/>
      <c r="H1764" s="1066"/>
      <c r="I1764" s="1063"/>
      <c r="J1764" s="1063"/>
      <c r="K1764" s="1063"/>
      <c r="L1764" s="1063"/>
    </row>
    <row r="1765" spans="5:12" x14ac:dyDescent="0.2">
      <c r="E1765" s="1063"/>
      <c r="H1765" s="1066"/>
      <c r="I1765" s="1063"/>
      <c r="J1765" s="1063"/>
      <c r="K1765" s="1063"/>
      <c r="L1765" s="1063"/>
    </row>
    <row r="1766" spans="5:12" x14ac:dyDescent="0.2">
      <c r="E1766" s="1063"/>
      <c r="H1766" s="1066"/>
      <c r="I1766" s="1063"/>
      <c r="J1766" s="1063"/>
      <c r="K1766" s="1063"/>
      <c r="L1766" s="1063"/>
    </row>
    <row r="1767" spans="5:12" x14ac:dyDescent="0.2">
      <c r="E1767" s="1063"/>
      <c r="H1767" s="1066"/>
      <c r="I1767" s="1063"/>
      <c r="J1767" s="1063"/>
      <c r="K1767" s="1063"/>
      <c r="L1767" s="1063"/>
    </row>
    <row r="1768" spans="5:12" x14ac:dyDescent="0.2">
      <c r="E1768" s="1063"/>
      <c r="H1768" s="1066"/>
      <c r="I1768" s="1063"/>
      <c r="J1768" s="1063"/>
      <c r="K1768" s="1063"/>
      <c r="L1768" s="1063"/>
    </row>
    <row r="1769" spans="5:12" x14ac:dyDescent="0.2">
      <c r="E1769" s="1063"/>
      <c r="H1769" s="1066"/>
      <c r="I1769" s="1063"/>
      <c r="J1769" s="1063"/>
      <c r="K1769" s="1063"/>
      <c r="L1769" s="1063"/>
    </row>
    <row r="1770" spans="5:12" x14ac:dyDescent="0.2">
      <c r="E1770" s="1063"/>
      <c r="H1770" s="1066"/>
      <c r="I1770" s="1063"/>
      <c r="J1770" s="1063"/>
      <c r="K1770" s="1063"/>
      <c r="L1770" s="1063"/>
    </row>
    <row r="1771" spans="5:12" x14ac:dyDescent="0.2">
      <c r="E1771" s="1063"/>
      <c r="H1771" s="1066"/>
      <c r="I1771" s="1063"/>
      <c r="J1771" s="1063"/>
      <c r="K1771" s="1063"/>
      <c r="L1771" s="1063"/>
    </row>
    <row r="1772" spans="5:12" x14ac:dyDescent="0.2">
      <c r="E1772" s="1063"/>
      <c r="H1772" s="1066"/>
      <c r="I1772" s="1063"/>
      <c r="J1772" s="1063"/>
      <c r="K1772" s="1063"/>
      <c r="L1772" s="1063"/>
    </row>
    <row r="1773" spans="5:12" x14ac:dyDescent="0.2">
      <c r="E1773" s="1063"/>
      <c r="H1773" s="1066"/>
      <c r="I1773" s="1063"/>
      <c r="J1773" s="1063"/>
      <c r="K1773" s="1063"/>
      <c r="L1773" s="1063"/>
    </row>
    <row r="1774" spans="5:12" x14ac:dyDescent="0.2">
      <c r="E1774" s="1063"/>
      <c r="H1774" s="1066"/>
      <c r="I1774" s="1063"/>
      <c r="J1774" s="1063"/>
      <c r="K1774" s="1063"/>
      <c r="L1774" s="1063"/>
    </row>
    <row r="1775" spans="5:12" x14ac:dyDescent="0.2">
      <c r="E1775" s="1063"/>
      <c r="H1775" s="1066"/>
      <c r="I1775" s="1063"/>
      <c r="J1775" s="1063"/>
      <c r="K1775" s="1063"/>
      <c r="L1775" s="1063"/>
    </row>
    <row r="1776" spans="5:12" x14ac:dyDescent="0.2">
      <c r="E1776" s="1063"/>
      <c r="H1776" s="1066"/>
      <c r="I1776" s="1063"/>
      <c r="J1776" s="1063"/>
      <c r="K1776" s="1063"/>
      <c r="L1776" s="1063"/>
    </row>
    <row r="1777" spans="5:12" x14ac:dyDescent="0.2">
      <c r="E1777" s="1063"/>
      <c r="H1777" s="1066"/>
      <c r="I1777" s="1063"/>
      <c r="J1777" s="1063"/>
      <c r="K1777" s="1063"/>
      <c r="L1777" s="1063"/>
    </row>
    <row r="1778" spans="5:12" x14ac:dyDescent="0.2">
      <c r="E1778" s="1063"/>
      <c r="H1778" s="1066"/>
      <c r="I1778" s="1063"/>
      <c r="J1778" s="1063"/>
      <c r="K1778" s="1063"/>
      <c r="L1778" s="1063"/>
    </row>
    <row r="1779" spans="5:12" x14ac:dyDescent="0.2">
      <c r="E1779" s="1063"/>
      <c r="H1779" s="1066"/>
      <c r="I1779" s="1063"/>
      <c r="J1779" s="1063"/>
      <c r="K1779" s="1063"/>
      <c r="L1779" s="1063"/>
    </row>
    <row r="1780" spans="5:12" x14ac:dyDescent="0.2">
      <c r="E1780" s="1063"/>
      <c r="H1780" s="1066"/>
      <c r="I1780" s="1063"/>
      <c r="J1780" s="1063"/>
      <c r="K1780" s="1063"/>
      <c r="L1780" s="1063"/>
    </row>
    <row r="1781" spans="5:12" x14ac:dyDescent="0.2">
      <c r="E1781" s="1063"/>
      <c r="H1781" s="1066"/>
      <c r="I1781" s="1063"/>
      <c r="J1781" s="1063"/>
      <c r="K1781" s="1063"/>
      <c r="L1781" s="1063"/>
    </row>
    <row r="1782" spans="5:12" x14ac:dyDescent="0.2">
      <c r="E1782" s="1063"/>
      <c r="H1782" s="1066"/>
      <c r="I1782" s="1063"/>
      <c r="J1782" s="1063"/>
      <c r="K1782" s="1063"/>
      <c r="L1782" s="1063"/>
    </row>
    <row r="1783" spans="5:12" x14ac:dyDescent="0.2">
      <c r="E1783" s="1063"/>
      <c r="H1783" s="1066"/>
      <c r="I1783" s="1063"/>
      <c r="J1783" s="1063"/>
      <c r="K1783" s="1063"/>
      <c r="L1783" s="1063"/>
    </row>
    <row r="1784" spans="5:12" x14ac:dyDescent="0.2">
      <c r="E1784" s="1063"/>
      <c r="H1784" s="1066"/>
      <c r="I1784" s="1063"/>
      <c r="J1784" s="1063"/>
      <c r="K1784" s="1063"/>
      <c r="L1784" s="1063"/>
    </row>
    <row r="1785" spans="5:12" x14ac:dyDescent="0.2">
      <c r="E1785" s="1063"/>
      <c r="H1785" s="1066"/>
      <c r="I1785" s="1063"/>
      <c r="J1785" s="1063"/>
      <c r="K1785" s="1063"/>
      <c r="L1785" s="1063"/>
    </row>
    <row r="1786" spans="5:12" x14ac:dyDescent="0.2">
      <c r="E1786" s="1063"/>
      <c r="H1786" s="1066"/>
      <c r="I1786" s="1063"/>
      <c r="J1786" s="1063"/>
      <c r="K1786" s="1063"/>
      <c r="L1786" s="1063"/>
    </row>
    <row r="1787" spans="5:12" x14ac:dyDescent="0.2">
      <c r="E1787" s="1063"/>
      <c r="H1787" s="1066"/>
      <c r="I1787" s="1063"/>
      <c r="J1787" s="1063"/>
      <c r="K1787" s="1063"/>
      <c r="L1787" s="1063"/>
    </row>
    <row r="1788" spans="5:12" x14ac:dyDescent="0.2">
      <c r="E1788" s="1063"/>
      <c r="H1788" s="1066"/>
      <c r="I1788" s="1063"/>
      <c r="J1788" s="1063"/>
      <c r="K1788" s="1063"/>
      <c r="L1788" s="1063"/>
    </row>
    <row r="1789" spans="5:12" x14ac:dyDescent="0.2">
      <c r="E1789" s="1063"/>
      <c r="H1789" s="1066"/>
      <c r="I1789" s="1063"/>
      <c r="J1789" s="1063"/>
      <c r="K1789" s="1063"/>
      <c r="L1789" s="1063"/>
    </row>
    <row r="1790" spans="5:12" x14ac:dyDescent="0.2">
      <c r="E1790" s="1063"/>
      <c r="H1790" s="1066"/>
      <c r="I1790" s="1063"/>
      <c r="J1790" s="1063"/>
      <c r="K1790" s="1063"/>
      <c r="L1790" s="1063"/>
    </row>
    <row r="1791" spans="5:12" x14ac:dyDescent="0.2">
      <c r="E1791" s="1063"/>
      <c r="H1791" s="1066"/>
      <c r="I1791" s="1063"/>
      <c r="J1791" s="1063"/>
      <c r="K1791" s="1063"/>
      <c r="L1791" s="1063"/>
    </row>
    <row r="1792" spans="5:12" x14ac:dyDescent="0.2">
      <c r="E1792" s="1063"/>
      <c r="H1792" s="1066"/>
      <c r="I1792" s="1063"/>
      <c r="J1792" s="1063"/>
      <c r="K1792" s="1063"/>
      <c r="L1792" s="1063"/>
    </row>
    <row r="1793" spans="5:12" x14ac:dyDescent="0.2">
      <c r="E1793" s="1063"/>
      <c r="H1793" s="1066"/>
      <c r="I1793" s="1063"/>
      <c r="J1793" s="1063"/>
      <c r="K1793" s="1063"/>
      <c r="L1793" s="1063"/>
    </row>
    <row r="1794" spans="5:12" x14ac:dyDescent="0.2">
      <c r="E1794" s="1063"/>
      <c r="H1794" s="1066"/>
      <c r="I1794" s="1063"/>
      <c r="J1794" s="1063"/>
      <c r="K1794" s="1063"/>
      <c r="L1794" s="1063"/>
    </row>
    <row r="1795" spans="5:12" x14ac:dyDescent="0.2">
      <c r="E1795" s="1063"/>
      <c r="H1795" s="1066"/>
      <c r="I1795" s="1063"/>
      <c r="J1795" s="1063"/>
      <c r="K1795" s="1063"/>
      <c r="L1795" s="1063"/>
    </row>
    <row r="1796" spans="5:12" x14ac:dyDescent="0.2">
      <c r="E1796" s="1063"/>
      <c r="H1796" s="1066"/>
      <c r="I1796" s="1063"/>
      <c r="J1796" s="1063"/>
      <c r="K1796" s="1063"/>
      <c r="L1796" s="1063"/>
    </row>
    <row r="1797" spans="5:12" x14ac:dyDescent="0.2">
      <c r="E1797" s="1063"/>
      <c r="H1797" s="1066"/>
      <c r="I1797" s="1063"/>
      <c r="J1797" s="1063"/>
      <c r="K1797" s="1063"/>
      <c r="L1797" s="1063"/>
    </row>
    <row r="1798" spans="5:12" x14ac:dyDescent="0.2">
      <c r="E1798" s="1063"/>
      <c r="H1798" s="1066"/>
      <c r="I1798" s="1063"/>
      <c r="J1798" s="1063"/>
      <c r="K1798" s="1063"/>
      <c r="L1798" s="1063"/>
    </row>
    <row r="1799" spans="5:12" x14ac:dyDescent="0.2">
      <c r="E1799" s="1063"/>
      <c r="H1799" s="1066"/>
      <c r="I1799" s="1063"/>
      <c r="J1799" s="1063"/>
      <c r="K1799" s="1063"/>
      <c r="L1799" s="1063"/>
    </row>
    <row r="1800" spans="5:12" x14ac:dyDescent="0.2">
      <c r="E1800" s="1063"/>
      <c r="H1800" s="1066"/>
      <c r="I1800" s="1063"/>
      <c r="J1800" s="1063"/>
      <c r="K1800" s="1063"/>
      <c r="L1800" s="1063"/>
    </row>
    <row r="1801" spans="5:12" x14ac:dyDescent="0.2">
      <c r="E1801" s="1063"/>
      <c r="H1801" s="1066"/>
      <c r="I1801" s="1063"/>
      <c r="J1801" s="1063"/>
      <c r="K1801" s="1063"/>
      <c r="L1801" s="1063"/>
    </row>
    <row r="1802" spans="5:12" x14ac:dyDescent="0.2">
      <c r="E1802" s="1063"/>
      <c r="H1802" s="1066"/>
      <c r="I1802" s="1063"/>
      <c r="J1802" s="1063"/>
      <c r="K1802" s="1063"/>
      <c r="L1802" s="1063"/>
    </row>
    <row r="1803" spans="5:12" x14ac:dyDescent="0.2">
      <c r="E1803" s="1063"/>
      <c r="H1803" s="1066"/>
      <c r="I1803" s="1063"/>
      <c r="J1803" s="1063"/>
      <c r="K1803" s="1063"/>
      <c r="L1803" s="1063"/>
    </row>
    <row r="1804" spans="5:12" x14ac:dyDescent="0.2">
      <c r="E1804" s="1063"/>
      <c r="H1804" s="1066"/>
      <c r="I1804" s="1063"/>
      <c r="J1804" s="1063"/>
      <c r="K1804" s="1063"/>
      <c r="L1804" s="1063"/>
    </row>
    <row r="1805" spans="5:12" x14ac:dyDescent="0.2">
      <c r="E1805" s="1063"/>
      <c r="H1805" s="1066"/>
      <c r="I1805" s="1063"/>
      <c r="J1805" s="1063"/>
      <c r="K1805" s="1063"/>
      <c r="L1805" s="1063"/>
    </row>
    <row r="1806" spans="5:12" x14ac:dyDescent="0.2">
      <c r="E1806" s="1063"/>
      <c r="H1806" s="1066"/>
      <c r="I1806" s="1063"/>
      <c r="J1806" s="1063"/>
      <c r="K1806" s="1063"/>
      <c r="L1806" s="1063"/>
    </row>
    <row r="1807" spans="5:12" x14ac:dyDescent="0.2">
      <c r="E1807" s="1063"/>
      <c r="H1807" s="1066"/>
      <c r="I1807" s="1063"/>
      <c r="J1807" s="1063"/>
      <c r="K1807" s="1063"/>
      <c r="L1807" s="1063"/>
    </row>
    <row r="1808" spans="5:12" x14ac:dyDescent="0.2">
      <c r="E1808" s="1063"/>
      <c r="H1808" s="1066"/>
      <c r="I1808" s="1063"/>
      <c r="J1808" s="1063"/>
      <c r="K1808" s="1063"/>
      <c r="L1808" s="1063"/>
    </row>
    <row r="1809" spans="5:12" x14ac:dyDescent="0.2">
      <c r="E1809" s="1063"/>
      <c r="H1809" s="1066"/>
      <c r="I1809" s="1063"/>
      <c r="J1809" s="1063"/>
      <c r="K1809" s="1063"/>
      <c r="L1809" s="1063"/>
    </row>
    <row r="1810" spans="5:12" x14ac:dyDescent="0.2">
      <c r="E1810" s="1063"/>
      <c r="H1810" s="1066"/>
      <c r="I1810" s="1063"/>
      <c r="J1810" s="1063"/>
      <c r="K1810" s="1063"/>
      <c r="L1810" s="1063"/>
    </row>
    <row r="1811" spans="5:12" x14ac:dyDescent="0.2">
      <c r="E1811" s="1063"/>
      <c r="H1811" s="1066"/>
      <c r="I1811" s="1063"/>
      <c r="J1811" s="1063"/>
      <c r="K1811" s="1063"/>
      <c r="L1811" s="1063"/>
    </row>
    <row r="1812" spans="5:12" x14ac:dyDescent="0.2">
      <c r="E1812" s="1063"/>
      <c r="H1812" s="1066"/>
      <c r="I1812" s="1063"/>
      <c r="J1812" s="1063"/>
      <c r="K1812" s="1063"/>
      <c r="L1812" s="1063"/>
    </row>
    <row r="1813" spans="5:12" x14ac:dyDescent="0.2">
      <c r="E1813" s="1063"/>
      <c r="H1813" s="1066"/>
      <c r="I1813" s="1063"/>
      <c r="J1813" s="1063"/>
      <c r="K1813" s="1063"/>
      <c r="L1813" s="1063"/>
    </row>
    <row r="1814" spans="5:12" x14ac:dyDescent="0.2">
      <c r="E1814" s="1063"/>
      <c r="H1814" s="1066"/>
      <c r="I1814" s="1063"/>
      <c r="J1814" s="1063"/>
      <c r="K1814" s="1063"/>
      <c r="L1814" s="1063"/>
    </row>
    <row r="1815" spans="5:12" x14ac:dyDescent="0.2">
      <c r="E1815" s="1063"/>
      <c r="H1815" s="1066"/>
      <c r="I1815" s="1063"/>
      <c r="J1815" s="1063"/>
      <c r="K1815" s="1063"/>
      <c r="L1815" s="1063"/>
    </row>
    <row r="1816" spans="5:12" x14ac:dyDescent="0.2">
      <c r="E1816" s="1063"/>
      <c r="H1816" s="1066"/>
      <c r="I1816" s="1063"/>
      <c r="J1816" s="1063"/>
      <c r="K1816" s="1063"/>
      <c r="L1816" s="1063"/>
    </row>
    <row r="1817" spans="5:12" x14ac:dyDescent="0.2">
      <c r="E1817" s="1063"/>
      <c r="H1817" s="1066"/>
      <c r="I1817" s="1063"/>
      <c r="J1817" s="1063"/>
      <c r="K1817" s="1063"/>
      <c r="L1817" s="1063"/>
    </row>
    <row r="1818" spans="5:12" x14ac:dyDescent="0.2">
      <c r="E1818" s="1063"/>
      <c r="H1818" s="1066"/>
      <c r="I1818" s="1063"/>
      <c r="J1818" s="1063"/>
      <c r="K1818" s="1063"/>
      <c r="L1818" s="1063"/>
    </row>
    <row r="1819" spans="5:12" x14ac:dyDescent="0.2">
      <c r="E1819" s="1063"/>
      <c r="H1819" s="1066"/>
      <c r="I1819" s="1063"/>
      <c r="J1819" s="1063"/>
      <c r="K1819" s="1063"/>
      <c r="L1819" s="1063"/>
    </row>
    <row r="1820" spans="5:12" x14ac:dyDescent="0.2">
      <c r="E1820" s="1063"/>
      <c r="H1820" s="1066"/>
      <c r="I1820" s="1063"/>
      <c r="J1820" s="1063"/>
      <c r="K1820" s="1063"/>
      <c r="L1820" s="1063"/>
    </row>
    <row r="1821" spans="5:12" x14ac:dyDescent="0.2">
      <c r="E1821" s="1063"/>
      <c r="H1821" s="1066"/>
      <c r="I1821" s="1063"/>
      <c r="J1821" s="1063"/>
      <c r="K1821" s="1063"/>
      <c r="L1821" s="1063"/>
    </row>
    <row r="1822" spans="5:12" x14ac:dyDescent="0.2">
      <c r="E1822" s="1063"/>
      <c r="H1822" s="1066"/>
      <c r="I1822" s="1063"/>
      <c r="J1822" s="1063"/>
      <c r="K1822" s="1063"/>
      <c r="L1822" s="1063"/>
    </row>
    <row r="1823" spans="5:12" x14ac:dyDescent="0.2">
      <c r="E1823" s="1063"/>
      <c r="H1823" s="1066"/>
      <c r="I1823" s="1063"/>
      <c r="J1823" s="1063"/>
      <c r="K1823" s="1063"/>
      <c r="L1823" s="1063"/>
    </row>
    <row r="1824" spans="5:12" x14ac:dyDescent="0.2">
      <c r="E1824" s="1063"/>
      <c r="H1824" s="1066"/>
      <c r="I1824" s="1063"/>
      <c r="J1824" s="1063"/>
      <c r="K1824" s="1063"/>
      <c r="L1824" s="1063"/>
    </row>
    <row r="1825" spans="5:12" x14ac:dyDescent="0.2">
      <c r="E1825" s="1063"/>
      <c r="H1825" s="1066"/>
      <c r="I1825" s="1063"/>
      <c r="J1825" s="1063"/>
      <c r="K1825" s="1063"/>
      <c r="L1825" s="1063"/>
    </row>
    <row r="1826" spans="5:12" x14ac:dyDescent="0.2">
      <c r="E1826" s="1063"/>
      <c r="H1826" s="1066"/>
      <c r="I1826" s="1063"/>
      <c r="J1826" s="1063"/>
      <c r="K1826" s="1063"/>
      <c r="L1826" s="1063"/>
    </row>
    <row r="1827" spans="5:12" x14ac:dyDescent="0.2">
      <c r="E1827" s="1063"/>
      <c r="H1827" s="1066"/>
      <c r="I1827" s="1063"/>
      <c r="J1827" s="1063"/>
      <c r="K1827" s="1063"/>
      <c r="L1827" s="1063"/>
    </row>
    <row r="1828" spans="5:12" x14ac:dyDescent="0.2">
      <c r="E1828" s="1063"/>
      <c r="H1828" s="1066"/>
      <c r="I1828" s="1063"/>
      <c r="J1828" s="1063"/>
      <c r="K1828" s="1063"/>
      <c r="L1828" s="1063"/>
    </row>
    <row r="1829" spans="5:12" x14ac:dyDescent="0.2">
      <c r="E1829" s="1063"/>
      <c r="H1829" s="1066"/>
      <c r="I1829" s="1063"/>
      <c r="J1829" s="1063"/>
      <c r="K1829" s="1063"/>
      <c r="L1829" s="1063"/>
    </row>
    <row r="1830" spans="5:12" x14ac:dyDescent="0.2">
      <c r="E1830" s="1063"/>
      <c r="H1830" s="1066"/>
      <c r="I1830" s="1063"/>
      <c r="J1830" s="1063"/>
      <c r="K1830" s="1063"/>
      <c r="L1830" s="1063"/>
    </row>
    <row r="1831" spans="5:12" x14ac:dyDescent="0.2">
      <c r="E1831" s="1063"/>
      <c r="H1831" s="1066"/>
      <c r="I1831" s="1063"/>
      <c r="J1831" s="1063"/>
      <c r="K1831" s="1063"/>
      <c r="L1831" s="1063"/>
    </row>
    <row r="1832" spans="5:12" x14ac:dyDescent="0.2">
      <c r="E1832" s="1063"/>
      <c r="H1832" s="1066"/>
      <c r="I1832" s="1063"/>
      <c r="J1832" s="1063"/>
      <c r="K1832" s="1063"/>
      <c r="L1832" s="1063"/>
    </row>
    <row r="1833" spans="5:12" x14ac:dyDescent="0.2">
      <c r="E1833" s="1063"/>
      <c r="H1833" s="1066"/>
      <c r="I1833" s="1063"/>
      <c r="J1833" s="1063"/>
      <c r="K1833" s="1063"/>
      <c r="L1833" s="1063"/>
    </row>
    <row r="1834" spans="5:12" x14ac:dyDescent="0.2">
      <c r="E1834" s="1063"/>
      <c r="H1834" s="1066"/>
      <c r="I1834" s="1063"/>
      <c r="J1834" s="1063"/>
      <c r="K1834" s="1063"/>
      <c r="L1834" s="1063"/>
    </row>
    <row r="1835" spans="5:12" x14ac:dyDescent="0.2">
      <c r="E1835" s="1063"/>
      <c r="H1835" s="1066"/>
      <c r="I1835" s="1063"/>
      <c r="J1835" s="1063"/>
      <c r="K1835" s="1063"/>
      <c r="L1835" s="1063"/>
    </row>
    <row r="1836" spans="5:12" x14ac:dyDescent="0.2">
      <c r="E1836" s="1063"/>
      <c r="H1836" s="1066"/>
      <c r="I1836" s="1063"/>
      <c r="J1836" s="1063"/>
      <c r="K1836" s="1063"/>
      <c r="L1836" s="1063"/>
    </row>
    <row r="1837" spans="5:12" x14ac:dyDescent="0.2">
      <c r="E1837" s="1063"/>
      <c r="H1837" s="1066"/>
      <c r="I1837" s="1063"/>
      <c r="J1837" s="1063"/>
      <c r="K1837" s="1063"/>
      <c r="L1837" s="1063"/>
    </row>
    <row r="1838" spans="5:12" x14ac:dyDescent="0.2">
      <c r="E1838" s="1063"/>
      <c r="H1838" s="1066"/>
      <c r="I1838" s="1063"/>
      <c r="J1838" s="1063"/>
      <c r="K1838" s="1063"/>
      <c r="L1838" s="1063"/>
    </row>
    <row r="1839" spans="5:12" x14ac:dyDescent="0.2">
      <c r="E1839" s="1063"/>
      <c r="H1839" s="1066"/>
      <c r="I1839" s="1063"/>
      <c r="J1839" s="1063"/>
      <c r="K1839" s="1063"/>
      <c r="L1839" s="1063"/>
    </row>
    <row r="1840" spans="5:12" x14ac:dyDescent="0.2">
      <c r="E1840" s="1063"/>
      <c r="H1840" s="1066"/>
      <c r="I1840" s="1063"/>
      <c r="J1840" s="1063"/>
      <c r="K1840" s="1063"/>
      <c r="L1840" s="1063"/>
    </row>
    <row r="1841" spans="5:12" x14ac:dyDescent="0.2">
      <c r="E1841" s="1063"/>
      <c r="H1841" s="1066"/>
      <c r="I1841" s="1063"/>
      <c r="J1841" s="1063"/>
      <c r="K1841" s="1063"/>
      <c r="L1841" s="1063"/>
    </row>
    <row r="1842" spans="5:12" x14ac:dyDescent="0.2">
      <c r="E1842" s="1063"/>
      <c r="H1842" s="1066"/>
      <c r="I1842" s="1063"/>
      <c r="J1842" s="1063"/>
      <c r="K1842" s="1063"/>
      <c r="L1842" s="1063"/>
    </row>
    <row r="1843" spans="5:12" x14ac:dyDescent="0.2">
      <c r="E1843" s="1063"/>
      <c r="H1843" s="1066"/>
      <c r="I1843" s="1063"/>
      <c r="J1843" s="1063"/>
      <c r="K1843" s="1063"/>
      <c r="L1843" s="1063"/>
    </row>
    <row r="1844" spans="5:12" x14ac:dyDescent="0.2">
      <c r="E1844" s="1063"/>
      <c r="H1844" s="1066"/>
      <c r="I1844" s="1063"/>
      <c r="J1844" s="1063"/>
      <c r="K1844" s="1063"/>
      <c r="L1844" s="1063"/>
    </row>
    <row r="1845" spans="5:12" x14ac:dyDescent="0.2">
      <c r="E1845" s="1063"/>
      <c r="H1845" s="1066"/>
      <c r="I1845" s="1063"/>
      <c r="J1845" s="1063"/>
      <c r="K1845" s="1063"/>
      <c r="L1845" s="1063"/>
    </row>
    <row r="1846" spans="5:12" x14ac:dyDescent="0.2">
      <c r="E1846" s="1063"/>
      <c r="H1846" s="1066"/>
      <c r="I1846" s="1063"/>
      <c r="J1846" s="1063"/>
      <c r="K1846" s="1063"/>
      <c r="L1846" s="1063"/>
    </row>
    <row r="1847" spans="5:12" x14ac:dyDescent="0.2">
      <c r="E1847" s="1063"/>
      <c r="H1847" s="1066"/>
      <c r="I1847" s="1063"/>
      <c r="J1847" s="1063"/>
      <c r="K1847" s="1063"/>
      <c r="L1847" s="1063"/>
    </row>
    <row r="1848" spans="5:12" x14ac:dyDescent="0.2">
      <c r="E1848" s="1063"/>
      <c r="H1848" s="1066"/>
      <c r="I1848" s="1063"/>
      <c r="J1848" s="1063"/>
      <c r="K1848" s="1063"/>
      <c r="L1848" s="1063"/>
    </row>
    <row r="1849" spans="5:12" x14ac:dyDescent="0.2">
      <c r="E1849" s="1063"/>
      <c r="H1849" s="1066"/>
      <c r="I1849" s="1063"/>
      <c r="J1849" s="1063"/>
      <c r="K1849" s="1063"/>
      <c r="L1849" s="1063"/>
    </row>
    <row r="1850" spans="5:12" x14ac:dyDescent="0.2">
      <c r="E1850" s="1063"/>
      <c r="H1850" s="1066"/>
      <c r="I1850" s="1063"/>
      <c r="J1850" s="1063"/>
      <c r="K1850" s="1063"/>
      <c r="L1850" s="1063"/>
    </row>
    <row r="1851" spans="5:12" x14ac:dyDescent="0.2">
      <c r="E1851" s="1063"/>
      <c r="H1851" s="1066"/>
      <c r="I1851" s="1063"/>
      <c r="J1851" s="1063"/>
      <c r="K1851" s="1063"/>
      <c r="L1851" s="1063"/>
    </row>
    <row r="1852" spans="5:12" x14ac:dyDescent="0.2">
      <c r="E1852" s="1063"/>
      <c r="H1852" s="1066"/>
      <c r="I1852" s="1063"/>
      <c r="J1852" s="1063"/>
      <c r="K1852" s="1063"/>
      <c r="L1852" s="1063"/>
    </row>
    <row r="1853" spans="5:12" x14ac:dyDescent="0.2">
      <c r="E1853" s="1063"/>
      <c r="H1853" s="1066"/>
      <c r="I1853" s="1063"/>
      <c r="J1853" s="1063"/>
      <c r="K1853" s="1063"/>
      <c r="L1853" s="1063"/>
    </row>
    <row r="1854" spans="5:12" x14ac:dyDescent="0.2">
      <c r="E1854" s="1063"/>
      <c r="H1854" s="1066"/>
      <c r="I1854" s="1063"/>
      <c r="J1854" s="1063"/>
      <c r="K1854" s="1063"/>
      <c r="L1854" s="1063"/>
    </row>
    <row r="1855" spans="5:12" x14ac:dyDescent="0.2">
      <c r="E1855" s="1063"/>
      <c r="H1855" s="1066"/>
      <c r="I1855" s="1063"/>
      <c r="J1855" s="1063"/>
      <c r="K1855" s="1063"/>
      <c r="L1855" s="1063"/>
    </row>
    <row r="1856" spans="5:12" x14ac:dyDescent="0.2">
      <c r="E1856" s="1063"/>
      <c r="H1856" s="1066"/>
      <c r="I1856" s="1063"/>
      <c r="J1856" s="1063"/>
      <c r="K1856" s="1063"/>
      <c r="L1856" s="1063"/>
    </row>
    <row r="1857" spans="5:12" x14ac:dyDescent="0.2">
      <c r="E1857" s="1063"/>
      <c r="H1857" s="1066"/>
      <c r="I1857" s="1063"/>
      <c r="J1857" s="1063"/>
      <c r="K1857" s="1063"/>
      <c r="L1857" s="1063"/>
    </row>
    <row r="1858" spans="5:12" x14ac:dyDescent="0.2">
      <c r="E1858" s="1063"/>
      <c r="H1858" s="1066"/>
      <c r="I1858" s="1063"/>
      <c r="J1858" s="1063"/>
      <c r="K1858" s="1063"/>
      <c r="L1858" s="1063"/>
    </row>
    <row r="1859" spans="5:12" x14ac:dyDescent="0.2">
      <c r="E1859" s="1063"/>
      <c r="H1859" s="1066"/>
      <c r="I1859" s="1063"/>
      <c r="J1859" s="1063"/>
      <c r="K1859" s="1063"/>
      <c r="L1859" s="1063"/>
    </row>
    <row r="1860" spans="5:12" x14ac:dyDescent="0.2">
      <c r="E1860" s="1063"/>
      <c r="H1860" s="1066"/>
      <c r="I1860" s="1063"/>
      <c r="J1860" s="1063"/>
      <c r="K1860" s="1063"/>
      <c r="L1860" s="1063"/>
    </row>
    <row r="1861" spans="5:12" x14ac:dyDescent="0.2">
      <c r="E1861" s="1063"/>
      <c r="H1861" s="1066"/>
      <c r="I1861" s="1063"/>
      <c r="J1861" s="1063"/>
      <c r="K1861" s="1063"/>
      <c r="L1861" s="1063"/>
    </row>
    <row r="1862" spans="5:12" x14ac:dyDescent="0.2">
      <c r="E1862" s="1063"/>
      <c r="H1862" s="1066"/>
      <c r="I1862" s="1063"/>
      <c r="J1862" s="1063"/>
      <c r="K1862" s="1063"/>
      <c r="L1862" s="1063"/>
    </row>
    <row r="1863" spans="5:12" x14ac:dyDescent="0.2">
      <c r="E1863" s="1063"/>
      <c r="H1863" s="1066"/>
      <c r="I1863" s="1063"/>
      <c r="J1863" s="1063"/>
      <c r="K1863" s="1063"/>
      <c r="L1863" s="1063"/>
    </row>
    <row r="1864" spans="5:12" x14ac:dyDescent="0.2">
      <c r="E1864" s="1063"/>
      <c r="H1864" s="1066"/>
      <c r="I1864" s="1063"/>
      <c r="J1864" s="1063"/>
      <c r="K1864" s="1063"/>
      <c r="L1864" s="1063"/>
    </row>
    <row r="1865" spans="5:12" x14ac:dyDescent="0.2">
      <c r="E1865" s="1063"/>
      <c r="H1865" s="1066"/>
      <c r="I1865" s="1063"/>
      <c r="J1865" s="1063"/>
      <c r="K1865" s="1063"/>
      <c r="L1865" s="1063"/>
    </row>
    <row r="1866" spans="5:12" x14ac:dyDescent="0.2">
      <c r="E1866" s="1063"/>
      <c r="H1866" s="1066"/>
      <c r="I1866" s="1063"/>
      <c r="J1866" s="1063"/>
      <c r="K1866" s="1063"/>
      <c r="L1866" s="1063"/>
    </row>
    <row r="1867" spans="5:12" x14ac:dyDescent="0.2">
      <c r="E1867" s="1063"/>
      <c r="H1867" s="1066"/>
      <c r="I1867" s="1063"/>
      <c r="J1867" s="1063"/>
      <c r="K1867" s="1063"/>
      <c r="L1867" s="1063"/>
    </row>
    <row r="1868" spans="5:12" x14ac:dyDescent="0.2">
      <c r="E1868" s="1063"/>
      <c r="H1868" s="1066"/>
      <c r="I1868" s="1063"/>
      <c r="J1868" s="1063"/>
      <c r="K1868" s="1063"/>
      <c r="L1868" s="1063"/>
    </row>
    <row r="1869" spans="5:12" x14ac:dyDescent="0.2">
      <c r="E1869" s="1063"/>
      <c r="H1869" s="1066"/>
      <c r="I1869" s="1063"/>
      <c r="J1869" s="1063"/>
      <c r="K1869" s="1063"/>
      <c r="L1869" s="1063"/>
    </row>
    <row r="1870" spans="5:12" x14ac:dyDescent="0.2">
      <c r="E1870" s="1063"/>
      <c r="H1870" s="1066"/>
      <c r="I1870" s="1063"/>
      <c r="J1870" s="1063"/>
      <c r="K1870" s="1063"/>
      <c r="L1870" s="1063"/>
    </row>
    <row r="1871" spans="5:12" x14ac:dyDescent="0.2">
      <c r="E1871" s="1063"/>
      <c r="H1871" s="1066"/>
      <c r="I1871" s="1063"/>
      <c r="J1871" s="1063"/>
      <c r="K1871" s="1063"/>
      <c r="L1871" s="1063"/>
    </row>
    <row r="1872" spans="5:12" x14ac:dyDescent="0.2">
      <c r="E1872" s="1063"/>
      <c r="H1872" s="1066"/>
      <c r="I1872" s="1063"/>
      <c r="J1872" s="1063"/>
      <c r="K1872" s="1063"/>
      <c r="L1872" s="1063"/>
    </row>
    <row r="1873" spans="5:12" x14ac:dyDescent="0.2">
      <c r="E1873" s="1063"/>
      <c r="H1873" s="1066"/>
      <c r="I1873" s="1063"/>
      <c r="J1873" s="1063"/>
      <c r="K1873" s="1063"/>
      <c r="L1873" s="1063"/>
    </row>
    <row r="1874" spans="5:12" x14ac:dyDescent="0.2">
      <c r="E1874" s="1063"/>
      <c r="H1874" s="1066"/>
      <c r="I1874" s="1063"/>
      <c r="J1874" s="1063"/>
      <c r="K1874" s="1063"/>
      <c r="L1874" s="1063"/>
    </row>
    <row r="1875" spans="5:12" x14ac:dyDescent="0.2">
      <c r="E1875" s="1063"/>
      <c r="H1875" s="1066"/>
      <c r="I1875" s="1063"/>
      <c r="J1875" s="1063"/>
      <c r="K1875" s="1063"/>
      <c r="L1875" s="1063"/>
    </row>
    <row r="1876" spans="5:12" x14ac:dyDescent="0.2">
      <c r="E1876" s="1063"/>
      <c r="H1876" s="1066"/>
      <c r="I1876" s="1063"/>
      <c r="J1876" s="1063"/>
      <c r="K1876" s="1063"/>
      <c r="L1876" s="1063"/>
    </row>
    <row r="1877" spans="5:12" x14ac:dyDescent="0.2">
      <c r="E1877" s="1063"/>
      <c r="H1877" s="1066"/>
      <c r="I1877" s="1063"/>
      <c r="J1877" s="1063"/>
      <c r="K1877" s="1063"/>
      <c r="L1877" s="1063"/>
    </row>
    <row r="1878" spans="5:12" x14ac:dyDescent="0.2">
      <c r="E1878" s="1063"/>
      <c r="H1878" s="1066"/>
      <c r="I1878" s="1063"/>
      <c r="J1878" s="1063"/>
      <c r="K1878" s="1063"/>
      <c r="L1878" s="1063"/>
    </row>
    <row r="1879" spans="5:12" x14ac:dyDescent="0.2">
      <c r="E1879" s="1063"/>
      <c r="H1879" s="1066"/>
      <c r="I1879" s="1063"/>
      <c r="J1879" s="1063"/>
      <c r="K1879" s="1063"/>
      <c r="L1879" s="1063"/>
    </row>
    <row r="1880" spans="5:12" x14ac:dyDescent="0.2">
      <c r="E1880" s="1063"/>
      <c r="H1880" s="1066"/>
      <c r="I1880" s="1063"/>
      <c r="J1880" s="1063"/>
      <c r="K1880" s="1063"/>
      <c r="L1880" s="1063"/>
    </row>
    <row r="1881" spans="5:12" x14ac:dyDescent="0.2">
      <c r="E1881" s="1063"/>
      <c r="H1881" s="1066"/>
      <c r="I1881" s="1063"/>
      <c r="J1881" s="1063"/>
      <c r="K1881" s="1063"/>
      <c r="L1881" s="1063"/>
    </row>
    <row r="1882" spans="5:12" x14ac:dyDescent="0.2">
      <c r="E1882" s="1063"/>
      <c r="H1882" s="1066"/>
      <c r="I1882" s="1063"/>
      <c r="J1882" s="1063"/>
      <c r="K1882" s="1063"/>
      <c r="L1882" s="1063"/>
    </row>
    <row r="1883" spans="5:12" x14ac:dyDescent="0.2">
      <c r="E1883" s="1063"/>
      <c r="H1883" s="1066"/>
      <c r="I1883" s="1063"/>
      <c r="J1883" s="1063"/>
      <c r="K1883" s="1063"/>
      <c r="L1883" s="1063"/>
    </row>
    <row r="1884" spans="5:12" x14ac:dyDescent="0.2">
      <c r="E1884" s="1063"/>
      <c r="H1884" s="1066"/>
      <c r="I1884" s="1063"/>
      <c r="J1884" s="1063"/>
      <c r="K1884" s="1063"/>
      <c r="L1884" s="1063"/>
    </row>
    <row r="1885" spans="5:12" x14ac:dyDescent="0.2">
      <c r="E1885" s="1063"/>
      <c r="H1885" s="1066"/>
      <c r="I1885" s="1063"/>
      <c r="J1885" s="1063"/>
      <c r="K1885" s="1063"/>
      <c r="L1885" s="1063"/>
    </row>
    <row r="1886" spans="5:12" x14ac:dyDescent="0.2">
      <c r="E1886" s="1063"/>
      <c r="H1886" s="1066"/>
      <c r="I1886" s="1063"/>
      <c r="J1886" s="1063"/>
      <c r="K1886" s="1063"/>
      <c r="L1886" s="1063"/>
    </row>
    <row r="1887" spans="5:12" x14ac:dyDescent="0.2">
      <c r="E1887" s="1063"/>
      <c r="H1887" s="1066"/>
      <c r="I1887" s="1063"/>
      <c r="J1887" s="1063"/>
      <c r="K1887" s="1063"/>
      <c r="L1887" s="1063"/>
    </row>
    <row r="1888" spans="5:12" x14ac:dyDescent="0.2">
      <c r="E1888" s="1063"/>
      <c r="H1888" s="1066"/>
      <c r="I1888" s="1063"/>
      <c r="J1888" s="1063"/>
      <c r="K1888" s="1063"/>
      <c r="L1888" s="1063"/>
    </row>
    <row r="1889" spans="5:12" x14ac:dyDescent="0.2">
      <c r="E1889" s="1063"/>
      <c r="H1889" s="1066"/>
      <c r="I1889" s="1063"/>
      <c r="J1889" s="1063"/>
      <c r="K1889" s="1063"/>
      <c r="L1889" s="1063"/>
    </row>
    <row r="1890" spans="5:12" x14ac:dyDescent="0.2">
      <c r="E1890" s="1063"/>
      <c r="H1890" s="1066"/>
      <c r="I1890" s="1063"/>
      <c r="J1890" s="1063"/>
      <c r="K1890" s="1063"/>
      <c r="L1890" s="1063"/>
    </row>
    <row r="1891" spans="5:12" x14ac:dyDescent="0.2">
      <c r="E1891" s="1063"/>
      <c r="H1891" s="1066"/>
      <c r="I1891" s="1063"/>
      <c r="J1891" s="1063"/>
      <c r="K1891" s="1063"/>
      <c r="L1891" s="1063"/>
    </row>
    <row r="1892" spans="5:12" x14ac:dyDescent="0.2">
      <c r="E1892" s="1063"/>
      <c r="H1892" s="1066"/>
      <c r="I1892" s="1063"/>
      <c r="J1892" s="1063"/>
      <c r="K1892" s="1063"/>
      <c r="L1892" s="1063"/>
    </row>
    <row r="1893" spans="5:12" x14ac:dyDescent="0.2">
      <c r="E1893" s="1063"/>
      <c r="H1893" s="1066"/>
      <c r="I1893" s="1063"/>
      <c r="J1893" s="1063"/>
      <c r="K1893" s="1063"/>
      <c r="L1893" s="1063"/>
    </row>
    <row r="1894" spans="5:12" x14ac:dyDescent="0.2">
      <c r="E1894" s="1063"/>
      <c r="H1894" s="1066"/>
      <c r="I1894" s="1063"/>
      <c r="J1894" s="1063"/>
      <c r="K1894" s="1063"/>
      <c r="L1894" s="1063"/>
    </row>
    <row r="1895" spans="5:12" x14ac:dyDescent="0.2">
      <c r="E1895" s="1063"/>
      <c r="H1895" s="1066"/>
      <c r="I1895" s="1063"/>
      <c r="J1895" s="1063"/>
      <c r="K1895" s="1063"/>
      <c r="L1895" s="1063"/>
    </row>
    <row r="1896" spans="5:12" x14ac:dyDescent="0.2">
      <c r="E1896" s="1063"/>
      <c r="H1896" s="1066"/>
      <c r="I1896" s="1063"/>
      <c r="J1896" s="1063"/>
      <c r="K1896" s="1063"/>
      <c r="L1896" s="1063"/>
    </row>
    <row r="1897" spans="5:12" x14ac:dyDescent="0.2">
      <c r="E1897" s="1063"/>
      <c r="H1897" s="1066"/>
      <c r="I1897" s="1063"/>
      <c r="J1897" s="1063"/>
      <c r="K1897" s="1063"/>
      <c r="L1897" s="1063"/>
    </row>
    <row r="1898" spans="5:12" x14ac:dyDescent="0.2">
      <c r="E1898" s="1063"/>
      <c r="H1898" s="1066"/>
      <c r="I1898" s="1063"/>
      <c r="J1898" s="1063"/>
      <c r="K1898" s="1063"/>
      <c r="L1898" s="1063"/>
    </row>
    <row r="1899" spans="5:12" x14ac:dyDescent="0.2">
      <c r="E1899" s="1063"/>
      <c r="H1899" s="1066"/>
      <c r="I1899" s="1063"/>
      <c r="J1899" s="1063"/>
      <c r="K1899" s="1063"/>
      <c r="L1899" s="1063"/>
    </row>
    <row r="1900" spans="5:12" x14ac:dyDescent="0.2">
      <c r="E1900" s="1063"/>
      <c r="H1900" s="1066"/>
      <c r="I1900" s="1063"/>
      <c r="J1900" s="1063"/>
      <c r="K1900" s="1063"/>
      <c r="L1900" s="1063"/>
    </row>
    <row r="1901" spans="5:12" x14ac:dyDescent="0.2">
      <c r="E1901" s="1063"/>
      <c r="H1901" s="1066"/>
      <c r="I1901" s="1063"/>
      <c r="J1901" s="1063"/>
      <c r="K1901" s="1063"/>
      <c r="L1901" s="1063"/>
    </row>
    <row r="1902" spans="5:12" x14ac:dyDescent="0.2">
      <c r="E1902" s="1063"/>
      <c r="H1902" s="1066"/>
      <c r="I1902" s="1063"/>
      <c r="J1902" s="1063"/>
      <c r="K1902" s="1063"/>
      <c r="L1902" s="1063"/>
    </row>
    <row r="1903" spans="5:12" x14ac:dyDescent="0.2">
      <c r="E1903" s="1063"/>
      <c r="H1903" s="1066"/>
      <c r="I1903" s="1063"/>
      <c r="J1903" s="1063"/>
      <c r="K1903" s="1063"/>
      <c r="L1903" s="1063"/>
    </row>
    <row r="1904" spans="5:12" x14ac:dyDescent="0.2">
      <c r="E1904" s="1063"/>
      <c r="H1904" s="1066"/>
      <c r="I1904" s="1063"/>
      <c r="J1904" s="1063"/>
      <c r="K1904" s="1063"/>
      <c r="L1904" s="1063"/>
    </row>
    <row r="1905" spans="5:12" x14ac:dyDescent="0.2">
      <c r="E1905" s="1063"/>
      <c r="H1905" s="1066"/>
      <c r="I1905" s="1063"/>
      <c r="J1905" s="1063"/>
      <c r="K1905" s="1063"/>
      <c r="L1905" s="1063"/>
    </row>
    <row r="1906" spans="5:12" x14ac:dyDescent="0.2">
      <c r="E1906" s="1063"/>
      <c r="H1906" s="1066"/>
      <c r="I1906" s="1063"/>
      <c r="J1906" s="1063"/>
      <c r="K1906" s="1063"/>
      <c r="L1906" s="1063"/>
    </row>
    <row r="1907" spans="5:12" x14ac:dyDescent="0.2">
      <c r="E1907" s="1063"/>
      <c r="H1907" s="1066"/>
      <c r="I1907" s="1063"/>
      <c r="J1907" s="1063"/>
      <c r="K1907" s="1063"/>
      <c r="L1907" s="1063"/>
    </row>
    <row r="1908" spans="5:12" x14ac:dyDescent="0.2">
      <c r="E1908" s="1063"/>
      <c r="H1908" s="1066"/>
      <c r="I1908" s="1063"/>
      <c r="J1908" s="1063"/>
      <c r="K1908" s="1063"/>
      <c r="L1908" s="1063"/>
    </row>
    <row r="1909" spans="5:12" x14ac:dyDescent="0.2">
      <c r="E1909" s="1063"/>
      <c r="H1909" s="1066"/>
      <c r="I1909" s="1063"/>
      <c r="J1909" s="1063"/>
      <c r="K1909" s="1063"/>
      <c r="L1909" s="1063"/>
    </row>
    <row r="1910" spans="5:12" x14ac:dyDescent="0.2">
      <c r="E1910" s="1063"/>
      <c r="H1910" s="1066"/>
      <c r="I1910" s="1063"/>
      <c r="J1910" s="1063"/>
      <c r="K1910" s="1063"/>
      <c r="L1910" s="1063"/>
    </row>
    <row r="1911" spans="5:12" x14ac:dyDescent="0.2">
      <c r="E1911" s="1063"/>
      <c r="H1911" s="1066"/>
      <c r="I1911" s="1063"/>
      <c r="J1911" s="1063"/>
      <c r="K1911" s="1063"/>
      <c r="L1911" s="1063"/>
    </row>
    <row r="1912" spans="5:12" x14ac:dyDescent="0.2">
      <c r="E1912" s="1063"/>
      <c r="H1912" s="1066"/>
      <c r="I1912" s="1063"/>
      <c r="J1912" s="1063"/>
      <c r="K1912" s="1063"/>
      <c r="L1912" s="1063"/>
    </row>
    <row r="1913" spans="5:12" x14ac:dyDescent="0.2">
      <c r="E1913" s="1063"/>
      <c r="H1913" s="1066"/>
      <c r="I1913" s="1063"/>
      <c r="J1913" s="1063"/>
      <c r="K1913" s="1063"/>
      <c r="L1913" s="1063"/>
    </row>
    <row r="1914" spans="5:12" x14ac:dyDescent="0.2">
      <c r="E1914" s="1063"/>
      <c r="H1914" s="1066"/>
      <c r="I1914" s="1063"/>
      <c r="J1914" s="1063"/>
      <c r="K1914" s="1063"/>
      <c r="L1914" s="1063"/>
    </row>
    <row r="1915" spans="5:12" x14ac:dyDescent="0.2">
      <c r="E1915" s="1063"/>
      <c r="H1915" s="1066"/>
      <c r="I1915" s="1063"/>
      <c r="J1915" s="1063"/>
      <c r="K1915" s="1063"/>
      <c r="L1915" s="1063"/>
    </row>
    <row r="1916" spans="5:12" x14ac:dyDescent="0.2">
      <c r="E1916" s="1063"/>
      <c r="H1916" s="1066"/>
      <c r="I1916" s="1063"/>
      <c r="J1916" s="1063"/>
      <c r="K1916" s="1063"/>
      <c r="L1916" s="1063"/>
    </row>
    <row r="1917" spans="5:12" x14ac:dyDescent="0.2">
      <c r="E1917" s="1063"/>
      <c r="H1917" s="1066"/>
      <c r="I1917" s="1063"/>
      <c r="J1917" s="1063"/>
      <c r="K1917" s="1063"/>
      <c r="L1917" s="1063"/>
    </row>
    <row r="1918" spans="5:12" x14ac:dyDescent="0.2">
      <c r="E1918" s="1063"/>
      <c r="H1918" s="1066"/>
      <c r="I1918" s="1063"/>
      <c r="J1918" s="1063"/>
      <c r="K1918" s="1063"/>
      <c r="L1918" s="1063"/>
    </row>
    <row r="1919" spans="5:12" x14ac:dyDescent="0.2">
      <c r="E1919" s="1063"/>
      <c r="H1919" s="1066"/>
      <c r="I1919" s="1063"/>
      <c r="J1919" s="1063"/>
      <c r="K1919" s="1063"/>
      <c r="L1919" s="1063"/>
    </row>
    <row r="1920" spans="5:12" x14ac:dyDescent="0.2">
      <c r="E1920" s="1063"/>
      <c r="H1920" s="1066"/>
      <c r="I1920" s="1063"/>
      <c r="J1920" s="1063"/>
      <c r="K1920" s="1063"/>
      <c r="L1920" s="1063"/>
    </row>
    <row r="1921" spans="5:12" x14ac:dyDescent="0.2">
      <c r="E1921" s="1063"/>
      <c r="H1921" s="1066"/>
      <c r="I1921" s="1063"/>
      <c r="J1921" s="1063"/>
      <c r="K1921" s="1063"/>
      <c r="L1921" s="1063"/>
    </row>
    <row r="1922" spans="5:12" x14ac:dyDescent="0.2">
      <c r="E1922" s="1063"/>
      <c r="H1922" s="1066"/>
      <c r="I1922" s="1063"/>
      <c r="J1922" s="1063"/>
      <c r="K1922" s="1063"/>
      <c r="L1922" s="1063"/>
    </row>
    <row r="1923" spans="5:12" x14ac:dyDescent="0.2">
      <c r="E1923" s="1063"/>
      <c r="H1923" s="1066"/>
      <c r="I1923" s="1063"/>
      <c r="J1923" s="1063"/>
      <c r="K1923" s="1063"/>
      <c r="L1923" s="1063"/>
    </row>
    <row r="1924" spans="5:12" x14ac:dyDescent="0.2">
      <c r="E1924" s="1063"/>
      <c r="H1924" s="1066"/>
      <c r="I1924" s="1063"/>
      <c r="J1924" s="1063"/>
      <c r="K1924" s="1063"/>
      <c r="L1924" s="1063"/>
    </row>
    <row r="1925" spans="5:12" x14ac:dyDescent="0.2">
      <c r="E1925" s="1063"/>
      <c r="H1925" s="1066"/>
      <c r="I1925" s="1063"/>
      <c r="J1925" s="1063"/>
      <c r="K1925" s="1063"/>
      <c r="L1925" s="1063"/>
    </row>
    <row r="1926" spans="5:12" x14ac:dyDescent="0.2">
      <c r="E1926" s="1063"/>
      <c r="H1926" s="1066"/>
      <c r="I1926" s="1063"/>
      <c r="J1926" s="1063"/>
      <c r="K1926" s="1063"/>
      <c r="L1926" s="1063"/>
    </row>
    <row r="1927" spans="5:12" x14ac:dyDescent="0.2">
      <c r="E1927" s="1063"/>
      <c r="H1927" s="1066"/>
      <c r="I1927" s="1063"/>
      <c r="J1927" s="1063"/>
      <c r="K1927" s="1063"/>
      <c r="L1927" s="1063"/>
    </row>
    <row r="1928" spans="5:12" x14ac:dyDescent="0.2">
      <c r="E1928" s="1063"/>
      <c r="H1928" s="1066"/>
      <c r="I1928" s="1063"/>
      <c r="J1928" s="1063"/>
      <c r="K1928" s="1063"/>
      <c r="L1928" s="1063"/>
    </row>
    <row r="1929" spans="5:12" x14ac:dyDescent="0.2">
      <c r="E1929" s="1063"/>
      <c r="H1929" s="1066"/>
      <c r="I1929" s="1063"/>
      <c r="J1929" s="1063"/>
      <c r="K1929" s="1063"/>
      <c r="L1929" s="1063"/>
    </row>
    <row r="1930" spans="5:12" x14ac:dyDescent="0.2">
      <c r="E1930" s="1063"/>
      <c r="H1930" s="1066"/>
      <c r="I1930" s="1063"/>
      <c r="J1930" s="1063"/>
      <c r="K1930" s="1063"/>
      <c r="L1930" s="1063"/>
    </row>
    <row r="1931" spans="5:12" x14ac:dyDescent="0.2">
      <c r="E1931" s="1063"/>
      <c r="H1931" s="1066"/>
      <c r="I1931" s="1063"/>
      <c r="J1931" s="1063"/>
      <c r="K1931" s="1063"/>
      <c r="L1931" s="1063"/>
    </row>
    <row r="1932" spans="5:12" x14ac:dyDescent="0.2">
      <c r="E1932" s="1063"/>
      <c r="H1932" s="1066"/>
      <c r="I1932" s="1063"/>
      <c r="J1932" s="1063"/>
      <c r="K1932" s="1063"/>
      <c r="L1932" s="1063"/>
    </row>
    <row r="1933" spans="5:12" x14ac:dyDescent="0.2">
      <c r="E1933" s="1063"/>
      <c r="H1933" s="1066"/>
      <c r="I1933" s="1063"/>
      <c r="J1933" s="1063"/>
      <c r="K1933" s="1063"/>
      <c r="L1933" s="1063"/>
    </row>
    <row r="1934" spans="5:12" x14ac:dyDescent="0.2">
      <c r="E1934" s="1063"/>
      <c r="H1934" s="1066"/>
      <c r="I1934" s="1063"/>
      <c r="J1934" s="1063"/>
      <c r="K1934" s="1063"/>
      <c r="L1934" s="1063"/>
    </row>
    <row r="1935" spans="5:12" x14ac:dyDescent="0.2">
      <c r="E1935" s="1063"/>
      <c r="H1935" s="1066"/>
      <c r="I1935" s="1063"/>
      <c r="J1935" s="1063"/>
      <c r="K1935" s="1063"/>
      <c r="L1935" s="1063"/>
    </row>
    <row r="1936" spans="5:12" x14ac:dyDescent="0.2">
      <c r="E1936" s="1063"/>
      <c r="H1936" s="1066"/>
      <c r="I1936" s="1063"/>
      <c r="J1936" s="1063"/>
      <c r="K1936" s="1063"/>
      <c r="L1936" s="1063"/>
    </row>
    <row r="1937" spans="5:12" x14ac:dyDescent="0.2">
      <c r="E1937" s="1063"/>
      <c r="H1937" s="1066"/>
      <c r="I1937" s="1063"/>
      <c r="J1937" s="1063"/>
      <c r="K1937" s="1063"/>
      <c r="L1937" s="1063"/>
    </row>
    <row r="1938" spans="5:12" x14ac:dyDescent="0.2">
      <c r="E1938" s="1063"/>
      <c r="H1938" s="1066"/>
      <c r="I1938" s="1063"/>
      <c r="J1938" s="1063"/>
      <c r="K1938" s="1063"/>
      <c r="L1938" s="1063"/>
    </row>
    <row r="1939" spans="5:12" x14ac:dyDescent="0.2">
      <c r="E1939" s="1063"/>
      <c r="H1939" s="1066"/>
      <c r="I1939" s="1063"/>
      <c r="J1939" s="1063"/>
      <c r="K1939" s="1063"/>
      <c r="L1939" s="1063"/>
    </row>
    <row r="1940" spans="5:12" x14ac:dyDescent="0.2">
      <c r="E1940" s="1063"/>
      <c r="H1940" s="1066"/>
      <c r="I1940" s="1063"/>
      <c r="J1940" s="1063"/>
      <c r="K1940" s="1063"/>
      <c r="L1940" s="1063"/>
    </row>
    <row r="1941" spans="5:12" x14ac:dyDescent="0.2">
      <c r="E1941" s="1063"/>
      <c r="H1941" s="1066"/>
      <c r="I1941" s="1063"/>
      <c r="J1941" s="1063"/>
      <c r="K1941" s="1063"/>
      <c r="L1941" s="1063"/>
    </row>
    <row r="1942" spans="5:12" x14ac:dyDescent="0.2">
      <c r="E1942" s="1063"/>
      <c r="H1942" s="1066"/>
      <c r="I1942" s="1063"/>
      <c r="J1942" s="1063"/>
      <c r="K1942" s="1063"/>
      <c r="L1942" s="1063"/>
    </row>
    <row r="1943" spans="5:12" x14ac:dyDescent="0.2">
      <c r="E1943" s="1063"/>
      <c r="H1943" s="1066"/>
      <c r="I1943" s="1063"/>
      <c r="J1943" s="1063"/>
      <c r="K1943" s="1063"/>
      <c r="L1943" s="1063"/>
    </row>
    <row r="1944" spans="5:12" x14ac:dyDescent="0.2">
      <c r="E1944" s="1063"/>
      <c r="H1944" s="1066"/>
      <c r="I1944" s="1063"/>
      <c r="J1944" s="1063"/>
      <c r="K1944" s="1063"/>
      <c r="L1944" s="1063"/>
    </row>
    <row r="1945" spans="5:12" x14ac:dyDescent="0.2">
      <c r="E1945" s="1063"/>
      <c r="H1945" s="1066"/>
      <c r="I1945" s="1063"/>
      <c r="J1945" s="1063"/>
      <c r="K1945" s="1063"/>
      <c r="L1945" s="1063"/>
    </row>
    <row r="1946" spans="5:12" x14ac:dyDescent="0.2">
      <c r="E1946" s="1063"/>
      <c r="H1946" s="1066"/>
      <c r="I1946" s="1063"/>
      <c r="J1946" s="1063"/>
      <c r="K1946" s="1063"/>
      <c r="L1946" s="1063"/>
    </row>
    <row r="1947" spans="5:12" x14ac:dyDescent="0.2">
      <c r="E1947" s="1063"/>
      <c r="H1947" s="1066"/>
      <c r="I1947" s="1063"/>
      <c r="J1947" s="1063"/>
      <c r="K1947" s="1063"/>
      <c r="L1947" s="1063"/>
    </row>
    <row r="1948" spans="5:12" x14ac:dyDescent="0.2">
      <c r="E1948" s="1063"/>
      <c r="H1948" s="1066"/>
      <c r="I1948" s="1063"/>
      <c r="J1948" s="1063"/>
      <c r="K1948" s="1063"/>
      <c r="L1948" s="1063"/>
    </row>
    <row r="1949" spans="5:12" x14ac:dyDescent="0.2">
      <c r="E1949" s="1063"/>
      <c r="H1949" s="1066"/>
      <c r="I1949" s="1063"/>
      <c r="J1949" s="1063"/>
      <c r="K1949" s="1063"/>
      <c r="L1949" s="1063"/>
    </row>
    <row r="1950" spans="5:12" x14ac:dyDescent="0.2">
      <c r="E1950" s="1063"/>
      <c r="H1950" s="1066"/>
      <c r="I1950" s="1063"/>
      <c r="J1950" s="1063"/>
      <c r="K1950" s="1063"/>
      <c r="L1950" s="1063"/>
    </row>
    <row r="1951" spans="5:12" x14ac:dyDescent="0.2">
      <c r="E1951" s="1063"/>
      <c r="H1951" s="1066"/>
      <c r="I1951" s="1063"/>
      <c r="J1951" s="1063"/>
      <c r="K1951" s="1063"/>
      <c r="L1951" s="1063"/>
    </row>
    <row r="1952" spans="5:12" x14ac:dyDescent="0.2">
      <c r="E1952" s="1063"/>
      <c r="H1952" s="1066"/>
      <c r="I1952" s="1063"/>
      <c r="J1952" s="1063"/>
      <c r="K1952" s="1063"/>
      <c r="L1952" s="1063"/>
    </row>
    <row r="1953" spans="5:12" x14ac:dyDescent="0.2">
      <c r="E1953" s="1063"/>
      <c r="H1953" s="1066"/>
      <c r="I1953" s="1063"/>
      <c r="J1953" s="1063"/>
      <c r="K1953" s="1063"/>
      <c r="L1953" s="1063"/>
    </row>
    <row r="1954" spans="5:12" x14ac:dyDescent="0.2">
      <c r="E1954" s="1063"/>
      <c r="H1954" s="1066"/>
      <c r="I1954" s="1063"/>
      <c r="J1954" s="1063"/>
      <c r="K1954" s="1063"/>
      <c r="L1954" s="1063"/>
    </row>
    <row r="1955" spans="5:12" x14ac:dyDescent="0.2">
      <c r="E1955" s="1063"/>
      <c r="H1955" s="1066"/>
      <c r="I1955" s="1063"/>
      <c r="J1955" s="1063"/>
      <c r="K1955" s="1063"/>
      <c r="L1955" s="1063"/>
    </row>
    <row r="1956" spans="5:12" x14ac:dyDescent="0.2">
      <c r="E1956" s="1063"/>
      <c r="H1956" s="1066"/>
      <c r="I1956" s="1063"/>
      <c r="J1956" s="1063"/>
      <c r="K1956" s="1063"/>
      <c r="L1956" s="1063"/>
    </row>
    <row r="1957" spans="5:12" x14ac:dyDescent="0.2">
      <c r="E1957" s="1063"/>
      <c r="H1957" s="1066"/>
      <c r="I1957" s="1063"/>
      <c r="J1957" s="1063"/>
      <c r="K1957" s="1063"/>
      <c r="L1957" s="1063"/>
    </row>
    <row r="1958" spans="5:12" x14ac:dyDescent="0.2">
      <c r="E1958" s="1063"/>
      <c r="H1958" s="1066"/>
      <c r="I1958" s="1063"/>
      <c r="J1958" s="1063"/>
      <c r="K1958" s="1063"/>
      <c r="L1958" s="1063"/>
    </row>
    <row r="1959" spans="5:12" x14ac:dyDescent="0.2">
      <c r="E1959" s="1063"/>
      <c r="H1959" s="1066"/>
      <c r="I1959" s="1063"/>
      <c r="J1959" s="1063"/>
      <c r="K1959" s="1063"/>
      <c r="L1959" s="1063"/>
    </row>
    <row r="1960" spans="5:12" x14ac:dyDescent="0.2">
      <c r="E1960" s="1063"/>
      <c r="H1960" s="1066"/>
      <c r="I1960" s="1063"/>
      <c r="J1960" s="1063"/>
      <c r="K1960" s="1063"/>
      <c r="L1960" s="1063"/>
    </row>
    <row r="1961" spans="5:12" x14ac:dyDescent="0.2">
      <c r="E1961" s="1063"/>
      <c r="H1961" s="1066"/>
      <c r="I1961" s="1063"/>
      <c r="J1961" s="1063"/>
      <c r="K1961" s="1063"/>
      <c r="L1961" s="1063"/>
    </row>
    <row r="1962" spans="5:12" x14ac:dyDescent="0.2">
      <c r="E1962" s="1063"/>
      <c r="H1962" s="1066"/>
      <c r="I1962" s="1063"/>
      <c r="J1962" s="1063"/>
      <c r="K1962" s="1063"/>
      <c r="L1962" s="1063"/>
    </row>
    <row r="1963" spans="5:12" x14ac:dyDescent="0.2">
      <c r="E1963" s="1063"/>
      <c r="H1963" s="1066"/>
      <c r="I1963" s="1063"/>
      <c r="J1963" s="1063"/>
      <c r="K1963" s="1063"/>
      <c r="L1963" s="1063"/>
    </row>
    <row r="1964" spans="5:12" x14ac:dyDescent="0.2">
      <c r="E1964" s="1063"/>
      <c r="H1964" s="1066"/>
      <c r="I1964" s="1063"/>
      <c r="J1964" s="1063"/>
      <c r="K1964" s="1063"/>
      <c r="L1964" s="1063"/>
    </row>
    <row r="1965" spans="5:12" x14ac:dyDescent="0.2">
      <c r="E1965" s="1063"/>
      <c r="H1965" s="1066"/>
      <c r="I1965" s="1063"/>
      <c r="J1965" s="1063"/>
      <c r="K1965" s="1063"/>
      <c r="L1965" s="1063"/>
    </row>
    <row r="1966" spans="5:12" x14ac:dyDescent="0.2">
      <c r="E1966" s="1063"/>
      <c r="H1966" s="1066"/>
      <c r="I1966" s="1063"/>
      <c r="J1966" s="1063"/>
      <c r="K1966" s="1063"/>
      <c r="L1966" s="1063"/>
    </row>
    <row r="1967" spans="5:12" x14ac:dyDescent="0.2">
      <c r="E1967" s="1063"/>
      <c r="H1967" s="1066"/>
      <c r="I1967" s="1063"/>
      <c r="J1967" s="1063"/>
      <c r="K1967" s="1063"/>
      <c r="L1967" s="1063"/>
    </row>
    <row r="1968" spans="5:12" x14ac:dyDescent="0.2">
      <c r="E1968" s="1063"/>
      <c r="H1968" s="1066"/>
      <c r="I1968" s="1063"/>
      <c r="J1968" s="1063"/>
      <c r="K1968" s="1063"/>
      <c r="L1968" s="1063"/>
    </row>
    <row r="1969" spans="5:12" x14ac:dyDescent="0.2">
      <c r="E1969" s="1063"/>
      <c r="H1969" s="1066"/>
      <c r="I1969" s="1063"/>
      <c r="J1969" s="1063"/>
      <c r="K1969" s="1063"/>
      <c r="L1969" s="1063"/>
    </row>
    <row r="1970" spans="5:12" x14ac:dyDescent="0.2">
      <c r="E1970" s="1063"/>
      <c r="H1970" s="1066"/>
      <c r="I1970" s="1063"/>
      <c r="J1970" s="1063"/>
      <c r="K1970" s="1063"/>
      <c r="L1970" s="1063"/>
    </row>
    <row r="1971" spans="5:12" x14ac:dyDescent="0.2">
      <c r="E1971" s="1063"/>
      <c r="H1971" s="1066"/>
      <c r="I1971" s="1063"/>
      <c r="J1971" s="1063"/>
      <c r="K1971" s="1063"/>
      <c r="L1971" s="1063"/>
    </row>
    <row r="1972" spans="5:12" x14ac:dyDescent="0.2">
      <c r="E1972" s="1063"/>
      <c r="H1972" s="1066"/>
      <c r="I1972" s="1063"/>
      <c r="J1972" s="1063"/>
      <c r="K1972" s="1063"/>
      <c r="L1972" s="1063"/>
    </row>
    <row r="1973" spans="5:12" x14ac:dyDescent="0.2">
      <c r="E1973" s="1063"/>
      <c r="H1973" s="1066"/>
      <c r="I1973" s="1063"/>
      <c r="J1973" s="1063"/>
      <c r="K1973" s="1063"/>
      <c r="L1973" s="1063"/>
    </row>
    <row r="1974" spans="5:12" x14ac:dyDescent="0.2">
      <c r="E1974" s="1063"/>
      <c r="H1974" s="1066"/>
      <c r="I1974" s="1063"/>
      <c r="J1974" s="1063"/>
      <c r="K1974" s="1063"/>
      <c r="L1974" s="1063"/>
    </row>
    <row r="1975" spans="5:12" x14ac:dyDescent="0.2">
      <c r="E1975" s="1063"/>
      <c r="H1975" s="1066"/>
      <c r="I1975" s="1063"/>
      <c r="J1975" s="1063"/>
      <c r="K1975" s="1063"/>
      <c r="L1975" s="1063"/>
    </row>
    <row r="1976" spans="5:12" x14ac:dyDescent="0.2">
      <c r="E1976" s="1063"/>
      <c r="H1976" s="1066"/>
      <c r="I1976" s="1063"/>
      <c r="J1976" s="1063"/>
      <c r="K1976" s="1063"/>
      <c r="L1976" s="1063"/>
    </row>
    <row r="1977" spans="5:12" x14ac:dyDescent="0.2">
      <c r="E1977" s="1063"/>
      <c r="H1977" s="1066"/>
      <c r="I1977" s="1063"/>
      <c r="J1977" s="1063"/>
      <c r="K1977" s="1063"/>
      <c r="L1977" s="1063"/>
    </row>
    <row r="1978" spans="5:12" x14ac:dyDescent="0.2">
      <c r="E1978" s="1063"/>
      <c r="H1978" s="1066"/>
      <c r="I1978" s="1063"/>
      <c r="J1978" s="1063"/>
      <c r="K1978" s="1063"/>
      <c r="L1978" s="1063"/>
    </row>
    <row r="1979" spans="5:12" x14ac:dyDescent="0.2">
      <c r="E1979" s="1063"/>
      <c r="H1979" s="1066"/>
      <c r="I1979" s="1063"/>
      <c r="J1979" s="1063"/>
      <c r="K1979" s="1063"/>
      <c r="L1979" s="1063"/>
    </row>
    <row r="1980" spans="5:12" x14ac:dyDescent="0.2">
      <c r="E1980" s="1063"/>
      <c r="H1980" s="1066"/>
      <c r="I1980" s="1063"/>
      <c r="J1980" s="1063"/>
      <c r="K1980" s="1063"/>
      <c r="L1980" s="1063"/>
    </row>
    <row r="1981" spans="5:12" x14ac:dyDescent="0.2">
      <c r="E1981" s="1063"/>
      <c r="H1981" s="1066"/>
      <c r="I1981" s="1063"/>
      <c r="J1981" s="1063"/>
      <c r="K1981" s="1063"/>
      <c r="L1981" s="1063"/>
    </row>
    <row r="1982" spans="5:12" x14ac:dyDescent="0.2">
      <c r="E1982" s="1063"/>
      <c r="H1982" s="1066"/>
      <c r="I1982" s="1063"/>
      <c r="J1982" s="1063"/>
      <c r="K1982" s="1063"/>
      <c r="L1982" s="1063"/>
    </row>
    <row r="1983" spans="5:12" x14ac:dyDescent="0.2">
      <c r="E1983" s="1063"/>
      <c r="H1983" s="1066"/>
      <c r="I1983" s="1063"/>
      <c r="J1983" s="1063"/>
      <c r="K1983" s="1063"/>
      <c r="L1983" s="1063"/>
    </row>
    <row r="1984" spans="5:12" x14ac:dyDescent="0.2">
      <c r="E1984" s="1063"/>
      <c r="H1984" s="1066"/>
      <c r="I1984" s="1063"/>
      <c r="J1984" s="1063"/>
      <c r="K1984" s="1063"/>
      <c r="L1984" s="1063"/>
    </row>
    <row r="1985" spans="5:12" x14ac:dyDescent="0.2">
      <c r="E1985" s="1063"/>
      <c r="H1985" s="1066"/>
      <c r="I1985" s="1063"/>
      <c r="J1985" s="1063"/>
      <c r="K1985" s="1063"/>
      <c r="L1985" s="1063"/>
    </row>
    <row r="1986" spans="5:12" x14ac:dyDescent="0.2">
      <c r="E1986" s="1063"/>
      <c r="H1986" s="1066"/>
      <c r="I1986" s="1063"/>
      <c r="J1986" s="1063"/>
      <c r="K1986" s="1063"/>
      <c r="L1986" s="1063"/>
    </row>
    <row r="1987" spans="5:12" x14ac:dyDescent="0.2">
      <c r="E1987" s="1063"/>
      <c r="H1987" s="1066"/>
      <c r="I1987" s="1063"/>
      <c r="J1987" s="1063"/>
      <c r="K1987" s="1063"/>
      <c r="L1987" s="1063"/>
    </row>
    <row r="1988" spans="5:12" x14ac:dyDescent="0.2">
      <c r="E1988" s="1063"/>
      <c r="H1988" s="1066"/>
      <c r="I1988" s="1063"/>
      <c r="J1988" s="1063"/>
      <c r="K1988" s="1063"/>
      <c r="L1988" s="1063"/>
    </row>
    <row r="1989" spans="5:12" x14ac:dyDescent="0.2">
      <c r="E1989" s="1063"/>
      <c r="H1989" s="1066"/>
      <c r="I1989" s="1063"/>
      <c r="J1989" s="1063"/>
      <c r="K1989" s="1063"/>
      <c r="L1989" s="1063"/>
    </row>
    <row r="1990" spans="5:12" x14ac:dyDescent="0.2">
      <c r="E1990" s="1063"/>
      <c r="H1990" s="1066"/>
      <c r="I1990" s="1063"/>
      <c r="J1990" s="1063"/>
      <c r="K1990" s="1063"/>
      <c r="L1990" s="1063"/>
    </row>
    <row r="1991" spans="5:12" x14ac:dyDescent="0.2">
      <c r="E1991" s="1063"/>
      <c r="H1991" s="1066"/>
      <c r="I1991" s="1063"/>
      <c r="J1991" s="1063"/>
      <c r="K1991" s="1063"/>
      <c r="L1991" s="1063"/>
    </row>
    <row r="1992" spans="5:12" x14ac:dyDescent="0.2">
      <c r="E1992" s="1063"/>
      <c r="H1992" s="1066"/>
      <c r="I1992" s="1063"/>
      <c r="J1992" s="1063"/>
      <c r="K1992" s="1063"/>
      <c r="L1992" s="1063"/>
    </row>
    <row r="1993" spans="5:12" x14ac:dyDescent="0.2">
      <c r="E1993" s="1063"/>
      <c r="H1993" s="1066"/>
      <c r="I1993" s="1063"/>
      <c r="J1993" s="1063"/>
      <c r="K1993" s="1063"/>
      <c r="L1993" s="1063"/>
    </row>
    <row r="1994" spans="5:12" x14ac:dyDescent="0.2">
      <c r="E1994" s="1063"/>
      <c r="H1994" s="1066"/>
      <c r="I1994" s="1063"/>
      <c r="J1994" s="1063"/>
      <c r="K1994" s="1063"/>
      <c r="L1994" s="1063"/>
    </row>
    <row r="1995" spans="5:12" x14ac:dyDescent="0.2">
      <c r="E1995" s="1063"/>
      <c r="H1995" s="1066"/>
      <c r="I1995" s="1063"/>
      <c r="J1995" s="1063"/>
      <c r="K1995" s="1063"/>
      <c r="L1995" s="1063"/>
    </row>
    <row r="1996" spans="5:12" x14ac:dyDescent="0.2">
      <c r="E1996" s="1063"/>
      <c r="H1996" s="1066"/>
      <c r="I1996" s="1063"/>
      <c r="J1996" s="1063"/>
      <c r="K1996" s="1063"/>
      <c r="L1996" s="1063"/>
    </row>
    <row r="1997" spans="5:12" x14ac:dyDescent="0.2">
      <c r="E1997" s="1063"/>
      <c r="H1997" s="1066"/>
      <c r="I1997" s="1063"/>
      <c r="J1997" s="1063"/>
      <c r="K1997" s="1063"/>
      <c r="L1997" s="1063"/>
    </row>
    <row r="1998" spans="5:12" x14ac:dyDescent="0.2">
      <c r="E1998" s="1063"/>
      <c r="H1998" s="1066"/>
      <c r="I1998" s="1063"/>
      <c r="J1998" s="1063"/>
      <c r="K1998" s="1063"/>
      <c r="L1998" s="1063"/>
    </row>
    <row r="1999" spans="5:12" x14ac:dyDescent="0.2">
      <c r="E1999" s="1063"/>
      <c r="H1999" s="1066"/>
      <c r="I1999" s="1063"/>
      <c r="J1999" s="1063"/>
      <c r="K1999" s="1063"/>
      <c r="L1999" s="1063"/>
    </row>
    <row r="2000" spans="5:12" x14ac:dyDescent="0.2">
      <c r="E2000" s="1063"/>
      <c r="H2000" s="1066"/>
      <c r="I2000" s="1063"/>
      <c r="J2000" s="1063"/>
      <c r="K2000" s="1063"/>
      <c r="L2000" s="1063"/>
    </row>
    <row r="2001" spans="5:12" x14ac:dyDescent="0.2">
      <c r="E2001" s="1063"/>
      <c r="H2001" s="1066"/>
      <c r="I2001" s="1063"/>
      <c r="J2001" s="1063"/>
      <c r="K2001" s="1063"/>
      <c r="L2001" s="1063"/>
    </row>
    <row r="2002" spans="5:12" x14ac:dyDescent="0.2">
      <c r="E2002" s="1063"/>
      <c r="H2002" s="1066"/>
      <c r="I2002" s="1063"/>
      <c r="J2002" s="1063"/>
      <c r="K2002" s="1063"/>
      <c r="L2002" s="1063"/>
    </row>
    <row r="2003" spans="5:12" x14ac:dyDescent="0.2">
      <c r="E2003" s="1063"/>
      <c r="H2003" s="1066"/>
      <c r="I2003" s="1063"/>
      <c r="J2003" s="1063"/>
      <c r="K2003" s="1063"/>
      <c r="L2003" s="1063"/>
    </row>
    <row r="2004" spans="5:12" x14ac:dyDescent="0.2">
      <c r="E2004" s="1063"/>
      <c r="H2004" s="1066"/>
      <c r="I2004" s="1063"/>
      <c r="J2004" s="1063"/>
      <c r="K2004" s="1063"/>
      <c r="L2004" s="1063"/>
    </row>
    <row r="2005" spans="5:12" x14ac:dyDescent="0.2">
      <c r="E2005" s="1063"/>
      <c r="H2005" s="1066"/>
      <c r="I2005" s="1063"/>
      <c r="J2005" s="1063"/>
      <c r="K2005" s="1063"/>
      <c r="L2005" s="1063"/>
    </row>
    <row r="2006" spans="5:12" x14ac:dyDescent="0.2">
      <c r="E2006" s="1063"/>
      <c r="H2006" s="1066"/>
      <c r="I2006" s="1063"/>
      <c r="J2006" s="1063"/>
      <c r="K2006" s="1063"/>
      <c r="L2006" s="1063"/>
    </row>
    <row r="2007" spans="5:12" x14ac:dyDescent="0.2">
      <c r="E2007" s="1063"/>
      <c r="H2007" s="1066"/>
      <c r="I2007" s="1063"/>
      <c r="J2007" s="1063"/>
      <c r="K2007" s="1063"/>
      <c r="L2007" s="1063"/>
    </row>
    <row r="2008" spans="5:12" x14ac:dyDescent="0.2">
      <c r="E2008" s="1063"/>
      <c r="H2008" s="1066"/>
      <c r="I2008" s="1063"/>
      <c r="J2008" s="1063"/>
      <c r="K2008" s="1063"/>
      <c r="L2008" s="1063"/>
    </row>
    <row r="2009" spans="5:12" x14ac:dyDescent="0.2">
      <c r="E2009" s="1063"/>
      <c r="H2009" s="1066"/>
      <c r="I2009" s="1063"/>
      <c r="J2009" s="1063"/>
      <c r="K2009" s="1063"/>
      <c r="L2009" s="1063"/>
    </row>
    <row r="2010" spans="5:12" x14ac:dyDescent="0.2">
      <c r="E2010" s="1063"/>
      <c r="H2010" s="1066"/>
      <c r="I2010" s="1063"/>
      <c r="J2010" s="1063"/>
      <c r="K2010" s="1063"/>
      <c r="L2010" s="1063"/>
    </row>
    <row r="2011" spans="5:12" x14ac:dyDescent="0.2">
      <c r="E2011" s="1063"/>
      <c r="H2011" s="1066"/>
      <c r="I2011" s="1063"/>
      <c r="J2011" s="1063"/>
      <c r="K2011" s="1063"/>
      <c r="L2011" s="1063"/>
    </row>
    <row r="2012" spans="5:12" x14ac:dyDescent="0.2">
      <c r="E2012" s="1063"/>
      <c r="H2012" s="1066"/>
      <c r="I2012" s="1063"/>
      <c r="J2012" s="1063"/>
      <c r="K2012" s="1063"/>
      <c r="L2012" s="1063"/>
    </row>
    <row r="2013" spans="5:12" x14ac:dyDescent="0.2">
      <c r="E2013" s="1063"/>
      <c r="H2013" s="1066"/>
      <c r="I2013" s="1063"/>
      <c r="J2013" s="1063"/>
      <c r="K2013" s="1063"/>
      <c r="L2013" s="1063"/>
    </row>
    <row r="2014" spans="5:12" x14ac:dyDescent="0.2">
      <c r="E2014" s="1063"/>
      <c r="H2014" s="1066"/>
      <c r="I2014" s="1063"/>
      <c r="J2014" s="1063"/>
      <c r="K2014" s="1063"/>
      <c r="L2014" s="1063"/>
    </row>
    <row r="2015" spans="5:12" x14ac:dyDescent="0.2">
      <c r="E2015" s="1063"/>
      <c r="H2015" s="1066"/>
      <c r="I2015" s="1063"/>
      <c r="J2015" s="1063"/>
      <c r="K2015" s="1063"/>
      <c r="L2015" s="1063"/>
    </row>
    <row r="2016" spans="5:12" x14ac:dyDescent="0.2">
      <c r="E2016" s="1063"/>
      <c r="H2016" s="1066"/>
      <c r="I2016" s="1063"/>
      <c r="J2016" s="1063"/>
      <c r="K2016" s="1063"/>
      <c r="L2016" s="1063"/>
    </row>
    <row r="2017" spans="5:12" x14ac:dyDescent="0.2">
      <c r="E2017" s="1063"/>
      <c r="H2017" s="1066"/>
      <c r="I2017" s="1063"/>
      <c r="J2017" s="1063"/>
      <c r="K2017" s="1063"/>
      <c r="L2017" s="1063"/>
    </row>
    <row r="2018" spans="5:12" x14ac:dyDescent="0.2">
      <c r="E2018" s="1063"/>
      <c r="H2018" s="1066"/>
      <c r="I2018" s="1063"/>
      <c r="J2018" s="1063"/>
      <c r="K2018" s="1063"/>
      <c r="L2018" s="1063"/>
    </row>
    <row r="2019" spans="5:12" x14ac:dyDescent="0.2">
      <c r="E2019" s="1063"/>
      <c r="H2019" s="1066"/>
      <c r="I2019" s="1063"/>
      <c r="J2019" s="1063"/>
      <c r="K2019" s="1063"/>
      <c r="L2019" s="1063"/>
    </row>
    <row r="2020" spans="5:12" x14ac:dyDescent="0.2">
      <c r="E2020" s="1063"/>
      <c r="H2020" s="1066"/>
      <c r="I2020" s="1063"/>
      <c r="J2020" s="1063"/>
      <c r="K2020" s="1063"/>
      <c r="L2020" s="1063"/>
    </row>
    <row r="2021" spans="5:12" x14ac:dyDescent="0.2">
      <c r="E2021" s="1063"/>
      <c r="H2021" s="1066"/>
      <c r="I2021" s="1063"/>
      <c r="J2021" s="1063"/>
      <c r="K2021" s="1063"/>
      <c r="L2021" s="1063"/>
    </row>
    <row r="2022" spans="5:12" x14ac:dyDescent="0.2">
      <c r="E2022" s="1063"/>
      <c r="H2022" s="1066"/>
      <c r="I2022" s="1063"/>
      <c r="J2022" s="1063"/>
      <c r="K2022" s="1063"/>
      <c r="L2022" s="1063"/>
    </row>
    <row r="2023" spans="5:12" x14ac:dyDescent="0.2">
      <c r="E2023" s="1063"/>
      <c r="H2023" s="1066"/>
      <c r="I2023" s="1063"/>
      <c r="J2023" s="1063"/>
      <c r="K2023" s="1063"/>
      <c r="L2023" s="1063"/>
    </row>
    <row r="2024" spans="5:12" x14ac:dyDescent="0.2">
      <c r="E2024" s="1063"/>
      <c r="H2024" s="1066"/>
      <c r="I2024" s="1063"/>
      <c r="J2024" s="1063"/>
      <c r="K2024" s="1063"/>
      <c r="L2024" s="1063"/>
    </row>
    <row r="2025" spans="5:12" x14ac:dyDescent="0.2">
      <c r="E2025" s="1063"/>
      <c r="H2025" s="1066"/>
      <c r="I2025" s="1063"/>
      <c r="J2025" s="1063"/>
      <c r="K2025" s="1063"/>
      <c r="L2025" s="1063"/>
    </row>
    <row r="2026" spans="5:12" x14ac:dyDescent="0.2">
      <c r="E2026" s="1063"/>
      <c r="H2026" s="1066"/>
      <c r="I2026" s="1063"/>
      <c r="J2026" s="1063"/>
      <c r="K2026" s="1063"/>
      <c r="L2026" s="1063"/>
    </row>
    <row r="2027" spans="5:12" x14ac:dyDescent="0.2">
      <c r="E2027" s="1063"/>
      <c r="H2027" s="1066"/>
      <c r="I2027" s="1063"/>
      <c r="J2027" s="1063"/>
      <c r="K2027" s="1063"/>
      <c r="L2027" s="1063"/>
    </row>
    <row r="2028" spans="5:12" x14ac:dyDescent="0.2">
      <c r="E2028" s="1063"/>
      <c r="H2028" s="1066"/>
      <c r="I2028" s="1063"/>
      <c r="J2028" s="1063"/>
      <c r="K2028" s="1063"/>
      <c r="L2028" s="1063"/>
    </row>
    <row r="2029" spans="5:12" x14ac:dyDescent="0.2">
      <c r="E2029" s="1063"/>
      <c r="H2029" s="1066"/>
      <c r="I2029" s="1063"/>
      <c r="J2029" s="1063"/>
      <c r="K2029" s="1063"/>
      <c r="L2029" s="1063"/>
    </row>
    <row r="2030" spans="5:12" x14ac:dyDescent="0.2">
      <c r="E2030" s="1063"/>
      <c r="H2030" s="1066"/>
      <c r="I2030" s="1063"/>
      <c r="J2030" s="1063"/>
      <c r="K2030" s="1063"/>
      <c r="L2030" s="1063"/>
    </row>
    <row r="2031" spans="5:12" x14ac:dyDescent="0.2">
      <c r="E2031" s="1063"/>
      <c r="H2031" s="1066"/>
      <c r="I2031" s="1063"/>
      <c r="J2031" s="1063"/>
      <c r="K2031" s="1063"/>
      <c r="L2031" s="1063"/>
    </row>
    <row r="2032" spans="5:12" x14ac:dyDescent="0.2">
      <c r="E2032" s="1063"/>
      <c r="H2032" s="1066"/>
      <c r="I2032" s="1063"/>
      <c r="J2032" s="1063"/>
      <c r="K2032" s="1063"/>
      <c r="L2032" s="1063"/>
    </row>
    <row r="2033" spans="5:12" x14ac:dyDescent="0.2">
      <c r="E2033" s="1063"/>
      <c r="H2033" s="1066"/>
      <c r="I2033" s="1063"/>
      <c r="J2033" s="1063"/>
      <c r="K2033" s="1063"/>
      <c r="L2033" s="1063"/>
    </row>
    <row r="2034" spans="5:12" x14ac:dyDescent="0.2">
      <c r="E2034" s="1063"/>
      <c r="H2034" s="1066"/>
      <c r="I2034" s="1063"/>
      <c r="J2034" s="1063"/>
      <c r="K2034" s="1063"/>
      <c r="L2034" s="1063"/>
    </row>
    <row r="2035" spans="5:12" x14ac:dyDescent="0.2">
      <c r="E2035" s="1063"/>
      <c r="H2035" s="1066"/>
      <c r="I2035" s="1063"/>
      <c r="J2035" s="1063"/>
      <c r="K2035" s="1063"/>
      <c r="L2035" s="1063"/>
    </row>
    <row r="2036" spans="5:12" x14ac:dyDescent="0.2">
      <c r="E2036" s="1063"/>
      <c r="H2036" s="1066"/>
      <c r="I2036" s="1063"/>
      <c r="J2036" s="1063"/>
      <c r="K2036" s="1063"/>
      <c r="L2036" s="1063"/>
    </row>
    <row r="2037" spans="5:12" x14ac:dyDescent="0.2">
      <c r="E2037" s="1063"/>
      <c r="H2037" s="1066"/>
      <c r="I2037" s="1063"/>
      <c r="J2037" s="1063"/>
      <c r="K2037" s="1063"/>
      <c r="L2037" s="1063"/>
    </row>
    <row r="2038" spans="5:12" x14ac:dyDescent="0.2">
      <c r="E2038" s="1063"/>
      <c r="H2038" s="1066"/>
      <c r="I2038" s="1063"/>
      <c r="J2038" s="1063"/>
      <c r="K2038" s="1063"/>
      <c r="L2038" s="1063"/>
    </row>
    <row r="2039" spans="5:12" x14ac:dyDescent="0.2">
      <c r="E2039" s="1063"/>
      <c r="H2039" s="1066"/>
      <c r="I2039" s="1063"/>
      <c r="J2039" s="1063"/>
      <c r="K2039" s="1063"/>
      <c r="L2039" s="1063"/>
    </row>
    <row r="2040" spans="5:12" x14ac:dyDescent="0.2">
      <c r="E2040" s="1063"/>
      <c r="H2040" s="1066"/>
      <c r="I2040" s="1063"/>
      <c r="J2040" s="1063"/>
      <c r="K2040" s="1063"/>
      <c r="L2040" s="1063"/>
    </row>
    <row r="2041" spans="5:12" x14ac:dyDescent="0.2">
      <c r="E2041" s="1063"/>
      <c r="H2041" s="1066"/>
      <c r="I2041" s="1063"/>
      <c r="J2041" s="1063"/>
      <c r="K2041" s="1063"/>
      <c r="L2041" s="1063"/>
    </row>
    <row r="2042" spans="5:12" x14ac:dyDescent="0.2">
      <c r="E2042" s="1063"/>
      <c r="H2042" s="1066"/>
      <c r="I2042" s="1063"/>
      <c r="J2042" s="1063"/>
      <c r="K2042" s="1063"/>
      <c r="L2042" s="1063"/>
    </row>
    <row r="2043" spans="5:12" x14ac:dyDescent="0.2">
      <c r="E2043" s="1063"/>
      <c r="H2043" s="1066"/>
      <c r="I2043" s="1063"/>
      <c r="J2043" s="1063"/>
      <c r="K2043" s="1063"/>
      <c r="L2043" s="1063"/>
    </row>
    <row r="2044" spans="5:12" x14ac:dyDescent="0.2">
      <c r="E2044" s="1063"/>
      <c r="H2044" s="1066"/>
      <c r="I2044" s="1063"/>
      <c r="J2044" s="1063"/>
      <c r="K2044" s="1063"/>
      <c r="L2044" s="1063"/>
    </row>
    <row r="2045" spans="5:12" x14ac:dyDescent="0.2">
      <c r="E2045" s="1063"/>
      <c r="H2045" s="1066"/>
      <c r="I2045" s="1063"/>
      <c r="J2045" s="1063"/>
      <c r="K2045" s="1063"/>
      <c r="L2045" s="1063"/>
    </row>
    <row r="2046" spans="5:12" x14ac:dyDescent="0.2">
      <c r="E2046" s="1063"/>
      <c r="H2046" s="1066"/>
      <c r="I2046" s="1063"/>
      <c r="J2046" s="1063"/>
      <c r="K2046" s="1063"/>
      <c r="L2046" s="1063"/>
    </row>
    <row r="2047" spans="5:12" x14ac:dyDescent="0.2">
      <c r="E2047" s="1063"/>
      <c r="H2047" s="1066"/>
      <c r="I2047" s="1063"/>
      <c r="J2047" s="1063"/>
      <c r="K2047" s="1063"/>
      <c r="L2047" s="1063"/>
    </row>
    <row r="2048" spans="5:12" x14ac:dyDescent="0.2">
      <c r="E2048" s="1063"/>
      <c r="H2048" s="1066"/>
      <c r="I2048" s="1063"/>
      <c r="J2048" s="1063"/>
      <c r="K2048" s="1063"/>
      <c r="L2048" s="1063"/>
    </row>
    <row r="2049" spans="5:12" x14ac:dyDescent="0.2">
      <c r="E2049" s="1063"/>
      <c r="H2049" s="1066"/>
      <c r="I2049" s="1063"/>
      <c r="J2049" s="1063"/>
      <c r="K2049" s="1063"/>
      <c r="L2049" s="1063"/>
    </row>
    <row r="2050" spans="5:12" x14ac:dyDescent="0.2">
      <c r="E2050" s="1063"/>
      <c r="H2050" s="1066"/>
      <c r="I2050" s="1063"/>
      <c r="J2050" s="1063"/>
      <c r="K2050" s="1063"/>
      <c r="L2050" s="1063"/>
    </row>
    <row r="2051" spans="5:12" x14ac:dyDescent="0.2">
      <c r="E2051" s="1063"/>
      <c r="H2051" s="1066"/>
      <c r="I2051" s="1063"/>
      <c r="J2051" s="1063"/>
      <c r="K2051" s="1063"/>
      <c r="L2051" s="1063"/>
    </row>
    <row r="2052" spans="5:12" x14ac:dyDescent="0.2">
      <c r="E2052" s="1063"/>
      <c r="H2052" s="1066"/>
      <c r="I2052" s="1063"/>
      <c r="J2052" s="1063"/>
      <c r="K2052" s="1063"/>
      <c r="L2052" s="1063"/>
    </row>
    <row r="2053" spans="5:12" x14ac:dyDescent="0.2">
      <c r="E2053" s="1063"/>
      <c r="H2053" s="1066"/>
      <c r="I2053" s="1063"/>
      <c r="J2053" s="1063"/>
      <c r="K2053" s="1063"/>
      <c r="L2053" s="1063"/>
    </row>
    <row r="2054" spans="5:12" x14ac:dyDescent="0.2">
      <c r="E2054" s="1063"/>
      <c r="H2054" s="1066"/>
      <c r="I2054" s="1063"/>
      <c r="J2054" s="1063"/>
      <c r="K2054" s="1063"/>
      <c r="L2054" s="1063"/>
    </row>
    <row r="2055" spans="5:12" x14ac:dyDescent="0.2">
      <c r="E2055" s="1063"/>
      <c r="H2055" s="1066"/>
      <c r="I2055" s="1063"/>
      <c r="J2055" s="1063"/>
      <c r="K2055" s="1063"/>
      <c r="L2055" s="1063"/>
    </row>
    <row r="2056" spans="5:12" x14ac:dyDescent="0.2">
      <c r="E2056" s="1063"/>
      <c r="H2056" s="1066"/>
      <c r="I2056" s="1063"/>
      <c r="J2056" s="1063"/>
      <c r="K2056" s="1063"/>
      <c r="L2056" s="1063"/>
    </row>
    <row r="2057" spans="5:12" x14ac:dyDescent="0.2">
      <c r="E2057" s="1063"/>
      <c r="H2057" s="1066"/>
      <c r="I2057" s="1063"/>
      <c r="J2057" s="1063"/>
      <c r="K2057" s="1063"/>
      <c r="L2057" s="1063"/>
    </row>
    <row r="2058" spans="5:12" x14ac:dyDescent="0.2">
      <c r="E2058" s="1063"/>
      <c r="H2058" s="1066"/>
      <c r="I2058" s="1063"/>
      <c r="J2058" s="1063"/>
      <c r="K2058" s="1063"/>
      <c r="L2058" s="1063"/>
    </row>
    <row r="2059" spans="5:12" x14ac:dyDescent="0.2">
      <c r="E2059" s="1063"/>
      <c r="H2059" s="1066"/>
      <c r="I2059" s="1063"/>
      <c r="J2059" s="1063"/>
      <c r="K2059" s="1063"/>
      <c r="L2059" s="1063"/>
    </row>
    <row r="2060" spans="5:12" x14ac:dyDescent="0.2">
      <c r="E2060" s="1063"/>
      <c r="H2060" s="1066"/>
      <c r="I2060" s="1063"/>
      <c r="J2060" s="1063"/>
      <c r="K2060" s="1063"/>
      <c r="L2060" s="1063"/>
    </row>
    <row r="2061" spans="5:12" x14ac:dyDescent="0.2">
      <c r="E2061" s="1063"/>
      <c r="H2061" s="1066"/>
      <c r="I2061" s="1063"/>
      <c r="J2061" s="1063"/>
      <c r="K2061" s="1063"/>
      <c r="L2061" s="1063"/>
    </row>
    <row r="2062" spans="5:12" x14ac:dyDescent="0.2">
      <c r="E2062" s="1063"/>
      <c r="H2062" s="1066"/>
      <c r="I2062" s="1063"/>
      <c r="J2062" s="1063"/>
      <c r="K2062" s="1063"/>
      <c r="L2062" s="1063"/>
    </row>
    <row r="2063" spans="5:12" x14ac:dyDescent="0.2">
      <c r="E2063" s="1063"/>
      <c r="H2063" s="1066"/>
      <c r="I2063" s="1063"/>
      <c r="J2063" s="1063"/>
      <c r="K2063" s="1063"/>
      <c r="L2063" s="1063"/>
    </row>
    <row r="2064" spans="5:12" x14ac:dyDescent="0.2">
      <c r="E2064" s="1063"/>
      <c r="H2064" s="1066"/>
      <c r="I2064" s="1063"/>
      <c r="J2064" s="1063"/>
      <c r="K2064" s="1063"/>
      <c r="L2064" s="1063"/>
    </row>
    <row r="2065" spans="5:12" x14ac:dyDescent="0.2">
      <c r="E2065" s="1063"/>
      <c r="H2065" s="1066"/>
      <c r="I2065" s="1063"/>
      <c r="J2065" s="1063"/>
      <c r="K2065" s="1063"/>
      <c r="L2065" s="1063"/>
    </row>
    <row r="2066" spans="5:12" x14ac:dyDescent="0.2">
      <c r="E2066" s="1063"/>
      <c r="H2066" s="1066"/>
      <c r="I2066" s="1063"/>
      <c r="J2066" s="1063"/>
      <c r="K2066" s="1063"/>
      <c r="L2066" s="1063"/>
    </row>
    <row r="2067" spans="5:12" x14ac:dyDescent="0.2">
      <c r="E2067" s="1063"/>
      <c r="H2067" s="1066"/>
      <c r="I2067" s="1063"/>
      <c r="J2067" s="1063"/>
      <c r="K2067" s="1063"/>
      <c r="L2067" s="1063"/>
    </row>
    <row r="2068" spans="5:12" x14ac:dyDescent="0.2">
      <c r="E2068" s="1063"/>
      <c r="H2068" s="1066"/>
      <c r="I2068" s="1063"/>
      <c r="J2068" s="1063"/>
      <c r="K2068" s="1063"/>
      <c r="L2068" s="1063"/>
    </row>
    <row r="2069" spans="5:12" x14ac:dyDescent="0.2">
      <c r="E2069" s="1063"/>
      <c r="H2069" s="1066"/>
      <c r="I2069" s="1063"/>
      <c r="J2069" s="1063"/>
      <c r="K2069" s="1063"/>
      <c r="L2069" s="1063"/>
    </row>
    <row r="2070" spans="5:12" x14ac:dyDescent="0.2">
      <c r="E2070" s="1063"/>
      <c r="H2070" s="1066"/>
      <c r="I2070" s="1063"/>
      <c r="J2070" s="1063"/>
      <c r="K2070" s="1063"/>
      <c r="L2070" s="1063"/>
    </row>
    <row r="2071" spans="5:12" x14ac:dyDescent="0.2">
      <c r="E2071" s="1063"/>
      <c r="H2071" s="1066"/>
      <c r="I2071" s="1063"/>
      <c r="J2071" s="1063"/>
      <c r="K2071" s="1063"/>
      <c r="L2071" s="1063"/>
    </row>
    <row r="2072" spans="5:12" x14ac:dyDescent="0.2">
      <c r="E2072" s="1063"/>
      <c r="H2072" s="1066"/>
      <c r="I2072" s="1063"/>
      <c r="J2072" s="1063"/>
      <c r="K2072" s="1063"/>
      <c r="L2072" s="1063"/>
    </row>
    <row r="2073" spans="5:12" x14ac:dyDescent="0.2">
      <c r="E2073" s="1063"/>
      <c r="H2073" s="1066"/>
      <c r="I2073" s="1063"/>
      <c r="J2073" s="1063"/>
      <c r="K2073" s="1063"/>
      <c r="L2073" s="1063"/>
    </row>
    <row r="2074" spans="5:12" x14ac:dyDescent="0.2">
      <c r="E2074" s="1063"/>
      <c r="H2074" s="1066"/>
      <c r="I2074" s="1063"/>
      <c r="J2074" s="1063"/>
      <c r="K2074" s="1063"/>
      <c r="L2074" s="1063"/>
    </row>
    <row r="2075" spans="5:12" x14ac:dyDescent="0.2">
      <c r="E2075" s="1063"/>
      <c r="H2075" s="1066"/>
      <c r="I2075" s="1063"/>
      <c r="J2075" s="1063"/>
      <c r="K2075" s="1063"/>
      <c r="L2075" s="1063"/>
    </row>
    <row r="2076" spans="5:12" x14ac:dyDescent="0.2">
      <c r="E2076" s="1063"/>
      <c r="H2076" s="1066"/>
      <c r="I2076" s="1063"/>
      <c r="J2076" s="1063"/>
      <c r="K2076" s="1063"/>
      <c r="L2076" s="1063"/>
    </row>
    <row r="2077" spans="5:12" x14ac:dyDescent="0.2">
      <c r="E2077" s="1063"/>
      <c r="H2077" s="1066"/>
      <c r="I2077" s="1063"/>
      <c r="J2077" s="1063"/>
      <c r="K2077" s="1063"/>
      <c r="L2077" s="1063"/>
    </row>
    <row r="2078" spans="5:12" x14ac:dyDescent="0.2">
      <c r="E2078" s="1063"/>
      <c r="H2078" s="1066"/>
      <c r="I2078" s="1063"/>
      <c r="J2078" s="1063"/>
      <c r="K2078" s="1063"/>
      <c r="L2078" s="1063"/>
    </row>
    <row r="2079" spans="5:12" x14ac:dyDescent="0.2">
      <c r="E2079" s="1063"/>
      <c r="H2079" s="1066"/>
      <c r="I2079" s="1063"/>
      <c r="J2079" s="1063"/>
      <c r="K2079" s="1063"/>
      <c r="L2079" s="1063"/>
    </row>
    <row r="2080" spans="5:12" x14ac:dyDescent="0.2">
      <c r="E2080" s="1063"/>
      <c r="H2080" s="1066"/>
      <c r="I2080" s="1063"/>
      <c r="J2080" s="1063"/>
      <c r="K2080" s="1063"/>
      <c r="L2080" s="1063"/>
    </row>
    <row r="2081" spans="5:12" x14ac:dyDescent="0.2">
      <c r="E2081" s="1063"/>
      <c r="H2081" s="1066"/>
      <c r="I2081" s="1063"/>
      <c r="J2081" s="1063"/>
      <c r="K2081" s="1063"/>
      <c r="L2081" s="1063"/>
    </row>
    <row r="2082" spans="5:12" x14ac:dyDescent="0.2">
      <c r="E2082" s="1063"/>
      <c r="H2082" s="1066"/>
      <c r="I2082" s="1063"/>
      <c r="J2082" s="1063"/>
      <c r="K2082" s="1063"/>
      <c r="L2082" s="1063"/>
    </row>
    <row r="2083" spans="5:12" x14ac:dyDescent="0.2">
      <c r="E2083" s="1063"/>
      <c r="H2083" s="1066"/>
      <c r="I2083" s="1063"/>
      <c r="J2083" s="1063"/>
      <c r="K2083" s="1063"/>
      <c r="L2083" s="1063"/>
    </row>
    <row r="2084" spans="5:12" x14ac:dyDescent="0.2">
      <c r="E2084" s="1063"/>
      <c r="H2084" s="1066"/>
      <c r="I2084" s="1063"/>
      <c r="J2084" s="1063"/>
      <c r="K2084" s="1063"/>
      <c r="L2084" s="1063"/>
    </row>
    <row r="2085" spans="5:12" x14ac:dyDescent="0.2">
      <c r="E2085" s="1063"/>
      <c r="H2085" s="1066"/>
      <c r="I2085" s="1063"/>
      <c r="J2085" s="1063"/>
      <c r="K2085" s="1063"/>
      <c r="L2085" s="1063"/>
    </row>
    <row r="2086" spans="5:12" x14ac:dyDescent="0.2">
      <c r="E2086" s="1063"/>
      <c r="H2086" s="1066"/>
      <c r="I2086" s="1063"/>
      <c r="J2086" s="1063"/>
      <c r="K2086" s="1063"/>
      <c r="L2086" s="1063"/>
    </row>
    <row r="2087" spans="5:12" x14ac:dyDescent="0.2">
      <c r="E2087" s="1063"/>
      <c r="H2087" s="1066"/>
      <c r="I2087" s="1063"/>
      <c r="J2087" s="1063"/>
      <c r="K2087" s="1063"/>
      <c r="L2087" s="1063"/>
    </row>
    <row r="2088" spans="5:12" x14ac:dyDescent="0.2">
      <c r="E2088" s="1063"/>
      <c r="H2088" s="1066"/>
      <c r="I2088" s="1063"/>
      <c r="J2088" s="1063"/>
      <c r="K2088" s="1063"/>
      <c r="L2088" s="1063"/>
    </row>
    <row r="2089" spans="5:12" x14ac:dyDescent="0.2">
      <c r="E2089" s="1063"/>
      <c r="H2089" s="1066"/>
      <c r="I2089" s="1063"/>
      <c r="J2089" s="1063"/>
      <c r="K2089" s="1063"/>
      <c r="L2089" s="1063"/>
    </row>
    <row r="2090" spans="5:12" x14ac:dyDescent="0.2">
      <c r="E2090" s="1063"/>
      <c r="H2090" s="1066"/>
      <c r="I2090" s="1063"/>
      <c r="J2090" s="1063"/>
      <c r="K2090" s="1063"/>
      <c r="L2090" s="1063"/>
    </row>
    <row r="2091" spans="5:12" x14ac:dyDescent="0.2">
      <c r="E2091" s="1063"/>
      <c r="H2091" s="1066"/>
      <c r="I2091" s="1063"/>
      <c r="J2091" s="1063"/>
      <c r="K2091" s="1063"/>
      <c r="L2091" s="1063"/>
    </row>
    <row r="2092" spans="5:12" x14ac:dyDescent="0.2">
      <c r="E2092" s="1063"/>
      <c r="H2092" s="1066"/>
      <c r="I2092" s="1063"/>
      <c r="J2092" s="1063"/>
      <c r="K2092" s="1063"/>
      <c r="L2092" s="1063"/>
    </row>
    <row r="2093" spans="5:12" x14ac:dyDescent="0.2">
      <c r="E2093" s="1063"/>
      <c r="H2093" s="1066"/>
      <c r="I2093" s="1063"/>
      <c r="J2093" s="1063"/>
      <c r="K2093" s="1063"/>
      <c r="L2093" s="1063"/>
    </row>
    <row r="2094" spans="5:12" x14ac:dyDescent="0.2">
      <c r="E2094" s="1063"/>
      <c r="H2094" s="1066"/>
      <c r="I2094" s="1063"/>
      <c r="J2094" s="1063"/>
      <c r="K2094" s="1063"/>
      <c r="L2094" s="1063"/>
    </row>
    <row r="2095" spans="5:12" x14ac:dyDescent="0.2">
      <c r="E2095" s="1063"/>
      <c r="H2095" s="1066"/>
      <c r="I2095" s="1063"/>
      <c r="J2095" s="1063"/>
      <c r="K2095" s="1063"/>
      <c r="L2095" s="1063"/>
    </row>
    <row r="2096" spans="5:12" x14ac:dyDescent="0.2">
      <c r="E2096" s="1063"/>
      <c r="H2096" s="1066"/>
      <c r="I2096" s="1063"/>
      <c r="J2096" s="1063"/>
      <c r="K2096" s="1063"/>
      <c r="L2096" s="1063"/>
    </row>
    <row r="2097" spans="5:12" x14ac:dyDescent="0.2">
      <c r="E2097" s="1063"/>
      <c r="H2097" s="1066"/>
      <c r="I2097" s="1063"/>
      <c r="J2097" s="1063"/>
      <c r="K2097" s="1063"/>
      <c r="L2097" s="1063"/>
    </row>
    <row r="2098" spans="5:12" x14ac:dyDescent="0.2">
      <c r="E2098" s="1063"/>
      <c r="H2098" s="1066"/>
      <c r="I2098" s="1063"/>
      <c r="J2098" s="1063"/>
      <c r="K2098" s="1063"/>
      <c r="L2098" s="1063"/>
    </row>
    <row r="2099" spans="5:12" x14ac:dyDescent="0.2">
      <c r="E2099" s="1063"/>
      <c r="H2099" s="1066"/>
      <c r="I2099" s="1063"/>
      <c r="J2099" s="1063"/>
      <c r="K2099" s="1063"/>
      <c r="L2099" s="1063"/>
    </row>
    <row r="2100" spans="5:12" x14ac:dyDescent="0.2">
      <c r="E2100" s="1063"/>
      <c r="H2100" s="1066"/>
      <c r="I2100" s="1063"/>
      <c r="J2100" s="1063"/>
      <c r="K2100" s="1063"/>
      <c r="L2100" s="1063"/>
    </row>
    <row r="2101" spans="5:12" x14ac:dyDescent="0.2">
      <c r="E2101" s="1063"/>
      <c r="H2101" s="1066"/>
      <c r="I2101" s="1063"/>
      <c r="J2101" s="1063"/>
      <c r="K2101" s="1063"/>
      <c r="L2101" s="1063"/>
    </row>
    <row r="2102" spans="5:12" x14ac:dyDescent="0.2">
      <c r="E2102" s="1063"/>
      <c r="H2102" s="1066"/>
      <c r="I2102" s="1063"/>
      <c r="J2102" s="1063"/>
      <c r="K2102" s="1063"/>
      <c r="L2102" s="1063"/>
    </row>
    <row r="2103" spans="5:12" x14ac:dyDescent="0.2">
      <c r="E2103" s="1063"/>
      <c r="H2103" s="1066"/>
      <c r="I2103" s="1063"/>
      <c r="J2103" s="1063"/>
      <c r="K2103" s="1063"/>
      <c r="L2103" s="1063"/>
    </row>
    <row r="2104" spans="5:12" x14ac:dyDescent="0.2">
      <c r="E2104" s="1063"/>
      <c r="H2104" s="1066"/>
      <c r="I2104" s="1063"/>
      <c r="J2104" s="1063"/>
      <c r="K2104" s="1063"/>
      <c r="L2104" s="1063"/>
    </row>
    <row r="2105" spans="5:12" x14ac:dyDescent="0.2">
      <c r="E2105" s="1063"/>
      <c r="H2105" s="1066"/>
      <c r="I2105" s="1063"/>
      <c r="J2105" s="1063"/>
      <c r="K2105" s="1063"/>
      <c r="L2105" s="1063"/>
    </row>
    <row r="2106" spans="5:12" x14ac:dyDescent="0.2">
      <c r="E2106" s="1063"/>
      <c r="H2106" s="1066"/>
      <c r="I2106" s="1063"/>
      <c r="J2106" s="1063"/>
      <c r="K2106" s="1063"/>
      <c r="L2106" s="1063"/>
    </row>
    <row r="2107" spans="5:12" x14ac:dyDescent="0.2">
      <c r="E2107" s="1063"/>
      <c r="H2107" s="1066"/>
      <c r="I2107" s="1063"/>
      <c r="J2107" s="1063"/>
      <c r="K2107" s="1063"/>
      <c r="L2107" s="1063"/>
    </row>
    <row r="2108" spans="5:12" x14ac:dyDescent="0.2">
      <c r="E2108" s="1063"/>
      <c r="H2108" s="1066"/>
      <c r="I2108" s="1063"/>
      <c r="J2108" s="1063"/>
      <c r="K2108" s="1063"/>
      <c r="L2108" s="1063"/>
    </row>
    <row r="2109" spans="5:12" x14ac:dyDescent="0.2">
      <c r="E2109" s="1063"/>
      <c r="H2109" s="1066"/>
      <c r="I2109" s="1063"/>
      <c r="J2109" s="1063"/>
      <c r="K2109" s="1063"/>
      <c r="L2109" s="1063"/>
    </row>
    <row r="2110" spans="5:12" x14ac:dyDescent="0.2">
      <c r="E2110" s="1063"/>
      <c r="H2110" s="1066"/>
      <c r="I2110" s="1063"/>
      <c r="J2110" s="1063"/>
      <c r="K2110" s="1063"/>
      <c r="L2110" s="1063"/>
    </row>
    <row r="2111" spans="5:12" x14ac:dyDescent="0.2">
      <c r="E2111" s="1063"/>
      <c r="H2111" s="1066"/>
      <c r="I2111" s="1063"/>
      <c r="J2111" s="1063"/>
      <c r="K2111" s="1063"/>
      <c r="L2111" s="1063"/>
    </row>
    <row r="2112" spans="5:12" x14ac:dyDescent="0.2">
      <c r="E2112" s="1063"/>
      <c r="H2112" s="1066"/>
      <c r="I2112" s="1063"/>
      <c r="J2112" s="1063"/>
      <c r="K2112" s="1063"/>
      <c r="L2112" s="1063"/>
    </row>
    <row r="2113" spans="5:12" x14ac:dyDescent="0.2">
      <c r="E2113" s="1063"/>
      <c r="H2113" s="1066"/>
      <c r="I2113" s="1063"/>
      <c r="J2113" s="1063"/>
      <c r="K2113" s="1063"/>
      <c r="L2113" s="1063"/>
    </row>
    <row r="2114" spans="5:12" x14ac:dyDescent="0.2">
      <c r="E2114" s="1063"/>
      <c r="H2114" s="1066"/>
      <c r="I2114" s="1063"/>
      <c r="J2114" s="1063"/>
      <c r="K2114" s="1063"/>
      <c r="L2114" s="1063"/>
    </row>
    <row r="2115" spans="5:12" x14ac:dyDescent="0.2">
      <c r="E2115" s="1063"/>
      <c r="H2115" s="1066"/>
      <c r="I2115" s="1063"/>
      <c r="J2115" s="1063"/>
      <c r="K2115" s="1063"/>
      <c r="L2115" s="1063"/>
    </row>
    <row r="2116" spans="5:12" x14ac:dyDescent="0.2">
      <c r="E2116" s="1063"/>
      <c r="H2116" s="1066"/>
      <c r="I2116" s="1063"/>
      <c r="J2116" s="1063"/>
      <c r="K2116" s="1063"/>
      <c r="L2116" s="1063"/>
    </row>
    <row r="2117" spans="5:12" x14ac:dyDescent="0.2">
      <c r="E2117" s="1063"/>
      <c r="H2117" s="1066"/>
      <c r="I2117" s="1063"/>
      <c r="J2117" s="1063"/>
      <c r="K2117" s="1063"/>
      <c r="L2117" s="1063"/>
    </row>
    <row r="2118" spans="5:12" x14ac:dyDescent="0.2">
      <c r="E2118" s="1063"/>
      <c r="H2118" s="1066"/>
      <c r="I2118" s="1063"/>
      <c r="J2118" s="1063"/>
      <c r="K2118" s="1063"/>
      <c r="L2118" s="1063"/>
    </row>
    <row r="2119" spans="5:12" x14ac:dyDescent="0.2">
      <c r="E2119" s="1063"/>
      <c r="H2119" s="1066"/>
      <c r="I2119" s="1063"/>
      <c r="J2119" s="1063"/>
      <c r="K2119" s="1063"/>
      <c r="L2119" s="1063"/>
    </row>
    <row r="2120" spans="5:12" x14ac:dyDescent="0.2">
      <c r="E2120" s="1063"/>
      <c r="H2120" s="1066"/>
      <c r="I2120" s="1063"/>
      <c r="J2120" s="1063"/>
      <c r="K2120" s="1063"/>
      <c r="L2120" s="1063"/>
    </row>
    <row r="2121" spans="5:12" x14ac:dyDescent="0.2">
      <c r="E2121" s="1063"/>
      <c r="H2121" s="1066"/>
      <c r="I2121" s="1063"/>
      <c r="J2121" s="1063"/>
      <c r="K2121" s="1063"/>
      <c r="L2121" s="1063"/>
    </row>
    <row r="2122" spans="5:12" x14ac:dyDescent="0.2">
      <c r="E2122" s="1063"/>
      <c r="H2122" s="1066"/>
      <c r="I2122" s="1063"/>
      <c r="J2122" s="1063"/>
      <c r="K2122" s="1063"/>
      <c r="L2122" s="1063"/>
    </row>
    <row r="2123" spans="5:12" x14ac:dyDescent="0.2">
      <c r="E2123" s="1063"/>
      <c r="H2123" s="1066"/>
      <c r="I2123" s="1063"/>
      <c r="J2123" s="1063"/>
      <c r="K2123" s="1063"/>
      <c r="L2123" s="1063"/>
    </row>
    <row r="2124" spans="5:12" x14ac:dyDescent="0.2">
      <c r="E2124" s="1063"/>
      <c r="H2124" s="1066"/>
      <c r="I2124" s="1063"/>
      <c r="J2124" s="1063"/>
      <c r="K2124" s="1063"/>
      <c r="L2124" s="1063"/>
    </row>
    <row r="2125" spans="5:12" x14ac:dyDescent="0.2">
      <c r="E2125" s="1063"/>
      <c r="H2125" s="1066"/>
      <c r="I2125" s="1063"/>
      <c r="J2125" s="1063"/>
      <c r="K2125" s="1063"/>
      <c r="L2125" s="1063"/>
    </row>
    <row r="2126" spans="5:12" x14ac:dyDescent="0.2">
      <c r="E2126" s="1063"/>
      <c r="H2126" s="1066"/>
      <c r="I2126" s="1063"/>
      <c r="J2126" s="1063"/>
      <c r="K2126" s="1063"/>
      <c r="L2126" s="1063"/>
    </row>
    <row r="2127" spans="5:12" x14ac:dyDescent="0.2">
      <c r="E2127" s="1063"/>
      <c r="H2127" s="1066"/>
      <c r="I2127" s="1063"/>
      <c r="J2127" s="1063"/>
      <c r="K2127" s="1063"/>
      <c r="L2127" s="1063"/>
    </row>
    <row r="2128" spans="5:12" x14ac:dyDescent="0.2">
      <c r="E2128" s="1063"/>
      <c r="H2128" s="1066"/>
      <c r="I2128" s="1063"/>
      <c r="J2128" s="1063"/>
      <c r="K2128" s="1063"/>
      <c r="L2128" s="1063"/>
    </row>
    <row r="2129" spans="5:12" x14ac:dyDescent="0.2">
      <c r="E2129" s="1063"/>
      <c r="H2129" s="1066"/>
      <c r="I2129" s="1063"/>
      <c r="J2129" s="1063"/>
      <c r="K2129" s="1063"/>
      <c r="L2129" s="1063"/>
    </row>
    <row r="2130" spans="5:12" x14ac:dyDescent="0.2">
      <c r="E2130" s="1063"/>
      <c r="H2130" s="1066"/>
      <c r="I2130" s="1063"/>
      <c r="J2130" s="1063"/>
      <c r="K2130" s="1063"/>
      <c r="L2130" s="1063"/>
    </row>
    <row r="2131" spans="5:12" x14ac:dyDescent="0.2">
      <c r="E2131" s="1063"/>
      <c r="H2131" s="1066"/>
      <c r="I2131" s="1063"/>
      <c r="J2131" s="1063"/>
      <c r="K2131" s="1063"/>
      <c r="L2131" s="1063"/>
    </row>
    <row r="2132" spans="5:12" x14ac:dyDescent="0.2">
      <c r="E2132" s="1063"/>
      <c r="H2132" s="1066"/>
      <c r="I2132" s="1063"/>
      <c r="J2132" s="1063"/>
      <c r="K2132" s="1063"/>
      <c r="L2132" s="1063"/>
    </row>
    <row r="2133" spans="5:12" x14ac:dyDescent="0.2">
      <c r="E2133" s="1063"/>
      <c r="H2133" s="1066"/>
      <c r="I2133" s="1063"/>
      <c r="J2133" s="1063"/>
      <c r="K2133" s="1063"/>
      <c r="L2133" s="1063"/>
    </row>
    <row r="2134" spans="5:12" x14ac:dyDescent="0.2">
      <c r="E2134" s="1063"/>
      <c r="H2134" s="1066"/>
      <c r="I2134" s="1063"/>
      <c r="J2134" s="1063"/>
      <c r="K2134" s="1063"/>
      <c r="L2134" s="1063"/>
    </row>
    <row r="2135" spans="5:12" x14ac:dyDescent="0.2">
      <c r="E2135" s="1063"/>
      <c r="H2135" s="1066"/>
      <c r="I2135" s="1063"/>
      <c r="J2135" s="1063"/>
      <c r="K2135" s="1063"/>
      <c r="L2135" s="1063"/>
    </row>
    <row r="2136" spans="5:12" x14ac:dyDescent="0.2">
      <c r="E2136" s="1063"/>
      <c r="H2136" s="1066"/>
      <c r="I2136" s="1063"/>
      <c r="J2136" s="1063"/>
      <c r="K2136" s="1063"/>
      <c r="L2136" s="1063"/>
    </row>
    <row r="2137" spans="5:12" x14ac:dyDescent="0.2">
      <c r="E2137" s="1063"/>
      <c r="H2137" s="1066"/>
      <c r="I2137" s="1063"/>
      <c r="J2137" s="1063"/>
      <c r="K2137" s="1063"/>
      <c r="L2137" s="1063"/>
    </row>
    <row r="2138" spans="5:12" x14ac:dyDescent="0.2">
      <c r="E2138" s="1063"/>
      <c r="H2138" s="1066"/>
      <c r="I2138" s="1063"/>
      <c r="J2138" s="1063"/>
      <c r="K2138" s="1063"/>
      <c r="L2138" s="1063"/>
    </row>
    <row r="2139" spans="5:12" x14ac:dyDescent="0.2">
      <c r="E2139" s="1063"/>
      <c r="H2139" s="1066"/>
      <c r="I2139" s="1063"/>
      <c r="J2139" s="1063"/>
      <c r="K2139" s="1063"/>
      <c r="L2139" s="1063"/>
    </row>
    <row r="2140" spans="5:12" x14ac:dyDescent="0.2">
      <c r="E2140" s="1063"/>
      <c r="H2140" s="1066"/>
      <c r="I2140" s="1063"/>
      <c r="J2140" s="1063"/>
      <c r="K2140" s="1063"/>
      <c r="L2140" s="1063"/>
    </row>
    <row r="2141" spans="5:12" x14ac:dyDescent="0.2">
      <c r="E2141" s="1063"/>
      <c r="H2141" s="1066"/>
      <c r="I2141" s="1063"/>
      <c r="J2141" s="1063"/>
      <c r="K2141" s="1063"/>
      <c r="L2141" s="1063"/>
    </row>
    <row r="2142" spans="5:12" x14ac:dyDescent="0.2">
      <c r="E2142" s="1063"/>
      <c r="H2142" s="1066"/>
      <c r="I2142" s="1063"/>
      <c r="J2142" s="1063"/>
      <c r="K2142" s="1063"/>
      <c r="L2142" s="1063"/>
    </row>
    <row r="2143" spans="5:12" x14ac:dyDescent="0.2">
      <c r="E2143" s="1063"/>
      <c r="H2143" s="1066"/>
      <c r="I2143" s="1063"/>
      <c r="J2143" s="1063"/>
      <c r="K2143" s="1063"/>
      <c r="L2143" s="1063"/>
    </row>
    <row r="2144" spans="5:12" x14ac:dyDescent="0.2">
      <c r="E2144" s="1063"/>
      <c r="H2144" s="1066"/>
      <c r="I2144" s="1063"/>
      <c r="J2144" s="1063"/>
      <c r="K2144" s="1063"/>
      <c r="L2144" s="1063"/>
    </row>
    <row r="2145" spans="5:12" x14ac:dyDescent="0.2">
      <c r="E2145" s="1063"/>
      <c r="H2145" s="1066"/>
      <c r="I2145" s="1063"/>
      <c r="J2145" s="1063"/>
      <c r="K2145" s="1063"/>
      <c r="L2145" s="1063"/>
    </row>
    <row r="2146" spans="5:12" x14ac:dyDescent="0.2">
      <c r="E2146" s="1063"/>
      <c r="H2146" s="1066"/>
      <c r="I2146" s="1063"/>
      <c r="J2146" s="1063"/>
      <c r="K2146" s="1063"/>
      <c r="L2146" s="1063"/>
    </row>
    <row r="2147" spans="5:12" x14ac:dyDescent="0.2">
      <c r="E2147" s="1063"/>
      <c r="H2147" s="1066"/>
      <c r="I2147" s="1063"/>
      <c r="J2147" s="1063"/>
      <c r="K2147" s="1063"/>
      <c r="L2147" s="1063"/>
    </row>
    <row r="2148" spans="5:12" x14ac:dyDescent="0.2">
      <c r="E2148" s="1063"/>
      <c r="H2148" s="1066"/>
      <c r="I2148" s="1063"/>
      <c r="J2148" s="1063"/>
      <c r="K2148" s="1063"/>
      <c r="L2148" s="1063"/>
    </row>
    <row r="2149" spans="5:12" x14ac:dyDescent="0.2">
      <c r="E2149" s="1063"/>
      <c r="H2149" s="1066"/>
      <c r="I2149" s="1063"/>
      <c r="J2149" s="1063"/>
      <c r="K2149" s="1063"/>
      <c r="L2149" s="1063"/>
    </row>
    <row r="2150" spans="5:12" x14ac:dyDescent="0.2">
      <c r="E2150" s="1063"/>
      <c r="H2150" s="1066"/>
      <c r="I2150" s="1063"/>
      <c r="J2150" s="1063"/>
      <c r="K2150" s="1063"/>
      <c r="L2150" s="1063"/>
    </row>
    <row r="2151" spans="5:12" x14ac:dyDescent="0.2">
      <c r="E2151" s="1063"/>
      <c r="H2151" s="1066"/>
      <c r="I2151" s="1063"/>
      <c r="J2151" s="1063"/>
      <c r="K2151" s="1063"/>
      <c r="L2151" s="1063"/>
    </row>
    <row r="2152" spans="5:12" x14ac:dyDescent="0.2">
      <c r="E2152" s="1063"/>
      <c r="H2152" s="1066"/>
      <c r="I2152" s="1063"/>
      <c r="J2152" s="1063"/>
      <c r="K2152" s="1063"/>
      <c r="L2152" s="1063"/>
    </row>
    <row r="2153" spans="5:12" x14ac:dyDescent="0.2">
      <c r="E2153" s="1063"/>
      <c r="H2153" s="1066"/>
      <c r="I2153" s="1063"/>
      <c r="J2153" s="1063"/>
      <c r="K2153" s="1063"/>
      <c r="L2153" s="1063"/>
    </row>
    <row r="2154" spans="5:12" x14ac:dyDescent="0.2">
      <c r="E2154" s="1063"/>
      <c r="H2154" s="1066"/>
      <c r="I2154" s="1063"/>
      <c r="J2154" s="1063"/>
      <c r="K2154" s="1063"/>
      <c r="L2154" s="1063"/>
    </row>
    <row r="2155" spans="5:12" x14ac:dyDescent="0.2">
      <c r="E2155" s="1063"/>
      <c r="H2155" s="1066"/>
      <c r="I2155" s="1063"/>
      <c r="J2155" s="1063"/>
      <c r="K2155" s="1063"/>
      <c r="L2155" s="1063"/>
    </row>
    <row r="2156" spans="5:12" x14ac:dyDescent="0.2">
      <c r="E2156" s="1063"/>
      <c r="H2156" s="1066"/>
      <c r="I2156" s="1063"/>
      <c r="J2156" s="1063"/>
      <c r="K2156" s="1063"/>
      <c r="L2156" s="1063"/>
    </row>
    <row r="2157" spans="5:12" x14ac:dyDescent="0.2">
      <c r="E2157" s="1063"/>
      <c r="H2157" s="1066"/>
      <c r="I2157" s="1063"/>
      <c r="J2157" s="1063"/>
      <c r="K2157" s="1063"/>
      <c r="L2157" s="1063"/>
    </row>
    <row r="2158" spans="5:12" x14ac:dyDescent="0.2">
      <c r="E2158" s="1063"/>
      <c r="H2158" s="1066"/>
      <c r="I2158" s="1063"/>
      <c r="J2158" s="1063"/>
      <c r="K2158" s="1063"/>
      <c r="L2158" s="1063"/>
    </row>
    <row r="2159" spans="5:12" x14ac:dyDescent="0.2">
      <c r="E2159" s="1063"/>
      <c r="H2159" s="1066"/>
      <c r="I2159" s="1063"/>
      <c r="J2159" s="1063"/>
      <c r="K2159" s="1063"/>
      <c r="L2159" s="1063"/>
    </row>
    <row r="2160" spans="5:12" x14ac:dyDescent="0.2">
      <c r="E2160" s="1063"/>
      <c r="H2160" s="1066"/>
      <c r="I2160" s="1063"/>
      <c r="J2160" s="1063"/>
      <c r="K2160" s="1063"/>
      <c r="L2160" s="1063"/>
    </row>
    <row r="2161" spans="5:12" x14ac:dyDescent="0.2">
      <c r="E2161" s="1063"/>
      <c r="H2161" s="1066"/>
      <c r="I2161" s="1063"/>
      <c r="J2161" s="1063"/>
      <c r="K2161" s="1063"/>
      <c r="L2161" s="1063"/>
    </row>
    <row r="2162" spans="5:12" x14ac:dyDescent="0.2">
      <c r="E2162" s="1063"/>
      <c r="H2162" s="1066"/>
      <c r="I2162" s="1063"/>
      <c r="J2162" s="1063"/>
      <c r="K2162" s="1063"/>
      <c r="L2162" s="1063"/>
    </row>
    <row r="2163" spans="5:12" x14ac:dyDescent="0.2">
      <c r="E2163" s="1063"/>
      <c r="H2163" s="1066"/>
      <c r="I2163" s="1063"/>
      <c r="J2163" s="1063"/>
      <c r="K2163" s="1063"/>
      <c r="L2163" s="1063"/>
    </row>
    <row r="2164" spans="5:12" x14ac:dyDescent="0.2">
      <c r="E2164" s="1063"/>
      <c r="H2164" s="1066"/>
      <c r="I2164" s="1063"/>
      <c r="J2164" s="1063"/>
      <c r="K2164" s="1063"/>
      <c r="L2164" s="1063"/>
    </row>
    <row r="2165" spans="5:12" x14ac:dyDescent="0.2">
      <c r="E2165" s="1063"/>
      <c r="H2165" s="1066"/>
      <c r="I2165" s="1063"/>
      <c r="J2165" s="1063"/>
      <c r="K2165" s="1063"/>
      <c r="L2165" s="1063"/>
    </row>
    <row r="2166" spans="5:12" x14ac:dyDescent="0.2">
      <c r="E2166" s="1063"/>
      <c r="H2166" s="1066"/>
      <c r="I2166" s="1063"/>
      <c r="J2166" s="1063"/>
      <c r="K2166" s="1063"/>
      <c r="L2166" s="1063"/>
    </row>
    <row r="2167" spans="5:12" x14ac:dyDescent="0.2">
      <c r="E2167" s="1063"/>
      <c r="H2167" s="1066"/>
      <c r="I2167" s="1063"/>
      <c r="J2167" s="1063"/>
      <c r="K2167" s="1063"/>
      <c r="L2167" s="1063"/>
    </row>
    <row r="2168" spans="5:12" x14ac:dyDescent="0.2">
      <c r="E2168" s="1063"/>
      <c r="H2168" s="1066"/>
      <c r="I2168" s="1063"/>
      <c r="J2168" s="1063"/>
      <c r="K2168" s="1063"/>
      <c r="L2168" s="1063"/>
    </row>
    <row r="2169" spans="5:12" x14ac:dyDescent="0.2">
      <c r="E2169" s="1063"/>
      <c r="H2169" s="1066"/>
      <c r="I2169" s="1063"/>
      <c r="J2169" s="1063"/>
      <c r="K2169" s="1063"/>
      <c r="L2169" s="1063"/>
    </row>
    <row r="2170" spans="5:12" x14ac:dyDescent="0.2">
      <c r="E2170" s="1063"/>
      <c r="H2170" s="1066"/>
      <c r="I2170" s="1063"/>
      <c r="J2170" s="1063"/>
      <c r="K2170" s="1063"/>
      <c r="L2170" s="1063"/>
    </row>
    <row r="2171" spans="5:12" x14ac:dyDescent="0.2">
      <c r="E2171" s="1063"/>
      <c r="H2171" s="1066"/>
      <c r="I2171" s="1063"/>
      <c r="J2171" s="1063"/>
      <c r="K2171" s="1063"/>
      <c r="L2171" s="1063"/>
    </row>
    <row r="2172" spans="5:12" x14ac:dyDescent="0.2">
      <c r="E2172" s="1063"/>
      <c r="H2172" s="1066"/>
      <c r="I2172" s="1063"/>
      <c r="J2172" s="1063"/>
      <c r="K2172" s="1063"/>
      <c r="L2172" s="1063"/>
    </row>
    <row r="2173" spans="5:12" x14ac:dyDescent="0.2">
      <c r="E2173" s="1063"/>
      <c r="H2173" s="1066"/>
      <c r="I2173" s="1063"/>
      <c r="J2173" s="1063"/>
      <c r="K2173" s="1063"/>
      <c r="L2173" s="1063"/>
    </row>
    <row r="2174" spans="5:12" x14ac:dyDescent="0.2">
      <c r="E2174" s="1063"/>
      <c r="H2174" s="1066"/>
      <c r="I2174" s="1063"/>
      <c r="J2174" s="1063"/>
      <c r="K2174" s="1063"/>
      <c r="L2174" s="1063"/>
    </row>
    <row r="2175" spans="5:12" x14ac:dyDescent="0.2">
      <c r="E2175" s="1063"/>
      <c r="H2175" s="1066"/>
      <c r="I2175" s="1063"/>
      <c r="J2175" s="1063"/>
      <c r="K2175" s="1063"/>
      <c r="L2175" s="1063"/>
    </row>
    <row r="2176" spans="5:12" x14ac:dyDescent="0.2">
      <c r="E2176" s="1063"/>
      <c r="H2176" s="1066"/>
      <c r="I2176" s="1063"/>
      <c r="J2176" s="1063"/>
      <c r="K2176" s="1063"/>
      <c r="L2176" s="1063"/>
    </row>
    <row r="2177" spans="5:12" x14ac:dyDescent="0.2">
      <c r="E2177" s="1063"/>
      <c r="H2177" s="1066"/>
      <c r="I2177" s="1063"/>
      <c r="J2177" s="1063"/>
      <c r="K2177" s="1063"/>
      <c r="L2177" s="1063"/>
    </row>
    <row r="2178" spans="5:12" x14ac:dyDescent="0.2">
      <c r="E2178" s="1063"/>
      <c r="H2178" s="1066"/>
      <c r="I2178" s="1063"/>
      <c r="J2178" s="1063"/>
      <c r="K2178" s="1063"/>
      <c r="L2178" s="1063"/>
    </row>
    <row r="2179" spans="5:12" x14ac:dyDescent="0.2">
      <c r="E2179" s="1063"/>
      <c r="H2179" s="1066"/>
      <c r="I2179" s="1063"/>
      <c r="J2179" s="1063"/>
      <c r="K2179" s="1063"/>
      <c r="L2179" s="1063"/>
    </row>
    <row r="2180" spans="5:12" x14ac:dyDescent="0.2">
      <c r="E2180" s="1063"/>
      <c r="H2180" s="1066"/>
      <c r="I2180" s="1063"/>
      <c r="J2180" s="1063"/>
      <c r="K2180" s="1063"/>
      <c r="L2180" s="1063"/>
    </row>
    <row r="2181" spans="5:12" x14ac:dyDescent="0.2">
      <c r="E2181" s="1063"/>
      <c r="H2181" s="1066"/>
      <c r="I2181" s="1063"/>
      <c r="J2181" s="1063"/>
      <c r="K2181" s="1063"/>
      <c r="L2181" s="1063"/>
    </row>
    <row r="2182" spans="5:12" x14ac:dyDescent="0.2">
      <c r="E2182" s="1063"/>
      <c r="H2182" s="1066"/>
      <c r="I2182" s="1063"/>
      <c r="J2182" s="1063"/>
      <c r="K2182" s="1063"/>
      <c r="L2182" s="1063"/>
    </row>
    <row r="2183" spans="5:12" x14ac:dyDescent="0.2">
      <c r="E2183" s="1063"/>
      <c r="H2183" s="1066"/>
      <c r="I2183" s="1063"/>
      <c r="J2183" s="1063"/>
      <c r="K2183" s="1063"/>
      <c r="L2183" s="1063"/>
    </row>
    <row r="2184" spans="5:12" x14ac:dyDescent="0.2">
      <c r="E2184" s="1063"/>
      <c r="H2184" s="1066"/>
      <c r="I2184" s="1063"/>
      <c r="J2184" s="1063"/>
      <c r="K2184" s="1063"/>
      <c r="L2184" s="1063"/>
    </row>
    <row r="2185" spans="5:12" x14ac:dyDescent="0.2">
      <c r="E2185" s="1063"/>
      <c r="H2185" s="1066"/>
      <c r="I2185" s="1063"/>
      <c r="J2185" s="1063"/>
      <c r="K2185" s="1063"/>
      <c r="L2185" s="1063"/>
    </row>
    <row r="2186" spans="5:12" x14ac:dyDescent="0.2">
      <c r="E2186" s="1063"/>
      <c r="H2186" s="1066"/>
      <c r="I2186" s="1063"/>
      <c r="J2186" s="1063"/>
      <c r="K2186" s="1063"/>
      <c r="L2186" s="1063"/>
    </row>
    <row r="2187" spans="5:12" x14ac:dyDescent="0.2">
      <c r="E2187" s="1063"/>
      <c r="H2187" s="1066"/>
      <c r="I2187" s="1063"/>
      <c r="J2187" s="1063"/>
      <c r="K2187" s="1063"/>
      <c r="L2187" s="1063"/>
    </row>
    <row r="2188" spans="5:12" x14ac:dyDescent="0.2">
      <c r="E2188" s="1063"/>
      <c r="H2188" s="1066"/>
      <c r="I2188" s="1063"/>
      <c r="J2188" s="1063"/>
      <c r="K2188" s="1063"/>
      <c r="L2188" s="1063"/>
    </row>
    <row r="2189" spans="5:12" x14ac:dyDescent="0.2">
      <c r="E2189" s="1063"/>
      <c r="H2189" s="1066"/>
      <c r="I2189" s="1063"/>
      <c r="J2189" s="1063"/>
      <c r="K2189" s="1063"/>
      <c r="L2189" s="1063"/>
    </row>
    <row r="2190" spans="5:12" x14ac:dyDescent="0.2">
      <c r="E2190" s="1063"/>
      <c r="H2190" s="1066"/>
      <c r="I2190" s="1063"/>
      <c r="J2190" s="1063"/>
      <c r="K2190" s="1063"/>
      <c r="L2190" s="1063"/>
    </row>
    <row r="2191" spans="5:12" x14ac:dyDescent="0.2">
      <c r="E2191" s="1063"/>
      <c r="H2191" s="1066"/>
      <c r="I2191" s="1063"/>
      <c r="J2191" s="1063"/>
      <c r="K2191" s="1063"/>
      <c r="L2191" s="1063"/>
    </row>
    <row r="2192" spans="5:12" x14ac:dyDescent="0.2">
      <c r="E2192" s="1063"/>
      <c r="H2192" s="1066"/>
      <c r="I2192" s="1063"/>
      <c r="J2192" s="1063"/>
      <c r="K2192" s="1063"/>
      <c r="L2192" s="1063"/>
    </row>
    <row r="2193" spans="5:12" x14ac:dyDescent="0.2">
      <c r="E2193" s="1063"/>
      <c r="H2193" s="1066"/>
      <c r="I2193" s="1063"/>
      <c r="J2193" s="1063"/>
      <c r="K2193" s="1063"/>
      <c r="L2193" s="1063"/>
    </row>
    <row r="2194" spans="5:12" x14ac:dyDescent="0.2">
      <c r="E2194" s="1063"/>
      <c r="H2194" s="1066"/>
      <c r="I2194" s="1063"/>
      <c r="J2194" s="1063"/>
      <c r="K2194" s="1063"/>
      <c r="L2194" s="1063"/>
    </row>
    <row r="2195" spans="5:12" x14ac:dyDescent="0.2">
      <c r="E2195" s="1063"/>
      <c r="H2195" s="1066"/>
      <c r="I2195" s="1063"/>
      <c r="J2195" s="1063"/>
      <c r="K2195" s="1063"/>
      <c r="L2195" s="1063"/>
    </row>
    <row r="2196" spans="5:12" x14ac:dyDescent="0.2">
      <c r="E2196" s="1063"/>
      <c r="H2196" s="1066"/>
      <c r="I2196" s="1063"/>
      <c r="J2196" s="1063"/>
      <c r="K2196" s="1063"/>
      <c r="L2196" s="1063"/>
    </row>
    <row r="2197" spans="5:12" x14ac:dyDescent="0.2">
      <c r="E2197" s="1063"/>
      <c r="H2197" s="1066"/>
      <c r="I2197" s="1063"/>
      <c r="J2197" s="1063"/>
      <c r="K2197" s="1063"/>
      <c r="L2197" s="1063"/>
    </row>
    <row r="2198" spans="5:12" x14ac:dyDescent="0.2">
      <c r="E2198" s="1063"/>
      <c r="H2198" s="1066"/>
      <c r="I2198" s="1063"/>
      <c r="J2198" s="1063"/>
      <c r="K2198" s="1063"/>
      <c r="L2198" s="1063"/>
    </row>
    <row r="2199" spans="5:12" x14ac:dyDescent="0.2">
      <c r="E2199" s="1063"/>
      <c r="H2199" s="1066"/>
      <c r="I2199" s="1063"/>
      <c r="J2199" s="1063"/>
      <c r="K2199" s="1063"/>
      <c r="L2199" s="1063"/>
    </row>
    <row r="2200" spans="5:12" x14ac:dyDescent="0.2">
      <c r="E2200" s="1063"/>
      <c r="H2200" s="1066"/>
      <c r="I2200" s="1063"/>
      <c r="J2200" s="1063"/>
      <c r="K2200" s="1063"/>
      <c r="L2200" s="1063"/>
    </row>
    <row r="2201" spans="5:12" x14ac:dyDescent="0.2">
      <c r="E2201" s="1063"/>
      <c r="H2201" s="1066"/>
      <c r="I2201" s="1063"/>
      <c r="J2201" s="1063"/>
      <c r="K2201" s="1063"/>
      <c r="L2201" s="1063"/>
    </row>
    <row r="2202" spans="5:12" x14ac:dyDescent="0.2">
      <c r="E2202" s="1063"/>
      <c r="H2202" s="1066"/>
      <c r="I2202" s="1063"/>
      <c r="J2202" s="1063"/>
      <c r="K2202" s="1063"/>
      <c r="L2202" s="1063"/>
    </row>
    <row r="2203" spans="5:12" x14ac:dyDescent="0.2">
      <c r="E2203" s="1063"/>
      <c r="H2203" s="1066"/>
      <c r="I2203" s="1063"/>
      <c r="J2203" s="1063"/>
      <c r="K2203" s="1063"/>
      <c r="L2203" s="1063"/>
    </row>
    <row r="2204" spans="5:12" x14ac:dyDescent="0.2">
      <c r="E2204" s="1063"/>
      <c r="H2204" s="1066"/>
      <c r="I2204" s="1063"/>
      <c r="J2204" s="1063"/>
      <c r="K2204" s="1063"/>
      <c r="L2204" s="1063"/>
    </row>
    <row r="2205" spans="5:12" x14ac:dyDescent="0.2">
      <c r="E2205" s="1063"/>
      <c r="H2205" s="1066"/>
      <c r="I2205" s="1063"/>
      <c r="J2205" s="1063"/>
      <c r="K2205" s="1063"/>
      <c r="L2205" s="1063"/>
    </row>
    <row r="2206" spans="5:12" x14ac:dyDescent="0.2">
      <c r="E2206" s="1063"/>
      <c r="H2206" s="1066"/>
      <c r="I2206" s="1063"/>
      <c r="J2206" s="1063"/>
      <c r="K2206" s="1063"/>
      <c r="L2206" s="1063"/>
    </row>
    <row r="2207" spans="5:12" x14ac:dyDescent="0.2">
      <c r="E2207" s="1063"/>
      <c r="H2207" s="1066"/>
      <c r="I2207" s="1063"/>
      <c r="J2207" s="1063"/>
      <c r="K2207" s="1063"/>
      <c r="L2207" s="1063"/>
    </row>
    <row r="2208" spans="5:12" x14ac:dyDescent="0.2">
      <c r="E2208" s="1063"/>
      <c r="H2208" s="1066"/>
      <c r="I2208" s="1063"/>
      <c r="J2208" s="1063"/>
      <c r="K2208" s="1063"/>
      <c r="L2208" s="1063"/>
    </row>
    <row r="2209" spans="5:12" x14ac:dyDescent="0.2">
      <c r="E2209" s="1063"/>
      <c r="H2209" s="1066"/>
      <c r="I2209" s="1063"/>
      <c r="J2209" s="1063"/>
      <c r="K2209" s="1063"/>
      <c r="L2209" s="1063"/>
    </row>
    <row r="2210" spans="5:12" x14ac:dyDescent="0.2">
      <c r="E2210" s="1063"/>
      <c r="H2210" s="1066"/>
      <c r="I2210" s="1063"/>
      <c r="J2210" s="1063"/>
      <c r="K2210" s="1063"/>
      <c r="L2210" s="1063"/>
    </row>
    <row r="2211" spans="5:12" x14ac:dyDescent="0.2">
      <c r="E2211" s="1063"/>
      <c r="H2211" s="1066"/>
      <c r="I2211" s="1063"/>
      <c r="J2211" s="1063"/>
      <c r="K2211" s="1063"/>
      <c r="L2211" s="1063"/>
    </row>
    <row r="2212" spans="5:12" x14ac:dyDescent="0.2">
      <c r="E2212" s="1063"/>
      <c r="H2212" s="1066"/>
      <c r="I2212" s="1063"/>
      <c r="J2212" s="1063"/>
      <c r="K2212" s="1063"/>
      <c r="L2212" s="1063"/>
    </row>
    <row r="2213" spans="5:12" x14ac:dyDescent="0.2">
      <c r="E2213" s="1063"/>
      <c r="H2213" s="1066"/>
      <c r="I2213" s="1063"/>
      <c r="J2213" s="1063"/>
      <c r="K2213" s="1063"/>
      <c r="L2213" s="1063"/>
    </row>
    <row r="2214" spans="5:12" x14ac:dyDescent="0.2">
      <c r="E2214" s="1063"/>
      <c r="H2214" s="1066"/>
      <c r="I2214" s="1063"/>
      <c r="J2214" s="1063"/>
      <c r="K2214" s="1063"/>
      <c r="L2214" s="1063"/>
    </row>
    <row r="2215" spans="5:12" x14ac:dyDescent="0.2">
      <c r="E2215" s="1063"/>
      <c r="H2215" s="1066"/>
      <c r="I2215" s="1063"/>
      <c r="J2215" s="1063"/>
      <c r="K2215" s="1063"/>
      <c r="L2215" s="1063"/>
    </row>
    <row r="2216" spans="5:12" x14ac:dyDescent="0.2">
      <c r="E2216" s="1063"/>
      <c r="H2216" s="1066"/>
      <c r="I2216" s="1063"/>
      <c r="J2216" s="1063"/>
      <c r="K2216" s="1063"/>
      <c r="L2216" s="1063"/>
    </row>
    <row r="2217" spans="5:12" x14ac:dyDescent="0.2">
      <c r="E2217" s="1063"/>
      <c r="H2217" s="1066"/>
      <c r="I2217" s="1063"/>
      <c r="J2217" s="1063"/>
      <c r="K2217" s="1063"/>
      <c r="L2217" s="1063"/>
    </row>
    <row r="2218" spans="5:12" x14ac:dyDescent="0.2">
      <c r="E2218" s="1063"/>
      <c r="H2218" s="1066"/>
      <c r="I2218" s="1063"/>
      <c r="J2218" s="1063"/>
      <c r="K2218" s="1063"/>
      <c r="L2218" s="1063"/>
    </row>
    <row r="2219" spans="5:12" x14ac:dyDescent="0.2">
      <c r="E2219" s="1063"/>
      <c r="H2219" s="1066"/>
      <c r="I2219" s="1063"/>
      <c r="J2219" s="1063"/>
      <c r="K2219" s="1063"/>
      <c r="L2219" s="1063"/>
    </row>
    <row r="2220" spans="5:12" x14ac:dyDescent="0.2">
      <c r="E2220" s="1063"/>
      <c r="H2220" s="1066"/>
      <c r="I2220" s="1063"/>
      <c r="J2220" s="1063"/>
      <c r="K2220" s="1063"/>
      <c r="L2220" s="1063"/>
    </row>
    <row r="2221" spans="5:12" x14ac:dyDescent="0.2">
      <c r="E2221" s="1063"/>
      <c r="H2221" s="1066"/>
      <c r="I2221" s="1063"/>
      <c r="J2221" s="1063"/>
      <c r="K2221" s="1063"/>
      <c r="L2221" s="1063"/>
    </row>
    <row r="2222" spans="5:12" x14ac:dyDescent="0.2">
      <c r="E2222" s="1063"/>
      <c r="H2222" s="1066"/>
      <c r="I2222" s="1063"/>
      <c r="J2222" s="1063"/>
      <c r="K2222" s="1063"/>
      <c r="L2222" s="1063"/>
    </row>
    <row r="2223" spans="5:12" x14ac:dyDescent="0.2">
      <c r="E2223" s="1063"/>
      <c r="H2223" s="1066"/>
      <c r="I2223" s="1063"/>
      <c r="J2223" s="1063"/>
      <c r="K2223" s="1063"/>
      <c r="L2223" s="1063"/>
    </row>
    <row r="2224" spans="5:12" x14ac:dyDescent="0.2">
      <c r="E2224" s="1063"/>
      <c r="H2224" s="1066"/>
      <c r="I2224" s="1063"/>
      <c r="J2224" s="1063"/>
      <c r="K2224" s="1063"/>
      <c r="L2224" s="1063"/>
    </row>
    <row r="2225" spans="5:12" x14ac:dyDescent="0.2">
      <c r="E2225" s="1063"/>
      <c r="H2225" s="1066"/>
      <c r="I2225" s="1063"/>
      <c r="J2225" s="1063"/>
      <c r="K2225" s="1063"/>
      <c r="L2225" s="1063"/>
    </row>
    <row r="2226" spans="5:12" x14ac:dyDescent="0.2">
      <c r="E2226" s="1063"/>
      <c r="H2226" s="1066"/>
      <c r="I2226" s="1063"/>
      <c r="J2226" s="1063"/>
      <c r="K2226" s="1063"/>
      <c r="L2226" s="1063"/>
    </row>
    <row r="2227" spans="5:12" x14ac:dyDescent="0.2">
      <c r="E2227" s="1063"/>
      <c r="H2227" s="1066"/>
      <c r="I2227" s="1063"/>
      <c r="J2227" s="1063"/>
      <c r="K2227" s="1063"/>
      <c r="L2227" s="1063"/>
    </row>
    <row r="2228" spans="5:12" x14ac:dyDescent="0.2">
      <c r="E2228" s="1063"/>
      <c r="H2228" s="1066"/>
      <c r="I2228" s="1063"/>
      <c r="J2228" s="1063"/>
      <c r="K2228" s="1063"/>
      <c r="L2228" s="1063"/>
    </row>
    <row r="2229" spans="5:12" x14ac:dyDescent="0.2">
      <c r="E2229" s="1063"/>
      <c r="H2229" s="1066"/>
      <c r="I2229" s="1063"/>
      <c r="J2229" s="1063"/>
      <c r="K2229" s="1063"/>
      <c r="L2229" s="1063"/>
    </row>
    <row r="2230" spans="5:12" x14ac:dyDescent="0.2">
      <c r="E2230" s="1063"/>
      <c r="H2230" s="1066"/>
      <c r="I2230" s="1063"/>
      <c r="J2230" s="1063"/>
      <c r="K2230" s="1063"/>
      <c r="L2230" s="1063"/>
    </row>
    <row r="2231" spans="5:12" x14ac:dyDescent="0.2">
      <c r="E2231" s="1063"/>
      <c r="H2231" s="1066"/>
      <c r="I2231" s="1063"/>
      <c r="J2231" s="1063"/>
      <c r="K2231" s="1063"/>
      <c r="L2231" s="1063"/>
    </row>
    <row r="2232" spans="5:12" x14ac:dyDescent="0.2">
      <c r="E2232" s="1063"/>
      <c r="H2232" s="1066"/>
      <c r="I2232" s="1063"/>
      <c r="J2232" s="1063"/>
      <c r="K2232" s="1063"/>
      <c r="L2232" s="1063"/>
    </row>
    <row r="2233" spans="5:12" x14ac:dyDescent="0.2">
      <c r="E2233" s="1063"/>
      <c r="H2233" s="1066"/>
      <c r="I2233" s="1063"/>
      <c r="J2233" s="1063"/>
      <c r="K2233" s="1063"/>
      <c r="L2233" s="1063"/>
    </row>
    <row r="2234" spans="5:12" x14ac:dyDescent="0.2">
      <c r="E2234" s="1063"/>
      <c r="H2234" s="1066"/>
      <c r="I2234" s="1063"/>
      <c r="J2234" s="1063"/>
      <c r="K2234" s="1063"/>
      <c r="L2234" s="1063"/>
    </row>
    <row r="2235" spans="5:12" x14ac:dyDescent="0.2">
      <c r="E2235" s="1063"/>
      <c r="H2235" s="1066"/>
      <c r="I2235" s="1063"/>
      <c r="J2235" s="1063"/>
      <c r="K2235" s="1063"/>
      <c r="L2235" s="1063"/>
    </row>
    <row r="2236" spans="5:12" x14ac:dyDescent="0.2">
      <c r="E2236" s="1063"/>
      <c r="H2236" s="1066"/>
      <c r="I2236" s="1063"/>
      <c r="J2236" s="1063"/>
      <c r="K2236" s="1063"/>
      <c r="L2236" s="1063"/>
    </row>
    <row r="2237" spans="5:12" x14ac:dyDescent="0.2">
      <c r="E2237" s="1063"/>
      <c r="H2237" s="1066"/>
      <c r="I2237" s="1063"/>
      <c r="J2237" s="1063"/>
      <c r="K2237" s="1063"/>
      <c r="L2237" s="1063"/>
    </row>
    <row r="2238" spans="5:12" x14ac:dyDescent="0.2">
      <c r="E2238" s="1063"/>
      <c r="H2238" s="1066"/>
      <c r="I2238" s="1063"/>
      <c r="J2238" s="1063"/>
      <c r="K2238" s="1063"/>
      <c r="L2238" s="1063"/>
    </row>
    <row r="2239" spans="5:12" x14ac:dyDescent="0.2">
      <c r="E2239" s="1063"/>
      <c r="H2239" s="1066"/>
      <c r="I2239" s="1063"/>
      <c r="J2239" s="1063"/>
      <c r="K2239" s="1063"/>
      <c r="L2239" s="1063"/>
    </row>
    <row r="2240" spans="5:12" x14ac:dyDescent="0.2">
      <c r="E2240" s="1063"/>
      <c r="H2240" s="1066"/>
      <c r="I2240" s="1063"/>
      <c r="J2240" s="1063"/>
      <c r="K2240" s="1063"/>
      <c r="L2240" s="1063"/>
    </row>
    <row r="2241" spans="5:12" x14ac:dyDescent="0.2">
      <c r="E2241" s="1063"/>
      <c r="H2241" s="1066"/>
      <c r="I2241" s="1063"/>
      <c r="J2241" s="1063"/>
      <c r="K2241" s="1063"/>
      <c r="L2241" s="1063"/>
    </row>
    <row r="2242" spans="5:12" x14ac:dyDescent="0.2">
      <c r="E2242" s="1063"/>
      <c r="H2242" s="1066"/>
      <c r="I2242" s="1063"/>
      <c r="J2242" s="1063"/>
      <c r="K2242" s="1063"/>
      <c r="L2242" s="1063"/>
    </row>
    <row r="2243" spans="5:12" x14ac:dyDescent="0.2">
      <c r="E2243" s="1063"/>
      <c r="H2243" s="1066"/>
      <c r="I2243" s="1063"/>
      <c r="J2243" s="1063"/>
      <c r="K2243" s="1063"/>
      <c r="L2243" s="1063"/>
    </row>
    <row r="2244" spans="5:12" x14ac:dyDescent="0.2">
      <c r="E2244" s="1063"/>
      <c r="H2244" s="1066"/>
      <c r="I2244" s="1063"/>
      <c r="J2244" s="1063"/>
      <c r="K2244" s="1063"/>
      <c r="L2244" s="1063"/>
    </row>
    <row r="2245" spans="5:12" x14ac:dyDescent="0.2">
      <c r="E2245" s="1063"/>
      <c r="H2245" s="1066"/>
      <c r="I2245" s="1063"/>
      <c r="J2245" s="1063"/>
      <c r="K2245" s="1063"/>
      <c r="L2245" s="1063"/>
    </row>
    <row r="2246" spans="5:12" x14ac:dyDescent="0.2">
      <c r="E2246" s="1063"/>
      <c r="H2246" s="1066"/>
      <c r="I2246" s="1063"/>
      <c r="J2246" s="1063"/>
      <c r="K2246" s="1063"/>
      <c r="L2246" s="1063"/>
    </row>
    <row r="2247" spans="5:12" x14ac:dyDescent="0.2">
      <c r="E2247" s="1063"/>
      <c r="H2247" s="1066"/>
      <c r="I2247" s="1063"/>
      <c r="J2247" s="1063"/>
      <c r="K2247" s="1063"/>
      <c r="L2247" s="1063"/>
    </row>
    <row r="2248" spans="5:12" x14ac:dyDescent="0.2">
      <c r="E2248" s="1063"/>
      <c r="H2248" s="1066"/>
      <c r="I2248" s="1063"/>
      <c r="J2248" s="1063"/>
      <c r="K2248" s="1063"/>
      <c r="L2248" s="1063"/>
    </row>
    <row r="2249" spans="5:12" x14ac:dyDescent="0.2">
      <c r="E2249" s="1063"/>
      <c r="H2249" s="1066"/>
      <c r="I2249" s="1063"/>
      <c r="J2249" s="1063"/>
      <c r="K2249" s="1063"/>
      <c r="L2249" s="1063"/>
    </row>
    <row r="2250" spans="5:12" x14ac:dyDescent="0.2">
      <c r="E2250" s="1063"/>
      <c r="H2250" s="1066"/>
      <c r="I2250" s="1063"/>
      <c r="J2250" s="1063"/>
      <c r="K2250" s="1063"/>
      <c r="L2250" s="1063"/>
    </row>
    <row r="2251" spans="5:12" x14ac:dyDescent="0.2">
      <c r="E2251" s="1063"/>
      <c r="H2251" s="1066"/>
      <c r="I2251" s="1063"/>
      <c r="J2251" s="1063"/>
      <c r="K2251" s="1063"/>
      <c r="L2251" s="1063"/>
    </row>
    <row r="2252" spans="5:12" x14ac:dyDescent="0.2">
      <c r="E2252" s="1063"/>
      <c r="H2252" s="1066"/>
      <c r="I2252" s="1063"/>
      <c r="J2252" s="1063"/>
      <c r="K2252" s="1063"/>
      <c r="L2252" s="1063"/>
    </row>
    <row r="2253" spans="5:12" x14ac:dyDescent="0.2">
      <c r="E2253" s="1063"/>
      <c r="H2253" s="1066"/>
      <c r="I2253" s="1063"/>
      <c r="J2253" s="1063"/>
      <c r="K2253" s="1063"/>
      <c r="L2253" s="1063"/>
    </row>
    <row r="2254" spans="5:12" x14ac:dyDescent="0.2">
      <c r="E2254" s="1063"/>
      <c r="H2254" s="1066"/>
      <c r="I2254" s="1063"/>
      <c r="J2254" s="1063"/>
      <c r="K2254" s="1063"/>
      <c r="L2254" s="1063"/>
    </row>
    <row r="2255" spans="5:12" x14ac:dyDescent="0.2">
      <c r="E2255" s="1063"/>
      <c r="H2255" s="1066"/>
      <c r="I2255" s="1063"/>
      <c r="J2255" s="1063"/>
      <c r="K2255" s="1063"/>
      <c r="L2255" s="1063"/>
    </row>
    <row r="2256" spans="5:12" x14ac:dyDescent="0.2">
      <c r="E2256" s="1063"/>
      <c r="H2256" s="1066"/>
      <c r="I2256" s="1063"/>
      <c r="J2256" s="1063"/>
      <c r="K2256" s="1063"/>
      <c r="L2256" s="1063"/>
    </row>
    <row r="2257" spans="5:12" x14ac:dyDescent="0.2">
      <c r="E2257" s="1063"/>
      <c r="H2257" s="1066"/>
      <c r="I2257" s="1063"/>
      <c r="J2257" s="1063"/>
      <c r="K2257" s="1063"/>
      <c r="L2257" s="1063"/>
    </row>
    <row r="2258" spans="5:12" x14ac:dyDescent="0.2">
      <c r="E2258" s="1063"/>
      <c r="H2258" s="1066"/>
      <c r="I2258" s="1063"/>
      <c r="J2258" s="1063"/>
      <c r="K2258" s="1063"/>
      <c r="L2258" s="1063"/>
    </row>
    <row r="2259" spans="5:12" x14ac:dyDescent="0.2">
      <c r="E2259" s="1063"/>
      <c r="H2259" s="1066"/>
      <c r="I2259" s="1063"/>
      <c r="J2259" s="1063"/>
      <c r="K2259" s="1063"/>
      <c r="L2259" s="1063"/>
    </row>
    <row r="2260" spans="5:12" x14ac:dyDescent="0.2">
      <c r="E2260" s="1063"/>
      <c r="H2260" s="1066"/>
      <c r="I2260" s="1063"/>
      <c r="J2260" s="1063"/>
      <c r="K2260" s="1063"/>
      <c r="L2260" s="1063"/>
    </row>
    <row r="2261" spans="5:12" x14ac:dyDescent="0.2">
      <c r="E2261" s="1063"/>
      <c r="H2261" s="1066"/>
      <c r="I2261" s="1063"/>
      <c r="J2261" s="1063"/>
      <c r="K2261" s="1063"/>
      <c r="L2261" s="1063"/>
    </row>
    <row r="2262" spans="5:12" x14ac:dyDescent="0.2">
      <c r="E2262" s="1063"/>
      <c r="H2262" s="1066"/>
      <c r="I2262" s="1063"/>
      <c r="J2262" s="1063"/>
      <c r="K2262" s="1063"/>
      <c r="L2262" s="1063"/>
    </row>
    <row r="2263" spans="5:12" x14ac:dyDescent="0.2">
      <c r="E2263" s="1063"/>
      <c r="H2263" s="1066"/>
      <c r="I2263" s="1063"/>
      <c r="J2263" s="1063"/>
      <c r="K2263" s="1063"/>
      <c r="L2263" s="1063"/>
    </row>
    <row r="2264" spans="5:12" x14ac:dyDescent="0.2">
      <c r="E2264" s="1063"/>
      <c r="H2264" s="1066"/>
      <c r="I2264" s="1063"/>
      <c r="J2264" s="1063"/>
      <c r="K2264" s="1063"/>
      <c r="L2264" s="1063"/>
    </row>
    <row r="2265" spans="5:12" x14ac:dyDescent="0.2">
      <c r="E2265" s="1063"/>
      <c r="H2265" s="1066"/>
      <c r="I2265" s="1063"/>
      <c r="J2265" s="1063"/>
      <c r="K2265" s="1063"/>
      <c r="L2265" s="1063"/>
    </row>
    <row r="2266" spans="5:12" x14ac:dyDescent="0.2">
      <c r="E2266" s="1063"/>
      <c r="H2266" s="1066"/>
      <c r="I2266" s="1063"/>
      <c r="J2266" s="1063"/>
      <c r="K2266" s="1063"/>
      <c r="L2266" s="1063"/>
    </row>
    <row r="2267" spans="5:12" x14ac:dyDescent="0.2">
      <c r="E2267" s="1063"/>
      <c r="H2267" s="1066"/>
      <c r="I2267" s="1063"/>
      <c r="J2267" s="1063"/>
      <c r="K2267" s="1063"/>
      <c r="L2267" s="1063"/>
    </row>
    <row r="2268" spans="5:12" x14ac:dyDescent="0.2">
      <c r="E2268" s="1063"/>
      <c r="H2268" s="1066"/>
      <c r="I2268" s="1063"/>
      <c r="J2268" s="1063"/>
      <c r="K2268" s="1063"/>
      <c r="L2268" s="1063"/>
    </row>
    <row r="2269" spans="5:12" x14ac:dyDescent="0.2">
      <c r="E2269" s="1063"/>
      <c r="H2269" s="1066"/>
      <c r="I2269" s="1063"/>
      <c r="J2269" s="1063"/>
      <c r="K2269" s="1063"/>
      <c r="L2269" s="1063"/>
    </row>
    <row r="2270" spans="5:12" x14ac:dyDescent="0.2">
      <c r="E2270" s="1063"/>
      <c r="H2270" s="1066"/>
      <c r="I2270" s="1063"/>
      <c r="J2270" s="1063"/>
      <c r="K2270" s="1063"/>
      <c r="L2270" s="1063"/>
    </row>
    <row r="2271" spans="5:12" x14ac:dyDescent="0.2">
      <c r="E2271" s="1063"/>
      <c r="H2271" s="1066"/>
      <c r="I2271" s="1063"/>
      <c r="J2271" s="1063"/>
      <c r="K2271" s="1063"/>
      <c r="L2271" s="1063"/>
    </row>
    <row r="2272" spans="5:12" x14ac:dyDescent="0.2">
      <c r="E2272" s="1063"/>
      <c r="H2272" s="1066"/>
      <c r="I2272" s="1063"/>
      <c r="J2272" s="1063"/>
      <c r="K2272" s="1063"/>
      <c r="L2272" s="1063"/>
    </row>
    <row r="2273" spans="5:12" x14ac:dyDescent="0.2">
      <c r="E2273" s="1063"/>
      <c r="H2273" s="1066"/>
      <c r="I2273" s="1063"/>
      <c r="J2273" s="1063"/>
      <c r="K2273" s="1063"/>
      <c r="L2273" s="1063"/>
    </row>
    <row r="2274" spans="5:12" x14ac:dyDescent="0.2">
      <c r="E2274" s="1063"/>
      <c r="H2274" s="1066"/>
      <c r="I2274" s="1063"/>
      <c r="J2274" s="1063"/>
      <c r="K2274" s="1063"/>
      <c r="L2274" s="1063"/>
    </row>
    <row r="2275" spans="5:12" x14ac:dyDescent="0.2">
      <c r="E2275" s="1063"/>
      <c r="H2275" s="1066"/>
      <c r="I2275" s="1063"/>
      <c r="J2275" s="1063"/>
      <c r="K2275" s="1063"/>
      <c r="L2275" s="1063"/>
    </row>
    <row r="2276" spans="5:12" x14ac:dyDescent="0.2">
      <c r="E2276" s="1063"/>
      <c r="H2276" s="1066"/>
      <c r="I2276" s="1063"/>
      <c r="J2276" s="1063"/>
      <c r="K2276" s="1063"/>
      <c r="L2276" s="1063"/>
    </row>
    <row r="2277" spans="5:12" x14ac:dyDescent="0.2">
      <c r="E2277" s="1063"/>
      <c r="H2277" s="1066"/>
      <c r="I2277" s="1063"/>
      <c r="J2277" s="1063"/>
      <c r="K2277" s="1063"/>
      <c r="L2277" s="1063"/>
    </row>
    <row r="2278" spans="5:12" x14ac:dyDescent="0.2">
      <c r="E2278" s="1063"/>
      <c r="H2278" s="1066"/>
      <c r="I2278" s="1063"/>
      <c r="J2278" s="1063"/>
      <c r="K2278" s="1063"/>
      <c r="L2278" s="1063"/>
    </row>
    <row r="2279" spans="5:12" x14ac:dyDescent="0.2">
      <c r="E2279" s="1063"/>
      <c r="H2279" s="1066"/>
      <c r="I2279" s="1063"/>
      <c r="J2279" s="1063"/>
      <c r="K2279" s="1063"/>
      <c r="L2279" s="1063"/>
    </row>
    <row r="2280" spans="5:12" x14ac:dyDescent="0.2">
      <c r="E2280" s="1063"/>
      <c r="H2280" s="1066"/>
      <c r="I2280" s="1063"/>
      <c r="J2280" s="1063"/>
      <c r="K2280" s="1063"/>
      <c r="L2280" s="1063"/>
    </row>
    <row r="2281" spans="5:12" x14ac:dyDescent="0.2">
      <c r="E2281" s="1063"/>
      <c r="H2281" s="1066"/>
      <c r="I2281" s="1063"/>
      <c r="J2281" s="1063"/>
      <c r="K2281" s="1063"/>
      <c r="L2281" s="1063"/>
    </row>
    <row r="2282" spans="5:12" x14ac:dyDescent="0.2">
      <c r="E2282" s="1063"/>
      <c r="H2282" s="1066"/>
      <c r="I2282" s="1063"/>
      <c r="J2282" s="1063"/>
      <c r="K2282" s="1063"/>
      <c r="L2282" s="1063"/>
    </row>
    <row r="2283" spans="5:12" x14ac:dyDescent="0.2">
      <c r="E2283" s="1063"/>
      <c r="H2283" s="1066"/>
      <c r="I2283" s="1063"/>
      <c r="J2283" s="1063"/>
      <c r="K2283" s="1063"/>
      <c r="L2283" s="1063"/>
    </row>
    <row r="2284" spans="5:12" x14ac:dyDescent="0.2">
      <c r="E2284" s="1063"/>
      <c r="H2284" s="1066"/>
      <c r="I2284" s="1063"/>
      <c r="J2284" s="1063"/>
      <c r="K2284" s="1063"/>
      <c r="L2284" s="1063"/>
    </row>
    <row r="2285" spans="5:12" x14ac:dyDescent="0.2">
      <c r="E2285" s="1063"/>
      <c r="H2285" s="1066"/>
      <c r="I2285" s="1063"/>
      <c r="J2285" s="1063"/>
      <c r="K2285" s="1063"/>
      <c r="L2285" s="1063"/>
    </row>
    <row r="2286" spans="5:12" x14ac:dyDescent="0.2">
      <c r="E2286" s="1063"/>
      <c r="H2286" s="1066"/>
      <c r="I2286" s="1063"/>
      <c r="J2286" s="1063"/>
      <c r="K2286" s="1063"/>
      <c r="L2286" s="1063"/>
    </row>
    <row r="2287" spans="5:12" x14ac:dyDescent="0.2">
      <c r="E2287" s="1063"/>
      <c r="H2287" s="1066"/>
      <c r="I2287" s="1063"/>
      <c r="J2287" s="1063"/>
      <c r="K2287" s="1063"/>
      <c r="L2287" s="1063"/>
    </row>
    <row r="2288" spans="5:12" x14ac:dyDescent="0.2">
      <c r="E2288" s="1063"/>
      <c r="H2288" s="1066"/>
      <c r="I2288" s="1063"/>
      <c r="J2288" s="1063"/>
      <c r="K2288" s="1063"/>
      <c r="L2288" s="1063"/>
    </row>
    <row r="2289" spans="5:12" x14ac:dyDescent="0.2">
      <c r="E2289" s="1063"/>
      <c r="H2289" s="1066"/>
      <c r="I2289" s="1063"/>
      <c r="J2289" s="1063"/>
      <c r="K2289" s="1063"/>
      <c r="L2289" s="1063"/>
    </row>
    <row r="2290" spans="5:12" x14ac:dyDescent="0.2">
      <c r="E2290" s="1063"/>
      <c r="H2290" s="1066"/>
      <c r="I2290" s="1063"/>
      <c r="J2290" s="1063"/>
      <c r="K2290" s="1063"/>
      <c r="L2290" s="1063"/>
    </row>
    <row r="2291" spans="5:12" x14ac:dyDescent="0.2">
      <c r="E2291" s="1063"/>
      <c r="H2291" s="1066"/>
      <c r="I2291" s="1063"/>
      <c r="J2291" s="1063"/>
      <c r="K2291" s="1063"/>
      <c r="L2291" s="1063"/>
    </row>
    <row r="2292" spans="5:12" x14ac:dyDescent="0.2">
      <c r="E2292" s="1063"/>
      <c r="H2292" s="1066"/>
      <c r="I2292" s="1063"/>
      <c r="J2292" s="1063"/>
      <c r="K2292" s="1063"/>
      <c r="L2292" s="1063"/>
    </row>
    <row r="2293" spans="5:12" x14ac:dyDescent="0.2">
      <c r="E2293" s="1063"/>
      <c r="H2293" s="1066"/>
      <c r="I2293" s="1063"/>
      <c r="J2293" s="1063"/>
      <c r="K2293" s="1063"/>
      <c r="L2293" s="1063"/>
    </row>
    <row r="2294" spans="5:12" x14ac:dyDescent="0.2">
      <c r="E2294" s="1063"/>
      <c r="H2294" s="1066"/>
      <c r="I2294" s="1063"/>
      <c r="J2294" s="1063"/>
      <c r="K2294" s="1063"/>
      <c r="L2294" s="1063"/>
    </row>
    <row r="2295" spans="5:12" x14ac:dyDescent="0.2">
      <c r="E2295" s="1063"/>
      <c r="H2295" s="1066"/>
      <c r="I2295" s="1063"/>
      <c r="J2295" s="1063"/>
      <c r="K2295" s="1063"/>
      <c r="L2295" s="1063"/>
    </row>
    <row r="2296" spans="5:12" x14ac:dyDescent="0.2">
      <c r="E2296" s="1063"/>
      <c r="H2296" s="1066"/>
      <c r="I2296" s="1063"/>
      <c r="J2296" s="1063"/>
      <c r="K2296" s="1063"/>
      <c r="L2296" s="1063"/>
    </row>
    <row r="2297" spans="5:12" x14ac:dyDescent="0.2">
      <c r="E2297" s="1063"/>
      <c r="H2297" s="1066"/>
      <c r="I2297" s="1063"/>
      <c r="J2297" s="1063"/>
      <c r="K2297" s="1063"/>
      <c r="L2297" s="1063"/>
    </row>
    <row r="2298" spans="5:12" x14ac:dyDescent="0.2">
      <c r="E2298" s="1063"/>
      <c r="H2298" s="1066"/>
      <c r="I2298" s="1063"/>
      <c r="J2298" s="1063"/>
      <c r="K2298" s="1063"/>
      <c r="L2298" s="1063"/>
    </row>
    <row r="2299" spans="5:12" x14ac:dyDescent="0.2">
      <c r="E2299" s="1063"/>
      <c r="H2299" s="1066"/>
      <c r="I2299" s="1063"/>
      <c r="J2299" s="1063"/>
      <c r="K2299" s="1063"/>
      <c r="L2299" s="1063"/>
    </row>
    <row r="2300" spans="5:12" x14ac:dyDescent="0.2">
      <c r="E2300" s="1063"/>
      <c r="H2300" s="1066"/>
      <c r="I2300" s="1063"/>
      <c r="J2300" s="1063"/>
      <c r="K2300" s="1063"/>
      <c r="L2300" s="1063"/>
    </row>
    <row r="2301" spans="5:12" x14ac:dyDescent="0.2">
      <c r="E2301" s="1063"/>
      <c r="H2301" s="1066"/>
      <c r="I2301" s="1063"/>
      <c r="J2301" s="1063"/>
      <c r="K2301" s="1063"/>
      <c r="L2301" s="1063"/>
    </row>
    <row r="2302" spans="5:12" x14ac:dyDescent="0.2">
      <c r="E2302" s="1063"/>
      <c r="H2302" s="1066"/>
      <c r="I2302" s="1063"/>
      <c r="J2302" s="1063"/>
      <c r="K2302" s="1063"/>
      <c r="L2302" s="1063"/>
    </row>
    <row r="2303" spans="5:12" x14ac:dyDescent="0.2">
      <c r="E2303" s="1063"/>
      <c r="H2303" s="1066"/>
      <c r="I2303" s="1063"/>
      <c r="J2303" s="1063"/>
      <c r="K2303" s="1063"/>
      <c r="L2303" s="1063"/>
    </row>
    <row r="2304" spans="5:12" x14ac:dyDescent="0.2">
      <c r="E2304" s="1063"/>
      <c r="H2304" s="1066"/>
      <c r="I2304" s="1063"/>
      <c r="J2304" s="1063"/>
      <c r="K2304" s="1063"/>
      <c r="L2304" s="1063"/>
    </row>
    <row r="2305" spans="5:12" x14ac:dyDescent="0.2">
      <c r="E2305" s="1063"/>
      <c r="H2305" s="1066"/>
      <c r="I2305" s="1063"/>
      <c r="J2305" s="1063"/>
      <c r="K2305" s="1063"/>
      <c r="L2305" s="1063"/>
    </row>
    <row r="2306" spans="5:12" x14ac:dyDescent="0.2">
      <c r="E2306" s="1063"/>
      <c r="H2306" s="1066"/>
      <c r="I2306" s="1063"/>
      <c r="J2306" s="1063"/>
      <c r="K2306" s="1063"/>
      <c r="L2306" s="1063"/>
    </row>
    <row r="2307" spans="5:12" x14ac:dyDescent="0.2">
      <c r="E2307" s="1063"/>
      <c r="H2307" s="1066"/>
      <c r="I2307" s="1063"/>
      <c r="J2307" s="1063"/>
      <c r="K2307" s="1063"/>
      <c r="L2307" s="1063"/>
    </row>
    <row r="2308" spans="5:12" x14ac:dyDescent="0.2">
      <c r="E2308" s="1063"/>
      <c r="H2308" s="1066"/>
      <c r="I2308" s="1063"/>
      <c r="J2308" s="1063"/>
      <c r="K2308" s="1063"/>
      <c r="L2308" s="1063"/>
    </row>
    <row r="2309" spans="5:12" x14ac:dyDescent="0.2">
      <c r="E2309" s="1063"/>
      <c r="H2309" s="1066"/>
      <c r="I2309" s="1063"/>
      <c r="J2309" s="1063"/>
      <c r="K2309" s="1063"/>
      <c r="L2309" s="1063"/>
    </row>
    <row r="2310" spans="5:12" x14ac:dyDescent="0.2">
      <c r="E2310" s="1063"/>
      <c r="H2310" s="1066"/>
      <c r="I2310" s="1063"/>
      <c r="J2310" s="1063"/>
      <c r="K2310" s="1063"/>
      <c r="L2310" s="1063"/>
    </row>
    <row r="2311" spans="5:12" x14ac:dyDescent="0.2">
      <c r="E2311" s="1063"/>
      <c r="H2311" s="1066"/>
      <c r="I2311" s="1063"/>
      <c r="J2311" s="1063"/>
      <c r="K2311" s="1063"/>
      <c r="L2311" s="1063"/>
    </row>
    <row r="2312" spans="5:12" x14ac:dyDescent="0.2">
      <c r="E2312" s="1063"/>
      <c r="H2312" s="1066"/>
      <c r="I2312" s="1063"/>
      <c r="J2312" s="1063"/>
      <c r="K2312" s="1063"/>
      <c r="L2312" s="1063"/>
    </row>
    <row r="2313" spans="5:12" x14ac:dyDescent="0.2">
      <c r="E2313" s="1063"/>
      <c r="H2313" s="1066"/>
      <c r="I2313" s="1063"/>
      <c r="J2313" s="1063"/>
      <c r="K2313" s="1063"/>
      <c r="L2313" s="1063"/>
    </row>
    <row r="2314" spans="5:12" x14ac:dyDescent="0.2">
      <c r="E2314" s="1063"/>
      <c r="H2314" s="1066"/>
      <c r="I2314" s="1063"/>
      <c r="J2314" s="1063"/>
      <c r="K2314" s="1063"/>
      <c r="L2314" s="1063"/>
    </row>
    <row r="2315" spans="5:12" x14ac:dyDescent="0.2">
      <c r="E2315" s="1063"/>
      <c r="H2315" s="1066"/>
      <c r="I2315" s="1063"/>
      <c r="J2315" s="1063"/>
      <c r="K2315" s="1063"/>
      <c r="L2315" s="1063"/>
    </row>
    <row r="2316" spans="5:12" x14ac:dyDescent="0.2">
      <c r="E2316" s="1063"/>
      <c r="H2316" s="1066"/>
      <c r="I2316" s="1063"/>
      <c r="J2316" s="1063"/>
      <c r="K2316" s="1063"/>
      <c r="L2316" s="1063"/>
    </row>
    <row r="2317" spans="5:12" x14ac:dyDescent="0.2">
      <c r="E2317" s="1063"/>
      <c r="H2317" s="1066"/>
      <c r="I2317" s="1063"/>
      <c r="J2317" s="1063"/>
      <c r="K2317" s="1063"/>
      <c r="L2317" s="1063"/>
    </row>
    <row r="2318" spans="5:12" x14ac:dyDescent="0.2">
      <c r="E2318" s="1063"/>
      <c r="H2318" s="1066"/>
      <c r="I2318" s="1063"/>
      <c r="J2318" s="1063"/>
      <c r="K2318" s="1063"/>
      <c r="L2318" s="1063"/>
    </row>
    <row r="2319" spans="5:12" x14ac:dyDescent="0.2">
      <c r="E2319" s="1063"/>
      <c r="H2319" s="1066"/>
      <c r="I2319" s="1063"/>
      <c r="J2319" s="1063"/>
      <c r="K2319" s="1063"/>
      <c r="L2319" s="1063"/>
    </row>
    <row r="2320" spans="5:12" x14ac:dyDescent="0.2">
      <c r="E2320" s="1063"/>
      <c r="H2320" s="1066"/>
      <c r="I2320" s="1063"/>
      <c r="J2320" s="1063"/>
      <c r="K2320" s="1063"/>
      <c r="L2320" s="1063"/>
    </row>
    <row r="2321" spans="5:12" x14ac:dyDescent="0.2">
      <c r="E2321" s="1063"/>
      <c r="H2321" s="1066"/>
      <c r="I2321" s="1063"/>
      <c r="J2321" s="1063"/>
      <c r="K2321" s="1063"/>
      <c r="L2321" s="1063"/>
    </row>
    <row r="2322" spans="5:12" x14ac:dyDescent="0.2">
      <c r="E2322" s="1063"/>
      <c r="H2322" s="1066"/>
      <c r="I2322" s="1063"/>
      <c r="J2322" s="1063"/>
      <c r="K2322" s="1063"/>
      <c r="L2322" s="1063"/>
    </row>
    <row r="2323" spans="5:12" x14ac:dyDescent="0.2">
      <c r="E2323" s="1063"/>
      <c r="H2323" s="1066"/>
      <c r="I2323" s="1063"/>
      <c r="J2323" s="1063"/>
      <c r="K2323" s="1063"/>
      <c r="L2323" s="1063"/>
    </row>
    <row r="2324" spans="5:12" x14ac:dyDescent="0.2">
      <c r="E2324" s="1063"/>
      <c r="H2324" s="1066"/>
      <c r="I2324" s="1063"/>
      <c r="J2324" s="1063"/>
      <c r="K2324" s="1063"/>
      <c r="L2324" s="1063"/>
    </row>
    <row r="2325" spans="5:12" x14ac:dyDescent="0.2">
      <c r="E2325" s="1063"/>
      <c r="H2325" s="1066"/>
      <c r="I2325" s="1063"/>
      <c r="J2325" s="1063"/>
      <c r="K2325" s="1063"/>
      <c r="L2325" s="1063"/>
    </row>
    <row r="2326" spans="5:12" x14ac:dyDescent="0.2">
      <c r="E2326" s="1063"/>
      <c r="H2326" s="1066"/>
      <c r="I2326" s="1063"/>
      <c r="J2326" s="1063"/>
      <c r="K2326" s="1063"/>
      <c r="L2326" s="1063"/>
    </row>
    <row r="2327" spans="5:12" x14ac:dyDescent="0.2">
      <c r="E2327" s="1063"/>
      <c r="H2327" s="1066"/>
      <c r="I2327" s="1063"/>
      <c r="J2327" s="1063"/>
      <c r="K2327" s="1063"/>
      <c r="L2327" s="1063"/>
    </row>
    <row r="2328" spans="5:12" x14ac:dyDescent="0.2">
      <c r="E2328" s="1063"/>
      <c r="H2328" s="1066"/>
      <c r="I2328" s="1063"/>
      <c r="J2328" s="1063"/>
      <c r="K2328" s="1063"/>
      <c r="L2328" s="1063"/>
    </row>
    <row r="2329" spans="5:12" x14ac:dyDescent="0.2">
      <c r="E2329" s="1063"/>
      <c r="H2329" s="1066"/>
      <c r="I2329" s="1063"/>
      <c r="J2329" s="1063"/>
      <c r="K2329" s="1063"/>
      <c r="L2329" s="1063"/>
    </row>
    <row r="2330" spans="5:12" x14ac:dyDescent="0.2">
      <c r="E2330" s="1063"/>
      <c r="H2330" s="1066"/>
      <c r="I2330" s="1063"/>
      <c r="J2330" s="1063"/>
      <c r="K2330" s="1063"/>
      <c r="L2330" s="1063"/>
    </row>
    <row r="2331" spans="5:12" x14ac:dyDescent="0.2">
      <c r="E2331" s="1063"/>
      <c r="H2331" s="1066"/>
      <c r="I2331" s="1063"/>
      <c r="J2331" s="1063"/>
      <c r="K2331" s="1063"/>
      <c r="L2331" s="1063"/>
    </row>
    <row r="2332" spans="5:12" x14ac:dyDescent="0.2">
      <c r="E2332" s="1063"/>
      <c r="H2332" s="1066"/>
      <c r="I2332" s="1063"/>
      <c r="J2332" s="1063"/>
      <c r="K2332" s="1063"/>
      <c r="L2332" s="1063"/>
    </row>
    <row r="2333" spans="5:12" x14ac:dyDescent="0.2">
      <c r="E2333" s="1063"/>
      <c r="H2333" s="1066"/>
      <c r="I2333" s="1063"/>
      <c r="J2333" s="1063"/>
      <c r="K2333" s="1063"/>
      <c r="L2333" s="1063"/>
    </row>
    <row r="2334" spans="5:12" x14ac:dyDescent="0.2">
      <c r="E2334" s="1063"/>
      <c r="H2334" s="1066"/>
      <c r="I2334" s="1063"/>
      <c r="J2334" s="1063"/>
      <c r="K2334" s="1063"/>
      <c r="L2334" s="1063"/>
    </row>
    <row r="2335" spans="5:12" x14ac:dyDescent="0.2">
      <c r="E2335" s="1063"/>
      <c r="H2335" s="1066"/>
      <c r="I2335" s="1063"/>
      <c r="J2335" s="1063"/>
      <c r="K2335" s="1063"/>
      <c r="L2335" s="1063"/>
    </row>
    <row r="2336" spans="5:12" x14ac:dyDescent="0.2">
      <c r="E2336" s="1063"/>
      <c r="H2336" s="1066"/>
      <c r="I2336" s="1063"/>
      <c r="J2336" s="1063"/>
      <c r="K2336" s="1063"/>
      <c r="L2336" s="1063"/>
    </row>
    <row r="2337" spans="5:12" x14ac:dyDescent="0.2">
      <c r="E2337" s="1063"/>
      <c r="H2337" s="1066"/>
      <c r="I2337" s="1063"/>
      <c r="J2337" s="1063"/>
      <c r="K2337" s="1063"/>
      <c r="L2337" s="1063"/>
    </row>
    <row r="2338" spans="5:12" x14ac:dyDescent="0.2">
      <c r="E2338" s="1063"/>
      <c r="H2338" s="1066"/>
      <c r="I2338" s="1063"/>
      <c r="J2338" s="1063"/>
      <c r="K2338" s="1063"/>
      <c r="L2338" s="1063"/>
    </row>
    <row r="2339" spans="5:12" x14ac:dyDescent="0.2">
      <c r="E2339" s="1063"/>
      <c r="H2339" s="1066"/>
      <c r="I2339" s="1063"/>
      <c r="J2339" s="1063"/>
      <c r="K2339" s="1063"/>
      <c r="L2339" s="1063"/>
    </row>
    <row r="2340" spans="5:12" x14ac:dyDescent="0.2">
      <c r="E2340" s="1063"/>
      <c r="H2340" s="1066"/>
      <c r="I2340" s="1063"/>
      <c r="J2340" s="1063"/>
      <c r="K2340" s="1063"/>
      <c r="L2340" s="1063"/>
    </row>
    <row r="2341" spans="5:12" x14ac:dyDescent="0.2">
      <c r="E2341" s="1063"/>
      <c r="H2341" s="1066"/>
      <c r="I2341" s="1063"/>
      <c r="J2341" s="1063"/>
      <c r="K2341" s="1063"/>
      <c r="L2341" s="1063"/>
    </row>
    <row r="2342" spans="5:12" x14ac:dyDescent="0.2">
      <c r="E2342" s="1063"/>
      <c r="H2342" s="1066"/>
      <c r="I2342" s="1063"/>
      <c r="J2342" s="1063"/>
      <c r="K2342" s="1063"/>
      <c r="L2342" s="1063"/>
    </row>
    <row r="2343" spans="5:12" x14ac:dyDescent="0.2">
      <c r="E2343" s="1063"/>
      <c r="H2343" s="1066"/>
      <c r="I2343" s="1063"/>
      <c r="J2343" s="1063"/>
      <c r="K2343" s="1063"/>
      <c r="L2343" s="1063"/>
    </row>
    <row r="2344" spans="5:12" x14ac:dyDescent="0.2">
      <c r="E2344" s="1063"/>
      <c r="H2344" s="1066"/>
      <c r="I2344" s="1063"/>
      <c r="J2344" s="1063"/>
      <c r="K2344" s="1063"/>
      <c r="L2344" s="1063"/>
    </row>
    <row r="2345" spans="5:12" x14ac:dyDescent="0.2">
      <c r="E2345" s="1063"/>
      <c r="H2345" s="1066"/>
      <c r="I2345" s="1063"/>
      <c r="J2345" s="1063"/>
      <c r="K2345" s="1063"/>
      <c r="L2345" s="1063"/>
    </row>
    <row r="2346" spans="5:12" x14ac:dyDescent="0.2">
      <c r="E2346" s="1063"/>
      <c r="H2346" s="1066"/>
      <c r="I2346" s="1063"/>
      <c r="J2346" s="1063"/>
      <c r="K2346" s="1063"/>
      <c r="L2346" s="1063"/>
    </row>
    <row r="2347" spans="5:12" x14ac:dyDescent="0.2">
      <c r="E2347" s="1063"/>
      <c r="H2347" s="1066"/>
      <c r="I2347" s="1063"/>
      <c r="J2347" s="1063"/>
      <c r="K2347" s="1063"/>
      <c r="L2347" s="1063"/>
    </row>
    <row r="2348" spans="5:12" x14ac:dyDescent="0.2">
      <c r="E2348" s="1063"/>
      <c r="H2348" s="1066"/>
      <c r="I2348" s="1063"/>
      <c r="J2348" s="1063"/>
      <c r="K2348" s="1063"/>
      <c r="L2348" s="1063"/>
    </row>
    <row r="2349" spans="5:12" x14ac:dyDescent="0.2">
      <c r="E2349" s="1063"/>
      <c r="H2349" s="1066"/>
      <c r="I2349" s="1063"/>
      <c r="J2349" s="1063"/>
      <c r="K2349" s="1063"/>
      <c r="L2349" s="1063"/>
    </row>
    <row r="2350" spans="5:12" x14ac:dyDescent="0.2">
      <c r="E2350" s="1063"/>
      <c r="H2350" s="1066"/>
      <c r="I2350" s="1063"/>
      <c r="J2350" s="1063"/>
      <c r="K2350" s="1063"/>
      <c r="L2350" s="1063"/>
    </row>
    <row r="2351" spans="5:12" x14ac:dyDescent="0.2">
      <c r="E2351" s="1063"/>
      <c r="H2351" s="1066"/>
      <c r="I2351" s="1063"/>
      <c r="J2351" s="1063"/>
      <c r="K2351" s="1063"/>
      <c r="L2351" s="1063"/>
    </row>
    <row r="2352" spans="5:12" x14ac:dyDescent="0.2">
      <c r="E2352" s="1063"/>
      <c r="H2352" s="1066"/>
      <c r="I2352" s="1063"/>
      <c r="J2352" s="1063"/>
      <c r="K2352" s="1063"/>
      <c r="L2352" s="1063"/>
    </row>
    <row r="2353" spans="5:12" x14ac:dyDescent="0.2">
      <c r="E2353" s="1063"/>
      <c r="H2353" s="1066"/>
      <c r="I2353" s="1063"/>
      <c r="J2353" s="1063"/>
      <c r="K2353" s="1063"/>
      <c r="L2353" s="1063"/>
    </row>
    <row r="2354" spans="5:12" x14ac:dyDescent="0.2">
      <c r="E2354" s="1063"/>
      <c r="H2354" s="1066"/>
      <c r="I2354" s="1063"/>
      <c r="J2354" s="1063"/>
      <c r="K2354" s="1063"/>
      <c r="L2354" s="1063"/>
    </row>
    <row r="2355" spans="5:12" x14ac:dyDescent="0.2">
      <c r="E2355" s="1063"/>
      <c r="H2355" s="1066"/>
      <c r="I2355" s="1063"/>
      <c r="J2355" s="1063"/>
      <c r="K2355" s="1063"/>
      <c r="L2355" s="1063"/>
    </row>
    <row r="2356" spans="5:12" x14ac:dyDescent="0.2">
      <c r="E2356" s="1063"/>
      <c r="H2356" s="1066"/>
      <c r="I2356" s="1063"/>
      <c r="J2356" s="1063"/>
      <c r="K2356" s="1063"/>
      <c r="L2356" s="1063"/>
    </row>
    <row r="2357" spans="5:12" x14ac:dyDescent="0.2">
      <c r="E2357" s="1063"/>
      <c r="H2357" s="1066"/>
      <c r="I2357" s="1063"/>
      <c r="J2357" s="1063"/>
      <c r="K2357" s="1063"/>
      <c r="L2357" s="1063"/>
    </row>
    <row r="2358" spans="5:12" x14ac:dyDescent="0.2">
      <c r="E2358" s="1063"/>
      <c r="H2358" s="1066"/>
      <c r="I2358" s="1063"/>
      <c r="J2358" s="1063"/>
      <c r="K2358" s="1063"/>
      <c r="L2358" s="1063"/>
    </row>
    <row r="2359" spans="5:12" x14ac:dyDescent="0.2">
      <c r="E2359" s="1063"/>
      <c r="H2359" s="1066"/>
      <c r="I2359" s="1063"/>
      <c r="J2359" s="1063"/>
      <c r="K2359" s="1063"/>
      <c r="L2359" s="1063"/>
    </row>
    <row r="2360" spans="5:12" x14ac:dyDescent="0.2">
      <c r="E2360" s="1063"/>
      <c r="H2360" s="1066"/>
      <c r="I2360" s="1063"/>
      <c r="J2360" s="1063"/>
      <c r="K2360" s="1063"/>
      <c r="L2360" s="1063"/>
    </row>
    <row r="2361" spans="5:12" x14ac:dyDescent="0.2">
      <c r="E2361" s="1063"/>
      <c r="H2361" s="1066"/>
      <c r="I2361" s="1063"/>
      <c r="J2361" s="1063"/>
      <c r="K2361" s="1063"/>
      <c r="L2361" s="1063"/>
    </row>
    <row r="2362" spans="5:12" x14ac:dyDescent="0.2">
      <c r="E2362" s="1063"/>
      <c r="H2362" s="1066"/>
      <c r="I2362" s="1063"/>
      <c r="J2362" s="1063"/>
      <c r="K2362" s="1063"/>
      <c r="L2362" s="1063"/>
    </row>
    <row r="2363" spans="5:12" x14ac:dyDescent="0.2">
      <c r="E2363" s="1063"/>
      <c r="H2363" s="1066"/>
      <c r="I2363" s="1063"/>
      <c r="J2363" s="1063"/>
      <c r="K2363" s="1063"/>
      <c r="L2363" s="1063"/>
    </row>
    <row r="2364" spans="5:12" x14ac:dyDescent="0.2">
      <c r="E2364" s="1063"/>
      <c r="H2364" s="1066"/>
      <c r="I2364" s="1063"/>
      <c r="J2364" s="1063"/>
      <c r="K2364" s="1063"/>
      <c r="L2364" s="1063"/>
    </row>
    <row r="2365" spans="5:12" x14ac:dyDescent="0.2">
      <c r="E2365" s="1063"/>
      <c r="H2365" s="1066"/>
      <c r="I2365" s="1063"/>
      <c r="J2365" s="1063"/>
      <c r="K2365" s="1063"/>
      <c r="L2365" s="1063"/>
    </row>
    <row r="2366" spans="5:12" x14ac:dyDescent="0.2">
      <c r="E2366" s="1063"/>
      <c r="H2366" s="1066"/>
      <c r="I2366" s="1063"/>
      <c r="J2366" s="1063"/>
      <c r="K2366" s="1063"/>
      <c r="L2366" s="1063"/>
    </row>
    <row r="2367" spans="5:12" x14ac:dyDescent="0.2">
      <c r="E2367" s="1063"/>
      <c r="H2367" s="1066"/>
      <c r="I2367" s="1063"/>
      <c r="J2367" s="1063"/>
      <c r="K2367" s="1063"/>
      <c r="L2367" s="1063"/>
    </row>
    <row r="2368" spans="5:12" x14ac:dyDescent="0.2">
      <c r="E2368" s="1063"/>
      <c r="H2368" s="1066"/>
      <c r="I2368" s="1063"/>
      <c r="J2368" s="1063"/>
      <c r="K2368" s="1063"/>
      <c r="L2368" s="1063"/>
    </row>
    <row r="2369" spans="5:12" x14ac:dyDescent="0.2">
      <c r="E2369" s="1063"/>
      <c r="H2369" s="1066"/>
      <c r="I2369" s="1063"/>
      <c r="J2369" s="1063"/>
      <c r="K2369" s="1063"/>
      <c r="L2369" s="1063"/>
    </row>
    <row r="2370" spans="5:12" x14ac:dyDescent="0.2">
      <c r="E2370" s="1063"/>
      <c r="H2370" s="1066"/>
      <c r="I2370" s="1063"/>
      <c r="J2370" s="1063"/>
      <c r="K2370" s="1063"/>
      <c r="L2370" s="1063"/>
    </row>
    <row r="2371" spans="5:12" x14ac:dyDescent="0.2">
      <c r="E2371" s="1063"/>
      <c r="H2371" s="1066"/>
      <c r="I2371" s="1063"/>
      <c r="J2371" s="1063"/>
      <c r="K2371" s="1063"/>
      <c r="L2371" s="1063"/>
    </row>
    <row r="2372" spans="5:12" x14ac:dyDescent="0.2">
      <c r="E2372" s="1063"/>
      <c r="H2372" s="1066"/>
      <c r="I2372" s="1063"/>
      <c r="J2372" s="1063"/>
      <c r="K2372" s="1063"/>
      <c r="L2372" s="1063"/>
    </row>
    <row r="2373" spans="5:12" x14ac:dyDescent="0.2">
      <c r="E2373" s="1063"/>
      <c r="H2373" s="1066"/>
      <c r="I2373" s="1063"/>
      <c r="J2373" s="1063"/>
      <c r="K2373" s="1063"/>
      <c r="L2373" s="1063"/>
    </row>
    <row r="2374" spans="5:12" x14ac:dyDescent="0.2">
      <c r="E2374" s="1063"/>
      <c r="H2374" s="1066"/>
      <c r="I2374" s="1063"/>
      <c r="J2374" s="1063"/>
      <c r="K2374" s="1063"/>
      <c r="L2374" s="1063"/>
    </row>
    <row r="2375" spans="5:12" x14ac:dyDescent="0.2">
      <c r="E2375" s="1063"/>
      <c r="H2375" s="1066"/>
      <c r="I2375" s="1063"/>
      <c r="J2375" s="1063"/>
      <c r="K2375" s="1063"/>
      <c r="L2375" s="1063"/>
    </row>
    <row r="2376" spans="5:12" x14ac:dyDescent="0.2">
      <c r="E2376" s="1063"/>
      <c r="H2376" s="1066"/>
      <c r="I2376" s="1063"/>
      <c r="J2376" s="1063"/>
      <c r="K2376" s="1063"/>
      <c r="L2376" s="1063"/>
    </row>
    <row r="2377" spans="5:12" x14ac:dyDescent="0.2">
      <c r="E2377" s="1063"/>
      <c r="H2377" s="1066"/>
      <c r="I2377" s="1063"/>
      <c r="J2377" s="1063"/>
      <c r="K2377" s="1063"/>
      <c r="L2377" s="1063"/>
    </row>
    <row r="2378" spans="5:12" x14ac:dyDescent="0.2">
      <c r="E2378" s="1063"/>
      <c r="H2378" s="1066"/>
      <c r="I2378" s="1063"/>
      <c r="J2378" s="1063"/>
      <c r="K2378" s="1063"/>
      <c r="L2378" s="1063"/>
    </row>
    <row r="2379" spans="5:12" x14ac:dyDescent="0.2">
      <c r="E2379" s="1063"/>
      <c r="H2379" s="1066"/>
      <c r="I2379" s="1063"/>
      <c r="J2379" s="1063"/>
      <c r="K2379" s="1063"/>
      <c r="L2379" s="1063"/>
    </row>
    <row r="2380" spans="5:12" x14ac:dyDescent="0.2">
      <c r="E2380" s="1063"/>
      <c r="H2380" s="1066"/>
      <c r="I2380" s="1063"/>
      <c r="J2380" s="1063"/>
      <c r="K2380" s="1063"/>
      <c r="L2380" s="1063"/>
    </row>
    <row r="2381" spans="5:12" x14ac:dyDescent="0.2">
      <c r="E2381" s="1063"/>
      <c r="H2381" s="1066"/>
      <c r="I2381" s="1063"/>
      <c r="J2381" s="1063"/>
      <c r="K2381" s="1063"/>
      <c r="L2381" s="1063"/>
    </row>
    <row r="2382" spans="5:12" x14ac:dyDescent="0.2">
      <c r="E2382" s="1063"/>
      <c r="H2382" s="1066"/>
      <c r="I2382" s="1063"/>
      <c r="J2382" s="1063"/>
      <c r="K2382" s="1063"/>
      <c r="L2382" s="1063"/>
    </row>
    <row r="2383" spans="5:12" x14ac:dyDescent="0.2">
      <c r="E2383" s="1063"/>
      <c r="H2383" s="1066"/>
      <c r="I2383" s="1063"/>
      <c r="J2383" s="1063"/>
      <c r="K2383" s="1063"/>
      <c r="L2383" s="1063"/>
    </row>
    <row r="2384" spans="5:12" x14ac:dyDescent="0.2">
      <c r="E2384" s="1063"/>
      <c r="H2384" s="1066"/>
      <c r="I2384" s="1063"/>
      <c r="J2384" s="1063"/>
      <c r="K2384" s="1063"/>
      <c r="L2384" s="1063"/>
    </row>
    <row r="2385" spans="5:12" x14ac:dyDescent="0.2">
      <c r="E2385" s="1063"/>
      <c r="H2385" s="1066"/>
      <c r="I2385" s="1063"/>
      <c r="J2385" s="1063"/>
      <c r="K2385" s="1063"/>
      <c r="L2385" s="1063"/>
    </row>
    <row r="2386" spans="5:12" x14ac:dyDescent="0.2">
      <c r="E2386" s="1063"/>
      <c r="H2386" s="1066"/>
      <c r="I2386" s="1063"/>
      <c r="J2386" s="1063"/>
      <c r="K2386" s="1063"/>
      <c r="L2386" s="1063"/>
    </row>
    <row r="2387" spans="5:12" x14ac:dyDescent="0.2">
      <c r="E2387" s="1063"/>
      <c r="H2387" s="1066"/>
      <c r="I2387" s="1063"/>
      <c r="J2387" s="1063"/>
      <c r="K2387" s="1063"/>
      <c r="L2387" s="1063"/>
    </row>
    <row r="2388" spans="5:12" x14ac:dyDescent="0.2">
      <c r="E2388" s="1063"/>
      <c r="H2388" s="1066"/>
      <c r="I2388" s="1063"/>
      <c r="J2388" s="1063"/>
      <c r="K2388" s="1063"/>
      <c r="L2388" s="1063"/>
    </row>
    <row r="2389" spans="5:12" x14ac:dyDescent="0.2">
      <c r="E2389" s="1063"/>
      <c r="H2389" s="1066"/>
      <c r="I2389" s="1063"/>
      <c r="J2389" s="1063"/>
      <c r="K2389" s="1063"/>
      <c r="L2389" s="1063"/>
    </row>
    <row r="2390" spans="5:12" x14ac:dyDescent="0.2">
      <c r="E2390" s="1063"/>
      <c r="H2390" s="1066"/>
      <c r="I2390" s="1063"/>
      <c r="J2390" s="1063"/>
      <c r="K2390" s="1063"/>
      <c r="L2390" s="1063"/>
    </row>
    <row r="2391" spans="5:12" x14ac:dyDescent="0.2">
      <c r="E2391" s="1063"/>
      <c r="H2391" s="1066"/>
      <c r="I2391" s="1063"/>
      <c r="J2391" s="1063"/>
      <c r="K2391" s="1063"/>
      <c r="L2391" s="1063"/>
    </row>
    <row r="2392" spans="5:12" x14ac:dyDescent="0.2">
      <c r="E2392" s="1063"/>
      <c r="H2392" s="1066"/>
      <c r="I2392" s="1063"/>
      <c r="J2392" s="1063"/>
      <c r="K2392" s="1063"/>
      <c r="L2392" s="1063"/>
    </row>
    <row r="2393" spans="5:12" x14ac:dyDescent="0.2">
      <c r="E2393" s="1063"/>
      <c r="H2393" s="1066"/>
      <c r="I2393" s="1063"/>
      <c r="J2393" s="1063"/>
      <c r="K2393" s="1063"/>
      <c r="L2393" s="1063"/>
    </row>
    <row r="2394" spans="5:12" x14ac:dyDescent="0.2">
      <c r="E2394" s="1063"/>
      <c r="H2394" s="1066"/>
      <c r="I2394" s="1063"/>
      <c r="J2394" s="1063"/>
      <c r="K2394" s="1063"/>
      <c r="L2394" s="1063"/>
    </row>
    <row r="2395" spans="5:12" x14ac:dyDescent="0.2">
      <c r="E2395" s="1063"/>
      <c r="H2395" s="1066"/>
      <c r="I2395" s="1063"/>
      <c r="J2395" s="1063"/>
      <c r="K2395" s="1063"/>
      <c r="L2395" s="1063"/>
    </row>
    <row r="2396" spans="5:12" x14ac:dyDescent="0.2">
      <c r="E2396" s="1063"/>
      <c r="H2396" s="1066"/>
      <c r="I2396" s="1063"/>
      <c r="J2396" s="1063"/>
      <c r="K2396" s="1063"/>
      <c r="L2396" s="1063"/>
    </row>
    <row r="2397" spans="5:12" x14ac:dyDescent="0.2">
      <c r="E2397" s="1063"/>
      <c r="H2397" s="1066"/>
      <c r="I2397" s="1063"/>
      <c r="J2397" s="1063"/>
      <c r="K2397" s="1063"/>
      <c r="L2397" s="1063"/>
    </row>
    <row r="2398" spans="5:12" x14ac:dyDescent="0.2">
      <c r="E2398" s="1063"/>
      <c r="H2398" s="1066"/>
      <c r="I2398" s="1063"/>
      <c r="J2398" s="1063"/>
      <c r="K2398" s="1063"/>
      <c r="L2398" s="1063"/>
    </row>
    <row r="2399" spans="5:12" x14ac:dyDescent="0.2">
      <c r="E2399" s="1063"/>
      <c r="H2399" s="1066"/>
      <c r="I2399" s="1063"/>
      <c r="J2399" s="1063"/>
      <c r="K2399" s="1063"/>
      <c r="L2399" s="1063"/>
    </row>
    <row r="2400" spans="5:12" x14ac:dyDescent="0.2">
      <c r="E2400" s="1063"/>
      <c r="H2400" s="1066"/>
      <c r="I2400" s="1063"/>
      <c r="J2400" s="1063"/>
      <c r="K2400" s="1063"/>
      <c r="L2400" s="1063"/>
    </row>
    <row r="2401" spans="5:12" x14ac:dyDescent="0.2">
      <c r="E2401" s="1063"/>
      <c r="H2401" s="1066"/>
      <c r="I2401" s="1063"/>
      <c r="J2401" s="1063"/>
      <c r="K2401" s="1063"/>
      <c r="L2401" s="1063"/>
    </row>
    <row r="2402" spans="5:12" x14ac:dyDescent="0.2">
      <c r="E2402" s="1063"/>
      <c r="H2402" s="1066"/>
      <c r="I2402" s="1063"/>
      <c r="J2402" s="1063"/>
      <c r="K2402" s="1063"/>
      <c r="L2402" s="1063"/>
    </row>
    <row r="2403" spans="5:12" x14ac:dyDescent="0.2">
      <c r="E2403" s="1063"/>
      <c r="H2403" s="1066"/>
      <c r="I2403" s="1063"/>
      <c r="J2403" s="1063"/>
      <c r="K2403" s="1063"/>
      <c r="L2403" s="1063"/>
    </row>
    <row r="2404" spans="5:12" x14ac:dyDescent="0.2">
      <c r="E2404" s="1063"/>
      <c r="H2404" s="1066"/>
      <c r="I2404" s="1063"/>
      <c r="J2404" s="1063"/>
      <c r="K2404" s="1063"/>
      <c r="L2404" s="1063"/>
    </row>
    <row r="2405" spans="5:12" x14ac:dyDescent="0.2">
      <c r="E2405" s="1063"/>
      <c r="H2405" s="1066"/>
      <c r="I2405" s="1063"/>
      <c r="J2405" s="1063"/>
      <c r="K2405" s="1063"/>
      <c r="L2405" s="1063"/>
    </row>
    <row r="2406" spans="5:12" x14ac:dyDescent="0.2">
      <c r="E2406" s="1063"/>
      <c r="H2406" s="1066"/>
      <c r="I2406" s="1063"/>
      <c r="J2406" s="1063"/>
      <c r="K2406" s="1063"/>
      <c r="L2406" s="1063"/>
    </row>
    <row r="2407" spans="5:12" x14ac:dyDescent="0.2">
      <c r="E2407" s="1063"/>
      <c r="H2407" s="1066"/>
      <c r="I2407" s="1063"/>
      <c r="J2407" s="1063"/>
      <c r="K2407" s="1063"/>
      <c r="L2407" s="1063"/>
    </row>
    <row r="2408" spans="5:12" x14ac:dyDescent="0.2">
      <c r="E2408" s="1063"/>
      <c r="H2408" s="1066"/>
      <c r="I2408" s="1063"/>
      <c r="J2408" s="1063"/>
      <c r="K2408" s="1063"/>
      <c r="L2408" s="1063"/>
    </row>
    <row r="2409" spans="5:12" x14ac:dyDescent="0.2">
      <c r="E2409" s="1063"/>
      <c r="H2409" s="1066"/>
      <c r="I2409" s="1063"/>
      <c r="J2409" s="1063"/>
      <c r="K2409" s="1063"/>
      <c r="L2409" s="1063"/>
    </row>
    <row r="2410" spans="5:12" x14ac:dyDescent="0.2">
      <c r="E2410" s="1063"/>
      <c r="H2410" s="1066"/>
      <c r="I2410" s="1063"/>
      <c r="J2410" s="1063"/>
      <c r="K2410" s="1063"/>
      <c r="L2410" s="1063"/>
    </row>
    <row r="2411" spans="5:12" x14ac:dyDescent="0.2">
      <c r="E2411" s="1063"/>
      <c r="H2411" s="1066"/>
      <c r="I2411" s="1063"/>
      <c r="J2411" s="1063"/>
      <c r="K2411" s="1063"/>
      <c r="L2411" s="1063"/>
    </row>
    <row r="2412" spans="5:12" x14ac:dyDescent="0.2">
      <c r="E2412" s="1063"/>
      <c r="H2412" s="1066"/>
      <c r="I2412" s="1063"/>
      <c r="J2412" s="1063"/>
      <c r="K2412" s="1063"/>
      <c r="L2412" s="1063"/>
    </row>
    <row r="2413" spans="5:12" x14ac:dyDescent="0.2">
      <c r="E2413" s="1063"/>
      <c r="H2413" s="1066"/>
      <c r="I2413" s="1063"/>
      <c r="J2413" s="1063"/>
      <c r="K2413" s="1063"/>
      <c r="L2413" s="1063"/>
    </row>
    <row r="2414" spans="5:12" x14ac:dyDescent="0.2">
      <c r="E2414" s="1063"/>
      <c r="H2414" s="1066"/>
      <c r="I2414" s="1063"/>
      <c r="J2414" s="1063"/>
      <c r="K2414" s="1063"/>
      <c r="L2414" s="1063"/>
    </row>
    <row r="2415" spans="5:12" x14ac:dyDescent="0.2">
      <c r="E2415" s="1063"/>
      <c r="H2415" s="1066"/>
      <c r="I2415" s="1063"/>
      <c r="J2415" s="1063"/>
      <c r="K2415" s="1063"/>
      <c r="L2415" s="1063"/>
    </row>
    <row r="2416" spans="5:12" x14ac:dyDescent="0.2">
      <c r="E2416" s="1063"/>
      <c r="H2416" s="1066"/>
      <c r="I2416" s="1063"/>
      <c r="J2416" s="1063"/>
      <c r="K2416" s="1063"/>
      <c r="L2416" s="1063"/>
    </row>
    <row r="2417" spans="5:12" x14ac:dyDescent="0.2">
      <c r="E2417" s="1063"/>
      <c r="H2417" s="1066"/>
      <c r="I2417" s="1063"/>
      <c r="J2417" s="1063"/>
      <c r="K2417" s="1063"/>
      <c r="L2417" s="1063"/>
    </row>
    <row r="2418" spans="5:12" x14ac:dyDescent="0.2">
      <c r="E2418" s="1063"/>
      <c r="H2418" s="1066"/>
      <c r="I2418" s="1063"/>
      <c r="J2418" s="1063"/>
      <c r="K2418" s="1063"/>
      <c r="L2418" s="1063"/>
    </row>
    <row r="2419" spans="5:12" x14ac:dyDescent="0.2">
      <c r="E2419" s="1063"/>
      <c r="H2419" s="1066"/>
      <c r="I2419" s="1063"/>
      <c r="J2419" s="1063"/>
      <c r="K2419" s="1063"/>
      <c r="L2419" s="1063"/>
    </row>
    <row r="2420" spans="5:12" x14ac:dyDescent="0.2">
      <c r="E2420" s="1063"/>
      <c r="H2420" s="1066"/>
      <c r="I2420" s="1063"/>
      <c r="J2420" s="1063"/>
      <c r="K2420" s="1063"/>
      <c r="L2420" s="1063"/>
    </row>
    <row r="2421" spans="5:12" x14ac:dyDescent="0.2">
      <c r="E2421" s="1063"/>
      <c r="H2421" s="1066"/>
      <c r="I2421" s="1063"/>
      <c r="J2421" s="1063"/>
      <c r="K2421" s="1063"/>
      <c r="L2421" s="1063"/>
    </row>
    <row r="2422" spans="5:12" x14ac:dyDescent="0.2">
      <c r="E2422" s="1063"/>
      <c r="H2422" s="1066"/>
      <c r="I2422" s="1063"/>
      <c r="J2422" s="1063"/>
      <c r="K2422" s="1063"/>
      <c r="L2422" s="1063"/>
    </row>
    <row r="2423" spans="5:12" x14ac:dyDescent="0.2">
      <c r="E2423" s="1063"/>
      <c r="H2423" s="1066"/>
      <c r="I2423" s="1063"/>
      <c r="J2423" s="1063"/>
      <c r="K2423" s="1063"/>
      <c r="L2423" s="1063"/>
    </row>
    <row r="2424" spans="5:12" x14ac:dyDescent="0.2">
      <c r="E2424" s="1063"/>
      <c r="H2424" s="1066"/>
      <c r="I2424" s="1063"/>
      <c r="J2424" s="1063"/>
      <c r="K2424" s="1063"/>
      <c r="L2424" s="1063"/>
    </row>
    <row r="2425" spans="5:12" x14ac:dyDescent="0.2">
      <c r="E2425" s="1063"/>
      <c r="H2425" s="1066"/>
      <c r="I2425" s="1063"/>
      <c r="J2425" s="1063"/>
      <c r="K2425" s="1063"/>
      <c r="L2425" s="1063"/>
    </row>
    <row r="2426" spans="5:12" x14ac:dyDescent="0.2">
      <c r="E2426" s="1063"/>
      <c r="H2426" s="1066"/>
      <c r="I2426" s="1063"/>
      <c r="J2426" s="1063"/>
      <c r="K2426" s="1063"/>
      <c r="L2426" s="1063"/>
    </row>
    <row r="2427" spans="5:12" x14ac:dyDescent="0.2">
      <c r="E2427" s="1063"/>
      <c r="H2427" s="1066"/>
      <c r="I2427" s="1063"/>
      <c r="J2427" s="1063"/>
      <c r="K2427" s="1063"/>
      <c r="L2427" s="1063"/>
    </row>
    <row r="2428" spans="5:12" x14ac:dyDescent="0.2">
      <c r="E2428" s="1063"/>
      <c r="H2428" s="1066"/>
      <c r="I2428" s="1063"/>
      <c r="J2428" s="1063"/>
      <c r="K2428" s="1063"/>
      <c r="L2428" s="1063"/>
    </row>
    <row r="2429" spans="5:12" x14ac:dyDescent="0.2">
      <c r="E2429" s="1063"/>
      <c r="H2429" s="1066"/>
      <c r="I2429" s="1063"/>
      <c r="J2429" s="1063"/>
      <c r="K2429" s="1063"/>
      <c r="L2429" s="1063"/>
    </row>
    <row r="2430" spans="5:12" x14ac:dyDescent="0.2">
      <c r="E2430" s="1063"/>
      <c r="H2430" s="1066"/>
      <c r="I2430" s="1063"/>
      <c r="J2430" s="1063"/>
      <c r="K2430" s="1063"/>
      <c r="L2430" s="1063"/>
    </row>
    <row r="2431" spans="5:12" x14ac:dyDescent="0.2">
      <c r="E2431" s="1063"/>
      <c r="H2431" s="1066"/>
      <c r="I2431" s="1063"/>
      <c r="J2431" s="1063"/>
      <c r="K2431" s="1063"/>
      <c r="L2431" s="1063"/>
    </row>
    <row r="2432" spans="5:12" x14ac:dyDescent="0.2">
      <c r="E2432" s="1063"/>
      <c r="H2432" s="1066"/>
      <c r="I2432" s="1063"/>
      <c r="J2432" s="1063"/>
      <c r="K2432" s="1063"/>
      <c r="L2432" s="1063"/>
    </row>
    <row r="2433" spans="5:12" x14ac:dyDescent="0.2">
      <c r="E2433" s="1063"/>
      <c r="H2433" s="1066"/>
      <c r="I2433" s="1063"/>
      <c r="J2433" s="1063"/>
      <c r="K2433" s="1063"/>
      <c r="L2433" s="1063"/>
    </row>
    <row r="2434" spans="5:12" x14ac:dyDescent="0.2">
      <c r="E2434" s="1063"/>
      <c r="H2434" s="1066"/>
      <c r="I2434" s="1063"/>
      <c r="J2434" s="1063"/>
      <c r="K2434" s="1063"/>
      <c r="L2434" s="1063"/>
    </row>
    <row r="2435" spans="5:12" x14ac:dyDescent="0.2">
      <c r="E2435" s="1063"/>
      <c r="H2435" s="1066"/>
      <c r="I2435" s="1063"/>
      <c r="J2435" s="1063"/>
      <c r="K2435" s="1063"/>
      <c r="L2435" s="1063"/>
    </row>
    <row r="2436" spans="5:12" x14ac:dyDescent="0.2">
      <c r="E2436" s="1063"/>
      <c r="H2436" s="1066"/>
      <c r="I2436" s="1063"/>
      <c r="J2436" s="1063"/>
      <c r="K2436" s="1063"/>
      <c r="L2436" s="1063"/>
    </row>
    <row r="2437" spans="5:12" x14ac:dyDescent="0.2">
      <c r="E2437" s="1063"/>
      <c r="H2437" s="1066"/>
      <c r="I2437" s="1063"/>
      <c r="J2437" s="1063"/>
      <c r="K2437" s="1063"/>
      <c r="L2437" s="1063"/>
    </row>
    <row r="2438" spans="5:12" x14ac:dyDescent="0.2">
      <c r="E2438" s="1063"/>
      <c r="H2438" s="1066"/>
      <c r="I2438" s="1063"/>
      <c r="J2438" s="1063"/>
      <c r="K2438" s="1063"/>
      <c r="L2438" s="1063"/>
    </row>
    <row r="2439" spans="5:12" x14ac:dyDescent="0.2">
      <c r="E2439" s="1063"/>
      <c r="H2439" s="1066"/>
      <c r="I2439" s="1063"/>
      <c r="J2439" s="1063"/>
      <c r="K2439" s="1063"/>
      <c r="L2439" s="1063"/>
    </row>
    <row r="2440" spans="5:12" x14ac:dyDescent="0.2">
      <c r="E2440" s="1063"/>
      <c r="H2440" s="1066"/>
      <c r="I2440" s="1063"/>
      <c r="J2440" s="1063"/>
      <c r="K2440" s="1063"/>
      <c r="L2440" s="1063"/>
    </row>
    <row r="2441" spans="5:12" x14ac:dyDescent="0.2">
      <c r="E2441" s="1063"/>
      <c r="H2441" s="1066"/>
      <c r="I2441" s="1063"/>
      <c r="J2441" s="1063"/>
      <c r="K2441" s="1063"/>
      <c r="L2441" s="1063"/>
    </row>
    <row r="2442" spans="5:12" x14ac:dyDescent="0.2">
      <c r="E2442" s="1063"/>
      <c r="H2442" s="1066"/>
      <c r="I2442" s="1063"/>
      <c r="J2442" s="1063"/>
      <c r="K2442" s="1063"/>
      <c r="L2442" s="1063"/>
    </row>
    <row r="2443" spans="5:12" x14ac:dyDescent="0.2">
      <c r="E2443" s="1063"/>
      <c r="H2443" s="1066"/>
      <c r="I2443" s="1063"/>
      <c r="J2443" s="1063"/>
      <c r="K2443" s="1063"/>
      <c r="L2443" s="1063"/>
    </row>
    <row r="2444" spans="5:12" x14ac:dyDescent="0.2">
      <c r="E2444" s="1063"/>
      <c r="H2444" s="1066"/>
      <c r="I2444" s="1063"/>
      <c r="J2444" s="1063"/>
      <c r="K2444" s="1063"/>
      <c r="L2444" s="1063"/>
    </row>
    <row r="2445" spans="5:12" x14ac:dyDescent="0.2">
      <c r="E2445" s="1063"/>
      <c r="H2445" s="1066"/>
      <c r="I2445" s="1063"/>
      <c r="J2445" s="1063"/>
      <c r="K2445" s="1063"/>
      <c r="L2445" s="1063"/>
    </row>
    <row r="2446" spans="5:12" x14ac:dyDescent="0.2">
      <c r="E2446" s="1063"/>
      <c r="H2446" s="1066"/>
      <c r="I2446" s="1063"/>
      <c r="J2446" s="1063"/>
      <c r="K2446" s="1063"/>
      <c r="L2446" s="1063"/>
    </row>
    <row r="2447" spans="5:12" x14ac:dyDescent="0.2">
      <c r="E2447" s="1063"/>
      <c r="H2447" s="1066"/>
      <c r="I2447" s="1063"/>
      <c r="J2447" s="1063"/>
      <c r="K2447" s="1063"/>
      <c r="L2447" s="1063"/>
    </row>
    <row r="2448" spans="5:12" x14ac:dyDescent="0.2">
      <c r="E2448" s="1063"/>
      <c r="H2448" s="1066"/>
      <c r="I2448" s="1063"/>
      <c r="J2448" s="1063"/>
      <c r="K2448" s="1063"/>
      <c r="L2448" s="1063"/>
    </row>
    <row r="2449" spans="5:12" x14ac:dyDescent="0.2">
      <c r="E2449" s="1063"/>
      <c r="H2449" s="1066"/>
      <c r="I2449" s="1063"/>
      <c r="J2449" s="1063"/>
      <c r="K2449" s="1063"/>
      <c r="L2449" s="1063"/>
    </row>
    <row r="2450" spans="5:12" x14ac:dyDescent="0.2">
      <c r="E2450" s="1063"/>
      <c r="H2450" s="1066"/>
      <c r="I2450" s="1063"/>
      <c r="J2450" s="1063"/>
      <c r="K2450" s="1063"/>
      <c r="L2450" s="1063"/>
    </row>
    <row r="2451" spans="5:12" x14ac:dyDescent="0.2">
      <c r="E2451" s="1063"/>
      <c r="H2451" s="1066"/>
      <c r="I2451" s="1063"/>
      <c r="J2451" s="1063"/>
      <c r="K2451" s="1063"/>
      <c r="L2451" s="1063"/>
    </row>
    <row r="2452" spans="5:12" x14ac:dyDescent="0.2">
      <c r="E2452" s="1063"/>
      <c r="H2452" s="1066"/>
      <c r="I2452" s="1063"/>
      <c r="J2452" s="1063"/>
      <c r="K2452" s="1063"/>
      <c r="L2452" s="1063"/>
    </row>
    <row r="2453" spans="5:12" x14ac:dyDescent="0.2">
      <c r="E2453" s="1063"/>
      <c r="H2453" s="1066"/>
      <c r="I2453" s="1063"/>
      <c r="J2453" s="1063"/>
      <c r="K2453" s="1063"/>
      <c r="L2453" s="1063"/>
    </row>
    <row r="2454" spans="5:12" x14ac:dyDescent="0.2">
      <c r="E2454" s="1063"/>
      <c r="H2454" s="1066"/>
      <c r="I2454" s="1063"/>
      <c r="J2454" s="1063"/>
      <c r="K2454" s="1063"/>
      <c r="L2454" s="1063"/>
    </row>
    <row r="2455" spans="5:12" x14ac:dyDescent="0.2">
      <c r="E2455" s="1063"/>
      <c r="H2455" s="1066"/>
      <c r="I2455" s="1063"/>
      <c r="J2455" s="1063"/>
      <c r="K2455" s="1063"/>
      <c r="L2455" s="1063"/>
    </row>
    <row r="2456" spans="5:12" x14ac:dyDescent="0.2">
      <c r="E2456" s="1063"/>
      <c r="H2456" s="1066"/>
      <c r="I2456" s="1063"/>
      <c r="J2456" s="1063"/>
      <c r="K2456" s="1063"/>
      <c r="L2456" s="1063"/>
    </row>
    <row r="2457" spans="5:12" x14ac:dyDescent="0.2">
      <c r="E2457" s="1063"/>
      <c r="H2457" s="1066"/>
      <c r="I2457" s="1063"/>
      <c r="J2457" s="1063"/>
      <c r="K2457" s="1063"/>
      <c r="L2457" s="1063"/>
    </row>
    <row r="2458" spans="5:12" x14ac:dyDescent="0.2">
      <c r="E2458" s="1063"/>
      <c r="H2458" s="1066"/>
      <c r="I2458" s="1063"/>
      <c r="J2458" s="1063"/>
      <c r="K2458" s="1063"/>
      <c r="L2458" s="1063"/>
    </row>
    <row r="2459" spans="5:12" x14ac:dyDescent="0.2">
      <c r="E2459" s="1063"/>
      <c r="H2459" s="1066"/>
      <c r="I2459" s="1063"/>
      <c r="J2459" s="1063"/>
      <c r="K2459" s="1063"/>
      <c r="L2459" s="1063"/>
    </row>
    <row r="2460" spans="5:12" x14ac:dyDescent="0.2">
      <c r="E2460" s="1063"/>
      <c r="H2460" s="1066"/>
      <c r="I2460" s="1063"/>
      <c r="J2460" s="1063"/>
      <c r="K2460" s="1063"/>
      <c r="L2460" s="1063"/>
    </row>
    <row r="2461" spans="5:12" x14ac:dyDescent="0.2">
      <c r="E2461" s="1063"/>
      <c r="H2461" s="1066"/>
      <c r="I2461" s="1063"/>
      <c r="J2461" s="1063"/>
      <c r="K2461" s="1063"/>
      <c r="L2461" s="1063"/>
    </row>
    <row r="2462" spans="5:12" x14ac:dyDescent="0.2">
      <c r="E2462" s="1063"/>
      <c r="H2462" s="1066"/>
      <c r="I2462" s="1063"/>
      <c r="J2462" s="1063"/>
      <c r="K2462" s="1063"/>
      <c r="L2462" s="1063"/>
    </row>
    <row r="2463" spans="5:12" x14ac:dyDescent="0.2">
      <c r="E2463" s="1063"/>
      <c r="H2463" s="1066"/>
      <c r="I2463" s="1063"/>
      <c r="J2463" s="1063"/>
      <c r="K2463" s="1063"/>
      <c r="L2463" s="1063"/>
    </row>
    <row r="2464" spans="5:12" x14ac:dyDescent="0.2">
      <c r="E2464" s="1063"/>
      <c r="H2464" s="1066"/>
      <c r="I2464" s="1063"/>
      <c r="J2464" s="1063"/>
      <c r="K2464" s="1063"/>
      <c r="L2464" s="1063"/>
    </row>
    <row r="2465" spans="5:12" x14ac:dyDescent="0.2">
      <c r="E2465" s="1063"/>
      <c r="H2465" s="1066"/>
      <c r="I2465" s="1063"/>
      <c r="J2465" s="1063"/>
      <c r="K2465" s="1063"/>
      <c r="L2465" s="1063"/>
    </row>
    <row r="2466" spans="5:12" x14ac:dyDescent="0.2">
      <c r="E2466" s="1063"/>
      <c r="H2466" s="1066"/>
      <c r="I2466" s="1063"/>
      <c r="J2466" s="1063"/>
      <c r="K2466" s="1063"/>
      <c r="L2466" s="1063"/>
    </row>
    <row r="2467" spans="5:12" x14ac:dyDescent="0.2">
      <c r="E2467" s="1063"/>
      <c r="H2467" s="1066"/>
      <c r="I2467" s="1063"/>
      <c r="J2467" s="1063"/>
      <c r="K2467" s="1063"/>
      <c r="L2467" s="1063"/>
    </row>
    <row r="2468" spans="5:12" x14ac:dyDescent="0.2">
      <c r="E2468" s="1063"/>
      <c r="H2468" s="1066"/>
      <c r="I2468" s="1063"/>
      <c r="J2468" s="1063"/>
      <c r="K2468" s="1063"/>
      <c r="L2468" s="1063"/>
    </row>
    <row r="2469" spans="5:12" x14ac:dyDescent="0.2">
      <c r="E2469" s="1063"/>
      <c r="H2469" s="1066"/>
      <c r="I2469" s="1063"/>
      <c r="J2469" s="1063"/>
      <c r="K2469" s="1063"/>
      <c r="L2469" s="1063"/>
    </row>
    <row r="2470" spans="5:12" x14ac:dyDescent="0.2">
      <c r="E2470" s="1063"/>
      <c r="H2470" s="1066"/>
      <c r="I2470" s="1063"/>
      <c r="J2470" s="1063"/>
      <c r="K2470" s="1063"/>
      <c r="L2470" s="1063"/>
    </row>
    <row r="2471" spans="5:12" x14ac:dyDescent="0.2">
      <c r="E2471" s="1063"/>
      <c r="H2471" s="1066"/>
      <c r="I2471" s="1063"/>
      <c r="J2471" s="1063"/>
      <c r="K2471" s="1063"/>
      <c r="L2471" s="1063"/>
    </row>
    <row r="2472" spans="5:12" x14ac:dyDescent="0.2">
      <c r="E2472" s="1063"/>
      <c r="H2472" s="1066"/>
      <c r="I2472" s="1063"/>
      <c r="J2472" s="1063"/>
      <c r="K2472" s="1063"/>
      <c r="L2472" s="1063"/>
    </row>
    <row r="2473" spans="5:12" x14ac:dyDescent="0.2">
      <c r="E2473" s="1063"/>
      <c r="H2473" s="1066"/>
      <c r="I2473" s="1063"/>
      <c r="J2473" s="1063"/>
      <c r="K2473" s="1063"/>
      <c r="L2473" s="1063"/>
    </row>
    <row r="2474" spans="5:12" x14ac:dyDescent="0.2">
      <c r="E2474" s="1063"/>
      <c r="H2474" s="1066"/>
      <c r="I2474" s="1063"/>
      <c r="J2474" s="1063"/>
      <c r="K2474" s="1063"/>
      <c r="L2474" s="1063"/>
    </row>
    <row r="2475" spans="5:12" x14ac:dyDescent="0.2">
      <c r="E2475" s="1063"/>
      <c r="H2475" s="1066"/>
      <c r="I2475" s="1063"/>
      <c r="J2475" s="1063"/>
      <c r="K2475" s="1063"/>
      <c r="L2475" s="1063"/>
    </row>
    <row r="2476" spans="5:12" x14ac:dyDescent="0.2">
      <c r="E2476" s="1063"/>
      <c r="H2476" s="1066"/>
      <c r="I2476" s="1063"/>
      <c r="J2476" s="1063"/>
      <c r="K2476" s="1063"/>
      <c r="L2476" s="1063"/>
    </row>
    <row r="2477" spans="5:12" x14ac:dyDescent="0.2">
      <c r="E2477" s="1063"/>
      <c r="H2477" s="1066"/>
      <c r="I2477" s="1063"/>
      <c r="J2477" s="1063"/>
      <c r="K2477" s="1063"/>
      <c r="L2477" s="1063"/>
    </row>
    <row r="2478" spans="5:12" x14ac:dyDescent="0.2">
      <c r="E2478" s="1063"/>
      <c r="H2478" s="1066"/>
      <c r="I2478" s="1063"/>
      <c r="J2478" s="1063"/>
      <c r="K2478" s="1063"/>
      <c r="L2478" s="1063"/>
    </row>
    <row r="2479" spans="5:12" x14ac:dyDescent="0.2">
      <c r="E2479" s="1063"/>
      <c r="H2479" s="1066"/>
      <c r="I2479" s="1063"/>
      <c r="J2479" s="1063"/>
      <c r="K2479" s="1063"/>
      <c r="L2479" s="1063"/>
    </row>
    <row r="2480" spans="5:12" x14ac:dyDescent="0.2">
      <c r="E2480" s="1063"/>
      <c r="H2480" s="1066"/>
      <c r="I2480" s="1063"/>
      <c r="J2480" s="1063"/>
      <c r="K2480" s="1063"/>
      <c r="L2480" s="1063"/>
    </row>
    <row r="2481" spans="5:12" x14ac:dyDescent="0.2">
      <c r="E2481" s="1063"/>
      <c r="H2481" s="1066"/>
      <c r="I2481" s="1063"/>
      <c r="J2481" s="1063"/>
      <c r="K2481" s="1063"/>
      <c r="L2481" s="1063"/>
    </row>
    <row r="2482" spans="5:12" x14ac:dyDescent="0.2">
      <c r="E2482" s="1063"/>
      <c r="H2482" s="1066"/>
      <c r="I2482" s="1063"/>
      <c r="J2482" s="1063"/>
      <c r="K2482" s="1063"/>
      <c r="L2482" s="1063"/>
    </row>
    <row r="2483" spans="5:12" x14ac:dyDescent="0.2">
      <c r="E2483" s="1063"/>
      <c r="H2483" s="1066"/>
      <c r="I2483" s="1063"/>
      <c r="J2483" s="1063"/>
      <c r="K2483" s="1063"/>
      <c r="L2483" s="1063"/>
    </row>
    <row r="2484" spans="5:12" x14ac:dyDescent="0.2">
      <c r="E2484" s="1063"/>
      <c r="H2484" s="1066"/>
      <c r="I2484" s="1063"/>
      <c r="J2484" s="1063"/>
      <c r="K2484" s="1063"/>
      <c r="L2484" s="1063"/>
    </row>
    <row r="2485" spans="5:12" x14ac:dyDescent="0.2">
      <c r="E2485" s="1063"/>
      <c r="H2485" s="1066"/>
      <c r="I2485" s="1063"/>
      <c r="J2485" s="1063"/>
      <c r="K2485" s="1063"/>
      <c r="L2485" s="1063"/>
    </row>
    <row r="2486" spans="5:12" x14ac:dyDescent="0.2">
      <c r="E2486" s="1063"/>
      <c r="H2486" s="1066"/>
      <c r="I2486" s="1063"/>
      <c r="J2486" s="1063"/>
      <c r="K2486" s="1063"/>
      <c r="L2486" s="1063"/>
    </row>
    <row r="2487" spans="5:12" x14ac:dyDescent="0.2">
      <c r="E2487" s="1063"/>
      <c r="H2487" s="1066"/>
      <c r="I2487" s="1063"/>
      <c r="J2487" s="1063"/>
      <c r="K2487" s="1063"/>
      <c r="L2487" s="1063"/>
    </row>
    <row r="2488" spans="5:12" x14ac:dyDescent="0.2">
      <c r="E2488" s="1063"/>
      <c r="H2488" s="1066"/>
      <c r="I2488" s="1063"/>
      <c r="J2488" s="1063"/>
      <c r="K2488" s="1063"/>
      <c r="L2488" s="1063"/>
    </row>
    <row r="2489" spans="5:12" x14ac:dyDescent="0.2">
      <c r="E2489" s="1063"/>
      <c r="H2489" s="1066"/>
      <c r="I2489" s="1063"/>
      <c r="J2489" s="1063"/>
      <c r="K2489" s="1063"/>
      <c r="L2489" s="1063"/>
    </row>
    <row r="2490" spans="5:12" x14ac:dyDescent="0.2">
      <c r="E2490" s="1063"/>
      <c r="H2490" s="1066"/>
      <c r="I2490" s="1063"/>
      <c r="J2490" s="1063"/>
      <c r="K2490" s="1063"/>
      <c r="L2490" s="1063"/>
    </row>
    <row r="2491" spans="5:12" x14ac:dyDescent="0.2">
      <c r="E2491" s="1063"/>
      <c r="H2491" s="1066"/>
      <c r="I2491" s="1063"/>
      <c r="J2491" s="1063"/>
      <c r="K2491" s="1063"/>
      <c r="L2491" s="1063"/>
    </row>
    <row r="2492" spans="5:12" x14ac:dyDescent="0.2">
      <c r="E2492" s="1063"/>
      <c r="H2492" s="1066"/>
      <c r="I2492" s="1063"/>
      <c r="J2492" s="1063"/>
      <c r="K2492" s="1063"/>
      <c r="L2492" s="1063"/>
    </row>
    <row r="2493" spans="5:12" x14ac:dyDescent="0.2">
      <c r="E2493" s="1063"/>
      <c r="H2493" s="1066"/>
      <c r="I2493" s="1063"/>
      <c r="J2493" s="1063"/>
      <c r="K2493" s="1063"/>
      <c r="L2493" s="1063"/>
    </row>
    <row r="2494" spans="5:12" x14ac:dyDescent="0.2">
      <c r="E2494" s="1063"/>
      <c r="H2494" s="1066"/>
      <c r="I2494" s="1063"/>
      <c r="J2494" s="1063"/>
      <c r="K2494" s="1063"/>
      <c r="L2494" s="1063"/>
    </row>
    <row r="2495" spans="5:12" x14ac:dyDescent="0.2">
      <c r="E2495" s="1063"/>
      <c r="H2495" s="1066"/>
      <c r="I2495" s="1063"/>
      <c r="J2495" s="1063"/>
      <c r="K2495" s="1063"/>
      <c r="L2495" s="1063"/>
    </row>
    <row r="2496" spans="5:12" x14ac:dyDescent="0.2">
      <c r="E2496" s="1063"/>
      <c r="H2496" s="1066"/>
      <c r="I2496" s="1063"/>
      <c r="J2496" s="1063"/>
      <c r="K2496" s="1063"/>
      <c r="L2496" s="1063"/>
    </row>
    <row r="2497" spans="5:12" x14ac:dyDescent="0.2">
      <c r="E2497" s="1063"/>
      <c r="H2497" s="1066"/>
      <c r="I2497" s="1063"/>
      <c r="J2497" s="1063"/>
      <c r="K2497" s="1063"/>
      <c r="L2497" s="1063"/>
    </row>
    <row r="2498" spans="5:12" x14ac:dyDescent="0.2">
      <c r="E2498" s="1063"/>
      <c r="H2498" s="1066"/>
      <c r="I2498" s="1063"/>
      <c r="J2498" s="1063"/>
      <c r="K2498" s="1063"/>
      <c r="L2498" s="1063"/>
    </row>
    <row r="2499" spans="5:12" x14ac:dyDescent="0.2">
      <c r="E2499" s="1063"/>
      <c r="H2499" s="1066"/>
      <c r="I2499" s="1063"/>
      <c r="J2499" s="1063"/>
      <c r="K2499" s="1063"/>
      <c r="L2499" s="1063"/>
    </row>
    <row r="2500" spans="5:12" x14ac:dyDescent="0.2">
      <c r="E2500" s="1063"/>
      <c r="H2500" s="1066"/>
      <c r="I2500" s="1063"/>
      <c r="J2500" s="1063"/>
      <c r="K2500" s="1063"/>
      <c r="L2500" s="1063"/>
    </row>
    <row r="2501" spans="5:12" x14ac:dyDescent="0.2">
      <c r="E2501" s="1063"/>
      <c r="H2501" s="1066"/>
      <c r="I2501" s="1063"/>
      <c r="J2501" s="1063"/>
      <c r="K2501" s="1063"/>
      <c r="L2501" s="1063"/>
    </row>
    <row r="2502" spans="5:12" x14ac:dyDescent="0.2">
      <c r="E2502" s="1063"/>
      <c r="H2502" s="1066"/>
      <c r="I2502" s="1063"/>
      <c r="J2502" s="1063"/>
      <c r="K2502" s="1063"/>
      <c r="L2502" s="1063"/>
    </row>
    <row r="2503" spans="5:12" x14ac:dyDescent="0.2">
      <c r="E2503" s="1063"/>
      <c r="H2503" s="1066"/>
      <c r="I2503" s="1063"/>
      <c r="J2503" s="1063"/>
      <c r="K2503" s="1063"/>
      <c r="L2503" s="1063"/>
    </row>
    <row r="2504" spans="5:12" x14ac:dyDescent="0.2">
      <c r="E2504" s="1063"/>
      <c r="H2504" s="1066"/>
      <c r="I2504" s="1063"/>
      <c r="J2504" s="1063"/>
      <c r="K2504" s="1063"/>
      <c r="L2504" s="1063"/>
    </row>
    <row r="2505" spans="5:12" x14ac:dyDescent="0.2">
      <c r="E2505" s="1063"/>
      <c r="H2505" s="1066"/>
      <c r="I2505" s="1063"/>
      <c r="J2505" s="1063"/>
      <c r="K2505" s="1063"/>
      <c r="L2505" s="1063"/>
    </row>
    <row r="2506" spans="5:12" x14ac:dyDescent="0.2">
      <c r="E2506" s="1063"/>
      <c r="H2506" s="1066"/>
      <c r="I2506" s="1063"/>
      <c r="J2506" s="1063"/>
      <c r="K2506" s="1063"/>
      <c r="L2506" s="1063"/>
    </row>
    <row r="2507" spans="5:12" x14ac:dyDescent="0.2">
      <c r="E2507" s="1063"/>
      <c r="H2507" s="1066"/>
      <c r="I2507" s="1063"/>
      <c r="J2507" s="1063"/>
      <c r="K2507" s="1063"/>
      <c r="L2507" s="1063"/>
    </row>
    <row r="2508" spans="5:12" x14ac:dyDescent="0.2">
      <c r="E2508" s="1063"/>
      <c r="H2508" s="1066"/>
      <c r="I2508" s="1063"/>
      <c r="J2508" s="1063"/>
      <c r="K2508" s="1063"/>
      <c r="L2508" s="1063"/>
    </row>
    <row r="2509" spans="5:12" x14ac:dyDescent="0.2">
      <c r="E2509" s="1063"/>
      <c r="H2509" s="1066"/>
      <c r="I2509" s="1063"/>
      <c r="J2509" s="1063"/>
      <c r="K2509" s="1063"/>
      <c r="L2509" s="1063"/>
    </row>
    <row r="2510" spans="5:12" x14ac:dyDescent="0.2">
      <c r="E2510" s="1063"/>
      <c r="H2510" s="1066"/>
      <c r="I2510" s="1063"/>
      <c r="J2510" s="1063"/>
      <c r="K2510" s="1063"/>
      <c r="L2510" s="1063"/>
    </row>
    <row r="2511" spans="5:12" x14ac:dyDescent="0.2">
      <c r="E2511" s="1063"/>
      <c r="H2511" s="1066"/>
      <c r="I2511" s="1063"/>
      <c r="J2511" s="1063"/>
      <c r="K2511" s="1063"/>
      <c r="L2511" s="1063"/>
    </row>
    <row r="2512" spans="5:12" x14ac:dyDescent="0.2">
      <c r="E2512" s="1063"/>
      <c r="H2512" s="1066"/>
      <c r="I2512" s="1063"/>
      <c r="J2512" s="1063"/>
      <c r="K2512" s="1063"/>
      <c r="L2512" s="1063"/>
    </row>
    <row r="2513" spans="5:12" x14ac:dyDescent="0.2">
      <c r="E2513" s="1063"/>
      <c r="H2513" s="1066"/>
      <c r="I2513" s="1063"/>
      <c r="J2513" s="1063"/>
      <c r="K2513" s="1063"/>
      <c r="L2513" s="1063"/>
    </row>
    <row r="2514" spans="5:12" x14ac:dyDescent="0.2">
      <c r="E2514" s="1063"/>
      <c r="H2514" s="1066"/>
      <c r="I2514" s="1063"/>
      <c r="J2514" s="1063"/>
      <c r="K2514" s="1063"/>
      <c r="L2514" s="1063"/>
    </row>
    <row r="2515" spans="5:12" x14ac:dyDescent="0.2">
      <c r="E2515" s="1063"/>
      <c r="H2515" s="1066"/>
      <c r="I2515" s="1063"/>
      <c r="J2515" s="1063"/>
      <c r="K2515" s="1063"/>
      <c r="L2515" s="1063"/>
    </row>
    <row r="2516" spans="5:12" x14ac:dyDescent="0.2">
      <c r="E2516" s="1063"/>
      <c r="H2516" s="1066"/>
      <c r="I2516" s="1063"/>
      <c r="J2516" s="1063"/>
      <c r="K2516" s="1063"/>
      <c r="L2516" s="1063"/>
    </row>
    <row r="2517" spans="5:12" x14ac:dyDescent="0.2">
      <c r="E2517" s="1063"/>
      <c r="H2517" s="1066"/>
      <c r="I2517" s="1063"/>
      <c r="J2517" s="1063"/>
      <c r="K2517" s="1063"/>
      <c r="L2517" s="1063"/>
    </row>
    <row r="2518" spans="5:12" x14ac:dyDescent="0.2">
      <c r="E2518" s="1063"/>
      <c r="H2518" s="1066"/>
      <c r="I2518" s="1063"/>
      <c r="J2518" s="1063"/>
      <c r="K2518" s="1063"/>
      <c r="L2518" s="1063"/>
    </row>
    <row r="2519" spans="5:12" x14ac:dyDescent="0.2">
      <c r="E2519" s="1063"/>
      <c r="H2519" s="1066"/>
      <c r="I2519" s="1063"/>
      <c r="J2519" s="1063"/>
      <c r="K2519" s="1063"/>
      <c r="L2519" s="1063"/>
    </row>
    <row r="2520" spans="5:12" x14ac:dyDescent="0.2">
      <c r="E2520" s="1063"/>
      <c r="H2520" s="1066"/>
      <c r="I2520" s="1063"/>
      <c r="J2520" s="1063"/>
      <c r="K2520" s="1063"/>
      <c r="L2520" s="1063"/>
    </row>
    <row r="2521" spans="5:12" x14ac:dyDescent="0.2">
      <c r="E2521" s="1063"/>
      <c r="H2521" s="1066"/>
      <c r="I2521" s="1063"/>
      <c r="J2521" s="1063"/>
      <c r="K2521" s="1063"/>
      <c r="L2521" s="1063"/>
    </row>
    <row r="2522" spans="5:12" x14ac:dyDescent="0.2">
      <c r="E2522" s="1063"/>
      <c r="H2522" s="1066"/>
      <c r="I2522" s="1063"/>
      <c r="J2522" s="1063"/>
      <c r="K2522" s="1063"/>
      <c r="L2522" s="1063"/>
    </row>
    <row r="2523" spans="5:12" x14ac:dyDescent="0.2">
      <c r="E2523" s="1063"/>
      <c r="H2523" s="1066"/>
      <c r="I2523" s="1063"/>
      <c r="J2523" s="1063"/>
      <c r="K2523" s="1063"/>
      <c r="L2523" s="1063"/>
    </row>
    <row r="2524" spans="5:12" x14ac:dyDescent="0.2">
      <c r="E2524" s="1063"/>
      <c r="H2524" s="1066"/>
      <c r="I2524" s="1063"/>
      <c r="J2524" s="1063"/>
      <c r="K2524" s="1063"/>
      <c r="L2524" s="1063"/>
    </row>
    <row r="2525" spans="5:12" x14ac:dyDescent="0.2">
      <c r="E2525" s="1063"/>
      <c r="H2525" s="1066"/>
      <c r="I2525" s="1063"/>
      <c r="J2525" s="1063"/>
      <c r="K2525" s="1063"/>
      <c r="L2525" s="1063"/>
    </row>
    <row r="2526" spans="5:12" x14ac:dyDescent="0.2">
      <c r="E2526" s="1063"/>
      <c r="H2526" s="1066"/>
      <c r="I2526" s="1063"/>
      <c r="J2526" s="1063"/>
      <c r="K2526" s="1063"/>
      <c r="L2526" s="1063"/>
    </row>
    <row r="2527" spans="5:12" x14ac:dyDescent="0.2">
      <c r="E2527" s="1063"/>
      <c r="H2527" s="1066"/>
      <c r="I2527" s="1063"/>
      <c r="J2527" s="1063"/>
      <c r="K2527" s="1063"/>
      <c r="L2527" s="1063"/>
    </row>
    <row r="2528" spans="5:12" x14ac:dyDescent="0.2">
      <c r="E2528" s="1063"/>
      <c r="H2528" s="1066"/>
      <c r="I2528" s="1063"/>
      <c r="J2528" s="1063"/>
      <c r="K2528" s="1063"/>
      <c r="L2528" s="1063"/>
    </row>
    <row r="2529" spans="5:12" x14ac:dyDescent="0.2">
      <c r="E2529" s="1063"/>
      <c r="H2529" s="1066"/>
      <c r="I2529" s="1063"/>
      <c r="J2529" s="1063"/>
      <c r="K2529" s="1063"/>
      <c r="L2529" s="1063"/>
    </row>
    <row r="2530" spans="5:12" x14ac:dyDescent="0.2">
      <c r="E2530" s="1063"/>
      <c r="H2530" s="1066"/>
      <c r="I2530" s="1063"/>
      <c r="J2530" s="1063"/>
      <c r="K2530" s="1063"/>
      <c r="L2530" s="1063"/>
    </row>
    <row r="2531" spans="5:12" x14ac:dyDescent="0.2">
      <c r="E2531" s="1063"/>
      <c r="H2531" s="1066"/>
      <c r="I2531" s="1063"/>
      <c r="J2531" s="1063"/>
      <c r="K2531" s="1063"/>
      <c r="L2531" s="1063"/>
    </row>
    <row r="2532" spans="5:12" x14ac:dyDescent="0.2">
      <c r="E2532" s="1063"/>
      <c r="H2532" s="1066"/>
      <c r="I2532" s="1063"/>
      <c r="J2532" s="1063"/>
      <c r="K2532" s="1063"/>
      <c r="L2532" s="1063"/>
    </row>
    <row r="2533" spans="5:12" x14ac:dyDescent="0.2">
      <c r="E2533" s="1063"/>
      <c r="H2533" s="1066"/>
      <c r="I2533" s="1063"/>
      <c r="J2533" s="1063"/>
      <c r="K2533" s="1063"/>
      <c r="L2533" s="1063"/>
    </row>
    <row r="2534" spans="5:12" x14ac:dyDescent="0.2">
      <c r="E2534" s="1063"/>
      <c r="H2534" s="1066"/>
      <c r="I2534" s="1063"/>
      <c r="J2534" s="1063"/>
      <c r="K2534" s="1063"/>
      <c r="L2534" s="1063"/>
    </row>
    <row r="2535" spans="5:12" x14ac:dyDescent="0.2">
      <c r="E2535" s="1063"/>
      <c r="H2535" s="1066"/>
      <c r="I2535" s="1063"/>
      <c r="J2535" s="1063"/>
      <c r="K2535" s="1063"/>
      <c r="L2535" s="1063"/>
    </row>
    <row r="2536" spans="5:12" x14ac:dyDescent="0.2">
      <c r="E2536" s="1063"/>
      <c r="H2536" s="1066"/>
      <c r="I2536" s="1063"/>
      <c r="J2536" s="1063"/>
      <c r="K2536" s="1063"/>
      <c r="L2536" s="1063"/>
    </row>
    <row r="2537" spans="5:12" x14ac:dyDescent="0.2">
      <c r="E2537" s="1063"/>
      <c r="H2537" s="1066"/>
      <c r="I2537" s="1063"/>
      <c r="J2537" s="1063"/>
      <c r="K2537" s="1063"/>
      <c r="L2537" s="1063"/>
    </row>
    <row r="2538" spans="5:12" x14ac:dyDescent="0.2">
      <c r="E2538" s="1063"/>
      <c r="H2538" s="1066"/>
      <c r="I2538" s="1063"/>
      <c r="J2538" s="1063"/>
      <c r="K2538" s="1063"/>
      <c r="L2538" s="1063"/>
    </row>
    <row r="2539" spans="5:12" x14ac:dyDescent="0.2">
      <c r="E2539" s="1063"/>
      <c r="H2539" s="1066"/>
      <c r="I2539" s="1063"/>
      <c r="J2539" s="1063"/>
      <c r="K2539" s="1063"/>
      <c r="L2539" s="1063"/>
    </row>
    <row r="2540" spans="5:12" x14ac:dyDescent="0.2">
      <c r="E2540" s="1063"/>
      <c r="H2540" s="1066"/>
      <c r="I2540" s="1063"/>
      <c r="J2540" s="1063"/>
      <c r="K2540" s="1063"/>
      <c r="L2540" s="1063"/>
    </row>
    <row r="2541" spans="5:12" x14ac:dyDescent="0.2">
      <c r="E2541" s="1063"/>
      <c r="H2541" s="1066"/>
      <c r="I2541" s="1063"/>
      <c r="J2541" s="1063"/>
      <c r="K2541" s="1063"/>
      <c r="L2541" s="1063"/>
    </row>
    <row r="2542" spans="5:12" x14ac:dyDescent="0.2">
      <c r="E2542" s="1063"/>
      <c r="H2542" s="1066"/>
      <c r="I2542" s="1063"/>
      <c r="J2542" s="1063"/>
      <c r="K2542" s="1063"/>
      <c r="L2542" s="1063"/>
    </row>
    <row r="2543" spans="5:12" x14ac:dyDescent="0.2">
      <c r="E2543" s="1063"/>
      <c r="H2543" s="1066"/>
      <c r="I2543" s="1063"/>
      <c r="J2543" s="1063"/>
      <c r="K2543" s="1063"/>
      <c r="L2543" s="1063"/>
    </row>
    <row r="2544" spans="5:12" x14ac:dyDescent="0.2">
      <c r="E2544" s="1063"/>
      <c r="H2544" s="1066"/>
      <c r="I2544" s="1063"/>
      <c r="J2544" s="1063"/>
      <c r="K2544" s="1063"/>
      <c r="L2544" s="1063"/>
    </row>
    <row r="2545" spans="5:12" x14ac:dyDescent="0.2">
      <c r="E2545" s="1063"/>
      <c r="H2545" s="1066"/>
      <c r="I2545" s="1063"/>
      <c r="J2545" s="1063"/>
      <c r="K2545" s="1063"/>
      <c r="L2545" s="1063"/>
    </row>
    <row r="2546" spans="5:12" x14ac:dyDescent="0.2">
      <c r="E2546" s="1063"/>
      <c r="H2546" s="1066"/>
      <c r="I2546" s="1063"/>
      <c r="J2546" s="1063"/>
      <c r="K2546" s="1063"/>
      <c r="L2546" s="1063"/>
    </row>
    <row r="2547" spans="5:12" x14ac:dyDescent="0.2">
      <c r="E2547" s="1063"/>
      <c r="H2547" s="1066"/>
      <c r="I2547" s="1063"/>
      <c r="J2547" s="1063"/>
      <c r="K2547" s="1063"/>
      <c r="L2547" s="1063"/>
    </row>
    <row r="2548" spans="5:12" x14ac:dyDescent="0.2">
      <c r="E2548" s="1063"/>
      <c r="H2548" s="1066"/>
      <c r="I2548" s="1063"/>
      <c r="J2548" s="1063"/>
      <c r="K2548" s="1063"/>
      <c r="L2548" s="1063"/>
    </row>
    <row r="2549" spans="5:12" x14ac:dyDescent="0.2">
      <c r="E2549" s="1063"/>
      <c r="H2549" s="1066"/>
      <c r="I2549" s="1063"/>
      <c r="J2549" s="1063"/>
      <c r="K2549" s="1063"/>
      <c r="L2549" s="1063"/>
    </row>
    <row r="2550" spans="5:12" x14ac:dyDescent="0.2">
      <c r="E2550" s="1063"/>
      <c r="H2550" s="1066"/>
      <c r="I2550" s="1063"/>
      <c r="J2550" s="1063"/>
      <c r="K2550" s="1063"/>
      <c r="L2550" s="1063"/>
    </row>
    <row r="2551" spans="5:12" x14ac:dyDescent="0.2">
      <c r="E2551" s="1063"/>
      <c r="H2551" s="1066"/>
      <c r="I2551" s="1063"/>
      <c r="J2551" s="1063"/>
      <c r="K2551" s="1063"/>
      <c r="L2551" s="1063"/>
    </row>
    <row r="2552" spans="5:12" x14ac:dyDescent="0.2">
      <c r="E2552" s="1063"/>
      <c r="H2552" s="1066"/>
      <c r="I2552" s="1063"/>
      <c r="J2552" s="1063"/>
      <c r="K2552" s="1063"/>
      <c r="L2552" s="1063"/>
    </row>
    <row r="2553" spans="5:12" x14ac:dyDescent="0.2">
      <c r="E2553" s="1063"/>
      <c r="H2553" s="1066"/>
      <c r="I2553" s="1063"/>
      <c r="J2553" s="1063"/>
      <c r="K2553" s="1063"/>
      <c r="L2553" s="1063"/>
    </row>
    <row r="2554" spans="5:12" x14ac:dyDescent="0.2">
      <c r="E2554" s="1063"/>
      <c r="H2554" s="1066"/>
      <c r="I2554" s="1063"/>
      <c r="J2554" s="1063"/>
      <c r="K2554" s="1063"/>
      <c r="L2554" s="1063"/>
    </row>
    <row r="2555" spans="5:12" x14ac:dyDescent="0.2">
      <c r="E2555" s="1063"/>
      <c r="H2555" s="1066"/>
      <c r="I2555" s="1063"/>
      <c r="J2555" s="1063"/>
      <c r="K2555" s="1063"/>
      <c r="L2555" s="1063"/>
    </row>
    <row r="2556" spans="5:12" x14ac:dyDescent="0.2">
      <c r="E2556" s="1063"/>
      <c r="H2556" s="1066"/>
      <c r="I2556" s="1063"/>
      <c r="J2556" s="1063"/>
      <c r="K2556" s="1063"/>
      <c r="L2556" s="1063"/>
    </row>
    <row r="2557" spans="5:12" x14ac:dyDescent="0.2">
      <c r="E2557" s="1063"/>
      <c r="H2557" s="1066"/>
      <c r="I2557" s="1063"/>
      <c r="J2557" s="1063"/>
      <c r="K2557" s="1063"/>
      <c r="L2557" s="1063"/>
    </row>
    <row r="2558" spans="5:12" x14ac:dyDescent="0.2">
      <c r="E2558" s="1063"/>
      <c r="H2558" s="1066"/>
      <c r="I2558" s="1063"/>
      <c r="J2558" s="1063"/>
      <c r="K2558" s="1063"/>
      <c r="L2558" s="1063"/>
    </row>
    <row r="2559" spans="5:12" x14ac:dyDescent="0.2">
      <c r="E2559" s="1063"/>
      <c r="H2559" s="1066"/>
      <c r="I2559" s="1063"/>
      <c r="J2559" s="1063"/>
      <c r="K2559" s="1063"/>
      <c r="L2559" s="1063"/>
    </row>
    <row r="2560" spans="5:12" x14ac:dyDescent="0.2">
      <c r="E2560" s="1063"/>
      <c r="H2560" s="1066"/>
      <c r="I2560" s="1063"/>
      <c r="J2560" s="1063"/>
      <c r="K2560" s="1063"/>
      <c r="L2560" s="1063"/>
    </row>
    <row r="2561" spans="5:12" x14ac:dyDescent="0.2">
      <c r="E2561" s="1063"/>
      <c r="H2561" s="1066"/>
      <c r="I2561" s="1063"/>
      <c r="J2561" s="1063"/>
      <c r="K2561" s="1063"/>
      <c r="L2561" s="1063"/>
    </row>
    <row r="2562" spans="5:12" x14ac:dyDescent="0.2">
      <c r="E2562" s="1063"/>
      <c r="H2562" s="1066"/>
      <c r="I2562" s="1063"/>
      <c r="J2562" s="1063"/>
      <c r="K2562" s="1063"/>
      <c r="L2562" s="1063"/>
    </row>
    <row r="2563" spans="5:12" x14ac:dyDescent="0.2">
      <c r="E2563" s="1063"/>
      <c r="H2563" s="1066"/>
      <c r="I2563" s="1063"/>
      <c r="J2563" s="1063"/>
      <c r="K2563" s="1063"/>
      <c r="L2563" s="1063"/>
    </row>
    <row r="2564" spans="5:12" x14ac:dyDescent="0.2">
      <c r="E2564" s="1063"/>
      <c r="H2564" s="1066"/>
      <c r="I2564" s="1063"/>
      <c r="J2564" s="1063"/>
      <c r="K2564" s="1063"/>
      <c r="L2564" s="1063"/>
    </row>
    <row r="2565" spans="5:12" x14ac:dyDescent="0.2">
      <c r="E2565" s="1063"/>
      <c r="H2565" s="1066"/>
      <c r="I2565" s="1063"/>
      <c r="J2565" s="1063"/>
      <c r="K2565" s="1063"/>
      <c r="L2565" s="1063"/>
    </row>
    <row r="2566" spans="5:12" x14ac:dyDescent="0.2">
      <c r="E2566" s="1063"/>
      <c r="H2566" s="1066"/>
      <c r="I2566" s="1063"/>
      <c r="J2566" s="1063"/>
      <c r="K2566" s="1063"/>
      <c r="L2566" s="1063"/>
    </row>
    <row r="2567" spans="5:12" x14ac:dyDescent="0.2">
      <c r="E2567" s="1063"/>
      <c r="H2567" s="1066"/>
      <c r="I2567" s="1063"/>
      <c r="J2567" s="1063"/>
      <c r="K2567" s="1063"/>
      <c r="L2567" s="1063"/>
    </row>
    <row r="2568" spans="5:12" x14ac:dyDescent="0.2">
      <c r="E2568" s="1063"/>
      <c r="H2568" s="1066"/>
      <c r="I2568" s="1063"/>
      <c r="J2568" s="1063"/>
      <c r="K2568" s="1063"/>
      <c r="L2568" s="1063"/>
    </row>
    <row r="2569" spans="5:12" x14ac:dyDescent="0.2">
      <c r="E2569" s="1063"/>
      <c r="H2569" s="1066"/>
      <c r="I2569" s="1063"/>
      <c r="J2569" s="1063"/>
      <c r="K2569" s="1063"/>
      <c r="L2569" s="1063"/>
    </row>
    <row r="2570" spans="5:12" x14ac:dyDescent="0.2">
      <c r="E2570" s="1063"/>
      <c r="H2570" s="1066"/>
      <c r="I2570" s="1063"/>
      <c r="J2570" s="1063"/>
      <c r="K2570" s="1063"/>
      <c r="L2570" s="1063"/>
    </row>
    <row r="2571" spans="5:12" x14ac:dyDescent="0.2">
      <c r="E2571" s="1063"/>
      <c r="H2571" s="1066"/>
      <c r="I2571" s="1063"/>
      <c r="J2571" s="1063"/>
      <c r="K2571" s="1063"/>
      <c r="L2571" s="1063"/>
    </row>
    <row r="2572" spans="5:12" x14ac:dyDescent="0.2">
      <c r="E2572" s="1063"/>
      <c r="H2572" s="1066"/>
      <c r="I2572" s="1063"/>
      <c r="J2572" s="1063"/>
      <c r="K2572" s="1063"/>
      <c r="L2572" s="1063"/>
    </row>
    <row r="2573" spans="5:12" x14ac:dyDescent="0.2">
      <c r="E2573" s="1063"/>
      <c r="H2573" s="1066"/>
      <c r="I2573" s="1063"/>
      <c r="J2573" s="1063"/>
      <c r="K2573" s="1063"/>
      <c r="L2573" s="1063"/>
    </row>
    <row r="2574" spans="5:12" x14ac:dyDescent="0.2">
      <c r="E2574" s="1063"/>
      <c r="H2574" s="1066"/>
      <c r="I2574" s="1063"/>
      <c r="J2574" s="1063"/>
      <c r="K2574" s="1063"/>
      <c r="L2574" s="1063"/>
    </row>
    <row r="2575" spans="5:12" x14ac:dyDescent="0.2">
      <c r="E2575" s="1063"/>
      <c r="H2575" s="1066"/>
      <c r="I2575" s="1063"/>
      <c r="J2575" s="1063"/>
      <c r="K2575" s="1063"/>
      <c r="L2575" s="1063"/>
    </row>
    <row r="2576" spans="5:12" x14ac:dyDescent="0.2">
      <c r="E2576" s="1063"/>
      <c r="H2576" s="1066"/>
      <c r="I2576" s="1063"/>
      <c r="J2576" s="1063"/>
      <c r="K2576" s="1063"/>
      <c r="L2576" s="1063"/>
    </row>
    <row r="2577" spans="5:12" x14ac:dyDescent="0.2">
      <c r="E2577" s="1063"/>
      <c r="H2577" s="1066"/>
      <c r="I2577" s="1063"/>
      <c r="J2577" s="1063"/>
      <c r="K2577" s="1063"/>
      <c r="L2577" s="1063"/>
    </row>
    <row r="2578" spans="5:12" x14ac:dyDescent="0.2">
      <c r="E2578" s="1063"/>
      <c r="H2578" s="1066"/>
      <c r="I2578" s="1063"/>
      <c r="J2578" s="1063"/>
      <c r="K2578" s="1063"/>
      <c r="L2578" s="1063"/>
    </row>
    <row r="2579" spans="5:12" x14ac:dyDescent="0.2">
      <c r="E2579" s="1063"/>
      <c r="H2579" s="1066"/>
      <c r="I2579" s="1063"/>
      <c r="J2579" s="1063"/>
      <c r="K2579" s="1063"/>
      <c r="L2579" s="1063"/>
    </row>
    <row r="2580" spans="5:12" x14ac:dyDescent="0.2">
      <c r="E2580" s="1063"/>
      <c r="H2580" s="1066"/>
      <c r="I2580" s="1063"/>
      <c r="J2580" s="1063"/>
      <c r="K2580" s="1063"/>
      <c r="L2580" s="1063"/>
    </row>
    <row r="2581" spans="5:12" x14ac:dyDescent="0.2">
      <c r="E2581" s="1063"/>
      <c r="H2581" s="1066"/>
      <c r="I2581" s="1063"/>
      <c r="J2581" s="1063"/>
      <c r="K2581" s="1063"/>
      <c r="L2581" s="1063"/>
    </row>
    <row r="2582" spans="5:12" x14ac:dyDescent="0.2">
      <c r="E2582" s="1063"/>
      <c r="H2582" s="1066"/>
      <c r="I2582" s="1063"/>
      <c r="J2582" s="1063"/>
      <c r="K2582" s="1063"/>
      <c r="L2582" s="1063"/>
    </row>
    <row r="2583" spans="5:12" x14ac:dyDescent="0.2">
      <c r="E2583" s="1063"/>
      <c r="H2583" s="1066"/>
      <c r="I2583" s="1063"/>
      <c r="J2583" s="1063"/>
      <c r="K2583" s="1063"/>
      <c r="L2583" s="1063"/>
    </row>
    <row r="2584" spans="5:12" x14ac:dyDescent="0.2">
      <c r="E2584" s="1063"/>
      <c r="H2584" s="1066"/>
      <c r="I2584" s="1063"/>
      <c r="J2584" s="1063"/>
      <c r="K2584" s="1063"/>
      <c r="L2584" s="1063"/>
    </row>
    <row r="2585" spans="5:12" x14ac:dyDescent="0.2">
      <c r="E2585" s="1063"/>
      <c r="H2585" s="1066"/>
      <c r="I2585" s="1063"/>
      <c r="J2585" s="1063"/>
      <c r="K2585" s="1063"/>
      <c r="L2585" s="1063"/>
    </row>
    <row r="2586" spans="5:12" x14ac:dyDescent="0.2">
      <c r="E2586" s="1063"/>
      <c r="H2586" s="1066"/>
      <c r="I2586" s="1063"/>
      <c r="J2586" s="1063"/>
      <c r="K2586" s="1063"/>
      <c r="L2586" s="1063"/>
    </row>
    <row r="2587" spans="5:12" x14ac:dyDescent="0.2">
      <c r="E2587" s="1063"/>
      <c r="H2587" s="1066"/>
      <c r="I2587" s="1063"/>
      <c r="J2587" s="1063"/>
      <c r="K2587" s="1063"/>
      <c r="L2587" s="1063"/>
    </row>
    <row r="2588" spans="5:12" x14ac:dyDescent="0.2">
      <c r="E2588" s="1063"/>
      <c r="H2588" s="1066"/>
      <c r="I2588" s="1063"/>
      <c r="J2588" s="1063"/>
      <c r="K2588" s="1063"/>
      <c r="L2588" s="1063"/>
    </row>
    <row r="2589" spans="5:12" x14ac:dyDescent="0.2">
      <c r="E2589" s="1063"/>
      <c r="H2589" s="1066"/>
      <c r="I2589" s="1063"/>
      <c r="J2589" s="1063"/>
      <c r="K2589" s="1063"/>
      <c r="L2589" s="1063"/>
    </row>
    <row r="2590" spans="5:12" x14ac:dyDescent="0.2">
      <c r="E2590" s="1063"/>
      <c r="H2590" s="1066"/>
      <c r="I2590" s="1063"/>
      <c r="J2590" s="1063"/>
      <c r="K2590" s="1063"/>
      <c r="L2590" s="1063"/>
    </row>
    <row r="2591" spans="5:12" x14ac:dyDescent="0.2">
      <c r="E2591" s="1063"/>
      <c r="H2591" s="1066"/>
      <c r="I2591" s="1063"/>
      <c r="J2591" s="1063"/>
      <c r="K2591" s="1063"/>
      <c r="L2591" s="1063"/>
    </row>
    <row r="2592" spans="5:12" x14ac:dyDescent="0.2">
      <c r="E2592" s="1063"/>
      <c r="H2592" s="1066"/>
      <c r="I2592" s="1063"/>
      <c r="J2592" s="1063"/>
      <c r="K2592" s="1063"/>
      <c r="L2592" s="1063"/>
    </row>
    <row r="2593" spans="5:12" x14ac:dyDescent="0.2">
      <c r="E2593" s="1063"/>
      <c r="H2593" s="1066"/>
      <c r="I2593" s="1063"/>
      <c r="J2593" s="1063"/>
      <c r="K2593" s="1063"/>
      <c r="L2593" s="1063"/>
    </row>
    <row r="2594" spans="5:12" x14ac:dyDescent="0.2">
      <c r="E2594" s="1063"/>
      <c r="H2594" s="1066"/>
      <c r="I2594" s="1063"/>
      <c r="J2594" s="1063"/>
      <c r="K2594" s="1063"/>
      <c r="L2594" s="1063"/>
    </row>
    <row r="2595" spans="5:12" x14ac:dyDescent="0.2">
      <c r="E2595" s="1063"/>
      <c r="H2595" s="1066"/>
      <c r="I2595" s="1063"/>
      <c r="J2595" s="1063"/>
      <c r="K2595" s="1063"/>
      <c r="L2595" s="1063"/>
    </row>
    <row r="2596" spans="5:12" x14ac:dyDescent="0.2">
      <c r="E2596" s="1063"/>
      <c r="H2596" s="1066"/>
      <c r="I2596" s="1063"/>
      <c r="J2596" s="1063"/>
      <c r="K2596" s="1063"/>
      <c r="L2596" s="1063"/>
    </row>
    <row r="2597" spans="5:12" x14ac:dyDescent="0.2">
      <c r="E2597" s="1063"/>
      <c r="H2597" s="1066"/>
      <c r="I2597" s="1063"/>
      <c r="J2597" s="1063"/>
      <c r="K2597" s="1063"/>
      <c r="L2597" s="1063"/>
    </row>
    <row r="2598" spans="5:12" x14ac:dyDescent="0.2">
      <c r="E2598" s="1063"/>
      <c r="H2598" s="1066"/>
      <c r="I2598" s="1063"/>
      <c r="J2598" s="1063"/>
      <c r="K2598" s="1063"/>
      <c r="L2598" s="1063"/>
    </row>
    <row r="2599" spans="5:12" x14ac:dyDescent="0.2">
      <c r="E2599" s="1063"/>
      <c r="H2599" s="1066"/>
      <c r="I2599" s="1063"/>
      <c r="J2599" s="1063"/>
      <c r="K2599" s="1063"/>
      <c r="L2599" s="1063"/>
    </row>
    <row r="2600" spans="5:12" x14ac:dyDescent="0.2">
      <c r="E2600" s="1063"/>
      <c r="H2600" s="1066"/>
      <c r="I2600" s="1063"/>
      <c r="J2600" s="1063"/>
      <c r="K2600" s="1063"/>
      <c r="L2600" s="1063"/>
    </row>
    <row r="2601" spans="5:12" x14ac:dyDescent="0.2">
      <c r="E2601" s="1063"/>
      <c r="H2601" s="1066"/>
      <c r="I2601" s="1063"/>
      <c r="J2601" s="1063"/>
      <c r="K2601" s="1063"/>
      <c r="L2601" s="1063"/>
    </row>
    <row r="2602" spans="5:12" x14ac:dyDescent="0.2">
      <c r="E2602" s="1063"/>
      <c r="H2602" s="1066"/>
      <c r="I2602" s="1063"/>
      <c r="J2602" s="1063"/>
      <c r="K2602" s="1063"/>
      <c r="L2602" s="1063"/>
    </row>
    <row r="2603" spans="5:12" x14ac:dyDescent="0.2">
      <c r="E2603" s="1063"/>
      <c r="H2603" s="1066"/>
      <c r="I2603" s="1063"/>
      <c r="J2603" s="1063"/>
      <c r="K2603" s="1063"/>
      <c r="L2603" s="1063"/>
    </row>
    <row r="2604" spans="5:12" x14ac:dyDescent="0.2">
      <c r="E2604" s="1063"/>
      <c r="H2604" s="1066"/>
      <c r="I2604" s="1063"/>
      <c r="J2604" s="1063"/>
      <c r="K2604" s="1063"/>
      <c r="L2604" s="1063"/>
    </row>
    <row r="2605" spans="5:12" x14ac:dyDescent="0.2">
      <c r="E2605" s="1063"/>
      <c r="H2605" s="1066"/>
      <c r="I2605" s="1063"/>
      <c r="J2605" s="1063"/>
      <c r="K2605" s="1063"/>
      <c r="L2605" s="1063"/>
    </row>
    <row r="2606" spans="5:12" x14ac:dyDescent="0.2">
      <c r="E2606" s="1063"/>
      <c r="H2606" s="1066"/>
      <c r="I2606" s="1063"/>
      <c r="J2606" s="1063"/>
      <c r="K2606" s="1063"/>
      <c r="L2606" s="1063"/>
    </row>
    <row r="2607" spans="5:12" x14ac:dyDescent="0.2">
      <c r="E2607" s="1063"/>
      <c r="H2607" s="1066"/>
      <c r="I2607" s="1063"/>
      <c r="J2607" s="1063"/>
      <c r="K2607" s="1063"/>
      <c r="L2607" s="1063"/>
    </row>
    <row r="2608" spans="5:12" x14ac:dyDescent="0.2">
      <c r="E2608" s="1063"/>
      <c r="H2608" s="1066"/>
      <c r="I2608" s="1063"/>
      <c r="J2608" s="1063"/>
      <c r="K2608" s="1063"/>
      <c r="L2608" s="1063"/>
    </row>
    <row r="2609" spans="5:12" x14ac:dyDescent="0.2">
      <c r="E2609" s="1063"/>
      <c r="H2609" s="1066"/>
      <c r="I2609" s="1063"/>
      <c r="J2609" s="1063"/>
      <c r="K2609" s="1063"/>
      <c r="L2609" s="1063"/>
    </row>
    <row r="2610" spans="5:12" x14ac:dyDescent="0.2">
      <c r="E2610" s="1063"/>
      <c r="H2610" s="1066"/>
      <c r="I2610" s="1063"/>
      <c r="J2610" s="1063"/>
      <c r="K2610" s="1063"/>
      <c r="L2610" s="1063"/>
    </row>
    <row r="2611" spans="5:12" x14ac:dyDescent="0.2">
      <c r="E2611" s="1063"/>
      <c r="H2611" s="1066"/>
      <c r="I2611" s="1063"/>
      <c r="J2611" s="1063"/>
      <c r="K2611" s="1063"/>
      <c r="L2611" s="1063"/>
    </row>
    <row r="2612" spans="5:12" x14ac:dyDescent="0.2">
      <c r="E2612" s="1063"/>
      <c r="H2612" s="1066"/>
      <c r="I2612" s="1063"/>
      <c r="J2612" s="1063"/>
      <c r="K2612" s="1063"/>
      <c r="L2612" s="1063"/>
    </row>
    <row r="2613" spans="5:12" x14ac:dyDescent="0.2">
      <c r="E2613" s="1063"/>
      <c r="H2613" s="1066"/>
      <c r="I2613" s="1063"/>
      <c r="J2613" s="1063"/>
      <c r="K2613" s="1063"/>
      <c r="L2613" s="1063"/>
    </row>
    <row r="2614" spans="5:12" x14ac:dyDescent="0.2">
      <c r="E2614" s="1063"/>
      <c r="H2614" s="1066"/>
      <c r="I2614" s="1063"/>
      <c r="J2614" s="1063"/>
      <c r="K2614" s="1063"/>
      <c r="L2614" s="1063"/>
    </row>
    <row r="2615" spans="5:12" x14ac:dyDescent="0.2">
      <c r="E2615" s="1063"/>
      <c r="H2615" s="1066"/>
      <c r="I2615" s="1063"/>
      <c r="J2615" s="1063"/>
      <c r="K2615" s="1063"/>
      <c r="L2615" s="1063"/>
    </row>
    <row r="2616" spans="5:12" x14ac:dyDescent="0.2">
      <c r="E2616" s="1063"/>
      <c r="H2616" s="1066"/>
      <c r="I2616" s="1063"/>
      <c r="J2616" s="1063"/>
      <c r="K2616" s="1063"/>
      <c r="L2616" s="1063"/>
    </row>
    <row r="2617" spans="5:12" x14ac:dyDescent="0.2">
      <c r="E2617" s="1063"/>
      <c r="H2617" s="1066"/>
      <c r="I2617" s="1063"/>
      <c r="J2617" s="1063"/>
      <c r="K2617" s="1063"/>
      <c r="L2617" s="1063"/>
    </row>
    <row r="2618" spans="5:12" x14ac:dyDescent="0.2">
      <c r="E2618" s="1063"/>
      <c r="H2618" s="1066"/>
      <c r="I2618" s="1063"/>
      <c r="J2618" s="1063"/>
      <c r="K2618" s="1063"/>
      <c r="L2618" s="1063"/>
    </row>
    <row r="2619" spans="5:12" x14ac:dyDescent="0.2">
      <c r="E2619" s="1063"/>
      <c r="H2619" s="1066"/>
      <c r="I2619" s="1063"/>
      <c r="J2619" s="1063"/>
      <c r="K2619" s="1063"/>
      <c r="L2619" s="1063"/>
    </row>
    <row r="2620" spans="5:12" x14ac:dyDescent="0.2">
      <c r="E2620" s="1063"/>
      <c r="H2620" s="1066"/>
      <c r="I2620" s="1063"/>
      <c r="J2620" s="1063"/>
      <c r="K2620" s="1063"/>
      <c r="L2620" s="1063"/>
    </row>
    <row r="2621" spans="5:12" x14ac:dyDescent="0.2">
      <c r="E2621" s="1063"/>
      <c r="H2621" s="1066"/>
      <c r="I2621" s="1063"/>
      <c r="J2621" s="1063"/>
      <c r="K2621" s="1063"/>
      <c r="L2621" s="1063"/>
    </row>
    <row r="2622" spans="5:12" x14ac:dyDescent="0.2">
      <c r="E2622" s="1063"/>
      <c r="H2622" s="1066"/>
      <c r="I2622" s="1063"/>
      <c r="J2622" s="1063"/>
      <c r="K2622" s="1063"/>
      <c r="L2622" s="1063"/>
    </row>
    <row r="2623" spans="5:12" x14ac:dyDescent="0.2">
      <c r="E2623" s="1063"/>
      <c r="H2623" s="1066"/>
      <c r="I2623" s="1063"/>
      <c r="J2623" s="1063"/>
      <c r="K2623" s="1063"/>
      <c r="L2623" s="1063"/>
    </row>
    <row r="2624" spans="5:12" x14ac:dyDescent="0.2">
      <c r="E2624" s="1063"/>
      <c r="H2624" s="1066"/>
      <c r="I2624" s="1063"/>
      <c r="J2624" s="1063"/>
      <c r="K2624" s="1063"/>
      <c r="L2624" s="1063"/>
    </row>
    <row r="2625" spans="5:12" x14ac:dyDescent="0.2">
      <c r="E2625" s="1063"/>
      <c r="H2625" s="1066"/>
      <c r="I2625" s="1063"/>
      <c r="J2625" s="1063"/>
      <c r="K2625" s="1063"/>
      <c r="L2625" s="1063"/>
    </row>
    <row r="2626" spans="5:12" x14ac:dyDescent="0.2">
      <c r="E2626" s="1063"/>
      <c r="H2626" s="1066"/>
      <c r="I2626" s="1063"/>
      <c r="J2626" s="1063"/>
      <c r="K2626" s="1063"/>
      <c r="L2626" s="1063"/>
    </row>
    <row r="2627" spans="5:12" x14ac:dyDescent="0.2">
      <c r="E2627" s="1063"/>
      <c r="H2627" s="1066"/>
      <c r="I2627" s="1063"/>
      <c r="J2627" s="1063"/>
      <c r="K2627" s="1063"/>
      <c r="L2627" s="1063"/>
    </row>
    <row r="2628" spans="5:12" x14ac:dyDescent="0.2">
      <c r="E2628" s="1063"/>
      <c r="H2628" s="1066"/>
      <c r="I2628" s="1063"/>
      <c r="J2628" s="1063"/>
      <c r="K2628" s="1063"/>
      <c r="L2628" s="1063"/>
    </row>
    <row r="2629" spans="5:12" x14ac:dyDescent="0.2">
      <c r="E2629" s="1063"/>
      <c r="H2629" s="1066"/>
      <c r="I2629" s="1063"/>
      <c r="J2629" s="1063"/>
      <c r="K2629" s="1063"/>
      <c r="L2629" s="1063"/>
    </row>
    <row r="2630" spans="5:12" x14ac:dyDescent="0.2">
      <c r="E2630" s="1063"/>
      <c r="H2630" s="1066"/>
      <c r="I2630" s="1063"/>
      <c r="J2630" s="1063"/>
      <c r="K2630" s="1063"/>
      <c r="L2630" s="1063"/>
    </row>
    <row r="2631" spans="5:12" x14ac:dyDescent="0.2">
      <c r="E2631" s="1063"/>
      <c r="H2631" s="1066"/>
      <c r="I2631" s="1063"/>
      <c r="J2631" s="1063"/>
      <c r="K2631" s="1063"/>
      <c r="L2631" s="1063"/>
    </row>
    <row r="2632" spans="5:12" x14ac:dyDescent="0.2">
      <c r="E2632" s="1063"/>
      <c r="H2632" s="1066"/>
      <c r="I2632" s="1063"/>
      <c r="J2632" s="1063"/>
      <c r="K2632" s="1063"/>
      <c r="L2632" s="1063"/>
    </row>
    <row r="2633" spans="5:12" x14ac:dyDescent="0.2">
      <c r="E2633" s="1063"/>
      <c r="H2633" s="1066"/>
      <c r="I2633" s="1063"/>
      <c r="J2633" s="1063"/>
      <c r="K2633" s="1063"/>
      <c r="L2633" s="1063"/>
    </row>
    <row r="2634" spans="5:12" x14ac:dyDescent="0.2">
      <c r="E2634" s="1063"/>
      <c r="H2634" s="1066"/>
      <c r="I2634" s="1063"/>
      <c r="J2634" s="1063"/>
      <c r="K2634" s="1063"/>
      <c r="L2634" s="1063"/>
    </row>
    <row r="2635" spans="5:12" x14ac:dyDescent="0.2">
      <c r="E2635" s="1063"/>
      <c r="H2635" s="1066"/>
      <c r="I2635" s="1063"/>
      <c r="J2635" s="1063"/>
      <c r="K2635" s="1063"/>
      <c r="L2635" s="1063"/>
    </row>
    <row r="2636" spans="5:12" x14ac:dyDescent="0.2">
      <c r="E2636" s="1063"/>
      <c r="H2636" s="1066"/>
      <c r="I2636" s="1063"/>
      <c r="J2636" s="1063"/>
      <c r="K2636" s="1063"/>
      <c r="L2636" s="1063"/>
    </row>
    <row r="2637" spans="5:12" x14ac:dyDescent="0.2">
      <c r="E2637" s="1063"/>
      <c r="H2637" s="1066"/>
      <c r="I2637" s="1063"/>
      <c r="J2637" s="1063"/>
      <c r="K2637" s="1063"/>
      <c r="L2637" s="1063"/>
    </row>
    <row r="2638" spans="5:12" x14ac:dyDescent="0.2">
      <c r="E2638" s="1063"/>
      <c r="H2638" s="1066"/>
      <c r="I2638" s="1063"/>
      <c r="J2638" s="1063"/>
      <c r="K2638" s="1063"/>
      <c r="L2638" s="1063"/>
    </row>
    <row r="2639" spans="5:12" x14ac:dyDescent="0.2">
      <c r="E2639" s="1063"/>
      <c r="H2639" s="1066"/>
      <c r="I2639" s="1063"/>
      <c r="J2639" s="1063"/>
      <c r="K2639" s="1063"/>
      <c r="L2639" s="1063"/>
    </row>
    <row r="2640" spans="5:12" x14ac:dyDescent="0.2">
      <c r="E2640" s="1063"/>
      <c r="H2640" s="1066"/>
      <c r="I2640" s="1063"/>
      <c r="J2640" s="1063"/>
      <c r="K2640" s="1063"/>
      <c r="L2640" s="1063"/>
    </row>
    <row r="2641" spans="5:12" x14ac:dyDescent="0.2">
      <c r="E2641" s="1063"/>
      <c r="H2641" s="1066"/>
      <c r="I2641" s="1063"/>
      <c r="J2641" s="1063"/>
      <c r="K2641" s="1063"/>
      <c r="L2641" s="1063"/>
    </row>
    <row r="2642" spans="5:12" x14ac:dyDescent="0.2">
      <c r="E2642" s="1063"/>
      <c r="H2642" s="1066"/>
      <c r="I2642" s="1063"/>
      <c r="J2642" s="1063"/>
      <c r="K2642" s="1063"/>
      <c r="L2642" s="1063"/>
    </row>
    <row r="2643" spans="5:12" x14ac:dyDescent="0.2">
      <c r="E2643" s="1063"/>
      <c r="H2643" s="1066"/>
      <c r="I2643" s="1063"/>
      <c r="J2643" s="1063"/>
      <c r="K2643" s="1063"/>
      <c r="L2643" s="1063"/>
    </row>
    <row r="2644" spans="5:12" x14ac:dyDescent="0.2">
      <c r="E2644" s="1063"/>
      <c r="H2644" s="1066"/>
      <c r="I2644" s="1063"/>
      <c r="J2644" s="1063"/>
      <c r="K2644" s="1063"/>
      <c r="L2644" s="1063"/>
    </row>
    <row r="2645" spans="5:12" x14ac:dyDescent="0.2">
      <c r="E2645" s="1063"/>
      <c r="H2645" s="1066"/>
      <c r="I2645" s="1063"/>
      <c r="J2645" s="1063"/>
      <c r="K2645" s="1063"/>
      <c r="L2645" s="1063"/>
    </row>
    <row r="2646" spans="5:12" x14ac:dyDescent="0.2">
      <c r="E2646" s="1063"/>
      <c r="H2646" s="1066"/>
      <c r="I2646" s="1063"/>
      <c r="J2646" s="1063"/>
      <c r="K2646" s="1063"/>
      <c r="L2646" s="1063"/>
    </row>
    <row r="2647" spans="5:12" x14ac:dyDescent="0.2">
      <c r="E2647" s="1063"/>
      <c r="H2647" s="1066"/>
      <c r="I2647" s="1063"/>
      <c r="J2647" s="1063"/>
      <c r="K2647" s="1063"/>
      <c r="L2647" s="1063"/>
    </row>
    <row r="2648" spans="5:12" x14ac:dyDescent="0.2">
      <c r="E2648" s="1063"/>
      <c r="H2648" s="1066"/>
      <c r="I2648" s="1063"/>
      <c r="J2648" s="1063"/>
      <c r="K2648" s="1063"/>
      <c r="L2648" s="1063"/>
    </row>
    <row r="2649" spans="5:12" x14ac:dyDescent="0.2">
      <c r="E2649" s="1063"/>
      <c r="H2649" s="1066"/>
      <c r="I2649" s="1063"/>
      <c r="J2649" s="1063"/>
      <c r="K2649" s="1063"/>
      <c r="L2649" s="1063"/>
    </row>
    <row r="2650" spans="5:12" x14ac:dyDescent="0.2">
      <c r="E2650" s="1063"/>
      <c r="H2650" s="1066"/>
      <c r="I2650" s="1063"/>
      <c r="J2650" s="1063"/>
      <c r="K2650" s="1063"/>
      <c r="L2650" s="1063"/>
    </row>
    <row r="2651" spans="5:12" x14ac:dyDescent="0.2">
      <c r="E2651" s="1063"/>
      <c r="H2651" s="1066"/>
      <c r="I2651" s="1063"/>
      <c r="J2651" s="1063"/>
      <c r="K2651" s="1063"/>
      <c r="L2651" s="1063"/>
    </row>
    <row r="2652" spans="5:12" x14ac:dyDescent="0.2">
      <c r="E2652" s="1063"/>
      <c r="H2652" s="1066"/>
      <c r="I2652" s="1063"/>
      <c r="J2652" s="1063"/>
      <c r="K2652" s="1063"/>
      <c r="L2652" s="1063"/>
    </row>
    <row r="2653" spans="5:12" x14ac:dyDescent="0.2">
      <c r="E2653" s="1063"/>
      <c r="H2653" s="1066"/>
      <c r="I2653" s="1063"/>
      <c r="J2653" s="1063"/>
      <c r="K2653" s="1063"/>
      <c r="L2653" s="1063"/>
    </row>
    <row r="2654" spans="5:12" x14ac:dyDescent="0.2">
      <c r="E2654" s="1063"/>
      <c r="H2654" s="1066"/>
      <c r="I2654" s="1063"/>
      <c r="J2654" s="1063"/>
      <c r="K2654" s="1063"/>
      <c r="L2654" s="1063"/>
    </row>
    <row r="2655" spans="5:12" x14ac:dyDescent="0.2">
      <c r="E2655" s="1063"/>
      <c r="H2655" s="1066"/>
      <c r="I2655" s="1063"/>
      <c r="J2655" s="1063"/>
      <c r="K2655" s="1063"/>
      <c r="L2655" s="1063"/>
    </row>
    <row r="2656" spans="5:12" x14ac:dyDescent="0.2">
      <c r="E2656" s="1063"/>
      <c r="H2656" s="1066"/>
      <c r="I2656" s="1063"/>
      <c r="J2656" s="1063"/>
      <c r="K2656" s="1063"/>
      <c r="L2656" s="1063"/>
    </row>
    <row r="2657" spans="5:12" x14ac:dyDescent="0.2">
      <c r="E2657" s="1063"/>
      <c r="H2657" s="1066"/>
      <c r="I2657" s="1063"/>
      <c r="J2657" s="1063"/>
      <c r="K2657" s="1063"/>
      <c r="L2657" s="1063"/>
    </row>
    <row r="2658" spans="5:12" x14ac:dyDescent="0.2">
      <c r="E2658" s="1063"/>
      <c r="H2658" s="1066"/>
      <c r="I2658" s="1063"/>
      <c r="J2658" s="1063"/>
      <c r="K2658" s="1063"/>
      <c r="L2658" s="1063"/>
    </row>
    <row r="2659" spans="5:12" x14ac:dyDescent="0.2">
      <c r="E2659" s="1063"/>
      <c r="H2659" s="1066"/>
      <c r="I2659" s="1063"/>
      <c r="J2659" s="1063"/>
      <c r="K2659" s="1063"/>
      <c r="L2659" s="1063"/>
    </row>
    <row r="2660" spans="5:12" x14ac:dyDescent="0.2">
      <c r="E2660" s="1063"/>
      <c r="H2660" s="1066"/>
      <c r="I2660" s="1063"/>
      <c r="J2660" s="1063"/>
      <c r="K2660" s="1063"/>
      <c r="L2660" s="1063"/>
    </row>
    <row r="2661" spans="5:12" x14ac:dyDescent="0.2">
      <c r="E2661" s="1063"/>
      <c r="H2661" s="1066"/>
      <c r="I2661" s="1063"/>
      <c r="J2661" s="1063"/>
      <c r="K2661" s="1063"/>
      <c r="L2661" s="1063"/>
    </row>
    <row r="2662" spans="5:12" x14ac:dyDescent="0.2">
      <c r="E2662" s="1063"/>
      <c r="H2662" s="1066"/>
      <c r="I2662" s="1063"/>
      <c r="J2662" s="1063"/>
      <c r="K2662" s="1063"/>
      <c r="L2662" s="1063"/>
    </row>
    <row r="2663" spans="5:12" x14ac:dyDescent="0.2">
      <c r="E2663" s="1063"/>
      <c r="H2663" s="1066"/>
      <c r="I2663" s="1063"/>
      <c r="J2663" s="1063"/>
      <c r="K2663" s="1063"/>
      <c r="L2663" s="1063"/>
    </row>
    <row r="2664" spans="5:12" x14ac:dyDescent="0.2">
      <c r="E2664" s="1063"/>
      <c r="H2664" s="1066"/>
      <c r="I2664" s="1063"/>
      <c r="J2664" s="1063"/>
      <c r="K2664" s="1063"/>
      <c r="L2664" s="1063"/>
    </row>
    <row r="2665" spans="5:12" x14ac:dyDescent="0.2">
      <c r="E2665" s="1063"/>
      <c r="H2665" s="1066"/>
      <c r="I2665" s="1063"/>
      <c r="J2665" s="1063"/>
      <c r="K2665" s="1063"/>
      <c r="L2665" s="1063"/>
    </row>
    <row r="2666" spans="5:12" x14ac:dyDescent="0.2">
      <c r="E2666" s="1063"/>
      <c r="H2666" s="1066"/>
      <c r="I2666" s="1063"/>
      <c r="J2666" s="1063"/>
      <c r="K2666" s="1063"/>
      <c r="L2666" s="1063"/>
    </row>
    <row r="2667" spans="5:12" x14ac:dyDescent="0.2">
      <c r="E2667" s="1063"/>
      <c r="H2667" s="1066"/>
      <c r="I2667" s="1063"/>
      <c r="J2667" s="1063"/>
      <c r="K2667" s="1063"/>
      <c r="L2667" s="1063"/>
    </row>
    <row r="2668" spans="5:12" x14ac:dyDescent="0.2">
      <c r="E2668" s="1063"/>
      <c r="H2668" s="1066"/>
      <c r="I2668" s="1063"/>
      <c r="J2668" s="1063"/>
      <c r="K2668" s="1063"/>
      <c r="L2668" s="1063"/>
    </row>
    <row r="2669" spans="5:12" x14ac:dyDescent="0.2">
      <c r="E2669" s="1063"/>
      <c r="H2669" s="1066"/>
      <c r="I2669" s="1063"/>
      <c r="J2669" s="1063"/>
      <c r="K2669" s="1063"/>
      <c r="L2669" s="1063"/>
    </row>
    <row r="2670" spans="5:12" x14ac:dyDescent="0.2">
      <c r="E2670" s="1063"/>
      <c r="H2670" s="1066"/>
      <c r="I2670" s="1063"/>
      <c r="J2670" s="1063"/>
      <c r="K2670" s="1063"/>
      <c r="L2670" s="1063"/>
    </row>
    <row r="2671" spans="5:12" x14ac:dyDescent="0.2">
      <c r="E2671" s="1063"/>
      <c r="H2671" s="1066"/>
      <c r="I2671" s="1063"/>
      <c r="J2671" s="1063"/>
      <c r="K2671" s="1063"/>
      <c r="L2671" s="1063"/>
    </row>
    <row r="2672" spans="5:12" x14ac:dyDescent="0.2">
      <c r="E2672" s="1063"/>
      <c r="H2672" s="1066"/>
      <c r="I2672" s="1063"/>
      <c r="J2672" s="1063"/>
      <c r="K2672" s="1063"/>
      <c r="L2672" s="1063"/>
    </row>
    <row r="2673" spans="5:12" x14ac:dyDescent="0.2">
      <c r="E2673" s="1063"/>
      <c r="H2673" s="1066"/>
      <c r="I2673" s="1063"/>
      <c r="J2673" s="1063"/>
      <c r="K2673" s="1063"/>
      <c r="L2673" s="1063"/>
    </row>
    <row r="2674" spans="5:12" x14ac:dyDescent="0.2">
      <c r="E2674" s="1063"/>
      <c r="H2674" s="1066"/>
      <c r="I2674" s="1063"/>
      <c r="J2674" s="1063"/>
      <c r="K2674" s="1063"/>
      <c r="L2674" s="1063"/>
    </row>
    <row r="2675" spans="5:12" x14ac:dyDescent="0.2">
      <c r="E2675" s="1063"/>
      <c r="H2675" s="1066"/>
      <c r="I2675" s="1063"/>
      <c r="J2675" s="1063"/>
      <c r="K2675" s="1063"/>
      <c r="L2675" s="1063"/>
    </row>
    <row r="2676" spans="5:12" x14ac:dyDescent="0.2">
      <c r="E2676" s="1063"/>
      <c r="H2676" s="1066"/>
      <c r="I2676" s="1063"/>
      <c r="J2676" s="1063"/>
      <c r="K2676" s="1063"/>
      <c r="L2676" s="1063"/>
    </row>
    <row r="2677" spans="5:12" x14ac:dyDescent="0.2">
      <c r="E2677" s="1063"/>
      <c r="H2677" s="1066"/>
      <c r="I2677" s="1063"/>
      <c r="J2677" s="1063"/>
      <c r="K2677" s="1063"/>
      <c r="L2677" s="1063"/>
    </row>
    <row r="2678" spans="5:12" x14ac:dyDescent="0.2">
      <c r="E2678" s="1063"/>
      <c r="H2678" s="1066"/>
      <c r="I2678" s="1063"/>
      <c r="J2678" s="1063"/>
      <c r="K2678" s="1063"/>
      <c r="L2678" s="1063"/>
    </row>
    <row r="2679" spans="5:12" x14ac:dyDescent="0.2">
      <c r="E2679" s="1063"/>
      <c r="H2679" s="1066"/>
      <c r="I2679" s="1063"/>
      <c r="J2679" s="1063"/>
      <c r="K2679" s="1063"/>
      <c r="L2679" s="1063"/>
    </row>
    <row r="2680" spans="5:12" x14ac:dyDescent="0.2">
      <c r="E2680" s="1063"/>
      <c r="H2680" s="1066"/>
      <c r="I2680" s="1063"/>
      <c r="J2680" s="1063"/>
      <c r="K2680" s="1063"/>
      <c r="L2680" s="1063"/>
    </row>
    <row r="2681" spans="5:12" x14ac:dyDescent="0.2">
      <c r="E2681" s="1063"/>
      <c r="H2681" s="1066"/>
      <c r="I2681" s="1063"/>
      <c r="J2681" s="1063"/>
      <c r="K2681" s="1063"/>
      <c r="L2681" s="1063"/>
    </row>
    <row r="2682" spans="5:12" x14ac:dyDescent="0.2">
      <c r="E2682" s="1063"/>
      <c r="H2682" s="1066"/>
      <c r="I2682" s="1063"/>
      <c r="J2682" s="1063"/>
      <c r="K2682" s="1063"/>
      <c r="L2682" s="1063"/>
    </row>
    <row r="2683" spans="5:12" x14ac:dyDescent="0.2">
      <c r="E2683" s="1063"/>
      <c r="H2683" s="1066"/>
      <c r="I2683" s="1063"/>
      <c r="J2683" s="1063"/>
      <c r="K2683" s="1063"/>
      <c r="L2683" s="1063"/>
    </row>
    <row r="2684" spans="5:12" x14ac:dyDescent="0.2">
      <c r="E2684" s="1063"/>
      <c r="H2684" s="1066"/>
      <c r="I2684" s="1063"/>
      <c r="J2684" s="1063"/>
      <c r="K2684" s="1063"/>
      <c r="L2684" s="1063"/>
    </row>
    <row r="2685" spans="5:12" x14ac:dyDescent="0.2">
      <c r="E2685" s="1063"/>
      <c r="H2685" s="1066"/>
      <c r="I2685" s="1063"/>
      <c r="J2685" s="1063"/>
      <c r="K2685" s="1063"/>
      <c r="L2685" s="1063"/>
    </row>
    <row r="2686" spans="5:12" x14ac:dyDescent="0.2">
      <c r="E2686" s="1063"/>
      <c r="H2686" s="1066"/>
      <c r="I2686" s="1063"/>
      <c r="J2686" s="1063"/>
      <c r="K2686" s="1063"/>
      <c r="L2686" s="1063"/>
    </row>
    <row r="2687" spans="5:12" x14ac:dyDescent="0.2">
      <c r="E2687" s="1063"/>
      <c r="H2687" s="1066"/>
      <c r="I2687" s="1063"/>
      <c r="J2687" s="1063"/>
      <c r="K2687" s="1063"/>
      <c r="L2687" s="1063"/>
    </row>
    <row r="2688" spans="5:12" x14ac:dyDescent="0.2">
      <c r="E2688" s="1063"/>
      <c r="H2688" s="1066"/>
      <c r="I2688" s="1063"/>
      <c r="J2688" s="1063"/>
      <c r="K2688" s="1063"/>
      <c r="L2688" s="1063"/>
    </row>
    <row r="2689" spans="5:12" x14ac:dyDescent="0.2">
      <c r="E2689" s="1063"/>
      <c r="H2689" s="1066"/>
      <c r="I2689" s="1063"/>
      <c r="J2689" s="1063"/>
      <c r="K2689" s="1063"/>
      <c r="L2689" s="1063"/>
    </row>
    <row r="2690" spans="5:12" x14ac:dyDescent="0.2">
      <c r="E2690" s="1063"/>
      <c r="H2690" s="1066"/>
      <c r="I2690" s="1063"/>
      <c r="J2690" s="1063"/>
      <c r="K2690" s="1063"/>
      <c r="L2690" s="1063"/>
    </row>
    <row r="2691" spans="5:12" x14ac:dyDescent="0.2">
      <c r="E2691" s="1063"/>
      <c r="H2691" s="1066"/>
      <c r="I2691" s="1063"/>
      <c r="J2691" s="1063"/>
      <c r="K2691" s="1063"/>
      <c r="L2691" s="1063"/>
    </row>
    <row r="2692" spans="5:12" x14ac:dyDescent="0.2">
      <c r="E2692" s="1063"/>
      <c r="H2692" s="1066"/>
      <c r="I2692" s="1063"/>
      <c r="J2692" s="1063"/>
      <c r="K2692" s="1063"/>
      <c r="L2692" s="1063"/>
    </row>
    <row r="2693" spans="5:12" x14ac:dyDescent="0.2">
      <c r="E2693" s="1063"/>
      <c r="H2693" s="1066"/>
      <c r="I2693" s="1063"/>
      <c r="J2693" s="1063"/>
      <c r="K2693" s="1063"/>
      <c r="L2693" s="1063"/>
    </row>
    <row r="2694" spans="5:12" x14ac:dyDescent="0.2">
      <c r="E2694" s="1063"/>
      <c r="H2694" s="1066"/>
      <c r="I2694" s="1063"/>
      <c r="J2694" s="1063"/>
      <c r="K2694" s="1063"/>
      <c r="L2694" s="1063"/>
    </row>
    <row r="2695" spans="5:12" x14ac:dyDescent="0.2">
      <c r="E2695" s="1063"/>
      <c r="H2695" s="1066"/>
      <c r="I2695" s="1063"/>
      <c r="J2695" s="1063"/>
      <c r="K2695" s="1063"/>
      <c r="L2695" s="1063"/>
    </row>
    <row r="2696" spans="5:12" x14ac:dyDescent="0.2">
      <c r="E2696" s="1063"/>
      <c r="H2696" s="1066"/>
      <c r="I2696" s="1063"/>
      <c r="J2696" s="1063"/>
      <c r="K2696" s="1063"/>
      <c r="L2696" s="1063"/>
    </row>
    <row r="2697" spans="5:12" x14ac:dyDescent="0.2">
      <c r="E2697" s="1063"/>
      <c r="H2697" s="1066"/>
      <c r="I2697" s="1063"/>
      <c r="J2697" s="1063"/>
      <c r="K2697" s="1063"/>
      <c r="L2697" s="1063"/>
    </row>
    <row r="2698" spans="5:12" x14ac:dyDescent="0.2">
      <c r="E2698" s="1063"/>
      <c r="H2698" s="1066"/>
      <c r="I2698" s="1063"/>
      <c r="J2698" s="1063"/>
      <c r="K2698" s="1063"/>
      <c r="L2698" s="1063"/>
    </row>
    <row r="2699" spans="5:12" x14ac:dyDescent="0.2">
      <c r="E2699" s="1063"/>
      <c r="H2699" s="1066"/>
      <c r="I2699" s="1063"/>
      <c r="J2699" s="1063"/>
      <c r="K2699" s="1063"/>
      <c r="L2699" s="1063"/>
    </row>
    <row r="2700" spans="5:12" x14ac:dyDescent="0.2">
      <c r="E2700" s="1063"/>
      <c r="H2700" s="1066"/>
      <c r="I2700" s="1063"/>
      <c r="J2700" s="1063"/>
      <c r="K2700" s="1063"/>
      <c r="L2700" s="1063"/>
    </row>
    <row r="2701" spans="5:12" x14ac:dyDescent="0.2">
      <c r="E2701" s="1063"/>
      <c r="H2701" s="1066"/>
      <c r="I2701" s="1063"/>
      <c r="J2701" s="1063"/>
      <c r="K2701" s="1063"/>
      <c r="L2701" s="1063"/>
    </row>
    <row r="2702" spans="5:12" x14ac:dyDescent="0.2">
      <c r="E2702" s="1063"/>
      <c r="H2702" s="1066"/>
      <c r="I2702" s="1063"/>
      <c r="J2702" s="1063"/>
      <c r="K2702" s="1063"/>
      <c r="L2702" s="1063"/>
    </row>
    <row r="2703" spans="5:12" x14ac:dyDescent="0.2">
      <c r="E2703" s="1063"/>
      <c r="H2703" s="1066"/>
      <c r="I2703" s="1063"/>
      <c r="J2703" s="1063"/>
      <c r="K2703" s="1063"/>
      <c r="L2703" s="1063"/>
    </row>
    <row r="2704" spans="5:12" x14ac:dyDescent="0.2">
      <c r="E2704" s="1063"/>
      <c r="H2704" s="1066"/>
      <c r="I2704" s="1063"/>
      <c r="J2704" s="1063"/>
      <c r="K2704" s="1063"/>
      <c r="L2704" s="1063"/>
    </row>
    <row r="2705" spans="5:12" x14ac:dyDescent="0.2">
      <c r="E2705" s="1063"/>
      <c r="H2705" s="1066"/>
      <c r="I2705" s="1063"/>
      <c r="J2705" s="1063"/>
      <c r="K2705" s="1063"/>
      <c r="L2705" s="1063"/>
    </row>
    <row r="2706" spans="5:12" x14ac:dyDescent="0.2">
      <c r="E2706" s="1063"/>
      <c r="H2706" s="1066"/>
      <c r="I2706" s="1063"/>
      <c r="J2706" s="1063"/>
      <c r="K2706" s="1063"/>
      <c r="L2706" s="1063"/>
    </row>
    <row r="2707" spans="5:12" x14ac:dyDescent="0.2">
      <c r="E2707" s="1063"/>
      <c r="H2707" s="1066"/>
      <c r="I2707" s="1063"/>
      <c r="J2707" s="1063"/>
      <c r="K2707" s="1063"/>
      <c r="L2707" s="1063"/>
    </row>
    <row r="2708" spans="5:12" x14ac:dyDescent="0.2">
      <c r="E2708" s="1063"/>
      <c r="H2708" s="1066"/>
      <c r="I2708" s="1063"/>
      <c r="J2708" s="1063"/>
      <c r="K2708" s="1063"/>
      <c r="L2708" s="1063"/>
    </row>
    <row r="2709" spans="5:12" x14ac:dyDescent="0.2">
      <c r="E2709" s="1063"/>
      <c r="H2709" s="1066"/>
      <c r="I2709" s="1063"/>
      <c r="J2709" s="1063"/>
      <c r="K2709" s="1063"/>
      <c r="L2709" s="1063"/>
    </row>
    <row r="2710" spans="5:12" x14ac:dyDescent="0.2">
      <c r="E2710" s="1063"/>
      <c r="H2710" s="1066"/>
      <c r="I2710" s="1063"/>
      <c r="J2710" s="1063"/>
      <c r="K2710" s="1063"/>
      <c r="L2710" s="1063"/>
    </row>
    <row r="2711" spans="5:12" x14ac:dyDescent="0.2">
      <c r="E2711" s="1063"/>
      <c r="H2711" s="1066"/>
      <c r="I2711" s="1063"/>
      <c r="J2711" s="1063"/>
      <c r="K2711" s="1063"/>
      <c r="L2711" s="1063"/>
    </row>
    <row r="2712" spans="5:12" x14ac:dyDescent="0.2">
      <c r="E2712" s="1063"/>
      <c r="H2712" s="1066"/>
      <c r="I2712" s="1063"/>
      <c r="J2712" s="1063"/>
      <c r="K2712" s="1063"/>
      <c r="L2712" s="1063"/>
    </row>
    <row r="2713" spans="5:12" x14ac:dyDescent="0.2">
      <c r="E2713" s="1063"/>
      <c r="H2713" s="1066"/>
      <c r="I2713" s="1063"/>
      <c r="J2713" s="1063"/>
      <c r="K2713" s="1063"/>
      <c r="L2713" s="1063"/>
    </row>
    <row r="2714" spans="5:12" x14ac:dyDescent="0.2">
      <c r="E2714" s="1063"/>
      <c r="H2714" s="1066"/>
      <c r="I2714" s="1063"/>
      <c r="J2714" s="1063"/>
      <c r="K2714" s="1063"/>
      <c r="L2714" s="1063"/>
    </row>
    <row r="2715" spans="5:12" x14ac:dyDescent="0.2">
      <c r="E2715" s="1063"/>
      <c r="H2715" s="1066"/>
      <c r="I2715" s="1063"/>
      <c r="J2715" s="1063"/>
      <c r="K2715" s="1063"/>
      <c r="L2715" s="1063"/>
    </row>
    <row r="2716" spans="5:12" x14ac:dyDescent="0.2">
      <c r="E2716" s="1063"/>
      <c r="H2716" s="1066"/>
      <c r="I2716" s="1063"/>
      <c r="J2716" s="1063"/>
      <c r="K2716" s="1063"/>
      <c r="L2716" s="1063"/>
    </row>
    <row r="2717" spans="5:12" x14ac:dyDescent="0.2">
      <c r="E2717" s="1063"/>
      <c r="H2717" s="1066"/>
      <c r="I2717" s="1063"/>
      <c r="J2717" s="1063"/>
      <c r="K2717" s="1063"/>
      <c r="L2717" s="1063"/>
    </row>
    <row r="2718" spans="5:12" x14ac:dyDescent="0.2">
      <c r="E2718" s="1063"/>
      <c r="H2718" s="1066"/>
      <c r="I2718" s="1063"/>
      <c r="J2718" s="1063"/>
      <c r="K2718" s="1063"/>
      <c r="L2718" s="1063"/>
    </row>
    <row r="2719" spans="5:12" x14ac:dyDescent="0.2">
      <c r="E2719" s="1063"/>
      <c r="H2719" s="1066"/>
      <c r="I2719" s="1063"/>
      <c r="J2719" s="1063"/>
      <c r="K2719" s="1063"/>
      <c r="L2719" s="1063"/>
    </row>
    <row r="2720" spans="5:12" x14ac:dyDescent="0.2">
      <c r="E2720" s="1063"/>
      <c r="H2720" s="1066"/>
      <c r="I2720" s="1063"/>
      <c r="J2720" s="1063"/>
      <c r="K2720" s="1063"/>
      <c r="L2720" s="1063"/>
    </row>
    <row r="2721" spans="5:12" x14ac:dyDescent="0.2">
      <c r="E2721" s="1063"/>
      <c r="H2721" s="1066"/>
      <c r="I2721" s="1063"/>
      <c r="J2721" s="1063"/>
      <c r="K2721" s="1063"/>
      <c r="L2721" s="1063"/>
    </row>
    <row r="2722" spans="5:12" x14ac:dyDescent="0.2">
      <c r="E2722" s="1063"/>
      <c r="H2722" s="1066"/>
      <c r="I2722" s="1063"/>
      <c r="J2722" s="1063"/>
      <c r="K2722" s="1063"/>
      <c r="L2722" s="1063"/>
    </row>
    <row r="2723" spans="5:12" x14ac:dyDescent="0.2">
      <c r="E2723" s="1063"/>
      <c r="H2723" s="1066"/>
      <c r="I2723" s="1063"/>
      <c r="J2723" s="1063"/>
      <c r="K2723" s="1063"/>
      <c r="L2723" s="1063"/>
    </row>
    <row r="2724" spans="5:12" x14ac:dyDescent="0.2">
      <c r="E2724" s="1063"/>
      <c r="H2724" s="1066"/>
      <c r="I2724" s="1063"/>
      <c r="J2724" s="1063"/>
      <c r="K2724" s="1063"/>
      <c r="L2724" s="1063"/>
    </row>
    <row r="2725" spans="5:12" x14ac:dyDescent="0.2">
      <c r="E2725" s="1063"/>
      <c r="H2725" s="1066"/>
      <c r="I2725" s="1063"/>
      <c r="J2725" s="1063"/>
      <c r="K2725" s="1063"/>
      <c r="L2725" s="1063"/>
    </row>
    <row r="2726" spans="5:12" x14ac:dyDescent="0.2">
      <c r="E2726" s="1063"/>
      <c r="H2726" s="1066"/>
      <c r="I2726" s="1063"/>
      <c r="J2726" s="1063"/>
      <c r="K2726" s="1063"/>
      <c r="L2726" s="1063"/>
    </row>
    <row r="2727" spans="5:12" x14ac:dyDescent="0.2">
      <c r="E2727" s="1063"/>
      <c r="H2727" s="1066"/>
      <c r="I2727" s="1063"/>
      <c r="J2727" s="1063"/>
      <c r="K2727" s="1063"/>
      <c r="L2727" s="1063"/>
    </row>
    <row r="2728" spans="5:12" x14ac:dyDescent="0.2">
      <c r="E2728" s="1063"/>
      <c r="H2728" s="1066"/>
      <c r="I2728" s="1063"/>
      <c r="J2728" s="1063"/>
      <c r="K2728" s="1063"/>
      <c r="L2728" s="1063"/>
    </row>
    <row r="2729" spans="5:12" x14ac:dyDescent="0.2">
      <c r="E2729" s="1063"/>
      <c r="H2729" s="1066"/>
      <c r="I2729" s="1063"/>
      <c r="J2729" s="1063"/>
      <c r="K2729" s="1063"/>
      <c r="L2729" s="1063"/>
    </row>
    <row r="2730" spans="5:12" x14ac:dyDescent="0.2">
      <c r="E2730" s="1063"/>
      <c r="H2730" s="1066"/>
      <c r="I2730" s="1063"/>
      <c r="J2730" s="1063"/>
      <c r="K2730" s="1063"/>
      <c r="L2730" s="1063"/>
    </row>
    <row r="2731" spans="5:12" x14ac:dyDescent="0.2">
      <c r="E2731" s="1063"/>
      <c r="H2731" s="1066"/>
      <c r="I2731" s="1063"/>
      <c r="J2731" s="1063"/>
      <c r="K2731" s="1063"/>
      <c r="L2731" s="1063"/>
    </row>
    <row r="2732" spans="5:12" x14ac:dyDescent="0.2">
      <c r="E2732" s="1063"/>
      <c r="H2732" s="1066"/>
      <c r="I2732" s="1063"/>
      <c r="J2732" s="1063"/>
      <c r="K2732" s="1063"/>
      <c r="L2732" s="1063"/>
    </row>
    <row r="2733" spans="5:12" x14ac:dyDescent="0.2">
      <c r="E2733" s="1063"/>
      <c r="H2733" s="1066"/>
      <c r="I2733" s="1063"/>
      <c r="J2733" s="1063"/>
      <c r="K2733" s="1063"/>
      <c r="L2733" s="1063"/>
    </row>
    <row r="2734" spans="5:12" x14ac:dyDescent="0.2">
      <c r="E2734" s="1063"/>
      <c r="H2734" s="1066"/>
      <c r="I2734" s="1063"/>
      <c r="J2734" s="1063"/>
      <c r="K2734" s="1063"/>
      <c r="L2734" s="1063"/>
    </row>
    <row r="2735" spans="5:12" x14ac:dyDescent="0.2">
      <c r="E2735" s="1063"/>
      <c r="H2735" s="1066"/>
      <c r="I2735" s="1063"/>
      <c r="J2735" s="1063"/>
      <c r="K2735" s="1063"/>
      <c r="L2735" s="1063"/>
    </row>
    <row r="2736" spans="5:12" x14ac:dyDescent="0.2">
      <c r="E2736" s="1063"/>
      <c r="H2736" s="1066"/>
      <c r="I2736" s="1063"/>
      <c r="J2736" s="1063"/>
      <c r="K2736" s="1063"/>
      <c r="L2736" s="1063"/>
    </row>
    <row r="2737" spans="5:12" x14ac:dyDescent="0.2">
      <c r="E2737" s="1063"/>
      <c r="H2737" s="1066"/>
      <c r="I2737" s="1063"/>
      <c r="J2737" s="1063"/>
      <c r="K2737" s="1063"/>
      <c r="L2737" s="1063"/>
    </row>
    <row r="2738" spans="5:12" x14ac:dyDescent="0.2">
      <c r="E2738" s="1063"/>
      <c r="H2738" s="1066"/>
      <c r="I2738" s="1063"/>
      <c r="J2738" s="1063"/>
      <c r="K2738" s="1063"/>
      <c r="L2738" s="1063"/>
    </row>
    <row r="2739" spans="5:12" x14ac:dyDescent="0.2">
      <c r="E2739" s="1063"/>
      <c r="H2739" s="1066"/>
      <c r="I2739" s="1063"/>
      <c r="J2739" s="1063"/>
      <c r="K2739" s="1063"/>
      <c r="L2739" s="1063"/>
    </row>
    <row r="2740" spans="5:12" x14ac:dyDescent="0.2">
      <c r="E2740" s="1063"/>
      <c r="H2740" s="1066"/>
      <c r="I2740" s="1063"/>
      <c r="J2740" s="1063"/>
      <c r="K2740" s="1063"/>
      <c r="L2740" s="1063"/>
    </row>
    <row r="2741" spans="5:12" x14ac:dyDescent="0.2">
      <c r="E2741" s="1063"/>
      <c r="H2741" s="1066"/>
      <c r="I2741" s="1063"/>
      <c r="J2741" s="1063"/>
      <c r="K2741" s="1063"/>
      <c r="L2741" s="1063"/>
    </row>
    <row r="2742" spans="5:12" x14ac:dyDescent="0.2">
      <c r="E2742" s="1063"/>
      <c r="H2742" s="1066"/>
      <c r="I2742" s="1063"/>
      <c r="J2742" s="1063"/>
      <c r="K2742" s="1063"/>
      <c r="L2742" s="1063"/>
    </row>
    <row r="2743" spans="5:12" x14ac:dyDescent="0.2">
      <c r="E2743" s="1063"/>
      <c r="H2743" s="1066"/>
      <c r="I2743" s="1063"/>
      <c r="J2743" s="1063"/>
      <c r="K2743" s="1063"/>
      <c r="L2743" s="1063"/>
    </row>
    <row r="2744" spans="5:12" x14ac:dyDescent="0.2">
      <c r="E2744" s="1063"/>
      <c r="H2744" s="1066"/>
      <c r="I2744" s="1063"/>
      <c r="J2744" s="1063"/>
      <c r="K2744" s="1063"/>
      <c r="L2744" s="1063"/>
    </row>
    <row r="2745" spans="5:12" x14ac:dyDescent="0.2">
      <c r="E2745" s="1063"/>
      <c r="H2745" s="1066"/>
      <c r="I2745" s="1063"/>
      <c r="J2745" s="1063"/>
      <c r="K2745" s="1063"/>
      <c r="L2745" s="1063"/>
    </row>
    <row r="2746" spans="5:12" x14ac:dyDescent="0.2">
      <c r="E2746" s="1063"/>
      <c r="H2746" s="1066"/>
      <c r="I2746" s="1063"/>
      <c r="J2746" s="1063"/>
      <c r="K2746" s="1063"/>
      <c r="L2746" s="1063"/>
    </row>
    <row r="2747" spans="5:12" x14ac:dyDescent="0.2">
      <c r="E2747" s="1063"/>
      <c r="H2747" s="1066"/>
      <c r="I2747" s="1063"/>
      <c r="J2747" s="1063"/>
      <c r="K2747" s="1063"/>
      <c r="L2747" s="1063"/>
    </row>
    <row r="2748" spans="5:12" x14ac:dyDescent="0.2">
      <c r="E2748" s="1063"/>
      <c r="H2748" s="1066"/>
      <c r="I2748" s="1063"/>
      <c r="J2748" s="1063"/>
      <c r="K2748" s="1063"/>
      <c r="L2748" s="1063"/>
    </row>
    <row r="2749" spans="5:12" x14ac:dyDescent="0.2">
      <c r="E2749" s="1063"/>
      <c r="H2749" s="1066"/>
      <c r="I2749" s="1063"/>
      <c r="J2749" s="1063"/>
      <c r="K2749" s="1063"/>
      <c r="L2749" s="1063"/>
    </row>
    <row r="2750" spans="5:12" x14ac:dyDescent="0.2">
      <c r="E2750" s="1063"/>
      <c r="H2750" s="1066"/>
      <c r="I2750" s="1063"/>
      <c r="J2750" s="1063"/>
      <c r="K2750" s="1063"/>
      <c r="L2750" s="1063"/>
    </row>
    <row r="2751" spans="5:12" x14ac:dyDescent="0.2">
      <c r="E2751" s="1063"/>
      <c r="H2751" s="1066"/>
      <c r="I2751" s="1063"/>
      <c r="J2751" s="1063"/>
      <c r="K2751" s="1063"/>
      <c r="L2751" s="1063"/>
    </row>
    <row r="2752" spans="5:12" x14ac:dyDescent="0.2">
      <c r="E2752" s="1063"/>
      <c r="H2752" s="1066"/>
      <c r="I2752" s="1063"/>
      <c r="J2752" s="1063"/>
      <c r="K2752" s="1063"/>
      <c r="L2752" s="1063"/>
    </row>
    <row r="2753" spans="5:12" x14ac:dyDescent="0.2">
      <c r="E2753" s="1063"/>
      <c r="H2753" s="1066"/>
      <c r="I2753" s="1063"/>
      <c r="J2753" s="1063"/>
      <c r="K2753" s="1063"/>
      <c r="L2753" s="1063"/>
    </row>
    <row r="2754" spans="5:12" x14ac:dyDescent="0.2">
      <c r="E2754" s="1063"/>
      <c r="H2754" s="1066"/>
      <c r="I2754" s="1063"/>
      <c r="J2754" s="1063"/>
      <c r="K2754" s="1063"/>
      <c r="L2754" s="1063"/>
    </row>
    <row r="2755" spans="5:12" x14ac:dyDescent="0.2">
      <c r="E2755" s="1063"/>
      <c r="H2755" s="1066"/>
      <c r="I2755" s="1063"/>
      <c r="J2755" s="1063"/>
      <c r="K2755" s="1063"/>
      <c r="L2755" s="1063"/>
    </row>
    <row r="2756" spans="5:12" x14ac:dyDescent="0.2">
      <c r="E2756" s="1063"/>
      <c r="H2756" s="1066"/>
      <c r="I2756" s="1063"/>
      <c r="J2756" s="1063"/>
      <c r="K2756" s="1063"/>
      <c r="L2756" s="1063"/>
    </row>
    <row r="2757" spans="5:12" x14ac:dyDescent="0.2">
      <c r="E2757" s="1063"/>
      <c r="H2757" s="1066"/>
      <c r="I2757" s="1063"/>
      <c r="J2757" s="1063"/>
      <c r="K2757" s="1063"/>
      <c r="L2757" s="1063"/>
    </row>
    <row r="2758" spans="5:12" x14ac:dyDescent="0.2">
      <c r="E2758" s="1063"/>
      <c r="H2758" s="1066"/>
      <c r="I2758" s="1063"/>
      <c r="J2758" s="1063"/>
      <c r="K2758" s="1063"/>
      <c r="L2758" s="1063"/>
    </row>
    <row r="2759" spans="5:12" x14ac:dyDescent="0.2">
      <c r="E2759" s="1063"/>
      <c r="H2759" s="1066"/>
      <c r="I2759" s="1063"/>
      <c r="J2759" s="1063"/>
      <c r="K2759" s="1063"/>
      <c r="L2759" s="1063"/>
    </row>
    <row r="2760" spans="5:12" x14ac:dyDescent="0.2">
      <c r="E2760" s="1063"/>
      <c r="H2760" s="1066"/>
      <c r="I2760" s="1063"/>
      <c r="J2760" s="1063"/>
      <c r="K2760" s="1063"/>
      <c r="L2760" s="1063"/>
    </row>
    <row r="2761" spans="5:12" x14ac:dyDescent="0.2">
      <c r="E2761" s="1063"/>
      <c r="H2761" s="1066"/>
      <c r="I2761" s="1063"/>
      <c r="J2761" s="1063"/>
      <c r="K2761" s="1063"/>
      <c r="L2761" s="1063"/>
    </row>
    <row r="2762" spans="5:12" x14ac:dyDescent="0.2">
      <c r="E2762" s="1063"/>
      <c r="H2762" s="1066"/>
      <c r="I2762" s="1063"/>
      <c r="J2762" s="1063"/>
      <c r="K2762" s="1063"/>
      <c r="L2762" s="1063"/>
    </row>
    <row r="2763" spans="5:12" x14ac:dyDescent="0.2">
      <c r="E2763" s="1063"/>
      <c r="H2763" s="1066"/>
      <c r="I2763" s="1063"/>
      <c r="J2763" s="1063"/>
      <c r="K2763" s="1063"/>
      <c r="L2763" s="1063"/>
    </row>
    <row r="2764" spans="5:12" x14ac:dyDescent="0.2">
      <c r="E2764" s="1063"/>
      <c r="H2764" s="1066"/>
      <c r="I2764" s="1063"/>
      <c r="J2764" s="1063"/>
      <c r="K2764" s="1063"/>
      <c r="L2764" s="1063"/>
    </row>
    <row r="2765" spans="5:12" x14ac:dyDescent="0.2">
      <c r="E2765" s="1063"/>
      <c r="H2765" s="1066"/>
      <c r="I2765" s="1063"/>
      <c r="J2765" s="1063"/>
      <c r="K2765" s="1063"/>
      <c r="L2765" s="1063"/>
    </row>
    <row r="2766" spans="5:12" x14ac:dyDescent="0.2">
      <c r="E2766" s="1063"/>
      <c r="H2766" s="1066"/>
      <c r="I2766" s="1063"/>
      <c r="J2766" s="1063"/>
      <c r="K2766" s="1063"/>
      <c r="L2766" s="1063"/>
    </row>
    <row r="2767" spans="5:12" x14ac:dyDescent="0.2">
      <c r="E2767" s="1063"/>
      <c r="H2767" s="1066"/>
      <c r="I2767" s="1063"/>
      <c r="J2767" s="1063"/>
      <c r="K2767" s="1063"/>
      <c r="L2767" s="1063"/>
    </row>
    <row r="2768" spans="5:12" x14ac:dyDescent="0.2">
      <c r="E2768" s="1063"/>
      <c r="H2768" s="1066"/>
      <c r="I2768" s="1063"/>
      <c r="J2768" s="1063"/>
      <c r="K2768" s="1063"/>
      <c r="L2768" s="1063"/>
    </row>
    <row r="2769" spans="5:12" x14ac:dyDescent="0.2">
      <c r="E2769" s="1063"/>
      <c r="H2769" s="1066"/>
      <c r="I2769" s="1063"/>
      <c r="J2769" s="1063"/>
      <c r="K2769" s="1063"/>
      <c r="L2769" s="1063"/>
    </row>
    <row r="2770" spans="5:12" x14ac:dyDescent="0.2">
      <c r="E2770" s="1063"/>
      <c r="H2770" s="1066"/>
      <c r="I2770" s="1063"/>
      <c r="J2770" s="1063"/>
      <c r="K2770" s="1063"/>
      <c r="L2770" s="1063"/>
    </row>
    <row r="2771" spans="5:12" x14ac:dyDescent="0.2">
      <c r="E2771" s="1063"/>
      <c r="H2771" s="1066"/>
      <c r="I2771" s="1063"/>
      <c r="J2771" s="1063"/>
      <c r="K2771" s="1063"/>
      <c r="L2771" s="1063"/>
    </row>
    <row r="2772" spans="5:12" x14ac:dyDescent="0.2">
      <c r="E2772" s="1063"/>
      <c r="H2772" s="1066"/>
      <c r="I2772" s="1063"/>
      <c r="J2772" s="1063"/>
      <c r="K2772" s="1063"/>
      <c r="L2772" s="1063"/>
    </row>
    <row r="2773" spans="5:12" x14ac:dyDescent="0.2">
      <c r="E2773" s="1063"/>
      <c r="H2773" s="1066"/>
      <c r="I2773" s="1063"/>
      <c r="J2773" s="1063"/>
      <c r="K2773" s="1063"/>
      <c r="L2773" s="1063"/>
    </row>
    <row r="2774" spans="5:12" x14ac:dyDescent="0.2">
      <c r="E2774" s="1063"/>
      <c r="H2774" s="1066"/>
      <c r="I2774" s="1063"/>
      <c r="J2774" s="1063"/>
      <c r="K2774" s="1063"/>
      <c r="L2774" s="1063"/>
    </row>
    <row r="2775" spans="5:12" x14ac:dyDescent="0.2">
      <c r="E2775" s="1063"/>
      <c r="H2775" s="1066"/>
      <c r="I2775" s="1063"/>
      <c r="J2775" s="1063"/>
      <c r="K2775" s="1063"/>
      <c r="L2775" s="1063"/>
    </row>
    <row r="2776" spans="5:12" x14ac:dyDescent="0.2">
      <c r="E2776" s="1063"/>
      <c r="H2776" s="1066"/>
      <c r="I2776" s="1063"/>
      <c r="J2776" s="1063"/>
      <c r="K2776" s="1063"/>
      <c r="L2776" s="1063"/>
    </row>
    <row r="2777" spans="5:12" x14ac:dyDescent="0.2">
      <c r="E2777" s="1063"/>
      <c r="H2777" s="1066"/>
      <c r="I2777" s="1063"/>
      <c r="J2777" s="1063"/>
      <c r="K2777" s="1063"/>
      <c r="L2777" s="1063"/>
    </row>
    <row r="2778" spans="5:12" x14ac:dyDescent="0.2">
      <c r="E2778" s="1063"/>
      <c r="H2778" s="1066"/>
      <c r="I2778" s="1063"/>
      <c r="J2778" s="1063"/>
      <c r="K2778" s="1063"/>
      <c r="L2778" s="1063"/>
    </row>
    <row r="2779" spans="5:12" x14ac:dyDescent="0.2">
      <c r="E2779" s="1063"/>
      <c r="H2779" s="1066"/>
      <c r="I2779" s="1063"/>
      <c r="J2779" s="1063"/>
      <c r="K2779" s="1063"/>
      <c r="L2779" s="1063"/>
    </row>
    <row r="2780" spans="5:12" x14ac:dyDescent="0.2">
      <c r="E2780" s="1063"/>
      <c r="H2780" s="1066"/>
      <c r="I2780" s="1063"/>
      <c r="J2780" s="1063"/>
      <c r="K2780" s="1063"/>
      <c r="L2780" s="1063"/>
    </row>
    <row r="2781" spans="5:12" x14ac:dyDescent="0.2">
      <c r="E2781" s="1063"/>
      <c r="H2781" s="1066"/>
      <c r="I2781" s="1063"/>
      <c r="J2781" s="1063"/>
      <c r="K2781" s="1063"/>
      <c r="L2781" s="1063"/>
    </row>
    <row r="2782" spans="5:12" x14ac:dyDescent="0.2">
      <c r="E2782" s="1063"/>
      <c r="H2782" s="1066"/>
      <c r="I2782" s="1063"/>
      <c r="J2782" s="1063"/>
      <c r="K2782" s="1063"/>
      <c r="L2782" s="1063"/>
    </row>
    <row r="2783" spans="5:12" x14ac:dyDescent="0.2">
      <c r="E2783" s="1063"/>
      <c r="H2783" s="1066"/>
      <c r="I2783" s="1063"/>
      <c r="J2783" s="1063"/>
      <c r="K2783" s="1063"/>
      <c r="L2783" s="1063"/>
    </row>
    <row r="2784" spans="5:12" x14ac:dyDescent="0.2">
      <c r="E2784" s="1063"/>
      <c r="H2784" s="1066"/>
      <c r="I2784" s="1063"/>
      <c r="J2784" s="1063"/>
      <c r="K2784" s="1063"/>
      <c r="L2784" s="1063"/>
    </row>
    <row r="2785" spans="5:12" x14ac:dyDescent="0.2">
      <c r="E2785" s="1063"/>
      <c r="H2785" s="1066"/>
      <c r="I2785" s="1063"/>
      <c r="J2785" s="1063"/>
      <c r="K2785" s="1063"/>
      <c r="L2785" s="1063"/>
    </row>
    <row r="2786" spans="5:12" x14ac:dyDescent="0.2">
      <c r="E2786" s="1063"/>
      <c r="H2786" s="1066"/>
      <c r="I2786" s="1063"/>
      <c r="J2786" s="1063"/>
      <c r="K2786" s="1063"/>
      <c r="L2786" s="1063"/>
    </row>
    <row r="2787" spans="5:12" x14ac:dyDescent="0.2">
      <c r="E2787" s="1063"/>
      <c r="H2787" s="1066"/>
      <c r="I2787" s="1063"/>
      <c r="J2787" s="1063"/>
      <c r="K2787" s="1063"/>
      <c r="L2787" s="1063"/>
    </row>
    <row r="2788" spans="5:12" x14ac:dyDescent="0.2">
      <c r="E2788" s="1063"/>
      <c r="H2788" s="1066"/>
      <c r="I2788" s="1063"/>
      <c r="J2788" s="1063"/>
      <c r="K2788" s="1063"/>
      <c r="L2788" s="1063"/>
    </row>
    <row r="2789" spans="5:12" x14ac:dyDescent="0.2">
      <c r="E2789" s="1063"/>
      <c r="H2789" s="1066"/>
      <c r="I2789" s="1063"/>
      <c r="J2789" s="1063"/>
      <c r="K2789" s="1063"/>
      <c r="L2789" s="1063"/>
    </row>
    <row r="2790" spans="5:12" x14ac:dyDescent="0.2">
      <c r="E2790" s="1063"/>
      <c r="H2790" s="1066"/>
      <c r="I2790" s="1063"/>
      <c r="J2790" s="1063"/>
      <c r="K2790" s="1063"/>
      <c r="L2790" s="1063"/>
    </row>
    <row r="2791" spans="5:12" x14ac:dyDescent="0.2">
      <c r="E2791" s="1063"/>
      <c r="H2791" s="1066"/>
      <c r="I2791" s="1063"/>
      <c r="J2791" s="1063"/>
      <c r="K2791" s="1063"/>
      <c r="L2791" s="1063"/>
    </row>
    <row r="2792" spans="5:12" x14ac:dyDescent="0.2">
      <c r="E2792" s="1063"/>
      <c r="H2792" s="1066"/>
      <c r="I2792" s="1063"/>
      <c r="J2792" s="1063"/>
      <c r="K2792" s="1063"/>
      <c r="L2792" s="1063"/>
    </row>
    <row r="2793" spans="5:12" x14ac:dyDescent="0.2">
      <c r="E2793" s="1063"/>
      <c r="H2793" s="1066"/>
      <c r="I2793" s="1063"/>
      <c r="J2793" s="1063"/>
      <c r="K2793" s="1063"/>
      <c r="L2793" s="1063"/>
    </row>
    <row r="2794" spans="5:12" x14ac:dyDescent="0.2">
      <c r="E2794" s="1063"/>
      <c r="H2794" s="1066"/>
      <c r="I2794" s="1063"/>
      <c r="J2794" s="1063"/>
      <c r="K2794" s="1063"/>
      <c r="L2794" s="1063"/>
    </row>
    <row r="2795" spans="5:12" x14ac:dyDescent="0.2">
      <c r="E2795" s="1063"/>
      <c r="H2795" s="1066"/>
      <c r="I2795" s="1063"/>
      <c r="J2795" s="1063"/>
      <c r="K2795" s="1063"/>
      <c r="L2795" s="1063"/>
    </row>
    <row r="2796" spans="5:12" x14ac:dyDescent="0.2">
      <c r="E2796" s="1063"/>
      <c r="H2796" s="1066"/>
      <c r="I2796" s="1063"/>
      <c r="J2796" s="1063"/>
      <c r="K2796" s="1063"/>
      <c r="L2796" s="1063"/>
    </row>
    <row r="2797" spans="5:12" x14ac:dyDescent="0.2">
      <c r="E2797" s="1063"/>
      <c r="H2797" s="1066"/>
      <c r="I2797" s="1063"/>
      <c r="J2797" s="1063"/>
      <c r="K2797" s="1063"/>
      <c r="L2797" s="1063"/>
    </row>
    <row r="2798" spans="5:12" x14ac:dyDescent="0.2">
      <c r="E2798" s="1063"/>
      <c r="H2798" s="1066"/>
      <c r="I2798" s="1063"/>
      <c r="J2798" s="1063"/>
      <c r="K2798" s="1063"/>
      <c r="L2798" s="1063"/>
    </row>
    <row r="2799" spans="5:12" x14ac:dyDescent="0.2">
      <c r="E2799" s="1063"/>
      <c r="H2799" s="1066"/>
      <c r="I2799" s="1063"/>
      <c r="J2799" s="1063"/>
      <c r="K2799" s="1063"/>
      <c r="L2799" s="1063"/>
    </row>
    <row r="2800" spans="5:12" x14ac:dyDescent="0.2">
      <c r="E2800" s="1063"/>
      <c r="H2800" s="1066"/>
      <c r="I2800" s="1063"/>
      <c r="J2800" s="1063"/>
      <c r="K2800" s="1063"/>
      <c r="L2800" s="1063"/>
    </row>
    <row r="2801" spans="5:12" x14ac:dyDescent="0.2">
      <c r="E2801" s="1063"/>
      <c r="H2801" s="1066"/>
      <c r="I2801" s="1063"/>
      <c r="J2801" s="1063"/>
      <c r="K2801" s="1063"/>
      <c r="L2801" s="1063"/>
    </row>
    <row r="2802" spans="5:12" x14ac:dyDescent="0.2">
      <c r="E2802" s="1063"/>
      <c r="H2802" s="1066"/>
      <c r="I2802" s="1063"/>
      <c r="J2802" s="1063"/>
      <c r="K2802" s="1063"/>
      <c r="L2802" s="1063"/>
    </row>
    <row r="2803" spans="5:12" x14ac:dyDescent="0.2">
      <c r="E2803" s="1063"/>
      <c r="H2803" s="1066"/>
      <c r="I2803" s="1063"/>
      <c r="J2803" s="1063"/>
      <c r="K2803" s="1063"/>
      <c r="L2803" s="1063"/>
    </row>
    <row r="2804" spans="5:12" x14ac:dyDescent="0.2">
      <c r="E2804" s="1063"/>
      <c r="H2804" s="1066"/>
      <c r="I2804" s="1063"/>
      <c r="J2804" s="1063"/>
      <c r="K2804" s="1063"/>
      <c r="L2804" s="1063"/>
    </row>
    <row r="2805" spans="5:12" x14ac:dyDescent="0.2">
      <c r="E2805" s="1063"/>
      <c r="H2805" s="1066"/>
      <c r="I2805" s="1063"/>
      <c r="J2805" s="1063"/>
      <c r="K2805" s="1063"/>
      <c r="L2805" s="1063"/>
    </row>
    <row r="2806" spans="5:12" x14ac:dyDescent="0.2">
      <c r="E2806" s="1063"/>
      <c r="H2806" s="1066"/>
      <c r="I2806" s="1063"/>
      <c r="J2806" s="1063"/>
      <c r="K2806" s="1063"/>
      <c r="L2806" s="1063"/>
    </row>
    <row r="2807" spans="5:12" x14ac:dyDescent="0.2">
      <c r="E2807" s="1063"/>
      <c r="H2807" s="1066"/>
      <c r="I2807" s="1063"/>
      <c r="J2807" s="1063"/>
      <c r="K2807" s="1063"/>
      <c r="L2807" s="1063"/>
    </row>
    <row r="2808" spans="5:12" x14ac:dyDescent="0.2">
      <c r="E2808" s="1063"/>
      <c r="H2808" s="1066"/>
      <c r="I2808" s="1063"/>
      <c r="J2808" s="1063"/>
      <c r="K2808" s="1063"/>
      <c r="L2808" s="1063"/>
    </row>
    <row r="2809" spans="5:12" x14ac:dyDescent="0.2">
      <c r="E2809" s="1063"/>
      <c r="H2809" s="1066"/>
      <c r="I2809" s="1063"/>
      <c r="J2809" s="1063"/>
      <c r="K2809" s="1063"/>
      <c r="L2809" s="1063"/>
    </row>
    <row r="2810" spans="5:12" x14ac:dyDescent="0.2">
      <c r="E2810" s="1063"/>
      <c r="H2810" s="1066"/>
      <c r="I2810" s="1063"/>
      <c r="J2810" s="1063"/>
      <c r="K2810" s="1063"/>
      <c r="L2810" s="1063"/>
    </row>
    <row r="2811" spans="5:12" x14ac:dyDescent="0.2">
      <c r="E2811" s="1063"/>
      <c r="H2811" s="1066"/>
      <c r="I2811" s="1063"/>
      <c r="J2811" s="1063"/>
      <c r="K2811" s="1063"/>
      <c r="L2811" s="1063"/>
    </row>
    <row r="2812" spans="5:12" x14ac:dyDescent="0.2">
      <c r="E2812" s="1063"/>
      <c r="H2812" s="1066"/>
      <c r="I2812" s="1063"/>
      <c r="J2812" s="1063"/>
      <c r="K2812" s="1063"/>
      <c r="L2812" s="1063"/>
    </row>
    <row r="2813" spans="5:12" x14ac:dyDescent="0.2">
      <c r="E2813" s="1063"/>
      <c r="H2813" s="1066"/>
      <c r="I2813" s="1063"/>
      <c r="J2813" s="1063"/>
      <c r="K2813" s="1063"/>
      <c r="L2813" s="1063"/>
    </row>
    <row r="2814" spans="5:12" x14ac:dyDescent="0.2">
      <c r="E2814" s="1063"/>
      <c r="H2814" s="1066"/>
      <c r="I2814" s="1063"/>
      <c r="J2814" s="1063"/>
      <c r="K2814" s="1063"/>
      <c r="L2814" s="1063"/>
    </row>
    <row r="2815" spans="5:12" x14ac:dyDescent="0.2">
      <c r="E2815" s="1063"/>
      <c r="H2815" s="1066"/>
      <c r="I2815" s="1063"/>
      <c r="J2815" s="1063"/>
      <c r="K2815" s="1063"/>
      <c r="L2815" s="1063"/>
    </row>
    <row r="2816" spans="5:12" x14ac:dyDescent="0.2">
      <c r="E2816" s="1063"/>
      <c r="H2816" s="1066"/>
      <c r="I2816" s="1063"/>
      <c r="J2816" s="1063"/>
      <c r="K2816" s="1063"/>
      <c r="L2816" s="1063"/>
    </row>
    <row r="2817" spans="5:12" x14ac:dyDescent="0.2">
      <c r="E2817" s="1063"/>
      <c r="H2817" s="1066"/>
      <c r="I2817" s="1063"/>
      <c r="J2817" s="1063"/>
      <c r="K2817" s="1063"/>
      <c r="L2817" s="1063"/>
    </row>
    <row r="2818" spans="5:12" x14ac:dyDescent="0.2">
      <c r="E2818" s="1063"/>
      <c r="H2818" s="1066"/>
      <c r="I2818" s="1063"/>
      <c r="J2818" s="1063"/>
      <c r="K2818" s="1063"/>
      <c r="L2818" s="1063"/>
    </row>
    <row r="2819" spans="5:12" x14ac:dyDescent="0.2">
      <c r="E2819" s="1063"/>
      <c r="H2819" s="1066"/>
      <c r="I2819" s="1063"/>
      <c r="J2819" s="1063"/>
      <c r="K2819" s="1063"/>
      <c r="L2819" s="1063"/>
    </row>
    <row r="2820" spans="5:12" x14ac:dyDescent="0.2">
      <c r="E2820" s="1063"/>
      <c r="H2820" s="1066"/>
      <c r="I2820" s="1063"/>
      <c r="J2820" s="1063"/>
      <c r="K2820" s="1063"/>
      <c r="L2820" s="1063"/>
    </row>
    <row r="2821" spans="5:12" x14ac:dyDescent="0.2">
      <c r="E2821" s="1063"/>
      <c r="H2821" s="1066"/>
      <c r="I2821" s="1063"/>
      <c r="J2821" s="1063"/>
      <c r="K2821" s="1063"/>
      <c r="L2821" s="1063"/>
    </row>
    <row r="2822" spans="5:12" x14ac:dyDescent="0.2">
      <c r="E2822" s="1063"/>
      <c r="H2822" s="1066"/>
      <c r="I2822" s="1063"/>
      <c r="J2822" s="1063"/>
      <c r="K2822" s="1063"/>
      <c r="L2822" s="1063"/>
    </row>
    <row r="2823" spans="5:12" x14ac:dyDescent="0.2">
      <c r="E2823" s="1063"/>
      <c r="H2823" s="1066"/>
      <c r="I2823" s="1063"/>
      <c r="J2823" s="1063"/>
      <c r="K2823" s="1063"/>
      <c r="L2823" s="1063"/>
    </row>
    <row r="2824" spans="5:12" x14ac:dyDescent="0.2">
      <c r="E2824" s="1063"/>
      <c r="H2824" s="1066"/>
      <c r="I2824" s="1063"/>
      <c r="J2824" s="1063"/>
      <c r="K2824" s="1063"/>
      <c r="L2824" s="1063"/>
    </row>
    <row r="2825" spans="5:12" x14ac:dyDescent="0.2">
      <c r="E2825" s="1063"/>
      <c r="H2825" s="1066"/>
      <c r="I2825" s="1063"/>
      <c r="J2825" s="1063"/>
      <c r="K2825" s="1063"/>
      <c r="L2825" s="1063"/>
    </row>
    <row r="2826" spans="5:12" x14ac:dyDescent="0.2">
      <c r="E2826" s="1063"/>
      <c r="H2826" s="1066"/>
      <c r="I2826" s="1063"/>
      <c r="J2826" s="1063"/>
      <c r="K2826" s="1063"/>
      <c r="L2826" s="1063"/>
    </row>
    <row r="2827" spans="5:12" x14ac:dyDescent="0.2">
      <c r="E2827" s="1063"/>
      <c r="H2827" s="1066"/>
      <c r="I2827" s="1063"/>
      <c r="J2827" s="1063"/>
      <c r="K2827" s="1063"/>
      <c r="L2827" s="1063"/>
    </row>
    <row r="2828" spans="5:12" x14ac:dyDescent="0.2">
      <c r="E2828" s="1063"/>
      <c r="H2828" s="1066"/>
      <c r="I2828" s="1063"/>
      <c r="J2828" s="1063"/>
      <c r="K2828" s="1063"/>
      <c r="L2828" s="1063"/>
    </row>
    <row r="2829" spans="5:12" x14ac:dyDescent="0.2">
      <c r="E2829" s="1063"/>
      <c r="H2829" s="1066"/>
      <c r="I2829" s="1063"/>
      <c r="J2829" s="1063"/>
      <c r="K2829" s="1063"/>
      <c r="L2829" s="1063"/>
    </row>
    <row r="2830" spans="5:12" x14ac:dyDescent="0.2">
      <c r="E2830" s="1063"/>
      <c r="H2830" s="1066"/>
      <c r="I2830" s="1063"/>
      <c r="J2830" s="1063"/>
      <c r="K2830" s="1063"/>
      <c r="L2830" s="1063"/>
    </row>
    <row r="2831" spans="5:12" x14ac:dyDescent="0.2">
      <c r="E2831" s="1063"/>
      <c r="H2831" s="1066"/>
      <c r="I2831" s="1063"/>
      <c r="J2831" s="1063"/>
      <c r="K2831" s="1063"/>
      <c r="L2831" s="1063"/>
    </row>
    <row r="2832" spans="5:12" x14ac:dyDescent="0.2">
      <c r="E2832" s="1063"/>
      <c r="H2832" s="1066"/>
      <c r="I2832" s="1063"/>
      <c r="J2832" s="1063"/>
      <c r="K2832" s="1063"/>
      <c r="L2832" s="1063"/>
    </row>
    <row r="2833" spans="5:12" x14ac:dyDescent="0.2">
      <c r="E2833" s="1063"/>
      <c r="H2833" s="1066"/>
      <c r="I2833" s="1063"/>
      <c r="J2833" s="1063"/>
      <c r="K2833" s="1063"/>
      <c r="L2833" s="1063"/>
    </row>
    <row r="2834" spans="5:12" x14ac:dyDescent="0.2">
      <c r="E2834" s="1063"/>
      <c r="H2834" s="1066"/>
      <c r="I2834" s="1063"/>
      <c r="J2834" s="1063"/>
      <c r="K2834" s="1063"/>
      <c r="L2834" s="1063"/>
    </row>
    <row r="2835" spans="5:12" x14ac:dyDescent="0.2">
      <c r="E2835" s="1063"/>
      <c r="H2835" s="1066"/>
      <c r="I2835" s="1063"/>
      <c r="J2835" s="1063"/>
      <c r="K2835" s="1063"/>
      <c r="L2835" s="1063"/>
    </row>
    <row r="2836" spans="5:12" x14ac:dyDescent="0.2">
      <c r="E2836" s="1063"/>
      <c r="H2836" s="1066"/>
      <c r="I2836" s="1063"/>
      <c r="J2836" s="1063"/>
      <c r="K2836" s="1063"/>
      <c r="L2836" s="1063"/>
    </row>
    <row r="2837" spans="5:12" x14ac:dyDescent="0.2">
      <c r="E2837" s="1063"/>
      <c r="H2837" s="1066"/>
      <c r="I2837" s="1063"/>
      <c r="J2837" s="1063"/>
      <c r="K2837" s="1063"/>
      <c r="L2837" s="1063"/>
    </row>
    <row r="2838" spans="5:12" x14ac:dyDescent="0.2">
      <c r="E2838" s="1063"/>
      <c r="H2838" s="1066"/>
      <c r="I2838" s="1063"/>
      <c r="J2838" s="1063"/>
      <c r="K2838" s="1063"/>
      <c r="L2838" s="1063"/>
    </row>
    <row r="2839" spans="5:12" x14ac:dyDescent="0.2">
      <c r="E2839" s="1063"/>
      <c r="H2839" s="1066"/>
      <c r="I2839" s="1063"/>
      <c r="J2839" s="1063"/>
      <c r="K2839" s="1063"/>
      <c r="L2839" s="1063"/>
    </row>
    <row r="2840" spans="5:12" x14ac:dyDescent="0.2">
      <c r="E2840" s="1063"/>
      <c r="H2840" s="1066"/>
      <c r="I2840" s="1063"/>
      <c r="J2840" s="1063"/>
      <c r="K2840" s="1063"/>
      <c r="L2840" s="1063"/>
    </row>
    <row r="2841" spans="5:12" x14ac:dyDescent="0.2">
      <c r="E2841" s="1063"/>
      <c r="H2841" s="1066"/>
      <c r="I2841" s="1063"/>
      <c r="J2841" s="1063"/>
      <c r="K2841" s="1063"/>
      <c r="L2841" s="1063"/>
    </row>
    <row r="2842" spans="5:12" x14ac:dyDescent="0.2">
      <c r="E2842" s="1063"/>
      <c r="H2842" s="1066"/>
      <c r="I2842" s="1063"/>
      <c r="J2842" s="1063"/>
      <c r="K2842" s="1063"/>
      <c r="L2842" s="1063"/>
    </row>
    <row r="2843" spans="5:12" x14ac:dyDescent="0.2">
      <c r="E2843" s="1063"/>
      <c r="H2843" s="1066"/>
      <c r="I2843" s="1063"/>
      <c r="J2843" s="1063"/>
      <c r="K2843" s="1063"/>
      <c r="L2843" s="1063"/>
    </row>
    <row r="2844" spans="5:12" x14ac:dyDescent="0.2">
      <c r="E2844" s="1063"/>
      <c r="H2844" s="1066"/>
      <c r="I2844" s="1063"/>
      <c r="J2844" s="1063"/>
      <c r="K2844" s="1063"/>
      <c r="L2844" s="1063"/>
    </row>
    <row r="2845" spans="5:12" x14ac:dyDescent="0.2">
      <c r="E2845" s="1063"/>
      <c r="H2845" s="1066"/>
      <c r="I2845" s="1063"/>
      <c r="J2845" s="1063"/>
      <c r="K2845" s="1063"/>
      <c r="L2845" s="1063"/>
    </row>
    <row r="2846" spans="5:12" x14ac:dyDescent="0.2">
      <c r="E2846" s="1063"/>
      <c r="H2846" s="1066"/>
      <c r="I2846" s="1063"/>
      <c r="J2846" s="1063"/>
      <c r="K2846" s="1063"/>
      <c r="L2846" s="1063"/>
    </row>
    <row r="2847" spans="5:12" x14ac:dyDescent="0.2">
      <c r="E2847" s="1063"/>
      <c r="H2847" s="1066"/>
      <c r="I2847" s="1063"/>
      <c r="J2847" s="1063"/>
      <c r="K2847" s="1063"/>
      <c r="L2847" s="1063"/>
    </row>
    <row r="2848" spans="5:12" x14ac:dyDescent="0.2">
      <c r="E2848" s="1063"/>
      <c r="H2848" s="1066"/>
      <c r="I2848" s="1063"/>
      <c r="J2848" s="1063"/>
      <c r="K2848" s="1063"/>
      <c r="L2848" s="1063"/>
    </row>
    <row r="2849" spans="5:12" x14ac:dyDescent="0.2">
      <c r="E2849" s="1063"/>
      <c r="H2849" s="1066"/>
      <c r="I2849" s="1063"/>
      <c r="J2849" s="1063"/>
      <c r="K2849" s="1063"/>
      <c r="L2849" s="1063"/>
    </row>
    <row r="2850" spans="5:12" x14ac:dyDescent="0.2">
      <c r="E2850" s="1063"/>
      <c r="H2850" s="1066"/>
      <c r="I2850" s="1063"/>
      <c r="J2850" s="1063"/>
      <c r="K2850" s="1063"/>
      <c r="L2850" s="1063"/>
    </row>
    <row r="2851" spans="5:12" x14ac:dyDescent="0.2">
      <c r="E2851" s="1063"/>
      <c r="H2851" s="1066"/>
      <c r="I2851" s="1063"/>
      <c r="J2851" s="1063"/>
      <c r="K2851" s="1063"/>
      <c r="L2851" s="1063"/>
    </row>
    <row r="2852" spans="5:12" x14ac:dyDescent="0.2">
      <c r="E2852" s="1063"/>
      <c r="H2852" s="1066"/>
      <c r="I2852" s="1063"/>
      <c r="J2852" s="1063"/>
      <c r="K2852" s="1063"/>
      <c r="L2852" s="1063"/>
    </row>
    <row r="2853" spans="5:12" x14ac:dyDescent="0.2">
      <c r="E2853" s="1063"/>
      <c r="H2853" s="1066"/>
      <c r="I2853" s="1063"/>
      <c r="J2853" s="1063"/>
      <c r="K2853" s="1063"/>
      <c r="L2853" s="1063"/>
    </row>
    <row r="2854" spans="5:12" x14ac:dyDescent="0.2">
      <c r="E2854" s="1063"/>
      <c r="H2854" s="1066"/>
      <c r="I2854" s="1063"/>
      <c r="J2854" s="1063"/>
      <c r="K2854" s="1063"/>
      <c r="L2854" s="1063"/>
    </row>
    <row r="2855" spans="5:12" x14ac:dyDescent="0.2">
      <c r="E2855" s="1063"/>
      <c r="H2855" s="1066"/>
      <c r="I2855" s="1063"/>
      <c r="J2855" s="1063"/>
      <c r="K2855" s="1063"/>
      <c r="L2855" s="1063"/>
    </row>
    <row r="2856" spans="5:12" x14ac:dyDescent="0.2">
      <c r="E2856" s="1063"/>
      <c r="H2856" s="1066"/>
      <c r="I2856" s="1063"/>
      <c r="J2856" s="1063"/>
      <c r="K2856" s="1063"/>
      <c r="L2856" s="1063"/>
    </row>
    <row r="2857" spans="5:12" x14ac:dyDescent="0.2">
      <c r="E2857" s="1063"/>
      <c r="H2857" s="1066"/>
      <c r="I2857" s="1063"/>
      <c r="J2857" s="1063"/>
      <c r="K2857" s="1063"/>
      <c r="L2857" s="1063"/>
    </row>
    <row r="2858" spans="5:12" x14ac:dyDescent="0.2">
      <c r="E2858" s="1063"/>
      <c r="H2858" s="1066"/>
      <c r="I2858" s="1063"/>
      <c r="J2858" s="1063"/>
      <c r="K2858" s="1063"/>
      <c r="L2858" s="1063"/>
    </row>
    <row r="2859" spans="5:12" x14ac:dyDescent="0.2">
      <c r="E2859" s="1063"/>
      <c r="H2859" s="1066"/>
      <c r="I2859" s="1063"/>
      <c r="J2859" s="1063"/>
      <c r="K2859" s="1063"/>
      <c r="L2859" s="1063"/>
    </row>
    <row r="2860" spans="5:12" x14ac:dyDescent="0.2">
      <c r="E2860" s="1063"/>
      <c r="H2860" s="1066"/>
      <c r="I2860" s="1063"/>
      <c r="J2860" s="1063"/>
      <c r="K2860" s="1063"/>
      <c r="L2860" s="1063"/>
    </row>
    <row r="2861" spans="5:12" x14ac:dyDescent="0.2">
      <c r="E2861" s="1063"/>
      <c r="H2861" s="1066"/>
      <c r="I2861" s="1063"/>
      <c r="J2861" s="1063"/>
      <c r="K2861" s="1063"/>
      <c r="L2861" s="1063"/>
    </row>
    <row r="2862" spans="5:12" x14ac:dyDescent="0.2">
      <c r="E2862" s="1063"/>
      <c r="H2862" s="1066"/>
      <c r="I2862" s="1063"/>
      <c r="J2862" s="1063"/>
      <c r="K2862" s="1063"/>
      <c r="L2862" s="1063"/>
    </row>
    <row r="2863" spans="5:12" x14ac:dyDescent="0.2">
      <c r="E2863" s="1063"/>
      <c r="H2863" s="1066"/>
      <c r="I2863" s="1063"/>
      <c r="J2863" s="1063"/>
      <c r="K2863" s="1063"/>
      <c r="L2863" s="1063"/>
    </row>
    <row r="2864" spans="5:12" x14ac:dyDescent="0.2">
      <c r="E2864" s="1063"/>
      <c r="H2864" s="1066"/>
      <c r="I2864" s="1063"/>
      <c r="J2864" s="1063"/>
      <c r="K2864" s="1063"/>
      <c r="L2864" s="1063"/>
    </row>
    <row r="2865" spans="5:12" x14ac:dyDescent="0.2">
      <c r="E2865" s="1063"/>
      <c r="H2865" s="1066"/>
      <c r="I2865" s="1063"/>
      <c r="J2865" s="1063"/>
      <c r="K2865" s="1063"/>
      <c r="L2865" s="1063"/>
    </row>
    <row r="2866" spans="5:12" x14ac:dyDescent="0.2">
      <c r="E2866" s="1063"/>
      <c r="H2866" s="1066"/>
      <c r="I2866" s="1063"/>
      <c r="J2866" s="1063"/>
      <c r="K2866" s="1063"/>
      <c r="L2866" s="1063"/>
    </row>
    <row r="2867" spans="5:12" x14ac:dyDescent="0.2">
      <c r="E2867" s="1063"/>
      <c r="H2867" s="1066"/>
      <c r="I2867" s="1063"/>
      <c r="J2867" s="1063"/>
      <c r="K2867" s="1063"/>
      <c r="L2867" s="1063"/>
    </row>
    <row r="2868" spans="5:12" x14ac:dyDescent="0.2">
      <c r="E2868" s="1063"/>
      <c r="H2868" s="1066"/>
      <c r="I2868" s="1063"/>
      <c r="J2868" s="1063"/>
      <c r="K2868" s="1063"/>
      <c r="L2868" s="1063"/>
    </row>
    <row r="2869" spans="5:12" x14ac:dyDescent="0.2">
      <c r="E2869" s="1063"/>
      <c r="H2869" s="1066"/>
      <c r="I2869" s="1063"/>
      <c r="J2869" s="1063"/>
      <c r="K2869" s="1063"/>
      <c r="L2869" s="1063"/>
    </row>
    <row r="2870" spans="5:12" x14ac:dyDescent="0.2">
      <c r="E2870" s="1063"/>
      <c r="H2870" s="1066"/>
      <c r="I2870" s="1063"/>
      <c r="J2870" s="1063"/>
      <c r="K2870" s="1063"/>
      <c r="L2870" s="1063"/>
    </row>
    <row r="2871" spans="5:12" x14ac:dyDescent="0.2">
      <c r="E2871" s="1063"/>
      <c r="H2871" s="1066"/>
      <c r="I2871" s="1063"/>
      <c r="J2871" s="1063"/>
      <c r="K2871" s="1063"/>
      <c r="L2871" s="1063"/>
    </row>
    <row r="2872" spans="5:12" x14ac:dyDescent="0.2">
      <c r="E2872" s="1063"/>
      <c r="H2872" s="1066"/>
      <c r="I2872" s="1063"/>
      <c r="J2872" s="1063"/>
      <c r="K2872" s="1063"/>
      <c r="L2872" s="1063"/>
    </row>
    <row r="2873" spans="5:12" x14ac:dyDescent="0.2">
      <c r="E2873" s="1063"/>
      <c r="H2873" s="1066"/>
      <c r="I2873" s="1063"/>
      <c r="J2873" s="1063"/>
      <c r="K2873" s="1063"/>
      <c r="L2873" s="1063"/>
    </row>
    <row r="2874" spans="5:12" x14ac:dyDescent="0.2">
      <c r="E2874" s="1063"/>
      <c r="H2874" s="1066"/>
      <c r="I2874" s="1063"/>
      <c r="J2874" s="1063"/>
      <c r="K2874" s="1063"/>
      <c r="L2874" s="1063"/>
    </row>
    <row r="2875" spans="5:12" x14ac:dyDescent="0.2">
      <c r="E2875" s="1063"/>
      <c r="H2875" s="1066"/>
      <c r="I2875" s="1063"/>
      <c r="J2875" s="1063"/>
      <c r="K2875" s="1063"/>
      <c r="L2875" s="1063"/>
    </row>
    <row r="2876" spans="5:12" x14ac:dyDescent="0.2">
      <c r="E2876" s="1063"/>
      <c r="H2876" s="1066"/>
      <c r="I2876" s="1063"/>
      <c r="J2876" s="1063"/>
      <c r="K2876" s="1063"/>
      <c r="L2876" s="1063"/>
    </row>
    <row r="2877" spans="5:12" x14ac:dyDescent="0.2">
      <c r="E2877" s="1063"/>
      <c r="H2877" s="1066"/>
      <c r="I2877" s="1063"/>
      <c r="J2877" s="1063"/>
      <c r="K2877" s="1063"/>
      <c r="L2877" s="1063"/>
    </row>
    <row r="2878" spans="5:12" x14ac:dyDescent="0.2">
      <c r="E2878" s="1063"/>
      <c r="H2878" s="1066"/>
      <c r="I2878" s="1063"/>
      <c r="J2878" s="1063"/>
      <c r="K2878" s="1063"/>
      <c r="L2878" s="1063"/>
    </row>
    <row r="2879" spans="5:12" x14ac:dyDescent="0.2">
      <c r="E2879" s="1063"/>
      <c r="H2879" s="1066"/>
      <c r="I2879" s="1063"/>
      <c r="J2879" s="1063"/>
      <c r="K2879" s="1063"/>
      <c r="L2879" s="1063"/>
    </row>
    <row r="2880" spans="5:12" x14ac:dyDescent="0.2">
      <c r="E2880" s="1063"/>
      <c r="H2880" s="1066"/>
      <c r="I2880" s="1063"/>
      <c r="J2880" s="1063"/>
      <c r="K2880" s="1063"/>
      <c r="L2880" s="1063"/>
    </row>
    <row r="2881" spans="5:12" x14ac:dyDescent="0.2">
      <c r="E2881" s="1063"/>
      <c r="H2881" s="1066"/>
      <c r="I2881" s="1063"/>
      <c r="J2881" s="1063"/>
      <c r="K2881" s="1063"/>
      <c r="L2881" s="1063"/>
    </row>
    <row r="2882" spans="5:12" x14ac:dyDescent="0.2">
      <c r="E2882" s="1063"/>
      <c r="H2882" s="1066"/>
      <c r="I2882" s="1063"/>
      <c r="J2882" s="1063"/>
      <c r="K2882" s="1063"/>
      <c r="L2882" s="1063"/>
    </row>
    <row r="2883" spans="5:12" x14ac:dyDescent="0.2">
      <c r="E2883" s="1063"/>
      <c r="H2883" s="1066"/>
      <c r="I2883" s="1063"/>
      <c r="J2883" s="1063"/>
      <c r="K2883" s="1063"/>
      <c r="L2883" s="1063"/>
    </row>
    <row r="2884" spans="5:12" x14ac:dyDescent="0.2">
      <c r="E2884" s="1063"/>
      <c r="H2884" s="1066"/>
      <c r="I2884" s="1063"/>
      <c r="J2884" s="1063"/>
      <c r="K2884" s="1063"/>
      <c r="L2884" s="1063"/>
    </row>
    <row r="2885" spans="5:12" x14ac:dyDescent="0.2">
      <c r="E2885" s="1063"/>
      <c r="H2885" s="1066"/>
      <c r="I2885" s="1063"/>
      <c r="J2885" s="1063"/>
      <c r="K2885" s="1063"/>
      <c r="L2885" s="1063"/>
    </row>
    <row r="2886" spans="5:12" x14ac:dyDescent="0.2">
      <c r="E2886" s="1063"/>
      <c r="H2886" s="1066"/>
      <c r="I2886" s="1063"/>
      <c r="J2886" s="1063"/>
      <c r="K2886" s="1063"/>
      <c r="L2886" s="1063"/>
    </row>
    <row r="2887" spans="5:12" x14ac:dyDescent="0.2">
      <c r="E2887" s="1063"/>
      <c r="H2887" s="1066"/>
      <c r="I2887" s="1063"/>
      <c r="J2887" s="1063"/>
      <c r="K2887" s="1063"/>
      <c r="L2887" s="1063"/>
    </row>
    <row r="2888" spans="5:12" x14ac:dyDescent="0.2">
      <c r="E2888" s="1063"/>
      <c r="H2888" s="1066"/>
      <c r="I2888" s="1063"/>
      <c r="J2888" s="1063"/>
      <c r="K2888" s="1063"/>
      <c r="L2888" s="1063"/>
    </row>
    <row r="2889" spans="5:12" x14ac:dyDescent="0.2">
      <c r="E2889" s="1063"/>
      <c r="H2889" s="1066"/>
      <c r="I2889" s="1063"/>
      <c r="J2889" s="1063"/>
      <c r="K2889" s="1063"/>
      <c r="L2889" s="1063"/>
    </row>
    <row r="2890" spans="5:12" x14ac:dyDescent="0.2">
      <c r="E2890" s="1063"/>
      <c r="H2890" s="1066"/>
      <c r="I2890" s="1063"/>
      <c r="J2890" s="1063"/>
      <c r="K2890" s="1063"/>
      <c r="L2890" s="1063"/>
    </row>
    <row r="2891" spans="5:12" x14ac:dyDescent="0.2">
      <c r="E2891" s="1063"/>
      <c r="H2891" s="1066"/>
      <c r="I2891" s="1063"/>
      <c r="J2891" s="1063"/>
      <c r="K2891" s="1063"/>
      <c r="L2891" s="1063"/>
    </row>
    <row r="2892" spans="5:12" x14ac:dyDescent="0.2">
      <c r="E2892" s="1063"/>
      <c r="H2892" s="1066"/>
      <c r="I2892" s="1063"/>
      <c r="J2892" s="1063"/>
      <c r="K2892" s="1063"/>
      <c r="L2892" s="1063"/>
    </row>
    <row r="2893" spans="5:12" x14ac:dyDescent="0.2">
      <c r="E2893" s="1063"/>
      <c r="H2893" s="1066"/>
      <c r="I2893" s="1063"/>
      <c r="J2893" s="1063"/>
      <c r="K2893" s="1063"/>
      <c r="L2893" s="1063"/>
    </row>
    <row r="2894" spans="5:12" x14ac:dyDescent="0.2">
      <c r="E2894" s="1063"/>
      <c r="H2894" s="1066"/>
      <c r="I2894" s="1063"/>
      <c r="J2894" s="1063"/>
      <c r="K2894" s="1063"/>
      <c r="L2894" s="1063"/>
    </row>
    <row r="2895" spans="5:12" x14ac:dyDescent="0.2">
      <c r="E2895" s="1063"/>
      <c r="H2895" s="1066"/>
      <c r="I2895" s="1063"/>
      <c r="J2895" s="1063"/>
      <c r="K2895" s="1063"/>
      <c r="L2895" s="1063"/>
    </row>
    <row r="2896" spans="5:12" x14ac:dyDescent="0.2">
      <c r="E2896" s="1063"/>
      <c r="H2896" s="1066"/>
      <c r="I2896" s="1063"/>
      <c r="J2896" s="1063"/>
      <c r="K2896" s="1063"/>
      <c r="L2896" s="1063"/>
    </row>
    <row r="2897" spans="5:12" x14ac:dyDescent="0.2">
      <c r="E2897" s="1063"/>
      <c r="H2897" s="1066"/>
      <c r="I2897" s="1063"/>
      <c r="J2897" s="1063"/>
      <c r="K2897" s="1063"/>
      <c r="L2897" s="1063"/>
    </row>
    <row r="2898" spans="5:12" x14ac:dyDescent="0.2">
      <c r="E2898" s="1063"/>
      <c r="H2898" s="1066"/>
      <c r="I2898" s="1063"/>
      <c r="J2898" s="1063"/>
      <c r="K2898" s="1063"/>
      <c r="L2898" s="1063"/>
    </row>
    <row r="2899" spans="5:12" x14ac:dyDescent="0.2">
      <c r="E2899" s="1063"/>
      <c r="H2899" s="1066"/>
      <c r="I2899" s="1063"/>
      <c r="J2899" s="1063"/>
      <c r="K2899" s="1063"/>
      <c r="L2899" s="1063"/>
    </row>
    <row r="2900" spans="5:12" x14ac:dyDescent="0.2">
      <c r="E2900" s="1063"/>
      <c r="H2900" s="1066"/>
      <c r="I2900" s="1063"/>
      <c r="J2900" s="1063"/>
      <c r="K2900" s="1063"/>
      <c r="L2900" s="1063"/>
    </row>
    <row r="2901" spans="5:12" x14ac:dyDescent="0.2">
      <c r="E2901" s="1063"/>
      <c r="H2901" s="1066"/>
      <c r="I2901" s="1063"/>
      <c r="J2901" s="1063"/>
      <c r="K2901" s="1063"/>
      <c r="L2901" s="1063"/>
    </row>
    <row r="2902" spans="5:12" x14ac:dyDescent="0.2">
      <c r="E2902" s="1063"/>
      <c r="H2902" s="1066"/>
      <c r="I2902" s="1063"/>
      <c r="J2902" s="1063"/>
      <c r="K2902" s="1063"/>
      <c r="L2902" s="1063"/>
    </row>
    <row r="2903" spans="5:12" x14ac:dyDescent="0.2">
      <c r="E2903" s="1063"/>
      <c r="H2903" s="1066"/>
      <c r="I2903" s="1063"/>
      <c r="J2903" s="1063"/>
      <c r="K2903" s="1063"/>
      <c r="L2903" s="1063"/>
    </row>
    <row r="2904" spans="5:12" x14ac:dyDescent="0.2">
      <c r="E2904" s="1063"/>
      <c r="H2904" s="1066"/>
      <c r="I2904" s="1063"/>
      <c r="J2904" s="1063"/>
      <c r="K2904" s="1063"/>
      <c r="L2904" s="1063"/>
    </row>
    <row r="2905" spans="5:12" x14ac:dyDescent="0.2">
      <c r="E2905" s="1063"/>
      <c r="H2905" s="1066"/>
      <c r="I2905" s="1063"/>
      <c r="J2905" s="1063"/>
      <c r="K2905" s="1063"/>
      <c r="L2905" s="1063"/>
    </row>
    <row r="2906" spans="5:12" x14ac:dyDescent="0.2">
      <c r="E2906" s="1063"/>
      <c r="H2906" s="1066"/>
      <c r="I2906" s="1063"/>
      <c r="J2906" s="1063"/>
      <c r="K2906" s="1063"/>
      <c r="L2906" s="1063"/>
    </row>
    <row r="2907" spans="5:12" x14ac:dyDescent="0.2">
      <c r="E2907" s="1063"/>
      <c r="H2907" s="1066"/>
      <c r="I2907" s="1063"/>
      <c r="J2907" s="1063"/>
      <c r="K2907" s="1063"/>
      <c r="L2907" s="1063"/>
    </row>
    <row r="2908" spans="5:12" x14ac:dyDescent="0.2">
      <c r="E2908" s="1063"/>
      <c r="H2908" s="1066"/>
      <c r="I2908" s="1063"/>
      <c r="J2908" s="1063"/>
      <c r="K2908" s="1063"/>
      <c r="L2908" s="1063"/>
    </row>
    <row r="2909" spans="5:12" x14ac:dyDescent="0.2">
      <c r="E2909" s="1063"/>
      <c r="H2909" s="1066"/>
      <c r="I2909" s="1063"/>
      <c r="J2909" s="1063"/>
      <c r="K2909" s="1063"/>
      <c r="L2909" s="1063"/>
    </row>
    <row r="2910" spans="5:12" x14ac:dyDescent="0.2">
      <c r="E2910" s="1063"/>
      <c r="H2910" s="1066"/>
      <c r="I2910" s="1063"/>
      <c r="J2910" s="1063"/>
      <c r="K2910" s="1063"/>
      <c r="L2910" s="1063"/>
    </row>
    <row r="2911" spans="5:12" x14ac:dyDescent="0.2">
      <c r="E2911" s="1063"/>
      <c r="H2911" s="1066"/>
      <c r="I2911" s="1063"/>
      <c r="J2911" s="1063"/>
      <c r="K2911" s="1063"/>
      <c r="L2911" s="1063"/>
    </row>
    <row r="2912" spans="5:12" x14ac:dyDescent="0.2">
      <c r="E2912" s="1063"/>
      <c r="H2912" s="1066"/>
      <c r="I2912" s="1063"/>
      <c r="J2912" s="1063"/>
      <c r="K2912" s="1063"/>
      <c r="L2912" s="1063"/>
    </row>
    <row r="2913" spans="5:12" x14ac:dyDescent="0.2">
      <c r="E2913" s="1063"/>
      <c r="H2913" s="1066"/>
      <c r="I2913" s="1063"/>
      <c r="J2913" s="1063"/>
      <c r="K2913" s="1063"/>
      <c r="L2913" s="1063"/>
    </row>
    <row r="2914" spans="5:12" x14ac:dyDescent="0.2">
      <c r="E2914" s="1063"/>
      <c r="H2914" s="1066"/>
      <c r="I2914" s="1063"/>
      <c r="J2914" s="1063"/>
      <c r="K2914" s="1063"/>
      <c r="L2914" s="1063"/>
    </row>
    <row r="2915" spans="5:12" x14ac:dyDescent="0.2">
      <c r="E2915" s="1063"/>
      <c r="H2915" s="1066"/>
      <c r="I2915" s="1063"/>
      <c r="J2915" s="1063"/>
      <c r="K2915" s="1063"/>
      <c r="L2915" s="1063"/>
    </row>
    <row r="2916" spans="5:12" x14ac:dyDescent="0.2">
      <c r="E2916" s="1063"/>
      <c r="H2916" s="1066"/>
      <c r="I2916" s="1063"/>
      <c r="J2916" s="1063"/>
      <c r="K2916" s="1063"/>
      <c r="L2916" s="1063"/>
    </row>
    <row r="2917" spans="5:12" x14ac:dyDescent="0.2">
      <c r="E2917" s="1063"/>
      <c r="H2917" s="1066"/>
      <c r="I2917" s="1063"/>
      <c r="J2917" s="1063"/>
      <c r="K2917" s="1063"/>
      <c r="L2917" s="1063"/>
    </row>
    <row r="2918" spans="5:12" x14ac:dyDescent="0.2">
      <c r="E2918" s="1063"/>
      <c r="H2918" s="1066"/>
      <c r="I2918" s="1063"/>
      <c r="J2918" s="1063"/>
      <c r="K2918" s="1063"/>
      <c r="L2918" s="1063"/>
    </row>
    <row r="2919" spans="5:12" x14ac:dyDescent="0.2">
      <c r="E2919" s="1063"/>
      <c r="H2919" s="1066"/>
      <c r="I2919" s="1063"/>
      <c r="J2919" s="1063"/>
      <c r="K2919" s="1063"/>
      <c r="L2919" s="1063"/>
    </row>
    <row r="2920" spans="5:12" x14ac:dyDescent="0.2">
      <c r="E2920" s="1063"/>
      <c r="H2920" s="1066"/>
      <c r="I2920" s="1063"/>
      <c r="J2920" s="1063"/>
      <c r="K2920" s="1063"/>
      <c r="L2920" s="1063"/>
    </row>
    <row r="2921" spans="5:12" x14ac:dyDescent="0.2">
      <c r="E2921" s="1063"/>
      <c r="H2921" s="1066"/>
      <c r="I2921" s="1063"/>
      <c r="J2921" s="1063"/>
      <c r="K2921" s="1063"/>
      <c r="L2921" s="1063"/>
    </row>
    <row r="2922" spans="5:12" x14ac:dyDescent="0.2">
      <c r="E2922" s="1063"/>
      <c r="H2922" s="1066"/>
      <c r="I2922" s="1063"/>
      <c r="J2922" s="1063"/>
      <c r="K2922" s="1063"/>
      <c r="L2922" s="1063"/>
    </row>
    <row r="2923" spans="5:12" x14ac:dyDescent="0.2">
      <c r="E2923" s="1063"/>
      <c r="H2923" s="1066"/>
      <c r="I2923" s="1063"/>
      <c r="J2923" s="1063"/>
      <c r="K2923" s="1063"/>
      <c r="L2923" s="1063"/>
    </row>
    <row r="2924" spans="5:12" x14ac:dyDescent="0.2">
      <c r="E2924" s="1063"/>
      <c r="H2924" s="1066"/>
      <c r="I2924" s="1063"/>
      <c r="J2924" s="1063"/>
      <c r="K2924" s="1063"/>
      <c r="L2924" s="1063"/>
    </row>
    <row r="2925" spans="5:12" x14ac:dyDescent="0.2">
      <c r="E2925" s="1063"/>
      <c r="H2925" s="1066"/>
      <c r="I2925" s="1063"/>
      <c r="J2925" s="1063"/>
      <c r="K2925" s="1063"/>
      <c r="L2925" s="1063"/>
    </row>
    <row r="2926" spans="5:12" x14ac:dyDescent="0.2">
      <c r="E2926" s="1063"/>
      <c r="H2926" s="1066"/>
      <c r="I2926" s="1063"/>
      <c r="J2926" s="1063"/>
      <c r="K2926" s="1063"/>
      <c r="L2926" s="1063"/>
    </row>
    <row r="2927" spans="5:12" x14ac:dyDescent="0.2">
      <c r="E2927" s="1063"/>
      <c r="H2927" s="1066"/>
      <c r="I2927" s="1063"/>
      <c r="J2927" s="1063"/>
      <c r="K2927" s="1063"/>
      <c r="L2927" s="1063"/>
    </row>
    <row r="2928" spans="5:12" x14ac:dyDescent="0.2">
      <c r="E2928" s="1063"/>
      <c r="H2928" s="1066"/>
      <c r="I2928" s="1063"/>
      <c r="J2928" s="1063"/>
      <c r="K2928" s="1063"/>
      <c r="L2928" s="1063"/>
    </row>
    <row r="2929" spans="5:12" x14ac:dyDescent="0.2">
      <c r="E2929" s="1063"/>
      <c r="H2929" s="1066"/>
      <c r="I2929" s="1063"/>
      <c r="J2929" s="1063"/>
      <c r="K2929" s="1063"/>
      <c r="L2929" s="1063"/>
    </row>
    <row r="2930" spans="5:12" x14ac:dyDescent="0.2">
      <c r="E2930" s="1063"/>
      <c r="H2930" s="1066"/>
      <c r="I2930" s="1063"/>
      <c r="J2930" s="1063"/>
      <c r="K2930" s="1063"/>
      <c r="L2930" s="1063"/>
    </row>
    <row r="2931" spans="5:12" x14ac:dyDescent="0.2">
      <c r="E2931" s="1063"/>
      <c r="H2931" s="1066"/>
      <c r="I2931" s="1063"/>
      <c r="J2931" s="1063"/>
      <c r="K2931" s="1063"/>
      <c r="L2931" s="1063"/>
    </row>
    <row r="2932" spans="5:12" x14ac:dyDescent="0.2">
      <c r="E2932" s="1063"/>
      <c r="H2932" s="1066"/>
      <c r="I2932" s="1063"/>
      <c r="J2932" s="1063"/>
      <c r="K2932" s="1063"/>
      <c r="L2932" s="1063"/>
    </row>
    <row r="2933" spans="5:12" x14ac:dyDescent="0.2">
      <c r="E2933" s="1063"/>
      <c r="H2933" s="1066"/>
      <c r="I2933" s="1063"/>
      <c r="J2933" s="1063"/>
      <c r="K2933" s="1063"/>
      <c r="L2933" s="1063"/>
    </row>
    <row r="2934" spans="5:12" x14ac:dyDescent="0.2">
      <c r="E2934" s="1063"/>
      <c r="H2934" s="1066"/>
      <c r="I2934" s="1063"/>
      <c r="J2934" s="1063"/>
      <c r="K2934" s="1063"/>
      <c r="L2934" s="1063"/>
    </row>
    <row r="2935" spans="5:12" x14ac:dyDescent="0.2">
      <c r="E2935" s="1063"/>
      <c r="H2935" s="1066"/>
      <c r="I2935" s="1063"/>
      <c r="J2935" s="1063"/>
      <c r="K2935" s="1063"/>
      <c r="L2935" s="1063"/>
    </row>
    <row r="2936" spans="5:12" x14ac:dyDescent="0.2">
      <c r="E2936" s="1063"/>
      <c r="H2936" s="1066"/>
      <c r="I2936" s="1063"/>
      <c r="J2936" s="1063"/>
      <c r="K2936" s="1063"/>
      <c r="L2936" s="1063"/>
    </row>
    <row r="2937" spans="5:12" x14ac:dyDescent="0.2">
      <c r="E2937" s="1063"/>
      <c r="H2937" s="1066"/>
      <c r="I2937" s="1063"/>
      <c r="J2937" s="1063"/>
      <c r="K2937" s="1063"/>
      <c r="L2937" s="1063"/>
    </row>
    <row r="2938" spans="5:12" x14ac:dyDescent="0.2">
      <c r="E2938" s="1063"/>
      <c r="H2938" s="1066"/>
      <c r="I2938" s="1063"/>
      <c r="J2938" s="1063"/>
      <c r="K2938" s="1063"/>
      <c r="L2938" s="1063"/>
    </row>
    <row r="2939" spans="5:12" x14ac:dyDescent="0.2">
      <c r="E2939" s="1063"/>
      <c r="H2939" s="1066"/>
      <c r="I2939" s="1063"/>
      <c r="J2939" s="1063"/>
      <c r="K2939" s="1063"/>
      <c r="L2939" s="1063"/>
    </row>
    <row r="2940" spans="5:12" x14ac:dyDescent="0.2">
      <c r="E2940" s="1063"/>
      <c r="H2940" s="1066"/>
      <c r="I2940" s="1063"/>
      <c r="J2940" s="1063"/>
      <c r="K2940" s="1063"/>
      <c r="L2940" s="1063"/>
    </row>
    <row r="2941" spans="5:12" x14ac:dyDescent="0.2">
      <c r="E2941" s="1063"/>
      <c r="H2941" s="1066"/>
      <c r="I2941" s="1063"/>
      <c r="J2941" s="1063"/>
      <c r="K2941" s="1063"/>
      <c r="L2941" s="1063"/>
    </row>
    <row r="2942" spans="5:12" x14ac:dyDescent="0.2">
      <c r="E2942" s="1063"/>
      <c r="H2942" s="1066"/>
      <c r="I2942" s="1063"/>
      <c r="J2942" s="1063"/>
      <c r="K2942" s="1063"/>
      <c r="L2942" s="1063"/>
    </row>
    <row r="2943" spans="5:12" x14ac:dyDescent="0.2">
      <c r="E2943" s="1063"/>
      <c r="H2943" s="1066"/>
      <c r="I2943" s="1063"/>
      <c r="J2943" s="1063"/>
      <c r="K2943" s="1063"/>
      <c r="L2943" s="1063"/>
    </row>
    <row r="2944" spans="5:12" x14ac:dyDescent="0.2">
      <c r="E2944" s="1063"/>
      <c r="H2944" s="1066"/>
      <c r="I2944" s="1063"/>
      <c r="J2944" s="1063"/>
      <c r="K2944" s="1063"/>
      <c r="L2944" s="1063"/>
    </row>
    <row r="2945" spans="5:12" x14ac:dyDescent="0.2">
      <c r="E2945" s="1063"/>
      <c r="H2945" s="1066"/>
      <c r="I2945" s="1063"/>
      <c r="J2945" s="1063"/>
      <c r="K2945" s="1063"/>
      <c r="L2945" s="1063"/>
    </row>
    <row r="2946" spans="5:12" x14ac:dyDescent="0.2">
      <c r="E2946" s="1063"/>
      <c r="H2946" s="1066"/>
      <c r="I2946" s="1063"/>
      <c r="J2946" s="1063"/>
      <c r="K2946" s="1063"/>
      <c r="L2946" s="1063"/>
    </row>
    <row r="2947" spans="5:12" x14ac:dyDescent="0.2">
      <c r="E2947" s="1063"/>
      <c r="H2947" s="1066"/>
      <c r="I2947" s="1063"/>
      <c r="J2947" s="1063"/>
      <c r="K2947" s="1063"/>
      <c r="L2947" s="1063"/>
    </row>
    <row r="2948" spans="5:12" x14ac:dyDescent="0.2">
      <c r="E2948" s="1063"/>
      <c r="H2948" s="1066"/>
      <c r="I2948" s="1063"/>
      <c r="J2948" s="1063"/>
      <c r="K2948" s="1063"/>
      <c r="L2948" s="1063"/>
    </row>
    <row r="2949" spans="5:12" x14ac:dyDescent="0.2">
      <c r="E2949" s="1063"/>
      <c r="H2949" s="1066"/>
      <c r="I2949" s="1063"/>
      <c r="J2949" s="1063"/>
      <c r="K2949" s="1063"/>
      <c r="L2949" s="1063"/>
    </row>
    <row r="2950" spans="5:12" x14ac:dyDescent="0.2">
      <c r="E2950" s="1063"/>
      <c r="H2950" s="1066"/>
      <c r="I2950" s="1063"/>
      <c r="J2950" s="1063"/>
      <c r="K2950" s="1063"/>
      <c r="L2950" s="1063"/>
    </row>
    <row r="2951" spans="5:12" x14ac:dyDescent="0.2">
      <c r="E2951" s="1063"/>
      <c r="H2951" s="1066"/>
      <c r="I2951" s="1063"/>
      <c r="J2951" s="1063"/>
      <c r="K2951" s="1063"/>
      <c r="L2951" s="1063"/>
    </row>
    <row r="2952" spans="5:12" x14ac:dyDescent="0.2">
      <c r="E2952" s="1063"/>
      <c r="H2952" s="1066"/>
      <c r="I2952" s="1063"/>
      <c r="J2952" s="1063"/>
      <c r="K2952" s="1063"/>
      <c r="L2952" s="1063"/>
    </row>
    <row r="2953" spans="5:12" x14ac:dyDescent="0.2">
      <c r="E2953" s="1063"/>
      <c r="H2953" s="1066"/>
      <c r="I2953" s="1063"/>
      <c r="J2953" s="1063"/>
      <c r="K2953" s="1063"/>
      <c r="L2953" s="1063"/>
    </row>
    <row r="2954" spans="5:12" x14ac:dyDescent="0.2">
      <c r="E2954" s="1063"/>
      <c r="H2954" s="1066"/>
      <c r="I2954" s="1063"/>
      <c r="J2954" s="1063"/>
      <c r="K2954" s="1063"/>
      <c r="L2954" s="1063"/>
    </row>
    <row r="2955" spans="5:12" x14ac:dyDescent="0.2">
      <c r="E2955" s="1063"/>
      <c r="H2955" s="1066"/>
      <c r="I2955" s="1063"/>
      <c r="J2955" s="1063"/>
      <c r="K2955" s="1063"/>
      <c r="L2955" s="1063"/>
    </row>
    <row r="2956" spans="5:12" x14ac:dyDescent="0.2">
      <c r="E2956" s="1063"/>
      <c r="H2956" s="1066"/>
      <c r="I2956" s="1063"/>
      <c r="J2956" s="1063"/>
      <c r="K2956" s="1063"/>
      <c r="L2956" s="1063"/>
    </row>
    <row r="2957" spans="5:12" x14ac:dyDescent="0.2">
      <c r="E2957" s="1063"/>
      <c r="H2957" s="1066"/>
      <c r="I2957" s="1063"/>
      <c r="J2957" s="1063"/>
      <c r="K2957" s="1063"/>
      <c r="L2957" s="1063"/>
    </row>
    <row r="2958" spans="5:12" x14ac:dyDescent="0.2">
      <c r="E2958" s="1063"/>
      <c r="H2958" s="1066"/>
      <c r="I2958" s="1063"/>
      <c r="J2958" s="1063"/>
      <c r="K2958" s="1063"/>
      <c r="L2958" s="1063"/>
    </row>
    <row r="2959" spans="5:12" x14ac:dyDescent="0.2">
      <c r="E2959" s="1063"/>
      <c r="H2959" s="1066"/>
      <c r="I2959" s="1063"/>
      <c r="J2959" s="1063"/>
      <c r="K2959" s="1063"/>
      <c r="L2959" s="1063"/>
    </row>
    <row r="2960" spans="5:12" x14ac:dyDescent="0.2">
      <c r="E2960" s="1063"/>
      <c r="H2960" s="1066"/>
      <c r="I2960" s="1063"/>
      <c r="J2960" s="1063"/>
      <c r="K2960" s="1063"/>
      <c r="L2960" s="1063"/>
    </row>
    <row r="2961" spans="5:12" x14ac:dyDescent="0.2">
      <c r="E2961" s="1063"/>
      <c r="H2961" s="1066"/>
      <c r="I2961" s="1063"/>
      <c r="J2961" s="1063"/>
      <c r="K2961" s="1063"/>
      <c r="L2961" s="1063"/>
    </row>
    <row r="2962" spans="5:12" x14ac:dyDescent="0.2">
      <c r="E2962" s="1063"/>
      <c r="H2962" s="1066"/>
      <c r="I2962" s="1063"/>
      <c r="J2962" s="1063"/>
      <c r="K2962" s="1063"/>
      <c r="L2962" s="1063"/>
    </row>
    <row r="2963" spans="5:12" x14ac:dyDescent="0.2">
      <c r="E2963" s="1063"/>
      <c r="H2963" s="1066"/>
      <c r="I2963" s="1063"/>
      <c r="J2963" s="1063"/>
      <c r="K2963" s="1063"/>
      <c r="L2963" s="1063"/>
    </row>
    <row r="2964" spans="5:12" x14ac:dyDescent="0.2">
      <c r="E2964" s="1063"/>
      <c r="H2964" s="1066"/>
      <c r="I2964" s="1063"/>
      <c r="J2964" s="1063"/>
      <c r="K2964" s="1063"/>
      <c r="L2964" s="1063"/>
    </row>
    <row r="2965" spans="5:12" x14ac:dyDescent="0.2">
      <c r="E2965" s="1063"/>
      <c r="H2965" s="1066"/>
      <c r="I2965" s="1063"/>
      <c r="J2965" s="1063"/>
      <c r="K2965" s="1063"/>
      <c r="L2965" s="1063"/>
    </row>
    <row r="2966" spans="5:12" x14ac:dyDescent="0.2">
      <c r="E2966" s="1063"/>
      <c r="H2966" s="1066"/>
      <c r="I2966" s="1063"/>
      <c r="J2966" s="1063"/>
      <c r="K2966" s="1063"/>
      <c r="L2966" s="1063"/>
    </row>
    <row r="2967" spans="5:12" x14ac:dyDescent="0.2">
      <c r="E2967" s="1063"/>
      <c r="H2967" s="1066"/>
      <c r="I2967" s="1063"/>
      <c r="J2967" s="1063"/>
      <c r="K2967" s="1063"/>
      <c r="L2967" s="1063"/>
    </row>
    <row r="2968" spans="5:12" x14ac:dyDescent="0.2">
      <c r="E2968" s="1063"/>
      <c r="H2968" s="1066"/>
      <c r="I2968" s="1063"/>
      <c r="J2968" s="1063"/>
      <c r="K2968" s="1063"/>
      <c r="L2968" s="1063"/>
    </row>
    <row r="2969" spans="5:12" x14ac:dyDescent="0.2">
      <c r="E2969" s="1063"/>
      <c r="H2969" s="1066"/>
      <c r="I2969" s="1063"/>
      <c r="J2969" s="1063"/>
      <c r="K2969" s="1063"/>
      <c r="L2969" s="1063"/>
    </row>
    <row r="2970" spans="5:12" x14ac:dyDescent="0.2">
      <c r="E2970" s="1063"/>
      <c r="H2970" s="1066"/>
      <c r="I2970" s="1063"/>
      <c r="J2970" s="1063"/>
      <c r="K2970" s="1063"/>
      <c r="L2970" s="1063"/>
    </row>
    <row r="2971" spans="5:12" x14ac:dyDescent="0.2">
      <c r="E2971" s="1063"/>
      <c r="H2971" s="1066"/>
      <c r="I2971" s="1063"/>
      <c r="J2971" s="1063"/>
      <c r="K2971" s="1063"/>
      <c r="L2971" s="1063"/>
    </row>
    <row r="2972" spans="5:12" x14ac:dyDescent="0.2">
      <c r="E2972" s="1063"/>
      <c r="H2972" s="1066"/>
      <c r="I2972" s="1063"/>
      <c r="J2972" s="1063"/>
      <c r="K2972" s="1063"/>
      <c r="L2972" s="1063"/>
    </row>
    <row r="2973" spans="5:12" x14ac:dyDescent="0.2">
      <c r="E2973" s="1063"/>
      <c r="H2973" s="1066"/>
      <c r="I2973" s="1063"/>
      <c r="J2973" s="1063"/>
      <c r="K2973" s="1063"/>
      <c r="L2973" s="1063"/>
    </row>
    <row r="2974" spans="5:12" x14ac:dyDescent="0.2">
      <c r="E2974" s="1063"/>
      <c r="H2974" s="1066"/>
      <c r="I2974" s="1063"/>
      <c r="J2974" s="1063"/>
      <c r="K2974" s="1063"/>
      <c r="L2974" s="1063"/>
    </row>
    <row r="2975" spans="5:12" x14ac:dyDescent="0.2">
      <c r="E2975" s="1063"/>
      <c r="H2975" s="1066"/>
      <c r="I2975" s="1063"/>
      <c r="J2975" s="1063"/>
      <c r="K2975" s="1063"/>
      <c r="L2975" s="1063"/>
    </row>
    <row r="2976" spans="5:12" x14ac:dyDescent="0.2">
      <c r="E2976" s="1063"/>
      <c r="H2976" s="1066"/>
      <c r="I2976" s="1063"/>
      <c r="J2976" s="1063"/>
      <c r="K2976" s="1063"/>
      <c r="L2976" s="1063"/>
    </row>
    <row r="2977" spans="5:12" x14ac:dyDescent="0.2">
      <c r="E2977" s="1063"/>
      <c r="H2977" s="1066"/>
      <c r="I2977" s="1063"/>
      <c r="J2977" s="1063"/>
      <c r="K2977" s="1063"/>
      <c r="L2977" s="1063"/>
    </row>
    <row r="2978" spans="5:12" x14ac:dyDescent="0.2">
      <c r="E2978" s="1063"/>
      <c r="H2978" s="1066"/>
      <c r="I2978" s="1063"/>
      <c r="J2978" s="1063"/>
      <c r="K2978" s="1063"/>
      <c r="L2978" s="1063"/>
    </row>
    <row r="2979" spans="5:12" x14ac:dyDescent="0.2">
      <c r="E2979" s="1063"/>
      <c r="H2979" s="1066"/>
      <c r="I2979" s="1063"/>
      <c r="J2979" s="1063"/>
      <c r="K2979" s="1063"/>
      <c r="L2979" s="1063"/>
    </row>
    <row r="2980" spans="5:12" x14ac:dyDescent="0.2">
      <c r="E2980" s="1063"/>
      <c r="H2980" s="1066"/>
      <c r="I2980" s="1063"/>
      <c r="J2980" s="1063"/>
      <c r="K2980" s="1063"/>
      <c r="L2980" s="1063"/>
    </row>
    <row r="2981" spans="5:12" x14ac:dyDescent="0.2">
      <c r="E2981" s="1063"/>
      <c r="H2981" s="1066"/>
      <c r="I2981" s="1063"/>
      <c r="J2981" s="1063"/>
      <c r="K2981" s="1063"/>
      <c r="L2981" s="1063"/>
    </row>
    <row r="2982" spans="5:12" x14ac:dyDescent="0.2">
      <c r="E2982" s="1063"/>
      <c r="H2982" s="1066"/>
      <c r="I2982" s="1063"/>
      <c r="J2982" s="1063"/>
      <c r="K2982" s="1063"/>
      <c r="L2982" s="1063"/>
    </row>
    <row r="2983" spans="5:12" x14ac:dyDescent="0.2">
      <c r="E2983" s="1063"/>
      <c r="H2983" s="1066"/>
      <c r="I2983" s="1063"/>
      <c r="J2983" s="1063"/>
      <c r="K2983" s="1063"/>
      <c r="L2983" s="1063"/>
    </row>
    <row r="2984" spans="5:12" x14ac:dyDescent="0.2">
      <c r="E2984" s="1063"/>
      <c r="H2984" s="1066"/>
      <c r="I2984" s="1063"/>
      <c r="J2984" s="1063"/>
      <c r="K2984" s="1063"/>
      <c r="L2984" s="1063"/>
    </row>
    <row r="2985" spans="5:12" x14ac:dyDescent="0.2">
      <c r="E2985" s="1063"/>
      <c r="H2985" s="1066"/>
      <c r="I2985" s="1063"/>
      <c r="J2985" s="1063"/>
      <c r="K2985" s="1063"/>
      <c r="L2985" s="1063"/>
    </row>
    <row r="2986" spans="5:12" x14ac:dyDescent="0.2">
      <c r="E2986" s="1063"/>
      <c r="H2986" s="1066"/>
      <c r="I2986" s="1063"/>
      <c r="J2986" s="1063"/>
      <c r="K2986" s="1063"/>
      <c r="L2986" s="1063"/>
    </row>
    <row r="2987" spans="5:12" x14ac:dyDescent="0.2">
      <c r="E2987" s="1063"/>
      <c r="H2987" s="1066"/>
      <c r="I2987" s="1063"/>
      <c r="J2987" s="1063"/>
      <c r="K2987" s="1063"/>
      <c r="L2987" s="1063"/>
    </row>
    <row r="2988" spans="5:12" x14ac:dyDescent="0.2">
      <c r="E2988" s="1063"/>
      <c r="H2988" s="1066"/>
      <c r="I2988" s="1063"/>
      <c r="J2988" s="1063"/>
      <c r="K2988" s="1063"/>
      <c r="L2988" s="1063"/>
    </row>
    <row r="2989" spans="5:12" x14ac:dyDescent="0.2">
      <c r="E2989" s="1063"/>
      <c r="H2989" s="1066"/>
      <c r="I2989" s="1063"/>
      <c r="J2989" s="1063"/>
      <c r="K2989" s="1063"/>
      <c r="L2989" s="1063"/>
    </row>
    <row r="2990" spans="5:12" x14ac:dyDescent="0.2">
      <c r="E2990" s="1063"/>
      <c r="H2990" s="1066"/>
      <c r="I2990" s="1063"/>
      <c r="J2990" s="1063"/>
      <c r="K2990" s="1063"/>
      <c r="L2990" s="1063"/>
    </row>
    <row r="2991" spans="5:12" x14ac:dyDescent="0.2">
      <c r="E2991" s="1063"/>
      <c r="H2991" s="1066"/>
      <c r="I2991" s="1063"/>
      <c r="J2991" s="1063"/>
      <c r="K2991" s="1063"/>
      <c r="L2991" s="1063"/>
    </row>
    <row r="2992" spans="5:12" x14ac:dyDescent="0.2">
      <c r="E2992" s="1063"/>
      <c r="H2992" s="1066"/>
      <c r="I2992" s="1063"/>
      <c r="J2992" s="1063"/>
      <c r="K2992" s="1063"/>
      <c r="L2992" s="1063"/>
    </row>
    <row r="2993" spans="5:12" x14ac:dyDescent="0.2">
      <c r="E2993" s="1063"/>
      <c r="H2993" s="1066"/>
      <c r="I2993" s="1063"/>
      <c r="J2993" s="1063"/>
      <c r="K2993" s="1063"/>
      <c r="L2993" s="1063"/>
    </row>
    <row r="2994" spans="5:12" x14ac:dyDescent="0.2">
      <c r="E2994" s="1063"/>
      <c r="H2994" s="1066"/>
      <c r="I2994" s="1063"/>
      <c r="J2994" s="1063"/>
      <c r="K2994" s="1063"/>
      <c r="L2994" s="1063"/>
    </row>
    <row r="2995" spans="5:12" x14ac:dyDescent="0.2">
      <c r="E2995" s="1063"/>
      <c r="H2995" s="1066"/>
      <c r="I2995" s="1063"/>
      <c r="J2995" s="1063"/>
      <c r="K2995" s="1063"/>
      <c r="L2995" s="1063"/>
    </row>
    <row r="2996" spans="5:12" x14ac:dyDescent="0.2">
      <c r="E2996" s="1063"/>
      <c r="H2996" s="1066"/>
      <c r="I2996" s="1063"/>
      <c r="J2996" s="1063"/>
      <c r="K2996" s="1063"/>
      <c r="L2996" s="1063"/>
    </row>
    <row r="2997" spans="5:12" x14ac:dyDescent="0.2">
      <c r="E2997" s="1063"/>
      <c r="H2997" s="1066"/>
      <c r="I2997" s="1063"/>
      <c r="J2997" s="1063"/>
      <c r="K2997" s="1063"/>
      <c r="L2997" s="1063"/>
    </row>
    <row r="2998" spans="5:12" x14ac:dyDescent="0.2">
      <c r="E2998" s="1063"/>
      <c r="H2998" s="1066"/>
      <c r="I2998" s="1063"/>
      <c r="J2998" s="1063"/>
      <c r="K2998" s="1063"/>
      <c r="L2998" s="1063"/>
    </row>
    <row r="2999" spans="5:12" x14ac:dyDescent="0.2">
      <c r="E2999" s="1063"/>
      <c r="H2999" s="1066"/>
      <c r="I2999" s="1063"/>
      <c r="J2999" s="1063"/>
      <c r="K2999" s="1063"/>
      <c r="L2999" s="1063"/>
    </row>
    <row r="3000" spans="5:12" x14ac:dyDescent="0.2">
      <c r="E3000" s="1063"/>
      <c r="H3000" s="1066"/>
      <c r="I3000" s="1063"/>
      <c r="J3000" s="1063"/>
      <c r="K3000" s="1063"/>
      <c r="L3000" s="1063"/>
    </row>
    <row r="3001" spans="5:12" x14ac:dyDescent="0.2">
      <c r="E3001" s="1063"/>
      <c r="H3001" s="1066"/>
      <c r="I3001" s="1063"/>
      <c r="J3001" s="1063"/>
      <c r="K3001" s="1063"/>
      <c r="L3001" s="1063"/>
    </row>
    <row r="3002" spans="5:12" x14ac:dyDescent="0.2">
      <c r="E3002" s="1063"/>
      <c r="H3002" s="1066"/>
      <c r="I3002" s="1063"/>
      <c r="J3002" s="1063"/>
      <c r="K3002" s="1063"/>
      <c r="L3002" s="1063"/>
    </row>
    <row r="3003" spans="5:12" x14ac:dyDescent="0.2">
      <c r="E3003" s="1063"/>
      <c r="H3003" s="1066"/>
      <c r="I3003" s="1063"/>
      <c r="J3003" s="1063"/>
      <c r="K3003" s="1063"/>
      <c r="L3003" s="1063"/>
    </row>
    <row r="3004" spans="5:12" x14ac:dyDescent="0.2">
      <c r="E3004" s="1063"/>
      <c r="H3004" s="1066"/>
      <c r="I3004" s="1063"/>
      <c r="J3004" s="1063"/>
      <c r="K3004" s="1063"/>
      <c r="L3004" s="1063"/>
    </row>
    <row r="3005" spans="5:12" x14ac:dyDescent="0.2">
      <c r="E3005" s="1063"/>
      <c r="H3005" s="1066"/>
      <c r="I3005" s="1063"/>
      <c r="J3005" s="1063"/>
      <c r="K3005" s="1063"/>
      <c r="L3005" s="1063"/>
    </row>
    <row r="3006" spans="5:12" x14ac:dyDescent="0.2">
      <c r="E3006" s="1063"/>
      <c r="H3006" s="1066"/>
      <c r="I3006" s="1063"/>
      <c r="J3006" s="1063"/>
      <c r="K3006" s="1063"/>
      <c r="L3006" s="1063"/>
    </row>
    <row r="3007" spans="5:12" x14ac:dyDescent="0.2">
      <c r="E3007" s="1063"/>
      <c r="H3007" s="1066"/>
      <c r="I3007" s="1063"/>
      <c r="J3007" s="1063"/>
      <c r="K3007" s="1063"/>
      <c r="L3007" s="1063"/>
    </row>
    <row r="3008" spans="5:12" x14ac:dyDescent="0.2">
      <c r="E3008" s="1063"/>
      <c r="H3008" s="1066"/>
      <c r="I3008" s="1063"/>
      <c r="J3008" s="1063"/>
      <c r="K3008" s="1063"/>
      <c r="L3008" s="1063"/>
    </row>
    <row r="3009" spans="5:12" x14ac:dyDescent="0.2">
      <c r="E3009" s="1063"/>
      <c r="H3009" s="1066"/>
      <c r="I3009" s="1063"/>
      <c r="J3009" s="1063"/>
      <c r="K3009" s="1063"/>
      <c r="L3009" s="1063"/>
    </row>
    <row r="3010" spans="5:12" x14ac:dyDescent="0.2">
      <c r="E3010" s="1063"/>
      <c r="H3010" s="1066"/>
      <c r="I3010" s="1063"/>
      <c r="J3010" s="1063"/>
      <c r="K3010" s="1063"/>
      <c r="L3010" s="1063"/>
    </row>
    <row r="3011" spans="5:12" x14ac:dyDescent="0.2">
      <c r="E3011" s="1063"/>
      <c r="H3011" s="1066"/>
      <c r="I3011" s="1063"/>
      <c r="J3011" s="1063"/>
      <c r="K3011" s="1063"/>
      <c r="L3011" s="1063"/>
    </row>
    <row r="3012" spans="5:12" x14ac:dyDescent="0.2">
      <c r="E3012" s="1063"/>
      <c r="H3012" s="1066"/>
      <c r="I3012" s="1063"/>
      <c r="J3012" s="1063"/>
      <c r="K3012" s="1063"/>
      <c r="L3012" s="1063"/>
    </row>
    <row r="3013" spans="5:12" x14ac:dyDescent="0.2">
      <c r="E3013" s="1063"/>
      <c r="H3013" s="1066"/>
      <c r="I3013" s="1063"/>
      <c r="J3013" s="1063"/>
      <c r="K3013" s="1063"/>
      <c r="L3013" s="1063"/>
    </row>
    <row r="3014" spans="5:12" x14ac:dyDescent="0.2">
      <c r="E3014" s="1063"/>
      <c r="H3014" s="1066"/>
      <c r="I3014" s="1063"/>
      <c r="J3014" s="1063"/>
      <c r="K3014" s="1063"/>
      <c r="L3014" s="1063"/>
    </row>
    <row r="3015" spans="5:12" x14ac:dyDescent="0.2">
      <c r="E3015" s="1063"/>
      <c r="H3015" s="1066"/>
      <c r="I3015" s="1063"/>
      <c r="J3015" s="1063"/>
      <c r="K3015" s="1063"/>
      <c r="L3015" s="1063"/>
    </row>
    <row r="3016" spans="5:12" x14ac:dyDescent="0.2">
      <c r="E3016" s="1063"/>
      <c r="H3016" s="1066"/>
      <c r="I3016" s="1063"/>
      <c r="J3016" s="1063"/>
      <c r="K3016" s="1063"/>
      <c r="L3016" s="1063"/>
    </row>
    <row r="3017" spans="5:12" x14ac:dyDescent="0.2">
      <c r="E3017" s="1063"/>
      <c r="H3017" s="1066"/>
      <c r="I3017" s="1063"/>
      <c r="J3017" s="1063"/>
      <c r="K3017" s="1063"/>
      <c r="L3017" s="1063"/>
    </row>
    <row r="3018" spans="5:12" x14ac:dyDescent="0.2">
      <c r="E3018" s="1063"/>
      <c r="H3018" s="1066"/>
      <c r="I3018" s="1063"/>
      <c r="J3018" s="1063"/>
      <c r="K3018" s="1063"/>
      <c r="L3018" s="1063"/>
    </row>
    <row r="3019" spans="5:12" x14ac:dyDescent="0.2">
      <c r="E3019" s="1063"/>
      <c r="H3019" s="1066"/>
      <c r="I3019" s="1063"/>
      <c r="J3019" s="1063"/>
      <c r="K3019" s="1063"/>
      <c r="L3019" s="1063"/>
    </row>
    <row r="3020" spans="5:12" x14ac:dyDescent="0.2">
      <c r="E3020" s="1063"/>
      <c r="H3020" s="1066"/>
      <c r="I3020" s="1063"/>
      <c r="J3020" s="1063"/>
      <c r="K3020" s="1063"/>
      <c r="L3020" s="1063"/>
    </row>
    <row r="3021" spans="5:12" x14ac:dyDescent="0.2">
      <c r="E3021" s="1063"/>
      <c r="H3021" s="1066"/>
      <c r="I3021" s="1063"/>
      <c r="J3021" s="1063"/>
      <c r="K3021" s="1063"/>
      <c r="L3021" s="1063"/>
    </row>
    <row r="3022" spans="5:12" x14ac:dyDescent="0.2">
      <c r="E3022" s="1063"/>
      <c r="H3022" s="1066"/>
      <c r="I3022" s="1063"/>
      <c r="J3022" s="1063"/>
      <c r="K3022" s="1063"/>
      <c r="L3022" s="1063"/>
    </row>
    <row r="3023" spans="5:12" x14ac:dyDescent="0.2">
      <c r="E3023" s="1063"/>
      <c r="H3023" s="1066"/>
      <c r="I3023" s="1063"/>
      <c r="J3023" s="1063"/>
      <c r="K3023" s="1063"/>
      <c r="L3023" s="1063"/>
    </row>
    <row r="3024" spans="5:12" x14ac:dyDescent="0.2">
      <c r="E3024" s="1063"/>
      <c r="H3024" s="1066"/>
      <c r="I3024" s="1063"/>
      <c r="J3024" s="1063"/>
      <c r="K3024" s="1063"/>
      <c r="L3024" s="1063"/>
    </row>
    <row r="3025" spans="5:12" x14ac:dyDescent="0.2">
      <c r="E3025" s="1063"/>
      <c r="H3025" s="1066"/>
      <c r="I3025" s="1063"/>
      <c r="J3025" s="1063"/>
      <c r="K3025" s="1063"/>
      <c r="L3025" s="1063"/>
    </row>
    <row r="3026" spans="5:12" x14ac:dyDescent="0.2">
      <c r="E3026" s="1063"/>
      <c r="H3026" s="1066"/>
      <c r="I3026" s="1063"/>
      <c r="J3026" s="1063"/>
      <c r="K3026" s="1063"/>
      <c r="L3026" s="1063"/>
    </row>
    <row r="3027" spans="5:12" x14ac:dyDescent="0.2">
      <c r="E3027" s="1063"/>
      <c r="H3027" s="1066"/>
      <c r="I3027" s="1063"/>
      <c r="J3027" s="1063"/>
      <c r="K3027" s="1063"/>
      <c r="L3027" s="1063"/>
    </row>
    <row r="3028" spans="5:12" x14ac:dyDescent="0.2">
      <c r="E3028" s="1063"/>
      <c r="H3028" s="1066"/>
      <c r="I3028" s="1063"/>
      <c r="J3028" s="1063"/>
      <c r="K3028" s="1063"/>
      <c r="L3028" s="1063"/>
    </row>
    <row r="3029" spans="5:12" x14ac:dyDescent="0.2">
      <c r="E3029" s="1063"/>
      <c r="H3029" s="1066"/>
      <c r="I3029" s="1063"/>
      <c r="J3029" s="1063"/>
      <c r="K3029" s="1063"/>
      <c r="L3029" s="1063"/>
    </row>
    <row r="3030" spans="5:12" x14ac:dyDescent="0.2">
      <c r="E3030" s="1063"/>
      <c r="H3030" s="1066"/>
      <c r="I3030" s="1063"/>
      <c r="J3030" s="1063"/>
      <c r="K3030" s="1063"/>
      <c r="L3030" s="1063"/>
    </row>
    <row r="3031" spans="5:12" x14ac:dyDescent="0.2">
      <c r="E3031" s="1063"/>
      <c r="H3031" s="1066"/>
      <c r="I3031" s="1063"/>
      <c r="J3031" s="1063"/>
      <c r="K3031" s="1063"/>
      <c r="L3031" s="1063"/>
    </row>
    <row r="3032" spans="5:12" x14ac:dyDescent="0.2">
      <c r="E3032" s="1063"/>
      <c r="H3032" s="1066"/>
      <c r="I3032" s="1063"/>
      <c r="J3032" s="1063"/>
      <c r="K3032" s="1063"/>
      <c r="L3032" s="1063"/>
    </row>
    <row r="3033" spans="5:12" x14ac:dyDescent="0.2">
      <c r="E3033" s="1063"/>
      <c r="H3033" s="1066"/>
      <c r="I3033" s="1063"/>
      <c r="J3033" s="1063"/>
      <c r="K3033" s="1063"/>
      <c r="L3033" s="1063"/>
    </row>
    <row r="3034" spans="5:12" x14ac:dyDescent="0.2">
      <c r="E3034" s="1063"/>
      <c r="H3034" s="1066"/>
      <c r="I3034" s="1063"/>
      <c r="J3034" s="1063"/>
      <c r="K3034" s="1063"/>
      <c r="L3034" s="1063"/>
    </row>
    <row r="3035" spans="5:12" x14ac:dyDescent="0.2">
      <c r="E3035" s="1063"/>
      <c r="H3035" s="1066"/>
      <c r="I3035" s="1063"/>
      <c r="J3035" s="1063"/>
      <c r="K3035" s="1063"/>
      <c r="L3035" s="1063"/>
    </row>
    <row r="3036" spans="5:12" x14ac:dyDescent="0.2">
      <c r="E3036" s="1063"/>
      <c r="H3036" s="1066"/>
      <c r="I3036" s="1063"/>
      <c r="J3036" s="1063"/>
      <c r="K3036" s="1063"/>
      <c r="L3036" s="1063"/>
    </row>
    <row r="3037" spans="5:12" x14ac:dyDescent="0.2">
      <c r="E3037" s="1063"/>
      <c r="H3037" s="1066"/>
      <c r="I3037" s="1063"/>
      <c r="J3037" s="1063"/>
      <c r="K3037" s="1063"/>
      <c r="L3037" s="1063"/>
    </row>
    <row r="3038" spans="5:12" x14ac:dyDescent="0.2">
      <c r="E3038" s="1063"/>
      <c r="H3038" s="1066"/>
      <c r="I3038" s="1063"/>
      <c r="J3038" s="1063"/>
      <c r="K3038" s="1063"/>
      <c r="L3038" s="1063"/>
    </row>
    <row r="3039" spans="5:12" x14ac:dyDescent="0.2">
      <c r="E3039" s="1063"/>
      <c r="H3039" s="1066"/>
      <c r="I3039" s="1063"/>
      <c r="J3039" s="1063"/>
      <c r="K3039" s="1063"/>
      <c r="L3039" s="1063"/>
    </row>
    <row r="3040" spans="5:12" x14ac:dyDescent="0.2">
      <c r="E3040" s="1063"/>
      <c r="H3040" s="1066"/>
      <c r="I3040" s="1063"/>
      <c r="J3040" s="1063"/>
      <c r="K3040" s="1063"/>
      <c r="L3040" s="1063"/>
    </row>
    <row r="3041" spans="5:12" x14ac:dyDescent="0.2">
      <c r="E3041" s="1063"/>
      <c r="H3041" s="1066"/>
      <c r="I3041" s="1063"/>
      <c r="J3041" s="1063"/>
      <c r="K3041" s="1063"/>
      <c r="L3041" s="1063"/>
    </row>
    <row r="3042" spans="5:12" x14ac:dyDescent="0.2">
      <c r="E3042" s="1063"/>
      <c r="H3042" s="1066"/>
      <c r="I3042" s="1063"/>
      <c r="J3042" s="1063"/>
      <c r="K3042" s="1063"/>
      <c r="L3042" s="1063"/>
    </row>
    <row r="3043" spans="5:12" x14ac:dyDescent="0.2">
      <c r="E3043" s="1063"/>
      <c r="H3043" s="1066"/>
      <c r="I3043" s="1063"/>
      <c r="J3043" s="1063"/>
      <c r="K3043" s="1063"/>
      <c r="L3043" s="1063"/>
    </row>
    <row r="3044" spans="5:12" x14ac:dyDescent="0.2">
      <c r="E3044" s="1063"/>
      <c r="H3044" s="1066"/>
      <c r="I3044" s="1063"/>
      <c r="J3044" s="1063"/>
      <c r="K3044" s="1063"/>
      <c r="L3044" s="1063"/>
    </row>
    <row r="3045" spans="5:12" x14ac:dyDescent="0.2">
      <c r="E3045" s="1063"/>
      <c r="H3045" s="1066"/>
      <c r="I3045" s="1063"/>
      <c r="J3045" s="1063"/>
      <c r="K3045" s="1063"/>
      <c r="L3045" s="1063"/>
    </row>
    <row r="3046" spans="5:12" x14ac:dyDescent="0.2">
      <c r="E3046" s="1063"/>
      <c r="H3046" s="1066"/>
      <c r="I3046" s="1063"/>
      <c r="J3046" s="1063"/>
      <c r="K3046" s="1063"/>
      <c r="L3046" s="1063"/>
    </row>
    <row r="3047" spans="5:12" x14ac:dyDescent="0.2">
      <c r="E3047" s="1063"/>
      <c r="H3047" s="1066"/>
      <c r="I3047" s="1063"/>
      <c r="J3047" s="1063"/>
      <c r="K3047" s="1063"/>
      <c r="L3047" s="1063"/>
    </row>
    <row r="3048" spans="5:12" x14ac:dyDescent="0.2">
      <c r="E3048" s="1063"/>
      <c r="H3048" s="1066"/>
      <c r="I3048" s="1063"/>
      <c r="J3048" s="1063"/>
      <c r="K3048" s="1063"/>
      <c r="L3048" s="1063"/>
    </row>
    <row r="3049" spans="5:12" x14ac:dyDescent="0.2">
      <c r="E3049" s="1063"/>
      <c r="H3049" s="1066"/>
      <c r="I3049" s="1063"/>
      <c r="J3049" s="1063"/>
      <c r="K3049" s="1063"/>
      <c r="L3049" s="1063"/>
    </row>
    <row r="3050" spans="5:12" x14ac:dyDescent="0.2">
      <c r="E3050" s="1063"/>
      <c r="H3050" s="1066"/>
      <c r="I3050" s="1063"/>
      <c r="J3050" s="1063"/>
      <c r="K3050" s="1063"/>
      <c r="L3050" s="1063"/>
    </row>
    <row r="3051" spans="5:12" x14ac:dyDescent="0.2">
      <c r="E3051" s="1063"/>
      <c r="H3051" s="1066"/>
      <c r="I3051" s="1063"/>
      <c r="J3051" s="1063"/>
      <c r="K3051" s="1063"/>
      <c r="L3051" s="1063"/>
    </row>
    <row r="3052" spans="5:12" x14ac:dyDescent="0.2">
      <c r="E3052" s="1063"/>
      <c r="H3052" s="1066"/>
      <c r="I3052" s="1063"/>
      <c r="J3052" s="1063"/>
      <c r="K3052" s="1063"/>
      <c r="L3052" s="1063"/>
    </row>
    <row r="3053" spans="5:12" x14ac:dyDescent="0.2">
      <c r="E3053" s="1063"/>
      <c r="H3053" s="1066"/>
      <c r="I3053" s="1063"/>
      <c r="J3053" s="1063"/>
      <c r="K3053" s="1063"/>
      <c r="L3053" s="1063"/>
    </row>
    <row r="3054" spans="5:12" x14ac:dyDescent="0.2">
      <c r="E3054" s="1063"/>
      <c r="H3054" s="1066"/>
      <c r="I3054" s="1063"/>
      <c r="J3054" s="1063"/>
      <c r="K3054" s="1063"/>
      <c r="L3054" s="1063"/>
    </row>
    <row r="3055" spans="5:12" x14ac:dyDescent="0.2">
      <c r="E3055" s="1063"/>
      <c r="H3055" s="1066"/>
      <c r="I3055" s="1063"/>
      <c r="J3055" s="1063"/>
      <c r="K3055" s="1063"/>
      <c r="L3055" s="1063"/>
    </row>
    <row r="3056" spans="5:12" x14ac:dyDescent="0.2">
      <c r="E3056" s="1063"/>
      <c r="H3056" s="1066"/>
      <c r="I3056" s="1063"/>
      <c r="J3056" s="1063"/>
      <c r="K3056" s="1063"/>
      <c r="L3056" s="1063"/>
    </row>
    <row r="3057" spans="5:12" x14ac:dyDescent="0.2">
      <c r="E3057" s="1063"/>
      <c r="H3057" s="1066"/>
      <c r="I3057" s="1063"/>
      <c r="J3057" s="1063"/>
      <c r="K3057" s="1063"/>
      <c r="L3057" s="1063"/>
    </row>
    <row r="3058" spans="5:12" x14ac:dyDescent="0.2">
      <c r="E3058" s="1063"/>
      <c r="H3058" s="1066"/>
      <c r="I3058" s="1063"/>
      <c r="J3058" s="1063"/>
      <c r="K3058" s="1063"/>
      <c r="L3058" s="1063"/>
    </row>
    <row r="3059" spans="5:12" x14ac:dyDescent="0.2">
      <c r="E3059" s="1063"/>
      <c r="H3059" s="1066"/>
      <c r="I3059" s="1063"/>
      <c r="J3059" s="1063"/>
      <c r="K3059" s="1063"/>
      <c r="L3059" s="1063"/>
    </row>
    <row r="3060" spans="5:12" x14ac:dyDescent="0.2">
      <c r="E3060" s="1063"/>
      <c r="H3060" s="1066"/>
      <c r="I3060" s="1063"/>
      <c r="J3060" s="1063"/>
      <c r="K3060" s="1063"/>
      <c r="L3060" s="1063"/>
    </row>
    <row r="3061" spans="5:12" x14ac:dyDescent="0.2">
      <c r="E3061" s="1063"/>
      <c r="H3061" s="1066"/>
      <c r="I3061" s="1063"/>
      <c r="J3061" s="1063"/>
      <c r="K3061" s="1063"/>
      <c r="L3061" s="1063"/>
    </row>
    <row r="3062" spans="5:12" x14ac:dyDescent="0.2">
      <c r="E3062" s="1063"/>
      <c r="H3062" s="1066"/>
      <c r="I3062" s="1063"/>
      <c r="J3062" s="1063"/>
      <c r="K3062" s="1063"/>
      <c r="L3062" s="1063"/>
    </row>
    <row r="3063" spans="5:12" x14ac:dyDescent="0.2">
      <c r="E3063" s="1063"/>
      <c r="H3063" s="1066"/>
      <c r="I3063" s="1063"/>
      <c r="J3063" s="1063"/>
      <c r="K3063" s="1063"/>
      <c r="L3063" s="1063"/>
    </row>
    <row r="3064" spans="5:12" x14ac:dyDescent="0.2">
      <c r="E3064" s="1063"/>
      <c r="H3064" s="1066"/>
      <c r="I3064" s="1063"/>
      <c r="J3064" s="1063"/>
      <c r="K3064" s="1063"/>
      <c r="L3064" s="1063"/>
    </row>
    <row r="3065" spans="5:12" x14ac:dyDescent="0.2">
      <c r="E3065" s="1063"/>
      <c r="H3065" s="1066"/>
      <c r="I3065" s="1063"/>
      <c r="J3065" s="1063"/>
      <c r="K3065" s="1063"/>
      <c r="L3065" s="1063"/>
    </row>
    <row r="3066" spans="5:12" x14ac:dyDescent="0.2">
      <c r="E3066" s="1063"/>
      <c r="H3066" s="1066"/>
      <c r="I3066" s="1063"/>
      <c r="J3066" s="1063"/>
      <c r="K3066" s="1063"/>
      <c r="L3066" s="1063"/>
    </row>
    <row r="3067" spans="5:12" x14ac:dyDescent="0.2">
      <c r="E3067" s="1063"/>
      <c r="H3067" s="1066"/>
      <c r="I3067" s="1063"/>
      <c r="J3067" s="1063"/>
      <c r="K3067" s="1063"/>
      <c r="L3067" s="1063"/>
    </row>
    <row r="3068" spans="5:12" x14ac:dyDescent="0.2">
      <c r="E3068" s="1063"/>
      <c r="H3068" s="1066"/>
      <c r="I3068" s="1063"/>
      <c r="J3068" s="1063"/>
      <c r="K3068" s="1063"/>
      <c r="L3068" s="1063"/>
    </row>
    <row r="3069" spans="5:12" x14ac:dyDescent="0.2">
      <c r="E3069" s="1063"/>
      <c r="H3069" s="1066"/>
      <c r="I3069" s="1063"/>
      <c r="J3069" s="1063"/>
      <c r="K3069" s="1063"/>
      <c r="L3069" s="1063"/>
    </row>
    <row r="3070" spans="5:12" x14ac:dyDescent="0.2">
      <c r="E3070" s="1063"/>
      <c r="H3070" s="1066"/>
      <c r="I3070" s="1063"/>
      <c r="J3070" s="1063"/>
      <c r="K3070" s="1063"/>
      <c r="L3070" s="1063"/>
    </row>
    <row r="3071" spans="5:12" x14ac:dyDescent="0.2">
      <c r="E3071" s="1063"/>
      <c r="H3071" s="1066"/>
      <c r="I3071" s="1063"/>
      <c r="J3071" s="1063"/>
      <c r="K3071" s="1063"/>
      <c r="L3071" s="1063"/>
    </row>
    <row r="3072" spans="5:12" x14ac:dyDescent="0.2">
      <c r="E3072" s="1063"/>
      <c r="H3072" s="1066"/>
      <c r="I3072" s="1063"/>
      <c r="J3072" s="1063"/>
      <c r="K3072" s="1063"/>
      <c r="L3072" s="1063"/>
    </row>
    <row r="3073" spans="5:12" x14ac:dyDescent="0.2">
      <c r="E3073" s="1063"/>
      <c r="H3073" s="1066"/>
      <c r="I3073" s="1063"/>
      <c r="J3073" s="1063"/>
      <c r="K3073" s="1063"/>
      <c r="L3073" s="1063"/>
    </row>
    <row r="3074" spans="5:12" x14ac:dyDescent="0.2">
      <c r="E3074" s="1063"/>
      <c r="H3074" s="1066"/>
      <c r="I3074" s="1063"/>
      <c r="J3074" s="1063"/>
      <c r="K3074" s="1063"/>
      <c r="L3074" s="1063"/>
    </row>
    <row r="3075" spans="5:12" x14ac:dyDescent="0.2">
      <c r="E3075" s="1063"/>
      <c r="H3075" s="1066"/>
      <c r="I3075" s="1063"/>
      <c r="J3075" s="1063"/>
      <c r="K3075" s="1063"/>
      <c r="L3075" s="1063"/>
    </row>
    <row r="3076" spans="5:12" x14ac:dyDescent="0.2">
      <c r="E3076" s="1063"/>
      <c r="H3076" s="1066"/>
      <c r="I3076" s="1063"/>
      <c r="J3076" s="1063"/>
      <c r="K3076" s="1063"/>
      <c r="L3076" s="1063"/>
    </row>
    <row r="3077" spans="5:12" x14ac:dyDescent="0.2">
      <c r="E3077" s="1063"/>
      <c r="H3077" s="1066"/>
      <c r="I3077" s="1063"/>
      <c r="J3077" s="1063"/>
      <c r="K3077" s="1063"/>
      <c r="L3077" s="1063"/>
    </row>
    <row r="3078" spans="5:12" x14ac:dyDescent="0.2">
      <c r="E3078" s="1063"/>
      <c r="H3078" s="1066"/>
      <c r="I3078" s="1063"/>
      <c r="J3078" s="1063"/>
      <c r="K3078" s="1063"/>
      <c r="L3078" s="1063"/>
    </row>
    <row r="3079" spans="5:12" x14ac:dyDescent="0.2">
      <c r="E3079" s="1063"/>
      <c r="H3079" s="1066"/>
      <c r="I3079" s="1063"/>
      <c r="J3079" s="1063"/>
      <c r="K3079" s="1063"/>
      <c r="L3079" s="1063"/>
    </row>
    <row r="3080" spans="5:12" x14ac:dyDescent="0.2">
      <c r="E3080" s="1063"/>
      <c r="H3080" s="1066"/>
      <c r="I3080" s="1063"/>
      <c r="J3080" s="1063"/>
      <c r="K3080" s="1063"/>
      <c r="L3080" s="1063"/>
    </row>
    <row r="3081" spans="5:12" x14ac:dyDescent="0.2">
      <c r="E3081" s="1063"/>
      <c r="H3081" s="1066"/>
      <c r="I3081" s="1063"/>
      <c r="J3081" s="1063"/>
      <c r="K3081" s="1063"/>
      <c r="L3081" s="1063"/>
    </row>
    <row r="3082" spans="5:12" x14ac:dyDescent="0.2">
      <c r="E3082" s="1063"/>
      <c r="H3082" s="1066"/>
      <c r="I3082" s="1063"/>
      <c r="J3082" s="1063"/>
      <c r="K3082" s="1063"/>
      <c r="L3082" s="1063"/>
    </row>
    <row r="3083" spans="5:12" x14ac:dyDescent="0.2">
      <c r="E3083" s="1063"/>
      <c r="H3083" s="1066"/>
      <c r="I3083" s="1063"/>
      <c r="J3083" s="1063"/>
      <c r="K3083" s="1063"/>
      <c r="L3083" s="1063"/>
    </row>
    <row r="3084" spans="5:12" x14ac:dyDescent="0.2">
      <c r="E3084" s="1063"/>
      <c r="H3084" s="1066"/>
      <c r="I3084" s="1063"/>
      <c r="J3084" s="1063"/>
      <c r="K3084" s="1063"/>
      <c r="L3084" s="1063"/>
    </row>
    <row r="3085" spans="5:12" x14ac:dyDescent="0.2">
      <c r="E3085" s="1063"/>
      <c r="H3085" s="1066"/>
      <c r="I3085" s="1063"/>
      <c r="J3085" s="1063"/>
      <c r="K3085" s="1063"/>
      <c r="L3085" s="1063"/>
    </row>
    <row r="3086" spans="5:12" x14ac:dyDescent="0.2">
      <c r="E3086" s="1063"/>
      <c r="H3086" s="1066"/>
      <c r="I3086" s="1063"/>
      <c r="J3086" s="1063"/>
      <c r="K3086" s="1063"/>
      <c r="L3086" s="1063"/>
    </row>
    <row r="3087" spans="5:12" x14ac:dyDescent="0.2">
      <c r="E3087" s="1063"/>
      <c r="H3087" s="1066"/>
      <c r="I3087" s="1063"/>
      <c r="J3087" s="1063"/>
      <c r="K3087" s="1063"/>
      <c r="L3087" s="1063"/>
    </row>
    <row r="3088" spans="5:12" x14ac:dyDescent="0.2">
      <c r="E3088" s="1063"/>
      <c r="H3088" s="1066"/>
      <c r="I3088" s="1063"/>
      <c r="J3088" s="1063"/>
      <c r="K3088" s="1063"/>
      <c r="L3088" s="1063"/>
    </row>
    <row r="3089" spans="5:12" x14ac:dyDescent="0.2">
      <c r="E3089" s="1063"/>
      <c r="H3089" s="1066"/>
      <c r="I3089" s="1063"/>
      <c r="J3089" s="1063"/>
      <c r="K3089" s="1063"/>
      <c r="L3089" s="1063"/>
    </row>
    <row r="3090" spans="5:12" x14ac:dyDescent="0.2">
      <c r="E3090" s="1063"/>
      <c r="H3090" s="1066"/>
      <c r="I3090" s="1063"/>
      <c r="J3090" s="1063"/>
      <c r="K3090" s="1063"/>
      <c r="L3090" s="1063"/>
    </row>
    <row r="3091" spans="5:12" x14ac:dyDescent="0.2">
      <c r="E3091" s="1063"/>
      <c r="H3091" s="1066"/>
      <c r="I3091" s="1063"/>
      <c r="J3091" s="1063"/>
      <c r="K3091" s="1063"/>
      <c r="L3091" s="1063"/>
    </row>
    <row r="3092" spans="5:12" x14ac:dyDescent="0.2">
      <c r="E3092" s="1063"/>
      <c r="H3092" s="1066"/>
      <c r="I3092" s="1063"/>
      <c r="J3092" s="1063"/>
      <c r="K3092" s="1063"/>
      <c r="L3092" s="1063"/>
    </row>
    <row r="3093" spans="5:12" x14ac:dyDescent="0.2">
      <c r="E3093" s="1063"/>
      <c r="H3093" s="1066"/>
      <c r="I3093" s="1063"/>
      <c r="J3093" s="1063"/>
      <c r="K3093" s="1063"/>
      <c r="L3093" s="1063"/>
    </row>
    <row r="3094" spans="5:12" x14ac:dyDescent="0.2">
      <c r="E3094" s="1063"/>
      <c r="H3094" s="1066"/>
      <c r="I3094" s="1063"/>
      <c r="J3094" s="1063"/>
      <c r="K3094" s="1063"/>
      <c r="L3094" s="1063"/>
    </row>
    <row r="3095" spans="5:12" x14ac:dyDescent="0.2">
      <c r="E3095" s="1063"/>
      <c r="H3095" s="1066"/>
      <c r="I3095" s="1063"/>
      <c r="J3095" s="1063"/>
      <c r="K3095" s="1063"/>
      <c r="L3095" s="1063"/>
    </row>
    <row r="3096" spans="5:12" x14ac:dyDescent="0.2">
      <c r="E3096" s="1063"/>
      <c r="H3096" s="1066"/>
      <c r="I3096" s="1063"/>
      <c r="J3096" s="1063"/>
      <c r="K3096" s="1063"/>
      <c r="L3096" s="1063"/>
    </row>
    <row r="3097" spans="5:12" x14ac:dyDescent="0.2">
      <c r="E3097" s="1063"/>
      <c r="H3097" s="1066"/>
      <c r="I3097" s="1063"/>
      <c r="J3097" s="1063"/>
      <c r="K3097" s="1063"/>
      <c r="L3097" s="1063"/>
    </row>
    <row r="3098" spans="5:12" x14ac:dyDescent="0.2">
      <c r="E3098" s="1063"/>
      <c r="H3098" s="1066"/>
      <c r="I3098" s="1063"/>
      <c r="J3098" s="1063"/>
      <c r="K3098" s="1063"/>
      <c r="L3098" s="1063"/>
    </row>
    <row r="3099" spans="5:12" x14ac:dyDescent="0.2">
      <c r="E3099" s="1063"/>
      <c r="H3099" s="1066"/>
      <c r="I3099" s="1063"/>
      <c r="J3099" s="1063"/>
      <c r="K3099" s="1063"/>
      <c r="L3099" s="1063"/>
    </row>
    <row r="3100" spans="5:12" x14ac:dyDescent="0.2">
      <c r="E3100" s="1063"/>
      <c r="H3100" s="1066"/>
      <c r="I3100" s="1063"/>
      <c r="J3100" s="1063"/>
      <c r="K3100" s="1063"/>
      <c r="L3100" s="1063"/>
    </row>
    <row r="3101" spans="5:12" x14ac:dyDescent="0.2">
      <c r="E3101" s="1063"/>
      <c r="H3101" s="1066"/>
      <c r="I3101" s="1063"/>
      <c r="J3101" s="1063"/>
      <c r="K3101" s="1063"/>
      <c r="L3101" s="1063"/>
    </row>
    <row r="3102" spans="5:12" x14ac:dyDescent="0.2">
      <c r="E3102" s="1063"/>
      <c r="H3102" s="1066"/>
      <c r="I3102" s="1063"/>
      <c r="J3102" s="1063"/>
      <c r="K3102" s="1063"/>
      <c r="L3102" s="1063"/>
    </row>
    <row r="3103" spans="5:12" x14ac:dyDescent="0.2">
      <c r="E3103" s="1063"/>
      <c r="H3103" s="1066"/>
      <c r="I3103" s="1063"/>
      <c r="J3103" s="1063"/>
      <c r="K3103" s="1063"/>
      <c r="L3103" s="1063"/>
    </row>
    <row r="3104" spans="5:12" x14ac:dyDescent="0.2">
      <c r="E3104" s="1063"/>
      <c r="H3104" s="1066"/>
      <c r="I3104" s="1063"/>
      <c r="J3104" s="1063"/>
      <c r="K3104" s="1063"/>
      <c r="L3104" s="1063"/>
    </row>
    <row r="3105" spans="5:12" x14ac:dyDescent="0.2">
      <c r="E3105" s="1063"/>
      <c r="H3105" s="1066"/>
      <c r="I3105" s="1063"/>
      <c r="J3105" s="1063"/>
      <c r="K3105" s="1063"/>
      <c r="L3105" s="1063"/>
    </row>
    <row r="3106" spans="5:12" x14ac:dyDescent="0.2">
      <c r="E3106" s="1063"/>
      <c r="H3106" s="1066"/>
      <c r="I3106" s="1063"/>
      <c r="J3106" s="1063"/>
      <c r="K3106" s="1063"/>
      <c r="L3106" s="1063"/>
    </row>
    <row r="3107" spans="5:12" x14ac:dyDescent="0.2">
      <c r="E3107" s="1063"/>
      <c r="H3107" s="1066"/>
      <c r="I3107" s="1063"/>
      <c r="J3107" s="1063"/>
      <c r="K3107" s="1063"/>
      <c r="L3107" s="1063"/>
    </row>
    <row r="3108" spans="5:12" x14ac:dyDescent="0.2">
      <c r="E3108" s="1063"/>
      <c r="H3108" s="1066"/>
      <c r="I3108" s="1063"/>
      <c r="J3108" s="1063"/>
      <c r="K3108" s="1063"/>
      <c r="L3108" s="1063"/>
    </row>
    <row r="3109" spans="5:12" x14ac:dyDescent="0.2">
      <c r="E3109" s="1063"/>
      <c r="H3109" s="1066"/>
      <c r="I3109" s="1063"/>
      <c r="J3109" s="1063"/>
      <c r="K3109" s="1063"/>
      <c r="L3109" s="1063"/>
    </row>
    <row r="3110" spans="5:12" x14ac:dyDescent="0.2">
      <c r="E3110" s="1063"/>
      <c r="H3110" s="1066"/>
      <c r="I3110" s="1063"/>
      <c r="J3110" s="1063"/>
      <c r="K3110" s="1063"/>
      <c r="L3110" s="1063"/>
    </row>
    <row r="3111" spans="5:12" x14ac:dyDescent="0.2">
      <c r="E3111" s="1063"/>
      <c r="H3111" s="1066"/>
      <c r="I3111" s="1063"/>
      <c r="J3111" s="1063"/>
      <c r="K3111" s="1063"/>
      <c r="L3111" s="1063"/>
    </row>
    <row r="3112" spans="5:12" x14ac:dyDescent="0.2">
      <c r="E3112" s="1063"/>
      <c r="H3112" s="1066"/>
      <c r="I3112" s="1063"/>
      <c r="J3112" s="1063"/>
      <c r="K3112" s="1063"/>
      <c r="L3112" s="1063"/>
    </row>
    <row r="3113" spans="5:12" x14ac:dyDescent="0.2">
      <c r="E3113" s="1063"/>
      <c r="H3113" s="1066"/>
      <c r="I3113" s="1063"/>
      <c r="J3113" s="1063"/>
      <c r="K3113" s="1063"/>
      <c r="L3113" s="1063"/>
    </row>
    <row r="3114" spans="5:12" x14ac:dyDescent="0.2">
      <c r="E3114" s="1063"/>
      <c r="H3114" s="1066"/>
      <c r="I3114" s="1063"/>
      <c r="J3114" s="1063"/>
      <c r="K3114" s="1063"/>
      <c r="L3114" s="1063"/>
    </row>
    <row r="3115" spans="5:12" x14ac:dyDescent="0.2">
      <c r="E3115" s="1063"/>
      <c r="H3115" s="1066"/>
      <c r="I3115" s="1063"/>
      <c r="J3115" s="1063"/>
      <c r="K3115" s="1063"/>
      <c r="L3115" s="1063"/>
    </row>
    <row r="3116" spans="5:12" x14ac:dyDescent="0.2">
      <c r="E3116" s="1063"/>
      <c r="H3116" s="1066"/>
      <c r="I3116" s="1063"/>
      <c r="J3116" s="1063"/>
      <c r="K3116" s="1063"/>
      <c r="L3116" s="1063"/>
    </row>
    <row r="3117" spans="5:12" x14ac:dyDescent="0.2">
      <c r="E3117" s="1063"/>
      <c r="H3117" s="1066"/>
      <c r="I3117" s="1063"/>
      <c r="J3117" s="1063"/>
      <c r="K3117" s="1063"/>
      <c r="L3117" s="1063"/>
    </row>
    <row r="3118" spans="5:12" x14ac:dyDescent="0.2">
      <c r="E3118" s="1063"/>
      <c r="H3118" s="1066"/>
      <c r="I3118" s="1063"/>
      <c r="J3118" s="1063"/>
      <c r="K3118" s="1063"/>
      <c r="L3118" s="1063"/>
    </row>
    <row r="3119" spans="5:12" x14ac:dyDescent="0.2">
      <c r="E3119" s="1063"/>
      <c r="H3119" s="1066"/>
      <c r="I3119" s="1063"/>
      <c r="J3119" s="1063"/>
      <c r="K3119" s="1063"/>
      <c r="L3119" s="1063"/>
    </row>
    <row r="3120" spans="5:12" x14ac:dyDescent="0.2">
      <c r="E3120" s="1063"/>
      <c r="H3120" s="1066"/>
      <c r="I3120" s="1063"/>
      <c r="J3120" s="1063"/>
      <c r="K3120" s="1063"/>
      <c r="L3120" s="1063"/>
    </row>
    <row r="3121" spans="5:12" x14ac:dyDescent="0.2">
      <c r="E3121" s="1063"/>
      <c r="H3121" s="1066"/>
      <c r="I3121" s="1063"/>
      <c r="J3121" s="1063"/>
      <c r="K3121" s="1063"/>
      <c r="L3121" s="1063"/>
    </row>
    <row r="3122" spans="5:12" x14ac:dyDescent="0.2">
      <c r="E3122" s="1063"/>
      <c r="H3122" s="1066"/>
      <c r="I3122" s="1063"/>
      <c r="J3122" s="1063"/>
      <c r="K3122" s="1063"/>
      <c r="L3122" s="1063"/>
    </row>
    <row r="3123" spans="5:12" x14ac:dyDescent="0.2">
      <c r="E3123" s="1063"/>
      <c r="H3123" s="1066"/>
      <c r="I3123" s="1063"/>
      <c r="J3123" s="1063"/>
      <c r="K3123" s="1063"/>
      <c r="L3123" s="1063"/>
    </row>
    <row r="3124" spans="5:12" x14ac:dyDescent="0.2">
      <c r="E3124" s="1063"/>
      <c r="H3124" s="1066"/>
      <c r="I3124" s="1063"/>
      <c r="J3124" s="1063"/>
      <c r="K3124" s="1063"/>
      <c r="L3124" s="1063"/>
    </row>
    <row r="3125" spans="5:12" x14ac:dyDescent="0.2">
      <c r="E3125" s="1063"/>
      <c r="H3125" s="1066"/>
      <c r="I3125" s="1063"/>
      <c r="J3125" s="1063"/>
      <c r="K3125" s="1063"/>
      <c r="L3125" s="1063"/>
    </row>
    <row r="3126" spans="5:12" x14ac:dyDescent="0.2">
      <c r="E3126" s="1063"/>
      <c r="H3126" s="1066"/>
      <c r="I3126" s="1063"/>
      <c r="J3126" s="1063"/>
      <c r="K3126" s="1063"/>
      <c r="L3126" s="1063"/>
    </row>
    <row r="3127" spans="5:12" x14ac:dyDescent="0.2">
      <c r="E3127" s="1063"/>
      <c r="H3127" s="1066"/>
      <c r="I3127" s="1063"/>
      <c r="J3127" s="1063"/>
      <c r="K3127" s="1063"/>
      <c r="L3127" s="1063"/>
    </row>
    <row r="3128" spans="5:12" x14ac:dyDescent="0.2">
      <c r="E3128" s="1063"/>
      <c r="H3128" s="1066"/>
      <c r="I3128" s="1063"/>
      <c r="J3128" s="1063"/>
      <c r="K3128" s="1063"/>
      <c r="L3128" s="1063"/>
    </row>
    <row r="3129" spans="5:12" x14ac:dyDescent="0.2">
      <c r="E3129" s="1063"/>
      <c r="H3129" s="1066"/>
      <c r="I3129" s="1063"/>
      <c r="J3129" s="1063"/>
      <c r="K3129" s="1063"/>
      <c r="L3129" s="1063"/>
    </row>
    <row r="3130" spans="5:12" x14ac:dyDescent="0.2">
      <c r="E3130" s="1063"/>
      <c r="H3130" s="1066"/>
      <c r="I3130" s="1063"/>
      <c r="J3130" s="1063"/>
      <c r="K3130" s="1063"/>
      <c r="L3130" s="1063"/>
    </row>
    <row r="3131" spans="5:12" x14ac:dyDescent="0.2">
      <c r="E3131" s="1063"/>
      <c r="H3131" s="1066"/>
      <c r="I3131" s="1063"/>
      <c r="J3131" s="1063"/>
      <c r="K3131" s="1063"/>
      <c r="L3131" s="1063"/>
    </row>
    <row r="3132" spans="5:12" x14ac:dyDescent="0.2">
      <c r="E3132" s="1063"/>
      <c r="H3132" s="1066"/>
      <c r="I3132" s="1063"/>
      <c r="J3132" s="1063"/>
      <c r="K3132" s="1063"/>
      <c r="L3132" s="1063"/>
    </row>
    <row r="3133" spans="5:12" x14ac:dyDescent="0.2">
      <c r="E3133" s="1063"/>
      <c r="H3133" s="1066"/>
      <c r="I3133" s="1063"/>
      <c r="J3133" s="1063"/>
      <c r="K3133" s="1063"/>
      <c r="L3133" s="1063"/>
    </row>
    <row r="3134" spans="5:12" x14ac:dyDescent="0.2">
      <c r="E3134" s="1063"/>
      <c r="H3134" s="1066"/>
      <c r="I3134" s="1063"/>
      <c r="J3134" s="1063"/>
      <c r="K3134" s="1063"/>
      <c r="L3134" s="1063"/>
    </row>
    <row r="3135" spans="5:12" x14ac:dyDescent="0.2">
      <c r="E3135" s="1063"/>
      <c r="H3135" s="1066"/>
      <c r="I3135" s="1063"/>
      <c r="J3135" s="1063"/>
      <c r="K3135" s="1063"/>
      <c r="L3135" s="1063"/>
    </row>
    <row r="3136" spans="5:12" x14ac:dyDescent="0.2">
      <c r="E3136" s="1063"/>
      <c r="H3136" s="1066"/>
      <c r="I3136" s="1063"/>
      <c r="J3136" s="1063"/>
      <c r="K3136" s="1063"/>
      <c r="L3136" s="1063"/>
    </row>
    <row r="3137" spans="5:12" x14ac:dyDescent="0.2">
      <c r="E3137" s="1063"/>
      <c r="H3137" s="1066"/>
      <c r="I3137" s="1063"/>
      <c r="J3137" s="1063"/>
      <c r="K3137" s="1063"/>
      <c r="L3137" s="1063"/>
    </row>
    <row r="3138" spans="5:12" x14ac:dyDescent="0.2">
      <c r="E3138" s="1063"/>
      <c r="H3138" s="1066"/>
      <c r="I3138" s="1063"/>
      <c r="J3138" s="1063"/>
      <c r="K3138" s="1063"/>
      <c r="L3138" s="1063"/>
    </row>
    <row r="3139" spans="5:12" x14ac:dyDescent="0.2">
      <c r="E3139" s="1063"/>
      <c r="H3139" s="1066"/>
      <c r="I3139" s="1063"/>
      <c r="J3139" s="1063"/>
      <c r="K3139" s="1063"/>
      <c r="L3139" s="1063"/>
    </row>
    <row r="3140" spans="5:12" x14ac:dyDescent="0.2">
      <c r="E3140" s="1063"/>
      <c r="H3140" s="1066"/>
      <c r="I3140" s="1063"/>
      <c r="J3140" s="1063"/>
      <c r="K3140" s="1063"/>
      <c r="L3140" s="1063"/>
    </row>
    <row r="3141" spans="5:12" x14ac:dyDescent="0.2">
      <c r="E3141" s="1063"/>
      <c r="H3141" s="1066"/>
      <c r="I3141" s="1063"/>
      <c r="J3141" s="1063"/>
      <c r="K3141" s="1063"/>
      <c r="L3141" s="1063"/>
    </row>
    <row r="3142" spans="5:12" x14ac:dyDescent="0.2">
      <c r="E3142" s="1063"/>
      <c r="H3142" s="1066"/>
      <c r="I3142" s="1063"/>
      <c r="J3142" s="1063"/>
      <c r="K3142" s="1063"/>
      <c r="L3142" s="1063"/>
    </row>
    <row r="3143" spans="5:12" x14ac:dyDescent="0.2">
      <c r="E3143" s="1063"/>
      <c r="H3143" s="1066"/>
      <c r="I3143" s="1063"/>
      <c r="J3143" s="1063"/>
      <c r="K3143" s="1063"/>
      <c r="L3143" s="1063"/>
    </row>
    <row r="3144" spans="5:12" x14ac:dyDescent="0.2">
      <c r="E3144" s="1063"/>
      <c r="H3144" s="1066"/>
      <c r="I3144" s="1063"/>
      <c r="J3144" s="1063"/>
      <c r="K3144" s="1063"/>
      <c r="L3144" s="1063"/>
    </row>
    <row r="3145" spans="5:12" x14ac:dyDescent="0.2">
      <c r="E3145" s="1063"/>
      <c r="H3145" s="1066"/>
      <c r="I3145" s="1063"/>
      <c r="J3145" s="1063"/>
      <c r="K3145" s="1063"/>
      <c r="L3145" s="1063"/>
    </row>
    <row r="3146" spans="5:12" x14ac:dyDescent="0.2">
      <c r="E3146" s="1063"/>
      <c r="H3146" s="1066"/>
      <c r="I3146" s="1063"/>
      <c r="J3146" s="1063"/>
      <c r="K3146" s="1063"/>
      <c r="L3146" s="1063"/>
    </row>
    <row r="3147" spans="5:12" x14ac:dyDescent="0.2">
      <c r="E3147" s="1063"/>
      <c r="H3147" s="1066"/>
      <c r="I3147" s="1063"/>
      <c r="J3147" s="1063"/>
      <c r="K3147" s="1063"/>
      <c r="L3147" s="1063"/>
    </row>
    <row r="3148" spans="5:12" x14ac:dyDescent="0.2">
      <c r="E3148" s="1063"/>
      <c r="H3148" s="1066"/>
      <c r="I3148" s="1063"/>
      <c r="J3148" s="1063"/>
      <c r="K3148" s="1063"/>
      <c r="L3148" s="1063"/>
    </row>
    <row r="3149" spans="5:12" x14ac:dyDescent="0.2">
      <c r="E3149" s="1063"/>
      <c r="H3149" s="1066"/>
      <c r="I3149" s="1063"/>
      <c r="J3149" s="1063"/>
      <c r="K3149" s="1063"/>
      <c r="L3149" s="1063"/>
    </row>
    <row r="3150" spans="5:12" x14ac:dyDescent="0.2">
      <c r="E3150" s="1063"/>
      <c r="H3150" s="1066"/>
      <c r="I3150" s="1063"/>
      <c r="J3150" s="1063"/>
      <c r="K3150" s="1063"/>
      <c r="L3150" s="1063"/>
    </row>
    <row r="3151" spans="5:12" x14ac:dyDescent="0.2">
      <c r="E3151" s="1063"/>
      <c r="H3151" s="1066"/>
      <c r="I3151" s="1063"/>
      <c r="J3151" s="1063"/>
      <c r="K3151" s="1063"/>
      <c r="L3151" s="1063"/>
    </row>
    <row r="3152" spans="5:12" x14ac:dyDescent="0.2">
      <c r="E3152" s="1063"/>
      <c r="H3152" s="1066"/>
      <c r="I3152" s="1063"/>
      <c r="J3152" s="1063"/>
      <c r="K3152" s="1063"/>
      <c r="L3152" s="1063"/>
    </row>
    <row r="3153" spans="5:12" x14ac:dyDescent="0.2">
      <c r="E3153" s="1063"/>
      <c r="H3153" s="1066"/>
      <c r="I3153" s="1063"/>
      <c r="J3153" s="1063"/>
      <c r="K3153" s="1063"/>
      <c r="L3153" s="1063"/>
    </row>
    <row r="3154" spans="5:12" x14ac:dyDescent="0.2">
      <c r="E3154" s="1063"/>
      <c r="H3154" s="1066"/>
      <c r="I3154" s="1063"/>
      <c r="J3154" s="1063"/>
      <c r="K3154" s="1063"/>
      <c r="L3154" s="1063"/>
    </row>
    <row r="3155" spans="5:12" x14ac:dyDescent="0.2">
      <c r="E3155" s="1063"/>
      <c r="H3155" s="1066"/>
      <c r="I3155" s="1063"/>
      <c r="J3155" s="1063"/>
      <c r="K3155" s="1063"/>
      <c r="L3155" s="1063"/>
    </row>
    <row r="3156" spans="5:12" x14ac:dyDescent="0.2">
      <c r="E3156" s="1063"/>
      <c r="H3156" s="1066"/>
      <c r="I3156" s="1063"/>
      <c r="J3156" s="1063"/>
      <c r="K3156" s="1063"/>
      <c r="L3156" s="1063"/>
    </row>
    <row r="3157" spans="5:12" x14ac:dyDescent="0.2">
      <c r="E3157" s="1063"/>
      <c r="H3157" s="1066"/>
      <c r="I3157" s="1063"/>
      <c r="J3157" s="1063"/>
      <c r="K3157" s="1063"/>
      <c r="L3157" s="1063"/>
    </row>
    <row r="3158" spans="5:12" x14ac:dyDescent="0.2">
      <c r="E3158" s="1063"/>
      <c r="H3158" s="1066"/>
      <c r="I3158" s="1063"/>
      <c r="J3158" s="1063"/>
      <c r="K3158" s="1063"/>
      <c r="L3158" s="1063"/>
    </row>
    <row r="3159" spans="5:12" x14ac:dyDescent="0.2">
      <c r="E3159" s="1063"/>
      <c r="H3159" s="1066"/>
      <c r="I3159" s="1063"/>
      <c r="J3159" s="1063"/>
      <c r="K3159" s="1063"/>
      <c r="L3159" s="1063"/>
    </row>
    <row r="3160" spans="5:12" x14ac:dyDescent="0.2">
      <c r="E3160" s="1063"/>
      <c r="H3160" s="1066"/>
      <c r="I3160" s="1063"/>
      <c r="J3160" s="1063"/>
      <c r="K3160" s="1063"/>
      <c r="L3160" s="1063"/>
    </row>
    <row r="3161" spans="5:12" x14ac:dyDescent="0.2">
      <c r="E3161" s="1063"/>
      <c r="H3161" s="1066"/>
      <c r="I3161" s="1063"/>
      <c r="J3161" s="1063"/>
      <c r="K3161" s="1063"/>
      <c r="L3161" s="1063"/>
    </row>
    <row r="3162" spans="5:12" x14ac:dyDescent="0.2">
      <c r="E3162" s="1063"/>
      <c r="H3162" s="1066"/>
      <c r="I3162" s="1063"/>
      <c r="J3162" s="1063"/>
      <c r="K3162" s="1063"/>
      <c r="L3162" s="1063"/>
    </row>
    <row r="3163" spans="5:12" x14ac:dyDescent="0.2">
      <c r="E3163" s="1063"/>
      <c r="H3163" s="1066"/>
      <c r="I3163" s="1063"/>
      <c r="J3163" s="1063"/>
      <c r="K3163" s="1063"/>
      <c r="L3163" s="1063"/>
    </row>
    <row r="3164" spans="5:12" x14ac:dyDescent="0.2">
      <c r="E3164" s="1063"/>
      <c r="H3164" s="1066"/>
      <c r="I3164" s="1063"/>
      <c r="J3164" s="1063"/>
      <c r="K3164" s="1063"/>
      <c r="L3164" s="1063"/>
    </row>
    <row r="3165" spans="5:12" x14ac:dyDescent="0.2">
      <c r="E3165" s="1063"/>
      <c r="H3165" s="1066"/>
      <c r="I3165" s="1063"/>
      <c r="J3165" s="1063"/>
      <c r="K3165" s="1063"/>
      <c r="L3165" s="1063"/>
    </row>
    <row r="3166" spans="5:12" x14ac:dyDescent="0.2">
      <c r="E3166" s="1063"/>
      <c r="H3166" s="1066"/>
      <c r="I3166" s="1063"/>
      <c r="J3166" s="1063"/>
      <c r="K3166" s="1063"/>
      <c r="L3166" s="1063"/>
    </row>
    <row r="3167" spans="5:12" x14ac:dyDescent="0.2">
      <c r="E3167" s="1063"/>
      <c r="H3167" s="1066"/>
      <c r="I3167" s="1063"/>
      <c r="J3167" s="1063"/>
      <c r="K3167" s="1063"/>
      <c r="L3167" s="1063"/>
    </row>
    <row r="3168" spans="5:12" x14ac:dyDescent="0.2">
      <c r="E3168" s="1063"/>
      <c r="H3168" s="1066"/>
      <c r="I3168" s="1063"/>
      <c r="J3168" s="1063"/>
      <c r="K3168" s="1063"/>
      <c r="L3168" s="1063"/>
    </row>
    <row r="3169" spans="5:12" x14ac:dyDescent="0.2">
      <c r="E3169" s="1063"/>
      <c r="H3169" s="1066"/>
      <c r="I3169" s="1063"/>
      <c r="J3169" s="1063"/>
      <c r="K3169" s="1063"/>
      <c r="L3169" s="1063"/>
    </row>
    <row r="3170" spans="5:12" x14ac:dyDescent="0.2">
      <c r="E3170" s="1063"/>
      <c r="H3170" s="1066"/>
      <c r="I3170" s="1063"/>
      <c r="J3170" s="1063"/>
      <c r="K3170" s="1063"/>
      <c r="L3170" s="1063"/>
    </row>
    <row r="3171" spans="5:12" x14ac:dyDescent="0.2">
      <c r="E3171" s="1063"/>
      <c r="H3171" s="1066"/>
      <c r="I3171" s="1063"/>
      <c r="J3171" s="1063"/>
      <c r="K3171" s="1063"/>
      <c r="L3171" s="1063"/>
    </row>
    <row r="3172" spans="5:12" x14ac:dyDescent="0.2">
      <c r="E3172" s="1063"/>
      <c r="H3172" s="1066"/>
      <c r="I3172" s="1063"/>
      <c r="J3172" s="1063"/>
      <c r="K3172" s="1063"/>
      <c r="L3172" s="1063"/>
    </row>
    <row r="3173" spans="5:12" x14ac:dyDescent="0.2">
      <c r="E3173" s="1063"/>
      <c r="H3173" s="1066"/>
      <c r="I3173" s="1063"/>
      <c r="J3173" s="1063"/>
      <c r="K3173" s="1063"/>
      <c r="L3173" s="1063"/>
    </row>
    <row r="3174" spans="5:12" x14ac:dyDescent="0.2">
      <c r="E3174" s="1063"/>
      <c r="H3174" s="1066"/>
      <c r="I3174" s="1063"/>
      <c r="J3174" s="1063"/>
      <c r="K3174" s="1063"/>
      <c r="L3174" s="1063"/>
    </row>
    <row r="3175" spans="5:12" x14ac:dyDescent="0.2">
      <c r="E3175" s="1063"/>
      <c r="H3175" s="1066"/>
      <c r="I3175" s="1063"/>
      <c r="J3175" s="1063"/>
      <c r="K3175" s="1063"/>
      <c r="L3175" s="1063"/>
    </row>
    <row r="3176" spans="5:12" x14ac:dyDescent="0.2">
      <c r="E3176" s="1063"/>
      <c r="H3176" s="1066"/>
      <c r="I3176" s="1063"/>
      <c r="J3176" s="1063"/>
      <c r="K3176" s="1063"/>
      <c r="L3176" s="1063"/>
    </row>
    <row r="3177" spans="5:12" x14ac:dyDescent="0.2">
      <c r="E3177" s="1063"/>
      <c r="H3177" s="1066"/>
      <c r="I3177" s="1063"/>
      <c r="J3177" s="1063"/>
      <c r="K3177" s="1063"/>
      <c r="L3177" s="1063"/>
    </row>
    <row r="3178" spans="5:12" x14ac:dyDescent="0.2">
      <c r="E3178" s="1063"/>
      <c r="H3178" s="1066"/>
      <c r="I3178" s="1063"/>
      <c r="J3178" s="1063"/>
      <c r="K3178" s="1063"/>
      <c r="L3178" s="1063"/>
    </row>
    <row r="3179" spans="5:12" x14ac:dyDescent="0.2">
      <c r="E3179" s="1063"/>
      <c r="H3179" s="1066"/>
      <c r="I3179" s="1063"/>
      <c r="J3179" s="1063"/>
      <c r="K3179" s="1063"/>
      <c r="L3179" s="1063"/>
    </row>
    <row r="3180" spans="5:12" x14ac:dyDescent="0.2">
      <c r="E3180" s="1063"/>
      <c r="H3180" s="1066"/>
      <c r="I3180" s="1063"/>
      <c r="J3180" s="1063"/>
      <c r="K3180" s="1063"/>
      <c r="L3180" s="1063"/>
    </row>
    <row r="3181" spans="5:12" x14ac:dyDescent="0.2">
      <c r="E3181" s="1063"/>
      <c r="H3181" s="1066"/>
      <c r="I3181" s="1063"/>
      <c r="J3181" s="1063"/>
      <c r="K3181" s="1063"/>
      <c r="L3181" s="1063"/>
    </row>
    <row r="3182" spans="5:12" x14ac:dyDescent="0.2">
      <c r="E3182" s="1063"/>
      <c r="H3182" s="1066"/>
      <c r="I3182" s="1063"/>
      <c r="J3182" s="1063"/>
      <c r="K3182" s="1063"/>
      <c r="L3182" s="1063"/>
    </row>
    <row r="3183" spans="5:12" x14ac:dyDescent="0.2">
      <c r="E3183" s="1063"/>
      <c r="H3183" s="1066"/>
      <c r="I3183" s="1063"/>
      <c r="J3183" s="1063"/>
      <c r="K3183" s="1063"/>
      <c r="L3183" s="1063"/>
    </row>
    <row r="3184" spans="5:12" x14ac:dyDescent="0.2">
      <c r="E3184" s="1063"/>
      <c r="H3184" s="1066"/>
      <c r="I3184" s="1063"/>
      <c r="J3184" s="1063"/>
      <c r="K3184" s="1063"/>
      <c r="L3184" s="1063"/>
    </row>
    <row r="3185" spans="5:12" x14ac:dyDescent="0.2">
      <c r="E3185" s="1063"/>
      <c r="H3185" s="1066"/>
      <c r="I3185" s="1063"/>
      <c r="J3185" s="1063"/>
      <c r="K3185" s="1063"/>
      <c r="L3185" s="1063"/>
    </row>
    <row r="3186" spans="5:12" x14ac:dyDescent="0.2">
      <c r="E3186" s="1063"/>
      <c r="H3186" s="1066"/>
      <c r="I3186" s="1063"/>
      <c r="J3186" s="1063"/>
      <c r="K3186" s="1063"/>
      <c r="L3186" s="1063"/>
    </row>
    <row r="3187" spans="5:12" x14ac:dyDescent="0.2">
      <c r="E3187" s="1063"/>
      <c r="H3187" s="1066"/>
      <c r="I3187" s="1063"/>
      <c r="J3187" s="1063"/>
      <c r="K3187" s="1063"/>
      <c r="L3187" s="1063"/>
    </row>
    <row r="3188" spans="5:12" x14ac:dyDescent="0.2">
      <c r="E3188" s="1063"/>
      <c r="H3188" s="1066"/>
      <c r="I3188" s="1063"/>
      <c r="J3188" s="1063"/>
      <c r="K3188" s="1063"/>
      <c r="L3188" s="1063"/>
    </row>
    <row r="3189" spans="5:12" x14ac:dyDescent="0.2">
      <c r="E3189" s="1063"/>
      <c r="H3189" s="1066"/>
      <c r="I3189" s="1063"/>
      <c r="J3189" s="1063"/>
      <c r="K3189" s="1063"/>
      <c r="L3189" s="1063"/>
    </row>
    <row r="3190" spans="5:12" x14ac:dyDescent="0.2">
      <c r="E3190" s="1063"/>
      <c r="H3190" s="1066"/>
      <c r="I3190" s="1063"/>
      <c r="J3190" s="1063"/>
      <c r="K3190" s="1063"/>
      <c r="L3190" s="1063"/>
    </row>
    <row r="3191" spans="5:12" x14ac:dyDescent="0.2">
      <c r="E3191" s="1063"/>
      <c r="H3191" s="1066"/>
      <c r="I3191" s="1063"/>
      <c r="J3191" s="1063"/>
      <c r="K3191" s="1063"/>
      <c r="L3191" s="1063"/>
    </row>
    <row r="3192" spans="5:12" x14ac:dyDescent="0.2">
      <c r="E3192" s="1063"/>
      <c r="H3192" s="1066"/>
      <c r="I3192" s="1063"/>
      <c r="J3192" s="1063"/>
      <c r="K3192" s="1063"/>
      <c r="L3192" s="1063"/>
    </row>
    <row r="3193" spans="5:12" x14ac:dyDescent="0.2">
      <c r="E3193" s="1063"/>
      <c r="H3193" s="1066"/>
      <c r="I3193" s="1063"/>
      <c r="J3193" s="1063"/>
      <c r="K3193" s="1063"/>
      <c r="L3193" s="1063"/>
    </row>
    <row r="3194" spans="5:12" x14ac:dyDescent="0.2">
      <c r="E3194" s="1063"/>
      <c r="H3194" s="1066"/>
      <c r="I3194" s="1063"/>
      <c r="J3194" s="1063"/>
      <c r="K3194" s="1063"/>
      <c r="L3194" s="1063"/>
    </row>
    <row r="3195" spans="5:12" x14ac:dyDescent="0.2">
      <c r="E3195" s="1063"/>
      <c r="H3195" s="1066"/>
      <c r="I3195" s="1063"/>
      <c r="J3195" s="1063"/>
      <c r="K3195" s="1063"/>
      <c r="L3195" s="1063"/>
    </row>
    <row r="3196" spans="5:12" x14ac:dyDescent="0.2">
      <c r="E3196" s="1063"/>
      <c r="H3196" s="1066"/>
      <c r="I3196" s="1063"/>
      <c r="J3196" s="1063"/>
      <c r="K3196" s="1063"/>
      <c r="L3196" s="1063"/>
    </row>
    <row r="3197" spans="5:12" x14ac:dyDescent="0.2">
      <c r="E3197" s="1063"/>
      <c r="H3197" s="1066"/>
      <c r="I3197" s="1063"/>
      <c r="J3197" s="1063"/>
      <c r="K3197" s="1063"/>
      <c r="L3197" s="1063"/>
    </row>
    <row r="3198" spans="5:12" x14ac:dyDescent="0.2">
      <c r="E3198" s="1063"/>
      <c r="H3198" s="1066"/>
      <c r="I3198" s="1063"/>
      <c r="J3198" s="1063"/>
      <c r="K3198" s="1063"/>
      <c r="L3198" s="1063"/>
    </row>
    <row r="3199" spans="5:12" x14ac:dyDescent="0.2">
      <c r="E3199" s="1063"/>
      <c r="H3199" s="1066"/>
      <c r="I3199" s="1063"/>
      <c r="J3199" s="1063"/>
      <c r="K3199" s="1063"/>
      <c r="L3199" s="1063"/>
    </row>
    <row r="3200" spans="5:12" x14ac:dyDescent="0.2">
      <c r="E3200" s="1063"/>
      <c r="H3200" s="1066"/>
      <c r="I3200" s="1063"/>
      <c r="J3200" s="1063"/>
      <c r="K3200" s="1063"/>
      <c r="L3200" s="1063"/>
    </row>
    <row r="3201" spans="5:12" x14ac:dyDescent="0.2">
      <c r="E3201" s="1063"/>
      <c r="H3201" s="1066"/>
      <c r="I3201" s="1063"/>
      <c r="J3201" s="1063"/>
      <c r="K3201" s="1063"/>
      <c r="L3201" s="1063"/>
    </row>
    <row r="3202" spans="5:12" x14ac:dyDescent="0.2">
      <c r="E3202" s="1063"/>
      <c r="H3202" s="1066"/>
      <c r="I3202" s="1063"/>
      <c r="J3202" s="1063"/>
      <c r="K3202" s="1063"/>
      <c r="L3202" s="1063"/>
    </row>
    <row r="3203" spans="5:12" x14ac:dyDescent="0.2">
      <c r="E3203" s="1063"/>
      <c r="H3203" s="1066"/>
      <c r="I3203" s="1063"/>
      <c r="J3203" s="1063"/>
      <c r="K3203" s="1063"/>
      <c r="L3203" s="1063"/>
    </row>
    <row r="3204" spans="5:12" x14ac:dyDescent="0.2">
      <c r="E3204" s="1063"/>
      <c r="H3204" s="1066"/>
      <c r="I3204" s="1063"/>
      <c r="J3204" s="1063"/>
      <c r="K3204" s="1063"/>
      <c r="L3204" s="1063"/>
    </row>
    <row r="3205" spans="5:12" x14ac:dyDescent="0.2">
      <c r="E3205" s="1063"/>
      <c r="H3205" s="1066"/>
      <c r="I3205" s="1063"/>
      <c r="J3205" s="1063"/>
      <c r="K3205" s="1063"/>
      <c r="L3205" s="1063"/>
    </row>
    <row r="3206" spans="5:12" x14ac:dyDescent="0.2">
      <c r="E3206" s="1063"/>
      <c r="H3206" s="1066"/>
      <c r="I3206" s="1063"/>
      <c r="J3206" s="1063"/>
      <c r="K3206" s="1063"/>
      <c r="L3206" s="1063"/>
    </row>
    <row r="3207" spans="5:12" x14ac:dyDescent="0.2">
      <c r="E3207" s="1063"/>
      <c r="H3207" s="1066"/>
      <c r="I3207" s="1063"/>
      <c r="J3207" s="1063"/>
      <c r="K3207" s="1063"/>
      <c r="L3207" s="1063"/>
    </row>
    <row r="3208" spans="5:12" x14ac:dyDescent="0.2">
      <c r="E3208" s="1063"/>
      <c r="H3208" s="1066"/>
      <c r="I3208" s="1063"/>
      <c r="J3208" s="1063"/>
      <c r="K3208" s="1063"/>
      <c r="L3208" s="1063"/>
    </row>
    <row r="3209" spans="5:12" x14ac:dyDescent="0.2">
      <c r="E3209" s="1063"/>
      <c r="H3209" s="1066"/>
      <c r="I3209" s="1063"/>
      <c r="J3209" s="1063"/>
      <c r="K3209" s="1063"/>
      <c r="L3209" s="1063"/>
    </row>
    <row r="3210" spans="5:12" x14ac:dyDescent="0.2">
      <c r="E3210" s="1063"/>
      <c r="H3210" s="1066"/>
      <c r="I3210" s="1063"/>
      <c r="J3210" s="1063"/>
      <c r="K3210" s="1063"/>
      <c r="L3210" s="1063"/>
    </row>
    <row r="3211" spans="5:12" x14ac:dyDescent="0.2">
      <c r="E3211" s="1063"/>
      <c r="H3211" s="1066"/>
      <c r="I3211" s="1063"/>
      <c r="J3211" s="1063"/>
      <c r="K3211" s="1063"/>
      <c r="L3211" s="1063"/>
    </row>
    <row r="3212" spans="5:12" x14ac:dyDescent="0.2">
      <c r="E3212" s="1063"/>
      <c r="H3212" s="1066"/>
      <c r="I3212" s="1063"/>
      <c r="J3212" s="1063"/>
      <c r="K3212" s="1063"/>
      <c r="L3212" s="1063"/>
    </row>
    <row r="3213" spans="5:12" x14ac:dyDescent="0.2">
      <c r="E3213" s="1063"/>
      <c r="H3213" s="1066"/>
      <c r="I3213" s="1063"/>
      <c r="J3213" s="1063"/>
      <c r="K3213" s="1063"/>
      <c r="L3213" s="1063"/>
    </row>
    <row r="3214" spans="5:12" x14ac:dyDescent="0.2">
      <c r="E3214" s="1063"/>
      <c r="H3214" s="1066"/>
      <c r="I3214" s="1063"/>
      <c r="J3214" s="1063"/>
      <c r="K3214" s="1063"/>
      <c r="L3214" s="1063"/>
    </row>
    <row r="3215" spans="5:12" x14ac:dyDescent="0.2">
      <c r="E3215" s="1063"/>
      <c r="H3215" s="1066"/>
      <c r="I3215" s="1063"/>
      <c r="J3215" s="1063"/>
      <c r="K3215" s="1063"/>
      <c r="L3215" s="1063"/>
    </row>
    <row r="3216" spans="5:12" x14ac:dyDescent="0.2">
      <c r="E3216" s="1063"/>
      <c r="H3216" s="1066"/>
      <c r="I3216" s="1063"/>
      <c r="J3216" s="1063"/>
      <c r="K3216" s="1063"/>
      <c r="L3216" s="1063"/>
    </row>
    <row r="3217" spans="5:12" x14ac:dyDescent="0.2">
      <c r="E3217" s="1063"/>
      <c r="H3217" s="1066"/>
      <c r="I3217" s="1063"/>
      <c r="J3217" s="1063"/>
      <c r="K3217" s="1063"/>
      <c r="L3217" s="1063"/>
    </row>
    <row r="3218" spans="5:12" x14ac:dyDescent="0.2">
      <c r="E3218" s="1063"/>
      <c r="H3218" s="1066"/>
      <c r="I3218" s="1063"/>
      <c r="J3218" s="1063"/>
      <c r="K3218" s="1063"/>
      <c r="L3218" s="1063"/>
    </row>
    <row r="3219" spans="5:12" x14ac:dyDescent="0.2">
      <c r="E3219" s="1063"/>
      <c r="H3219" s="1066"/>
      <c r="I3219" s="1063"/>
      <c r="J3219" s="1063"/>
      <c r="K3219" s="1063"/>
      <c r="L3219" s="1063"/>
    </row>
    <row r="3220" spans="5:12" x14ac:dyDescent="0.2">
      <c r="E3220" s="1063"/>
      <c r="H3220" s="1066"/>
      <c r="I3220" s="1063"/>
      <c r="J3220" s="1063"/>
      <c r="K3220" s="1063"/>
      <c r="L3220" s="1063"/>
    </row>
    <row r="3221" spans="5:12" x14ac:dyDescent="0.2">
      <c r="E3221" s="1063"/>
      <c r="H3221" s="1066"/>
      <c r="I3221" s="1063"/>
      <c r="J3221" s="1063"/>
      <c r="K3221" s="1063"/>
      <c r="L3221" s="1063"/>
    </row>
    <row r="3222" spans="5:12" x14ac:dyDescent="0.2">
      <c r="E3222" s="1063"/>
      <c r="H3222" s="1066"/>
      <c r="I3222" s="1063"/>
      <c r="J3222" s="1063"/>
      <c r="K3222" s="1063"/>
      <c r="L3222" s="1063"/>
    </row>
    <row r="3223" spans="5:12" x14ac:dyDescent="0.2">
      <c r="E3223" s="1063"/>
      <c r="H3223" s="1066"/>
      <c r="I3223" s="1063"/>
      <c r="J3223" s="1063"/>
      <c r="K3223" s="1063"/>
      <c r="L3223" s="1063"/>
    </row>
    <row r="3224" spans="5:12" x14ac:dyDescent="0.2">
      <c r="E3224" s="1063"/>
      <c r="H3224" s="1066"/>
      <c r="I3224" s="1063"/>
      <c r="J3224" s="1063"/>
      <c r="K3224" s="1063"/>
      <c r="L3224" s="1063"/>
    </row>
    <row r="3225" spans="5:12" x14ac:dyDescent="0.2">
      <c r="E3225" s="1063"/>
      <c r="H3225" s="1066"/>
      <c r="I3225" s="1063"/>
      <c r="J3225" s="1063"/>
      <c r="K3225" s="1063"/>
      <c r="L3225" s="1063"/>
    </row>
    <row r="3226" spans="5:12" x14ac:dyDescent="0.2">
      <c r="E3226" s="1063"/>
      <c r="H3226" s="1066"/>
      <c r="I3226" s="1063"/>
      <c r="J3226" s="1063"/>
      <c r="K3226" s="1063"/>
      <c r="L3226" s="1063"/>
    </row>
    <row r="3227" spans="5:12" x14ac:dyDescent="0.2">
      <c r="E3227" s="1063"/>
      <c r="H3227" s="1066"/>
      <c r="I3227" s="1063"/>
      <c r="J3227" s="1063"/>
      <c r="K3227" s="1063"/>
      <c r="L3227" s="1063"/>
    </row>
    <row r="3228" spans="5:12" x14ac:dyDescent="0.2">
      <c r="E3228" s="1063"/>
      <c r="H3228" s="1066"/>
      <c r="I3228" s="1063"/>
      <c r="J3228" s="1063"/>
      <c r="K3228" s="1063"/>
      <c r="L3228" s="1063"/>
    </row>
    <row r="3229" spans="5:12" x14ac:dyDescent="0.2">
      <c r="E3229" s="1063"/>
      <c r="H3229" s="1066"/>
      <c r="I3229" s="1063"/>
      <c r="J3229" s="1063"/>
      <c r="K3229" s="1063"/>
      <c r="L3229" s="1063"/>
    </row>
    <row r="3230" spans="5:12" x14ac:dyDescent="0.2">
      <c r="E3230" s="1063"/>
      <c r="H3230" s="1066"/>
      <c r="I3230" s="1063"/>
      <c r="J3230" s="1063"/>
      <c r="K3230" s="1063"/>
      <c r="L3230" s="1063"/>
    </row>
    <row r="3231" spans="5:12" x14ac:dyDescent="0.2">
      <c r="E3231" s="1063"/>
      <c r="H3231" s="1066"/>
      <c r="I3231" s="1063"/>
      <c r="J3231" s="1063"/>
      <c r="K3231" s="1063"/>
      <c r="L3231" s="1063"/>
    </row>
    <row r="3232" spans="5:12" x14ac:dyDescent="0.2">
      <c r="E3232" s="1063"/>
      <c r="H3232" s="1066"/>
      <c r="I3232" s="1063"/>
      <c r="J3232" s="1063"/>
      <c r="K3232" s="1063"/>
      <c r="L3232" s="1063"/>
    </row>
    <row r="3233" spans="5:12" x14ac:dyDescent="0.2">
      <c r="E3233" s="1063"/>
      <c r="H3233" s="1066"/>
      <c r="I3233" s="1063"/>
      <c r="J3233" s="1063"/>
      <c r="K3233" s="1063"/>
      <c r="L3233" s="1063"/>
    </row>
    <row r="3234" spans="5:12" x14ac:dyDescent="0.2">
      <c r="E3234" s="1063"/>
      <c r="H3234" s="1066"/>
      <c r="I3234" s="1063"/>
      <c r="J3234" s="1063"/>
      <c r="K3234" s="1063"/>
      <c r="L3234" s="1063"/>
    </row>
    <row r="3235" spans="5:12" x14ac:dyDescent="0.2">
      <c r="E3235" s="1063"/>
      <c r="H3235" s="1066"/>
      <c r="I3235" s="1063"/>
      <c r="J3235" s="1063"/>
      <c r="K3235" s="1063"/>
      <c r="L3235" s="1063"/>
    </row>
    <row r="3236" spans="5:12" x14ac:dyDescent="0.2">
      <c r="E3236" s="1063"/>
      <c r="H3236" s="1066"/>
      <c r="I3236" s="1063"/>
      <c r="J3236" s="1063"/>
      <c r="K3236" s="1063"/>
      <c r="L3236" s="1063"/>
    </row>
    <row r="3237" spans="5:12" x14ac:dyDescent="0.2">
      <c r="E3237" s="1063"/>
      <c r="H3237" s="1066"/>
      <c r="I3237" s="1063"/>
      <c r="J3237" s="1063"/>
      <c r="K3237" s="1063"/>
      <c r="L3237" s="1063"/>
    </row>
    <row r="3238" spans="5:12" x14ac:dyDescent="0.2">
      <c r="E3238" s="1063"/>
      <c r="H3238" s="1066"/>
      <c r="I3238" s="1063"/>
      <c r="J3238" s="1063"/>
      <c r="K3238" s="1063"/>
      <c r="L3238" s="1063"/>
    </row>
    <row r="3239" spans="5:12" x14ac:dyDescent="0.2">
      <c r="E3239" s="1063"/>
      <c r="H3239" s="1066"/>
      <c r="I3239" s="1063"/>
      <c r="J3239" s="1063"/>
      <c r="K3239" s="1063"/>
      <c r="L3239" s="1063"/>
    </row>
    <row r="3240" spans="5:12" x14ac:dyDescent="0.2">
      <c r="E3240" s="1063"/>
      <c r="H3240" s="1066"/>
      <c r="I3240" s="1063"/>
      <c r="J3240" s="1063"/>
      <c r="K3240" s="1063"/>
      <c r="L3240" s="1063"/>
    </row>
    <row r="3241" spans="5:12" x14ac:dyDescent="0.2">
      <c r="E3241" s="1063"/>
      <c r="H3241" s="1066"/>
      <c r="I3241" s="1063"/>
      <c r="J3241" s="1063"/>
      <c r="K3241" s="1063"/>
      <c r="L3241" s="1063"/>
    </row>
    <row r="3242" spans="5:12" x14ac:dyDescent="0.2">
      <c r="E3242" s="1063"/>
      <c r="H3242" s="1066"/>
      <c r="I3242" s="1063"/>
      <c r="J3242" s="1063"/>
      <c r="K3242" s="1063"/>
      <c r="L3242" s="1063"/>
    </row>
    <row r="3243" spans="5:12" x14ac:dyDescent="0.2">
      <c r="E3243" s="1063"/>
      <c r="H3243" s="1066"/>
      <c r="I3243" s="1063"/>
      <c r="J3243" s="1063"/>
      <c r="K3243" s="1063"/>
      <c r="L3243" s="1063"/>
    </row>
    <row r="3244" spans="5:12" x14ac:dyDescent="0.2">
      <c r="E3244" s="1063"/>
      <c r="H3244" s="1066"/>
      <c r="I3244" s="1063"/>
      <c r="J3244" s="1063"/>
      <c r="K3244" s="1063"/>
      <c r="L3244" s="1063"/>
    </row>
    <row r="3245" spans="5:12" x14ac:dyDescent="0.2">
      <c r="E3245" s="1063"/>
      <c r="H3245" s="1066"/>
      <c r="I3245" s="1063"/>
      <c r="J3245" s="1063"/>
      <c r="K3245" s="1063"/>
      <c r="L3245" s="1063"/>
    </row>
    <row r="3246" spans="5:12" x14ac:dyDescent="0.2">
      <c r="E3246" s="1063"/>
      <c r="H3246" s="1066"/>
      <c r="I3246" s="1063"/>
      <c r="J3246" s="1063"/>
      <c r="K3246" s="1063"/>
      <c r="L3246" s="1063"/>
    </row>
    <row r="3247" spans="5:12" x14ac:dyDescent="0.2">
      <c r="E3247" s="1063"/>
      <c r="H3247" s="1066"/>
      <c r="I3247" s="1063"/>
      <c r="J3247" s="1063"/>
      <c r="K3247" s="1063"/>
      <c r="L3247" s="1063"/>
    </row>
    <row r="3248" spans="5:12" x14ac:dyDescent="0.2">
      <c r="E3248" s="1063"/>
      <c r="H3248" s="1066"/>
      <c r="I3248" s="1063"/>
      <c r="J3248" s="1063"/>
      <c r="K3248" s="1063"/>
      <c r="L3248" s="1063"/>
    </row>
    <row r="3249" spans="5:12" x14ac:dyDescent="0.2">
      <c r="E3249" s="1063"/>
      <c r="H3249" s="1066"/>
      <c r="I3249" s="1063"/>
      <c r="J3249" s="1063"/>
      <c r="K3249" s="1063"/>
      <c r="L3249" s="1063"/>
    </row>
    <row r="3250" spans="5:12" x14ac:dyDescent="0.2">
      <c r="E3250" s="1063"/>
      <c r="H3250" s="1066"/>
      <c r="I3250" s="1063"/>
      <c r="J3250" s="1063"/>
      <c r="K3250" s="1063"/>
      <c r="L3250" s="1063"/>
    </row>
    <row r="3251" spans="5:12" x14ac:dyDescent="0.2">
      <c r="E3251" s="1063"/>
      <c r="H3251" s="1066"/>
      <c r="I3251" s="1063"/>
      <c r="J3251" s="1063"/>
      <c r="K3251" s="1063"/>
      <c r="L3251" s="1063"/>
    </row>
    <row r="3252" spans="5:12" x14ac:dyDescent="0.2">
      <c r="E3252" s="1063"/>
      <c r="H3252" s="1066"/>
      <c r="I3252" s="1063"/>
      <c r="J3252" s="1063"/>
      <c r="K3252" s="1063"/>
      <c r="L3252" s="1063"/>
    </row>
    <row r="3253" spans="5:12" x14ac:dyDescent="0.2">
      <c r="E3253" s="1063"/>
      <c r="H3253" s="1066"/>
      <c r="I3253" s="1063"/>
      <c r="J3253" s="1063"/>
      <c r="K3253" s="1063"/>
      <c r="L3253" s="1063"/>
    </row>
    <row r="3254" spans="5:12" x14ac:dyDescent="0.2">
      <c r="E3254" s="1063"/>
      <c r="H3254" s="1066"/>
      <c r="I3254" s="1063"/>
      <c r="J3254" s="1063"/>
      <c r="K3254" s="1063"/>
      <c r="L3254" s="1063"/>
    </row>
    <row r="3255" spans="5:12" x14ac:dyDescent="0.2">
      <c r="E3255" s="1063"/>
      <c r="H3255" s="1066"/>
      <c r="I3255" s="1063"/>
      <c r="J3255" s="1063"/>
      <c r="K3255" s="1063"/>
      <c r="L3255" s="1063"/>
    </row>
    <row r="3256" spans="5:12" x14ac:dyDescent="0.2">
      <c r="E3256" s="1063"/>
      <c r="H3256" s="1066"/>
      <c r="I3256" s="1063"/>
      <c r="J3256" s="1063"/>
      <c r="K3256" s="1063"/>
      <c r="L3256" s="1063"/>
    </row>
    <row r="3257" spans="5:12" x14ac:dyDescent="0.2">
      <c r="E3257" s="1063"/>
      <c r="H3257" s="1066"/>
      <c r="I3257" s="1063"/>
      <c r="J3257" s="1063"/>
      <c r="K3257" s="1063"/>
      <c r="L3257" s="1063"/>
    </row>
    <row r="3258" spans="5:12" x14ac:dyDescent="0.2">
      <c r="E3258" s="1063"/>
      <c r="H3258" s="1066"/>
      <c r="I3258" s="1063"/>
      <c r="J3258" s="1063"/>
      <c r="K3258" s="1063"/>
      <c r="L3258" s="1063"/>
    </row>
    <row r="3259" spans="5:12" x14ac:dyDescent="0.2">
      <c r="E3259" s="1063"/>
      <c r="H3259" s="1066"/>
      <c r="I3259" s="1063"/>
      <c r="J3259" s="1063"/>
      <c r="K3259" s="1063"/>
      <c r="L3259" s="1063"/>
    </row>
    <row r="3260" spans="5:12" x14ac:dyDescent="0.2">
      <c r="E3260" s="1063"/>
      <c r="H3260" s="1066"/>
      <c r="I3260" s="1063"/>
      <c r="J3260" s="1063"/>
      <c r="K3260" s="1063"/>
      <c r="L3260" s="1063"/>
    </row>
    <row r="3261" spans="5:12" x14ac:dyDescent="0.2">
      <c r="E3261" s="1063"/>
      <c r="H3261" s="1066"/>
      <c r="I3261" s="1063"/>
      <c r="J3261" s="1063"/>
      <c r="K3261" s="1063"/>
      <c r="L3261" s="1063"/>
    </row>
    <row r="3262" spans="5:12" x14ac:dyDescent="0.2">
      <c r="E3262" s="1063"/>
      <c r="H3262" s="1066"/>
      <c r="I3262" s="1063"/>
      <c r="J3262" s="1063"/>
      <c r="K3262" s="1063"/>
      <c r="L3262" s="1063"/>
    </row>
    <row r="3263" spans="5:12" x14ac:dyDescent="0.2">
      <c r="E3263" s="1063"/>
      <c r="H3263" s="1066"/>
      <c r="I3263" s="1063"/>
      <c r="J3263" s="1063"/>
      <c r="K3263" s="1063"/>
      <c r="L3263" s="1063"/>
    </row>
    <row r="3264" spans="5:12" x14ac:dyDescent="0.2">
      <c r="E3264" s="1063"/>
      <c r="H3264" s="1066"/>
      <c r="I3264" s="1063"/>
      <c r="J3264" s="1063"/>
      <c r="K3264" s="1063"/>
      <c r="L3264" s="1063"/>
    </row>
    <row r="3265" spans="5:12" x14ac:dyDescent="0.2">
      <c r="E3265" s="1063"/>
      <c r="H3265" s="1066"/>
      <c r="I3265" s="1063"/>
      <c r="J3265" s="1063"/>
      <c r="K3265" s="1063"/>
      <c r="L3265" s="1063"/>
    </row>
    <row r="3266" spans="5:12" x14ac:dyDescent="0.2">
      <c r="E3266" s="1063"/>
      <c r="H3266" s="1066"/>
      <c r="I3266" s="1063"/>
      <c r="J3266" s="1063"/>
      <c r="K3266" s="1063"/>
      <c r="L3266" s="1063"/>
    </row>
    <row r="3267" spans="5:12" x14ac:dyDescent="0.2">
      <c r="E3267" s="1063"/>
      <c r="H3267" s="1066"/>
      <c r="I3267" s="1063"/>
      <c r="J3267" s="1063"/>
      <c r="K3267" s="1063"/>
      <c r="L3267" s="1063"/>
    </row>
    <row r="3268" spans="5:12" x14ac:dyDescent="0.2">
      <c r="E3268" s="1063"/>
      <c r="H3268" s="1066"/>
      <c r="I3268" s="1063"/>
      <c r="J3268" s="1063"/>
      <c r="K3268" s="1063"/>
      <c r="L3268" s="1063"/>
    </row>
    <row r="3269" spans="5:12" x14ac:dyDescent="0.2">
      <c r="E3269" s="1063"/>
      <c r="H3269" s="1066"/>
      <c r="I3269" s="1063"/>
      <c r="J3269" s="1063"/>
      <c r="K3269" s="1063"/>
      <c r="L3269" s="1063"/>
    </row>
    <row r="3270" spans="5:12" x14ac:dyDescent="0.2">
      <c r="E3270" s="1063"/>
      <c r="H3270" s="1066"/>
      <c r="I3270" s="1063"/>
      <c r="J3270" s="1063"/>
      <c r="K3270" s="1063"/>
      <c r="L3270" s="1063"/>
    </row>
    <row r="3271" spans="5:12" x14ac:dyDescent="0.2">
      <c r="E3271" s="1063"/>
      <c r="H3271" s="1066"/>
      <c r="I3271" s="1063"/>
      <c r="J3271" s="1063"/>
      <c r="K3271" s="1063"/>
      <c r="L3271" s="1063"/>
    </row>
    <row r="3272" spans="5:12" x14ac:dyDescent="0.2">
      <c r="E3272" s="1063"/>
      <c r="H3272" s="1066"/>
      <c r="I3272" s="1063"/>
      <c r="J3272" s="1063"/>
      <c r="K3272" s="1063"/>
      <c r="L3272" s="1063"/>
    </row>
    <row r="3273" spans="5:12" x14ac:dyDescent="0.2">
      <c r="E3273" s="1063"/>
      <c r="H3273" s="1066"/>
      <c r="I3273" s="1063"/>
      <c r="J3273" s="1063"/>
      <c r="K3273" s="1063"/>
      <c r="L3273" s="1063"/>
    </row>
    <row r="3274" spans="5:12" x14ac:dyDescent="0.2">
      <c r="E3274" s="1063"/>
      <c r="H3274" s="1066"/>
      <c r="I3274" s="1063"/>
      <c r="J3274" s="1063"/>
      <c r="K3274" s="1063"/>
      <c r="L3274" s="1063"/>
    </row>
    <row r="3275" spans="5:12" x14ac:dyDescent="0.2">
      <c r="E3275" s="1063"/>
      <c r="H3275" s="1066"/>
      <c r="I3275" s="1063"/>
      <c r="J3275" s="1063"/>
      <c r="K3275" s="1063"/>
      <c r="L3275" s="1063"/>
    </row>
    <row r="3276" spans="5:12" x14ac:dyDescent="0.2">
      <c r="E3276" s="1063"/>
      <c r="H3276" s="1066"/>
      <c r="I3276" s="1063"/>
      <c r="J3276" s="1063"/>
      <c r="K3276" s="1063"/>
      <c r="L3276" s="1063"/>
    </row>
    <row r="3277" spans="5:12" x14ac:dyDescent="0.2">
      <c r="E3277" s="1063"/>
      <c r="H3277" s="1066"/>
      <c r="I3277" s="1063"/>
      <c r="J3277" s="1063"/>
      <c r="K3277" s="1063"/>
      <c r="L3277" s="1063"/>
    </row>
    <row r="3278" spans="5:12" x14ac:dyDescent="0.2">
      <c r="E3278" s="1063"/>
      <c r="H3278" s="1066"/>
      <c r="I3278" s="1063"/>
      <c r="J3278" s="1063"/>
      <c r="K3278" s="1063"/>
      <c r="L3278" s="1063"/>
    </row>
    <row r="3279" spans="5:12" x14ac:dyDescent="0.2">
      <c r="E3279" s="1063"/>
      <c r="H3279" s="1066"/>
      <c r="I3279" s="1063"/>
      <c r="J3279" s="1063"/>
      <c r="K3279" s="1063"/>
      <c r="L3279" s="1063"/>
    </row>
    <row r="3280" spans="5:12" x14ac:dyDescent="0.2">
      <c r="E3280" s="1063"/>
      <c r="H3280" s="1066"/>
      <c r="I3280" s="1063"/>
      <c r="J3280" s="1063"/>
      <c r="K3280" s="1063"/>
      <c r="L3280" s="1063"/>
    </row>
    <row r="3281" spans="5:12" x14ac:dyDescent="0.2">
      <c r="E3281" s="1063"/>
      <c r="H3281" s="1066"/>
      <c r="I3281" s="1063"/>
      <c r="J3281" s="1063"/>
      <c r="K3281" s="1063"/>
      <c r="L3281" s="1063"/>
    </row>
    <row r="3282" spans="5:12" x14ac:dyDescent="0.2">
      <c r="E3282" s="1063"/>
      <c r="H3282" s="1066"/>
      <c r="I3282" s="1063"/>
      <c r="J3282" s="1063"/>
      <c r="K3282" s="1063"/>
      <c r="L3282" s="1063"/>
    </row>
    <row r="3283" spans="5:12" x14ac:dyDescent="0.2">
      <c r="E3283" s="1063"/>
      <c r="H3283" s="1066"/>
      <c r="I3283" s="1063"/>
      <c r="J3283" s="1063"/>
      <c r="K3283" s="1063"/>
      <c r="L3283" s="1063"/>
    </row>
    <row r="3284" spans="5:12" x14ac:dyDescent="0.2">
      <c r="E3284" s="1063"/>
      <c r="H3284" s="1066"/>
      <c r="I3284" s="1063"/>
      <c r="J3284" s="1063"/>
      <c r="K3284" s="1063"/>
      <c r="L3284" s="1063"/>
    </row>
    <row r="3285" spans="5:12" x14ac:dyDescent="0.2">
      <c r="E3285" s="1063"/>
      <c r="H3285" s="1066"/>
      <c r="I3285" s="1063"/>
      <c r="J3285" s="1063"/>
      <c r="K3285" s="1063"/>
      <c r="L3285" s="1063"/>
    </row>
    <row r="3286" spans="5:12" x14ac:dyDescent="0.2">
      <c r="E3286" s="1063"/>
      <c r="H3286" s="1066"/>
      <c r="I3286" s="1063"/>
      <c r="J3286" s="1063"/>
      <c r="K3286" s="1063"/>
      <c r="L3286" s="1063"/>
    </row>
    <row r="3287" spans="5:12" x14ac:dyDescent="0.2">
      <c r="E3287" s="1063"/>
      <c r="H3287" s="1066"/>
      <c r="I3287" s="1063"/>
      <c r="J3287" s="1063"/>
      <c r="K3287" s="1063"/>
      <c r="L3287" s="1063"/>
    </row>
    <row r="3288" spans="5:12" x14ac:dyDescent="0.2">
      <c r="E3288" s="1063"/>
      <c r="H3288" s="1066"/>
      <c r="I3288" s="1063"/>
      <c r="J3288" s="1063"/>
      <c r="K3288" s="1063"/>
      <c r="L3288" s="1063"/>
    </row>
    <row r="3289" spans="5:12" x14ac:dyDescent="0.2">
      <c r="E3289" s="1063"/>
      <c r="H3289" s="1066"/>
      <c r="I3289" s="1063"/>
      <c r="J3289" s="1063"/>
      <c r="K3289" s="1063"/>
      <c r="L3289" s="1063"/>
    </row>
    <row r="3290" spans="5:12" x14ac:dyDescent="0.2">
      <c r="E3290" s="1063"/>
      <c r="H3290" s="1066"/>
      <c r="I3290" s="1063"/>
      <c r="J3290" s="1063"/>
      <c r="K3290" s="1063"/>
      <c r="L3290" s="1063"/>
    </row>
    <row r="3291" spans="5:12" x14ac:dyDescent="0.2">
      <c r="E3291" s="1063"/>
      <c r="H3291" s="1066"/>
      <c r="I3291" s="1063"/>
      <c r="J3291" s="1063"/>
      <c r="K3291" s="1063"/>
      <c r="L3291" s="1063"/>
    </row>
    <row r="3292" spans="5:12" x14ac:dyDescent="0.2">
      <c r="E3292" s="1063"/>
      <c r="H3292" s="1066"/>
      <c r="I3292" s="1063"/>
      <c r="J3292" s="1063"/>
      <c r="K3292" s="1063"/>
      <c r="L3292" s="1063"/>
    </row>
    <row r="3293" spans="5:12" x14ac:dyDescent="0.2">
      <c r="E3293" s="1063"/>
      <c r="H3293" s="1066"/>
      <c r="I3293" s="1063"/>
      <c r="J3293" s="1063"/>
      <c r="K3293" s="1063"/>
      <c r="L3293" s="1063"/>
    </row>
    <row r="3294" spans="5:12" x14ac:dyDescent="0.2">
      <c r="E3294" s="1063"/>
      <c r="H3294" s="1066"/>
      <c r="I3294" s="1063"/>
      <c r="J3294" s="1063"/>
      <c r="K3294" s="1063"/>
      <c r="L3294" s="1063"/>
    </row>
    <row r="3295" spans="5:12" x14ac:dyDescent="0.2">
      <c r="E3295" s="1063"/>
      <c r="H3295" s="1066"/>
      <c r="I3295" s="1063"/>
      <c r="J3295" s="1063"/>
      <c r="K3295" s="1063"/>
      <c r="L3295" s="1063"/>
    </row>
    <row r="3296" spans="5:12" x14ac:dyDescent="0.2">
      <c r="E3296" s="1063"/>
      <c r="H3296" s="1066"/>
      <c r="I3296" s="1063"/>
      <c r="J3296" s="1063"/>
      <c r="K3296" s="1063"/>
      <c r="L3296" s="1063"/>
    </row>
    <row r="3297" spans="5:12" x14ac:dyDescent="0.2">
      <c r="E3297" s="1063"/>
      <c r="H3297" s="1066"/>
      <c r="I3297" s="1063"/>
      <c r="J3297" s="1063"/>
      <c r="K3297" s="1063"/>
      <c r="L3297" s="1063"/>
    </row>
    <row r="3298" spans="5:12" x14ac:dyDescent="0.2">
      <c r="E3298" s="1063"/>
      <c r="H3298" s="1066"/>
      <c r="I3298" s="1063"/>
      <c r="J3298" s="1063"/>
      <c r="K3298" s="1063"/>
      <c r="L3298" s="1063"/>
    </row>
    <row r="3299" spans="5:12" x14ac:dyDescent="0.2">
      <c r="E3299" s="1063"/>
      <c r="H3299" s="1066"/>
      <c r="I3299" s="1063"/>
      <c r="J3299" s="1063"/>
      <c r="K3299" s="1063"/>
      <c r="L3299" s="1063"/>
    </row>
    <row r="3300" spans="5:12" x14ac:dyDescent="0.2">
      <c r="E3300" s="1063"/>
      <c r="H3300" s="1066"/>
      <c r="I3300" s="1063"/>
      <c r="J3300" s="1063"/>
      <c r="K3300" s="1063"/>
      <c r="L3300" s="1063"/>
    </row>
    <row r="3301" spans="5:12" x14ac:dyDescent="0.2">
      <c r="E3301" s="1063"/>
      <c r="H3301" s="1066"/>
      <c r="I3301" s="1063"/>
      <c r="J3301" s="1063"/>
      <c r="K3301" s="1063"/>
      <c r="L3301" s="1063"/>
    </row>
    <row r="3302" spans="5:12" x14ac:dyDescent="0.2">
      <c r="E3302" s="1063"/>
      <c r="H3302" s="1066"/>
      <c r="I3302" s="1063"/>
      <c r="J3302" s="1063"/>
      <c r="K3302" s="1063"/>
      <c r="L3302" s="1063"/>
    </row>
    <row r="3303" spans="5:12" x14ac:dyDescent="0.2">
      <c r="E3303" s="1063"/>
      <c r="H3303" s="1066"/>
      <c r="I3303" s="1063"/>
      <c r="J3303" s="1063"/>
      <c r="K3303" s="1063"/>
      <c r="L3303" s="1063"/>
    </row>
    <row r="3304" spans="5:12" x14ac:dyDescent="0.2">
      <c r="E3304" s="1063"/>
      <c r="H3304" s="1066"/>
      <c r="I3304" s="1063"/>
      <c r="J3304" s="1063"/>
      <c r="K3304" s="1063"/>
      <c r="L3304" s="1063"/>
    </row>
    <row r="3305" spans="5:12" x14ac:dyDescent="0.2">
      <c r="E3305" s="1063"/>
      <c r="H3305" s="1066"/>
      <c r="I3305" s="1063"/>
      <c r="J3305" s="1063"/>
      <c r="K3305" s="1063"/>
      <c r="L3305" s="1063"/>
    </row>
    <row r="3306" spans="5:12" x14ac:dyDescent="0.2">
      <c r="E3306" s="1063"/>
      <c r="H3306" s="1066"/>
      <c r="I3306" s="1063"/>
      <c r="J3306" s="1063"/>
      <c r="K3306" s="1063"/>
      <c r="L3306" s="1063"/>
    </row>
    <row r="3307" spans="5:12" x14ac:dyDescent="0.2">
      <c r="E3307" s="1063"/>
      <c r="H3307" s="1066"/>
      <c r="I3307" s="1063"/>
      <c r="J3307" s="1063"/>
      <c r="K3307" s="1063"/>
      <c r="L3307" s="1063"/>
    </row>
    <row r="3308" spans="5:12" x14ac:dyDescent="0.2">
      <c r="E3308" s="1063"/>
      <c r="H3308" s="1066"/>
      <c r="I3308" s="1063"/>
      <c r="J3308" s="1063"/>
      <c r="K3308" s="1063"/>
      <c r="L3308" s="1063"/>
    </row>
    <row r="3309" spans="5:12" x14ac:dyDescent="0.2">
      <c r="E3309" s="1063"/>
      <c r="H3309" s="1066"/>
      <c r="I3309" s="1063"/>
      <c r="J3309" s="1063"/>
      <c r="K3309" s="1063"/>
      <c r="L3309" s="1063"/>
    </row>
    <row r="3310" spans="5:12" x14ac:dyDescent="0.2">
      <c r="E3310" s="1063"/>
      <c r="H3310" s="1066"/>
      <c r="I3310" s="1063"/>
      <c r="J3310" s="1063"/>
      <c r="K3310" s="1063"/>
      <c r="L3310" s="1063"/>
    </row>
    <row r="3311" spans="5:12" x14ac:dyDescent="0.2">
      <c r="E3311" s="1063"/>
      <c r="H3311" s="1066"/>
      <c r="I3311" s="1063"/>
      <c r="J3311" s="1063"/>
      <c r="K3311" s="1063"/>
      <c r="L3311" s="1063"/>
    </row>
    <row r="3312" spans="5:12" x14ac:dyDescent="0.2">
      <c r="E3312" s="1063"/>
      <c r="H3312" s="1066"/>
      <c r="I3312" s="1063"/>
      <c r="J3312" s="1063"/>
      <c r="K3312" s="1063"/>
      <c r="L3312" s="1063"/>
    </row>
    <row r="3313" spans="5:12" x14ac:dyDescent="0.2">
      <c r="E3313" s="1063"/>
      <c r="H3313" s="1066"/>
      <c r="I3313" s="1063"/>
      <c r="J3313" s="1063"/>
      <c r="K3313" s="1063"/>
      <c r="L3313" s="1063"/>
    </row>
    <row r="3314" spans="5:12" x14ac:dyDescent="0.2">
      <c r="E3314" s="1063"/>
      <c r="H3314" s="1066"/>
      <c r="I3314" s="1063"/>
      <c r="J3314" s="1063"/>
      <c r="K3314" s="1063"/>
      <c r="L3314" s="1063"/>
    </row>
    <row r="3315" spans="5:12" x14ac:dyDescent="0.2">
      <c r="E3315" s="1063"/>
      <c r="H3315" s="1066"/>
      <c r="I3315" s="1063"/>
      <c r="J3315" s="1063"/>
      <c r="K3315" s="1063"/>
      <c r="L3315" s="1063"/>
    </row>
    <row r="3316" spans="5:12" x14ac:dyDescent="0.2">
      <c r="E3316" s="1063"/>
      <c r="H3316" s="1066"/>
      <c r="I3316" s="1063"/>
      <c r="J3316" s="1063"/>
      <c r="K3316" s="1063"/>
      <c r="L3316" s="1063"/>
    </row>
    <row r="3317" spans="5:12" x14ac:dyDescent="0.2">
      <c r="E3317" s="1063"/>
      <c r="H3317" s="1066"/>
      <c r="I3317" s="1063"/>
      <c r="J3317" s="1063"/>
      <c r="K3317" s="1063"/>
      <c r="L3317" s="1063"/>
    </row>
    <row r="3318" spans="5:12" x14ac:dyDescent="0.2">
      <c r="E3318" s="1063"/>
      <c r="H3318" s="1066"/>
      <c r="I3318" s="1063"/>
      <c r="J3318" s="1063"/>
      <c r="K3318" s="1063"/>
      <c r="L3318" s="1063"/>
    </row>
    <row r="3319" spans="5:12" x14ac:dyDescent="0.2">
      <c r="E3319" s="1063"/>
      <c r="H3319" s="1066"/>
      <c r="I3319" s="1063"/>
      <c r="J3319" s="1063"/>
      <c r="K3319" s="1063"/>
      <c r="L3319" s="1063"/>
    </row>
    <row r="3320" spans="5:12" x14ac:dyDescent="0.2">
      <c r="E3320" s="1063"/>
      <c r="H3320" s="1066"/>
      <c r="I3320" s="1063"/>
      <c r="J3320" s="1063"/>
      <c r="K3320" s="1063"/>
      <c r="L3320" s="1063"/>
    </row>
    <row r="3321" spans="5:12" x14ac:dyDescent="0.2">
      <c r="E3321" s="1063"/>
      <c r="H3321" s="1066"/>
      <c r="I3321" s="1063"/>
      <c r="J3321" s="1063"/>
      <c r="K3321" s="1063"/>
      <c r="L3321" s="1063"/>
    </row>
    <row r="3322" spans="5:12" x14ac:dyDescent="0.2">
      <c r="E3322" s="1063"/>
      <c r="H3322" s="1066"/>
      <c r="I3322" s="1063"/>
      <c r="J3322" s="1063"/>
      <c r="K3322" s="1063"/>
      <c r="L3322" s="1063"/>
    </row>
    <row r="3323" spans="5:12" x14ac:dyDescent="0.2">
      <c r="E3323" s="1063"/>
      <c r="H3323" s="1066"/>
      <c r="I3323" s="1063"/>
      <c r="J3323" s="1063"/>
      <c r="K3323" s="1063"/>
      <c r="L3323" s="1063"/>
    </row>
    <row r="3324" spans="5:12" x14ac:dyDescent="0.2">
      <c r="E3324" s="1063"/>
      <c r="H3324" s="1066"/>
      <c r="I3324" s="1063"/>
      <c r="J3324" s="1063"/>
      <c r="K3324" s="1063"/>
      <c r="L3324" s="1063"/>
    </row>
    <row r="3325" spans="5:12" x14ac:dyDescent="0.2">
      <c r="E3325" s="1063"/>
      <c r="H3325" s="1066"/>
      <c r="I3325" s="1063"/>
      <c r="J3325" s="1063"/>
      <c r="K3325" s="1063"/>
      <c r="L3325" s="1063"/>
    </row>
    <row r="3326" spans="5:12" x14ac:dyDescent="0.2">
      <c r="E3326" s="1063"/>
      <c r="H3326" s="1066"/>
      <c r="I3326" s="1063"/>
      <c r="J3326" s="1063"/>
      <c r="K3326" s="1063"/>
      <c r="L3326" s="1063"/>
    </row>
    <row r="3327" spans="5:12" x14ac:dyDescent="0.2">
      <c r="E3327" s="1063"/>
      <c r="H3327" s="1066"/>
      <c r="I3327" s="1063"/>
      <c r="J3327" s="1063"/>
      <c r="K3327" s="1063"/>
      <c r="L3327" s="1063"/>
    </row>
    <row r="3328" spans="5:12" x14ac:dyDescent="0.2">
      <c r="E3328" s="1063"/>
      <c r="H3328" s="1066"/>
      <c r="I3328" s="1063"/>
      <c r="J3328" s="1063"/>
      <c r="K3328" s="1063"/>
      <c r="L3328" s="1063"/>
    </row>
    <row r="3329" spans="5:12" x14ac:dyDescent="0.2">
      <c r="E3329" s="1063"/>
      <c r="H3329" s="1066"/>
      <c r="I3329" s="1063"/>
      <c r="J3329" s="1063"/>
      <c r="K3329" s="1063"/>
      <c r="L3329" s="1063"/>
    </row>
    <row r="3330" spans="5:12" x14ac:dyDescent="0.2">
      <c r="E3330" s="1063"/>
      <c r="H3330" s="1066"/>
      <c r="I3330" s="1063"/>
      <c r="J3330" s="1063"/>
      <c r="K3330" s="1063"/>
      <c r="L3330" s="1063"/>
    </row>
    <row r="3331" spans="5:12" x14ac:dyDescent="0.2">
      <c r="E3331" s="1063"/>
      <c r="H3331" s="1066"/>
      <c r="I3331" s="1063"/>
      <c r="J3331" s="1063"/>
      <c r="K3331" s="1063"/>
      <c r="L3331" s="1063"/>
    </row>
    <row r="3332" spans="5:12" x14ac:dyDescent="0.2">
      <c r="E3332" s="1063"/>
      <c r="H3332" s="1066"/>
      <c r="I3332" s="1063"/>
      <c r="J3332" s="1063"/>
      <c r="K3332" s="1063"/>
      <c r="L3332" s="1063"/>
    </row>
    <row r="3333" spans="5:12" x14ac:dyDescent="0.2">
      <c r="E3333" s="1063"/>
      <c r="H3333" s="1066"/>
      <c r="I3333" s="1063"/>
      <c r="J3333" s="1063"/>
      <c r="K3333" s="1063"/>
      <c r="L3333" s="1063"/>
    </row>
    <row r="3334" spans="5:12" x14ac:dyDescent="0.2">
      <c r="E3334" s="1063"/>
      <c r="H3334" s="1066"/>
      <c r="I3334" s="1063"/>
      <c r="J3334" s="1063"/>
      <c r="K3334" s="1063"/>
      <c r="L3334" s="1063"/>
    </row>
    <row r="3335" spans="5:12" x14ac:dyDescent="0.2">
      <c r="E3335" s="1063"/>
      <c r="H3335" s="1066"/>
      <c r="I3335" s="1063"/>
      <c r="J3335" s="1063"/>
      <c r="K3335" s="1063"/>
      <c r="L3335" s="1063"/>
    </row>
    <row r="3336" spans="5:12" x14ac:dyDescent="0.2">
      <c r="E3336" s="1063"/>
      <c r="H3336" s="1066"/>
      <c r="I3336" s="1063"/>
      <c r="J3336" s="1063"/>
      <c r="K3336" s="1063"/>
      <c r="L3336" s="1063"/>
    </row>
    <row r="3337" spans="5:12" x14ac:dyDescent="0.2">
      <c r="E3337" s="1063"/>
      <c r="H3337" s="1066"/>
      <c r="I3337" s="1063"/>
      <c r="J3337" s="1063"/>
      <c r="K3337" s="1063"/>
      <c r="L3337" s="1063"/>
    </row>
    <row r="3338" spans="5:12" x14ac:dyDescent="0.2">
      <c r="E3338" s="1063"/>
      <c r="H3338" s="1066"/>
      <c r="I3338" s="1063"/>
      <c r="J3338" s="1063"/>
      <c r="K3338" s="1063"/>
      <c r="L3338" s="1063"/>
    </row>
    <row r="3339" spans="5:12" x14ac:dyDescent="0.2">
      <c r="E3339" s="1063"/>
      <c r="H3339" s="1066"/>
      <c r="I3339" s="1063"/>
      <c r="J3339" s="1063"/>
      <c r="K3339" s="1063"/>
      <c r="L3339" s="1063"/>
    </row>
    <row r="3340" spans="5:12" x14ac:dyDescent="0.2">
      <c r="E3340" s="1063"/>
      <c r="H3340" s="1066"/>
      <c r="I3340" s="1063"/>
      <c r="J3340" s="1063"/>
      <c r="K3340" s="1063"/>
      <c r="L3340" s="1063"/>
    </row>
    <row r="3341" spans="5:12" x14ac:dyDescent="0.2">
      <c r="E3341" s="1063"/>
      <c r="H3341" s="1066"/>
      <c r="I3341" s="1063"/>
      <c r="J3341" s="1063"/>
      <c r="K3341" s="1063"/>
      <c r="L3341" s="1063"/>
    </row>
    <row r="3342" spans="5:12" x14ac:dyDescent="0.2">
      <c r="E3342" s="1063"/>
      <c r="H3342" s="1066"/>
      <c r="I3342" s="1063"/>
      <c r="J3342" s="1063"/>
      <c r="K3342" s="1063"/>
      <c r="L3342" s="1063"/>
    </row>
    <row r="3343" spans="5:12" x14ac:dyDescent="0.2">
      <c r="E3343" s="1063"/>
      <c r="H3343" s="1066"/>
      <c r="I3343" s="1063"/>
      <c r="J3343" s="1063"/>
      <c r="K3343" s="1063"/>
      <c r="L3343" s="1063"/>
    </row>
    <row r="3344" spans="5:12" x14ac:dyDescent="0.2">
      <c r="E3344" s="1063"/>
      <c r="H3344" s="1066"/>
      <c r="I3344" s="1063"/>
      <c r="J3344" s="1063"/>
      <c r="K3344" s="1063"/>
      <c r="L3344" s="1063"/>
    </row>
    <row r="3345" spans="5:12" x14ac:dyDescent="0.2">
      <c r="E3345" s="1063"/>
      <c r="H3345" s="1066"/>
      <c r="I3345" s="1063"/>
      <c r="J3345" s="1063"/>
      <c r="K3345" s="1063"/>
      <c r="L3345" s="1063"/>
    </row>
    <row r="3346" spans="5:12" x14ac:dyDescent="0.2">
      <c r="E3346" s="1063"/>
      <c r="H3346" s="1066"/>
      <c r="I3346" s="1063"/>
      <c r="J3346" s="1063"/>
      <c r="K3346" s="1063"/>
      <c r="L3346" s="1063"/>
    </row>
    <row r="3347" spans="5:12" x14ac:dyDescent="0.2">
      <c r="E3347" s="1063"/>
      <c r="H3347" s="1066"/>
      <c r="I3347" s="1063"/>
      <c r="J3347" s="1063"/>
      <c r="K3347" s="1063"/>
      <c r="L3347" s="1063"/>
    </row>
    <row r="3348" spans="5:12" x14ac:dyDescent="0.2">
      <c r="E3348" s="1063"/>
      <c r="H3348" s="1066"/>
      <c r="I3348" s="1063"/>
      <c r="J3348" s="1063"/>
      <c r="K3348" s="1063"/>
      <c r="L3348" s="1063"/>
    </row>
    <row r="3349" spans="5:12" x14ac:dyDescent="0.2">
      <c r="E3349" s="1063"/>
      <c r="H3349" s="1066"/>
      <c r="I3349" s="1063"/>
      <c r="J3349" s="1063"/>
      <c r="K3349" s="1063"/>
      <c r="L3349" s="1063"/>
    </row>
    <row r="3350" spans="5:12" x14ac:dyDescent="0.2">
      <c r="E3350" s="1063"/>
      <c r="H3350" s="1066"/>
      <c r="I3350" s="1063"/>
      <c r="J3350" s="1063"/>
      <c r="K3350" s="1063"/>
      <c r="L3350" s="1063"/>
    </row>
    <row r="3351" spans="5:12" x14ac:dyDescent="0.2">
      <c r="E3351" s="1063"/>
      <c r="H3351" s="1066"/>
      <c r="I3351" s="1063"/>
      <c r="J3351" s="1063"/>
      <c r="K3351" s="1063"/>
      <c r="L3351" s="1063"/>
    </row>
    <row r="3352" spans="5:12" x14ac:dyDescent="0.2">
      <c r="E3352" s="1063"/>
      <c r="H3352" s="1066"/>
      <c r="I3352" s="1063"/>
      <c r="J3352" s="1063"/>
      <c r="K3352" s="1063"/>
      <c r="L3352" s="1063"/>
    </row>
    <row r="3353" spans="5:12" x14ac:dyDescent="0.2">
      <c r="E3353" s="1063"/>
      <c r="H3353" s="1066"/>
      <c r="I3353" s="1063"/>
      <c r="J3353" s="1063"/>
      <c r="K3353" s="1063"/>
      <c r="L3353" s="1063"/>
    </row>
    <row r="3354" spans="5:12" x14ac:dyDescent="0.2">
      <c r="E3354" s="1063"/>
      <c r="H3354" s="1066"/>
      <c r="I3354" s="1063"/>
      <c r="J3354" s="1063"/>
      <c r="K3354" s="1063"/>
      <c r="L3354" s="1063"/>
    </row>
    <row r="3355" spans="5:12" x14ac:dyDescent="0.2">
      <c r="E3355" s="1063"/>
      <c r="H3355" s="1066"/>
      <c r="I3355" s="1063"/>
      <c r="J3355" s="1063"/>
      <c r="K3355" s="1063"/>
      <c r="L3355" s="1063"/>
    </row>
    <row r="3356" spans="5:12" x14ac:dyDescent="0.2">
      <c r="E3356" s="1063"/>
      <c r="H3356" s="1066"/>
      <c r="I3356" s="1063"/>
      <c r="J3356" s="1063"/>
      <c r="K3356" s="1063"/>
      <c r="L3356" s="1063"/>
    </row>
    <row r="3357" spans="5:12" x14ac:dyDescent="0.2">
      <c r="E3357" s="1063"/>
      <c r="H3357" s="1066"/>
      <c r="I3357" s="1063"/>
      <c r="J3357" s="1063"/>
      <c r="K3357" s="1063"/>
      <c r="L3357" s="1063"/>
    </row>
    <row r="3358" spans="5:12" x14ac:dyDescent="0.2">
      <c r="E3358" s="1063"/>
      <c r="H3358" s="1066"/>
      <c r="I3358" s="1063"/>
      <c r="J3358" s="1063"/>
      <c r="K3358" s="1063"/>
      <c r="L3358" s="1063"/>
    </row>
    <row r="3359" spans="5:12" x14ac:dyDescent="0.2">
      <c r="E3359" s="1063"/>
      <c r="H3359" s="1066"/>
      <c r="I3359" s="1063"/>
      <c r="J3359" s="1063"/>
      <c r="K3359" s="1063"/>
      <c r="L3359" s="1063"/>
    </row>
    <row r="3360" spans="5:12" x14ac:dyDescent="0.2">
      <c r="E3360" s="1063"/>
      <c r="H3360" s="1066"/>
      <c r="I3360" s="1063"/>
      <c r="J3360" s="1063"/>
      <c r="K3360" s="1063"/>
      <c r="L3360" s="1063"/>
    </row>
    <row r="3361" spans="5:12" x14ac:dyDescent="0.2">
      <c r="E3361" s="1063"/>
      <c r="H3361" s="1066"/>
      <c r="I3361" s="1063"/>
      <c r="J3361" s="1063"/>
      <c r="K3361" s="1063"/>
      <c r="L3361" s="1063"/>
    </row>
    <row r="3362" spans="5:12" x14ac:dyDescent="0.2">
      <c r="E3362" s="1063"/>
      <c r="H3362" s="1066"/>
      <c r="I3362" s="1063"/>
      <c r="J3362" s="1063"/>
      <c r="K3362" s="1063"/>
      <c r="L3362" s="1063"/>
    </row>
    <row r="3363" spans="5:12" x14ac:dyDescent="0.2">
      <c r="E3363" s="1063"/>
      <c r="H3363" s="1066"/>
      <c r="I3363" s="1063"/>
      <c r="J3363" s="1063"/>
      <c r="K3363" s="1063"/>
      <c r="L3363" s="1063"/>
    </row>
    <row r="3364" spans="5:12" x14ac:dyDescent="0.2">
      <c r="E3364" s="1063"/>
      <c r="H3364" s="1066"/>
      <c r="I3364" s="1063"/>
      <c r="J3364" s="1063"/>
      <c r="K3364" s="1063"/>
      <c r="L3364" s="1063"/>
    </row>
    <row r="3365" spans="5:12" x14ac:dyDescent="0.2">
      <c r="E3365" s="1063"/>
      <c r="H3365" s="1066"/>
      <c r="I3365" s="1063"/>
      <c r="J3365" s="1063"/>
      <c r="K3365" s="1063"/>
      <c r="L3365" s="1063"/>
    </row>
    <row r="3366" spans="5:12" x14ac:dyDescent="0.2">
      <c r="E3366" s="1063"/>
      <c r="H3366" s="1066"/>
      <c r="I3366" s="1063"/>
      <c r="J3366" s="1063"/>
      <c r="K3366" s="1063"/>
      <c r="L3366" s="1063"/>
    </row>
    <row r="3367" spans="5:12" x14ac:dyDescent="0.2">
      <c r="E3367" s="1063"/>
      <c r="H3367" s="1066"/>
      <c r="I3367" s="1063"/>
      <c r="J3367" s="1063"/>
      <c r="K3367" s="1063"/>
      <c r="L3367" s="1063"/>
    </row>
    <row r="3368" spans="5:12" x14ac:dyDescent="0.2">
      <c r="E3368" s="1063"/>
      <c r="H3368" s="1066"/>
      <c r="I3368" s="1063"/>
      <c r="J3368" s="1063"/>
      <c r="K3368" s="1063"/>
      <c r="L3368" s="1063"/>
    </row>
    <row r="3369" spans="5:12" x14ac:dyDescent="0.2">
      <c r="E3369" s="1063"/>
      <c r="H3369" s="1066"/>
      <c r="I3369" s="1063"/>
      <c r="J3369" s="1063"/>
      <c r="K3369" s="1063"/>
      <c r="L3369" s="1063"/>
    </row>
    <row r="3370" spans="5:12" x14ac:dyDescent="0.2">
      <c r="E3370" s="1063"/>
      <c r="H3370" s="1066"/>
      <c r="I3370" s="1063"/>
      <c r="J3370" s="1063"/>
      <c r="K3370" s="1063"/>
      <c r="L3370" s="1063"/>
    </row>
    <row r="3371" spans="5:12" x14ac:dyDescent="0.2">
      <c r="E3371" s="1063"/>
      <c r="H3371" s="1066"/>
      <c r="I3371" s="1063"/>
      <c r="J3371" s="1063"/>
      <c r="K3371" s="1063"/>
      <c r="L3371" s="1063"/>
    </row>
    <row r="3372" spans="5:12" x14ac:dyDescent="0.2">
      <c r="E3372" s="1063"/>
      <c r="H3372" s="1066"/>
      <c r="I3372" s="1063"/>
      <c r="J3372" s="1063"/>
      <c r="K3372" s="1063"/>
      <c r="L3372" s="1063"/>
    </row>
    <row r="3373" spans="5:12" x14ac:dyDescent="0.2">
      <c r="E3373" s="1063"/>
      <c r="H3373" s="1066"/>
      <c r="I3373" s="1063"/>
      <c r="J3373" s="1063"/>
      <c r="K3373" s="1063"/>
      <c r="L3373" s="1063"/>
    </row>
    <row r="3374" spans="5:12" x14ac:dyDescent="0.2">
      <c r="E3374" s="1063"/>
      <c r="H3374" s="1066"/>
      <c r="I3374" s="1063"/>
      <c r="J3374" s="1063"/>
      <c r="K3374" s="1063"/>
      <c r="L3374" s="1063"/>
    </row>
    <row r="3375" spans="5:12" x14ac:dyDescent="0.2">
      <c r="E3375" s="1063"/>
      <c r="H3375" s="1066"/>
      <c r="I3375" s="1063"/>
      <c r="J3375" s="1063"/>
      <c r="K3375" s="1063"/>
      <c r="L3375" s="1063"/>
    </row>
    <row r="3376" spans="5:12" x14ac:dyDescent="0.2">
      <c r="E3376" s="1063"/>
      <c r="H3376" s="1066"/>
      <c r="I3376" s="1063"/>
      <c r="J3376" s="1063"/>
      <c r="K3376" s="1063"/>
      <c r="L3376" s="1063"/>
    </row>
    <row r="3377" spans="5:12" x14ac:dyDescent="0.2">
      <c r="E3377" s="1063"/>
      <c r="H3377" s="1066"/>
      <c r="I3377" s="1063"/>
      <c r="J3377" s="1063"/>
      <c r="K3377" s="1063"/>
      <c r="L3377" s="1063"/>
    </row>
    <row r="3378" spans="5:12" x14ac:dyDescent="0.2">
      <c r="E3378" s="1063"/>
      <c r="H3378" s="1066"/>
      <c r="I3378" s="1063"/>
      <c r="J3378" s="1063"/>
      <c r="K3378" s="1063"/>
      <c r="L3378" s="1063"/>
    </row>
    <row r="3379" spans="5:12" x14ac:dyDescent="0.2">
      <c r="E3379" s="1063"/>
      <c r="H3379" s="1066"/>
      <c r="I3379" s="1063"/>
      <c r="J3379" s="1063"/>
      <c r="K3379" s="1063"/>
      <c r="L3379" s="1063"/>
    </row>
    <row r="3380" spans="5:12" x14ac:dyDescent="0.2">
      <c r="E3380" s="1063"/>
      <c r="H3380" s="1066"/>
      <c r="I3380" s="1063"/>
      <c r="J3380" s="1063"/>
      <c r="K3380" s="1063"/>
      <c r="L3380" s="1063"/>
    </row>
    <row r="3381" spans="5:12" x14ac:dyDescent="0.2">
      <c r="E3381" s="1063"/>
      <c r="H3381" s="1066"/>
      <c r="I3381" s="1063"/>
      <c r="J3381" s="1063"/>
      <c r="K3381" s="1063"/>
      <c r="L3381" s="1063"/>
    </row>
    <row r="3382" spans="5:12" x14ac:dyDescent="0.2">
      <c r="E3382" s="1063"/>
      <c r="H3382" s="1066"/>
      <c r="I3382" s="1063"/>
      <c r="J3382" s="1063"/>
      <c r="K3382" s="1063"/>
      <c r="L3382" s="1063"/>
    </row>
    <row r="3383" spans="5:12" x14ac:dyDescent="0.2">
      <c r="E3383" s="1063"/>
      <c r="H3383" s="1066"/>
      <c r="I3383" s="1063"/>
      <c r="J3383" s="1063"/>
      <c r="K3383" s="1063"/>
      <c r="L3383" s="1063"/>
    </row>
    <row r="3384" spans="5:12" x14ac:dyDescent="0.2">
      <c r="E3384" s="1063"/>
      <c r="H3384" s="1066"/>
      <c r="I3384" s="1063"/>
      <c r="J3384" s="1063"/>
      <c r="K3384" s="1063"/>
      <c r="L3384" s="1063"/>
    </row>
    <row r="3385" spans="5:12" x14ac:dyDescent="0.2">
      <c r="E3385" s="1063"/>
      <c r="H3385" s="1066"/>
      <c r="I3385" s="1063"/>
      <c r="J3385" s="1063"/>
      <c r="K3385" s="1063"/>
      <c r="L3385" s="1063"/>
    </row>
    <row r="3386" spans="5:12" x14ac:dyDescent="0.2">
      <c r="E3386" s="1063"/>
      <c r="H3386" s="1066"/>
      <c r="I3386" s="1063"/>
      <c r="J3386" s="1063"/>
      <c r="K3386" s="1063"/>
      <c r="L3386" s="1063"/>
    </row>
    <row r="3387" spans="5:12" x14ac:dyDescent="0.2">
      <c r="E3387" s="1063"/>
      <c r="H3387" s="1066"/>
      <c r="I3387" s="1063"/>
      <c r="J3387" s="1063"/>
      <c r="K3387" s="1063"/>
      <c r="L3387" s="1063"/>
    </row>
    <row r="3388" spans="5:12" x14ac:dyDescent="0.2">
      <c r="E3388" s="1063"/>
      <c r="H3388" s="1066"/>
      <c r="I3388" s="1063"/>
      <c r="J3388" s="1063"/>
      <c r="K3388" s="1063"/>
      <c r="L3388" s="1063"/>
    </row>
    <row r="3389" spans="5:12" x14ac:dyDescent="0.2">
      <c r="E3389" s="1063"/>
      <c r="H3389" s="1066"/>
      <c r="I3389" s="1063"/>
      <c r="J3389" s="1063"/>
      <c r="K3389" s="1063"/>
      <c r="L3389" s="1063"/>
    </row>
    <row r="3390" spans="5:12" x14ac:dyDescent="0.2">
      <c r="E3390" s="1063"/>
      <c r="H3390" s="1066"/>
      <c r="I3390" s="1063"/>
      <c r="J3390" s="1063"/>
      <c r="K3390" s="1063"/>
      <c r="L3390" s="1063"/>
    </row>
    <row r="3391" spans="5:12" x14ac:dyDescent="0.2">
      <c r="E3391" s="1063"/>
      <c r="H3391" s="1066"/>
      <c r="I3391" s="1063"/>
      <c r="J3391" s="1063"/>
      <c r="K3391" s="1063"/>
      <c r="L3391" s="1063"/>
    </row>
    <row r="3392" spans="5:12" x14ac:dyDescent="0.2">
      <c r="E3392" s="1063"/>
      <c r="H3392" s="1066"/>
      <c r="I3392" s="1063"/>
      <c r="J3392" s="1063"/>
      <c r="K3392" s="1063"/>
      <c r="L3392" s="1063"/>
    </row>
    <row r="3393" spans="5:12" x14ac:dyDescent="0.2">
      <c r="E3393" s="1063"/>
      <c r="H3393" s="1066"/>
      <c r="I3393" s="1063"/>
      <c r="J3393" s="1063"/>
      <c r="K3393" s="1063"/>
      <c r="L3393" s="1063"/>
    </row>
    <row r="3394" spans="5:12" x14ac:dyDescent="0.2">
      <c r="E3394" s="1063"/>
      <c r="H3394" s="1066"/>
      <c r="I3394" s="1063"/>
      <c r="J3394" s="1063"/>
      <c r="K3394" s="1063"/>
      <c r="L3394" s="1063"/>
    </row>
    <row r="3395" spans="5:12" x14ac:dyDescent="0.2">
      <c r="E3395" s="1063"/>
      <c r="H3395" s="1066"/>
      <c r="I3395" s="1063"/>
      <c r="J3395" s="1063"/>
      <c r="K3395" s="1063"/>
      <c r="L3395" s="1063"/>
    </row>
    <row r="3396" spans="5:12" x14ac:dyDescent="0.2">
      <c r="E3396" s="1063"/>
      <c r="H3396" s="1066"/>
      <c r="I3396" s="1063"/>
      <c r="J3396" s="1063"/>
      <c r="K3396" s="1063"/>
      <c r="L3396" s="1063"/>
    </row>
    <row r="3397" spans="5:12" x14ac:dyDescent="0.2">
      <c r="E3397" s="1063"/>
      <c r="H3397" s="1066"/>
      <c r="I3397" s="1063"/>
      <c r="J3397" s="1063"/>
      <c r="K3397" s="1063"/>
      <c r="L3397" s="1063"/>
    </row>
    <row r="3398" spans="5:12" x14ac:dyDescent="0.2">
      <c r="E3398" s="1063"/>
      <c r="H3398" s="1066"/>
      <c r="I3398" s="1063"/>
      <c r="J3398" s="1063"/>
      <c r="K3398" s="1063"/>
      <c r="L3398" s="1063"/>
    </row>
    <row r="3399" spans="5:12" x14ac:dyDescent="0.2">
      <c r="E3399" s="1063"/>
      <c r="H3399" s="1066"/>
      <c r="I3399" s="1063"/>
      <c r="J3399" s="1063"/>
      <c r="K3399" s="1063"/>
      <c r="L3399" s="1063"/>
    </row>
    <row r="3400" spans="5:12" x14ac:dyDescent="0.2">
      <c r="E3400" s="1063"/>
      <c r="H3400" s="1066"/>
      <c r="I3400" s="1063"/>
      <c r="J3400" s="1063"/>
      <c r="K3400" s="1063"/>
      <c r="L3400" s="1063"/>
    </row>
    <row r="3401" spans="5:12" x14ac:dyDescent="0.2">
      <c r="E3401" s="1063"/>
      <c r="H3401" s="1066"/>
      <c r="I3401" s="1063"/>
      <c r="J3401" s="1063"/>
      <c r="K3401" s="1063"/>
      <c r="L3401" s="1063"/>
    </row>
    <row r="3402" spans="5:12" x14ac:dyDescent="0.2">
      <c r="E3402" s="1063"/>
      <c r="H3402" s="1066"/>
      <c r="I3402" s="1063"/>
      <c r="J3402" s="1063"/>
      <c r="K3402" s="1063"/>
      <c r="L3402" s="1063"/>
    </row>
    <row r="3403" spans="5:12" x14ac:dyDescent="0.2">
      <c r="E3403" s="1063"/>
      <c r="H3403" s="1066"/>
      <c r="I3403" s="1063"/>
      <c r="J3403" s="1063"/>
      <c r="K3403" s="1063"/>
      <c r="L3403" s="1063"/>
    </row>
    <row r="3404" spans="5:12" x14ac:dyDescent="0.2">
      <c r="E3404" s="1063"/>
      <c r="H3404" s="1066"/>
      <c r="I3404" s="1063"/>
      <c r="J3404" s="1063"/>
      <c r="K3404" s="1063"/>
      <c r="L3404" s="1063"/>
    </row>
    <row r="3405" spans="5:12" x14ac:dyDescent="0.2">
      <c r="E3405" s="1063"/>
      <c r="H3405" s="1066"/>
      <c r="I3405" s="1063"/>
      <c r="J3405" s="1063"/>
      <c r="K3405" s="1063"/>
      <c r="L3405" s="1063"/>
    </row>
    <row r="3406" spans="5:12" x14ac:dyDescent="0.2">
      <c r="E3406" s="1063"/>
      <c r="H3406" s="1066"/>
      <c r="I3406" s="1063"/>
      <c r="J3406" s="1063"/>
      <c r="K3406" s="1063"/>
      <c r="L3406" s="1063"/>
    </row>
    <row r="3407" spans="5:12" x14ac:dyDescent="0.2">
      <c r="E3407" s="1063"/>
      <c r="H3407" s="1066"/>
      <c r="I3407" s="1063"/>
      <c r="J3407" s="1063"/>
      <c r="K3407" s="1063"/>
      <c r="L3407" s="1063"/>
    </row>
    <row r="3408" spans="5:12" x14ac:dyDescent="0.2">
      <c r="E3408" s="1063"/>
      <c r="H3408" s="1066"/>
      <c r="I3408" s="1063"/>
      <c r="J3408" s="1063"/>
      <c r="K3408" s="1063"/>
      <c r="L3408" s="1063"/>
    </row>
    <row r="3409" spans="5:12" x14ac:dyDescent="0.2">
      <c r="E3409" s="1063"/>
      <c r="H3409" s="1066"/>
      <c r="I3409" s="1063"/>
      <c r="J3409" s="1063"/>
      <c r="K3409" s="1063"/>
      <c r="L3409" s="1063"/>
    </row>
    <row r="3410" spans="5:12" x14ac:dyDescent="0.2">
      <c r="E3410" s="1063"/>
      <c r="H3410" s="1066"/>
      <c r="I3410" s="1063"/>
      <c r="J3410" s="1063"/>
      <c r="K3410" s="1063"/>
      <c r="L3410" s="1063"/>
    </row>
    <row r="3411" spans="5:12" x14ac:dyDescent="0.2">
      <c r="E3411" s="1063"/>
      <c r="H3411" s="1066"/>
      <c r="I3411" s="1063"/>
      <c r="J3411" s="1063"/>
      <c r="K3411" s="1063"/>
      <c r="L3411" s="1063"/>
    </row>
    <row r="3412" spans="5:12" x14ac:dyDescent="0.2">
      <c r="E3412" s="1063"/>
      <c r="H3412" s="1066"/>
      <c r="I3412" s="1063"/>
      <c r="J3412" s="1063"/>
      <c r="K3412" s="1063"/>
      <c r="L3412" s="1063"/>
    </row>
    <row r="3413" spans="5:12" x14ac:dyDescent="0.2">
      <c r="E3413" s="1063"/>
      <c r="H3413" s="1066"/>
      <c r="I3413" s="1063"/>
      <c r="J3413" s="1063"/>
      <c r="K3413" s="1063"/>
      <c r="L3413" s="1063"/>
    </row>
    <row r="3414" spans="5:12" x14ac:dyDescent="0.2">
      <c r="E3414" s="1063"/>
      <c r="H3414" s="1066"/>
      <c r="I3414" s="1063"/>
      <c r="J3414" s="1063"/>
      <c r="K3414" s="1063"/>
      <c r="L3414" s="1063"/>
    </row>
    <row r="3415" spans="5:12" x14ac:dyDescent="0.2">
      <c r="E3415" s="1063"/>
      <c r="H3415" s="1066"/>
      <c r="I3415" s="1063"/>
      <c r="J3415" s="1063"/>
      <c r="K3415" s="1063"/>
      <c r="L3415" s="1063"/>
    </row>
    <row r="3416" spans="5:12" x14ac:dyDescent="0.2">
      <c r="E3416" s="1063"/>
      <c r="H3416" s="1066"/>
      <c r="I3416" s="1063"/>
      <c r="J3416" s="1063"/>
      <c r="K3416" s="1063"/>
      <c r="L3416" s="1063"/>
    </row>
    <row r="3417" spans="5:12" x14ac:dyDescent="0.2">
      <c r="E3417" s="1063"/>
      <c r="H3417" s="1066"/>
      <c r="I3417" s="1063"/>
      <c r="J3417" s="1063"/>
      <c r="K3417" s="1063"/>
      <c r="L3417" s="1063"/>
    </row>
    <row r="3418" spans="5:12" x14ac:dyDescent="0.2">
      <c r="E3418" s="1063"/>
      <c r="H3418" s="1066"/>
      <c r="I3418" s="1063"/>
      <c r="J3418" s="1063"/>
      <c r="K3418" s="1063"/>
      <c r="L3418" s="1063"/>
    </row>
    <row r="3419" spans="5:12" x14ac:dyDescent="0.2">
      <c r="E3419" s="1063"/>
      <c r="H3419" s="1066"/>
      <c r="I3419" s="1063"/>
      <c r="J3419" s="1063"/>
      <c r="K3419" s="1063"/>
      <c r="L3419" s="1063"/>
    </row>
    <row r="3420" spans="5:12" x14ac:dyDescent="0.2">
      <c r="E3420" s="1063"/>
      <c r="H3420" s="1066"/>
      <c r="I3420" s="1063"/>
      <c r="J3420" s="1063"/>
      <c r="K3420" s="1063"/>
      <c r="L3420" s="1063"/>
    </row>
    <row r="3421" spans="5:12" x14ac:dyDescent="0.2">
      <c r="E3421" s="1063"/>
      <c r="H3421" s="1066"/>
      <c r="I3421" s="1063"/>
      <c r="J3421" s="1063"/>
      <c r="K3421" s="1063"/>
      <c r="L3421" s="1063"/>
    </row>
    <row r="3422" spans="5:12" x14ac:dyDescent="0.2">
      <c r="E3422" s="1063"/>
      <c r="H3422" s="1066"/>
      <c r="I3422" s="1063"/>
      <c r="J3422" s="1063"/>
      <c r="K3422" s="1063"/>
      <c r="L3422" s="1063"/>
    </row>
    <row r="3423" spans="5:12" x14ac:dyDescent="0.2">
      <c r="E3423" s="1063"/>
      <c r="H3423" s="1066"/>
      <c r="I3423" s="1063"/>
      <c r="J3423" s="1063"/>
      <c r="K3423" s="1063"/>
      <c r="L3423" s="1063"/>
    </row>
    <row r="3424" spans="5:12" x14ac:dyDescent="0.2">
      <c r="E3424" s="1063"/>
      <c r="H3424" s="1066"/>
      <c r="I3424" s="1063"/>
      <c r="J3424" s="1063"/>
      <c r="K3424" s="1063"/>
      <c r="L3424" s="1063"/>
    </row>
    <row r="3425" spans="5:12" x14ac:dyDescent="0.2">
      <c r="E3425" s="1063"/>
      <c r="H3425" s="1066"/>
      <c r="I3425" s="1063"/>
      <c r="J3425" s="1063"/>
      <c r="K3425" s="1063"/>
      <c r="L3425" s="1063"/>
    </row>
    <row r="3426" spans="5:12" x14ac:dyDescent="0.2">
      <c r="E3426" s="1063"/>
      <c r="H3426" s="1066"/>
      <c r="I3426" s="1063"/>
      <c r="J3426" s="1063"/>
      <c r="K3426" s="1063"/>
      <c r="L3426" s="1063"/>
    </row>
    <row r="3427" spans="5:12" x14ac:dyDescent="0.2">
      <c r="E3427" s="1063"/>
      <c r="H3427" s="1066"/>
      <c r="I3427" s="1063"/>
      <c r="J3427" s="1063"/>
      <c r="K3427" s="1063"/>
      <c r="L3427" s="1063"/>
    </row>
    <row r="3428" spans="5:12" x14ac:dyDescent="0.2">
      <c r="E3428" s="1063"/>
      <c r="H3428" s="1066"/>
      <c r="I3428" s="1063"/>
      <c r="J3428" s="1063"/>
      <c r="K3428" s="1063"/>
      <c r="L3428" s="1063"/>
    </row>
    <row r="3429" spans="5:12" x14ac:dyDescent="0.2">
      <c r="E3429" s="1063"/>
      <c r="H3429" s="1066"/>
      <c r="I3429" s="1063"/>
      <c r="J3429" s="1063"/>
      <c r="K3429" s="1063"/>
      <c r="L3429" s="1063"/>
    </row>
    <row r="3430" spans="5:12" x14ac:dyDescent="0.2">
      <c r="E3430" s="1063"/>
      <c r="H3430" s="1066"/>
      <c r="I3430" s="1063"/>
      <c r="J3430" s="1063"/>
      <c r="K3430" s="1063"/>
      <c r="L3430" s="1063"/>
    </row>
    <row r="3431" spans="5:12" x14ac:dyDescent="0.2">
      <c r="E3431" s="1063"/>
      <c r="H3431" s="1066"/>
      <c r="I3431" s="1063"/>
      <c r="J3431" s="1063"/>
      <c r="K3431" s="1063"/>
      <c r="L3431" s="1063"/>
    </row>
    <row r="3432" spans="5:12" x14ac:dyDescent="0.2">
      <c r="E3432" s="1063"/>
      <c r="H3432" s="1066"/>
      <c r="I3432" s="1063"/>
      <c r="J3432" s="1063"/>
      <c r="K3432" s="1063"/>
      <c r="L3432" s="1063"/>
    </row>
    <row r="3433" spans="5:12" x14ac:dyDescent="0.2">
      <c r="E3433" s="1063"/>
      <c r="H3433" s="1066"/>
      <c r="I3433" s="1063"/>
      <c r="J3433" s="1063"/>
      <c r="K3433" s="1063"/>
      <c r="L3433" s="1063"/>
    </row>
    <row r="3434" spans="5:12" x14ac:dyDescent="0.2">
      <c r="E3434" s="1063"/>
      <c r="H3434" s="1066"/>
      <c r="I3434" s="1063"/>
      <c r="J3434" s="1063"/>
      <c r="K3434" s="1063"/>
      <c r="L3434" s="1063"/>
    </row>
    <row r="3435" spans="5:12" x14ac:dyDescent="0.2">
      <c r="E3435" s="1063"/>
      <c r="H3435" s="1066"/>
      <c r="I3435" s="1063"/>
      <c r="J3435" s="1063"/>
      <c r="K3435" s="1063"/>
      <c r="L3435" s="1063"/>
    </row>
    <row r="3436" spans="5:12" x14ac:dyDescent="0.2">
      <c r="E3436" s="1063"/>
      <c r="H3436" s="1066"/>
      <c r="I3436" s="1063"/>
      <c r="J3436" s="1063"/>
      <c r="K3436" s="1063"/>
      <c r="L3436" s="1063"/>
    </row>
    <row r="3437" spans="5:12" x14ac:dyDescent="0.2">
      <c r="E3437" s="1063"/>
      <c r="H3437" s="1066"/>
      <c r="I3437" s="1063"/>
      <c r="J3437" s="1063"/>
      <c r="K3437" s="1063"/>
      <c r="L3437" s="1063"/>
    </row>
    <row r="3438" spans="5:12" x14ac:dyDescent="0.2">
      <c r="E3438" s="1063"/>
      <c r="H3438" s="1066"/>
      <c r="I3438" s="1063"/>
      <c r="J3438" s="1063"/>
      <c r="K3438" s="1063"/>
      <c r="L3438" s="1063"/>
    </row>
    <row r="3439" spans="5:12" x14ac:dyDescent="0.2">
      <c r="E3439" s="1063"/>
      <c r="H3439" s="1066"/>
      <c r="I3439" s="1063"/>
      <c r="J3439" s="1063"/>
      <c r="K3439" s="1063"/>
      <c r="L3439" s="1063"/>
    </row>
    <row r="3440" spans="5:12" x14ac:dyDescent="0.2">
      <c r="E3440" s="1063"/>
      <c r="H3440" s="1066"/>
      <c r="I3440" s="1063"/>
      <c r="J3440" s="1063"/>
      <c r="K3440" s="1063"/>
      <c r="L3440" s="1063"/>
    </row>
    <row r="3441" spans="5:12" x14ac:dyDescent="0.2">
      <c r="E3441" s="1063"/>
      <c r="H3441" s="1066"/>
      <c r="I3441" s="1063"/>
      <c r="J3441" s="1063"/>
      <c r="K3441" s="1063"/>
      <c r="L3441" s="1063"/>
    </row>
    <row r="3442" spans="5:12" x14ac:dyDescent="0.2">
      <c r="E3442" s="1063"/>
      <c r="H3442" s="1066"/>
      <c r="I3442" s="1063"/>
      <c r="J3442" s="1063"/>
      <c r="K3442" s="1063"/>
      <c r="L3442" s="1063"/>
    </row>
    <row r="3443" spans="5:12" x14ac:dyDescent="0.2">
      <c r="E3443" s="1063"/>
      <c r="H3443" s="1066"/>
      <c r="I3443" s="1063"/>
      <c r="J3443" s="1063"/>
      <c r="K3443" s="1063"/>
      <c r="L3443" s="1063"/>
    </row>
    <row r="3444" spans="5:12" x14ac:dyDescent="0.2">
      <c r="E3444" s="1063"/>
      <c r="H3444" s="1066"/>
      <c r="I3444" s="1063"/>
      <c r="J3444" s="1063"/>
      <c r="K3444" s="1063"/>
      <c r="L3444" s="1063"/>
    </row>
    <row r="3445" spans="5:12" x14ac:dyDescent="0.2">
      <c r="E3445" s="1063"/>
      <c r="H3445" s="1066"/>
      <c r="I3445" s="1063"/>
      <c r="J3445" s="1063"/>
      <c r="K3445" s="1063"/>
      <c r="L3445" s="1063"/>
    </row>
    <row r="3446" spans="5:12" x14ac:dyDescent="0.2">
      <c r="E3446" s="1063"/>
      <c r="H3446" s="1066"/>
      <c r="I3446" s="1063"/>
      <c r="J3446" s="1063"/>
      <c r="K3446" s="1063"/>
      <c r="L3446" s="1063"/>
    </row>
    <row r="3447" spans="5:12" x14ac:dyDescent="0.2">
      <c r="E3447" s="1063"/>
      <c r="H3447" s="1066"/>
      <c r="I3447" s="1063"/>
      <c r="J3447" s="1063"/>
      <c r="K3447" s="1063"/>
      <c r="L3447" s="1063"/>
    </row>
    <row r="3448" spans="5:12" x14ac:dyDescent="0.2">
      <c r="E3448" s="1063"/>
      <c r="H3448" s="1066"/>
      <c r="I3448" s="1063"/>
      <c r="J3448" s="1063"/>
      <c r="K3448" s="1063"/>
      <c r="L3448" s="1063"/>
    </row>
    <row r="3449" spans="5:12" x14ac:dyDescent="0.2">
      <c r="E3449" s="1063"/>
      <c r="H3449" s="1066"/>
      <c r="I3449" s="1063"/>
      <c r="J3449" s="1063"/>
      <c r="K3449" s="1063"/>
      <c r="L3449" s="1063"/>
    </row>
    <row r="3450" spans="5:12" x14ac:dyDescent="0.2">
      <c r="E3450" s="1063"/>
      <c r="H3450" s="1066"/>
      <c r="I3450" s="1063"/>
      <c r="J3450" s="1063"/>
      <c r="K3450" s="1063"/>
      <c r="L3450" s="1063"/>
    </row>
    <row r="3451" spans="5:12" x14ac:dyDescent="0.2">
      <c r="E3451" s="1063"/>
      <c r="H3451" s="1066"/>
      <c r="I3451" s="1063"/>
      <c r="J3451" s="1063"/>
      <c r="K3451" s="1063"/>
      <c r="L3451" s="1063"/>
    </row>
    <row r="3452" spans="5:12" x14ac:dyDescent="0.2">
      <c r="E3452" s="1063"/>
      <c r="H3452" s="1066"/>
      <c r="I3452" s="1063"/>
      <c r="J3452" s="1063"/>
      <c r="K3452" s="1063"/>
      <c r="L3452" s="1063"/>
    </row>
    <row r="3453" spans="5:12" x14ac:dyDescent="0.2">
      <c r="E3453" s="1063"/>
      <c r="H3453" s="1066"/>
      <c r="I3453" s="1063"/>
      <c r="J3453" s="1063"/>
      <c r="K3453" s="1063"/>
      <c r="L3453" s="1063"/>
    </row>
    <row r="3454" spans="5:12" x14ac:dyDescent="0.2">
      <c r="E3454" s="1063"/>
      <c r="H3454" s="1066"/>
      <c r="I3454" s="1063"/>
      <c r="J3454" s="1063"/>
      <c r="K3454" s="1063"/>
      <c r="L3454" s="1063"/>
    </row>
    <row r="3455" spans="5:12" x14ac:dyDescent="0.2">
      <c r="E3455" s="1063"/>
      <c r="H3455" s="1066"/>
      <c r="I3455" s="1063"/>
      <c r="J3455" s="1063"/>
      <c r="K3455" s="1063"/>
      <c r="L3455" s="1063"/>
    </row>
    <row r="3456" spans="5:12" x14ac:dyDescent="0.2">
      <c r="E3456" s="1063"/>
      <c r="H3456" s="1066"/>
      <c r="I3456" s="1063"/>
      <c r="J3456" s="1063"/>
      <c r="K3456" s="1063"/>
      <c r="L3456" s="1063"/>
    </row>
    <row r="3457" spans="5:12" x14ac:dyDescent="0.2">
      <c r="E3457" s="1063"/>
      <c r="H3457" s="1066"/>
      <c r="I3457" s="1063"/>
      <c r="J3457" s="1063"/>
      <c r="K3457" s="1063"/>
      <c r="L3457" s="1063"/>
    </row>
    <row r="3458" spans="5:12" x14ac:dyDescent="0.2">
      <c r="E3458" s="1063"/>
      <c r="H3458" s="1066"/>
      <c r="I3458" s="1063"/>
      <c r="J3458" s="1063"/>
      <c r="K3458" s="1063"/>
      <c r="L3458" s="1063"/>
    </row>
    <row r="3459" spans="5:12" x14ac:dyDescent="0.2">
      <c r="E3459" s="1063"/>
      <c r="H3459" s="1066"/>
      <c r="I3459" s="1063"/>
      <c r="J3459" s="1063"/>
      <c r="K3459" s="1063"/>
      <c r="L3459" s="1063"/>
    </row>
    <row r="3460" spans="5:12" x14ac:dyDescent="0.2">
      <c r="E3460" s="1063"/>
      <c r="H3460" s="1066"/>
      <c r="I3460" s="1063"/>
      <c r="J3460" s="1063"/>
      <c r="K3460" s="1063"/>
      <c r="L3460" s="1063"/>
    </row>
    <row r="3461" spans="5:12" x14ac:dyDescent="0.2">
      <c r="E3461" s="1063"/>
      <c r="H3461" s="1066"/>
      <c r="I3461" s="1063"/>
      <c r="J3461" s="1063"/>
      <c r="K3461" s="1063"/>
      <c r="L3461" s="1063"/>
    </row>
    <row r="3462" spans="5:12" x14ac:dyDescent="0.2">
      <c r="E3462" s="1063"/>
      <c r="H3462" s="1066"/>
      <c r="I3462" s="1063"/>
      <c r="J3462" s="1063"/>
      <c r="K3462" s="1063"/>
      <c r="L3462" s="1063"/>
    </row>
    <row r="3463" spans="5:12" x14ac:dyDescent="0.2">
      <c r="E3463" s="1063"/>
      <c r="H3463" s="1066"/>
      <c r="I3463" s="1063"/>
      <c r="J3463" s="1063"/>
      <c r="K3463" s="1063"/>
      <c r="L3463" s="1063"/>
    </row>
    <row r="3464" spans="5:12" x14ac:dyDescent="0.2">
      <c r="E3464" s="1063"/>
      <c r="H3464" s="1066"/>
      <c r="I3464" s="1063"/>
      <c r="J3464" s="1063"/>
      <c r="K3464" s="1063"/>
      <c r="L3464" s="1063"/>
    </row>
    <row r="3465" spans="5:12" x14ac:dyDescent="0.2">
      <c r="E3465" s="1063"/>
      <c r="H3465" s="1066"/>
      <c r="I3465" s="1063"/>
      <c r="J3465" s="1063"/>
      <c r="K3465" s="1063"/>
      <c r="L3465" s="1063"/>
    </row>
    <row r="3466" spans="5:12" x14ac:dyDescent="0.2">
      <c r="E3466" s="1063"/>
      <c r="H3466" s="1066"/>
      <c r="I3466" s="1063"/>
      <c r="J3466" s="1063"/>
      <c r="K3466" s="1063"/>
      <c r="L3466" s="1063"/>
    </row>
    <row r="3467" spans="5:12" x14ac:dyDescent="0.2">
      <c r="E3467" s="1063"/>
      <c r="H3467" s="1066"/>
      <c r="I3467" s="1063"/>
      <c r="J3467" s="1063"/>
      <c r="K3467" s="1063"/>
      <c r="L3467" s="1063"/>
    </row>
    <row r="3468" spans="5:12" x14ac:dyDescent="0.2">
      <c r="E3468" s="1063"/>
      <c r="H3468" s="1066"/>
      <c r="I3468" s="1063"/>
      <c r="J3468" s="1063"/>
      <c r="K3468" s="1063"/>
      <c r="L3468" s="1063"/>
    </row>
    <row r="3469" spans="5:12" x14ac:dyDescent="0.2">
      <c r="E3469" s="1063"/>
      <c r="H3469" s="1066"/>
      <c r="I3469" s="1063"/>
      <c r="J3469" s="1063"/>
      <c r="K3469" s="1063"/>
      <c r="L3469" s="1063"/>
    </row>
    <row r="3470" spans="5:12" x14ac:dyDescent="0.2">
      <c r="E3470" s="1063"/>
      <c r="H3470" s="1066"/>
      <c r="I3470" s="1063"/>
      <c r="J3470" s="1063"/>
      <c r="K3470" s="1063"/>
      <c r="L3470" s="1063"/>
    </row>
    <row r="3471" spans="5:12" x14ac:dyDescent="0.2">
      <c r="E3471" s="1063"/>
      <c r="H3471" s="1066"/>
      <c r="I3471" s="1063"/>
      <c r="J3471" s="1063"/>
      <c r="K3471" s="1063"/>
      <c r="L3471" s="1063"/>
    </row>
    <row r="3472" spans="5:12" x14ac:dyDescent="0.2">
      <c r="E3472" s="1063"/>
      <c r="H3472" s="1066"/>
      <c r="I3472" s="1063"/>
      <c r="J3472" s="1063"/>
      <c r="K3472" s="1063"/>
      <c r="L3472" s="1063"/>
    </row>
    <row r="3473" spans="5:12" x14ac:dyDescent="0.2">
      <c r="E3473" s="1063"/>
      <c r="H3473" s="1066"/>
      <c r="I3473" s="1063"/>
      <c r="J3473" s="1063"/>
      <c r="K3473" s="1063"/>
      <c r="L3473" s="1063"/>
    </row>
    <row r="3474" spans="5:12" x14ac:dyDescent="0.2">
      <c r="E3474" s="1063"/>
      <c r="H3474" s="1066"/>
      <c r="I3474" s="1063"/>
      <c r="J3474" s="1063"/>
      <c r="K3474" s="1063"/>
      <c r="L3474" s="1063"/>
    </row>
    <row r="3475" spans="5:12" x14ac:dyDescent="0.2">
      <c r="E3475" s="1063"/>
      <c r="H3475" s="1066"/>
      <c r="I3475" s="1063"/>
      <c r="J3475" s="1063"/>
      <c r="K3475" s="1063"/>
      <c r="L3475" s="1063"/>
    </row>
    <row r="3476" spans="5:12" x14ac:dyDescent="0.2">
      <c r="E3476" s="1063"/>
      <c r="H3476" s="1066"/>
      <c r="I3476" s="1063"/>
      <c r="J3476" s="1063"/>
      <c r="K3476" s="1063"/>
      <c r="L3476" s="1063"/>
    </row>
    <row r="3477" spans="5:12" x14ac:dyDescent="0.2">
      <c r="E3477" s="1063"/>
      <c r="H3477" s="1066"/>
      <c r="I3477" s="1063"/>
      <c r="J3477" s="1063"/>
      <c r="K3477" s="1063"/>
      <c r="L3477" s="1063"/>
    </row>
    <row r="3478" spans="5:12" x14ac:dyDescent="0.2">
      <c r="E3478" s="1063"/>
      <c r="H3478" s="1066"/>
      <c r="I3478" s="1063"/>
      <c r="J3478" s="1063"/>
      <c r="K3478" s="1063"/>
      <c r="L3478" s="1063"/>
    </row>
    <row r="3479" spans="5:12" x14ac:dyDescent="0.2">
      <c r="E3479" s="1063"/>
      <c r="H3479" s="1066"/>
      <c r="I3479" s="1063"/>
      <c r="J3479" s="1063"/>
      <c r="K3479" s="1063"/>
      <c r="L3479" s="1063"/>
    </row>
    <row r="3480" spans="5:12" x14ac:dyDescent="0.2">
      <c r="E3480" s="1063"/>
      <c r="H3480" s="1066"/>
      <c r="I3480" s="1063"/>
      <c r="J3480" s="1063"/>
      <c r="K3480" s="1063"/>
      <c r="L3480" s="1063"/>
    </row>
    <row r="3481" spans="5:12" x14ac:dyDescent="0.2">
      <c r="E3481" s="1063"/>
      <c r="H3481" s="1066"/>
      <c r="I3481" s="1063"/>
      <c r="J3481" s="1063"/>
      <c r="K3481" s="1063"/>
      <c r="L3481" s="1063"/>
    </row>
    <row r="3482" spans="5:12" x14ac:dyDescent="0.2">
      <c r="E3482" s="1063"/>
      <c r="H3482" s="1066"/>
      <c r="I3482" s="1063"/>
      <c r="J3482" s="1063"/>
      <c r="K3482" s="1063"/>
      <c r="L3482" s="1063"/>
    </row>
    <row r="3483" spans="5:12" x14ac:dyDescent="0.2">
      <c r="E3483" s="1063"/>
      <c r="H3483" s="1066"/>
      <c r="I3483" s="1063"/>
      <c r="J3483" s="1063"/>
      <c r="K3483" s="1063"/>
      <c r="L3483" s="1063"/>
    </row>
    <row r="3484" spans="5:12" x14ac:dyDescent="0.2">
      <c r="E3484" s="1063"/>
      <c r="H3484" s="1066"/>
      <c r="I3484" s="1063"/>
      <c r="J3484" s="1063"/>
      <c r="K3484" s="1063"/>
      <c r="L3484" s="1063"/>
    </row>
    <row r="3485" spans="5:12" x14ac:dyDescent="0.2">
      <c r="E3485" s="1063"/>
      <c r="H3485" s="1066"/>
      <c r="I3485" s="1063"/>
      <c r="J3485" s="1063"/>
      <c r="K3485" s="1063"/>
      <c r="L3485" s="1063"/>
    </row>
    <row r="3486" spans="5:12" x14ac:dyDescent="0.2">
      <c r="E3486" s="1063"/>
      <c r="H3486" s="1066"/>
      <c r="I3486" s="1063"/>
      <c r="J3486" s="1063"/>
      <c r="K3486" s="1063"/>
      <c r="L3486" s="1063"/>
    </row>
    <row r="3487" spans="5:12" x14ac:dyDescent="0.2">
      <c r="E3487" s="1063"/>
      <c r="H3487" s="1066"/>
      <c r="I3487" s="1063"/>
      <c r="J3487" s="1063"/>
      <c r="K3487" s="1063"/>
      <c r="L3487" s="1063"/>
    </row>
    <row r="3488" spans="5:12" x14ac:dyDescent="0.2">
      <c r="E3488" s="1063"/>
      <c r="H3488" s="1066"/>
      <c r="I3488" s="1063"/>
      <c r="J3488" s="1063"/>
      <c r="K3488" s="1063"/>
      <c r="L3488" s="1063"/>
    </row>
    <row r="3489" spans="5:12" x14ac:dyDescent="0.2">
      <c r="E3489" s="1063"/>
      <c r="H3489" s="1066"/>
      <c r="I3489" s="1063"/>
      <c r="J3489" s="1063"/>
      <c r="K3489" s="1063"/>
      <c r="L3489" s="1063"/>
    </row>
    <row r="3490" spans="5:12" x14ac:dyDescent="0.2">
      <c r="E3490" s="1063"/>
      <c r="H3490" s="1066"/>
      <c r="I3490" s="1063"/>
      <c r="J3490" s="1063"/>
      <c r="K3490" s="1063"/>
      <c r="L3490" s="1063"/>
    </row>
    <row r="3491" spans="5:12" x14ac:dyDescent="0.2">
      <c r="E3491" s="1063"/>
      <c r="H3491" s="1066"/>
      <c r="I3491" s="1063"/>
      <c r="J3491" s="1063"/>
      <c r="K3491" s="1063"/>
      <c r="L3491" s="1063"/>
    </row>
    <row r="3492" spans="5:12" x14ac:dyDescent="0.2">
      <c r="E3492" s="1063"/>
      <c r="H3492" s="1066"/>
      <c r="I3492" s="1063"/>
      <c r="J3492" s="1063"/>
      <c r="K3492" s="1063"/>
      <c r="L3492" s="1063"/>
    </row>
    <row r="3493" spans="5:12" x14ac:dyDescent="0.2">
      <c r="E3493" s="1063"/>
      <c r="H3493" s="1066"/>
      <c r="I3493" s="1063"/>
      <c r="J3493" s="1063"/>
      <c r="K3493" s="1063"/>
      <c r="L3493" s="1063"/>
    </row>
    <row r="3494" spans="5:12" x14ac:dyDescent="0.2">
      <c r="E3494" s="1063"/>
      <c r="H3494" s="1066"/>
      <c r="I3494" s="1063"/>
      <c r="J3494" s="1063"/>
      <c r="K3494" s="1063"/>
      <c r="L3494" s="1063"/>
    </row>
    <row r="3495" spans="5:12" x14ac:dyDescent="0.2">
      <c r="E3495" s="1063"/>
      <c r="H3495" s="1066"/>
      <c r="I3495" s="1063"/>
      <c r="J3495" s="1063"/>
      <c r="K3495" s="1063"/>
      <c r="L3495" s="1063"/>
    </row>
    <row r="3496" spans="5:12" x14ac:dyDescent="0.2">
      <c r="E3496" s="1063"/>
      <c r="H3496" s="1066"/>
      <c r="I3496" s="1063"/>
      <c r="J3496" s="1063"/>
      <c r="K3496" s="1063"/>
      <c r="L3496" s="1063"/>
    </row>
    <row r="3497" spans="5:12" x14ac:dyDescent="0.2">
      <c r="E3497" s="1063"/>
      <c r="H3497" s="1066"/>
      <c r="I3497" s="1063"/>
      <c r="J3497" s="1063"/>
      <c r="K3497" s="1063"/>
      <c r="L3497" s="1063"/>
    </row>
    <row r="3498" spans="5:12" x14ac:dyDescent="0.2">
      <c r="E3498" s="1063"/>
      <c r="H3498" s="1066"/>
      <c r="I3498" s="1063"/>
      <c r="J3498" s="1063"/>
      <c r="K3498" s="1063"/>
      <c r="L3498" s="1063"/>
    </row>
    <row r="3499" spans="5:12" x14ac:dyDescent="0.2">
      <c r="E3499" s="1063"/>
      <c r="H3499" s="1066"/>
      <c r="I3499" s="1063"/>
      <c r="J3499" s="1063"/>
      <c r="K3499" s="1063"/>
      <c r="L3499" s="1063"/>
    </row>
    <row r="3500" spans="5:12" x14ac:dyDescent="0.2">
      <c r="E3500" s="1063"/>
      <c r="H3500" s="1066"/>
      <c r="I3500" s="1063"/>
      <c r="J3500" s="1063"/>
      <c r="K3500" s="1063"/>
      <c r="L3500" s="1063"/>
    </row>
    <row r="3501" spans="5:12" x14ac:dyDescent="0.2">
      <c r="E3501" s="1063"/>
      <c r="H3501" s="1066"/>
      <c r="I3501" s="1063"/>
      <c r="J3501" s="1063"/>
      <c r="K3501" s="1063"/>
      <c r="L3501" s="1063"/>
    </row>
    <row r="3502" spans="5:12" x14ac:dyDescent="0.2">
      <c r="E3502" s="1063"/>
      <c r="H3502" s="1066"/>
      <c r="I3502" s="1063"/>
      <c r="J3502" s="1063"/>
      <c r="K3502" s="1063"/>
      <c r="L3502" s="1063"/>
    </row>
    <row r="3503" spans="5:12" x14ac:dyDescent="0.2">
      <c r="E3503" s="1063"/>
      <c r="H3503" s="1066"/>
      <c r="I3503" s="1063"/>
      <c r="J3503" s="1063"/>
      <c r="K3503" s="1063"/>
      <c r="L3503" s="1063"/>
    </row>
    <row r="3504" spans="5:12" x14ac:dyDescent="0.2">
      <c r="E3504" s="1063"/>
      <c r="H3504" s="1066"/>
      <c r="I3504" s="1063"/>
      <c r="J3504" s="1063"/>
      <c r="K3504" s="1063"/>
      <c r="L3504" s="1063"/>
    </row>
    <row r="3505" spans="5:12" x14ac:dyDescent="0.2">
      <c r="E3505" s="1063"/>
      <c r="H3505" s="1066"/>
      <c r="I3505" s="1063"/>
      <c r="J3505" s="1063"/>
      <c r="K3505" s="1063"/>
      <c r="L3505" s="1063"/>
    </row>
    <row r="3506" spans="5:12" x14ac:dyDescent="0.2">
      <c r="E3506" s="1063"/>
      <c r="H3506" s="1066"/>
      <c r="I3506" s="1063"/>
      <c r="J3506" s="1063"/>
      <c r="K3506" s="1063"/>
      <c r="L3506" s="1063"/>
    </row>
    <row r="3507" spans="5:12" x14ac:dyDescent="0.2">
      <c r="E3507" s="1063"/>
      <c r="H3507" s="1066"/>
      <c r="I3507" s="1063"/>
      <c r="J3507" s="1063"/>
      <c r="K3507" s="1063"/>
      <c r="L3507" s="1063"/>
    </row>
    <row r="3508" spans="5:12" x14ac:dyDescent="0.2">
      <c r="E3508" s="1063"/>
      <c r="H3508" s="1066"/>
      <c r="I3508" s="1063"/>
      <c r="J3508" s="1063"/>
      <c r="K3508" s="1063"/>
      <c r="L3508" s="1063"/>
    </row>
    <row r="3509" spans="5:12" x14ac:dyDescent="0.2">
      <c r="E3509" s="1063"/>
      <c r="H3509" s="1066"/>
      <c r="I3509" s="1063"/>
      <c r="J3509" s="1063"/>
      <c r="K3509" s="1063"/>
      <c r="L3509" s="1063"/>
    </row>
    <row r="3510" spans="5:12" x14ac:dyDescent="0.2">
      <c r="E3510" s="1063"/>
      <c r="H3510" s="1066"/>
      <c r="I3510" s="1063"/>
      <c r="J3510" s="1063"/>
      <c r="K3510" s="1063"/>
      <c r="L3510" s="1063"/>
    </row>
    <row r="3511" spans="5:12" x14ac:dyDescent="0.2">
      <c r="E3511" s="1063"/>
      <c r="H3511" s="1066"/>
      <c r="I3511" s="1063"/>
      <c r="J3511" s="1063"/>
      <c r="K3511" s="1063"/>
      <c r="L3511" s="1063"/>
    </row>
    <row r="3512" spans="5:12" x14ac:dyDescent="0.2">
      <c r="E3512" s="1063"/>
      <c r="H3512" s="1066"/>
      <c r="I3512" s="1063"/>
      <c r="J3512" s="1063"/>
      <c r="K3512" s="1063"/>
      <c r="L3512" s="1063"/>
    </row>
    <row r="3513" spans="5:12" x14ac:dyDescent="0.2">
      <c r="E3513" s="1063"/>
      <c r="H3513" s="1066"/>
      <c r="I3513" s="1063"/>
      <c r="J3513" s="1063"/>
      <c r="K3513" s="1063"/>
      <c r="L3513" s="1063"/>
    </row>
    <row r="3514" spans="5:12" x14ac:dyDescent="0.2">
      <c r="E3514" s="1063"/>
      <c r="H3514" s="1066"/>
      <c r="I3514" s="1063"/>
      <c r="J3514" s="1063"/>
      <c r="K3514" s="1063"/>
      <c r="L3514" s="1063"/>
    </row>
    <row r="3515" spans="5:12" x14ac:dyDescent="0.2">
      <c r="E3515" s="1063"/>
      <c r="H3515" s="1066"/>
      <c r="I3515" s="1063"/>
      <c r="J3515" s="1063"/>
      <c r="K3515" s="1063"/>
      <c r="L3515" s="1063"/>
    </row>
    <row r="3516" spans="5:12" x14ac:dyDescent="0.2">
      <c r="E3516" s="1063"/>
      <c r="H3516" s="1066"/>
      <c r="I3516" s="1063"/>
      <c r="J3516" s="1063"/>
      <c r="K3516" s="1063"/>
      <c r="L3516" s="1063"/>
    </row>
    <row r="3517" spans="5:12" x14ac:dyDescent="0.2">
      <c r="E3517" s="1063"/>
      <c r="H3517" s="1066"/>
      <c r="I3517" s="1063"/>
      <c r="J3517" s="1063"/>
      <c r="K3517" s="1063"/>
      <c r="L3517" s="1063"/>
    </row>
    <row r="3518" spans="5:12" x14ac:dyDescent="0.2">
      <c r="E3518" s="1063"/>
      <c r="H3518" s="1066"/>
      <c r="I3518" s="1063"/>
      <c r="J3518" s="1063"/>
      <c r="K3518" s="1063"/>
      <c r="L3518" s="1063"/>
    </row>
    <row r="3519" spans="5:12" x14ac:dyDescent="0.2">
      <c r="E3519" s="1063"/>
      <c r="H3519" s="1066"/>
      <c r="I3519" s="1063"/>
      <c r="J3519" s="1063"/>
      <c r="K3519" s="1063"/>
      <c r="L3519" s="1063"/>
    </row>
    <row r="3520" spans="5:12" x14ac:dyDescent="0.2">
      <c r="E3520" s="1063"/>
      <c r="H3520" s="1066"/>
      <c r="I3520" s="1063"/>
      <c r="J3520" s="1063"/>
      <c r="K3520" s="1063"/>
      <c r="L3520" s="1063"/>
    </row>
    <row r="3521" spans="5:12" x14ac:dyDescent="0.2">
      <c r="E3521" s="1063"/>
      <c r="H3521" s="1066"/>
      <c r="I3521" s="1063"/>
      <c r="J3521" s="1063"/>
      <c r="K3521" s="1063"/>
      <c r="L3521" s="1063"/>
    </row>
    <row r="3522" spans="5:12" x14ac:dyDescent="0.2">
      <c r="E3522" s="1063"/>
      <c r="H3522" s="1066"/>
      <c r="I3522" s="1063"/>
      <c r="J3522" s="1063"/>
      <c r="K3522" s="1063"/>
      <c r="L3522" s="1063"/>
    </row>
    <row r="3523" spans="5:12" x14ac:dyDescent="0.2">
      <c r="E3523" s="1063"/>
      <c r="H3523" s="1066"/>
      <c r="I3523" s="1063"/>
      <c r="J3523" s="1063"/>
      <c r="K3523" s="1063"/>
      <c r="L3523" s="1063"/>
    </row>
    <row r="3524" spans="5:12" x14ac:dyDescent="0.2">
      <c r="E3524" s="1063"/>
      <c r="H3524" s="1066"/>
      <c r="I3524" s="1063"/>
      <c r="J3524" s="1063"/>
      <c r="K3524" s="1063"/>
      <c r="L3524" s="1063"/>
    </row>
    <row r="3525" spans="5:12" x14ac:dyDescent="0.2">
      <c r="E3525" s="1063"/>
      <c r="H3525" s="1066"/>
      <c r="I3525" s="1063"/>
      <c r="J3525" s="1063"/>
      <c r="K3525" s="1063"/>
      <c r="L3525" s="1063"/>
    </row>
    <row r="3526" spans="5:12" x14ac:dyDescent="0.2">
      <c r="E3526" s="1063"/>
      <c r="H3526" s="1066"/>
      <c r="I3526" s="1063"/>
      <c r="J3526" s="1063"/>
      <c r="K3526" s="1063"/>
      <c r="L3526" s="1063"/>
    </row>
    <row r="3527" spans="5:12" x14ac:dyDescent="0.2">
      <c r="E3527" s="1063"/>
      <c r="H3527" s="1066"/>
      <c r="I3527" s="1063"/>
      <c r="J3527" s="1063"/>
      <c r="K3527" s="1063"/>
      <c r="L3527" s="1063"/>
    </row>
    <row r="3528" spans="5:12" x14ac:dyDescent="0.2">
      <c r="E3528" s="1063"/>
      <c r="H3528" s="1066"/>
      <c r="I3528" s="1063"/>
      <c r="J3528" s="1063"/>
      <c r="K3528" s="1063"/>
      <c r="L3528" s="1063"/>
    </row>
    <row r="3529" spans="5:12" x14ac:dyDescent="0.2">
      <c r="E3529" s="1063"/>
      <c r="H3529" s="1066"/>
      <c r="I3529" s="1063"/>
      <c r="J3529" s="1063"/>
      <c r="K3529" s="1063"/>
      <c r="L3529" s="1063"/>
    </row>
    <row r="3530" spans="5:12" x14ac:dyDescent="0.2">
      <c r="E3530" s="1063"/>
      <c r="H3530" s="1066"/>
      <c r="I3530" s="1063"/>
      <c r="J3530" s="1063"/>
      <c r="K3530" s="1063"/>
      <c r="L3530" s="1063"/>
    </row>
    <row r="3531" spans="5:12" x14ac:dyDescent="0.2">
      <c r="E3531" s="1063"/>
      <c r="H3531" s="1066"/>
      <c r="I3531" s="1063"/>
      <c r="J3531" s="1063"/>
      <c r="K3531" s="1063"/>
      <c r="L3531" s="1063"/>
    </row>
    <row r="3532" spans="5:12" x14ac:dyDescent="0.2">
      <c r="E3532" s="1063"/>
      <c r="H3532" s="1066"/>
      <c r="I3532" s="1063"/>
      <c r="J3532" s="1063"/>
      <c r="K3532" s="1063"/>
      <c r="L3532" s="1063"/>
    </row>
    <row r="3533" spans="5:12" x14ac:dyDescent="0.2">
      <c r="E3533" s="1063"/>
      <c r="H3533" s="1066"/>
      <c r="I3533" s="1063"/>
      <c r="J3533" s="1063"/>
      <c r="K3533" s="1063"/>
      <c r="L3533" s="1063"/>
    </row>
    <row r="3534" spans="5:12" x14ac:dyDescent="0.2">
      <c r="E3534" s="1063"/>
      <c r="H3534" s="1066"/>
      <c r="I3534" s="1063"/>
      <c r="J3534" s="1063"/>
      <c r="K3534" s="1063"/>
      <c r="L3534" s="1063"/>
    </row>
    <row r="3535" spans="5:12" x14ac:dyDescent="0.2">
      <c r="E3535" s="1063"/>
      <c r="H3535" s="1066"/>
      <c r="I3535" s="1063"/>
      <c r="J3535" s="1063"/>
      <c r="K3535" s="1063"/>
      <c r="L3535" s="1063"/>
    </row>
    <row r="3536" spans="5:12" x14ac:dyDescent="0.2">
      <c r="E3536" s="1063"/>
      <c r="H3536" s="1066"/>
      <c r="I3536" s="1063"/>
      <c r="J3536" s="1063"/>
      <c r="K3536" s="1063"/>
      <c r="L3536" s="1063"/>
    </row>
    <row r="3537" spans="5:12" x14ac:dyDescent="0.2">
      <c r="E3537" s="1063"/>
      <c r="H3537" s="1066"/>
      <c r="I3537" s="1063"/>
      <c r="J3537" s="1063"/>
      <c r="K3537" s="1063"/>
      <c r="L3537" s="1063"/>
    </row>
    <row r="3538" spans="5:12" x14ac:dyDescent="0.2">
      <c r="E3538" s="1063"/>
      <c r="H3538" s="1066"/>
      <c r="I3538" s="1063"/>
      <c r="J3538" s="1063"/>
      <c r="K3538" s="1063"/>
      <c r="L3538" s="1063"/>
    </row>
    <row r="3539" spans="5:12" x14ac:dyDescent="0.2">
      <c r="E3539" s="1063"/>
      <c r="H3539" s="1066"/>
      <c r="I3539" s="1063"/>
      <c r="J3539" s="1063"/>
      <c r="K3539" s="1063"/>
      <c r="L3539" s="1063"/>
    </row>
    <row r="3540" spans="5:12" x14ac:dyDescent="0.2">
      <c r="E3540" s="1063"/>
      <c r="H3540" s="1066"/>
      <c r="I3540" s="1063"/>
      <c r="J3540" s="1063"/>
      <c r="K3540" s="1063"/>
      <c r="L3540" s="1063"/>
    </row>
    <row r="3541" spans="5:12" x14ac:dyDescent="0.2">
      <c r="E3541" s="1063"/>
      <c r="H3541" s="1066"/>
      <c r="I3541" s="1063"/>
      <c r="J3541" s="1063"/>
      <c r="K3541" s="1063"/>
      <c r="L3541" s="1063"/>
    </row>
    <row r="3542" spans="5:12" x14ac:dyDescent="0.2">
      <c r="E3542" s="1063"/>
      <c r="H3542" s="1066"/>
      <c r="I3542" s="1063"/>
      <c r="J3542" s="1063"/>
      <c r="K3542" s="1063"/>
      <c r="L3542" s="1063"/>
    </row>
    <row r="3543" spans="5:12" x14ac:dyDescent="0.2">
      <c r="E3543" s="1063"/>
      <c r="H3543" s="1066"/>
      <c r="I3543" s="1063"/>
      <c r="J3543" s="1063"/>
      <c r="K3543" s="1063"/>
      <c r="L3543" s="1063"/>
    </row>
    <row r="3544" spans="5:12" x14ac:dyDescent="0.2">
      <c r="E3544" s="1063"/>
      <c r="H3544" s="1066"/>
      <c r="I3544" s="1063"/>
      <c r="J3544" s="1063"/>
      <c r="K3544" s="1063"/>
      <c r="L3544" s="1063"/>
    </row>
    <row r="3545" spans="5:12" x14ac:dyDescent="0.2">
      <c r="E3545" s="1063"/>
      <c r="H3545" s="1066"/>
      <c r="I3545" s="1063"/>
      <c r="J3545" s="1063"/>
      <c r="K3545" s="1063"/>
      <c r="L3545" s="1063"/>
    </row>
    <row r="3546" spans="5:12" x14ac:dyDescent="0.2">
      <c r="E3546" s="1063"/>
      <c r="H3546" s="1066"/>
      <c r="I3546" s="1063"/>
      <c r="J3546" s="1063"/>
      <c r="K3546" s="1063"/>
      <c r="L3546" s="1063"/>
    </row>
    <row r="3547" spans="5:12" x14ac:dyDescent="0.2">
      <c r="E3547" s="1063"/>
      <c r="H3547" s="1066"/>
      <c r="I3547" s="1063"/>
      <c r="J3547" s="1063"/>
      <c r="K3547" s="1063"/>
      <c r="L3547" s="1063"/>
    </row>
    <row r="3548" spans="5:12" x14ac:dyDescent="0.2">
      <c r="E3548" s="1063"/>
      <c r="H3548" s="1066"/>
      <c r="I3548" s="1063"/>
      <c r="J3548" s="1063"/>
      <c r="K3548" s="1063"/>
      <c r="L3548" s="1063"/>
    </row>
    <row r="3549" spans="5:12" x14ac:dyDescent="0.2">
      <c r="E3549" s="1063"/>
      <c r="H3549" s="1066"/>
      <c r="I3549" s="1063"/>
      <c r="J3549" s="1063"/>
      <c r="K3549" s="1063"/>
      <c r="L3549" s="1063"/>
    </row>
    <row r="3550" spans="5:12" x14ac:dyDescent="0.2">
      <c r="E3550" s="1063"/>
      <c r="H3550" s="1066"/>
      <c r="I3550" s="1063"/>
      <c r="J3550" s="1063"/>
      <c r="K3550" s="1063"/>
      <c r="L3550" s="1063"/>
    </row>
    <row r="3551" spans="5:12" x14ac:dyDescent="0.2">
      <c r="E3551" s="1063"/>
      <c r="H3551" s="1066"/>
      <c r="I3551" s="1063"/>
      <c r="J3551" s="1063"/>
      <c r="K3551" s="1063"/>
      <c r="L3551" s="1063"/>
    </row>
    <row r="3552" spans="5:12" x14ac:dyDescent="0.2">
      <c r="E3552" s="1063"/>
      <c r="H3552" s="1066"/>
      <c r="I3552" s="1063"/>
      <c r="J3552" s="1063"/>
      <c r="K3552" s="1063"/>
      <c r="L3552" s="1063"/>
    </row>
    <row r="3553" spans="5:12" x14ac:dyDescent="0.2">
      <c r="E3553" s="1063"/>
      <c r="H3553" s="1066"/>
      <c r="I3553" s="1063"/>
      <c r="J3553" s="1063"/>
      <c r="K3553" s="1063"/>
      <c r="L3553" s="1063"/>
    </row>
    <row r="3554" spans="5:12" x14ac:dyDescent="0.2">
      <c r="E3554" s="1063"/>
      <c r="H3554" s="1066"/>
      <c r="I3554" s="1063"/>
      <c r="J3554" s="1063"/>
      <c r="K3554" s="1063"/>
      <c r="L3554" s="1063"/>
    </row>
    <row r="3555" spans="5:12" x14ac:dyDescent="0.2">
      <c r="E3555" s="1063"/>
      <c r="H3555" s="1066"/>
      <c r="I3555" s="1063"/>
      <c r="J3555" s="1063"/>
      <c r="K3555" s="1063"/>
      <c r="L3555" s="1063"/>
    </row>
    <row r="3556" spans="5:12" x14ac:dyDescent="0.2">
      <c r="E3556" s="1063"/>
      <c r="H3556" s="1066"/>
      <c r="I3556" s="1063"/>
      <c r="J3556" s="1063"/>
      <c r="K3556" s="1063"/>
      <c r="L3556" s="1063"/>
    </row>
    <row r="3557" spans="5:12" x14ac:dyDescent="0.2">
      <c r="E3557" s="1063"/>
      <c r="H3557" s="1066"/>
      <c r="I3557" s="1063"/>
      <c r="J3557" s="1063"/>
      <c r="K3557" s="1063"/>
      <c r="L3557" s="1063"/>
    </row>
    <row r="3558" spans="5:12" x14ac:dyDescent="0.2">
      <c r="E3558" s="1063"/>
      <c r="H3558" s="1066"/>
      <c r="I3558" s="1063"/>
      <c r="J3558" s="1063"/>
      <c r="K3558" s="1063"/>
      <c r="L3558" s="1063"/>
    </row>
    <row r="3559" spans="5:12" x14ac:dyDescent="0.2">
      <c r="E3559" s="1063"/>
      <c r="H3559" s="1066"/>
      <c r="I3559" s="1063"/>
      <c r="J3559" s="1063"/>
      <c r="K3559" s="1063"/>
      <c r="L3559" s="1063"/>
    </row>
    <row r="3560" spans="5:12" x14ac:dyDescent="0.2">
      <c r="E3560" s="1063"/>
      <c r="H3560" s="1066"/>
      <c r="I3560" s="1063"/>
      <c r="J3560" s="1063"/>
      <c r="K3560" s="1063"/>
      <c r="L3560" s="1063"/>
    </row>
    <row r="3561" spans="5:12" x14ac:dyDescent="0.2">
      <c r="E3561" s="1063"/>
      <c r="H3561" s="1066"/>
      <c r="I3561" s="1063"/>
      <c r="J3561" s="1063"/>
      <c r="K3561" s="1063"/>
      <c r="L3561" s="1063"/>
    </row>
    <row r="3562" spans="5:12" x14ac:dyDescent="0.2">
      <c r="E3562" s="1063"/>
      <c r="H3562" s="1066"/>
      <c r="I3562" s="1063"/>
      <c r="J3562" s="1063"/>
      <c r="K3562" s="1063"/>
      <c r="L3562" s="1063"/>
    </row>
    <row r="3563" spans="5:12" x14ac:dyDescent="0.2">
      <c r="E3563" s="1063"/>
      <c r="H3563" s="1066"/>
      <c r="I3563" s="1063"/>
      <c r="J3563" s="1063"/>
      <c r="K3563" s="1063"/>
      <c r="L3563" s="1063"/>
    </row>
    <row r="3564" spans="5:12" x14ac:dyDescent="0.2">
      <c r="E3564" s="1063"/>
      <c r="H3564" s="1066"/>
      <c r="I3564" s="1063"/>
      <c r="J3564" s="1063"/>
      <c r="K3564" s="1063"/>
      <c r="L3564" s="1063"/>
    </row>
    <row r="3565" spans="5:12" x14ac:dyDescent="0.2">
      <c r="E3565" s="1063"/>
      <c r="H3565" s="1066"/>
      <c r="I3565" s="1063"/>
      <c r="J3565" s="1063"/>
      <c r="K3565" s="1063"/>
      <c r="L3565" s="1063"/>
    </row>
    <row r="3566" spans="5:12" x14ac:dyDescent="0.2">
      <c r="E3566" s="1063"/>
      <c r="H3566" s="1066"/>
      <c r="I3566" s="1063"/>
      <c r="J3566" s="1063"/>
      <c r="K3566" s="1063"/>
      <c r="L3566" s="1063"/>
    </row>
    <row r="3567" spans="5:12" x14ac:dyDescent="0.2">
      <c r="E3567" s="1063"/>
      <c r="H3567" s="1066"/>
      <c r="I3567" s="1063"/>
      <c r="J3567" s="1063"/>
      <c r="K3567" s="1063"/>
      <c r="L3567" s="1063"/>
    </row>
    <row r="3568" spans="5:12" x14ac:dyDescent="0.2">
      <c r="E3568" s="1063"/>
      <c r="H3568" s="1066"/>
      <c r="I3568" s="1063"/>
      <c r="J3568" s="1063"/>
      <c r="K3568" s="1063"/>
      <c r="L3568" s="1063"/>
    </row>
    <row r="3569" spans="5:12" x14ac:dyDescent="0.2">
      <c r="E3569" s="1063"/>
      <c r="H3569" s="1066"/>
      <c r="I3569" s="1063"/>
      <c r="J3569" s="1063"/>
      <c r="K3569" s="1063"/>
      <c r="L3569" s="1063"/>
    </row>
    <row r="3570" spans="5:12" x14ac:dyDescent="0.2">
      <c r="E3570" s="1063"/>
      <c r="H3570" s="1066"/>
      <c r="I3570" s="1063"/>
      <c r="J3570" s="1063"/>
      <c r="K3570" s="1063"/>
      <c r="L3570" s="1063"/>
    </row>
    <row r="3571" spans="5:12" x14ac:dyDescent="0.2">
      <c r="E3571" s="1063"/>
      <c r="H3571" s="1066"/>
      <c r="I3571" s="1063"/>
      <c r="J3571" s="1063"/>
      <c r="K3571" s="1063"/>
      <c r="L3571" s="1063"/>
    </row>
    <row r="3572" spans="5:12" x14ac:dyDescent="0.2">
      <c r="E3572" s="1063"/>
      <c r="H3572" s="1066"/>
      <c r="I3572" s="1063"/>
      <c r="J3572" s="1063"/>
      <c r="K3572" s="1063"/>
      <c r="L3572" s="1063"/>
    </row>
    <row r="3573" spans="5:12" x14ac:dyDescent="0.2">
      <c r="E3573" s="1063"/>
      <c r="H3573" s="1066"/>
      <c r="I3573" s="1063"/>
      <c r="J3573" s="1063"/>
      <c r="K3573" s="1063"/>
      <c r="L3573" s="1063"/>
    </row>
    <row r="3574" spans="5:12" x14ac:dyDescent="0.2">
      <c r="E3574" s="1063"/>
      <c r="H3574" s="1066"/>
      <c r="I3574" s="1063"/>
      <c r="J3574" s="1063"/>
      <c r="K3574" s="1063"/>
      <c r="L3574" s="1063"/>
    </row>
    <row r="3575" spans="5:12" x14ac:dyDescent="0.2">
      <c r="E3575" s="1063"/>
      <c r="H3575" s="1066"/>
      <c r="I3575" s="1063"/>
      <c r="J3575" s="1063"/>
      <c r="K3575" s="1063"/>
      <c r="L3575" s="1063"/>
    </row>
    <row r="3576" spans="5:12" x14ac:dyDescent="0.2">
      <c r="E3576" s="1063"/>
      <c r="H3576" s="1066"/>
      <c r="I3576" s="1063"/>
      <c r="J3576" s="1063"/>
      <c r="K3576" s="1063"/>
      <c r="L3576" s="1063"/>
    </row>
    <row r="3577" spans="5:12" x14ac:dyDescent="0.2">
      <c r="E3577" s="1063"/>
      <c r="H3577" s="1066"/>
      <c r="I3577" s="1063"/>
      <c r="J3577" s="1063"/>
      <c r="K3577" s="1063"/>
      <c r="L3577" s="1063"/>
    </row>
    <row r="3578" spans="5:12" x14ac:dyDescent="0.2">
      <c r="E3578" s="1063"/>
      <c r="H3578" s="1066"/>
      <c r="I3578" s="1063"/>
      <c r="J3578" s="1063"/>
      <c r="K3578" s="1063"/>
      <c r="L3578" s="1063"/>
    </row>
    <row r="3579" spans="5:12" x14ac:dyDescent="0.2">
      <c r="E3579" s="1063"/>
      <c r="H3579" s="1066"/>
      <c r="I3579" s="1063"/>
      <c r="J3579" s="1063"/>
      <c r="K3579" s="1063"/>
      <c r="L3579" s="1063"/>
    </row>
    <row r="3580" spans="5:12" x14ac:dyDescent="0.2">
      <c r="E3580" s="1063"/>
      <c r="H3580" s="1066"/>
      <c r="I3580" s="1063"/>
      <c r="J3580" s="1063"/>
      <c r="K3580" s="1063"/>
      <c r="L3580" s="1063"/>
    </row>
    <row r="3581" spans="5:12" x14ac:dyDescent="0.2">
      <c r="E3581" s="1063"/>
      <c r="H3581" s="1066"/>
      <c r="I3581" s="1063"/>
      <c r="J3581" s="1063"/>
      <c r="K3581" s="1063"/>
      <c r="L3581" s="1063"/>
    </row>
    <row r="3582" spans="5:12" x14ac:dyDescent="0.2">
      <c r="E3582" s="1063"/>
      <c r="H3582" s="1066"/>
      <c r="I3582" s="1063"/>
      <c r="J3582" s="1063"/>
      <c r="K3582" s="1063"/>
      <c r="L3582" s="1063"/>
    </row>
    <row r="3583" spans="5:12" x14ac:dyDescent="0.2">
      <c r="E3583" s="1063"/>
      <c r="H3583" s="1066"/>
      <c r="I3583" s="1063"/>
      <c r="J3583" s="1063"/>
      <c r="K3583" s="1063"/>
      <c r="L3583" s="1063"/>
    </row>
    <row r="3584" spans="5:12" x14ac:dyDescent="0.2">
      <c r="E3584" s="1063"/>
      <c r="H3584" s="1066"/>
      <c r="I3584" s="1063"/>
      <c r="J3584" s="1063"/>
      <c r="K3584" s="1063"/>
      <c r="L3584" s="1063"/>
    </row>
    <row r="3585" spans="5:12" x14ac:dyDescent="0.2">
      <c r="E3585" s="1063"/>
      <c r="H3585" s="1066"/>
      <c r="I3585" s="1063"/>
      <c r="J3585" s="1063"/>
      <c r="K3585" s="1063"/>
      <c r="L3585" s="1063"/>
    </row>
    <row r="3586" spans="5:12" x14ac:dyDescent="0.2">
      <c r="E3586" s="1063"/>
      <c r="H3586" s="1066"/>
      <c r="I3586" s="1063"/>
      <c r="J3586" s="1063"/>
      <c r="K3586" s="1063"/>
      <c r="L3586" s="1063"/>
    </row>
    <row r="3587" spans="5:12" x14ac:dyDescent="0.2">
      <c r="E3587" s="1063"/>
      <c r="H3587" s="1066"/>
      <c r="I3587" s="1063"/>
      <c r="J3587" s="1063"/>
      <c r="K3587" s="1063"/>
      <c r="L3587" s="1063"/>
    </row>
    <row r="3588" spans="5:12" x14ac:dyDescent="0.2">
      <c r="E3588" s="1063"/>
      <c r="H3588" s="1066"/>
      <c r="I3588" s="1063"/>
      <c r="J3588" s="1063"/>
      <c r="K3588" s="1063"/>
      <c r="L3588" s="1063"/>
    </row>
    <row r="3589" spans="5:12" x14ac:dyDescent="0.2">
      <c r="E3589" s="1063"/>
      <c r="H3589" s="1066"/>
      <c r="I3589" s="1063"/>
      <c r="J3589" s="1063"/>
      <c r="K3589" s="1063"/>
      <c r="L3589" s="1063"/>
    </row>
    <row r="3590" spans="5:12" x14ac:dyDescent="0.2">
      <c r="E3590" s="1063"/>
      <c r="H3590" s="1066"/>
      <c r="I3590" s="1063"/>
      <c r="J3590" s="1063"/>
      <c r="K3590" s="1063"/>
      <c r="L3590" s="1063"/>
    </row>
    <row r="3591" spans="5:12" x14ac:dyDescent="0.2">
      <c r="E3591" s="1063"/>
      <c r="H3591" s="1066"/>
      <c r="I3591" s="1063"/>
      <c r="J3591" s="1063"/>
      <c r="K3591" s="1063"/>
      <c r="L3591" s="1063"/>
    </row>
    <row r="3592" spans="5:12" x14ac:dyDescent="0.2">
      <c r="E3592" s="1063"/>
      <c r="H3592" s="1066"/>
      <c r="I3592" s="1063"/>
      <c r="J3592" s="1063"/>
      <c r="K3592" s="1063"/>
      <c r="L3592" s="1063"/>
    </row>
    <row r="3593" spans="5:12" x14ac:dyDescent="0.2">
      <c r="E3593" s="1063"/>
      <c r="H3593" s="1066"/>
      <c r="I3593" s="1063"/>
      <c r="J3593" s="1063"/>
      <c r="K3593" s="1063"/>
      <c r="L3593" s="1063"/>
    </row>
    <row r="3594" spans="5:12" x14ac:dyDescent="0.2">
      <c r="E3594" s="1063"/>
      <c r="H3594" s="1066"/>
      <c r="I3594" s="1063"/>
      <c r="J3594" s="1063"/>
      <c r="K3594" s="1063"/>
      <c r="L3594" s="1063"/>
    </row>
    <row r="3595" spans="5:12" x14ac:dyDescent="0.2">
      <c r="E3595" s="1063"/>
      <c r="H3595" s="1066"/>
      <c r="I3595" s="1063"/>
      <c r="J3595" s="1063"/>
      <c r="K3595" s="1063"/>
      <c r="L3595" s="1063"/>
    </row>
    <row r="3596" spans="5:12" x14ac:dyDescent="0.2">
      <c r="E3596" s="1063"/>
      <c r="H3596" s="1066"/>
      <c r="I3596" s="1063"/>
      <c r="J3596" s="1063"/>
      <c r="K3596" s="1063"/>
      <c r="L3596" s="1063"/>
    </row>
    <row r="3597" spans="5:12" x14ac:dyDescent="0.2">
      <c r="E3597" s="1063"/>
      <c r="H3597" s="1066"/>
      <c r="I3597" s="1063"/>
      <c r="J3597" s="1063"/>
      <c r="K3597" s="1063"/>
      <c r="L3597" s="1063"/>
    </row>
    <row r="3598" spans="5:12" x14ac:dyDescent="0.2">
      <c r="E3598" s="1063"/>
      <c r="H3598" s="1066"/>
      <c r="I3598" s="1063"/>
      <c r="J3598" s="1063"/>
      <c r="K3598" s="1063"/>
      <c r="L3598" s="1063"/>
    </row>
    <row r="3599" spans="5:12" x14ac:dyDescent="0.2">
      <c r="E3599" s="1063"/>
      <c r="H3599" s="1066"/>
      <c r="I3599" s="1063"/>
      <c r="J3599" s="1063"/>
      <c r="K3599" s="1063"/>
      <c r="L3599" s="1063"/>
    </row>
    <row r="3600" spans="5:12" x14ac:dyDescent="0.2">
      <c r="E3600" s="1063"/>
      <c r="H3600" s="1066"/>
      <c r="I3600" s="1063"/>
      <c r="J3600" s="1063"/>
      <c r="K3600" s="1063"/>
      <c r="L3600" s="1063"/>
    </row>
    <row r="3601" spans="5:12" x14ac:dyDescent="0.2">
      <c r="E3601" s="1063"/>
      <c r="H3601" s="1066"/>
      <c r="I3601" s="1063"/>
      <c r="J3601" s="1063"/>
      <c r="K3601" s="1063"/>
      <c r="L3601" s="1063"/>
    </row>
    <row r="3602" spans="5:12" x14ac:dyDescent="0.2">
      <c r="E3602" s="1063"/>
      <c r="H3602" s="1066"/>
      <c r="I3602" s="1063"/>
      <c r="J3602" s="1063"/>
      <c r="K3602" s="1063"/>
      <c r="L3602" s="1063"/>
    </row>
    <row r="3603" spans="5:12" x14ac:dyDescent="0.2">
      <c r="E3603" s="1063"/>
      <c r="H3603" s="1066"/>
      <c r="I3603" s="1063"/>
      <c r="J3603" s="1063"/>
      <c r="K3603" s="1063"/>
      <c r="L3603" s="1063"/>
    </row>
    <row r="3604" spans="5:12" x14ac:dyDescent="0.2">
      <c r="E3604" s="1063"/>
      <c r="H3604" s="1066"/>
      <c r="I3604" s="1063"/>
      <c r="J3604" s="1063"/>
      <c r="K3604" s="1063"/>
      <c r="L3604" s="1063"/>
    </row>
    <row r="3605" spans="5:12" x14ac:dyDescent="0.2">
      <c r="E3605" s="1063"/>
      <c r="H3605" s="1066"/>
      <c r="I3605" s="1063"/>
      <c r="J3605" s="1063"/>
      <c r="K3605" s="1063"/>
      <c r="L3605" s="1063"/>
    </row>
    <row r="3606" spans="5:12" x14ac:dyDescent="0.2">
      <c r="E3606" s="1063"/>
      <c r="H3606" s="1066"/>
      <c r="I3606" s="1063"/>
      <c r="J3606" s="1063"/>
      <c r="K3606" s="1063"/>
      <c r="L3606" s="1063"/>
    </row>
    <row r="3607" spans="5:12" x14ac:dyDescent="0.2">
      <c r="E3607" s="1063"/>
      <c r="H3607" s="1066"/>
      <c r="I3607" s="1063"/>
      <c r="J3607" s="1063"/>
      <c r="K3607" s="1063"/>
      <c r="L3607" s="1063"/>
    </row>
    <row r="3608" spans="5:12" x14ac:dyDescent="0.2">
      <c r="E3608" s="1063"/>
      <c r="H3608" s="1066"/>
      <c r="I3608" s="1063"/>
      <c r="J3608" s="1063"/>
      <c r="K3608" s="1063"/>
      <c r="L3608" s="1063"/>
    </row>
    <row r="3609" spans="5:12" x14ac:dyDescent="0.2">
      <c r="E3609" s="1063"/>
      <c r="H3609" s="1066"/>
      <c r="I3609" s="1063"/>
      <c r="J3609" s="1063"/>
      <c r="K3609" s="1063"/>
      <c r="L3609" s="1063"/>
    </row>
    <row r="3610" spans="5:12" x14ac:dyDescent="0.2">
      <c r="E3610" s="1063"/>
      <c r="H3610" s="1066"/>
      <c r="I3610" s="1063"/>
      <c r="J3610" s="1063"/>
      <c r="K3610" s="1063"/>
      <c r="L3610" s="1063"/>
    </row>
    <row r="3611" spans="5:12" x14ac:dyDescent="0.2">
      <c r="E3611" s="1063"/>
      <c r="H3611" s="1066"/>
      <c r="I3611" s="1063"/>
      <c r="J3611" s="1063"/>
      <c r="K3611" s="1063"/>
      <c r="L3611" s="1063"/>
    </row>
    <row r="3612" spans="5:12" x14ac:dyDescent="0.2">
      <c r="E3612" s="1063"/>
      <c r="H3612" s="1066"/>
      <c r="I3612" s="1063"/>
      <c r="J3612" s="1063"/>
      <c r="K3612" s="1063"/>
      <c r="L3612" s="1063"/>
    </row>
    <row r="3613" spans="5:12" x14ac:dyDescent="0.2">
      <c r="E3613" s="1063"/>
      <c r="H3613" s="1066"/>
      <c r="I3613" s="1063"/>
      <c r="J3613" s="1063"/>
      <c r="K3613" s="1063"/>
      <c r="L3613" s="1063"/>
    </row>
    <row r="3614" spans="5:12" x14ac:dyDescent="0.2">
      <c r="E3614" s="1063"/>
      <c r="H3614" s="1066"/>
      <c r="I3614" s="1063"/>
      <c r="J3614" s="1063"/>
      <c r="K3614" s="1063"/>
      <c r="L3614" s="1063"/>
    </row>
    <row r="3615" spans="5:12" x14ac:dyDescent="0.2">
      <c r="E3615" s="1063"/>
      <c r="H3615" s="1066"/>
      <c r="I3615" s="1063"/>
      <c r="J3615" s="1063"/>
      <c r="K3615" s="1063"/>
      <c r="L3615" s="1063"/>
    </row>
    <row r="3616" spans="5:12" x14ac:dyDescent="0.2">
      <c r="E3616" s="1063"/>
      <c r="H3616" s="1066"/>
      <c r="I3616" s="1063"/>
      <c r="J3616" s="1063"/>
      <c r="K3616" s="1063"/>
      <c r="L3616" s="1063"/>
    </row>
    <row r="3617" spans="5:12" x14ac:dyDescent="0.2">
      <c r="E3617" s="1063"/>
      <c r="H3617" s="1066"/>
      <c r="I3617" s="1063"/>
      <c r="J3617" s="1063"/>
      <c r="K3617" s="1063"/>
      <c r="L3617" s="1063"/>
    </row>
    <row r="3618" spans="5:12" x14ac:dyDescent="0.2">
      <c r="E3618" s="1063"/>
      <c r="H3618" s="1066"/>
      <c r="I3618" s="1063"/>
      <c r="J3618" s="1063"/>
      <c r="K3618" s="1063"/>
      <c r="L3618" s="1063"/>
    </row>
    <row r="3619" spans="5:12" x14ac:dyDescent="0.2">
      <c r="E3619" s="1063"/>
      <c r="H3619" s="1066"/>
      <c r="I3619" s="1063"/>
      <c r="J3619" s="1063"/>
      <c r="K3619" s="1063"/>
      <c r="L3619" s="1063"/>
    </row>
    <row r="3620" spans="5:12" x14ac:dyDescent="0.2">
      <c r="E3620" s="1063"/>
      <c r="H3620" s="1066"/>
      <c r="I3620" s="1063"/>
      <c r="J3620" s="1063"/>
      <c r="K3620" s="1063"/>
      <c r="L3620" s="1063"/>
    </row>
    <row r="3621" spans="5:12" x14ac:dyDescent="0.2">
      <c r="E3621" s="1063"/>
      <c r="H3621" s="1066"/>
      <c r="I3621" s="1063"/>
      <c r="J3621" s="1063"/>
      <c r="K3621" s="1063"/>
      <c r="L3621" s="1063"/>
    </row>
    <row r="3622" spans="5:12" x14ac:dyDescent="0.2">
      <c r="E3622" s="1063"/>
      <c r="H3622" s="1066"/>
      <c r="I3622" s="1063"/>
      <c r="J3622" s="1063"/>
      <c r="K3622" s="1063"/>
      <c r="L3622" s="1063"/>
    </row>
    <row r="3623" spans="5:12" x14ac:dyDescent="0.2">
      <c r="E3623" s="1063"/>
      <c r="H3623" s="1066"/>
      <c r="I3623" s="1063"/>
      <c r="J3623" s="1063"/>
      <c r="K3623" s="1063"/>
      <c r="L3623" s="1063"/>
    </row>
    <row r="3624" spans="5:12" x14ac:dyDescent="0.2">
      <c r="E3624" s="1063"/>
      <c r="H3624" s="1066"/>
      <c r="I3624" s="1063"/>
      <c r="J3624" s="1063"/>
      <c r="K3624" s="1063"/>
      <c r="L3624" s="1063"/>
    </row>
    <row r="3625" spans="5:12" x14ac:dyDescent="0.2">
      <c r="E3625" s="1063"/>
      <c r="H3625" s="1066"/>
      <c r="I3625" s="1063"/>
      <c r="J3625" s="1063"/>
      <c r="K3625" s="1063"/>
      <c r="L3625" s="1063"/>
    </row>
    <row r="3626" spans="5:12" x14ac:dyDescent="0.2">
      <c r="E3626" s="1063"/>
      <c r="H3626" s="1066"/>
      <c r="I3626" s="1063"/>
      <c r="J3626" s="1063"/>
      <c r="K3626" s="1063"/>
      <c r="L3626" s="1063"/>
    </row>
    <row r="3627" spans="5:12" x14ac:dyDescent="0.2">
      <c r="E3627" s="1063"/>
      <c r="H3627" s="1066"/>
      <c r="I3627" s="1063"/>
      <c r="J3627" s="1063"/>
      <c r="K3627" s="1063"/>
      <c r="L3627" s="1063"/>
    </row>
    <row r="3628" spans="5:12" x14ac:dyDescent="0.2">
      <c r="E3628" s="1063"/>
      <c r="H3628" s="1066"/>
      <c r="I3628" s="1063"/>
      <c r="J3628" s="1063"/>
      <c r="K3628" s="1063"/>
      <c r="L3628" s="1063"/>
    </row>
    <row r="3629" spans="5:12" x14ac:dyDescent="0.2">
      <c r="E3629" s="1063"/>
      <c r="H3629" s="1066"/>
      <c r="I3629" s="1063"/>
      <c r="J3629" s="1063"/>
      <c r="K3629" s="1063"/>
      <c r="L3629" s="1063"/>
    </row>
    <row r="3630" spans="5:12" x14ac:dyDescent="0.2">
      <c r="E3630" s="1063"/>
      <c r="H3630" s="1066"/>
      <c r="I3630" s="1063"/>
      <c r="J3630" s="1063"/>
      <c r="K3630" s="1063"/>
      <c r="L3630" s="1063"/>
    </row>
    <row r="3631" spans="5:12" x14ac:dyDescent="0.2">
      <c r="E3631" s="1063"/>
      <c r="H3631" s="1066"/>
      <c r="I3631" s="1063"/>
      <c r="J3631" s="1063"/>
      <c r="K3631" s="1063"/>
      <c r="L3631" s="1063"/>
    </row>
    <row r="3632" spans="5:12" x14ac:dyDescent="0.2">
      <c r="E3632" s="1063"/>
      <c r="H3632" s="1066"/>
      <c r="I3632" s="1063"/>
      <c r="J3632" s="1063"/>
      <c r="K3632" s="1063"/>
      <c r="L3632" s="1063"/>
    </row>
    <row r="3633" spans="5:12" x14ac:dyDescent="0.2">
      <c r="E3633" s="1063"/>
      <c r="H3633" s="1066"/>
      <c r="I3633" s="1063"/>
      <c r="J3633" s="1063"/>
      <c r="K3633" s="1063"/>
      <c r="L3633" s="1063"/>
    </row>
    <row r="3634" spans="5:12" x14ac:dyDescent="0.2">
      <c r="E3634" s="1063"/>
      <c r="H3634" s="1066"/>
      <c r="I3634" s="1063"/>
      <c r="J3634" s="1063"/>
      <c r="K3634" s="1063"/>
      <c r="L3634" s="1063"/>
    </row>
    <row r="3635" spans="5:12" x14ac:dyDescent="0.2">
      <c r="E3635" s="1063"/>
      <c r="H3635" s="1066"/>
      <c r="I3635" s="1063"/>
      <c r="J3635" s="1063"/>
      <c r="K3635" s="1063"/>
      <c r="L3635" s="1063"/>
    </row>
    <row r="3636" spans="5:12" x14ac:dyDescent="0.2">
      <c r="E3636" s="1063"/>
      <c r="H3636" s="1066"/>
      <c r="I3636" s="1063"/>
      <c r="J3636" s="1063"/>
      <c r="K3636" s="1063"/>
      <c r="L3636" s="1063"/>
    </row>
    <row r="3637" spans="5:12" x14ac:dyDescent="0.2">
      <c r="E3637" s="1063"/>
      <c r="H3637" s="1066"/>
      <c r="I3637" s="1063"/>
      <c r="J3637" s="1063"/>
      <c r="K3637" s="1063"/>
      <c r="L3637" s="1063"/>
    </row>
    <row r="3638" spans="5:12" x14ac:dyDescent="0.2">
      <c r="E3638" s="1063"/>
      <c r="H3638" s="1066"/>
      <c r="I3638" s="1063"/>
      <c r="J3638" s="1063"/>
      <c r="K3638" s="1063"/>
      <c r="L3638" s="1063"/>
    </row>
    <row r="3639" spans="5:12" x14ac:dyDescent="0.2">
      <c r="E3639" s="1063"/>
      <c r="H3639" s="1066"/>
      <c r="I3639" s="1063"/>
      <c r="J3639" s="1063"/>
      <c r="K3639" s="1063"/>
      <c r="L3639" s="1063"/>
    </row>
    <row r="3640" spans="5:12" x14ac:dyDescent="0.2">
      <c r="E3640" s="1063"/>
      <c r="H3640" s="1066"/>
      <c r="I3640" s="1063"/>
      <c r="J3640" s="1063"/>
      <c r="K3640" s="1063"/>
      <c r="L3640" s="1063"/>
    </row>
    <row r="3641" spans="5:12" x14ac:dyDescent="0.2">
      <c r="E3641" s="1063"/>
      <c r="H3641" s="1066"/>
      <c r="I3641" s="1063"/>
      <c r="J3641" s="1063"/>
      <c r="K3641" s="1063"/>
      <c r="L3641" s="1063"/>
    </row>
    <row r="3642" spans="5:12" x14ac:dyDescent="0.2">
      <c r="E3642" s="1063"/>
      <c r="H3642" s="1066"/>
      <c r="I3642" s="1063"/>
      <c r="J3642" s="1063"/>
      <c r="K3642" s="1063"/>
      <c r="L3642" s="1063"/>
    </row>
    <row r="3643" spans="5:12" x14ac:dyDescent="0.2">
      <c r="E3643" s="1063"/>
      <c r="H3643" s="1066"/>
      <c r="I3643" s="1063"/>
      <c r="J3643" s="1063"/>
      <c r="K3643" s="1063"/>
      <c r="L3643" s="1063"/>
    </row>
    <row r="3644" spans="5:12" x14ac:dyDescent="0.2">
      <c r="E3644" s="1063"/>
      <c r="H3644" s="1066"/>
      <c r="I3644" s="1063"/>
      <c r="J3644" s="1063"/>
      <c r="K3644" s="1063"/>
      <c r="L3644" s="1063"/>
    </row>
    <row r="3645" spans="5:12" x14ac:dyDescent="0.2">
      <c r="E3645" s="1063"/>
      <c r="H3645" s="1066"/>
      <c r="I3645" s="1063"/>
      <c r="J3645" s="1063"/>
      <c r="K3645" s="1063"/>
      <c r="L3645" s="1063"/>
    </row>
    <row r="3646" spans="5:12" x14ac:dyDescent="0.2">
      <c r="E3646" s="1063"/>
      <c r="H3646" s="1066"/>
      <c r="I3646" s="1063"/>
      <c r="J3646" s="1063"/>
      <c r="K3646" s="1063"/>
      <c r="L3646" s="1063"/>
    </row>
    <row r="3647" spans="5:12" x14ac:dyDescent="0.2">
      <c r="E3647" s="1063"/>
      <c r="H3647" s="1066"/>
      <c r="I3647" s="1063"/>
      <c r="J3647" s="1063"/>
      <c r="K3647" s="1063"/>
      <c r="L3647" s="1063"/>
    </row>
    <row r="3648" spans="5:12" x14ac:dyDescent="0.2">
      <c r="E3648" s="1063"/>
      <c r="H3648" s="1066"/>
      <c r="I3648" s="1063"/>
      <c r="J3648" s="1063"/>
      <c r="K3648" s="1063"/>
      <c r="L3648" s="1063"/>
    </row>
    <row r="3649" spans="5:12" x14ac:dyDescent="0.2">
      <c r="E3649" s="1063"/>
      <c r="H3649" s="1066"/>
      <c r="I3649" s="1063"/>
      <c r="J3649" s="1063"/>
      <c r="K3649" s="1063"/>
      <c r="L3649" s="1063"/>
    </row>
    <row r="3650" spans="5:12" x14ac:dyDescent="0.2">
      <c r="E3650" s="1063"/>
      <c r="H3650" s="1066"/>
      <c r="I3650" s="1063"/>
      <c r="J3650" s="1063"/>
      <c r="K3650" s="1063"/>
      <c r="L3650" s="1063"/>
    </row>
    <row r="3651" spans="5:12" x14ac:dyDescent="0.2">
      <c r="E3651" s="1063"/>
      <c r="H3651" s="1066"/>
      <c r="I3651" s="1063"/>
      <c r="J3651" s="1063"/>
      <c r="K3651" s="1063"/>
      <c r="L3651" s="1063"/>
    </row>
    <row r="3652" spans="5:12" x14ac:dyDescent="0.2">
      <c r="E3652" s="1063"/>
      <c r="H3652" s="1066"/>
      <c r="I3652" s="1063"/>
      <c r="J3652" s="1063"/>
      <c r="K3652" s="1063"/>
      <c r="L3652" s="1063"/>
    </row>
    <row r="3653" spans="5:12" x14ac:dyDescent="0.2">
      <c r="E3653" s="1063"/>
      <c r="H3653" s="1066"/>
      <c r="I3653" s="1063"/>
      <c r="J3653" s="1063"/>
      <c r="K3653" s="1063"/>
      <c r="L3653" s="1063"/>
    </row>
    <row r="3654" spans="5:12" x14ac:dyDescent="0.2">
      <c r="E3654" s="1063"/>
      <c r="H3654" s="1066"/>
      <c r="I3654" s="1063"/>
      <c r="J3654" s="1063"/>
      <c r="K3654" s="1063"/>
      <c r="L3654" s="1063"/>
    </row>
    <row r="3655" spans="5:12" x14ac:dyDescent="0.2">
      <c r="E3655" s="1063"/>
      <c r="H3655" s="1066"/>
      <c r="I3655" s="1063"/>
      <c r="J3655" s="1063"/>
      <c r="K3655" s="1063"/>
      <c r="L3655" s="1063"/>
    </row>
    <row r="3656" spans="5:12" x14ac:dyDescent="0.2">
      <c r="E3656" s="1063"/>
      <c r="H3656" s="1066"/>
      <c r="I3656" s="1063"/>
      <c r="J3656" s="1063"/>
      <c r="K3656" s="1063"/>
      <c r="L3656" s="1063"/>
    </row>
    <row r="3657" spans="5:12" x14ac:dyDescent="0.2">
      <c r="E3657" s="1063"/>
      <c r="H3657" s="1066"/>
      <c r="I3657" s="1063"/>
      <c r="J3657" s="1063"/>
      <c r="K3657" s="1063"/>
      <c r="L3657" s="1063"/>
    </row>
    <row r="3658" spans="5:12" x14ac:dyDescent="0.2">
      <c r="E3658" s="1063"/>
      <c r="H3658" s="1066"/>
      <c r="I3658" s="1063"/>
      <c r="J3658" s="1063"/>
      <c r="K3658" s="1063"/>
      <c r="L3658" s="1063"/>
    </row>
    <row r="3659" spans="5:12" x14ac:dyDescent="0.2">
      <c r="E3659" s="1063"/>
      <c r="H3659" s="1066"/>
      <c r="I3659" s="1063"/>
      <c r="J3659" s="1063"/>
      <c r="K3659" s="1063"/>
      <c r="L3659" s="1063"/>
    </row>
    <row r="3660" spans="5:12" x14ac:dyDescent="0.2">
      <c r="E3660" s="1063"/>
      <c r="H3660" s="1066"/>
      <c r="I3660" s="1063"/>
      <c r="J3660" s="1063"/>
      <c r="K3660" s="1063"/>
      <c r="L3660" s="1063"/>
    </row>
    <row r="3661" spans="5:12" x14ac:dyDescent="0.2">
      <c r="E3661" s="1063"/>
      <c r="H3661" s="1066"/>
      <c r="I3661" s="1063"/>
      <c r="J3661" s="1063"/>
      <c r="K3661" s="1063"/>
      <c r="L3661" s="1063"/>
    </row>
    <row r="3662" spans="5:12" x14ac:dyDescent="0.2">
      <c r="E3662" s="1063"/>
      <c r="H3662" s="1066"/>
      <c r="I3662" s="1063"/>
      <c r="J3662" s="1063"/>
      <c r="K3662" s="1063"/>
      <c r="L3662" s="1063"/>
    </row>
    <row r="3663" spans="5:12" x14ac:dyDescent="0.2">
      <c r="E3663" s="1063"/>
      <c r="H3663" s="1066"/>
      <c r="I3663" s="1063"/>
      <c r="J3663" s="1063"/>
      <c r="K3663" s="1063"/>
      <c r="L3663" s="1063"/>
    </row>
    <row r="3664" spans="5:12" x14ac:dyDescent="0.2">
      <c r="E3664" s="1063"/>
      <c r="H3664" s="1066"/>
      <c r="I3664" s="1063"/>
      <c r="J3664" s="1063"/>
      <c r="K3664" s="1063"/>
      <c r="L3664" s="1063"/>
    </row>
    <row r="3665" spans="5:12" x14ac:dyDescent="0.2">
      <c r="E3665" s="1063"/>
      <c r="H3665" s="1066"/>
      <c r="I3665" s="1063"/>
      <c r="J3665" s="1063"/>
      <c r="K3665" s="1063"/>
      <c r="L3665" s="1063"/>
    </row>
    <row r="3666" spans="5:12" x14ac:dyDescent="0.2">
      <c r="E3666" s="1063"/>
      <c r="H3666" s="1066"/>
      <c r="I3666" s="1063"/>
      <c r="J3666" s="1063"/>
      <c r="K3666" s="1063"/>
      <c r="L3666" s="1063"/>
    </row>
    <row r="3667" spans="5:12" x14ac:dyDescent="0.2">
      <c r="E3667" s="1063"/>
      <c r="H3667" s="1066"/>
      <c r="I3667" s="1063"/>
      <c r="J3667" s="1063"/>
      <c r="K3667" s="1063"/>
      <c r="L3667" s="1063"/>
    </row>
    <row r="3668" spans="5:12" x14ac:dyDescent="0.2">
      <c r="E3668" s="1063"/>
      <c r="H3668" s="1066"/>
      <c r="I3668" s="1063"/>
      <c r="J3668" s="1063"/>
      <c r="K3668" s="1063"/>
      <c r="L3668" s="1063"/>
    </row>
    <row r="3669" spans="5:12" x14ac:dyDescent="0.2">
      <c r="E3669" s="1063"/>
      <c r="H3669" s="1066"/>
      <c r="I3669" s="1063"/>
      <c r="J3669" s="1063"/>
      <c r="K3669" s="1063"/>
      <c r="L3669" s="1063"/>
    </row>
    <row r="3670" spans="5:12" x14ac:dyDescent="0.2">
      <c r="E3670" s="1063"/>
      <c r="H3670" s="1066"/>
      <c r="I3670" s="1063"/>
      <c r="J3670" s="1063"/>
      <c r="K3670" s="1063"/>
      <c r="L3670" s="1063"/>
    </row>
    <row r="3671" spans="5:12" x14ac:dyDescent="0.2">
      <c r="E3671" s="1063"/>
      <c r="H3671" s="1066"/>
      <c r="I3671" s="1063"/>
      <c r="J3671" s="1063"/>
      <c r="K3671" s="1063"/>
      <c r="L3671" s="1063"/>
    </row>
    <row r="3672" spans="5:12" x14ac:dyDescent="0.2">
      <c r="E3672" s="1063"/>
      <c r="H3672" s="1066"/>
      <c r="I3672" s="1063"/>
      <c r="J3672" s="1063"/>
      <c r="K3672" s="1063"/>
      <c r="L3672" s="1063"/>
    </row>
    <row r="3673" spans="5:12" x14ac:dyDescent="0.2">
      <c r="E3673" s="1063"/>
      <c r="H3673" s="1066"/>
      <c r="I3673" s="1063"/>
      <c r="J3673" s="1063"/>
      <c r="K3673" s="1063"/>
      <c r="L3673" s="1063"/>
    </row>
    <row r="3674" spans="5:12" x14ac:dyDescent="0.2">
      <c r="E3674" s="1063"/>
      <c r="H3674" s="1066"/>
      <c r="I3674" s="1063"/>
      <c r="J3674" s="1063"/>
      <c r="K3674" s="1063"/>
      <c r="L3674" s="1063"/>
    </row>
    <row r="3675" spans="5:12" x14ac:dyDescent="0.2">
      <c r="E3675" s="1063"/>
      <c r="H3675" s="1066"/>
      <c r="I3675" s="1063"/>
      <c r="J3675" s="1063"/>
      <c r="K3675" s="1063"/>
      <c r="L3675" s="1063"/>
    </row>
    <row r="3676" spans="5:12" x14ac:dyDescent="0.2">
      <c r="E3676" s="1063"/>
      <c r="H3676" s="1066"/>
      <c r="I3676" s="1063"/>
      <c r="J3676" s="1063"/>
      <c r="K3676" s="1063"/>
      <c r="L3676" s="1063"/>
    </row>
    <row r="3677" spans="5:12" x14ac:dyDescent="0.2">
      <c r="E3677" s="1063"/>
      <c r="H3677" s="1066"/>
      <c r="I3677" s="1063"/>
      <c r="J3677" s="1063"/>
      <c r="K3677" s="1063"/>
      <c r="L3677" s="1063"/>
    </row>
    <row r="3678" spans="5:12" x14ac:dyDescent="0.2">
      <c r="E3678" s="1063"/>
      <c r="H3678" s="1066"/>
      <c r="I3678" s="1063"/>
      <c r="J3678" s="1063"/>
      <c r="K3678" s="1063"/>
      <c r="L3678" s="1063"/>
    </row>
    <row r="3679" spans="5:12" x14ac:dyDescent="0.2">
      <c r="E3679" s="1063"/>
      <c r="H3679" s="1066"/>
      <c r="I3679" s="1063"/>
      <c r="J3679" s="1063"/>
      <c r="K3679" s="1063"/>
      <c r="L3679" s="1063"/>
    </row>
    <row r="3680" spans="5:12" x14ac:dyDescent="0.2">
      <c r="E3680" s="1063"/>
      <c r="H3680" s="1066"/>
      <c r="I3680" s="1063"/>
      <c r="J3680" s="1063"/>
      <c r="K3680" s="1063"/>
      <c r="L3680" s="1063"/>
    </row>
    <row r="3681" spans="5:12" x14ac:dyDescent="0.2">
      <c r="E3681" s="1063"/>
      <c r="H3681" s="1066"/>
      <c r="I3681" s="1063"/>
      <c r="J3681" s="1063"/>
      <c r="K3681" s="1063"/>
      <c r="L3681" s="1063"/>
    </row>
    <row r="3682" spans="5:12" x14ac:dyDescent="0.2">
      <c r="E3682" s="1063"/>
      <c r="H3682" s="1066"/>
      <c r="I3682" s="1063"/>
      <c r="J3682" s="1063"/>
      <c r="K3682" s="1063"/>
      <c r="L3682" s="1063"/>
    </row>
    <row r="3683" spans="5:12" x14ac:dyDescent="0.2">
      <c r="E3683" s="1063"/>
      <c r="H3683" s="1066"/>
      <c r="I3683" s="1063"/>
      <c r="J3683" s="1063"/>
      <c r="K3683" s="1063"/>
      <c r="L3683" s="1063"/>
    </row>
    <row r="3684" spans="5:12" x14ac:dyDescent="0.2">
      <c r="E3684" s="1063"/>
      <c r="H3684" s="1066"/>
      <c r="I3684" s="1063"/>
      <c r="J3684" s="1063"/>
      <c r="K3684" s="1063"/>
      <c r="L3684" s="1063"/>
    </row>
    <row r="3685" spans="5:12" x14ac:dyDescent="0.2">
      <c r="E3685" s="1063"/>
      <c r="H3685" s="1066"/>
      <c r="I3685" s="1063"/>
      <c r="J3685" s="1063"/>
      <c r="K3685" s="1063"/>
      <c r="L3685" s="1063"/>
    </row>
    <row r="3686" spans="5:12" x14ac:dyDescent="0.2">
      <c r="E3686" s="1063"/>
      <c r="H3686" s="1066"/>
      <c r="I3686" s="1063"/>
      <c r="J3686" s="1063"/>
      <c r="K3686" s="1063"/>
      <c r="L3686" s="1063"/>
    </row>
    <row r="3687" spans="5:12" x14ac:dyDescent="0.2">
      <c r="E3687" s="1063"/>
      <c r="H3687" s="1066"/>
      <c r="I3687" s="1063"/>
      <c r="J3687" s="1063"/>
      <c r="K3687" s="1063"/>
      <c r="L3687" s="1063"/>
    </row>
    <row r="3688" spans="5:12" x14ac:dyDescent="0.2">
      <c r="E3688" s="1063"/>
      <c r="H3688" s="1066"/>
      <c r="I3688" s="1063"/>
      <c r="J3688" s="1063"/>
      <c r="K3688" s="1063"/>
      <c r="L3688" s="1063"/>
    </row>
    <row r="3689" spans="5:12" x14ac:dyDescent="0.2">
      <c r="E3689" s="1063"/>
      <c r="H3689" s="1066"/>
      <c r="I3689" s="1063"/>
      <c r="J3689" s="1063"/>
      <c r="K3689" s="1063"/>
      <c r="L3689" s="1063"/>
    </row>
    <row r="3690" spans="5:12" x14ac:dyDescent="0.2">
      <c r="E3690" s="1063"/>
      <c r="H3690" s="1066"/>
      <c r="I3690" s="1063"/>
      <c r="J3690" s="1063"/>
      <c r="K3690" s="1063"/>
      <c r="L3690" s="1063"/>
    </row>
    <row r="3691" spans="5:12" x14ac:dyDescent="0.2">
      <c r="E3691" s="1063"/>
      <c r="H3691" s="1066"/>
      <c r="I3691" s="1063"/>
      <c r="J3691" s="1063"/>
      <c r="K3691" s="1063"/>
      <c r="L3691" s="1063"/>
    </row>
    <row r="3692" spans="5:12" x14ac:dyDescent="0.2">
      <c r="E3692" s="1063"/>
      <c r="H3692" s="1066"/>
      <c r="I3692" s="1063"/>
      <c r="J3692" s="1063"/>
      <c r="K3692" s="1063"/>
      <c r="L3692" s="1063"/>
    </row>
    <row r="3693" spans="5:12" x14ac:dyDescent="0.2">
      <c r="E3693" s="1063"/>
      <c r="H3693" s="1066"/>
      <c r="I3693" s="1063"/>
      <c r="J3693" s="1063"/>
      <c r="K3693" s="1063"/>
      <c r="L3693" s="1063"/>
    </row>
    <row r="3694" spans="5:12" x14ac:dyDescent="0.2">
      <c r="E3694" s="1063"/>
      <c r="H3694" s="1066"/>
      <c r="I3694" s="1063"/>
      <c r="J3694" s="1063"/>
      <c r="K3694" s="1063"/>
      <c r="L3694" s="1063"/>
    </row>
    <row r="3695" spans="5:12" x14ac:dyDescent="0.2">
      <c r="E3695" s="1063"/>
      <c r="H3695" s="1066"/>
      <c r="I3695" s="1063"/>
      <c r="J3695" s="1063"/>
      <c r="K3695" s="1063"/>
      <c r="L3695" s="1063"/>
    </row>
    <row r="3696" spans="5:12" x14ac:dyDescent="0.2">
      <c r="E3696" s="1063"/>
      <c r="H3696" s="1066"/>
      <c r="I3696" s="1063"/>
      <c r="J3696" s="1063"/>
      <c r="K3696" s="1063"/>
      <c r="L3696" s="1063"/>
    </row>
    <row r="3697" spans="5:12" x14ac:dyDescent="0.2">
      <c r="E3697" s="1063"/>
      <c r="H3697" s="1066"/>
      <c r="I3697" s="1063"/>
      <c r="J3697" s="1063"/>
      <c r="K3697" s="1063"/>
      <c r="L3697" s="1063"/>
    </row>
    <row r="3698" spans="5:12" x14ac:dyDescent="0.2">
      <c r="E3698" s="1063"/>
      <c r="H3698" s="1066"/>
      <c r="I3698" s="1063"/>
      <c r="J3698" s="1063"/>
      <c r="K3698" s="1063"/>
      <c r="L3698" s="1063"/>
    </row>
    <row r="3699" spans="5:12" x14ac:dyDescent="0.2">
      <c r="E3699" s="1063"/>
      <c r="H3699" s="1066"/>
      <c r="I3699" s="1063"/>
      <c r="J3699" s="1063"/>
      <c r="K3699" s="1063"/>
      <c r="L3699" s="1063"/>
    </row>
    <row r="3700" spans="5:12" x14ac:dyDescent="0.2">
      <c r="E3700" s="1063"/>
      <c r="H3700" s="1066"/>
      <c r="I3700" s="1063"/>
      <c r="J3700" s="1063"/>
      <c r="K3700" s="1063"/>
      <c r="L3700" s="1063"/>
    </row>
    <row r="3701" spans="5:12" x14ac:dyDescent="0.2">
      <c r="E3701" s="1063"/>
      <c r="H3701" s="1066"/>
      <c r="I3701" s="1063"/>
      <c r="J3701" s="1063"/>
      <c r="K3701" s="1063"/>
      <c r="L3701" s="1063"/>
    </row>
    <row r="3702" spans="5:12" x14ac:dyDescent="0.2">
      <c r="E3702" s="1063"/>
      <c r="H3702" s="1066"/>
      <c r="I3702" s="1063"/>
      <c r="J3702" s="1063"/>
      <c r="K3702" s="1063"/>
      <c r="L3702" s="1063"/>
    </row>
    <row r="3703" spans="5:12" x14ac:dyDescent="0.2">
      <c r="E3703" s="1063"/>
      <c r="H3703" s="1066"/>
      <c r="I3703" s="1063"/>
      <c r="J3703" s="1063"/>
      <c r="K3703" s="1063"/>
      <c r="L3703" s="1063"/>
    </row>
    <row r="3704" spans="5:12" x14ac:dyDescent="0.2">
      <c r="E3704" s="1063"/>
      <c r="H3704" s="1066"/>
      <c r="I3704" s="1063"/>
      <c r="J3704" s="1063"/>
      <c r="K3704" s="1063"/>
      <c r="L3704" s="1063"/>
    </row>
    <row r="3705" spans="5:12" x14ac:dyDescent="0.2">
      <c r="E3705" s="1063"/>
      <c r="H3705" s="1066"/>
      <c r="I3705" s="1063"/>
      <c r="J3705" s="1063"/>
      <c r="K3705" s="1063"/>
      <c r="L3705" s="1063"/>
    </row>
    <row r="3706" spans="5:12" x14ac:dyDescent="0.2">
      <c r="E3706" s="1063"/>
      <c r="H3706" s="1066"/>
      <c r="I3706" s="1063"/>
      <c r="J3706" s="1063"/>
      <c r="K3706" s="1063"/>
      <c r="L3706" s="1063"/>
    </row>
    <row r="3707" spans="5:12" x14ac:dyDescent="0.2">
      <c r="E3707" s="1063"/>
      <c r="H3707" s="1066"/>
      <c r="I3707" s="1063"/>
      <c r="J3707" s="1063"/>
      <c r="K3707" s="1063"/>
      <c r="L3707" s="1063"/>
    </row>
    <row r="3708" spans="5:12" x14ac:dyDescent="0.2">
      <c r="E3708" s="1063"/>
      <c r="H3708" s="1066"/>
      <c r="I3708" s="1063"/>
      <c r="J3708" s="1063"/>
      <c r="K3708" s="1063"/>
      <c r="L3708" s="1063"/>
    </row>
    <row r="3709" spans="5:12" x14ac:dyDescent="0.2">
      <c r="E3709" s="1063"/>
      <c r="H3709" s="1066"/>
      <c r="I3709" s="1063"/>
      <c r="J3709" s="1063"/>
      <c r="K3709" s="1063"/>
      <c r="L3709" s="1063"/>
    </row>
    <row r="3710" spans="5:12" x14ac:dyDescent="0.2">
      <c r="E3710" s="1063"/>
      <c r="H3710" s="1066"/>
      <c r="I3710" s="1063"/>
      <c r="J3710" s="1063"/>
      <c r="K3710" s="1063"/>
      <c r="L3710" s="1063"/>
    </row>
    <row r="3711" spans="5:12" x14ac:dyDescent="0.2">
      <c r="E3711" s="1063"/>
      <c r="H3711" s="1066"/>
      <c r="I3711" s="1063"/>
      <c r="J3711" s="1063"/>
      <c r="K3711" s="1063"/>
      <c r="L3711" s="1063"/>
    </row>
    <row r="3712" spans="5:12" x14ac:dyDescent="0.2">
      <c r="E3712" s="1063"/>
      <c r="H3712" s="1066"/>
      <c r="I3712" s="1063"/>
      <c r="J3712" s="1063"/>
      <c r="K3712" s="1063"/>
      <c r="L3712" s="1063"/>
    </row>
    <row r="3713" spans="5:12" x14ac:dyDescent="0.2">
      <c r="E3713" s="1063"/>
      <c r="H3713" s="1066"/>
      <c r="I3713" s="1063"/>
      <c r="J3713" s="1063"/>
      <c r="K3713" s="1063"/>
      <c r="L3713" s="1063"/>
    </row>
    <row r="3714" spans="5:12" x14ac:dyDescent="0.2">
      <c r="E3714" s="1063"/>
      <c r="H3714" s="1066"/>
      <c r="I3714" s="1063"/>
      <c r="J3714" s="1063"/>
      <c r="K3714" s="1063"/>
      <c r="L3714" s="1063"/>
    </row>
    <row r="3715" spans="5:12" x14ac:dyDescent="0.2">
      <c r="E3715" s="1063"/>
      <c r="H3715" s="1066"/>
      <c r="I3715" s="1063"/>
      <c r="J3715" s="1063"/>
      <c r="K3715" s="1063"/>
      <c r="L3715" s="1063"/>
    </row>
    <row r="3716" spans="5:12" x14ac:dyDescent="0.2">
      <c r="E3716" s="1063"/>
      <c r="H3716" s="1066"/>
      <c r="I3716" s="1063"/>
      <c r="J3716" s="1063"/>
      <c r="K3716" s="1063"/>
      <c r="L3716" s="1063"/>
    </row>
    <row r="3717" spans="5:12" x14ac:dyDescent="0.2">
      <c r="E3717" s="1063"/>
      <c r="H3717" s="1066"/>
      <c r="I3717" s="1063"/>
      <c r="J3717" s="1063"/>
      <c r="K3717" s="1063"/>
      <c r="L3717" s="1063"/>
    </row>
    <row r="3718" spans="5:12" x14ac:dyDescent="0.2">
      <c r="E3718" s="1063"/>
      <c r="H3718" s="1066"/>
      <c r="I3718" s="1063"/>
      <c r="J3718" s="1063"/>
      <c r="K3718" s="1063"/>
      <c r="L3718" s="1063"/>
    </row>
    <row r="3719" spans="5:12" x14ac:dyDescent="0.2">
      <c r="E3719" s="1063"/>
      <c r="H3719" s="1066"/>
      <c r="I3719" s="1063"/>
      <c r="J3719" s="1063"/>
      <c r="K3719" s="1063"/>
      <c r="L3719" s="1063"/>
    </row>
    <row r="3720" spans="5:12" x14ac:dyDescent="0.2">
      <c r="E3720" s="1063"/>
      <c r="H3720" s="1066"/>
      <c r="I3720" s="1063"/>
      <c r="J3720" s="1063"/>
      <c r="K3720" s="1063"/>
      <c r="L3720" s="1063"/>
    </row>
    <row r="3721" spans="5:12" x14ac:dyDescent="0.2">
      <c r="E3721" s="1063"/>
      <c r="H3721" s="1066"/>
      <c r="I3721" s="1063"/>
      <c r="J3721" s="1063"/>
      <c r="K3721" s="1063"/>
      <c r="L3721" s="1063"/>
    </row>
    <row r="3722" spans="5:12" x14ac:dyDescent="0.2">
      <c r="E3722" s="1063"/>
      <c r="H3722" s="1066"/>
      <c r="I3722" s="1063"/>
      <c r="J3722" s="1063"/>
      <c r="K3722" s="1063"/>
      <c r="L3722" s="1063"/>
    </row>
    <row r="3723" spans="5:12" x14ac:dyDescent="0.2">
      <c r="E3723" s="1063"/>
      <c r="H3723" s="1066"/>
      <c r="I3723" s="1063"/>
      <c r="J3723" s="1063"/>
      <c r="K3723" s="1063"/>
      <c r="L3723" s="1063"/>
    </row>
    <row r="3724" spans="5:12" x14ac:dyDescent="0.2">
      <c r="E3724" s="1063"/>
      <c r="H3724" s="1066"/>
      <c r="I3724" s="1063"/>
      <c r="J3724" s="1063"/>
      <c r="K3724" s="1063"/>
      <c r="L3724" s="1063"/>
    </row>
    <row r="3725" spans="5:12" x14ac:dyDescent="0.2">
      <c r="E3725" s="1063"/>
      <c r="H3725" s="1066"/>
      <c r="I3725" s="1063"/>
      <c r="J3725" s="1063"/>
      <c r="K3725" s="1063"/>
      <c r="L3725" s="1063"/>
    </row>
    <row r="3726" spans="5:12" x14ac:dyDescent="0.2">
      <c r="E3726" s="1063"/>
      <c r="H3726" s="1066"/>
      <c r="I3726" s="1063"/>
      <c r="J3726" s="1063"/>
      <c r="K3726" s="1063"/>
      <c r="L3726" s="1063"/>
    </row>
    <row r="3727" spans="5:12" x14ac:dyDescent="0.2">
      <c r="E3727" s="1063"/>
      <c r="H3727" s="1066"/>
      <c r="I3727" s="1063"/>
      <c r="J3727" s="1063"/>
      <c r="K3727" s="1063"/>
      <c r="L3727" s="1063"/>
    </row>
    <row r="3728" spans="5:12" x14ac:dyDescent="0.2">
      <c r="E3728" s="1063"/>
      <c r="H3728" s="1066"/>
      <c r="I3728" s="1063"/>
      <c r="J3728" s="1063"/>
      <c r="K3728" s="1063"/>
      <c r="L3728" s="1063"/>
    </row>
    <row r="3729" spans="5:12" x14ac:dyDescent="0.2">
      <c r="E3729" s="1063"/>
      <c r="H3729" s="1066"/>
      <c r="I3729" s="1063"/>
      <c r="J3729" s="1063"/>
      <c r="K3729" s="1063"/>
      <c r="L3729" s="1063"/>
    </row>
    <row r="3730" spans="5:12" x14ac:dyDescent="0.2">
      <c r="E3730" s="1063"/>
      <c r="H3730" s="1066"/>
      <c r="I3730" s="1063"/>
      <c r="J3730" s="1063"/>
      <c r="K3730" s="1063"/>
      <c r="L3730" s="1063"/>
    </row>
    <row r="3731" spans="5:12" x14ac:dyDescent="0.2">
      <c r="E3731" s="1063"/>
      <c r="H3731" s="1066"/>
      <c r="I3731" s="1063"/>
      <c r="J3731" s="1063"/>
      <c r="K3731" s="1063"/>
      <c r="L3731" s="1063"/>
    </row>
    <row r="3732" spans="5:12" x14ac:dyDescent="0.2">
      <c r="E3732" s="1063"/>
      <c r="H3732" s="1066"/>
      <c r="I3732" s="1063"/>
      <c r="J3732" s="1063"/>
      <c r="K3732" s="1063"/>
      <c r="L3732" s="1063"/>
    </row>
    <row r="3733" spans="5:12" x14ac:dyDescent="0.2">
      <c r="E3733" s="1063"/>
      <c r="H3733" s="1066"/>
      <c r="I3733" s="1063"/>
      <c r="J3733" s="1063"/>
      <c r="K3733" s="1063"/>
      <c r="L3733" s="1063"/>
    </row>
    <row r="3734" spans="5:12" x14ac:dyDescent="0.2">
      <c r="E3734" s="1063"/>
      <c r="H3734" s="1066"/>
      <c r="I3734" s="1063"/>
      <c r="J3734" s="1063"/>
      <c r="K3734" s="1063"/>
      <c r="L3734" s="1063"/>
    </row>
    <row r="3735" spans="5:12" x14ac:dyDescent="0.2">
      <c r="E3735" s="1063"/>
      <c r="H3735" s="1066"/>
      <c r="I3735" s="1063"/>
      <c r="J3735" s="1063"/>
      <c r="K3735" s="1063"/>
      <c r="L3735" s="1063"/>
    </row>
    <row r="3736" spans="5:12" x14ac:dyDescent="0.2">
      <c r="E3736" s="1063"/>
      <c r="H3736" s="1066"/>
      <c r="I3736" s="1063"/>
      <c r="J3736" s="1063"/>
      <c r="K3736" s="1063"/>
      <c r="L3736" s="1063"/>
    </row>
    <row r="3737" spans="5:12" x14ac:dyDescent="0.2">
      <c r="E3737" s="1063"/>
      <c r="H3737" s="1066"/>
      <c r="I3737" s="1063"/>
      <c r="J3737" s="1063"/>
      <c r="K3737" s="1063"/>
      <c r="L3737" s="1063"/>
    </row>
    <row r="3738" spans="5:12" x14ac:dyDescent="0.2">
      <c r="E3738" s="1063"/>
      <c r="H3738" s="1066"/>
      <c r="I3738" s="1063"/>
      <c r="J3738" s="1063"/>
      <c r="K3738" s="1063"/>
      <c r="L3738" s="1063"/>
    </row>
    <row r="3739" spans="5:12" x14ac:dyDescent="0.2">
      <c r="E3739" s="1063"/>
      <c r="H3739" s="1066"/>
      <c r="I3739" s="1063"/>
      <c r="J3739" s="1063"/>
      <c r="K3739" s="1063"/>
      <c r="L3739" s="1063"/>
    </row>
    <row r="3740" spans="5:12" x14ac:dyDescent="0.2">
      <c r="E3740" s="1063"/>
      <c r="H3740" s="1066"/>
      <c r="I3740" s="1063"/>
      <c r="J3740" s="1063"/>
      <c r="K3740" s="1063"/>
      <c r="L3740" s="1063"/>
    </row>
    <row r="3741" spans="5:12" x14ac:dyDescent="0.2">
      <c r="E3741" s="1063"/>
      <c r="H3741" s="1066"/>
      <c r="I3741" s="1063"/>
      <c r="J3741" s="1063"/>
      <c r="K3741" s="1063"/>
      <c r="L3741" s="1063"/>
    </row>
    <row r="3742" spans="5:12" x14ac:dyDescent="0.2">
      <c r="E3742" s="1063"/>
      <c r="H3742" s="1066"/>
      <c r="I3742" s="1063"/>
      <c r="J3742" s="1063"/>
      <c r="K3742" s="1063"/>
      <c r="L3742" s="1063"/>
    </row>
    <row r="3743" spans="5:12" x14ac:dyDescent="0.2">
      <c r="E3743" s="1063"/>
      <c r="H3743" s="1066"/>
      <c r="I3743" s="1063"/>
      <c r="J3743" s="1063"/>
      <c r="K3743" s="1063"/>
      <c r="L3743" s="1063"/>
    </row>
    <row r="3744" spans="5:12" x14ac:dyDescent="0.2">
      <c r="E3744" s="1063"/>
      <c r="H3744" s="1066"/>
      <c r="I3744" s="1063"/>
      <c r="J3744" s="1063"/>
      <c r="K3744" s="1063"/>
      <c r="L3744" s="1063"/>
    </row>
    <row r="3745" spans="5:12" x14ac:dyDescent="0.2">
      <c r="E3745" s="1063"/>
      <c r="H3745" s="1066"/>
      <c r="I3745" s="1063"/>
      <c r="J3745" s="1063"/>
      <c r="K3745" s="1063"/>
      <c r="L3745" s="1063"/>
    </row>
    <row r="3746" spans="5:12" x14ac:dyDescent="0.2">
      <c r="E3746" s="1063"/>
      <c r="H3746" s="1066"/>
      <c r="I3746" s="1063"/>
      <c r="J3746" s="1063"/>
      <c r="K3746" s="1063"/>
      <c r="L3746" s="1063"/>
    </row>
    <row r="3747" spans="5:12" x14ac:dyDescent="0.2">
      <c r="E3747" s="1063"/>
      <c r="H3747" s="1066"/>
      <c r="I3747" s="1063"/>
      <c r="J3747" s="1063"/>
      <c r="K3747" s="1063"/>
      <c r="L3747" s="1063"/>
    </row>
    <row r="3748" spans="5:12" x14ac:dyDescent="0.2">
      <c r="E3748" s="1063"/>
      <c r="H3748" s="1066"/>
      <c r="I3748" s="1063"/>
      <c r="J3748" s="1063"/>
      <c r="K3748" s="1063"/>
      <c r="L3748" s="1063"/>
    </row>
    <row r="3749" spans="5:12" x14ac:dyDescent="0.2">
      <c r="E3749" s="1063"/>
      <c r="H3749" s="1066"/>
      <c r="I3749" s="1063"/>
      <c r="J3749" s="1063"/>
      <c r="K3749" s="1063"/>
      <c r="L3749" s="1063"/>
    </row>
    <row r="3750" spans="5:12" x14ac:dyDescent="0.2">
      <c r="E3750" s="1063"/>
      <c r="H3750" s="1066"/>
      <c r="I3750" s="1063"/>
      <c r="J3750" s="1063"/>
      <c r="K3750" s="1063"/>
      <c r="L3750" s="1063"/>
    </row>
    <row r="3751" spans="5:12" x14ac:dyDescent="0.2">
      <c r="E3751" s="1063"/>
      <c r="H3751" s="1066"/>
      <c r="I3751" s="1063"/>
      <c r="J3751" s="1063"/>
      <c r="K3751" s="1063"/>
      <c r="L3751" s="1063"/>
    </row>
    <row r="3752" spans="5:12" x14ac:dyDescent="0.2">
      <c r="E3752" s="1063"/>
      <c r="H3752" s="1066"/>
      <c r="I3752" s="1063"/>
      <c r="J3752" s="1063"/>
      <c r="K3752" s="1063"/>
      <c r="L3752" s="1063"/>
    </row>
    <row r="3753" spans="5:12" x14ac:dyDescent="0.2">
      <c r="E3753" s="1063"/>
      <c r="H3753" s="1066"/>
      <c r="I3753" s="1063"/>
      <c r="J3753" s="1063"/>
      <c r="K3753" s="1063"/>
      <c r="L3753" s="1063"/>
    </row>
    <row r="3754" spans="5:12" x14ac:dyDescent="0.2">
      <c r="E3754" s="1063"/>
      <c r="H3754" s="1066"/>
      <c r="I3754" s="1063"/>
      <c r="J3754" s="1063"/>
      <c r="K3754" s="1063"/>
      <c r="L3754" s="1063"/>
    </row>
    <row r="3755" spans="5:12" x14ac:dyDescent="0.2">
      <c r="E3755" s="1063"/>
      <c r="H3755" s="1066"/>
      <c r="I3755" s="1063"/>
      <c r="J3755" s="1063"/>
      <c r="K3755" s="1063"/>
      <c r="L3755" s="1063"/>
    </row>
    <row r="3756" spans="5:12" x14ac:dyDescent="0.2">
      <c r="E3756" s="1063"/>
      <c r="H3756" s="1066"/>
      <c r="I3756" s="1063"/>
      <c r="J3756" s="1063"/>
      <c r="K3756" s="1063"/>
      <c r="L3756" s="1063"/>
    </row>
    <row r="3757" spans="5:12" x14ac:dyDescent="0.2">
      <c r="E3757" s="1063"/>
      <c r="H3757" s="1066"/>
      <c r="I3757" s="1063"/>
      <c r="J3757" s="1063"/>
      <c r="K3757" s="1063"/>
      <c r="L3757" s="1063"/>
    </row>
    <row r="3758" spans="5:12" x14ac:dyDescent="0.2">
      <c r="E3758" s="1063"/>
      <c r="H3758" s="1066"/>
      <c r="I3758" s="1063"/>
      <c r="J3758" s="1063"/>
      <c r="K3758" s="1063"/>
      <c r="L3758" s="1063"/>
    </row>
    <row r="3759" spans="5:12" x14ac:dyDescent="0.2">
      <c r="E3759" s="1063"/>
      <c r="H3759" s="1066"/>
      <c r="I3759" s="1063"/>
      <c r="J3759" s="1063"/>
      <c r="K3759" s="1063"/>
      <c r="L3759" s="1063"/>
    </row>
    <row r="3760" spans="5:12" x14ac:dyDescent="0.2">
      <c r="E3760" s="1063"/>
      <c r="H3760" s="1066"/>
      <c r="I3760" s="1063"/>
      <c r="J3760" s="1063"/>
      <c r="K3760" s="1063"/>
      <c r="L3760" s="1063"/>
    </row>
    <row r="3761" spans="5:12" x14ac:dyDescent="0.2">
      <c r="E3761" s="1063"/>
      <c r="H3761" s="1066"/>
      <c r="I3761" s="1063"/>
      <c r="J3761" s="1063"/>
      <c r="K3761" s="1063"/>
      <c r="L3761" s="1063"/>
    </row>
    <row r="3762" spans="5:12" x14ac:dyDescent="0.2">
      <c r="E3762" s="1063"/>
      <c r="H3762" s="1066"/>
      <c r="I3762" s="1063"/>
      <c r="J3762" s="1063"/>
      <c r="K3762" s="1063"/>
      <c r="L3762" s="1063"/>
    </row>
    <row r="3763" spans="5:12" x14ac:dyDescent="0.2">
      <c r="E3763" s="1063"/>
      <c r="H3763" s="1066"/>
      <c r="I3763" s="1063"/>
      <c r="J3763" s="1063"/>
      <c r="K3763" s="1063"/>
      <c r="L3763" s="1063"/>
    </row>
    <row r="3764" spans="5:12" x14ac:dyDescent="0.2">
      <c r="E3764" s="1063"/>
      <c r="H3764" s="1066"/>
      <c r="I3764" s="1063"/>
      <c r="J3764" s="1063"/>
      <c r="K3764" s="1063"/>
      <c r="L3764" s="1063"/>
    </row>
    <row r="3765" spans="5:12" x14ac:dyDescent="0.2">
      <c r="E3765" s="1063"/>
      <c r="H3765" s="1066"/>
      <c r="I3765" s="1063"/>
      <c r="J3765" s="1063"/>
      <c r="K3765" s="1063"/>
      <c r="L3765" s="1063"/>
    </row>
    <row r="3766" spans="5:12" x14ac:dyDescent="0.2">
      <c r="E3766" s="1063"/>
      <c r="H3766" s="1066"/>
      <c r="I3766" s="1063"/>
      <c r="J3766" s="1063"/>
      <c r="K3766" s="1063"/>
      <c r="L3766" s="1063"/>
    </row>
    <row r="3767" spans="5:12" x14ac:dyDescent="0.2">
      <c r="E3767" s="1063"/>
      <c r="H3767" s="1066"/>
      <c r="I3767" s="1063"/>
      <c r="J3767" s="1063"/>
      <c r="K3767" s="1063"/>
      <c r="L3767" s="1063"/>
    </row>
    <row r="3768" spans="5:12" x14ac:dyDescent="0.2">
      <c r="E3768" s="1063"/>
      <c r="H3768" s="1066"/>
      <c r="I3768" s="1063"/>
      <c r="J3768" s="1063"/>
      <c r="K3768" s="1063"/>
      <c r="L3768" s="1063"/>
    </row>
    <row r="3769" spans="5:12" x14ac:dyDescent="0.2">
      <c r="E3769" s="1063"/>
      <c r="H3769" s="1066"/>
      <c r="I3769" s="1063"/>
      <c r="J3769" s="1063"/>
      <c r="K3769" s="1063"/>
      <c r="L3769" s="1063"/>
    </row>
    <row r="3770" spans="5:12" x14ac:dyDescent="0.2">
      <c r="E3770" s="1063"/>
      <c r="H3770" s="1066"/>
      <c r="I3770" s="1063"/>
      <c r="J3770" s="1063"/>
      <c r="K3770" s="1063"/>
      <c r="L3770" s="1063"/>
    </row>
    <row r="3771" spans="5:12" x14ac:dyDescent="0.2">
      <c r="E3771" s="1063"/>
      <c r="H3771" s="1066"/>
      <c r="I3771" s="1063"/>
      <c r="J3771" s="1063"/>
      <c r="K3771" s="1063"/>
      <c r="L3771" s="1063"/>
    </row>
    <row r="3772" spans="5:12" x14ac:dyDescent="0.2">
      <c r="E3772" s="1063"/>
      <c r="H3772" s="1066"/>
      <c r="I3772" s="1063"/>
      <c r="J3772" s="1063"/>
      <c r="K3772" s="1063"/>
      <c r="L3772" s="1063"/>
    </row>
    <row r="3773" spans="5:12" x14ac:dyDescent="0.2">
      <c r="E3773" s="1063"/>
      <c r="H3773" s="1066"/>
      <c r="I3773" s="1063"/>
      <c r="J3773" s="1063"/>
      <c r="K3773" s="1063"/>
      <c r="L3773" s="1063"/>
    </row>
    <row r="3774" spans="5:12" x14ac:dyDescent="0.2">
      <c r="E3774" s="1063"/>
      <c r="H3774" s="1066"/>
      <c r="I3774" s="1063"/>
      <c r="J3774" s="1063"/>
      <c r="K3774" s="1063"/>
      <c r="L3774" s="1063"/>
    </row>
    <row r="3775" spans="5:12" x14ac:dyDescent="0.2">
      <c r="E3775" s="1063"/>
      <c r="H3775" s="1066"/>
      <c r="I3775" s="1063"/>
      <c r="J3775" s="1063"/>
      <c r="K3775" s="1063"/>
      <c r="L3775" s="1063"/>
    </row>
    <row r="3776" spans="5:12" x14ac:dyDescent="0.2">
      <c r="E3776" s="1063"/>
      <c r="H3776" s="1066"/>
      <c r="I3776" s="1063"/>
      <c r="J3776" s="1063"/>
      <c r="K3776" s="1063"/>
      <c r="L3776" s="1063"/>
    </row>
    <row r="3777" spans="5:12" x14ac:dyDescent="0.2">
      <c r="E3777" s="1063"/>
      <c r="H3777" s="1066"/>
      <c r="I3777" s="1063"/>
      <c r="J3777" s="1063"/>
      <c r="K3777" s="1063"/>
      <c r="L3777" s="1063"/>
    </row>
    <row r="3778" spans="5:12" x14ac:dyDescent="0.2">
      <c r="E3778" s="1063"/>
      <c r="H3778" s="1066"/>
      <c r="I3778" s="1063"/>
      <c r="J3778" s="1063"/>
      <c r="K3778" s="1063"/>
      <c r="L3778" s="1063"/>
    </row>
    <row r="3779" spans="5:12" x14ac:dyDescent="0.2">
      <c r="E3779" s="1063"/>
      <c r="H3779" s="1066"/>
      <c r="I3779" s="1063"/>
      <c r="J3779" s="1063"/>
      <c r="K3779" s="1063"/>
      <c r="L3779" s="1063"/>
    </row>
    <row r="3780" spans="5:12" x14ac:dyDescent="0.2">
      <c r="E3780" s="1063"/>
      <c r="H3780" s="1066"/>
      <c r="I3780" s="1063"/>
      <c r="J3780" s="1063"/>
      <c r="K3780" s="1063"/>
      <c r="L3780" s="1063"/>
    </row>
    <row r="3781" spans="5:12" x14ac:dyDescent="0.2">
      <c r="E3781" s="1063"/>
      <c r="H3781" s="1066"/>
      <c r="I3781" s="1063"/>
      <c r="J3781" s="1063"/>
      <c r="K3781" s="1063"/>
      <c r="L3781" s="1063"/>
    </row>
    <row r="3782" spans="5:12" x14ac:dyDescent="0.2">
      <c r="E3782" s="1063"/>
      <c r="H3782" s="1066"/>
      <c r="I3782" s="1063"/>
      <c r="J3782" s="1063"/>
      <c r="K3782" s="1063"/>
      <c r="L3782" s="1063"/>
    </row>
    <row r="3783" spans="5:12" x14ac:dyDescent="0.2">
      <c r="E3783" s="1063"/>
      <c r="H3783" s="1066"/>
      <c r="I3783" s="1063"/>
      <c r="J3783" s="1063"/>
      <c r="K3783" s="1063"/>
      <c r="L3783" s="1063"/>
    </row>
    <row r="3784" spans="5:12" x14ac:dyDescent="0.2">
      <c r="E3784" s="1063"/>
      <c r="H3784" s="1066"/>
      <c r="I3784" s="1063"/>
      <c r="J3784" s="1063"/>
      <c r="K3784" s="1063"/>
      <c r="L3784" s="1063"/>
    </row>
    <row r="3785" spans="5:12" x14ac:dyDescent="0.2">
      <c r="E3785" s="1063"/>
      <c r="H3785" s="1066"/>
      <c r="I3785" s="1063"/>
      <c r="J3785" s="1063"/>
      <c r="K3785" s="1063"/>
      <c r="L3785" s="1063"/>
    </row>
    <row r="3786" spans="5:12" x14ac:dyDescent="0.2">
      <c r="E3786" s="1063"/>
      <c r="H3786" s="1066"/>
      <c r="I3786" s="1063"/>
      <c r="J3786" s="1063"/>
      <c r="K3786" s="1063"/>
      <c r="L3786" s="1063"/>
    </row>
    <row r="3787" spans="5:12" x14ac:dyDescent="0.2">
      <c r="E3787" s="1063"/>
      <c r="H3787" s="1066"/>
      <c r="I3787" s="1063"/>
      <c r="J3787" s="1063"/>
      <c r="K3787" s="1063"/>
      <c r="L3787" s="1063"/>
    </row>
    <row r="3788" spans="5:12" x14ac:dyDescent="0.2">
      <c r="E3788" s="1063"/>
      <c r="H3788" s="1066"/>
      <c r="I3788" s="1063"/>
      <c r="J3788" s="1063"/>
      <c r="K3788" s="1063"/>
      <c r="L3788" s="1063"/>
    </row>
    <row r="3789" spans="5:12" x14ac:dyDescent="0.2">
      <c r="E3789" s="1063"/>
      <c r="H3789" s="1066"/>
      <c r="I3789" s="1063"/>
      <c r="J3789" s="1063"/>
      <c r="K3789" s="1063"/>
      <c r="L3789" s="1063"/>
    </row>
    <row r="3790" spans="5:12" x14ac:dyDescent="0.2">
      <c r="E3790" s="1063"/>
      <c r="H3790" s="1066"/>
      <c r="I3790" s="1063"/>
      <c r="J3790" s="1063"/>
      <c r="K3790" s="1063"/>
      <c r="L3790" s="1063"/>
    </row>
    <row r="3791" spans="5:12" x14ac:dyDescent="0.2">
      <c r="E3791" s="1063"/>
      <c r="H3791" s="1066"/>
      <c r="I3791" s="1063"/>
      <c r="J3791" s="1063"/>
      <c r="K3791" s="1063"/>
      <c r="L3791" s="1063"/>
    </row>
    <row r="3792" spans="5:12" x14ac:dyDescent="0.2">
      <c r="E3792" s="1063"/>
      <c r="H3792" s="1066"/>
      <c r="I3792" s="1063"/>
      <c r="J3792" s="1063"/>
      <c r="K3792" s="1063"/>
      <c r="L3792" s="1063"/>
    </row>
    <row r="3793" spans="5:12" x14ac:dyDescent="0.2">
      <c r="E3793" s="1063"/>
      <c r="H3793" s="1066"/>
      <c r="I3793" s="1063"/>
      <c r="J3793" s="1063"/>
      <c r="K3793" s="1063"/>
      <c r="L3793" s="1063"/>
    </row>
    <row r="3794" spans="5:12" x14ac:dyDescent="0.2">
      <c r="E3794" s="1063"/>
      <c r="H3794" s="1066"/>
      <c r="I3794" s="1063"/>
      <c r="J3794" s="1063"/>
      <c r="K3794" s="1063"/>
      <c r="L3794" s="1063"/>
    </row>
    <row r="3795" spans="5:12" x14ac:dyDescent="0.2">
      <c r="E3795" s="1063"/>
      <c r="H3795" s="1066"/>
      <c r="I3795" s="1063"/>
      <c r="J3795" s="1063"/>
      <c r="K3795" s="1063"/>
      <c r="L3795" s="1063"/>
    </row>
    <row r="3796" spans="5:12" x14ac:dyDescent="0.2">
      <c r="E3796" s="1063"/>
      <c r="H3796" s="1066"/>
      <c r="I3796" s="1063"/>
      <c r="J3796" s="1063"/>
      <c r="K3796" s="1063"/>
      <c r="L3796" s="1063"/>
    </row>
    <row r="3797" spans="5:12" x14ac:dyDescent="0.2">
      <c r="E3797" s="1063"/>
      <c r="H3797" s="1066"/>
      <c r="I3797" s="1063"/>
      <c r="J3797" s="1063"/>
      <c r="K3797" s="1063"/>
      <c r="L3797" s="1063"/>
    </row>
    <row r="3798" spans="5:12" x14ac:dyDescent="0.2">
      <c r="E3798" s="1063"/>
      <c r="H3798" s="1066"/>
      <c r="I3798" s="1063"/>
      <c r="J3798" s="1063"/>
      <c r="K3798" s="1063"/>
      <c r="L3798" s="1063"/>
    </row>
    <row r="3799" spans="5:12" x14ac:dyDescent="0.2">
      <c r="E3799" s="1063"/>
      <c r="H3799" s="1066"/>
      <c r="I3799" s="1063"/>
      <c r="J3799" s="1063"/>
      <c r="K3799" s="1063"/>
      <c r="L3799" s="1063"/>
    </row>
    <row r="3800" spans="5:12" x14ac:dyDescent="0.2">
      <c r="E3800" s="1063"/>
      <c r="H3800" s="1066"/>
      <c r="I3800" s="1063"/>
      <c r="J3800" s="1063"/>
      <c r="K3800" s="1063"/>
      <c r="L3800" s="1063"/>
    </row>
    <row r="3801" spans="5:12" x14ac:dyDescent="0.2">
      <c r="E3801" s="1063"/>
      <c r="H3801" s="1066"/>
      <c r="I3801" s="1063"/>
      <c r="J3801" s="1063"/>
      <c r="K3801" s="1063"/>
      <c r="L3801" s="1063"/>
    </row>
    <row r="3802" spans="5:12" x14ac:dyDescent="0.2">
      <c r="E3802" s="1063"/>
      <c r="H3802" s="1066"/>
      <c r="I3802" s="1063"/>
      <c r="J3802" s="1063"/>
      <c r="K3802" s="1063"/>
      <c r="L3802" s="1063"/>
    </row>
    <row r="3803" spans="5:12" x14ac:dyDescent="0.2">
      <c r="E3803" s="1063"/>
      <c r="H3803" s="1066"/>
      <c r="I3803" s="1063"/>
      <c r="J3803" s="1063"/>
      <c r="K3803" s="1063"/>
      <c r="L3803" s="1063"/>
    </row>
    <row r="3804" spans="5:12" x14ac:dyDescent="0.2">
      <c r="E3804" s="1063"/>
      <c r="H3804" s="1066"/>
      <c r="I3804" s="1063"/>
      <c r="J3804" s="1063"/>
      <c r="K3804" s="1063"/>
      <c r="L3804" s="1063"/>
    </row>
    <row r="3805" spans="5:12" x14ac:dyDescent="0.2">
      <c r="E3805" s="1063"/>
      <c r="H3805" s="1066"/>
      <c r="I3805" s="1063"/>
      <c r="J3805" s="1063"/>
      <c r="K3805" s="1063"/>
      <c r="L3805" s="1063"/>
    </row>
    <row r="3806" spans="5:12" x14ac:dyDescent="0.2">
      <c r="E3806" s="1063"/>
      <c r="H3806" s="1066"/>
      <c r="I3806" s="1063"/>
      <c r="J3806" s="1063"/>
      <c r="K3806" s="1063"/>
      <c r="L3806" s="1063"/>
    </row>
    <row r="3807" spans="5:12" x14ac:dyDescent="0.2">
      <c r="E3807" s="1063"/>
      <c r="H3807" s="1066"/>
      <c r="I3807" s="1063"/>
      <c r="J3807" s="1063"/>
      <c r="K3807" s="1063"/>
      <c r="L3807" s="1063"/>
    </row>
    <row r="3808" spans="5:12" x14ac:dyDescent="0.2">
      <c r="E3808" s="1063"/>
      <c r="H3808" s="1066"/>
      <c r="I3808" s="1063"/>
      <c r="J3808" s="1063"/>
      <c r="K3808" s="1063"/>
      <c r="L3808" s="1063"/>
    </row>
    <row r="3809" spans="5:12" x14ac:dyDescent="0.2">
      <c r="E3809" s="1063"/>
      <c r="H3809" s="1066"/>
      <c r="I3809" s="1063"/>
      <c r="J3809" s="1063"/>
      <c r="K3809" s="1063"/>
      <c r="L3809" s="1063"/>
    </row>
    <row r="3810" spans="5:12" x14ac:dyDescent="0.2">
      <c r="E3810" s="1063"/>
      <c r="H3810" s="1066"/>
      <c r="I3810" s="1063"/>
      <c r="J3810" s="1063"/>
      <c r="K3810" s="1063"/>
      <c r="L3810" s="1063"/>
    </row>
    <row r="3811" spans="5:12" x14ac:dyDescent="0.2">
      <c r="E3811" s="1063"/>
      <c r="H3811" s="1066"/>
      <c r="I3811" s="1063"/>
      <c r="J3811" s="1063"/>
      <c r="K3811" s="1063"/>
      <c r="L3811" s="1063"/>
    </row>
    <row r="3812" spans="5:12" x14ac:dyDescent="0.2">
      <c r="E3812" s="1063"/>
      <c r="H3812" s="1066"/>
      <c r="I3812" s="1063"/>
      <c r="J3812" s="1063"/>
      <c r="K3812" s="1063"/>
      <c r="L3812" s="1063"/>
    </row>
    <row r="3813" spans="5:12" x14ac:dyDescent="0.2">
      <c r="E3813" s="1063"/>
      <c r="H3813" s="1066"/>
      <c r="I3813" s="1063"/>
      <c r="J3813" s="1063"/>
      <c r="K3813" s="1063"/>
      <c r="L3813" s="1063"/>
    </row>
    <row r="3814" spans="5:12" x14ac:dyDescent="0.2">
      <c r="E3814" s="1063"/>
      <c r="H3814" s="1066"/>
      <c r="I3814" s="1063"/>
      <c r="J3814" s="1063"/>
      <c r="K3814" s="1063"/>
      <c r="L3814" s="1063"/>
    </row>
    <row r="3815" spans="5:12" x14ac:dyDescent="0.2">
      <c r="E3815" s="1063"/>
      <c r="H3815" s="1066"/>
      <c r="I3815" s="1063"/>
      <c r="J3815" s="1063"/>
      <c r="K3815" s="1063"/>
      <c r="L3815" s="1063"/>
    </row>
    <row r="3816" spans="5:12" x14ac:dyDescent="0.2">
      <c r="E3816" s="1063"/>
      <c r="H3816" s="1066"/>
      <c r="I3816" s="1063"/>
      <c r="J3816" s="1063"/>
      <c r="K3816" s="1063"/>
      <c r="L3816" s="1063"/>
    </row>
    <row r="3817" spans="5:12" x14ac:dyDescent="0.2">
      <c r="E3817" s="1063"/>
      <c r="H3817" s="1066"/>
      <c r="I3817" s="1063"/>
      <c r="J3817" s="1063"/>
      <c r="K3817" s="1063"/>
      <c r="L3817" s="1063"/>
    </row>
    <row r="3818" spans="5:12" x14ac:dyDescent="0.2">
      <c r="E3818" s="1063"/>
      <c r="H3818" s="1066"/>
      <c r="I3818" s="1063"/>
      <c r="J3818" s="1063"/>
      <c r="K3818" s="1063"/>
      <c r="L3818" s="1063"/>
    </row>
    <row r="3819" spans="5:12" x14ac:dyDescent="0.2">
      <c r="E3819" s="1063"/>
      <c r="H3819" s="1066"/>
      <c r="I3819" s="1063"/>
      <c r="J3819" s="1063"/>
      <c r="K3819" s="1063"/>
      <c r="L3819" s="1063"/>
    </row>
    <row r="3820" spans="5:12" x14ac:dyDescent="0.2">
      <c r="E3820" s="1063"/>
      <c r="H3820" s="1066"/>
      <c r="I3820" s="1063"/>
      <c r="J3820" s="1063"/>
      <c r="K3820" s="1063"/>
      <c r="L3820" s="1063"/>
    </row>
    <row r="3821" spans="5:12" x14ac:dyDescent="0.2">
      <c r="E3821" s="1063"/>
      <c r="H3821" s="1066"/>
      <c r="I3821" s="1063"/>
      <c r="J3821" s="1063"/>
      <c r="K3821" s="1063"/>
      <c r="L3821" s="1063"/>
    </row>
    <row r="3822" spans="5:12" x14ac:dyDescent="0.2">
      <c r="E3822" s="1063"/>
      <c r="H3822" s="1066"/>
      <c r="I3822" s="1063"/>
      <c r="J3822" s="1063"/>
      <c r="K3822" s="1063"/>
      <c r="L3822" s="1063"/>
    </row>
    <row r="3823" spans="5:12" x14ac:dyDescent="0.2">
      <c r="E3823" s="1063"/>
      <c r="H3823" s="1066"/>
      <c r="I3823" s="1063"/>
      <c r="J3823" s="1063"/>
      <c r="K3823" s="1063"/>
      <c r="L3823" s="1063"/>
    </row>
    <row r="3824" spans="5:12" x14ac:dyDescent="0.2">
      <c r="E3824" s="1063"/>
      <c r="H3824" s="1066"/>
      <c r="I3824" s="1063"/>
      <c r="J3824" s="1063"/>
      <c r="K3824" s="1063"/>
      <c r="L3824" s="1063"/>
    </row>
    <row r="3825" spans="5:12" x14ac:dyDescent="0.2">
      <c r="E3825" s="1063"/>
      <c r="H3825" s="1066"/>
      <c r="I3825" s="1063"/>
      <c r="J3825" s="1063"/>
      <c r="K3825" s="1063"/>
      <c r="L3825" s="1063"/>
    </row>
    <row r="3826" spans="5:12" x14ac:dyDescent="0.2">
      <c r="E3826" s="1063"/>
      <c r="H3826" s="1066"/>
      <c r="I3826" s="1063"/>
      <c r="J3826" s="1063"/>
      <c r="K3826" s="1063"/>
      <c r="L3826" s="1063"/>
    </row>
    <row r="3827" spans="5:12" x14ac:dyDescent="0.2">
      <c r="E3827" s="1063"/>
      <c r="H3827" s="1066"/>
      <c r="I3827" s="1063"/>
      <c r="J3827" s="1063"/>
      <c r="K3827" s="1063"/>
      <c r="L3827" s="1063"/>
    </row>
    <row r="3828" spans="5:12" x14ac:dyDescent="0.2">
      <c r="E3828" s="1063"/>
      <c r="H3828" s="1066"/>
      <c r="I3828" s="1063"/>
      <c r="J3828" s="1063"/>
      <c r="K3828" s="1063"/>
      <c r="L3828" s="1063"/>
    </row>
    <row r="3829" spans="5:12" x14ac:dyDescent="0.2">
      <c r="E3829" s="1063"/>
      <c r="H3829" s="1066"/>
      <c r="I3829" s="1063"/>
      <c r="J3829" s="1063"/>
      <c r="K3829" s="1063"/>
      <c r="L3829" s="1063"/>
    </row>
    <row r="3830" spans="5:12" x14ac:dyDescent="0.2">
      <c r="E3830" s="1063"/>
      <c r="H3830" s="1066"/>
      <c r="I3830" s="1063"/>
      <c r="J3830" s="1063"/>
      <c r="K3830" s="1063"/>
      <c r="L3830" s="1063"/>
    </row>
    <row r="3831" spans="5:12" x14ac:dyDescent="0.2">
      <c r="E3831" s="1063"/>
      <c r="H3831" s="1066"/>
      <c r="I3831" s="1063"/>
      <c r="J3831" s="1063"/>
      <c r="K3831" s="1063"/>
      <c r="L3831" s="1063"/>
    </row>
    <row r="3832" spans="5:12" x14ac:dyDescent="0.2">
      <c r="E3832" s="1063"/>
      <c r="H3832" s="1066"/>
      <c r="I3832" s="1063"/>
      <c r="J3832" s="1063"/>
      <c r="K3832" s="1063"/>
      <c r="L3832" s="1063"/>
    </row>
    <row r="3833" spans="5:12" x14ac:dyDescent="0.2">
      <c r="E3833" s="1063"/>
      <c r="H3833" s="1066"/>
      <c r="I3833" s="1063"/>
      <c r="J3833" s="1063"/>
      <c r="K3833" s="1063"/>
      <c r="L3833" s="1063"/>
    </row>
    <row r="3834" spans="5:12" x14ac:dyDescent="0.2">
      <c r="E3834" s="1063"/>
      <c r="H3834" s="1066"/>
      <c r="I3834" s="1063"/>
      <c r="J3834" s="1063"/>
      <c r="K3834" s="1063"/>
      <c r="L3834" s="1063"/>
    </row>
    <row r="3835" spans="5:12" x14ac:dyDescent="0.2">
      <c r="E3835" s="1063"/>
      <c r="H3835" s="1066"/>
      <c r="I3835" s="1063"/>
      <c r="J3835" s="1063"/>
      <c r="K3835" s="1063"/>
      <c r="L3835" s="1063"/>
    </row>
    <row r="3836" spans="5:12" x14ac:dyDescent="0.2">
      <c r="E3836" s="1063"/>
      <c r="H3836" s="1066"/>
      <c r="I3836" s="1063"/>
      <c r="J3836" s="1063"/>
      <c r="K3836" s="1063"/>
      <c r="L3836" s="1063"/>
    </row>
    <row r="3837" spans="5:12" x14ac:dyDescent="0.2">
      <c r="E3837" s="1063"/>
      <c r="H3837" s="1066"/>
      <c r="I3837" s="1063"/>
      <c r="J3837" s="1063"/>
      <c r="K3837" s="1063"/>
      <c r="L3837" s="1063"/>
    </row>
    <row r="3838" spans="5:12" x14ac:dyDescent="0.2">
      <c r="E3838" s="1063"/>
      <c r="H3838" s="1066"/>
      <c r="I3838" s="1063"/>
      <c r="J3838" s="1063"/>
      <c r="K3838" s="1063"/>
      <c r="L3838" s="1063"/>
    </row>
    <row r="3839" spans="5:12" x14ac:dyDescent="0.2">
      <c r="E3839" s="1063"/>
      <c r="H3839" s="1066"/>
      <c r="I3839" s="1063"/>
      <c r="J3839" s="1063"/>
      <c r="K3839" s="1063"/>
      <c r="L3839" s="1063"/>
    </row>
    <row r="3840" spans="5:12" x14ac:dyDescent="0.2">
      <c r="E3840" s="1063"/>
      <c r="H3840" s="1066"/>
      <c r="I3840" s="1063"/>
      <c r="J3840" s="1063"/>
      <c r="K3840" s="1063"/>
      <c r="L3840" s="1063"/>
    </row>
    <row r="3841" spans="5:12" x14ac:dyDescent="0.2">
      <c r="E3841" s="1063"/>
      <c r="H3841" s="1066"/>
      <c r="I3841" s="1063"/>
      <c r="J3841" s="1063"/>
      <c r="K3841" s="1063"/>
      <c r="L3841" s="1063"/>
    </row>
    <row r="3842" spans="5:12" x14ac:dyDescent="0.2">
      <c r="E3842" s="1063"/>
      <c r="H3842" s="1066"/>
      <c r="I3842" s="1063"/>
      <c r="J3842" s="1063"/>
      <c r="K3842" s="1063"/>
      <c r="L3842" s="1063"/>
    </row>
    <row r="3843" spans="5:12" x14ac:dyDescent="0.2">
      <c r="E3843" s="1063"/>
      <c r="H3843" s="1066"/>
      <c r="I3843" s="1063"/>
      <c r="J3843" s="1063"/>
      <c r="K3843" s="1063"/>
      <c r="L3843" s="1063"/>
    </row>
    <row r="3844" spans="5:12" x14ac:dyDescent="0.2">
      <c r="E3844" s="1063"/>
      <c r="H3844" s="1066"/>
      <c r="I3844" s="1063"/>
      <c r="J3844" s="1063"/>
      <c r="K3844" s="1063"/>
      <c r="L3844" s="1063"/>
    </row>
    <row r="3845" spans="5:12" x14ac:dyDescent="0.2">
      <c r="E3845" s="1063"/>
      <c r="H3845" s="1066"/>
      <c r="I3845" s="1063"/>
      <c r="J3845" s="1063"/>
      <c r="K3845" s="1063"/>
      <c r="L3845" s="1063"/>
    </row>
    <row r="3846" spans="5:12" x14ac:dyDescent="0.2">
      <c r="E3846" s="1063"/>
      <c r="H3846" s="1066"/>
      <c r="I3846" s="1063"/>
      <c r="J3846" s="1063"/>
      <c r="K3846" s="1063"/>
      <c r="L3846" s="1063"/>
    </row>
    <row r="3847" spans="5:12" x14ac:dyDescent="0.2">
      <c r="E3847" s="1063"/>
      <c r="H3847" s="1066"/>
      <c r="I3847" s="1063"/>
      <c r="J3847" s="1063"/>
      <c r="K3847" s="1063"/>
      <c r="L3847" s="1063"/>
    </row>
    <row r="3848" spans="5:12" x14ac:dyDescent="0.2">
      <c r="E3848" s="1063"/>
      <c r="H3848" s="1066"/>
      <c r="I3848" s="1063"/>
      <c r="J3848" s="1063"/>
      <c r="K3848" s="1063"/>
      <c r="L3848" s="1063"/>
    </row>
    <row r="3849" spans="5:12" x14ac:dyDescent="0.2">
      <c r="E3849" s="1063"/>
      <c r="H3849" s="1066"/>
      <c r="I3849" s="1063"/>
      <c r="J3849" s="1063"/>
      <c r="K3849" s="1063"/>
      <c r="L3849" s="1063"/>
    </row>
    <row r="3850" spans="5:12" x14ac:dyDescent="0.2">
      <c r="E3850" s="1063"/>
      <c r="H3850" s="1066"/>
      <c r="I3850" s="1063"/>
      <c r="J3850" s="1063"/>
      <c r="K3850" s="1063"/>
      <c r="L3850" s="1063"/>
    </row>
    <row r="3851" spans="5:12" x14ac:dyDescent="0.2">
      <c r="E3851" s="1063"/>
      <c r="H3851" s="1066"/>
      <c r="I3851" s="1063"/>
      <c r="J3851" s="1063"/>
      <c r="K3851" s="1063"/>
      <c r="L3851" s="1063"/>
    </row>
    <row r="3852" spans="5:12" x14ac:dyDescent="0.2">
      <c r="E3852" s="1063"/>
      <c r="H3852" s="1066"/>
      <c r="I3852" s="1063"/>
      <c r="J3852" s="1063"/>
      <c r="K3852" s="1063"/>
      <c r="L3852" s="1063"/>
    </row>
    <row r="3853" spans="5:12" x14ac:dyDescent="0.2">
      <c r="E3853" s="1063"/>
      <c r="H3853" s="1066"/>
      <c r="I3853" s="1063"/>
      <c r="J3853" s="1063"/>
      <c r="K3853" s="1063"/>
      <c r="L3853" s="1063"/>
    </row>
    <row r="3854" spans="5:12" x14ac:dyDescent="0.2">
      <c r="E3854" s="1063"/>
      <c r="H3854" s="1066"/>
      <c r="I3854" s="1063"/>
      <c r="J3854" s="1063"/>
      <c r="K3854" s="1063"/>
      <c r="L3854" s="1063"/>
    </row>
    <row r="3855" spans="5:12" x14ac:dyDescent="0.2">
      <c r="E3855" s="1063"/>
      <c r="H3855" s="1066"/>
      <c r="I3855" s="1063"/>
      <c r="J3855" s="1063"/>
      <c r="K3855" s="1063"/>
      <c r="L3855" s="1063"/>
    </row>
    <row r="3856" spans="5:12" x14ac:dyDescent="0.2">
      <c r="E3856" s="1063"/>
      <c r="H3856" s="1066"/>
      <c r="I3856" s="1063"/>
      <c r="J3856" s="1063"/>
      <c r="K3856" s="1063"/>
      <c r="L3856" s="1063"/>
    </row>
    <row r="3857" spans="5:12" x14ac:dyDescent="0.2">
      <c r="E3857" s="1063"/>
      <c r="H3857" s="1066"/>
      <c r="I3857" s="1063"/>
      <c r="J3857" s="1063"/>
      <c r="K3857" s="1063"/>
      <c r="L3857" s="1063"/>
    </row>
    <row r="3858" spans="5:12" x14ac:dyDescent="0.2">
      <c r="E3858" s="1063"/>
      <c r="H3858" s="1066"/>
      <c r="I3858" s="1063"/>
      <c r="J3858" s="1063"/>
      <c r="K3858" s="1063"/>
      <c r="L3858" s="1063"/>
    </row>
    <row r="3859" spans="5:12" x14ac:dyDescent="0.2">
      <c r="E3859" s="1063"/>
      <c r="H3859" s="1066"/>
      <c r="I3859" s="1063"/>
      <c r="J3859" s="1063"/>
      <c r="K3859" s="1063"/>
      <c r="L3859" s="1063"/>
    </row>
    <row r="3860" spans="5:12" x14ac:dyDescent="0.2">
      <c r="E3860" s="1063"/>
      <c r="H3860" s="1066"/>
      <c r="I3860" s="1063"/>
      <c r="J3860" s="1063"/>
      <c r="K3860" s="1063"/>
      <c r="L3860" s="1063"/>
    </row>
    <row r="3861" spans="5:12" x14ac:dyDescent="0.2">
      <c r="E3861" s="1063"/>
      <c r="H3861" s="1066"/>
      <c r="I3861" s="1063"/>
      <c r="J3861" s="1063"/>
      <c r="K3861" s="1063"/>
      <c r="L3861" s="1063"/>
    </row>
    <row r="3862" spans="5:12" x14ac:dyDescent="0.2">
      <c r="E3862" s="1063"/>
      <c r="H3862" s="1066"/>
      <c r="I3862" s="1063"/>
      <c r="J3862" s="1063"/>
      <c r="K3862" s="1063"/>
      <c r="L3862" s="1063"/>
    </row>
    <row r="3863" spans="5:12" x14ac:dyDescent="0.2">
      <c r="E3863" s="1063"/>
      <c r="H3863" s="1066"/>
      <c r="I3863" s="1063"/>
      <c r="J3863" s="1063"/>
      <c r="K3863" s="1063"/>
      <c r="L3863" s="1063"/>
    </row>
    <row r="3864" spans="5:12" x14ac:dyDescent="0.2">
      <c r="E3864" s="1063"/>
      <c r="H3864" s="1066"/>
      <c r="I3864" s="1063"/>
      <c r="J3864" s="1063"/>
      <c r="K3864" s="1063"/>
      <c r="L3864" s="1063"/>
    </row>
    <row r="3865" spans="5:12" x14ac:dyDescent="0.2">
      <c r="E3865" s="1063"/>
      <c r="H3865" s="1066"/>
      <c r="I3865" s="1063"/>
      <c r="J3865" s="1063"/>
      <c r="K3865" s="1063"/>
      <c r="L3865" s="1063"/>
    </row>
    <row r="3866" spans="5:12" x14ac:dyDescent="0.2">
      <c r="E3866" s="1063"/>
      <c r="H3866" s="1066"/>
      <c r="I3866" s="1063"/>
      <c r="J3866" s="1063"/>
      <c r="K3866" s="1063"/>
      <c r="L3866" s="1063"/>
    </row>
    <row r="3867" spans="5:12" x14ac:dyDescent="0.2">
      <c r="E3867" s="1063"/>
      <c r="H3867" s="1066"/>
      <c r="I3867" s="1063"/>
      <c r="J3867" s="1063"/>
      <c r="K3867" s="1063"/>
      <c r="L3867" s="1063"/>
    </row>
    <row r="3868" spans="5:12" x14ac:dyDescent="0.2">
      <c r="E3868" s="1063"/>
      <c r="H3868" s="1066"/>
      <c r="I3868" s="1063"/>
      <c r="J3868" s="1063"/>
      <c r="K3868" s="1063"/>
      <c r="L3868" s="1063"/>
    </row>
    <row r="3869" spans="5:12" x14ac:dyDescent="0.2">
      <c r="E3869" s="1063"/>
      <c r="H3869" s="1066"/>
      <c r="I3869" s="1063"/>
      <c r="J3869" s="1063"/>
      <c r="K3869" s="1063"/>
      <c r="L3869" s="1063"/>
    </row>
    <row r="3870" spans="5:12" x14ac:dyDescent="0.2">
      <c r="E3870" s="1063"/>
      <c r="H3870" s="1066"/>
      <c r="I3870" s="1063"/>
      <c r="J3870" s="1063"/>
      <c r="K3870" s="1063"/>
      <c r="L3870" s="1063"/>
    </row>
    <row r="3871" spans="5:12" x14ac:dyDescent="0.2">
      <c r="E3871" s="1063"/>
      <c r="H3871" s="1066"/>
      <c r="I3871" s="1063"/>
      <c r="J3871" s="1063"/>
      <c r="K3871" s="1063"/>
      <c r="L3871" s="1063"/>
    </row>
    <row r="3872" spans="5:12" x14ac:dyDescent="0.2">
      <c r="E3872" s="1063"/>
      <c r="H3872" s="1066"/>
      <c r="I3872" s="1063"/>
      <c r="J3872" s="1063"/>
      <c r="K3872" s="1063"/>
      <c r="L3872" s="1063"/>
    </row>
    <row r="3873" spans="5:12" x14ac:dyDescent="0.2">
      <c r="E3873" s="1063"/>
      <c r="H3873" s="1066"/>
      <c r="I3873" s="1063"/>
      <c r="J3873" s="1063"/>
      <c r="K3873" s="1063"/>
      <c r="L3873" s="1063"/>
    </row>
    <row r="3874" spans="5:12" x14ac:dyDescent="0.2">
      <c r="E3874" s="1063"/>
      <c r="H3874" s="1066"/>
      <c r="I3874" s="1063"/>
      <c r="J3874" s="1063"/>
      <c r="K3874" s="1063"/>
      <c r="L3874" s="1063"/>
    </row>
    <row r="3875" spans="5:12" x14ac:dyDescent="0.2">
      <c r="E3875" s="1063"/>
      <c r="H3875" s="1066"/>
      <c r="I3875" s="1063"/>
      <c r="J3875" s="1063"/>
      <c r="K3875" s="1063"/>
      <c r="L3875" s="1063"/>
    </row>
    <row r="3876" spans="5:12" x14ac:dyDescent="0.2">
      <c r="E3876" s="1063"/>
      <c r="H3876" s="1066"/>
      <c r="I3876" s="1063"/>
      <c r="J3876" s="1063"/>
      <c r="K3876" s="1063"/>
      <c r="L3876" s="1063"/>
    </row>
    <row r="3877" spans="5:12" x14ac:dyDescent="0.2">
      <c r="E3877" s="1063"/>
      <c r="H3877" s="1066"/>
      <c r="I3877" s="1063"/>
      <c r="J3877" s="1063"/>
      <c r="K3877" s="1063"/>
      <c r="L3877" s="1063"/>
    </row>
    <row r="3878" spans="5:12" x14ac:dyDescent="0.2">
      <c r="E3878" s="1063"/>
      <c r="H3878" s="1066"/>
      <c r="I3878" s="1063"/>
      <c r="J3878" s="1063"/>
      <c r="K3878" s="1063"/>
      <c r="L3878" s="1063"/>
    </row>
    <row r="3879" spans="5:12" x14ac:dyDescent="0.2">
      <c r="E3879" s="1063"/>
      <c r="H3879" s="1066"/>
      <c r="I3879" s="1063"/>
      <c r="J3879" s="1063"/>
      <c r="K3879" s="1063"/>
      <c r="L3879" s="1063"/>
    </row>
    <row r="3880" spans="5:12" x14ac:dyDescent="0.2">
      <c r="E3880" s="1063"/>
      <c r="H3880" s="1066"/>
      <c r="I3880" s="1063"/>
      <c r="J3880" s="1063"/>
      <c r="K3880" s="1063"/>
      <c r="L3880" s="1063"/>
    </row>
    <row r="3881" spans="5:12" x14ac:dyDescent="0.2">
      <c r="E3881" s="1063"/>
      <c r="H3881" s="1066"/>
      <c r="I3881" s="1063"/>
      <c r="J3881" s="1063"/>
      <c r="K3881" s="1063"/>
      <c r="L3881" s="1063"/>
    </row>
    <row r="3882" spans="5:12" x14ac:dyDescent="0.2">
      <c r="E3882" s="1063"/>
      <c r="H3882" s="1066"/>
      <c r="I3882" s="1063"/>
      <c r="J3882" s="1063"/>
      <c r="K3882" s="1063"/>
      <c r="L3882" s="1063"/>
    </row>
    <row r="3883" spans="5:12" x14ac:dyDescent="0.2">
      <c r="E3883" s="1063"/>
      <c r="H3883" s="1066"/>
      <c r="I3883" s="1063"/>
      <c r="J3883" s="1063"/>
      <c r="K3883" s="1063"/>
      <c r="L3883" s="1063"/>
    </row>
    <row r="3884" spans="5:12" x14ac:dyDescent="0.2">
      <c r="E3884" s="1063"/>
      <c r="H3884" s="1066"/>
      <c r="I3884" s="1063"/>
      <c r="J3884" s="1063"/>
      <c r="K3884" s="1063"/>
      <c r="L3884" s="1063"/>
    </row>
    <row r="3885" spans="5:12" x14ac:dyDescent="0.2">
      <c r="E3885" s="1063"/>
      <c r="H3885" s="1066"/>
      <c r="I3885" s="1063"/>
      <c r="J3885" s="1063"/>
      <c r="K3885" s="1063"/>
      <c r="L3885" s="1063"/>
    </row>
    <row r="3886" spans="5:12" x14ac:dyDescent="0.2">
      <c r="E3886" s="1063"/>
      <c r="H3886" s="1066"/>
      <c r="I3886" s="1063"/>
      <c r="J3886" s="1063"/>
      <c r="K3886" s="1063"/>
      <c r="L3886" s="1063"/>
    </row>
    <row r="3887" spans="5:12" x14ac:dyDescent="0.2">
      <c r="E3887" s="1063"/>
      <c r="H3887" s="1066"/>
      <c r="I3887" s="1063"/>
      <c r="J3887" s="1063"/>
      <c r="K3887" s="1063"/>
      <c r="L3887" s="1063"/>
    </row>
    <row r="3888" spans="5:12" x14ac:dyDescent="0.2">
      <c r="E3888" s="1063"/>
      <c r="H3888" s="1066"/>
      <c r="I3888" s="1063"/>
      <c r="J3888" s="1063"/>
      <c r="K3888" s="1063"/>
      <c r="L3888" s="1063"/>
    </row>
    <row r="3889" spans="5:12" x14ac:dyDescent="0.2">
      <c r="E3889" s="1063"/>
      <c r="H3889" s="1066"/>
      <c r="I3889" s="1063"/>
      <c r="J3889" s="1063"/>
      <c r="K3889" s="1063"/>
      <c r="L3889" s="1063"/>
    </row>
    <row r="3890" spans="5:12" x14ac:dyDescent="0.2">
      <c r="E3890" s="1063"/>
      <c r="H3890" s="1066"/>
      <c r="I3890" s="1063"/>
      <c r="J3890" s="1063"/>
      <c r="K3890" s="1063"/>
      <c r="L3890" s="1063"/>
    </row>
    <row r="3891" spans="5:12" x14ac:dyDescent="0.2">
      <c r="E3891" s="1063"/>
      <c r="H3891" s="1066"/>
      <c r="I3891" s="1063"/>
      <c r="J3891" s="1063"/>
      <c r="K3891" s="1063"/>
      <c r="L3891" s="1063"/>
    </row>
    <row r="3892" spans="5:12" x14ac:dyDescent="0.2">
      <c r="E3892" s="1063"/>
      <c r="H3892" s="1066"/>
      <c r="I3892" s="1063"/>
      <c r="J3892" s="1063"/>
      <c r="K3892" s="1063"/>
      <c r="L3892" s="1063"/>
    </row>
    <row r="3893" spans="5:12" x14ac:dyDescent="0.2">
      <c r="E3893" s="1063"/>
      <c r="H3893" s="1066"/>
      <c r="I3893" s="1063"/>
      <c r="J3893" s="1063"/>
      <c r="K3893" s="1063"/>
      <c r="L3893" s="1063"/>
    </row>
    <row r="3894" spans="5:12" x14ac:dyDescent="0.2">
      <c r="E3894" s="1063"/>
      <c r="H3894" s="1066"/>
      <c r="I3894" s="1063"/>
      <c r="J3894" s="1063"/>
      <c r="K3894" s="1063"/>
      <c r="L3894" s="1063"/>
    </row>
    <row r="3895" spans="5:12" x14ac:dyDescent="0.2">
      <c r="E3895" s="1063"/>
      <c r="H3895" s="1066"/>
      <c r="I3895" s="1063"/>
      <c r="J3895" s="1063"/>
      <c r="K3895" s="1063"/>
      <c r="L3895" s="1063"/>
    </row>
    <row r="3896" spans="5:12" x14ac:dyDescent="0.2">
      <c r="E3896" s="1063"/>
      <c r="H3896" s="1066"/>
      <c r="I3896" s="1063"/>
      <c r="J3896" s="1063"/>
      <c r="K3896" s="1063"/>
      <c r="L3896" s="1063"/>
    </row>
    <row r="3897" spans="5:12" x14ac:dyDescent="0.2">
      <c r="E3897" s="1063"/>
      <c r="H3897" s="1066"/>
      <c r="I3897" s="1063"/>
      <c r="J3897" s="1063"/>
      <c r="K3897" s="1063"/>
      <c r="L3897" s="1063"/>
    </row>
    <row r="3898" spans="5:12" x14ac:dyDescent="0.2">
      <c r="E3898" s="1063"/>
      <c r="H3898" s="1066"/>
      <c r="I3898" s="1063"/>
      <c r="J3898" s="1063"/>
      <c r="K3898" s="1063"/>
      <c r="L3898" s="1063"/>
    </row>
    <row r="3899" spans="5:12" x14ac:dyDescent="0.2">
      <c r="E3899" s="1063"/>
      <c r="H3899" s="1066"/>
      <c r="I3899" s="1063"/>
      <c r="J3899" s="1063"/>
      <c r="K3899" s="1063"/>
      <c r="L3899" s="1063"/>
    </row>
    <row r="3900" spans="5:12" x14ac:dyDescent="0.2">
      <c r="E3900" s="1063"/>
      <c r="H3900" s="1066"/>
      <c r="I3900" s="1063"/>
      <c r="J3900" s="1063"/>
      <c r="K3900" s="1063"/>
      <c r="L3900" s="1063"/>
    </row>
    <row r="3901" spans="5:12" x14ac:dyDescent="0.2">
      <c r="E3901" s="1063"/>
      <c r="H3901" s="1066"/>
      <c r="I3901" s="1063"/>
      <c r="J3901" s="1063"/>
      <c r="K3901" s="1063"/>
      <c r="L3901" s="1063"/>
    </row>
    <row r="3902" spans="5:12" x14ac:dyDescent="0.2">
      <c r="E3902" s="1063"/>
      <c r="H3902" s="1066"/>
      <c r="I3902" s="1063"/>
      <c r="J3902" s="1063"/>
      <c r="K3902" s="1063"/>
      <c r="L3902" s="1063"/>
    </row>
    <row r="3903" spans="5:12" x14ac:dyDescent="0.2">
      <c r="E3903" s="1063"/>
      <c r="H3903" s="1066"/>
      <c r="I3903" s="1063"/>
      <c r="J3903" s="1063"/>
      <c r="K3903" s="1063"/>
      <c r="L3903" s="1063"/>
    </row>
    <row r="3904" spans="5:12" x14ac:dyDescent="0.2">
      <c r="E3904" s="1063"/>
      <c r="H3904" s="1066"/>
      <c r="I3904" s="1063"/>
      <c r="J3904" s="1063"/>
      <c r="K3904" s="1063"/>
      <c r="L3904" s="1063"/>
    </row>
    <row r="3905" spans="5:12" x14ac:dyDescent="0.2">
      <c r="E3905" s="1063"/>
      <c r="H3905" s="1066"/>
      <c r="I3905" s="1063"/>
      <c r="J3905" s="1063"/>
      <c r="K3905" s="1063"/>
      <c r="L3905" s="1063"/>
    </row>
    <row r="3906" spans="5:12" x14ac:dyDescent="0.2">
      <c r="E3906" s="1063"/>
      <c r="H3906" s="1066"/>
      <c r="I3906" s="1063"/>
      <c r="J3906" s="1063"/>
      <c r="K3906" s="1063"/>
      <c r="L3906" s="1063"/>
    </row>
    <row r="3907" spans="5:12" x14ac:dyDescent="0.2">
      <c r="E3907" s="1063"/>
      <c r="H3907" s="1066"/>
      <c r="I3907" s="1063"/>
      <c r="J3907" s="1063"/>
      <c r="K3907" s="1063"/>
      <c r="L3907" s="1063"/>
    </row>
    <row r="3908" spans="5:12" x14ac:dyDescent="0.2">
      <c r="E3908" s="1063"/>
      <c r="H3908" s="1066"/>
      <c r="I3908" s="1063"/>
      <c r="J3908" s="1063"/>
      <c r="K3908" s="1063"/>
      <c r="L3908" s="1063"/>
    </row>
    <row r="3909" spans="5:12" x14ac:dyDescent="0.2">
      <c r="E3909" s="1063"/>
      <c r="H3909" s="1066"/>
      <c r="I3909" s="1063"/>
      <c r="J3909" s="1063"/>
      <c r="K3909" s="1063"/>
      <c r="L3909" s="1063"/>
    </row>
    <row r="3910" spans="5:12" x14ac:dyDescent="0.2">
      <c r="E3910" s="1063"/>
      <c r="H3910" s="1066"/>
      <c r="I3910" s="1063"/>
      <c r="J3910" s="1063"/>
      <c r="K3910" s="1063"/>
      <c r="L3910" s="1063"/>
    </row>
    <row r="3911" spans="5:12" x14ac:dyDescent="0.2">
      <c r="E3911" s="1063"/>
      <c r="H3911" s="1066"/>
      <c r="I3911" s="1063"/>
      <c r="J3911" s="1063"/>
      <c r="K3911" s="1063"/>
      <c r="L3911" s="1063"/>
    </row>
    <row r="3912" spans="5:12" x14ac:dyDescent="0.2">
      <c r="E3912" s="1063"/>
      <c r="H3912" s="1066"/>
      <c r="I3912" s="1063"/>
      <c r="J3912" s="1063"/>
      <c r="K3912" s="1063"/>
      <c r="L3912" s="1063"/>
    </row>
    <row r="3913" spans="5:12" x14ac:dyDescent="0.2">
      <c r="E3913" s="1063"/>
      <c r="H3913" s="1066"/>
      <c r="I3913" s="1063"/>
      <c r="J3913" s="1063"/>
      <c r="K3913" s="1063"/>
      <c r="L3913" s="1063"/>
    </row>
    <row r="3914" spans="5:12" x14ac:dyDescent="0.2">
      <c r="E3914" s="1063"/>
      <c r="H3914" s="1066"/>
      <c r="I3914" s="1063"/>
      <c r="J3914" s="1063"/>
      <c r="K3914" s="1063"/>
      <c r="L3914" s="1063"/>
    </row>
    <row r="3915" spans="5:12" x14ac:dyDescent="0.2">
      <c r="E3915" s="1063"/>
      <c r="H3915" s="1066"/>
      <c r="I3915" s="1063"/>
      <c r="J3915" s="1063"/>
      <c r="K3915" s="1063"/>
      <c r="L3915" s="1063"/>
    </row>
    <row r="3916" spans="5:12" x14ac:dyDescent="0.2">
      <c r="E3916" s="1063"/>
      <c r="H3916" s="1066"/>
      <c r="I3916" s="1063"/>
      <c r="J3916" s="1063"/>
      <c r="K3916" s="1063"/>
      <c r="L3916" s="1063"/>
    </row>
    <row r="3917" spans="5:12" x14ac:dyDescent="0.2">
      <c r="E3917" s="1063"/>
      <c r="H3917" s="1066"/>
      <c r="I3917" s="1063"/>
      <c r="J3917" s="1063"/>
      <c r="K3917" s="1063"/>
      <c r="L3917" s="1063"/>
    </row>
    <row r="3918" spans="5:12" x14ac:dyDescent="0.2">
      <c r="E3918" s="1063"/>
      <c r="H3918" s="1066"/>
      <c r="I3918" s="1063"/>
      <c r="J3918" s="1063"/>
      <c r="K3918" s="1063"/>
      <c r="L3918" s="1063"/>
    </row>
    <row r="3919" spans="5:12" x14ac:dyDescent="0.2">
      <c r="E3919" s="1063"/>
      <c r="H3919" s="1066"/>
      <c r="I3919" s="1063"/>
      <c r="J3919" s="1063"/>
      <c r="K3919" s="1063"/>
      <c r="L3919" s="1063"/>
    </row>
    <row r="3920" spans="5:12" x14ac:dyDescent="0.2">
      <c r="E3920" s="1063"/>
      <c r="H3920" s="1066"/>
      <c r="I3920" s="1063"/>
      <c r="J3920" s="1063"/>
      <c r="K3920" s="1063"/>
      <c r="L3920" s="1063"/>
    </row>
    <row r="3921" spans="5:12" x14ac:dyDescent="0.2">
      <c r="E3921" s="1063"/>
      <c r="H3921" s="1066"/>
      <c r="I3921" s="1063"/>
      <c r="J3921" s="1063"/>
      <c r="K3921" s="1063"/>
      <c r="L3921" s="1063"/>
    </row>
    <row r="3922" spans="5:12" x14ac:dyDescent="0.2">
      <c r="E3922" s="1063"/>
      <c r="H3922" s="1066"/>
      <c r="I3922" s="1063"/>
      <c r="J3922" s="1063"/>
      <c r="K3922" s="1063"/>
      <c r="L3922" s="1063"/>
    </row>
    <row r="3923" spans="5:12" x14ac:dyDescent="0.2">
      <c r="E3923" s="1063"/>
      <c r="H3923" s="1066"/>
      <c r="I3923" s="1063"/>
      <c r="J3923" s="1063"/>
      <c r="K3923" s="1063"/>
      <c r="L3923" s="1063"/>
    </row>
    <row r="3924" spans="5:12" x14ac:dyDescent="0.2">
      <c r="E3924" s="1063"/>
      <c r="H3924" s="1066"/>
      <c r="I3924" s="1063"/>
      <c r="J3924" s="1063"/>
      <c r="K3924" s="1063"/>
      <c r="L3924" s="1063"/>
    </row>
    <row r="3925" spans="5:12" x14ac:dyDescent="0.2">
      <c r="E3925" s="1063"/>
      <c r="H3925" s="1066"/>
      <c r="I3925" s="1063"/>
      <c r="J3925" s="1063"/>
      <c r="K3925" s="1063"/>
      <c r="L3925" s="1063"/>
    </row>
    <row r="3926" spans="5:12" x14ac:dyDescent="0.2">
      <c r="E3926" s="1063"/>
      <c r="H3926" s="1066"/>
      <c r="I3926" s="1063"/>
      <c r="J3926" s="1063"/>
      <c r="K3926" s="1063"/>
      <c r="L3926" s="1063"/>
    </row>
    <row r="3927" spans="5:12" x14ac:dyDescent="0.2">
      <c r="E3927" s="1063"/>
      <c r="H3927" s="1066"/>
      <c r="I3927" s="1063"/>
      <c r="J3927" s="1063"/>
      <c r="K3927" s="1063"/>
      <c r="L3927" s="1063"/>
    </row>
    <row r="3928" spans="5:12" x14ac:dyDescent="0.2">
      <c r="E3928" s="1063"/>
      <c r="H3928" s="1066"/>
      <c r="I3928" s="1063"/>
      <c r="J3928" s="1063"/>
      <c r="K3928" s="1063"/>
      <c r="L3928" s="1063"/>
    </row>
    <row r="3929" spans="5:12" x14ac:dyDescent="0.2">
      <c r="E3929" s="1063"/>
      <c r="H3929" s="1066"/>
      <c r="I3929" s="1063"/>
      <c r="J3929" s="1063"/>
      <c r="K3929" s="1063"/>
      <c r="L3929" s="1063"/>
    </row>
    <row r="3930" spans="5:12" x14ac:dyDescent="0.2">
      <c r="E3930" s="1063"/>
      <c r="H3930" s="1066"/>
      <c r="I3930" s="1063"/>
      <c r="J3930" s="1063"/>
      <c r="K3930" s="1063"/>
      <c r="L3930" s="1063"/>
    </row>
    <row r="3931" spans="5:12" x14ac:dyDescent="0.2">
      <c r="E3931" s="1063"/>
      <c r="H3931" s="1066"/>
      <c r="I3931" s="1063"/>
      <c r="J3931" s="1063"/>
      <c r="K3931" s="1063"/>
      <c r="L3931" s="1063"/>
    </row>
    <row r="3932" spans="5:12" x14ac:dyDescent="0.2">
      <c r="E3932" s="1063"/>
      <c r="H3932" s="1066"/>
      <c r="I3932" s="1063"/>
      <c r="J3932" s="1063"/>
      <c r="K3932" s="1063"/>
      <c r="L3932" s="1063"/>
    </row>
    <row r="3933" spans="5:12" x14ac:dyDescent="0.2">
      <c r="E3933" s="1063"/>
      <c r="H3933" s="1066"/>
      <c r="I3933" s="1063"/>
      <c r="J3933" s="1063"/>
      <c r="K3933" s="1063"/>
      <c r="L3933" s="1063"/>
    </row>
    <row r="3934" spans="5:12" x14ac:dyDescent="0.2">
      <c r="E3934" s="1063"/>
      <c r="H3934" s="1066"/>
      <c r="I3934" s="1063"/>
      <c r="J3934" s="1063"/>
      <c r="K3934" s="1063"/>
      <c r="L3934" s="1063"/>
    </row>
    <row r="3935" spans="5:12" x14ac:dyDescent="0.2">
      <c r="E3935" s="1063"/>
      <c r="H3935" s="1066"/>
      <c r="I3935" s="1063"/>
      <c r="J3935" s="1063"/>
      <c r="K3935" s="1063"/>
      <c r="L3935" s="1063"/>
    </row>
    <row r="3936" spans="5:12" x14ac:dyDescent="0.2">
      <c r="E3936" s="1063"/>
      <c r="H3936" s="1066"/>
      <c r="I3936" s="1063"/>
      <c r="J3936" s="1063"/>
      <c r="K3936" s="1063"/>
      <c r="L3936" s="1063"/>
    </row>
    <row r="3937" spans="5:12" x14ac:dyDescent="0.2">
      <c r="E3937" s="1063"/>
      <c r="H3937" s="1066"/>
      <c r="I3937" s="1063"/>
      <c r="J3937" s="1063"/>
      <c r="K3937" s="1063"/>
      <c r="L3937" s="1063"/>
    </row>
    <row r="3938" spans="5:12" x14ac:dyDescent="0.2">
      <c r="E3938" s="1063"/>
      <c r="H3938" s="1066"/>
      <c r="I3938" s="1063"/>
      <c r="J3938" s="1063"/>
      <c r="K3938" s="1063"/>
      <c r="L3938" s="1063"/>
    </row>
    <row r="3939" spans="5:12" x14ac:dyDescent="0.2">
      <c r="E3939" s="1063"/>
      <c r="H3939" s="1066"/>
      <c r="I3939" s="1063"/>
      <c r="J3939" s="1063"/>
      <c r="K3939" s="1063"/>
      <c r="L3939" s="1063"/>
    </row>
    <row r="3940" spans="5:12" x14ac:dyDescent="0.2">
      <c r="E3940" s="1063"/>
      <c r="H3940" s="1066"/>
      <c r="I3940" s="1063"/>
      <c r="J3940" s="1063"/>
      <c r="K3940" s="1063"/>
      <c r="L3940" s="1063"/>
    </row>
    <row r="3941" spans="5:12" x14ac:dyDescent="0.2">
      <c r="E3941" s="1063"/>
      <c r="H3941" s="1066"/>
      <c r="I3941" s="1063"/>
      <c r="J3941" s="1063"/>
      <c r="K3941" s="1063"/>
      <c r="L3941" s="1063"/>
    </row>
    <row r="3942" spans="5:12" x14ac:dyDescent="0.2">
      <c r="E3942" s="1063"/>
      <c r="H3942" s="1066"/>
      <c r="I3942" s="1063"/>
      <c r="J3942" s="1063"/>
      <c r="K3942" s="1063"/>
      <c r="L3942" s="1063"/>
    </row>
    <row r="3943" spans="5:12" x14ac:dyDescent="0.2">
      <c r="E3943" s="1063"/>
      <c r="H3943" s="1066"/>
      <c r="I3943" s="1063"/>
      <c r="J3943" s="1063"/>
      <c r="K3943" s="1063"/>
      <c r="L3943" s="1063"/>
    </row>
    <row r="3944" spans="5:12" x14ac:dyDescent="0.2">
      <c r="E3944" s="1063"/>
      <c r="H3944" s="1066"/>
      <c r="I3944" s="1063"/>
      <c r="J3944" s="1063"/>
      <c r="K3944" s="1063"/>
      <c r="L3944" s="1063"/>
    </row>
    <row r="3945" spans="5:12" x14ac:dyDescent="0.2">
      <c r="E3945" s="1063"/>
      <c r="H3945" s="1066"/>
      <c r="I3945" s="1063"/>
      <c r="J3945" s="1063"/>
      <c r="K3945" s="1063"/>
      <c r="L3945" s="1063"/>
    </row>
    <row r="3946" spans="5:12" x14ac:dyDescent="0.2">
      <c r="E3946" s="1063"/>
      <c r="H3946" s="1066"/>
      <c r="I3946" s="1063"/>
      <c r="J3946" s="1063"/>
      <c r="K3946" s="1063"/>
      <c r="L3946" s="1063"/>
    </row>
    <row r="3947" spans="5:12" x14ac:dyDescent="0.2">
      <c r="E3947" s="1063"/>
      <c r="H3947" s="1066"/>
      <c r="I3947" s="1063"/>
      <c r="J3947" s="1063"/>
      <c r="K3947" s="1063"/>
      <c r="L3947" s="1063"/>
    </row>
    <row r="3948" spans="5:12" x14ac:dyDescent="0.2">
      <c r="E3948" s="1063"/>
      <c r="H3948" s="1066"/>
      <c r="I3948" s="1063"/>
      <c r="J3948" s="1063"/>
      <c r="K3948" s="1063"/>
      <c r="L3948" s="1063"/>
    </row>
    <row r="3949" spans="5:12" x14ac:dyDescent="0.2">
      <c r="E3949" s="1063"/>
      <c r="H3949" s="1066"/>
      <c r="I3949" s="1063"/>
      <c r="J3949" s="1063"/>
      <c r="K3949" s="1063"/>
      <c r="L3949" s="1063"/>
    </row>
    <row r="3950" spans="5:12" x14ac:dyDescent="0.2">
      <c r="E3950" s="1063"/>
      <c r="H3950" s="1066"/>
      <c r="I3950" s="1063"/>
      <c r="J3950" s="1063"/>
      <c r="K3950" s="1063"/>
      <c r="L3950" s="1063"/>
    </row>
    <row r="3951" spans="5:12" x14ac:dyDescent="0.2">
      <c r="E3951" s="1063"/>
      <c r="H3951" s="1066"/>
      <c r="I3951" s="1063"/>
      <c r="J3951" s="1063"/>
      <c r="K3951" s="1063"/>
      <c r="L3951" s="1063"/>
    </row>
    <row r="3952" spans="5:12" x14ac:dyDescent="0.2">
      <c r="E3952" s="1063"/>
      <c r="H3952" s="1066"/>
      <c r="I3952" s="1063"/>
      <c r="J3952" s="1063"/>
      <c r="K3952" s="1063"/>
      <c r="L3952" s="1063"/>
    </row>
    <row r="3953" spans="5:12" x14ac:dyDescent="0.2">
      <c r="E3953" s="1063"/>
      <c r="H3953" s="1066"/>
      <c r="I3953" s="1063"/>
      <c r="J3953" s="1063"/>
      <c r="K3953" s="1063"/>
      <c r="L3953" s="1063"/>
    </row>
    <row r="3954" spans="5:12" x14ac:dyDescent="0.2">
      <c r="E3954" s="1063"/>
      <c r="H3954" s="1066"/>
      <c r="I3954" s="1063"/>
      <c r="J3954" s="1063"/>
      <c r="K3954" s="1063"/>
      <c r="L3954" s="1063"/>
    </row>
    <row r="3955" spans="5:12" x14ac:dyDescent="0.2">
      <c r="E3955" s="1063"/>
      <c r="H3955" s="1066"/>
      <c r="I3955" s="1063"/>
      <c r="J3955" s="1063"/>
      <c r="K3955" s="1063"/>
      <c r="L3955" s="1063"/>
    </row>
    <row r="3956" spans="5:12" x14ac:dyDescent="0.2">
      <c r="E3956" s="1063"/>
      <c r="H3956" s="1066"/>
      <c r="I3956" s="1063"/>
      <c r="J3956" s="1063"/>
      <c r="K3956" s="1063"/>
      <c r="L3956" s="1063"/>
    </row>
    <row r="3957" spans="5:12" x14ac:dyDescent="0.2">
      <c r="E3957" s="1063"/>
      <c r="H3957" s="1066"/>
      <c r="I3957" s="1063"/>
      <c r="J3957" s="1063"/>
      <c r="K3957" s="1063"/>
      <c r="L3957" s="1063"/>
    </row>
    <row r="3958" spans="5:12" x14ac:dyDescent="0.2">
      <c r="E3958" s="1063"/>
      <c r="H3958" s="1066"/>
      <c r="I3958" s="1063"/>
      <c r="J3958" s="1063"/>
      <c r="K3958" s="1063"/>
      <c r="L3958" s="1063"/>
    </row>
    <row r="3959" spans="5:12" x14ac:dyDescent="0.2">
      <c r="E3959" s="1063"/>
      <c r="H3959" s="1066"/>
      <c r="I3959" s="1063"/>
      <c r="J3959" s="1063"/>
      <c r="K3959" s="1063"/>
      <c r="L3959" s="1063"/>
    </row>
    <row r="3960" spans="5:12" x14ac:dyDescent="0.2">
      <c r="E3960" s="1063"/>
      <c r="H3960" s="1066"/>
      <c r="I3960" s="1063"/>
      <c r="J3960" s="1063"/>
      <c r="K3960" s="1063"/>
      <c r="L3960" s="1063"/>
    </row>
    <row r="3961" spans="5:12" x14ac:dyDescent="0.2">
      <c r="E3961" s="1063"/>
      <c r="H3961" s="1066"/>
      <c r="I3961" s="1063"/>
      <c r="J3961" s="1063"/>
      <c r="K3961" s="1063"/>
      <c r="L3961" s="1063"/>
    </row>
    <row r="3962" spans="5:12" x14ac:dyDescent="0.2">
      <c r="E3962" s="1063"/>
      <c r="H3962" s="1066"/>
      <c r="I3962" s="1063"/>
      <c r="J3962" s="1063"/>
      <c r="K3962" s="1063"/>
      <c r="L3962" s="1063"/>
    </row>
    <row r="3963" spans="5:12" x14ac:dyDescent="0.2">
      <c r="E3963" s="1063"/>
      <c r="H3963" s="1066"/>
      <c r="I3963" s="1063"/>
      <c r="J3963" s="1063"/>
      <c r="K3963" s="1063"/>
      <c r="L3963" s="1063"/>
    </row>
    <row r="3964" spans="5:12" x14ac:dyDescent="0.2">
      <c r="E3964" s="1063"/>
      <c r="H3964" s="1066"/>
      <c r="I3964" s="1063"/>
      <c r="J3964" s="1063"/>
      <c r="K3964" s="1063"/>
      <c r="L3964" s="1063"/>
    </row>
    <row r="3965" spans="5:12" x14ac:dyDescent="0.2">
      <c r="E3965" s="1063"/>
      <c r="H3965" s="1066"/>
      <c r="I3965" s="1063"/>
      <c r="J3965" s="1063"/>
      <c r="K3965" s="1063"/>
      <c r="L3965" s="1063"/>
    </row>
    <row r="3966" spans="5:12" x14ac:dyDescent="0.2">
      <c r="E3966" s="1063"/>
      <c r="H3966" s="1066"/>
      <c r="I3966" s="1063"/>
      <c r="J3966" s="1063"/>
      <c r="K3966" s="1063"/>
      <c r="L3966" s="1063"/>
    </row>
    <row r="3967" spans="5:12" x14ac:dyDescent="0.2">
      <c r="E3967" s="1063"/>
      <c r="H3967" s="1066"/>
      <c r="I3967" s="1063"/>
      <c r="J3967" s="1063"/>
      <c r="K3967" s="1063"/>
      <c r="L3967" s="1063"/>
    </row>
    <row r="3968" spans="5:12" x14ac:dyDescent="0.2">
      <c r="E3968" s="1063"/>
      <c r="H3968" s="1066"/>
      <c r="I3968" s="1063"/>
      <c r="J3968" s="1063"/>
      <c r="K3968" s="1063"/>
      <c r="L3968" s="1063"/>
    </row>
    <row r="3969" spans="5:12" x14ac:dyDescent="0.2">
      <c r="E3969" s="1063"/>
      <c r="H3969" s="1066"/>
      <c r="I3969" s="1063"/>
      <c r="J3969" s="1063"/>
      <c r="K3969" s="1063"/>
      <c r="L3969" s="1063"/>
    </row>
    <row r="3970" spans="5:12" x14ac:dyDescent="0.2">
      <c r="E3970" s="1063"/>
      <c r="H3970" s="1066"/>
      <c r="I3970" s="1063"/>
      <c r="J3970" s="1063"/>
      <c r="K3970" s="1063"/>
      <c r="L3970" s="1063"/>
    </row>
    <row r="3971" spans="5:12" x14ac:dyDescent="0.2">
      <c r="E3971" s="1063"/>
      <c r="H3971" s="1066"/>
      <c r="I3971" s="1063"/>
      <c r="J3971" s="1063"/>
      <c r="K3971" s="1063"/>
      <c r="L3971" s="1063"/>
    </row>
    <row r="3972" spans="5:12" x14ac:dyDescent="0.2">
      <c r="E3972" s="1063"/>
      <c r="H3972" s="1066"/>
      <c r="I3972" s="1063"/>
      <c r="J3972" s="1063"/>
      <c r="K3972" s="1063"/>
      <c r="L3972" s="1063"/>
    </row>
    <row r="3973" spans="5:12" x14ac:dyDescent="0.2">
      <c r="E3973" s="1063"/>
      <c r="H3973" s="1066"/>
      <c r="I3973" s="1063"/>
      <c r="J3973" s="1063"/>
      <c r="K3973" s="1063"/>
      <c r="L3973" s="1063"/>
    </row>
    <row r="3974" spans="5:12" x14ac:dyDescent="0.2">
      <c r="E3974" s="1063"/>
      <c r="H3974" s="1066"/>
      <c r="I3974" s="1063"/>
      <c r="J3974" s="1063"/>
      <c r="K3974" s="1063"/>
      <c r="L3974" s="1063"/>
    </row>
    <row r="3975" spans="5:12" x14ac:dyDescent="0.2">
      <c r="E3975" s="1063"/>
      <c r="H3975" s="1066"/>
      <c r="I3975" s="1063"/>
      <c r="J3975" s="1063"/>
      <c r="K3975" s="1063"/>
      <c r="L3975" s="1063"/>
    </row>
    <row r="3976" spans="5:12" x14ac:dyDescent="0.2">
      <c r="E3976" s="1063"/>
      <c r="H3976" s="1066"/>
      <c r="I3976" s="1063"/>
      <c r="J3976" s="1063"/>
      <c r="K3976" s="1063"/>
      <c r="L3976" s="1063"/>
    </row>
    <row r="3977" spans="5:12" x14ac:dyDescent="0.2">
      <c r="E3977" s="1063"/>
      <c r="H3977" s="1066"/>
      <c r="I3977" s="1063"/>
      <c r="J3977" s="1063"/>
      <c r="K3977" s="1063"/>
      <c r="L3977" s="1063"/>
    </row>
    <row r="3978" spans="5:12" x14ac:dyDescent="0.2">
      <c r="E3978" s="1063"/>
      <c r="H3978" s="1066"/>
      <c r="I3978" s="1063"/>
      <c r="J3978" s="1063"/>
      <c r="K3978" s="1063"/>
      <c r="L3978" s="1063"/>
    </row>
    <row r="3979" spans="5:12" x14ac:dyDescent="0.2">
      <c r="E3979" s="1063"/>
      <c r="H3979" s="1066"/>
      <c r="I3979" s="1063"/>
      <c r="J3979" s="1063"/>
      <c r="K3979" s="1063"/>
      <c r="L3979" s="1063"/>
    </row>
    <row r="3980" spans="5:12" x14ac:dyDescent="0.2">
      <c r="E3980" s="1063"/>
      <c r="H3980" s="1066"/>
      <c r="I3980" s="1063"/>
      <c r="J3980" s="1063"/>
      <c r="K3980" s="1063"/>
      <c r="L3980" s="1063"/>
    </row>
    <row r="3981" spans="5:12" x14ac:dyDescent="0.2">
      <c r="E3981" s="1063"/>
      <c r="H3981" s="1066"/>
      <c r="I3981" s="1063"/>
      <c r="J3981" s="1063"/>
      <c r="K3981" s="1063"/>
      <c r="L3981" s="1063"/>
    </row>
    <row r="3982" spans="5:12" x14ac:dyDescent="0.2">
      <c r="E3982" s="1063"/>
      <c r="H3982" s="1066"/>
      <c r="I3982" s="1063"/>
      <c r="J3982" s="1063"/>
      <c r="K3982" s="1063"/>
      <c r="L3982" s="1063"/>
    </row>
    <row r="3983" spans="5:12" x14ac:dyDescent="0.2">
      <c r="E3983" s="1063"/>
      <c r="H3983" s="1066"/>
      <c r="I3983" s="1063"/>
      <c r="J3983" s="1063"/>
      <c r="K3983" s="1063"/>
      <c r="L3983" s="1063"/>
    </row>
    <row r="3984" spans="5:12" x14ac:dyDescent="0.2">
      <c r="E3984" s="1063"/>
      <c r="H3984" s="1066"/>
      <c r="I3984" s="1063"/>
      <c r="J3984" s="1063"/>
      <c r="K3984" s="1063"/>
      <c r="L3984" s="1063"/>
    </row>
    <row r="3985" spans="5:12" x14ac:dyDescent="0.2">
      <c r="E3985" s="1063"/>
      <c r="H3985" s="1066"/>
      <c r="I3985" s="1063"/>
      <c r="J3985" s="1063"/>
      <c r="K3985" s="1063"/>
      <c r="L3985" s="1063"/>
    </row>
    <row r="3986" spans="5:12" x14ac:dyDescent="0.2">
      <c r="E3986" s="1063"/>
      <c r="H3986" s="1066"/>
      <c r="I3986" s="1063"/>
      <c r="J3986" s="1063"/>
      <c r="K3986" s="1063"/>
      <c r="L3986" s="1063"/>
    </row>
    <row r="3987" spans="5:12" x14ac:dyDescent="0.2">
      <c r="E3987" s="1063"/>
      <c r="H3987" s="1066"/>
      <c r="I3987" s="1063"/>
      <c r="J3987" s="1063"/>
      <c r="K3987" s="1063"/>
      <c r="L3987" s="1063"/>
    </row>
    <row r="3988" spans="5:12" x14ac:dyDescent="0.2">
      <c r="E3988" s="1063"/>
      <c r="H3988" s="1066"/>
      <c r="I3988" s="1063"/>
      <c r="J3988" s="1063"/>
      <c r="K3988" s="1063"/>
      <c r="L3988" s="1063"/>
    </row>
    <row r="3989" spans="5:12" x14ac:dyDescent="0.2">
      <c r="E3989" s="1063"/>
      <c r="H3989" s="1066"/>
      <c r="I3989" s="1063"/>
      <c r="J3989" s="1063"/>
      <c r="K3989" s="1063"/>
      <c r="L3989" s="1063"/>
    </row>
    <row r="3990" spans="5:12" x14ac:dyDescent="0.2">
      <c r="E3990" s="1063"/>
      <c r="H3990" s="1066"/>
      <c r="I3990" s="1063"/>
      <c r="J3990" s="1063"/>
      <c r="K3990" s="1063"/>
      <c r="L3990" s="1063"/>
    </row>
    <row r="3991" spans="5:12" x14ac:dyDescent="0.2">
      <c r="E3991" s="1063"/>
      <c r="H3991" s="1066"/>
      <c r="I3991" s="1063"/>
      <c r="J3991" s="1063"/>
      <c r="K3991" s="1063"/>
      <c r="L3991" s="1063"/>
    </row>
    <row r="3992" spans="5:12" x14ac:dyDescent="0.2">
      <c r="E3992" s="1063"/>
      <c r="H3992" s="1066"/>
      <c r="I3992" s="1063"/>
      <c r="J3992" s="1063"/>
      <c r="K3992" s="1063"/>
      <c r="L3992" s="1063"/>
    </row>
    <row r="3993" spans="5:12" x14ac:dyDescent="0.2">
      <c r="E3993" s="1063"/>
      <c r="H3993" s="1066"/>
      <c r="I3993" s="1063"/>
      <c r="J3993" s="1063"/>
      <c r="K3993" s="1063"/>
      <c r="L3993" s="1063"/>
    </row>
    <row r="3994" spans="5:12" x14ac:dyDescent="0.2">
      <c r="E3994" s="1063"/>
      <c r="H3994" s="1066"/>
      <c r="I3994" s="1063"/>
      <c r="J3994" s="1063"/>
      <c r="K3994" s="1063"/>
      <c r="L3994" s="1063"/>
    </row>
    <row r="3995" spans="5:12" x14ac:dyDescent="0.2">
      <c r="E3995" s="1063"/>
      <c r="H3995" s="1066"/>
      <c r="I3995" s="1063"/>
      <c r="J3995" s="1063"/>
      <c r="K3995" s="1063"/>
      <c r="L3995" s="1063"/>
    </row>
    <row r="3996" spans="5:12" x14ac:dyDescent="0.2">
      <c r="E3996" s="1063"/>
      <c r="H3996" s="1066"/>
      <c r="I3996" s="1063"/>
      <c r="J3996" s="1063"/>
      <c r="K3996" s="1063"/>
      <c r="L3996" s="1063"/>
    </row>
    <row r="3997" spans="5:12" x14ac:dyDescent="0.2">
      <c r="E3997" s="1063"/>
      <c r="H3997" s="1066"/>
      <c r="I3997" s="1063"/>
      <c r="J3997" s="1063"/>
      <c r="K3997" s="1063"/>
      <c r="L3997" s="1063"/>
    </row>
    <row r="3998" spans="5:12" x14ac:dyDescent="0.2">
      <c r="E3998" s="1063"/>
      <c r="H3998" s="1066"/>
      <c r="I3998" s="1063"/>
      <c r="J3998" s="1063"/>
      <c r="K3998" s="1063"/>
      <c r="L3998" s="1063"/>
    </row>
    <row r="3999" spans="5:12" x14ac:dyDescent="0.2">
      <c r="E3999" s="1063"/>
      <c r="H3999" s="1066"/>
      <c r="I3999" s="1063"/>
      <c r="J3999" s="1063"/>
      <c r="K3999" s="1063"/>
      <c r="L3999" s="1063"/>
    </row>
    <row r="4000" spans="5:12" x14ac:dyDescent="0.2">
      <c r="E4000" s="1063"/>
      <c r="H4000" s="1066"/>
      <c r="I4000" s="1063"/>
      <c r="J4000" s="1063"/>
      <c r="K4000" s="1063"/>
      <c r="L4000" s="1063"/>
    </row>
    <row r="4001" spans="5:12" x14ac:dyDescent="0.2">
      <c r="E4001" s="1063"/>
      <c r="H4001" s="1066"/>
      <c r="I4001" s="1063"/>
      <c r="J4001" s="1063"/>
      <c r="K4001" s="1063"/>
      <c r="L4001" s="1063"/>
    </row>
    <row r="4002" spans="5:12" x14ac:dyDescent="0.2">
      <c r="E4002" s="1063"/>
      <c r="H4002" s="1066"/>
      <c r="I4002" s="1063"/>
      <c r="J4002" s="1063"/>
      <c r="K4002" s="1063"/>
      <c r="L4002" s="1063"/>
    </row>
    <row r="4003" spans="5:12" x14ac:dyDescent="0.2">
      <c r="E4003" s="1063"/>
      <c r="H4003" s="1066"/>
      <c r="I4003" s="1063"/>
      <c r="J4003" s="1063"/>
      <c r="K4003" s="1063"/>
      <c r="L4003" s="1063"/>
    </row>
    <row r="4004" spans="5:12" x14ac:dyDescent="0.2">
      <c r="E4004" s="1063"/>
      <c r="H4004" s="1066"/>
      <c r="I4004" s="1063"/>
      <c r="J4004" s="1063"/>
      <c r="K4004" s="1063"/>
      <c r="L4004" s="1063"/>
    </row>
    <row r="4005" spans="5:12" x14ac:dyDescent="0.2">
      <c r="E4005" s="1063"/>
      <c r="H4005" s="1066"/>
      <c r="I4005" s="1063"/>
      <c r="J4005" s="1063"/>
      <c r="K4005" s="1063"/>
      <c r="L4005" s="1063"/>
    </row>
    <row r="4006" spans="5:12" x14ac:dyDescent="0.2">
      <c r="E4006" s="1063"/>
      <c r="H4006" s="1066"/>
      <c r="I4006" s="1063"/>
      <c r="J4006" s="1063"/>
      <c r="K4006" s="1063"/>
      <c r="L4006" s="1063"/>
    </row>
    <row r="4007" spans="5:12" x14ac:dyDescent="0.2">
      <c r="E4007" s="1063"/>
      <c r="H4007" s="1066"/>
      <c r="I4007" s="1063"/>
      <c r="J4007" s="1063"/>
      <c r="K4007" s="1063"/>
      <c r="L4007" s="1063"/>
    </row>
    <row r="4008" spans="5:12" x14ac:dyDescent="0.2">
      <c r="E4008" s="1063"/>
      <c r="H4008" s="1066"/>
      <c r="I4008" s="1063"/>
      <c r="J4008" s="1063"/>
      <c r="K4008" s="1063"/>
      <c r="L4008" s="1063"/>
    </row>
    <row r="4009" spans="5:12" x14ac:dyDescent="0.2">
      <c r="E4009" s="1063"/>
      <c r="H4009" s="1066"/>
      <c r="I4009" s="1063"/>
      <c r="J4009" s="1063"/>
      <c r="K4009" s="1063"/>
      <c r="L4009" s="1063"/>
    </row>
    <row r="4010" spans="5:12" x14ac:dyDescent="0.2">
      <c r="E4010" s="1063"/>
      <c r="H4010" s="1066"/>
      <c r="I4010" s="1063"/>
      <c r="J4010" s="1063"/>
      <c r="K4010" s="1063"/>
      <c r="L4010" s="1063"/>
    </row>
    <row r="4011" spans="5:12" x14ac:dyDescent="0.2">
      <c r="E4011" s="1063"/>
      <c r="H4011" s="1066"/>
      <c r="I4011" s="1063"/>
      <c r="J4011" s="1063"/>
      <c r="K4011" s="1063"/>
      <c r="L4011" s="1063"/>
    </row>
    <row r="4012" spans="5:12" x14ac:dyDescent="0.2">
      <c r="E4012" s="1063"/>
      <c r="H4012" s="1066"/>
      <c r="I4012" s="1063"/>
      <c r="J4012" s="1063"/>
      <c r="K4012" s="1063"/>
      <c r="L4012" s="1063"/>
    </row>
    <row r="4013" spans="5:12" x14ac:dyDescent="0.2">
      <c r="E4013" s="1063"/>
      <c r="H4013" s="1066"/>
      <c r="I4013" s="1063"/>
      <c r="J4013" s="1063"/>
      <c r="K4013" s="1063"/>
      <c r="L4013" s="1063"/>
    </row>
    <row r="4014" spans="5:12" x14ac:dyDescent="0.2">
      <c r="E4014" s="1063"/>
      <c r="H4014" s="1066"/>
      <c r="I4014" s="1063"/>
      <c r="J4014" s="1063"/>
      <c r="K4014" s="1063"/>
      <c r="L4014" s="1063"/>
    </row>
    <row r="4015" spans="5:12" x14ac:dyDescent="0.2">
      <c r="E4015" s="1063"/>
      <c r="H4015" s="1066"/>
      <c r="I4015" s="1063"/>
      <c r="J4015" s="1063"/>
      <c r="K4015" s="1063"/>
      <c r="L4015" s="1063"/>
    </row>
    <row r="4016" spans="5:12" x14ac:dyDescent="0.2">
      <c r="E4016" s="1063"/>
      <c r="H4016" s="1066"/>
      <c r="I4016" s="1063"/>
      <c r="J4016" s="1063"/>
      <c r="K4016" s="1063"/>
      <c r="L4016" s="1063"/>
    </row>
    <row r="4017" spans="5:12" x14ac:dyDescent="0.2">
      <c r="E4017" s="1063"/>
      <c r="H4017" s="1066"/>
      <c r="I4017" s="1063"/>
      <c r="J4017" s="1063"/>
      <c r="K4017" s="1063"/>
      <c r="L4017" s="1063"/>
    </row>
    <row r="4018" spans="5:12" x14ac:dyDescent="0.2">
      <c r="E4018" s="1063"/>
      <c r="H4018" s="1066"/>
      <c r="I4018" s="1063"/>
      <c r="J4018" s="1063"/>
      <c r="K4018" s="1063"/>
      <c r="L4018" s="1063"/>
    </row>
    <row r="4019" spans="5:12" x14ac:dyDescent="0.2">
      <c r="E4019" s="1063"/>
      <c r="H4019" s="1066"/>
      <c r="I4019" s="1063"/>
      <c r="J4019" s="1063"/>
      <c r="K4019" s="1063"/>
      <c r="L4019" s="1063"/>
    </row>
    <row r="4020" spans="5:12" x14ac:dyDescent="0.2">
      <c r="E4020" s="1063"/>
      <c r="H4020" s="1066"/>
      <c r="I4020" s="1063"/>
      <c r="J4020" s="1063"/>
      <c r="K4020" s="1063"/>
      <c r="L4020" s="1063"/>
    </row>
    <row r="4021" spans="5:12" x14ac:dyDescent="0.2">
      <c r="E4021" s="1063"/>
      <c r="H4021" s="1066"/>
      <c r="I4021" s="1063"/>
      <c r="J4021" s="1063"/>
      <c r="K4021" s="1063"/>
      <c r="L4021" s="1063"/>
    </row>
    <row r="4022" spans="5:12" x14ac:dyDescent="0.2">
      <c r="E4022" s="1063"/>
      <c r="H4022" s="1066"/>
      <c r="I4022" s="1063"/>
      <c r="J4022" s="1063"/>
      <c r="K4022" s="1063"/>
      <c r="L4022" s="1063"/>
    </row>
    <row r="4023" spans="5:12" x14ac:dyDescent="0.2">
      <c r="E4023" s="1063"/>
      <c r="H4023" s="1066"/>
      <c r="I4023" s="1063"/>
      <c r="J4023" s="1063"/>
      <c r="K4023" s="1063"/>
      <c r="L4023" s="1063"/>
    </row>
    <row r="4024" spans="5:12" x14ac:dyDescent="0.2">
      <c r="E4024" s="1063"/>
      <c r="H4024" s="1066"/>
      <c r="I4024" s="1063"/>
      <c r="J4024" s="1063"/>
      <c r="K4024" s="1063"/>
      <c r="L4024" s="1063"/>
    </row>
    <row r="4025" spans="5:12" x14ac:dyDescent="0.2">
      <c r="E4025" s="1063"/>
      <c r="H4025" s="1066"/>
      <c r="I4025" s="1063"/>
      <c r="J4025" s="1063"/>
      <c r="K4025" s="1063"/>
      <c r="L4025" s="1063"/>
    </row>
    <row r="4026" spans="5:12" x14ac:dyDescent="0.2">
      <c r="E4026" s="1063"/>
      <c r="H4026" s="1066"/>
      <c r="I4026" s="1063"/>
      <c r="J4026" s="1063"/>
      <c r="K4026" s="1063"/>
      <c r="L4026" s="1063"/>
    </row>
    <row r="4027" spans="5:12" x14ac:dyDescent="0.2">
      <c r="E4027" s="1063"/>
      <c r="H4027" s="1066"/>
      <c r="I4027" s="1063"/>
      <c r="J4027" s="1063"/>
      <c r="K4027" s="1063"/>
      <c r="L4027" s="1063"/>
    </row>
    <row r="4028" spans="5:12" x14ac:dyDescent="0.2">
      <c r="E4028" s="1063"/>
      <c r="H4028" s="1066"/>
      <c r="I4028" s="1063"/>
      <c r="J4028" s="1063"/>
      <c r="K4028" s="1063"/>
      <c r="L4028" s="1063"/>
    </row>
    <row r="4029" spans="5:12" x14ac:dyDescent="0.2">
      <c r="E4029" s="1063"/>
      <c r="H4029" s="1066"/>
      <c r="I4029" s="1063"/>
      <c r="J4029" s="1063"/>
      <c r="K4029" s="1063"/>
      <c r="L4029" s="1063"/>
    </row>
    <row r="4030" spans="5:12" x14ac:dyDescent="0.2">
      <c r="E4030" s="1063"/>
      <c r="H4030" s="1066"/>
      <c r="I4030" s="1063"/>
      <c r="J4030" s="1063"/>
      <c r="K4030" s="1063"/>
      <c r="L4030" s="1063"/>
    </row>
    <row r="4031" spans="5:12" x14ac:dyDescent="0.2">
      <c r="E4031" s="1063"/>
      <c r="H4031" s="1066"/>
      <c r="I4031" s="1063"/>
      <c r="J4031" s="1063"/>
      <c r="K4031" s="1063"/>
      <c r="L4031" s="1063"/>
    </row>
    <row r="4032" spans="5:12" x14ac:dyDescent="0.2">
      <c r="E4032" s="1063"/>
      <c r="H4032" s="1066"/>
      <c r="I4032" s="1063"/>
      <c r="J4032" s="1063"/>
      <c r="K4032" s="1063"/>
      <c r="L4032" s="1063"/>
    </row>
    <row r="4033" spans="5:12" x14ac:dyDescent="0.2">
      <c r="E4033" s="1063"/>
      <c r="H4033" s="1066"/>
      <c r="I4033" s="1063"/>
      <c r="J4033" s="1063"/>
      <c r="K4033" s="1063"/>
      <c r="L4033" s="1063"/>
    </row>
    <row r="4034" spans="5:12" x14ac:dyDescent="0.2">
      <c r="E4034" s="1063"/>
      <c r="H4034" s="1066"/>
      <c r="I4034" s="1063"/>
      <c r="J4034" s="1063"/>
      <c r="K4034" s="1063"/>
      <c r="L4034" s="1063"/>
    </row>
    <row r="4035" spans="5:12" x14ac:dyDescent="0.2">
      <c r="E4035" s="1063"/>
      <c r="H4035" s="1066"/>
      <c r="I4035" s="1063"/>
      <c r="J4035" s="1063"/>
      <c r="K4035" s="1063"/>
      <c r="L4035" s="1063"/>
    </row>
    <row r="4036" spans="5:12" x14ac:dyDescent="0.2">
      <c r="E4036" s="1063"/>
      <c r="H4036" s="1066"/>
      <c r="I4036" s="1063"/>
      <c r="J4036" s="1063"/>
      <c r="K4036" s="1063"/>
      <c r="L4036" s="1063"/>
    </row>
    <row r="4037" spans="5:12" x14ac:dyDescent="0.2">
      <c r="E4037" s="1063"/>
      <c r="H4037" s="1066"/>
      <c r="I4037" s="1063"/>
      <c r="J4037" s="1063"/>
      <c r="K4037" s="1063"/>
      <c r="L4037" s="1063"/>
    </row>
    <row r="4038" spans="5:12" x14ac:dyDescent="0.2">
      <c r="E4038" s="1063"/>
      <c r="H4038" s="1066"/>
      <c r="I4038" s="1063"/>
      <c r="J4038" s="1063"/>
      <c r="K4038" s="1063"/>
      <c r="L4038" s="1063"/>
    </row>
    <row r="4039" spans="5:12" x14ac:dyDescent="0.2">
      <c r="E4039" s="1063"/>
      <c r="H4039" s="1066"/>
      <c r="I4039" s="1063"/>
      <c r="J4039" s="1063"/>
      <c r="K4039" s="1063"/>
      <c r="L4039" s="1063"/>
    </row>
    <row r="4040" spans="5:12" x14ac:dyDescent="0.2">
      <c r="E4040" s="1063"/>
      <c r="H4040" s="1066"/>
      <c r="I4040" s="1063"/>
      <c r="J4040" s="1063"/>
      <c r="K4040" s="1063"/>
      <c r="L4040" s="1063"/>
    </row>
    <row r="4041" spans="5:12" x14ac:dyDescent="0.2">
      <c r="E4041" s="1063"/>
      <c r="H4041" s="1066"/>
      <c r="I4041" s="1063"/>
      <c r="J4041" s="1063"/>
      <c r="K4041" s="1063"/>
      <c r="L4041" s="1063"/>
    </row>
    <row r="4042" spans="5:12" x14ac:dyDescent="0.2">
      <c r="E4042" s="1063"/>
      <c r="H4042" s="1066"/>
      <c r="I4042" s="1063"/>
      <c r="J4042" s="1063"/>
      <c r="K4042" s="1063"/>
      <c r="L4042" s="1063"/>
    </row>
    <row r="4043" spans="5:12" x14ac:dyDescent="0.2">
      <c r="E4043" s="1063"/>
      <c r="H4043" s="1066"/>
      <c r="I4043" s="1063"/>
      <c r="J4043" s="1063"/>
      <c r="K4043" s="1063"/>
      <c r="L4043" s="1063"/>
    </row>
    <row r="4044" spans="5:12" x14ac:dyDescent="0.2">
      <c r="E4044" s="1063"/>
      <c r="H4044" s="1066"/>
      <c r="I4044" s="1063"/>
      <c r="J4044" s="1063"/>
      <c r="K4044" s="1063"/>
      <c r="L4044" s="1063"/>
    </row>
    <row r="4045" spans="5:12" x14ac:dyDescent="0.2">
      <c r="E4045" s="1063"/>
      <c r="H4045" s="1066"/>
      <c r="I4045" s="1063"/>
      <c r="J4045" s="1063"/>
      <c r="K4045" s="1063"/>
      <c r="L4045" s="1063"/>
    </row>
    <row r="4046" spans="5:12" x14ac:dyDescent="0.2">
      <c r="E4046" s="1063"/>
      <c r="H4046" s="1066"/>
      <c r="I4046" s="1063"/>
      <c r="J4046" s="1063"/>
      <c r="K4046" s="1063"/>
      <c r="L4046" s="1063"/>
    </row>
    <row r="4047" spans="5:12" x14ac:dyDescent="0.2">
      <c r="E4047" s="1063"/>
      <c r="H4047" s="1066"/>
      <c r="I4047" s="1063"/>
      <c r="J4047" s="1063"/>
      <c r="K4047" s="1063"/>
      <c r="L4047" s="1063"/>
    </row>
    <row r="4048" spans="5:12" x14ac:dyDescent="0.2">
      <c r="E4048" s="1063"/>
      <c r="H4048" s="1066"/>
      <c r="I4048" s="1063"/>
      <c r="J4048" s="1063"/>
      <c r="K4048" s="1063"/>
      <c r="L4048" s="1063"/>
    </row>
    <row r="4049" spans="5:12" x14ac:dyDescent="0.2">
      <c r="E4049" s="1063"/>
      <c r="H4049" s="1066"/>
      <c r="I4049" s="1063"/>
      <c r="J4049" s="1063"/>
      <c r="K4049" s="1063"/>
      <c r="L4049" s="1063"/>
    </row>
    <row r="4050" spans="5:12" x14ac:dyDescent="0.2">
      <c r="E4050" s="1063"/>
      <c r="H4050" s="1066"/>
      <c r="I4050" s="1063"/>
      <c r="J4050" s="1063"/>
      <c r="K4050" s="1063"/>
      <c r="L4050" s="1063"/>
    </row>
    <row r="4051" spans="5:12" x14ac:dyDescent="0.2">
      <c r="E4051" s="1063"/>
      <c r="H4051" s="1066"/>
      <c r="I4051" s="1063"/>
      <c r="J4051" s="1063"/>
      <c r="K4051" s="1063"/>
      <c r="L4051" s="1063"/>
    </row>
    <row r="4052" spans="5:12" x14ac:dyDescent="0.2">
      <c r="E4052" s="1063"/>
      <c r="H4052" s="1066"/>
      <c r="I4052" s="1063"/>
      <c r="J4052" s="1063"/>
      <c r="K4052" s="1063"/>
      <c r="L4052" s="1063"/>
    </row>
    <row r="4053" spans="5:12" x14ac:dyDescent="0.2">
      <c r="E4053" s="1063"/>
      <c r="H4053" s="1066"/>
      <c r="I4053" s="1063"/>
      <c r="J4053" s="1063"/>
      <c r="K4053" s="1063"/>
      <c r="L4053" s="1063"/>
    </row>
    <row r="4054" spans="5:12" x14ac:dyDescent="0.2">
      <c r="E4054" s="1063"/>
      <c r="H4054" s="1066"/>
      <c r="I4054" s="1063"/>
      <c r="J4054" s="1063"/>
      <c r="K4054" s="1063"/>
      <c r="L4054" s="1063"/>
    </row>
    <row r="4055" spans="5:12" x14ac:dyDescent="0.2">
      <c r="E4055" s="1063"/>
      <c r="H4055" s="1066"/>
      <c r="I4055" s="1063"/>
      <c r="J4055" s="1063"/>
      <c r="K4055" s="1063"/>
      <c r="L4055" s="1063"/>
    </row>
    <row r="4056" spans="5:12" x14ac:dyDescent="0.2">
      <c r="E4056" s="1063"/>
      <c r="H4056" s="1066"/>
      <c r="I4056" s="1063"/>
      <c r="J4056" s="1063"/>
      <c r="K4056" s="1063"/>
      <c r="L4056" s="1063"/>
    </row>
    <row r="4057" spans="5:12" x14ac:dyDescent="0.2">
      <c r="E4057" s="1063"/>
      <c r="H4057" s="1066"/>
      <c r="I4057" s="1063"/>
      <c r="J4057" s="1063"/>
      <c r="K4057" s="1063"/>
      <c r="L4057" s="1063"/>
    </row>
    <row r="4058" spans="5:12" x14ac:dyDescent="0.2">
      <c r="E4058" s="1063"/>
      <c r="H4058" s="1066"/>
      <c r="I4058" s="1063"/>
      <c r="J4058" s="1063"/>
      <c r="K4058" s="1063"/>
      <c r="L4058" s="1063"/>
    </row>
    <row r="4059" spans="5:12" x14ac:dyDescent="0.2">
      <c r="E4059" s="1063"/>
      <c r="H4059" s="1066"/>
      <c r="I4059" s="1063"/>
      <c r="J4059" s="1063"/>
      <c r="K4059" s="1063"/>
      <c r="L4059" s="1063"/>
    </row>
    <row r="4060" spans="5:12" x14ac:dyDescent="0.2">
      <c r="E4060" s="1063"/>
      <c r="H4060" s="1066"/>
      <c r="I4060" s="1063"/>
      <c r="J4060" s="1063"/>
      <c r="K4060" s="1063"/>
      <c r="L4060" s="1063"/>
    </row>
    <row r="4061" spans="5:12" x14ac:dyDescent="0.2">
      <c r="E4061" s="1063"/>
      <c r="H4061" s="1066"/>
      <c r="I4061" s="1063"/>
      <c r="J4061" s="1063"/>
      <c r="K4061" s="1063"/>
      <c r="L4061" s="1063"/>
    </row>
    <row r="4062" spans="5:12" x14ac:dyDescent="0.2">
      <c r="E4062" s="1063"/>
      <c r="H4062" s="1066"/>
      <c r="I4062" s="1063"/>
      <c r="J4062" s="1063"/>
      <c r="K4062" s="1063"/>
      <c r="L4062" s="1063"/>
    </row>
    <row r="4063" spans="5:12" x14ac:dyDescent="0.2">
      <c r="E4063" s="1063"/>
      <c r="H4063" s="1066"/>
      <c r="I4063" s="1063"/>
      <c r="J4063" s="1063"/>
      <c r="K4063" s="1063"/>
      <c r="L4063" s="1063"/>
    </row>
    <row r="4064" spans="5:12" x14ac:dyDescent="0.2">
      <c r="E4064" s="1063"/>
      <c r="H4064" s="1066"/>
      <c r="I4064" s="1063"/>
      <c r="J4064" s="1063"/>
      <c r="K4064" s="1063"/>
      <c r="L4064" s="1063"/>
    </row>
    <row r="4065" spans="5:12" x14ac:dyDescent="0.2">
      <c r="E4065" s="1063"/>
      <c r="H4065" s="1066"/>
      <c r="I4065" s="1063"/>
      <c r="J4065" s="1063"/>
      <c r="K4065" s="1063"/>
      <c r="L4065" s="1063"/>
    </row>
    <row r="4066" spans="5:12" x14ac:dyDescent="0.2">
      <c r="E4066" s="1063"/>
      <c r="H4066" s="1066"/>
      <c r="I4066" s="1063"/>
      <c r="J4066" s="1063"/>
      <c r="K4066" s="1063"/>
      <c r="L4066" s="1063"/>
    </row>
    <row r="4067" spans="5:12" x14ac:dyDescent="0.2">
      <c r="E4067" s="1063"/>
      <c r="H4067" s="1066"/>
      <c r="I4067" s="1063"/>
      <c r="J4067" s="1063"/>
      <c r="K4067" s="1063"/>
      <c r="L4067" s="1063"/>
    </row>
    <row r="4068" spans="5:12" x14ac:dyDescent="0.2">
      <c r="E4068" s="1063"/>
      <c r="H4068" s="1066"/>
      <c r="I4068" s="1063"/>
      <c r="J4068" s="1063"/>
      <c r="K4068" s="1063"/>
      <c r="L4068" s="1063"/>
    </row>
    <row r="4069" spans="5:12" x14ac:dyDescent="0.2">
      <c r="E4069" s="1063"/>
      <c r="H4069" s="1066"/>
      <c r="I4069" s="1063"/>
      <c r="J4069" s="1063"/>
      <c r="K4069" s="1063"/>
      <c r="L4069" s="1063"/>
    </row>
    <row r="4070" spans="5:12" x14ac:dyDescent="0.2">
      <c r="E4070" s="1063"/>
      <c r="H4070" s="1066"/>
      <c r="I4070" s="1063"/>
      <c r="J4070" s="1063"/>
      <c r="K4070" s="1063"/>
      <c r="L4070" s="1063"/>
    </row>
    <row r="4071" spans="5:12" x14ac:dyDescent="0.2">
      <c r="E4071" s="1063"/>
      <c r="H4071" s="1066"/>
      <c r="I4071" s="1063"/>
      <c r="J4071" s="1063"/>
      <c r="K4071" s="1063"/>
      <c r="L4071" s="1063"/>
    </row>
    <row r="4072" spans="5:12" x14ac:dyDescent="0.2">
      <c r="E4072" s="1063"/>
      <c r="H4072" s="1066"/>
      <c r="I4072" s="1063"/>
      <c r="J4072" s="1063"/>
      <c r="K4072" s="1063"/>
      <c r="L4072" s="1063"/>
    </row>
    <row r="4073" spans="5:12" x14ac:dyDescent="0.2">
      <c r="E4073" s="1063"/>
      <c r="H4073" s="1066"/>
      <c r="I4073" s="1063"/>
      <c r="J4073" s="1063"/>
      <c r="K4073" s="1063"/>
      <c r="L4073" s="1063"/>
    </row>
    <row r="4074" spans="5:12" x14ac:dyDescent="0.2">
      <c r="E4074" s="1063"/>
      <c r="H4074" s="1066"/>
      <c r="I4074" s="1063"/>
      <c r="J4074" s="1063"/>
      <c r="K4074" s="1063"/>
      <c r="L4074" s="1063"/>
    </row>
    <row r="4075" spans="5:12" x14ac:dyDescent="0.2">
      <c r="E4075" s="1063"/>
      <c r="H4075" s="1066"/>
      <c r="I4075" s="1063"/>
      <c r="J4075" s="1063"/>
      <c r="K4075" s="1063"/>
      <c r="L4075" s="1063"/>
    </row>
    <row r="4076" spans="5:12" x14ac:dyDescent="0.2">
      <c r="E4076" s="1063"/>
      <c r="H4076" s="1066"/>
      <c r="I4076" s="1063"/>
      <c r="J4076" s="1063"/>
      <c r="K4076" s="1063"/>
      <c r="L4076" s="1063"/>
    </row>
    <row r="4077" spans="5:12" x14ac:dyDescent="0.2">
      <c r="E4077" s="1063"/>
      <c r="H4077" s="1066"/>
      <c r="I4077" s="1063"/>
      <c r="J4077" s="1063"/>
      <c r="K4077" s="1063"/>
      <c r="L4077" s="1063"/>
    </row>
    <row r="4078" spans="5:12" x14ac:dyDescent="0.2">
      <c r="E4078" s="1063"/>
      <c r="H4078" s="1066"/>
      <c r="I4078" s="1063"/>
      <c r="J4078" s="1063"/>
      <c r="K4078" s="1063"/>
      <c r="L4078" s="1063"/>
    </row>
    <row r="4079" spans="5:12" x14ac:dyDescent="0.2">
      <c r="E4079" s="1063"/>
      <c r="H4079" s="1066"/>
      <c r="I4079" s="1063"/>
      <c r="J4079" s="1063"/>
      <c r="K4079" s="1063"/>
      <c r="L4079" s="1063"/>
    </row>
    <row r="4080" spans="5:12" x14ac:dyDescent="0.2">
      <c r="E4080" s="1063"/>
      <c r="H4080" s="1066"/>
      <c r="I4080" s="1063"/>
      <c r="J4080" s="1063"/>
      <c r="K4080" s="1063"/>
      <c r="L4080" s="1063"/>
    </row>
    <row r="4081" spans="5:12" x14ac:dyDescent="0.2">
      <c r="E4081" s="1063"/>
      <c r="H4081" s="1066"/>
      <c r="I4081" s="1063"/>
      <c r="J4081" s="1063"/>
      <c r="K4081" s="1063"/>
      <c r="L4081" s="1063"/>
    </row>
    <row r="4082" spans="5:12" x14ac:dyDescent="0.2">
      <c r="E4082" s="1063"/>
      <c r="H4082" s="1066"/>
      <c r="I4082" s="1063"/>
      <c r="J4082" s="1063"/>
      <c r="K4082" s="1063"/>
      <c r="L4082" s="1063"/>
    </row>
    <row r="4083" spans="5:12" x14ac:dyDescent="0.2">
      <c r="E4083" s="1063"/>
      <c r="H4083" s="1066"/>
      <c r="I4083" s="1063"/>
      <c r="J4083" s="1063"/>
      <c r="K4083" s="1063"/>
      <c r="L4083" s="1063"/>
    </row>
    <row r="4084" spans="5:12" x14ac:dyDescent="0.2">
      <c r="E4084" s="1063"/>
      <c r="H4084" s="1066"/>
      <c r="I4084" s="1063"/>
      <c r="J4084" s="1063"/>
      <c r="K4084" s="1063"/>
      <c r="L4084" s="1063"/>
    </row>
    <row r="4085" spans="5:12" x14ac:dyDescent="0.2">
      <c r="E4085" s="1063"/>
      <c r="H4085" s="1066"/>
      <c r="I4085" s="1063"/>
      <c r="J4085" s="1063"/>
      <c r="K4085" s="1063"/>
      <c r="L4085" s="1063"/>
    </row>
    <row r="4086" spans="5:12" x14ac:dyDescent="0.2">
      <c r="E4086" s="1063"/>
      <c r="H4086" s="1066"/>
      <c r="I4086" s="1063"/>
      <c r="J4086" s="1063"/>
      <c r="K4086" s="1063"/>
      <c r="L4086" s="1063"/>
    </row>
    <row r="4087" spans="5:12" x14ac:dyDescent="0.2">
      <c r="E4087" s="1063"/>
      <c r="H4087" s="1066"/>
      <c r="I4087" s="1063"/>
      <c r="J4087" s="1063"/>
      <c r="K4087" s="1063"/>
      <c r="L4087" s="1063"/>
    </row>
    <row r="4088" spans="5:12" x14ac:dyDescent="0.2">
      <c r="E4088" s="1063"/>
      <c r="H4088" s="1066"/>
      <c r="I4088" s="1063"/>
      <c r="J4088" s="1063"/>
      <c r="K4088" s="1063"/>
      <c r="L4088" s="1063"/>
    </row>
    <row r="4089" spans="5:12" x14ac:dyDescent="0.2">
      <c r="E4089" s="1063"/>
      <c r="H4089" s="1066"/>
      <c r="I4089" s="1063"/>
      <c r="J4089" s="1063"/>
      <c r="K4089" s="1063"/>
      <c r="L4089" s="1063"/>
    </row>
    <row r="4090" spans="5:12" x14ac:dyDescent="0.2">
      <c r="E4090" s="1063"/>
      <c r="H4090" s="1066"/>
      <c r="I4090" s="1063"/>
      <c r="J4090" s="1063"/>
      <c r="K4090" s="1063"/>
      <c r="L4090" s="1063"/>
    </row>
    <row r="4091" spans="5:12" x14ac:dyDescent="0.2">
      <c r="E4091" s="1063"/>
      <c r="H4091" s="1066"/>
      <c r="I4091" s="1063"/>
      <c r="J4091" s="1063"/>
      <c r="K4091" s="1063"/>
      <c r="L4091" s="1063"/>
    </row>
    <row r="4092" spans="5:12" x14ac:dyDescent="0.2">
      <c r="E4092" s="1063"/>
      <c r="H4092" s="1066"/>
      <c r="I4092" s="1063"/>
      <c r="J4092" s="1063"/>
      <c r="K4092" s="1063"/>
      <c r="L4092" s="1063"/>
    </row>
    <row r="4093" spans="5:12" x14ac:dyDescent="0.2">
      <c r="E4093" s="1063"/>
      <c r="H4093" s="1066"/>
      <c r="I4093" s="1063"/>
      <c r="J4093" s="1063"/>
      <c r="K4093" s="1063"/>
      <c r="L4093" s="1063"/>
    </row>
    <row r="4094" spans="5:12" x14ac:dyDescent="0.2">
      <c r="E4094" s="1063"/>
      <c r="H4094" s="1066"/>
      <c r="I4094" s="1063"/>
      <c r="J4094" s="1063"/>
      <c r="K4094" s="1063"/>
      <c r="L4094" s="1063"/>
    </row>
    <row r="4095" spans="5:12" x14ac:dyDescent="0.2">
      <c r="E4095" s="1063"/>
      <c r="H4095" s="1066"/>
      <c r="I4095" s="1063"/>
      <c r="J4095" s="1063"/>
      <c r="K4095" s="1063"/>
      <c r="L4095" s="1063"/>
    </row>
    <row r="4096" spans="5:12" x14ac:dyDescent="0.2">
      <c r="E4096" s="1063"/>
      <c r="H4096" s="1066"/>
      <c r="I4096" s="1063"/>
      <c r="J4096" s="1063"/>
      <c r="K4096" s="1063"/>
      <c r="L4096" s="1063"/>
    </row>
    <row r="4097" spans="5:12" x14ac:dyDescent="0.2">
      <c r="E4097" s="1063"/>
      <c r="H4097" s="1066"/>
      <c r="I4097" s="1063"/>
      <c r="J4097" s="1063"/>
      <c r="K4097" s="1063"/>
      <c r="L4097" s="1063"/>
    </row>
    <row r="4098" spans="5:12" x14ac:dyDescent="0.2">
      <c r="E4098" s="1063"/>
      <c r="H4098" s="1066"/>
      <c r="I4098" s="1063"/>
      <c r="J4098" s="1063"/>
      <c r="K4098" s="1063"/>
      <c r="L4098" s="1063"/>
    </row>
    <row r="4099" spans="5:12" x14ac:dyDescent="0.2">
      <c r="E4099" s="1063"/>
      <c r="H4099" s="1066"/>
      <c r="I4099" s="1063"/>
      <c r="J4099" s="1063"/>
      <c r="K4099" s="1063"/>
      <c r="L4099" s="1063"/>
    </row>
    <row r="4100" spans="5:12" x14ac:dyDescent="0.2">
      <c r="E4100" s="1063"/>
      <c r="H4100" s="1066"/>
      <c r="I4100" s="1063"/>
      <c r="J4100" s="1063"/>
      <c r="K4100" s="1063"/>
      <c r="L4100" s="1063"/>
    </row>
    <row r="4101" spans="5:12" x14ac:dyDescent="0.2">
      <c r="E4101" s="1063"/>
      <c r="H4101" s="1066"/>
      <c r="I4101" s="1063"/>
      <c r="J4101" s="1063"/>
      <c r="K4101" s="1063"/>
      <c r="L4101" s="1063"/>
    </row>
    <row r="4102" spans="5:12" x14ac:dyDescent="0.2">
      <c r="E4102" s="1063"/>
      <c r="H4102" s="1066"/>
      <c r="I4102" s="1063"/>
      <c r="J4102" s="1063"/>
      <c r="K4102" s="1063"/>
      <c r="L4102" s="1063"/>
    </row>
    <row r="4103" spans="5:12" x14ac:dyDescent="0.2">
      <c r="E4103" s="1063"/>
      <c r="H4103" s="1066"/>
      <c r="I4103" s="1063"/>
      <c r="J4103" s="1063"/>
      <c r="K4103" s="1063"/>
      <c r="L4103" s="1063"/>
    </row>
    <row r="4104" spans="5:12" x14ac:dyDescent="0.2">
      <c r="E4104" s="1063"/>
      <c r="H4104" s="1066"/>
      <c r="I4104" s="1063"/>
      <c r="J4104" s="1063"/>
      <c r="K4104" s="1063"/>
      <c r="L4104" s="1063"/>
    </row>
    <row r="4105" spans="5:12" x14ac:dyDescent="0.2">
      <c r="E4105" s="1063"/>
      <c r="H4105" s="1066"/>
      <c r="I4105" s="1063"/>
      <c r="J4105" s="1063"/>
      <c r="K4105" s="1063"/>
      <c r="L4105" s="1063"/>
    </row>
    <row r="4106" spans="5:12" x14ac:dyDescent="0.2">
      <c r="E4106" s="1063"/>
      <c r="H4106" s="1066"/>
      <c r="I4106" s="1063"/>
      <c r="J4106" s="1063"/>
      <c r="K4106" s="1063"/>
      <c r="L4106" s="1063"/>
    </row>
    <row r="4107" spans="5:12" x14ac:dyDescent="0.2">
      <c r="E4107" s="1063"/>
      <c r="H4107" s="1066"/>
      <c r="I4107" s="1063"/>
      <c r="J4107" s="1063"/>
      <c r="K4107" s="1063"/>
      <c r="L4107" s="1063"/>
    </row>
    <row r="4108" spans="5:12" x14ac:dyDescent="0.2">
      <c r="E4108" s="1063"/>
      <c r="H4108" s="1066"/>
      <c r="I4108" s="1063"/>
      <c r="J4108" s="1063"/>
      <c r="K4108" s="1063"/>
      <c r="L4108" s="1063"/>
    </row>
    <row r="4109" spans="5:12" x14ac:dyDescent="0.2">
      <c r="E4109" s="1063"/>
      <c r="H4109" s="1066"/>
      <c r="I4109" s="1063"/>
      <c r="J4109" s="1063"/>
      <c r="K4109" s="1063"/>
      <c r="L4109" s="1063"/>
    </row>
    <row r="4110" spans="5:12" x14ac:dyDescent="0.2">
      <c r="E4110" s="1063"/>
      <c r="H4110" s="1066"/>
      <c r="I4110" s="1063"/>
      <c r="J4110" s="1063"/>
      <c r="K4110" s="1063"/>
      <c r="L4110" s="1063"/>
    </row>
    <row r="4111" spans="5:12" x14ac:dyDescent="0.2">
      <c r="E4111" s="1063"/>
      <c r="H4111" s="1066"/>
      <c r="I4111" s="1063"/>
      <c r="J4111" s="1063"/>
      <c r="K4111" s="1063"/>
      <c r="L4111" s="1063"/>
    </row>
    <row r="4112" spans="5:12" x14ac:dyDescent="0.2">
      <c r="E4112" s="1063"/>
      <c r="H4112" s="1066"/>
      <c r="I4112" s="1063"/>
      <c r="J4112" s="1063"/>
      <c r="K4112" s="1063"/>
      <c r="L4112" s="1063"/>
    </row>
    <row r="4113" spans="5:12" x14ac:dyDescent="0.2">
      <c r="E4113" s="1063"/>
      <c r="H4113" s="1066"/>
      <c r="I4113" s="1063"/>
      <c r="J4113" s="1063"/>
      <c r="K4113" s="1063"/>
      <c r="L4113" s="1063"/>
    </row>
    <row r="4114" spans="5:12" x14ac:dyDescent="0.2">
      <c r="E4114" s="1063"/>
      <c r="H4114" s="1066"/>
      <c r="I4114" s="1063"/>
      <c r="J4114" s="1063"/>
      <c r="K4114" s="1063"/>
      <c r="L4114" s="1063"/>
    </row>
    <row r="4115" spans="5:12" x14ac:dyDescent="0.2">
      <c r="E4115" s="1063"/>
      <c r="H4115" s="1066"/>
      <c r="I4115" s="1063"/>
      <c r="J4115" s="1063"/>
      <c r="K4115" s="1063"/>
      <c r="L4115" s="1063"/>
    </row>
    <row r="4116" spans="5:12" x14ac:dyDescent="0.2">
      <c r="E4116" s="1063"/>
      <c r="H4116" s="1066"/>
      <c r="I4116" s="1063"/>
      <c r="J4116" s="1063"/>
      <c r="K4116" s="1063"/>
      <c r="L4116" s="1063"/>
    </row>
    <row r="4117" spans="5:12" x14ac:dyDescent="0.2">
      <c r="E4117" s="1063"/>
      <c r="H4117" s="1066"/>
      <c r="I4117" s="1063"/>
      <c r="J4117" s="1063"/>
      <c r="K4117" s="1063"/>
      <c r="L4117" s="1063"/>
    </row>
    <row r="4118" spans="5:12" x14ac:dyDescent="0.2">
      <c r="E4118" s="1063"/>
      <c r="H4118" s="1066"/>
      <c r="I4118" s="1063"/>
      <c r="J4118" s="1063"/>
      <c r="K4118" s="1063"/>
      <c r="L4118" s="1063"/>
    </row>
    <row r="4119" spans="5:12" x14ac:dyDescent="0.2">
      <c r="E4119" s="1063"/>
      <c r="H4119" s="1066"/>
      <c r="I4119" s="1063"/>
      <c r="J4119" s="1063"/>
      <c r="K4119" s="1063"/>
      <c r="L4119" s="1063"/>
    </row>
    <row r="4120" spans="5:12" x14ac:dyDescent="0.2">
      <c r="E4120" s="1063"/>
      <c r="H4120" s="1066"/>
      <c r="I4120" s="1063"/>
      <c r="J4120" s="1063"/>
      <c r="K4120" s="1063"/>
      <c r="L4120" s="1063"/>
    </row>
    <row r="4121" spans="5:12" x14ac:dyDescent="0.2">
      <c r="E4121" s="1063"/>
      <c r="H4121" s="1066"/>
      <c r="I4121" s="1063"/>
      <c r="J4121" s="1063"/>
      <c r="K4121" s="1063"/>
      <c r="L4121" s="1063"/>
    </row>
    <row r="4122" spans="5:12" x14ac:dyDescent="0.2">
      <c r="E4122" s="1063"/>
      <c r="H4122" s="1066"/>
      <c r="I4122" s="1063"/>
      <c r="J4122" s="1063"/>
      <c r="K4122" s="1063"/>
      <c r="L4122" s="1063"/>
    </row>
    <row r="4123" spans="5:12" x14ac:dyDescent="0.2">
      <c r="E4123" s="1063"/>
      <c r="H4123" s="1066"/>
      <c r="I4123" s="1063"/>
      <c r="J4123" s="1063"/>
      <c r="K4123" s="1063"/>
      <c r="L4123" s="1063"/>
    </row>
    <row r="4124" spans="5:12" x14ac:dyDescent="0.2">
      <c r="E4124" s="1063"/>
      <c r="H4124" s="1066"/>
      <c r="I4124" s="1063"/>
      <c r="J4124" s="1063"/>
      <c r="K4124" s="1063"/>
      <c r="L4124" s="1063"/>
    </row>
    <row r="4125" spans="5:12" x14ac:dyDescent="0.2">
      <c r="E4125" s="1063"/>
      <c r="H4125" s="1066"/>
      <c r="I4125" s="1063"/>
      <c r="J4125" s="1063"/>
      <c r="K4125" s="1063"/>
      <c r="L4125" s="1063"/>
    </row>
    <row r="4126" spans="5:12" x14ac:dyDescent="0.2">
      <c r="E4126" s="1063"/>
      <c r="H4126" s="1066"/>
      <c r="I4126" s="1063"/>
      <c r="J4126" s="1063"/>
      <c r="K4126" s="1063"/>
      <c r="L4126" s="1063"/>
    </row>
    <row r="4127" spans="5:12" x14ac:dyDescent="0.2">
      <c r="E4127" s="1063"/>
      <c r="H4127" s="1066"/>
      <c r="I4127" s="1063"/>
      <c r="J4127" s="1063"/>
      <c r="K4127" s="1063"/>
      <c r="L4127" s="1063"/>
    </row>
    <row r="4128" spans="5:12" x14ac:dyDescent="0.2">
      <c r="E4128" s="1063"/>
      <c r="H4128" s="1066"/>
      <c r="I4128" s="1063"/>
      <c r="J4128" s="1063"/>
      <c r="K4128" s="1063"/>
      <c r="L4128" s="1063"/>
    </row>
    <row r="4129" spans="5:12" x14ac:dyDescent="0.2">
      <c r="E4129" s="1063"/>
      <c r="H4129" s="1066"/>
      <c r="I4129" s="1063"/>
      <c r="J4129" s="1063"/>
      <c r="K4129" s="1063"/>
      <c r="L4129" s="1063"/>
    </row>
    <row r="4130" spans="5:12" x14ac:dyDescent="0.2">
      <c r="E4130" s="1063"/>
      <c r="H4130" s="1066"/>
      <c r="I4130" s="1063"/>
      <c r="J4130" s="1063"/>
      <c r="K4130" s="1063"/>
      <c r="L4130" s="1063"/>
    </row>
    <row r="4131" spans="5:12" x14ac:dyDescent="0.2">
      <c r="E4131" s="1063"/>
      <c r="H4131" s="1066"/>
      <c r="I4131" s="1063"/>
      <c r="J4131" s="1063"/>
      <c r="K4131" s="1063"/>
      <c r="L4131" s="1063"/>
    </row>
    <row r="4132" spans="5:12" x14ac:dyDescent="0.2">
      <c r="E4132" s="1063"/>
      <c r="H4132" s="1066"/>
      <c r="I4132" s="1063"/>
      <c r="J4132" s="1063"/>
      <c r="K4132" s="1063"/>
      <c r="L4132" s="1063"/>
    </row>
    <row r="4133" spans="5:12" x14ac:dyDescent="0.2">
      <c r="E4133" s="1063"/>
      <c r="H4133" s="1066"/>
      <c r="I4133" s="1063"/>
      <c r="J4133" s="1063"/>
      <c r="K4133" s="1063"/>
      <c r="L4133" s="1063"/>
    </row>
    <row r="4134" spans="5:12" x14ac:dyDescent="0.2">
      <c r="E4134" s="1063"/>
      <c r="H4134" s="1066"/>
      <c r="I4134" s="1063"/>
      <c r="J4134" s="1063"/>
      <c r="K4134" s="1063"/>
      <c r="L4134" s="1063"/>
    </row>
    <row r="4135" spans="5:12" x14ac:dyDescent="0.2">
      <c r="E4135" s="1063"/>
      <c r="H4135" s="1066"/>
      <c r="I4135" s="1063"/>
      <c r="J4135" s="1063"/>
      <c r="K4135" s="1063"/>
      <c r="L4135" s="1063"/>
    </row>
    <row r="4136" spans="5:12" x14ac:dyDescent="0.2">
      <c r="E4136" s="1063"/>
      <c r="H4136" s="1066"/>
      <c r="I4136" s="1063"/>
      <c r="J4136" s="1063"/>
      <c r="K4136" s="1063"/>
      <c r="L4136" s="1063"/>
    </row>
    <row r="4137" spans="5:12" x14ac:dyDescent="0.2">
      <c r="E4137" s="1063"/>
      <c r="H4137" s="1066"/>
      <c r="I4137" s="1063"/>
      <c r="J4137" s="1063"/>
      <c r="K4137" s="1063"/>
      <c r="L4137" s="1063"/>
    </row>
    <row r="4138" spans="5:12" x14ac:dyDescent="0.2">
      <c r="E4138" s="1063"/>
      <c r="H4138" s="1066"/>
      <c r="I4138" s="1063"/>
      <c r="J4138" s="1063"/>
      <c r="K4138" s="1063"/>
      <c r="L4138" s="1063"/>
    </row>
    <row r="4139" spans="5:12" x14ac:dyDescent="0.2">
      <c r="E4139" s="1063"/>
      <c r="H4139" s="1066"/>
      <c r="I4139" s="1063"/>
      <c r="J4139" s="1063"/>
      <c r="K4139" s="1063"/>
      <c r="L4139" s="1063"/>
    </row>
    <row r="4140" spans="5:12" x14ac:dyDescent="0.2">
      <c r="E4140" s="1063"/>
      <c r="H4140" s="1066"/>
      <c r="I4140" s="1063"/>
      <c r="J4140" s="1063"/>
      <c r="K4140" s="1063"/>
      <c r="L4140" s="1063"/>
    </row>
    <row r="4141" spans="5:12" x14ac:dyDescent="0.2">
      <c r="E4141" s="1063"/>
      <c r="H4141" s="1066"/>
      <c r="I4141" s="1063"/>
      <c r="J4141" s="1063"/>
      <c r="K4141" s="1063"/>
      <c r="L4141" s="1063"/>
    </row>
    <row r="4142" spans="5:12" x14ac:dyDescent="0.2">
      <c r="E4142" s="1063"/>
      <c r="H4142" s="1066"/>
      <c r="I4142" s="1063"/>
      <c r="J4142" s="1063"/>
      <c r="K4142" s="1063"/>
      <c r="L4142" s="1063"/>
    </row>
    <row r="4143" spans="5:12" x14ac:dyDescent="0.2">
      <c r="E4143" s="1063"/>
      <c r="H4143" s="1066"/>
      <c r="I4143" s="1063"/>
      <c r="J4143" s="1063"/>
      <c r="K4143" s="1063"/>
      <c r="L4143" s="1063"/>
    </row>
    <row r="4144" spans="5:12" x14ac:dyDescent="0.2">
      <c r="E4144" s="1063"/>
      <c r="H4144" s="1066"/>
      <c r="I4144" s="1063"/>
      <c r="J4144" s="1063"/>
      <c r="K4144" s="1063"/>
      <c r="L4144" s="1063"/>
    </row>
    <row r="4145" spans="5:12" x14ac:dyDescent="0.2">
      <c r="E4145" s="1063"/>
      <c r="H4145" s="1066"/>
      <c r="I4145" s="1063"/>
      <c r="J4145" s="1063"/>
      <c r="K4145" s="1063"/>
      <c r="L4145" s="1063"/>
    </row>
    <row r="4146" spans="5:12" x14ac:dyDescent="0.2">
      <c r="E4146" s="1063"/>
      <c r="H4146" s="1066"/>
      <c r="I4146" s="1063"/>
      <c r="J4146" s="1063"/>
      <c r="K4146" s="1063"/>
      <c r="L4146" s="1063"/>
    </row>
    <row r="4147" spans="5:12" x14ac:dyDescent="0.2">
      <c r="E4147" s="1063"/>
      <c r="H4147" s="1066"/>
      <c r="I4147" s="1063"/>
      <c r="J4147" s="1063"/>
      <c r="K4147" s="1063"/>
      <c r="L4147" s="1063"/>
    </row>
    <row r="4148" spans="5:12" x14ac:dyDescent="0.2">
      <c r="E4148" s="1063"/>
      <c r="H4148" s="1066"/>
      <c r="I4148" s="1063"/>
      <c r="J4148" s="1063"/>
      <c r="K4148" s="1063"/>
      <c r="L4148" s="1063"/>
    </row>
    <row r="4149" spans="5:12" x14ac:dyDescent="0.2">
      <c r="E4149" s="1063"/>
      <c r="H4149" s="1066"/>
      <c r="I4149" s="1063"/>
      <c r="J4149" s="1063"/>
      <c r="K4149" s="1063"/>
      <c r="L4149" s="1063"/>
    </row>
    <row r="4150" spans="5:12" x14ac:dyDescent="0.2">
      <c r="E4150" s="1063"/>
      <c r="H4150" s="1066"/>
      <c r="I4150" s="1063"/>
      <c r="J4150" s="1063"/>
      <c r="K4150" s="1063"/>
      <c r="L4150" s="1063"/>
    </row>
    <row r="4151" spans="5:12" x14ac:dyDescent="0.2">
      <c r="E4151" s="1063"/>
      <c r="H4151" s="1066"/>
      <c r="I4151" s="1063"/>
      <c r="J4151" s="1063"/>
      <c r="K4151" s="1063"/>
      <c r="L4151" s="1063"/>
    </row>
    <row r="4152" spans="5:12" x14ac:dyDescent="0.2">
      <c r="E4152" s="1063"/>
      <c r="H4152" s="1066"/>
      <c r="I4152" s="1063"/>
      <c r="J4152" s="1063"/>
      <c r="K4152" s="1063"/>
      <c r="L4152" s="1063"/>
    </row>
    <row r="4153" spans="5:12" x14ac:dyDescent="0.2">
      <c r="E4153" s="1063"/>
      <c r="H4153" s="1066"/>
      <c r="I4153" s="1063"/>
      <c r="J4153" s="1063"/>
      <c r="K4153" s="1063"/>
      <c r="L4153" s="1063"/>
    </row>
    <row r="4154" spans="5:12" x14ac:dyDescent="0.2">
      <c r="E4154" s="1063"/>
      <c r="H4154" s="1066"/>
      <c r="I4154" s="1063"/>
      <c r="J4154" s="1063"/>
      <c r="K4154" s="1063"/>
      <c r="L4154" s="1063"/>
    </row>
    <row r="4155" spans="5:12" x14ac:dyDescent="0.2">
      <c r="E4155" s="1063"/>
      <c r="H4155" s="1066"/>
      <c r="I4155" s="1063"/>
      <c r="J4155" s="1063"/>
      <c r="K4155" s="1063"/>
      <c r="L4155" s="1063"/>
    </row>
    <row r="4156" spans="5:12" x14ac:dyDescent="0.2">
      <c r="E4156" s="1063"/>
      <c r="H4156" s="1066"/>
      <c r="I4156" s="1063"/>
      <c r="J4156" s="1063"/>
      <c r="K4156" s="1063"/>
      <c r="L4156" s="1063"/>
    </row>
    <row r="4157" spans="5:12" x14ac:dyDescent="0.2">
      <c r="E4157" s="1063"/>
      <c r="H4157" s="1066"/>
      <c r="I4157" s="1063"/>
      <c r="J4157" s="1063"/>
      <c r="K4157" s="1063"/>
      <c r="L4157" s="1063"/>
    </row>
    <row r="4158" spans="5:12" x14ac:dyDescent="0.2">
      <c r="E4158" s="1063"/>
      <c r="H4158" s="1066"/>
      <c r="I4158" s="1063"/>
      <c r="J4158" s="1063"/>
      <c r="K4158" s="1063"/>
      <c r="L4158" s="1063"/>
    </row>
    <row r="4159" spans="5:12" x14ac:dyDescent="0.2">
      <c r="E4159" s="1063"/>
      <c r="H4159" s="1066"/>
      <c r="I4159" s="1063"/>
      <c r="J4159" s="1063"/>
      <c r="K4159" s="1063"/>
      <c r="L4159" s="1063"/>
    </row>
    <row r="4160" spans="5:12" x14ac:dyDescent="0.2">
      <c r="E4160" s="1063"/>
      <c r="H4160" s="1066"/>
      <c r="I4160" s="1063"/>
      <c r="J4160" s="1063"/>
      <c r="K4160" s="1063"/>
      <c r="L4160" s="1063"/>
    </row>
    <row r="4161" spans="5:12" x14ac:dyDescent="0.2">
      <c r="E4161" s="1063"/>
      <c r="H4161" s="1066"/>
      <c r="I4161" s="1063"/>
      <c r="J4161" s="1063"/>
      <c r="K4161" s="1063"/>
      <c r="L4161" s="1063"/>
    </row>
    <row r="4162" spans="5:12" x14ac:dyDescent="0.2">
      <c r="E4162" s="1063"/>
      <c r="H4162" s="1066"/>
      <c r="I4162" s="1063"/>
      <c r="J4162" s="1063"/>
      <c r="K4162" s="1063"/>
      <c r="L4162" s="1063"/>
    </row>
    <row r="4163" spans="5:12" x14ac:dyDescent="0.2">
      <c r="E4163" s="1063"/>
      <c r="H4163" s="1066"/>
      <c r="I4163" s="1063"/>
      <c r="J4163" s="1063"/>
      <c r="K4163" s="1063"/>
      <c r="L4163" s="1063"/>
    </row>
    <row r="4164" spans="5:12" x14ac:dyDescent="0.2">
      <c r="E4164" s="1063"/>
      <c r="H4164" s="1066"/>
      <c r="I4164" s="1063"/>
      <c r="J4164" s="1063"/>
      <c r="K4164" s="1063"/>
      <c r="L4164" s="1063"/>
    </row>
    <row r="4165" spans="5:12" x14ac:dyDescent="0.2">
      <c r="E4165" s="1063"/>
      <c r="H4165" s="1066"/>
      <c r="I4165" s="1063"/>
      <c r="J4165" s="1063"/>
      <c r="K4165" s="1063"/>
      <c r="L4165" s="1063"/>
    </row>
    <row r="4166" spans="5:12" x14ac:dyDescent="0.2">
      <c r="E4166" s="1063"/>
      <c r="H4166" s="1066"/>
      <c r="I4166" s="1063"/>
      <c r="J4166" s="1063"/>
      <c r="K4166" s="1063"/>
      <c r="L4166" s="1063"/>
    </row>
    <row r="4167" spans="5:12" x14ac:dyDescent="0.2">
      <c r="E4167" s="1063"/>
      <c r="H4167" s="1066"/>
      <c r="I4167" s="1063"/>
      <c r="J4167" s="1063"/>
      <c r="K4167" s="1063"/>
      <c r="L4167" s="1063"/>
    </row>
    <row r="4168" spans="5:12" x14ac:dyDescent="0.2">
      <c r="E4168" s="1063"/>
      <c r="H4168" s="1066"/>
      <c r="I4168" s="1063"/>
      <c r="J4168" s="1063"/>
      <c r="K4168" s="1063"/>
      <c r="L4168" s="1063"/>
    </row>
    <row r="4169" spans="5:12" x14ac:dyDescent="0.2">
      <c r="E4169" s="1063"/>
      <c r="H4169" s="1066"/>
      <c r="I4169" s="1063"/>
      <c r="J4169" s="1063"/>
      <c r="K4169" s="1063"/>
      <c r="L4169" s="1063"/>
    </row>
    <row r="4170" spans="5:12" x14ac:dyDescent="0.2">
      <c r="E4170" s="1063"/>
      <c r="H4170" s="1066"/>
      <c r="I4170" s="1063"/>
      <c r="J4170" s="1063"/>
      <c r="K4170" s="1063"/>
      <c r="L4170" s="1063"/>
    </row>
    <row r="4171" spans="5:12" x14ac:dyDescent="0.2">
      <c r="E4171" s="1063"/>
      <c r="H4171" s="1066"/>
      <c r="I4171" s="1063"/>
      <c r="J4171" s="1063"/>
      <c r="K4171" s="1063"/>
      <c r="L4171" s="1063"/>
    </row>
    <row r="4172" spans="5:12" x14ac:dyDescent="0.2">
      <c r="E4172" s="1063"/>
      <c r="H4172" s="1066"/>
      <c r="I4172" s="1063"/>
      <c r="J4172" s="1063"/>
      <c r="K4172" s="1063"/>
      <c r="L4172" s="1063"/>
    </row>
    <row r="4173" spans="5:12" x14ac:dyDescent="0.2">
      <c r="E4173" s="1063"/>
      <c r="H4173" s="1066"/>
      <c r="I4173" s="1063"/>
      <c r="J4173" s="1063"/>
      <c r="K4173" s="1063"/>
      <c r="L4173" s="1063"/>
    </row>
    <row r="4174" spans="5:12" x14ac:dyDescent="0.2">
      <c r="E4174" s="1063"/>
      <c r="H4174" s="1066"/>
      <c r="I4174" s="1063"/>
      <c r="J4174" s="1063"/>
      <c r="K4174" s="1063"/>
      <c r="L4174" s="1063"/>
    </row>
    <row r="4175" spans="5:12" x14ac:dyDescent="0.2">
      <c r="E4175" s="1063"/>
      <c r="H4175" s="1066"/>
      <c r="I4175" s="1063"/>
      <c r="J4175" s="1063"/>
      <c r="K4175" s="1063"/>
      <c r="L4175" s="1063"/>
    </row>
    <row r="4176" spans="5:12" x14ac:dyDescent="0.2">
      <c r="E4176" s="1063"/>
      <c r="H4176" s="1066"/>
      <c r="I4176" s="1063"/>
      <c r="J4176" s="1063"/>
      <c r="K4176" s="1063"/>
      <c r="L4176" s="1063"/>
    </row>
    <row r="4177" spans="5:12" x14ac:dyDescent="0.2">
      <c r="E4177" s="1063"/>
      <c r="H4177" s="1066"/>
      <c r="I4177" s="1063"/>
      <c r="J4177" s="1063"/>
      <c r="K4177" s="1063"/>
      <c r="L4177" s="1063"/>
    </row>
    <row r="4178" spans="5:12" x14ac:dyDescent="0.2">
      <c r="E4178" s="1063"/>
      <c r="H4178" s="1066"/>
      <c r="I4178" s="1063"/>
      <c r="J4178" s="1063"/>
      <c r="K4178" s="1063"/>
      <c r="L4178" s="1063"/>
    </row>
    <row r="4179" spans="5:12" x14ac:dyDescent="0.2">
      <c r="E4179" s="1063"/>
      <c r="H4179" s="1066"/>
      <c r="I4179" s="1063"/>
      <c r="J4179" s="1063"/>
      <c r="K4179" s="1063"/>
      <c r="L4179" s="1063"/>
    </row>
    <row r="4180" spans="5:12" x14ac:dyDescent="0.2">
      <c r="E4180" s="1063"/>
      <c r="H4180" s="1066"/>
      <c r="I4180" s="1063"/>
      <c r="J4180" s="1063"/>
      <c r="K4180" s="1063"/>
      <c r="L4180" s="1063"/>
    </row>
    <row r="4181" spans="5:12" x14ac:dyDescent="0.2">
      <c r="E4181" s="1063"/>
      <c r="H4181" s="1066"/>
      <c r="I4181" s="1063"/>
      <c r="J4181" s="1063"/>
      <c r="K4181" s="1063"/>
      <c r="L4181" s="1063"/>
    </row>
    <row r="4182" spans="5:12" x14ac:dyDescent="0.2">
      <c r="E4182" s="1063"/>
      <c r="H4182" s="1066"/>
      <c r="I4182" s="1063"/>
      <c r="J4182" s="1063"/>
      <c r="K4182" s="1063"/>
      <c r="L4182" s="1063"/>
    </row>
    <row r="4183" spans="5:12" x14ac:dyDescent="0.2">
      <c r="E4183" s="1063"/>
      <c r="H4183" s="1066"/>
      <c r="I4183" s="1063"/>
      <c r="J4183" s="1063"/>
      <c r="K4183" s="1063"/>
      <c r="L4183" s="1063"/>
    </row>
    <row r="4184" spans="5:12" x14ac:dyDescent="0.2">
      <c r="E4184" s="1063"/>
      <c r="H4184" s="1066"/>
      <c r="I4184" s="1063"/>
      <c r="J4184" s="1063"/>
      <c r="K4184" s="1063"/>
      <c r="L4184" s="1063"/>
    </row>
    <row r="4185" spans="5:12" x14ac:dyDescent="0.2">
      <c r="E4185" s="1063"/>
      <c r="H4185" s="1066"/>
      <c r="I4185" s="1063"/>
      <c r="J4185" s="1063"/>
      <c r="K4185" s="1063"/>
      <c r="L4185" s="1063"/>
    </row>
    <row r="4186" spans="5:12" x14ac:dyDescent="0.2">
      <c r="E4186" s="1063"/>
      <c r="H4186" s="1066"/>
      <c r="I4186" s="1063"/>
      <c r="J4186" s="1063"/>
      <c r="K4186" s="1063"/>
      <c r="L4186" s="1063"/>
    </row>
    <row r="4187" spans="5:12" x14ac:dyDescent="0.2">
      <c r="E4187" s="1063"/>
      <c r="H4187" s="1066"/>
      <c r="I4187" s="1063"/>
      <c r="J4187" s="1063"/>
      <c r="K4187" s="1063"/>
      <c r="L4187" s="1063"/>
    </row>
    <row r="4188" spans="5:12" x14ac:dyDescent="0.2">
      <c r="E4188" s="1063"/>
      <c r="H4188" s="1066"/>
      <c r="I4188" s="1063"/>
      <c r="J4188" s="1063"/>
      <c r="K4188" s="1063"/>
      <c r="L4188" s="1063"/>
    </row>
    <row r="4189" spans="5:12" x14ac:dyDescent="0.2">
      <c r="E4189" s="1063"/>
      <c r="H4189" s="1066"/>
      <c r="I4189" s="1063"/>
      <c r="J4189" s="1063"/>
      <c r="K4189" s="1063"/>
      <c r="L4189" s="1063"/>
    </row>
    <row r="4190" spans="5:12" x14ac:dyDescent="0.2">
      <c r="E4190" s="1063"/>
      <c r="H4190" s="1066"/>
      <c r="I4190" s="1063"/>
      <c r="J4190" s="1063"/>
      <c r="K4190" s="1063"/>
      <c r="L4190" s="1063"/>
    </row>
    <row r="4191" spans="5:12" x14ac:dyDescent="0.2">
      <c r="E4191" s="1063"/>
      <c r="H4191" s="1066"/>
      <c r="I4191" s="1063"/>
      <c r="J4191" s="1063"/>
      <c r="K4191" s="1063"/>
      <c r="L4191" s="1063"/>
    </row>
    <row r="4192" spans="5:12" x14ac:dyDescent="0.2">
      <c r="E4192" s="1063"/>
      <c r="H4192" s="1066"/>
      <c r="I4192" s="1063"/>
      <c r="J4192" s="1063"/>
      <c r="K4192" s="1063"/>
      <c r="L4192" s="1063"/>
    </row>
    <row r="4193" spans="5:12" x14ac:dyDescent="0.2">
      <c r="E4193" s="1063"/>
      <c r="H4193" s="1066"/>
      <c r="I4193" s="1063"/>
      <c r="J4193" s="1063"/>
      <c r="K4193" s="1063"/>
      <c r="L4193" s="1063"/>
    </row>
    <row r="4194" spans="5:12" x14ac:dyDescent="0.2">
      <c r="E4194" s="1063"/>
      <c r="H4194" s="1066"/>
      <c r="I4194" s="1063"/>
      <c r="J4194" s="1063"/>
      <c r="K4194" s="1063"/>
      <c r="L4194" s="1063"/>
    </row>
    <row r="4195" spans="5:12" x14ac:dyDescent="0.2">
      <c r="E4195" s="1063"/>
      <c r="H4195" s="1066"/>
      <c r="I4195" s="1063"/>
      <c r="J4195" s="1063"/>
      <c r="K4195" s="1063"/>
      <c r="L4195" s="1063"/>
    </row>
    <row r="4196" spans="5:12" x14ac:dyDescent="0.2">
      <c r="E4196" s="1063"/>
      <c r="H4196" s="1066"/>
      <c r="I4196" s="1063"/>
      <c r="J4196" s="1063"/>
      <c r="K4196" s="1063"/>
      <c r="L4196" s="1063"/>
    </row>
    <row r="4197" spans="5:12" x14ac:dyDescent="0.2">
      <c r="E4197" s="1063"/>
      <c r="H4197" s="1066"/>
      <c r="I4197" s="1063"/>
      <c r="J4197" s="1063"/>
      <c r="K4197" s="1063"/>
      <c r="L4197" s="1063"/>
    </row>
    <row r="4198" spans="5:12" x14ac:dyDescent="0.2">
      <c r="E4198" s="1063"/>
      <c r="H4198" s="1066"/>
      <c r="I4198" s="1063"/>
      <c r="J4198" s="1063"/>
      <c r="K4198" s="1063"/>
      <c r="L4198" s="1063"/>
    </row>
    <row r="4199" spans="5:12" x14ac:dyDescent="0.2">
      <c r="E4199" s="1063"/>
      <c r="H4199" s="1066"/>
      <c r="I4199" s="1063"/>
      <c r="J4199" s="1063"/>
      <c r="K4199" s="1063"/>
      <c r="L4199" s="1063"/>
    </row>
    <row r="4200" spans="5:12" x14ac:dyDescent="0.2">
      <c r="E4200" s="1063"/>
      <c r="H4200" s="1066"/>
      <c r="I4200" s="1063"/>
      <c r="J4200" s="1063"/>
      <c r="K4200" s="1063"/>
      <c r="L4200" s="1063"/>
    </row>
    <row r="4201" spans="5:12" x14ac:dyDescent="0.2">
      <c r="E4201" s="1063"/>
      <c r="H4201" s="1066"/>
      <c r="I4201" s="1063"/>
      <c r="J4201" s="1063"/>
      <c r="K4201" s="1063"/>
      <c r="L4201" s="1063"/>
    </row>
    <row r="4202" spans="5:12" x14ac:dyDescent="0.2">
      <c r="E4202" s="1063"/>
      <c r="H4202" s="1066"/>
      <c r="I4202" s="1063"/>
      <c r="J4202" s="1063"/>
      <c r="K4202" s="1063"/>
      <c r="L4202" s="1063"/>
    </row>
    <row r="4203" spans="5:12" x14ac:dyDescent="0.2">
      <c r="E4203" s="1063"/>
      <c r="H4203" s="1066"/>
      <c r="I4203" s="1063"/>
      <c r="J4203" s="1063"/>
      <c r="K4203" s="1063"/>
      <c r="L4203" s="1063"/>
    </row>
    <row r="4204" spans="5:12" x14ac:dyDescent="0.2">
      <c r="E4204" s="1063"/>
      <c r="H4204" s="1066"/>
      <c r="I4204" s="1063"/>
      <c r="J4204" s="1063"/>
      <c r="K4204" s="1063"/>
      <c r="L4204" s="1063"/>
    </row>
    <row r="4205" spans="5:12" x14ac:dyDescent="0.2">
      <c r="E4205" s="1063"/>
      <c r="H4205" s="1066"/>
      <c r="I4205" s="1063"/>
      <c r="J4205" s="1063"/>
      <c r="K4205" s="1063"/>
      <c r="L4205" s="1063"/>
    </row>
    <row r="4206" spans="5:12" x14ac:dyDescent="0.2">
      <c r="E4206" s="1063"/>
      <c r="H4206" s="1066"/>
      <c r="I4206" s="1063"/>
      <c r="J4206" s="1063"/>
      <c r="K4206" s="1063"/>
      <c r="L4206" s="1063"/>
    </row>
    <row r="4207" spans="5:12" x14ac:dyDescent="0.2">
      <c r="E4207" s="1063"/>
      <c r="H4207" s="1066"/>
      <c r="I4207" s="1063"/>
      <c r="J4207" s="1063"/>
      <c r="K4207" s="1063"/>
      <c r="L4207" s="1063"/>
    </row>
    <row r="4208" spans="5:12" x14ac:dyDescent="0.2">
      <c r="E4208" s="1063"/>
      <c r="H4208" s="1066"/>
      <c r="I4208" s="1063"/>
      <c r="J4208" s="1063"/>
      <c r="K4208" s="1063"/>
      <c r="L4208" s="1063"/>
    </row>
    <row r="4209" spans="5:12" x14ac:dyDescent="0.2">
      <c r="E4209" s="1063"/>
      <c r="H4209" s="1066"/>
      <c r="I4209" s="1063"/>
      <c r="J4209" s="1063"/>
      <c r="K4209" s="1063"/>
      <c r="L4209" s="1063"/>
    </row>
    <row r="4210" spans="5:12" x14ac:dyDescent="0.2">
      <c r="E4210" s="1063"/>
      <c r="H4210" s="1066"/>
      <c r="I4210" s="1063"/>
      <c r="J4210" s="1063"/>
      <c r="K4210" s="1063"/>
      <c r="L4210" s="1063"/>
    </row>
    <row r="4211" spans="5:12" x14ac:dyDescent="0.2">
      <c r="E4211" s="1063"/>
      <c r="H4211" s="1066"/>
      <c r="I4211" s="1063"/>
      <c r="J4211" s="1063"/>
      <c r="K4211" s="1063"/>
      <c r="L4211" s="1063"/>
    </row>
    <row r="4212" spans="5:12" x14ac:dyDescent="0.2">
      <c r="E4212" s="1063"/>
      <c r="H4212" s="1066"/>
      <c r="I4212" s="1063"/>
      <c r="J4212" s="1063"/>
      <c r="K4212" s="1063"/>
      <c r="L4212" s="1063"/>
    </row>
    <row r="4213" spans="5:12" x14ac:dyDescent="0.2">
      <c r="E4213" s="1063"/>
      <c r="H4213" s="1066"/>
      <c r="I4213" s="1063"/>
      <c r="J4213" s="1063"/>
      <c r="K4213" s="1063"/>
      <c r="L4213" s="1063"/>
    </row>
    <row r="4214" spans="5:12" x14ac:dyDescent="0.2">
      <c r="E4214" s="1063"/>
      <c r="H4214" s="1066"/>
      <c r="I4214" s="1063"/>
      <c r="J4214" s="1063"/>
      <c r="K4214" s="1063"/>
      <c r="L4214" s="1063"/>
    </row>
    <row r="4215" spans="5:12" x14ac:dyDescent="0.2">
      <c r="E4215" s="1063"/>
      <c r="H4215" s="1066"/>
      <c r="I4215" s="1063"/>
      <c r="J4215" s="1063"/>
      <c r="K4215" s="1063"/>
      <c r="L4215" s="1063"/>
    </row>
    <row r="4216" spans="5:12" x14ac:dyDescent="0.2">
      <c r="E4216" s="1063"/>
      <c r="H4216" s="1066"/>
      <c r="I4216" s="1063"/>
      <c r="J4216" s="1063"/>
      <c r="K4216" s="1063"/>
      <c r="L4216" s="1063"/>
    </row>
    <row r="4217" spans="5:12" x14ac:dyDescent="0.2">
      <c r="E4217" s="1063"/>
      <c r="H4217" s="1066"/>
      <c r="I4217" s="1063"/>
      <c r="J4217" s="1063"/>
      <c r="K4217" s="1063"/>
      <c r="L4217" s="1063"/>
    </row>
    <row r="4218" spans="5:12" x14ac:dyDescent="0.2">
      <c r="E4218" s="1063"/>
      <c r="H4218" s="1066"/>
      <c r="I4218" s="1063"/>
      <c r="J4218" s="1063"/>
      <c r="K4218" s="1063"/>
      <c r="L4218" s="1063"/>
    </row>
    <row r="4219" spans="5:12" x14ac:dyDescent="0.2">
      <c r="E4219" s="1063"/>
      <c r="H4219" s="1066"/>
      <c r="I4219" s="1063"/>
      <c r="J4219" s="1063"/>
      <c r="K4219" s="1063"/>
      <c r="L4219" s="1063"/>
    </row>
    <row r="4220" spans="5:12" x14ac:dyDescent="0.2">
      <c r="E4220" s="1063"/>
      <c r="H4220" s="1066"/>
      <c r="I4220" s="1063"/>
      <c r="J4220" s="1063"/>
      <c r="K4220" s="1063"/>
      <c r="L4220" s="1063"/>
    </row>
    <row r="4221" spans="5:12" x14ac:dyDescent="0.2">
      <c r="E4221" s="1063"/>
      <c r="H4221" s="1066"/>
      <c r="I4221" s="1063"/>
      <c r="J4221" s="1063"/>
      <c r="K4221" s="1063"/>
      <c r="L4221" s="1063"/>
    </row>
    <row r="4222" spans="5:12" x14ac:dyDescent="0.2">
      <c r="E4222" s="1063"/>
      <c r="H4222" s="1066"/>
      <c r="I4222" s="1063"/>
      <c r="J4222" s="1063"/>
      <c r="K4222" s="1063"/>
      <c r="L4222" s="1063"/>
    </row>
    <row r="4223" spans="5:12" x14ac:dyDescent="0.2">
      <c r="E4223" s="1063"/>
      <c r="H4223" s="1066"/>
      <c r="I4223" s="1063"/>
      <c r="J4223" s="1063"/>
      <c r="K4223" s="1063"/>
      <c r="L4223" s="1063"/>
    </row>
    <row r="4224" spans="5:12" x14ac:dyDescent="0.2">
      <c r="E4224" s="1063"/>
      <c r="H4224" s="1066"/>
      <c r="I4224" s="1063"/>
      <c r="J4224" s="1063"/>
      <c r="K4224" s="1063"/>
      <c r="L4224" s="1063"/>
    </row>
    <row r="4225" spans="5:12" x14ac:dyDescent="0.2">
      <c r="E4225" s="1063"/>
      <c r="H4225" s="1066"/>
      <c r="I4225" s="1063"/>
      <c r="J4225" s="1063"/>
      <c r="K4225" s="1063"/>
      <c r="L4225" s="1063"/>
    </row>
    <row r="4226" spans="5:12" x14ac:dyDescent="0.2">
      <c r="E4226" s="1063"/>
      <c r="H4226" s="1066"/>
      <c r="I4226" s="1063"/>
      <c r="J4226" s="1063"/>
      <c r="K4226" s="1063"/>
      <c r="L4226" s="1063"/>
    </row>
    <row r="4227" spans="5:12" x14ac:dyDescent="0.2">
      <c r="E4227" s="1063"/>
      <c r="H4227" s="1066"/>
      <c r="I4227" s="1063"/>
      <c r="J4227" s="1063"/>
      <c r="K4227" s="1063"/>
      <c r="L4227" s="1063"/>
    </row>
    <row r="4228" spans="5:12" x14ac:dyDescent="0.2">
      <c r="E4228" s="1063"/>
      <c r="H4228" s="1066"/>
      <c r="I4228" s="1063"/>
      <c r="J4228" s="1063"/>
      <c r="K4228" s="1063"/>
      <c r="L4228" s="1063"/>
    </row>
    <row r="4229" spans="5:12" x14ac:dyDescent="0.2">
      <c r="E4229" s="1063"/>
      <c r="H4229" s="1066"/>
      <c r="I4229" s="1063"/>
      <c r="J4229" s="1063"/>
      <c r="K4229" s="1063"/>
      <c r="L4229" s="1063"/>
    </row>
    <row r="4230" spans="5:12" x14ac:dyDescent="0.2">
      <c r="E4230" s="1063"/>
      <c r="H4230" s="1066"/>
      <c r="I4230" s="1063"/>
      <c r="J4230" s="1063"/>
      <c r="K4230" s="1063"/>
      <c r="L4230" s="1063"/>
    </row>
    <row r="4231" spans="5:12" x14ac:dyDescent="0.2">
      <c r="E4231" s="1063"/>
      <c r="H4231" s="1066"/>
      <c r="I4231" s="1063"/>
      <c r="J4231" s="1063"/>
      <c r="K4231" s="1063"/>
      <c r="L4231" s="1063"/>
    </row>
    <row r="4232" spans="5:12" x14ac:dyDescent="0.2">
      <c r="E4232" s="1063"/>
      <c r="H4232" s="1066"/>
      <c r="I4232" s="1063"/>
      <c r="J4232" s="1063"/>
      <c r="K4232" s="1063"/>
      <c r="L4232" s="1063"/>
    </row>
    <row r="4233" spans="5:12" x14ac:dyDescent="0.2">
      <c r="E4233" s="1063"/>
      <c r="H4233" s="1066"/>
      <c r="I4233" s="1063"/>
      <c r="J4233" s="1063"/>
      <c r="K4233" s="1063"/>
      <c r="L4233" s="1063"/>
    </row>
    <row r="4234" spans="5:12" x14ac:dyDescent="0.2">
      <c r="E4234" s="1063"/>
      <c r="H4234" s="1066"/>
      <c r="I4234" s="1063"/>
      <c r="J4234" s="1063"/>
      <c r="K4234" s="1063"/>
      <c r="L4234" s="1063"/>
    </row>
    <row r="4235" spans="5:12" x14ac:dyDescent="0.2">
      <c r="E4235" s="1063"/>
      <c r="H4235" s="1066"/>
      <c r="I4235" s="1063"/>
      <c r="J4235" s="1063"/>
      <c r="K4235" s="1063"/>
      <c r="L4235" s="1063"/>
    </row>
    <row r="4236" spans="5:12" x14ac:dyDescent="0.2">
      <c r="E4236" s="1063"/>
      <c r="H4236" s="1066"/>
      <c r="I4236" s="1063"/>
      <c r="J4236" s="1063"/>
      <c r="K4236" s="1063"/>
      <c r="L4236" s="1063"/>
    </row>
    <row r="4237" spans="5:12" x14ac:dyDescent="0.2">
      <c r="E4237" s="1063"/>
      <c r="H4237" s="1066"/>
      <c r="I4237" s="1063"/>
      <c r="J4237" s="1063"/>
      <c r="K4237" s="1063"/>
      <c r="L4237" s="1063"/>
    </row>
    <row r="4238" spans="5:12" x14ac:dyDescent="0.2">
      <c r="E4238" s="1063"/>
      <c r="H4238" s="1066"/>
      <c r="I4238" s="1063"/>
      <c r="J4238" s="1063"/>
      <c r="K4238" s="1063"/>
      <c r="L4238" s="1063"/>
    </row>
    <row r="4239" spans="5:12" x14ac:dyDescent="0.2">
      <c r="E4239" s="1063"/>
      <c r="H4239" s="1066"/>
      <c r="I4239" s="1063"/>
      <c r="J4239" s="1063"/>
      <c r="K4239" s="1063"/>
      <c r="L4239" s="1063"/>
    </row>
    <row r="4240" spans="5:12" x14ac:dyDescent="0.2">
      <c r="E4240" s="1063"/>
      <c r="H4240" s="1066"/>
      <c r="I4240" s="1063"/>
      <c r="J4240" s="1063"/>
      <c r="K4240" s="1063"/>
      <c r="L4240" s="1063"/>
    </row>
    <row r="4241" spans="5:12" x14ac:dyDescent="0.2">
      <c r="E4241" s="1063"/>
      <c r="H4241" s="1066"/>
      <c r="I4241" s="1063"/>
      <c r="J4241" s="1063"/>
      <c r="K4241" s="1063"/>
      <c r="L4241" s="1063"/>
    </row>
    <row r="4242" spans="5:12" x14ac:dyDescent="0.2">
      <c r="E4242" s="1063"/>
      <c r="H4242" s="1066"/>
      <c r="I4242" s="1063"/>
      <c r="J4242" s="1063"/>
      <c r="K4242" s="1063"/>
      <c r="L4242" s="1063"/>
    </row>
    <row r="4243" spans="5:12" x14ac:dyDescent="0.2">
      <c r="E4243" s="1063"/>
      <c r="H4243" s="1066"/>
      <c r="I4243" s="1063"/>
      <c r="J4243" s="1063"/>
      <c r="K4243" s="1063"/>
      <c r="L4243" s="1063"/>
    </row>
    <row r="4244" spans="5:12" x14ac:dyDescent="0.2">
      <c r="E4244" s="1063"/>
      <c r="H4244" s="1066"/>
      <c r="I4244" s="1063"/>
      <c r="J4244" s="1063"/>
      <c r="K4244" s="1063"/>
      <c r="L4244" s="1063"/>
    </row>
    <row r="4245" spans="5:12" x14ac:dyDescent="0.2">
      <c r="E4245" s="1063"/>
      <c r="H4245" s="1066"/>
      <c r="I4245" s="1063"/>
      <c r="J4245" s="1063"/>
      <c r="K4245" s="1063"/>
      <c r="L4245" s="1063"/>
    </row>
    <row r="4246" spans="5:12" x14ac:dyDescent="0.2">
      <c r="E4246" s="1063"/>
      <c r="H4246" s="1066"/>
      <c r="I4246" s="1063"/>
      <c r="J4246" s="1063"/>
      <c r="K4246" s="1063"/>
      <c r="L4246" s="1063"/>
    </row>
    <row r="4247" spans="5:12" x14ac:dyDescent="0.2">
      <c r="E4247" s="1063"/>
      <c r="H4247" s="1066"/>
      <c r="I4247" s="1063"/>
      <c r="J4247" s="1063"/>
      <c r="K4247" s="1063"/>
      <c r="L4247" s="1063"/>
    </row>
    <row r="4248" spans="5:12" x14ac:dyDescent="0.2">
      <c r="E4248" s="1063"/>
      <c r="H4248" s="1066"/>
      <c r="I4248" s="1063"/>
      <c r="J4248" s="1063"/>
      <c r="K4248" s="1063"/>
      <c r="L4248" s="1063"/>
    </row>
    <row r="4249" spans="5:12" x14ac:dyDescent="0.2">
      <c r="E4249" s="1063"/>
      <c r="H4249" s="1066"/>
      <c r="I4249" s="1063"/>
      <c r="J4249" s="1063"/>
      <c r="K4249" s="1063"/>
      <c r="L4249" s="1063"/>
    </row>
    <row r="4250" spans="5:12" x14ac:dyDescent="0.2">
      <c r="E4250" s="1063"/>
      <c r="H4250" s="1066"/>
      <c r="I4250" s="1063"/>
      <c r="J4250" s="1063"/>
      <c r="K4250" s="1063"/>
      <c r="L4250" s="1063"/>
    </row>
    <row r="4251" spans="5:12" x14ac:dyDescent="0.2">
      <c r="E4251" s="1063"/>
      <c r="H4251" s="1066"/>
      <c r="I4251" s="1063"/>
      <c r="J4251" s="1063"/>
      <c r="K4251" s="1063"/>
      <c r="L4251" s="1063"/>
    </row>
    <row r="4252" spans="5:12" x14ac:dyDescent="0.2">
      <c r="E4252" s="1063"/>
      <c r="H4252" s="1066"/>
      <c r="I4252" s="1063"/>
      <c r="J4252" s="1063"/>
      <c r="K4252" s="1063"/>
      <c r="L4252" s="1063"/>
    </row>
    <row r="4253" spans="5:12" x14ac:dyDescent="0.2">
      <c r="E4253" s="1063"/>
      <c r="H4253" s="1066"/>
      <c r="I4253" s="1063"/>
      <c r="J4253" s="1063"/>
      <c r="K4253" s="1063"/>
      <c r="L4253" s="1063"/>
    </row>
    <row r="4254" spans="5:12" x14ac:dyDescent="0.2">
      <c r="E4254" s="1063"/>
      <c r="H4254" s="1066"/>
      <c r="I4254" s="1063"/>
      <c r="J4254" s="1063"/>
      <c r="K4254" s="1063"/>
      <c r="L4254" s="1063"/>
    </row>
    <row r="4255" spans="5:12" x14ac:dyDescent="0.2">
      <c r="E4255" s="1063"/>
      <c r="H4255" s="1066"/>
      <c r="I4255" s="1063"/>
      <c r="J4255" s="1063"/>
      <c r="K4255" s="1063"/>
      <c r="L4255" s="1063"/>
    </row>
    <row r="4256" spans="5:12" x14ac:dyDescent="0.2">
      <c r="E4256" s="1063"/>
      <c r="H4256" s="1066"/>
      <c r="I4256" s="1063"/>
      <c r="J4256" s="1063"/>
      <c r="K4256" s="1063"/>
      <c r="L4256" s="1063"/>
    </row>
    <row r="4257" spans="5:12" x14ac:dyDescent="0.2">
      <c r="E4257" s="1063"/>
      <c r="H4257" s="1066"/>
      <c r="I4257" s="1063"/>
      <c r="J4257" s="1063"/>
      <c r="K4257" s="1063"/>
      <c r="L4257" s="1063"/>
    </row>
    <row r="4258" spans="5:12" x14ac:dyDescent="0.2">
      <c r="E4258" s="1063"/>
      <c r="H4258" s="1066"/>
      <c r="I4258" s="1063"/>
      <c r="J4258" s="1063"/>
      <c r="K4258" s="1063"/>
      <c r="L4258" s="1063"/>
    </row>
    <row r="4259" spans="5:12" x14ac:dyDescent="0.2">
      <c r="E4259" s="1063"/>
      <c r="H4259" s="1066"/>
      <c r="I4259" s="1063"/>
      <c r="J4259" s="1063"/>
      <c r="K4259" s="1063"/>
      <c r="L4259" s="1063"/>
    </row>
    <row r="4260" spans="5:12" x14ac:dyDescent="0.2">
      <c r="E4260" s="1063"/>
      <c r="H4260" s="1066"/>
      <c r="I4260" s="1063"/>
      <c r="J4260" s="1063"/>
      <c r="K4260" s="1063"/>
      <c r="L4260" s="1063"/>
    </row>
    <row r="4261" spans="5:12" x14ac:dyDescent="0.2">
      <c r="E4261" s="1063"/>
      <c r="H4261" s="1066"/>
      <c r="I4261" s="1063"/>
      <c r="J4261" s="1063"/>
      <c r="K4261" s="1063"/>
      <c r="L4261" s="1063"/>
    </row>
    <row r="4262" spans="5:12" x14ac:dyDescent="0.2">
      <c r="E4262" s="1063"/>
      <c r="H4262" s="1066"/>
      <c r="I4262" s="1063"/>
      <c r="J4262" s="1063"/>
      <c r="K4262" s="1063"/>
      <c r="L4262" s="1063"/>
    </row>
    <row r="4263" spans="5:12" x14ac:dyDescent="0.2">
      <c r="E4263" s="1063"/>
      <c r="H4263" s="1066"/>
      <c r="I4263" s="1063"/>
      <c r="J4263" s="1063"/>
      <c r="K4263" s="1063"/>
      <c r="L4263" s="1063"/>
    </row>
    <row r="4264" spans="5:12" x14ac:dyDescent="0.2">
      <c r="E4264" s="1063"/>
      <c r="H4264" s="1066"/>
      <c r="I4264" s="1063"/>
      <c r="J4264" s="1063"/>
      <c r="K4264" s="1063"/>
      <c r="L4264" s="1063"/>
    </row>
    <row r="4265" spans="5:12" x14ac:dyDescent="0.2">
      <c r="E4265" s="1063"/>
      <c r="H4265" s="1066"/>
      <c r="I4265" s="1063"/>
      <c r="J4265" s="1063"/>
      <c r="K4265" s="1063"/>
      <c r="L4265" s="1063"/>
    </row>
    <row r="4266" spans="5:12" x14ac:dyDescent="0.2">
      <c r="E4266" s="1063"/>
      <c r="H4266" s="1066"/>
      <c r="I4266" s="1063"/>
      <c r="J4266" s="1063"/>
      <c r="K4266" s="1063"/>
      <c r="L4266" s="1063"/>
    </row>
    <row r="4267" spans="5:12" x14ac:dyDescent="0.2">
      <c r="E4267" s="1063"/>
      <c r="H4267" s="1066"/>
      <c r="I4267" s="1063"/>
      <c r="J4267" s="1063"/>
      <c r="K4267" s="1063"/>
      <c r="L4267" s="1063"/>
    </row>
    <row r="4268" spans="5:12" x14ac:dyDescent="0.2">
      <c r="E4268" s="1063"/>
      <c r="H4268" s="1066"/>
      <c r="I4268" s="1063"/>
      <c r="J4268" s="1063"/>
      <c r="K4268" s="1063"/>
      <c r="L4268" s="1063"/>
    </row>
    <row r="4269" spans="5:12" x14ac:dyDescent="0.2">
      <c r="E4269" s="1063"/>
      <c r="H4269" s="1066"/>
      <c r="I4269" s="1063"/>
      <c r="J4269" s="1063"/>
      <c r="K4269" s="1063"/>
      <c r="L4269" s="1063"/>
    </row>
    <row r="4270" spans="5:12" x14ac:dyDescent="0.2">
      <c r="E4270" s="1063"/>
      <c r="H4270" s="1066"/>
      <c r="I4270" s="1063"/>
      <c r="J4270" s="1063"/>
      <c r="K4270" s="1063"/>
      <c r="L4270" s="1063"/>
    </row>
    <row r="4271" spans="5:12" x14ac:dyDescent="0.2">
      <c r="E4271" s="1063"/>
      <c r="H4271" s="1066"/>
      <c r="I4271" s="1063"/>
      <c r="J4271" s="1063"/>
      <c r="K4271" s="1063"/>
      <c r="L4271" s="1063"/>
    </row>
    <row r="4272" spans="5:12" x14ac:dyDescent="0.2">
      <c r="E4272" s="1063"/>
      <c r="H4272" s="1066"/>
      <c r="I4272" s="1063"/>
      <c r="J4272" s="1063"/>
      <c r="K4272" s="1063"/>
      <c r="L4272" s="1063"/>
    </row>
    <row r="4273" spans="5:12" x14ac:dyDescent="0.2">
      <c r="E4273" s="1063"/>
      <c r="H4273" s="1066"/>
      <c r="I4273" s="1063"/>
      <c r="J4273" s="1063"/>
      <c r="K4273" s="1063"/>
      <c r="L4273" s="1063"/>
    </row>
    <row r="4274" spans="5:12" x14ac:dyDescent="0.2">
      <c r="E4274" s="1063"/>
      <c r="H4274" s="1066"/>
      <c r="I4274" s="1063"/>
      <c r="J4274" s="1063"/>
      <c r="K4274" s="1063"/>
      <c r="L4274" s="1063"/>
    </row>
    <row r="4275" spans="5:12" x14ac:dyDescent="0.2">
      <c r="E4275" s="1063"/>
      <c r="H4275" s="1066"/>
      <c r="I4275" s="1063"/>
      <c r="J4275" s="1063"/>
      <c r="K4275" s="1063"/>
      <c r="L4275" s="1063"/>
    </row>
    <row r="4276" spans="5:12" x14ac:dyDescent="0.2">
      <c r="E4276" s="1063"/>
      <c r="H4276" s="1066"/>
      <c r="I4276" s="1063"/>
      <c r="J4276" s="1063"/>
      <c r="K4276" s="1063"/>
      <c r="L4276" s="1063"/>
    </row>
    <row r="4277" spans="5:12" x14ac:dyDescent="0.2">
      <c r="E4277" s="1063"/>
      <c r="H4277" s="1066"/>
      <c r="I4277" s="1063"/>
      <c r="J4277" s="1063"/>
      <c r="K4277" s="1063"/>
      <c r="L4277" s="1063"/>
    </row>
    <row r="4278" spans="5:12" x14ac:dyDescent="0.2">
      <c r="E4278" s="1063"/>
      <c r="H4278" s="1066"/>
      <c r="I4278" s="1063"/>
      <c r="J4278" s="1063"/>
      <c r="K4278" s="1063"/>
      <c r="L4278" s="1063"/>
    </row>
    <row r="4279" spans="5:12" x14ac:dyDescent="0.2">
      <c r="E4279" s="1063"/>
      <c r="H4279" s="1066"/>
      <c r="I4279" s="1063"/>
      <c r="J4279" s="1063"/>
      <c r="K4279" s="1063"/>
      <c r="L4279" s="1063"/>
    </row>
    <row r="4280" spans="5:12" x14ac:dyDescent="0.2">
      <c r="E4280" s="1063"/>
      <c r="H4280" s="1066"/>
      <c r="I4280" s="1063"/>
      <c r="J4280" s="1063"/>
      <c r="K4280" s="1063"/>
      <c r="L4280" s="1063"/>
    </row>
    <row r="4281" spans="5:12" x14ac:dyDescent="0.2">
      <c r="E4281" s="1063"/>
      <c r="H4281" s="1066"/>
      <c r="I4281" s="1063"/>
      <c r="J4281" s="1063"/>
      <c r="K4281" s="1063"/>
      <c r="L4281" s="1063"/>
    </row>
    <row r="4282" spans="5:12" x14ac:dyDescent="0.2">
      <c r="E4282" s="1063"/>
      <c r="H4282" s="1066"/>
      <c r="I4282" s="1063"/>
      <c r="J4282" s="1063"/>
      <c r="K4282" s="1063"/>
      <c r="L4282" s="1063"/>
    </row>
    <row r="4283" spans="5:12" x14ac:dyDescent="0.2">
      <c r="E4283" s="1063"/>
      <c r="H4283" s="1066"/>
      <c r="I4283" s="1063"/>
      <c r="J4283" s="1063"/>
      <c r="K4283" s="1063"/>
      <c r="L4283" s="1063"/>
    </row>
    <row r="4284" spans="5:12" x14ac:dyDescent="0.2">
      <c r="E4284" s="1063"/>
      <c r="H4284" s="1066"/>
      <c r="I4284" s="1063"/>
      <c r="J4284" s="1063"/>
      <c r="K4284" s="1063"/>
      <c r="L4284" s="1063"/>
    </row>
    <row r="4285" spans="5:12" x14ac:dyDescent="0.2">
      <c r="E4285" s="1063"/>
      <c r="H4285" s="1066"/>
      <c r="I4285" s="1063"/>
      <c r="J4285" s="1063"/>
      <c r="K4285" s="1063"/>
      <c r="L4285" s="1063"/>
    </row>
    <row r="4286" spans="5:12" x14ac:dyDescent="0.2">
      <c r="E4286" s="1063"/>
      <c r="H4286" s="1066"/>
      <c r="I4286" s="1063"/>
      <c r="J4286" s="1063"/>
      <c r="K4286" s="1063"/>
      <c r="L4286" s="1063"/>
    </row>
    <row r="4287" spans="5:12" x14ac:dyDescent="0.2">
      <c r="E4287" s="1063"/>
      <c r="H4287" s="1066"/>
      <c r="I4287" s="1063"/>
      <c r="J4287" s="1063"/>
      <c r="K4287" s="1063"/>
      <c r="L4287" s="1063"/>
    </row>
    <row r="4288" spans="5:12" x14ac:dyDescent="0.2">
      <c r="E4288" s="1063"/>
      <c r="H4288" s="1066"/>
      <c r="I4288" s="1063"/>
      <c r="J4288" s="1063"/>
      <c r="K4288" s="1063"/>
      <c r="L4288" s="1063"/>
    </row>
    <row r="4289" spans="5:12" x14ac:dyDescent="0.2">
      <c r="E4289" s="1063"/>
      <c r="H4289" s="1066"/>
      <c r="I4289" s="1063"/>
      <c r="J4289" s="1063"/>
      <c r="K4289" s="1063"/>
      <c r="L4289" s="1063"/>
    </row>
    <row r="4290" spans="5:12" x14ac:dyDescent="0.2">
      <c r="E4290" s="1063"/>
      <c r="H4290" s="1066"/>
      <c r="I4290" s="1063"/>
      <c r="J4290" s="1063"/>
      <c r="K4290" s="1063"/>
      <c r="L4290" s="1063"/>
    </row>
    <row r="4291" spans="5:12" x14ac:dyDescent="0.2">
      <c r="E4291" s="1063"/>
      <c r="H4291" s="1066"/>
      <c r="I4291" s="1063"/>
      <c r="J4291" s="1063"/>
      <c r="K4291" s="1063"/>
      <c r="L4291" s="1063"/>
    </row>
    <row r="4292" spans="5:12" x14ac:dyDescent="0.2">
      <c r="E4292" s="1063"/>
      <c r="H4292" s="1066"/>
      <c r="I4292" s="1063"/>
      <c r="J4292" s="1063"/>
      <c r="K4292" s="1063"/>
      <c r="L4292" s="1063"/>
    </row>
    <row r="4293" spans="5:12" x14ac:dyDescent="0.2">
      <c r="E4293" s="1063"/>
      <c r="H4293" s="1066"/>
      <c r="I4293" s="1063"/>
      <c r="J4293" s="1063"/>
      <c r="K4293" s="1063"/>
      <c r="L4293" s="1063"/>
    </row>
    <row r="4294" spans="5:12" x14ac:dyDescent="0.2">
      <c r="E4294" s="1063"/>
      <c r="H4294" s="1066"/>
      <c r="I4294" s="1063"/>
      <c r="J4294" s="1063"/>
      <c r="K4294" s="1063"/>
      <c r="L4294" s="1063"/>
    </row>
    <row r="4295" spans="5:12" x14ac:dyDescent="0.2">
      <c r="E4295" s="1063"/>
      <c r="H4295" s="1066"/>
      <c r="I4295" s="1063"/>
      <c r="J4295" s="1063"/>
      <c r="K4295" s="1063"/>
      <c r="L4295" s="1063"/>
    </row>
    <row r="4296" spans="5:12" x14ac:dyDescent="0.2">
      <c r="E4296" s="1063"/>
      <c r="H4296" s="1066"/>
      <c r="I4296" s="1063"/>
      <c r="J4296" s="1063"/>
      <c r="K4296" s="1063"/>
      <c r="L4296" s="1063"/>
    </row>
    <row r="4297" spans="5:12" x14ac:dyDescent="0.2">
      <c r="E4297" s="1063"/>
      <c r="H4297" s="1066"/>
      <c r="I4297" s="1063"/>
      <c r="J4297" s="1063"/>
      <c r="K4297" s="1063"/>
      <c r="L4297" s="1063"/>
    </row>
    <row r="4298" spans="5:12" x14ac:dyDescent="0.2">
      <c r="E4298" s="1063"/>
      <c r="H4298" s="1066"/>
      <c r="I4298" s="1063"/>
      <c r="J4298" s="1063"/>
      <c r="K4298" s="1063"/>
      <c r="L4298" s="1063"/>
    </row>
    <row r="4299" spans="5:12" x14ac:dyDescent="0.2">
      <c r="E4299" s="1063"/>
      <c r="H4299" s="1066"/>
      <c r="I4299" s="1063"/>
      <c r="J4299" s="1063"/>
      <c r="K4299" s="1063"/>
      <c r="L4299" s="1063"/>
    </row>
    <row r="4300" spans="5:12" x14ac:dyDescent="0.2">
      <c r="E4300" s="1063"/>
      <c r="H4300" s="1066"/>
      <c r="I4300" s="1063"/>
      <c r="J4300" s="1063"/>
      <c r="K4300" s="1063"/>
      <c r="L4300" s="1063"/>
    </row>
    <row r="4301" spans="5:12" x14ac:dyDescent="0.2">
      <c r="E4301" s="1063"/>
      <c r="H4301" s="1066"/>
      <c r="I4301" s="1063"/>
      <c r="J4301" s="1063"/>
      <c r="K4301" s="1063"/>
      <c r="L4301" s="1063"/>
    </row>
    <row r="4302" spans="5:12" x14ac:dyDescent="0.2">
      <c r="E4302" s="1063"/>
      <c r="H4302" s="1066"/>
      <c r="I4302" s="1063"/>
      <c r="J4302" s="1063"/>
      <c r="K4302" s="1063"/>
      <c r="L4302" s="1063"/>
    </row>
    <row r="4303" spans="5:12" x14ac:dyDescent="0.2">
      <c r="E4303" s="1063"/>
      <c r="H4303" s="1066"/>
      <c r="I4303" s="1063"/>
      <c r="J4303" s="1063"/>
      <c r="K4303" s="1063"/>
      <c r="L4303" s="1063"/>
    </row>
    <row r="4304" spans="5:12" x14ac:dyDescent="0.2">
      <c r="E4304" s="1063"/>
      <c r="H4304" s="1066"/>
      <c r="I4304" s="1063"/>
      <c r="J4304" s="1063"/>
      <c r="K4304" s="1063"/>
      <c r="L4304" s="1063"/>
    </row>
    <row r="4305" spans="5:12" x14ac:dyDescent="0.2">
      <c r="E4305" s="1063"/>
      <c r="H4305" s="1066"/>
      <c r="I4305" s="1063"/>
      <c r="J4305" s="1063"/>
      <c r="K4305" s="1063"/>
      <c r="L4305" s="1063"/>
    </row>
    <row r="4306" spans="5:12" x14ac:dyDescent="0.2">
      <c r="E4306" s="1063"/>
      <c r="H4306" s="1066"/>
      <c r="I4306" s="1063"/>
      <c r="J4306" s="1063"/>
      <c r="K4306" s="1063"/>
      <c r="L4306" s="1063"/>
    </row>
    <row r="4307" spans="5:12" x14ac:dyDescent="0.2">
      <c r="E4307" s="1063"/>
      <c r="H4307" s="1066"/>
      <c r="I4307" s="1063"/>
      <c r="J4307" s="1063"/>
      <c r="K4307" s="1063"/>
      <c r="L4307" s="1063"/>
    </row>
    <row r="4308" spans="5:12" x14ac:dyDescent="0.2">
      <c r="E4308" s="1063"/>
      <c r="H4308" s="1066"/>
      <c r="I4308" s="1063"/>
      <c r="J4308" s="1063"/>
      <c r="K4308" s="1063"/>
      <c r="L4308" s="1063"/>
    </row>
    <row r="4309" spans="5:12" x14ac:dyDescent="0.2">
      <c r="E4309" s="1063"/>
      <c r="H4309" s="1066"/>
      <c r="I4309" s="1063"/>
      <c r="J4309" s="1063"/>
      <c r="K4309" s="1063"/>
      <c r="L4309" s="1063"/>
    </row>
    <row r="4310" spans="5:12" x14ac:dyDescent="0.2">
      <c r="E4310" s="1063"/>
      <c r="H4310" s="1066"/>
      <c r="I4310" s="1063"/>
      <c r="J4310" s="1063"/>
      <c r="K4310" s="1063"/>
      <c r="L4310" s="1063"/>
    </row>
    <row r="4311" spans="5:12" x14ac:dyDescent="0.2">
      <c r="E4311" s="1063"/>
      <c r="H4311" s="1066"/>
      <c r="I4311" s="1063"/>
      <c r="J4311" s="1063"/>
      <c r="K4311" s="1063"/>
      <c r="L4311" s="1063"/>
    </row>
    <row r="4312" spans="5:12" x14ac:dyDescent="0.2">
      <c r="E4312" s="1063"/>
      <c r="H4312" s="1066"/>
      <c r="I4312" s="1063"/>
      <c r="J4312" s="1063"/>
      <c r="K4312" s="1063"/>
      <c r="L4312" s="1063"/>
    </row>
    <row r="4313" spans="5:12" x14ac:dyDescent="0.2">
      <c r="E4313" s="1063"/>
      <c r="H4313" s="1066"/>
      <c r="I4313" s="1063"/>
      <c r="J4313" s="1063"/>
      <c r="K4313" s="1063"/>
      <c r="L4313" s="1063"/>
    </row>
    <row r="4314" spans="5:12" x14ac:dyDescent="0.2">
      <c r="E4314" s="1063"/>
      <c r="H4314" s="1066"/>
      <c r="I4314" s="1063"/>
      <c r="J4314" s="1063"/>
      <c r="K4314" s="1063"/>
      <c r="L4314" s="1063"/>
    </row>
    <row r="4315" spans="5:12" x14ac:dyDescent="0.2">
      <c r="E4315" s="1063"/>
      <c r="H4315" s="1066"/>
      <c r="I4315" s="1063"/>
      <c r="J4315" s="1063"/>
      <c r="K4315" s="1063"/>
      <c r="L4315" s="1063"/>
    </row>
    <row r="4316" spans="5:12" x14ac:dyDescent="0.2">
      <c r="E4316" s="1063"/>
      <c r="H4316" s="1066"/>
      <c r="I4316" s="1063"/>
      <c r="J4316" s="1063"/>
      <c r="K4316" s="1063"/>
      <c r="L4316" s="1063"/>
    </row>
    <row r="4317" spans="5:12" x14ac:dyDescent="0.2">
      <c r="E4317" s="1063"/>
      <c r="H4317" s="1066"/>
      <c r="I4317" s="1063"/>
      <c r="J4317" s="1063"/>
      <c r="K4317" s="1063"/>
      <c r="L4317" s="1063"/>
    </row>
    <row r="4318" spans="5:12" x14ac:dyDescent="0.2">
      <c r="E4318" s="1063"/>
      <c r="H4318" s="1066"/>
      <c r="I4318" s="1063"/>
      <c r="J4318" s="1063"/>
      <c r="K4318" s="1063"/>
      <c r="L4318" s="1063"/>
    </row>
    <row r="4319" spans="5:12" x14ac:dyDescent="0.2">
      <c r="E4319" s="1063"/>
      <c r="H4319" s="1066"/>
      <c r="I4319" s="1063"/>
      <c r="J4319" s="1063"/>
      <c r="K4319" s="1063"/>
      <c r="L4319" s="1063"/>
    </row>
    <row r="4320" spans="5:12" x14ac:dyDescent="0.2">
      <c r="E4320" s="1063"/>
      <c r="H4320" s="1066"/>
      <c r="I4320" s="1063"/>
      <c r="J4320" s="1063"/>
      <c r="K4320" s="1063"/>
      <c r="L4320" s="1063"/>
    </row>
    <row r="4321" spans="5:12" x14ac:dyDescent="0.2">
      <c r="E4321" s="1063"/>
      <c r="H4321" s="1066"/>
      <c r="I4321" s="1063"/>
      <c r="J4321" s="1063"/>
      <c r="K4321" s="1063"/>
      <c r="L4321" s="1063"/>
    </row>
    <row r="4322" spans="5:12" x14ac:dyDescent="0.2">
      <c r="E4322" s="1063"/>
      <c r="H4322" s="1066"/>
      <c r="I4322" s="1063"/>
      <c r="J4322" s="1063"/>
      <c r="K4322" s="1063"/>
      <c r="L4322" s="1063"/>
    </row>
    <row r="4323" spans="5:12" x14ac:dyDescent="0.2">
      <c r="E4323" s="1063"/>
      <c r="H4323" s="1066"/>
      <c r="I4323" s="1063"/>
      <c r="J4323" s="1063"/>
      <c r="K4323" s="1063"/>
      <c r="L4323" s="1063"/>
    </row>
    <row r="4324" spans="5:12" x14ac:dyDescent="0.2">
      <c r="E4324" s="1063"/>
      <c r="H4324" s="1066"/>
      <c r="I4324" s="1063"/>
      <c r="J4324" s="1063"/>
      <c r="K4324" s="1063"/>
      <c r="L4324" s="1063"/>
    </row>
    <row r="4325" spans="5:12" x14ac:dyDescent="0.2">
      <c r="E4325" s="1063"/>
      <c r="H4325" s="1066"/>
      <c r="I4325" s="1063"/>
      <c r="J4325" s="1063"/>
      <c r="K4325" s="1063"/>
      <c r="L4325" s="1063"/>
    </row>
    <row r="4326" spans="5:12" x14ac:dyDescent="0.2">
      <c r="E4326" s="1063"/>
      <c r="H4326" s="1066"/>
      <c r="I4326" s="1063"/>
      <c r="J4326" s="1063"/>
      <c r="K4326" s="1063"/>
      <c r="L4326" s="1063"/>
    </row>
    <row r="4327" spans="5:12" x14ac:dyDescent="0.2">
      <c r="E4327" s="1063"/>
      <c r="H4327" s="1066"/>
      <c r="I4327" s="1063"/>
      <c r="J4327" s="1063"/>
      <c r="K4327" s="1063"/>
      <c r="L4327" s="1063"/>
    </row>
    <row r="4328" spans="5:12" x14ac:dyDescent="0.2">
      <c r="E4328" s="1063"/>
      <c r="H4328" s="1066"/>
      <c r="I4328" s="1063"/>
      <c r="J4328" s="1063"/>
      <c r="K4328" s="1063"/>
      <c r="L4328" s="1063"/>
    </row>
    <row r="4329" spans="5:12" x14ac:dyDescent="0.2">
      <c r="E4329" s="1063"/>
      <c r="H4329" s="1066"/>
      <c r="I4329" s="1063"/>
      <c r="J4329" s="1063"/>
      <c r="K4329" s="1063"/>
      <c r="L4329" s="1063"/>
    </row>
    <row r="4330" spans="5:12" x14ac:dyDescent="0.2">
      <c r="E4330" s="1063"/>
      <c r="H4330" s="1066"/>
      <c r="I4330" s="1063"/>
      <c r="J4330" s="1063"/>
      <c r="K4330" s="1063"/>
      <c r="L4330" s="1063"/>
    </row>
    <row r="4331" spans="5:12" x14ac:dyDescent="0.2">
      <c r="E4331" s="1063"/>
      <c r="H4331" s="1066"/>
      <c r="I4331" s="1063"/>
      <c r="J4331" s="1063"/>
      <c r="K4331" s="1063"/>
      <c r="L4331" s="1063"/>
    </row>
    <row r="4332" spans="5:12" x14ac:dyDescent="0.2">
      <c r="E4332" s="1063"/>
      <c r="H4332" s="1066"/>
      <c r="I4332" s="1063"/>
      <c r="J4332" s="1063"/>
      <c r="K4332" s="1063"/>
      <c r="L4332" s="1063"/>
    </row>
    <row r="4333" spans="5:12" x14ac:dyDescent="0.2">
      <c r="E4333" s="1063"/>
      <c r="H4333" s="1066"/>
      <c r="I4333" s="1063"/>
      <c r="J4333" s="1063"/>
      <c r="K4333" s="1063"/>
      <c r="L4333" s="1063"/>
    </row>
    <row r="4334" spans="5:12" x14ac:dyDescent="0.2">
      <c r="E4334" s="1063"/>
      <c r="H4334" s="1066"/>
      <c r="I4334" s="1063"/>
      <c r="J4334" s="1063"/>
      <c r="K4334" s="1063"/>
      <c r="L4334" s="1063"/>
    </row>
    <row r="4335" spans="5:12" x14ac:dyDescent="0.2">
      <c r="E4335" s="1063"/>
      <c r="H4335" s="1066"/>
      <c r="I4335" s="1063"/>
      <c r="J4335" s="1063"/>
      <c r="K4335" s="1063"/>
      <c r="L4335" s="1063"/>
    </row>
    <row r="4336" spans="5:12" x14ac:dyDescent="0.2">
      <c r="E4336" s="1063"/>
      <c r="H4336" s="1066"/>
      <c r="I4336" s="1063"/>
      <c r="J4336" s="1063"/>
      <c r="K4336" s="1063"/>
      <c r="L4336" s="1063"/>
    </row>
    <row r="4337" spans="5:12" x14ac:dyDescent="0.2">
      <c r="E4337" s="1063"/>
      <c r="H4337" s="1066"/>
      <c r="I4337" s="1063"/>
      <c r="J4337" s="1063"/>
      <c r="K4337" s="1063"/>
      <c r="L4337" s="1063"/>
    </row>
    <row r="4338" spans="5:12" x14ac:dyDescent="0.2">
      <c r="E4338" s="1063"/>
      <c r="H4338" s="1066"/>
      <c r="I4338" s="1063"/>
      <c r="J4338" s="1063"/>
      <c r="K4338" s="1063"/>
      <c r="L4338" s="1063"/>
    </row>
    <row r="4339" spans="5:12" x14ac:dyDescent="0.2">
      <c r="E4339" s="1063"/>
      <c r="H4339" s="1066"/>
      <c r="I4339" s="1063"/>
      <c r="J4339" s="1063"/>
      <c r="K4339" s="1063"/>
      <c r="L4339" s="1063"/>
    </row>
    <row r="4340" spans="5:12" x14ac:dyDescent="0.2">
      <c r="E4340" s="1063"/>
      <c r="H4340" s="1066"/>
      <c r="I4340" s="1063"/>
      <c r="J4340" s="1063"/>
      <c r="K4340" s="1063"/>
      <c r="L4340" s="1063"/>
    </row>
    <row r="4341" spans="5:12" x14ac:dyDescent="0.2">
      <c r="E4341" s="1063"/>
      <c r="H4341" s="1066"/>
      <c r="I4341" s="1063"/>
      <c r="J4341" s="1063"/>
      <c r="K4341" s="1063"/>
      <c r="L4341" s="1063"/>
    </row>
    <row r="4342" spans="5:12" x14ac:dyDescent="0.2">
      <c r="E4342" s="1063"/>
      <c r="H4342" s="1066"/>
      <c r="I4342" s="1063"/>
      <c r="J4342" s="1063"/>
      <c r="K4342" s="1063"/>
      <c r="L4342" s="1063"/>
    </row>
    <row r="4343" spans="5:12" x14ac:dyDescent="0.2">
      <c r="E4343" s="1063"/>
      <c r="H4343" s="1066"/>
      <c r="I4343" s="1063"/>
      <c r="J4343" s="1063"/>
      <c r="K4343" s="1063"/>
      <c r="L4343" s="1063"/>
    </row>
    <row r="4344" spans="5:12" x14ac:dyDescent="0.2">
      <c r="E4344" s="1063"/>
      <c r="H4344" s="1066"/>
      <c r="I4344" s="1063"/>
      <c r="J4344" s="1063"/>
      <c r="K4344" s="1063"/>
      <c r="L4344" s="1063"/>
    </row>
    <row r="4345" spans="5:12" x14ac:dyDescent="0.2">
      <c r="E4345" s="1063"/>
      <c r="H4345" s="1066"/>
      <c r="I4345" s="1063"/>
      <c r="J4345" s="1063"/>
      <c r="K4345" s="1063"/>
      <c r="L4345" s="1063"/>
    </row>
    <row r="4346" spans="5:12" x14ac:dyDescent="0.2">
      <c r="E4346" s="1063"/>
      <c r="H4346" s="1066"/>
      <c r="I4346" s="1063"/>
      <c r="J4346" s="1063"/>
      <c r="K4346" s="1063"/>
      <c r="L4346" s="1063"/>
    </row>
    <row r="4347" spans="5:12" x14ac:dyDescent="0.2">
      <c r="E4347" s="1063"/>
      <c r="H4347" s="1066"/>
      <c r="I4347" s="1063"/>
      <c r="J4347" s="1063"/>
      <c r="K4347" s="1063"/>
      <c r="L4347" s="1063"/>
    </row>
    <row r="4348" spans="5:12" x14ac:dyDescent="0.2">
      <c r="E4348" s="1063"/>
      <c r="H4348" s="1066"/>
      <c r="I4348" s="1063"/>
      <c r="J4348" s="1063"/>
      <c r="K4348" s="1063"/>
      <c r="L4348" s="1063"/>
    </row>
    <row r="4349" spans="5:12" x14ac:dyDescent="0.2">
      <c r="E4349" s="1063"/>
      <c r="H4349" s="1066"/>
      <c r="I4349" s="1063"/>
      <c r="J4349" s="1063"/>
      <c r="K4349" s="1063"/>
      <c r="L4349" s="1063"/>
    </row>
    <row r="4350" spans="5:12" x14ac:dyDescent="0.2">
      <c r="E4350" s="1063"/>
      <c r="H4350" s="1066"/>
      <c r="I4350" s="1063"/>
      <c r="J4350" s="1063"/>
      <c r="K4350" s="1063"/>
      <c r="L4350" s="1063"/>
    </row>
    <row r="4351" spans="5:12" x14ac:dyDescent="0.2">
      <c r="E4351" s="1063"/>
      <c r="H4351" s="1066"/>
      <c r="I4351" s="1063"/>
      <c r="J4351" s="1063"/>
      <c r="K4351" s="1063"/>
      <c r="L4351" s="1063"/>
    </row>
    <row r="4352" spans="5:12" x14ac:dyDescent="0.2">
      <c r="E4352" s="1063"/>
      <c r="H4352" s="1066"/>
      <c r="I4352" s="1063"/>
      <c r="J4352" s="1063"/>
      <c r="K4352" s="1063"/>
      <c r="L4352" s="1063"/>
    </row>
    <row r="4353" spans="5:12" x14ac:dyDescent="0.2">
      <c r="E4353" s="1063"/>
      <c r="H4353" s="1066"/>
      <c r="I4353" s="1063"/>
      <c r="J4353" s="1063"/>
      <c r="K4353" s="1063"/>
      <c r="L4353" s="1063"/>
    </row>
    <row r="4354" spans="5:12" x14ac:dyDescent="0.2">
      <c r="E4354" s="1063"/>
      <c r="H4354" s="1066"/>
      <c r="I4354" s="1063"/>
      <c r="J4354" s="1063"/>
      <c r="K4354" s="1063"/>
      <c r="L4354" s="1063"/>
    </row>
    <row r="4355" spans="5:12" x14ac:dyDescent="0.2">
      <c r="E4355" s="1063"/>
      <c r="H4355" s="1066"/>
      <c r="I4355" s="1063"/>
      <c r="J4355" s="1063"/>
      <c r="K4355" s="1063"/>
      <c r="L4355" s="1063"/>
    </row>
    <row r="4356" spans="5:12" x14ac:dyDescent="0.2">
      <c r="E4356" s="1063"/>
      <c r="H4356" s="1066"/>
      <c r="I4356" s="1063"/>
      <c r="J4356" s="1063"/>
      <c r="K4356" s="1063"/>
      <c r="L4356" s="1063"/>
    </row>
    <row r="4357" spans="5:12" x14ac:dyDescent="0.2">
      <c r="E4357" s="1063"/>
      <c r="H4357" s="1066"/>
      <c r="I4357" s="1063"/>
      <c r="J4357" s="1063"/>
      <c r="K4357" s="1063"/>
      <c r="L4357" s="1063"/>
    </row>
    <row r="4358" spans="5:12" x14ac:dyDescent="0.2">
      <c r="E4358" s="1063"/>
      <c r="H4358" s="1066"/>
      <c r="I4358" s="1063"/>
      <c r="J4358" s="1063"/>
      <c r="K4358" s="1063"/>
      <c r="L4358" s="1063"/>
    </row>
    <row r="4359" spans="5:12" x14ac:dyDescent="0.2">
      <c r="E4359" s="1063"/>
      <c r="H4359" s="1066"/>
      <c r="I4359" s="1063"/>
      <c r="J4359" s="1063"/>
      <c r="K4359" s="1063"/>
      <c r="L4359" s="1063"/>
    </row>
    <row r="4360" spans="5:12" x14ac:dyDescent="0.2">
      <c r="E4360" s="1063"/>
      <c r="H4360" s="1066"/>
      <c r="I4360" s="1063"/>
      <c r="J4360" s="1063"/>
      <c r="K4360" s="1063"/>
      <c r="L4360" s="1063"/>
    </row>
    <row r="4361" spans="5:12" x14ac:dyDescent="0.2">
      <c r="E4361" s="1063"/>
      <c r="H4361" s="1066"/>
      <c r="I4361" s="1063"/>
      <c r="J4361" s="1063"/>
      <c r="K4361" s="1063"/>
      <c r="L4361" s="1063"/>
    </row>
    <row r="4362" spans="5:12" x14ac:dyDescent="0.2">
      <c r="E4362" s="1063"/>
      <c r="H4362" s="1066"/>
      <c r="I4362" s="1063"/>
      <c r="J4362" s="1063"/>
      <c r="K4362" s="1063"/>
      <c r="L4362" s="1063"/>
    </row>
    <row r="4363" spans="5:12" x14ac:dyDescent="0.2">
      <c r="E4363" s="1063"/>
      <c r="H4363" s="1066"/>
      <c r="I4363" s="1063"/>
      <c r="J4363" s="1063"/>
      <c r="K4363" s="1063"/>
      <c r="L4363" s="1063"/>
    </row>
    <row r="4364" spans="5:12" x14ac:dyDescent="0.2">
      <c r="E4364" s="1063"/>
      <c r="H4364" s="1066"/>
      <c r="I4364" s="1063"/>
      <c r="J4364" s="1063"/>
      <c r="K4364" s="1063"/>
      <c r="L4364" s="1063"/>
    </row>
    <row r="4365" spans="5:12" x14ac:dyDescent="0.2">
      <c r="E4365" s="1063"/>
      <c r="H4365" s="1066"/>
      <c r="I4365" s="1063"/>
      <c r="J4365" s="1063"/>
      <c r="K4365" s="1063"/>
      <c r="L4365" s="1063"/>
    </row>
    <row r="4366" spans="5:12" x14ac:dyDescent="0.2">
      <c r="E4366" s="1063"/>
      <c r="H4366" s="1066"/>
      <c r="I4366" s="1063"/>
      <c r="J4366" s="1063"/>
      <c r="K4366" s="1063"/>
      <c r="L4366" s="1063"/>
    </row>
    <row r="4367" spans="5:12" x14ac:dyDescent="0.2">
      <c r="E4367" s="1063"/>
      <c r="H4367" s="1066"/>
      <c r="I4367" s="1063"/>
      <c r="J4367" s="1063"/>
      <c r="K4367" s="1063"/>
      <c r="L4367" s="1063"/>
    </row>
    <row r="4368" spans="5:12" x14ac:dyDescent="0.2">
      <c r="E4368" s="1063"/>
      <c r="H4368" s="1066"/>
      <c r="I4368" s="1063"/>
      <c r="J4368" s="1063"/>
      <c r="K4368" s="1063"/>
      <c r="L4368" s="1063"/>
    </row>
    <row r="4369" spans="5:12" x14ac:dyDescent="0.2">
      <c r="E4369" s="1063"/>
      <c r="H4369" s="1066"/>
      <c r="I4369" s="1063"/>
      <c r="J4369" s="1063"/>
      <c r="K4369" s="1063"/>
      <c r="L4369" s="1063"/>
    </row>
    <row r="4370" spans="5:12" x14ac:dyDescent="0.2">
      <c r="E4370" s="1063"/>
      <c r="H4370" s="1066"/>
      <c r="I4370" s="1063"/>
      <c r="J4370" s="1063"/>
      <c r="K4370" s="1063"/>
      <c r="L4370" s="1063"/>
    </row>
    <row r="4371" spans="5:12" x14ac:dyDescent="0.2">
      <c r="E4371" s="1063"/>
      <c r="H4371" s="1066"/>
      <c r="I4371" s="1063"/>
      <c r="J4371" s="1063"/>
      <c r="K4371" s="1063"/>
      <c r="L4371" s="1063"/>
    </row>
    <row r="4372" spans="5:12" x14ac:dyDescent="0.2">
      <c r="E4372" s="1063"/>
      <c r="H4372" s="1066"/>
      <c r="I4372" s="1063"/>
      <c r="J4372" s="1063"/>
      <c r="K4372" s="1063"/>
      <c r="L4372" s="1063"/>
    </row>
    <row r="4373" spans="5:12" x14ac:dyDescent="0.2">
      <c r="E4373" s="1063"/>
      <c r="H4373" s="1066"/>
      <c r="I4373" s="1063"/>
      <c r="J4373" s="1063"/>
      <c r="K4373" s="1063"/>
      <c r="L4373" s="1063"/>
    </row>
    <row r="4374" spans="5:12" x14ac:dyDescent="0.2">
      <c r="E4374" s="1063"/>
      <c r="H4374" s="1066"/>
      <c r="I4374" s="1063"/>
      <c r="J4374" s="1063"/>
      <c r="K4374" s="1063"/>
      <c r="L4374" s="1063"/>
    </row>
    <row r="4375" spans="5:12" x14ac:dyDescent="0.2">
      <c r="E4375" s="1063"/>
      <c r="H4375" s="1066"/>
      <c r="I4375" s="1063"/>
      <c r="J4375" s="1063"/>
      <c r="K4375" s="1063"/>
      <c r="L4375" s="1063"/>
    </row>
    <row r="4376" spans="5:12" x14ac:dyDescent="0.2">
      <c r="E4376" s="1063"/>
      <c r="H4376" s="1066"/>
      <c r="I4376" s="1063"/>
      <c r="J4376" s="1063"/>
      <c r="K4376" s="1063"/>
      <c r="L4376" s="1063"/>
    </row>
    <row r="4377" spans="5:12" x14ac:dyDescent="0.2">
      <c r="E4377" s="1063"/>
      <c r="H4377" s="1066"/>
      <c r="I4377" s="1063"/>
      <c r="J4377" s="1063"/>
      <c r="K4377" s="1063"/>
      <c r="L4377" s="1063"/>
    </row>
    <row r="4378" spans="5:12" x14ac:dyDescent="0.2">
      <c r="E4378" s="1063"/>
      <c r="H4378" s="1066"/>
      <c r="I4378" s="1063"/>
      <c r="J4378" s="1063"/>
      <c r="K4378" s="1063"/>
      <c r="L4378" s="1063"/>
    </row>
    <row r="4379" spans="5:12" x14ac:dyDescent="0.2">
      <c r="E4379" s="1063"/>
      <c r="H4379" s="1066"/>
      <c r="I4379" s="1063"/>
      <c r="J4379" s="1063"/>
      <c r="K4379" s="1063"/>
      <c r="L4379" s="1063"/>
    </row>
    <row r="4380" spans="5:12" x14ac:dyDescent="0.2">
      <c r="E4380" s="1063"/>
      <c r="H4380" s="1066"/>
      <c r="I4380" s="1063"/>
      <c r="J4380" s="1063"/>
      <c r="K4380" s="1063"/>
      <c r="L4380" s="1063"/>
    </row>
    <row r="4381" spans="5:12" x14ac:dyDescent="0.2">
      <c r="E4381" s="1063"/>
      <c r="H4381" s="1066"/>
      <c r="I4381" s="1063"/>
      <c r="J4381" s="1063"/>
      <c r="K4381" s="1063"/>
      <c r="L4381" s="1063"/>
    </row>
    <row r="4382" spans="5:12" x14ac:dyDescent="0.2">
      <c r="E4382" s="1063"/>
      <c r="H4382" s="1066"/>
      <c r="I4382" s="1063"/>
      <c r="J4382" s="1063"/>
      <c r="K4382" s="1063"/>
      <c r="L4382" s="1063"/>
    </row>
    <row r="4383" spans="5:12" x14ac:dyDescent="0.2">
      <c r="E4383" s="1063"/>
      <c r="H4383" s="1066"/>
      <c r="I4383" s="1063"/>
      <c r="J4383" s="1063"/>
      <c r="K4383" s="1063"/>
      <c r="L4383" s="1063"/>
    </row>
    <row r="4384" spans="5:12" x14ac:dyDescent="0.2">
      <c r="E4384" s="1063"/>
      <c r="H4384" s="1066"/>
      <c r="I4384" s="1063"/>
      <c r="J4384" s="1063"/>
      <c r="K4384" s="1063"/>
      <c r="L4384" s="1063"/>
    </row>
    <row r="4385" spans="5:12" x14ac:dyDescent="0.2">
      <c r="E4385" s="1063"/>
      <c r="H4385" s="1066"/>
      <c r="I4385" s="1063"/>
      <c r="J4385" s="1063"/>
      <c r="K4385" s="1063"/>
      <c r="L4385" s="1063"/>
    </row>
    <row r="4386" spans="5:12" x14ac:dyDescent="0.2">
      <c r="E4386" s="1063"/>
      <c r="H4386" s="1066"/>
      <c r="I4386" s="1063"/>
      <c r="J4386" s="1063"/>
      <c r="K4386" s="1063"/>
      <c r="L4386" s="1063"/>
    </row>
    <row r="4387" spans="5:12" x14ac:dyDescent="0.2">
      <c r="E4387" s="1063"/>
      <c r="H4387" s="1066"/>
      <c r="I4387" s="1063"/>
      <c r="J4387" s="1063"/>
      <c r="K4387" s="1063"/>
      <c r="L4387" s="1063"/>
    </row>
    <row r="4388" spans="5:12" x14ac:dyDescent="0.2">
      <c r="E4388" s="1063"/>
      <c r="H4388" s="1066"/>
      <c r="I4388" s="1063"/>
      <c r="J4388" s="1063"/>
      <c r="K4388" s="1063"/>
      <c r="L4388" s="1063"/>
    </row>
    <row r="4389" spans="5:12" x14ac:dyDescent="0.2">
      <c r="E4389" s="1063"/>
      <c r="H4389" s="1066"/>
      <c r="I4389" s="1063"/>
      <c r="J4389" s="1063"/>
      <c r="K4389" s="1063"/>
      <c r="L4389" s="1063"/>
    </row>
    <row r="4390" spans="5:12" x14ac:dyDescent="0.2">
      <c r="E4390" s="1063"/>
      <c r="H4390" s="1066"/>
      <c r="I4390" s="1063"/>
      <c r="J4390" s="1063"/>
      <c r="K4390" s="1063"/>
      <c r="L4390" s="1063"/>
    </row>
    <row r="4391" spans="5:12" x14ac:dyDescent="0.2">
      <c r="E4391" s="1063"/>
      <c r="H4391" s="1066"/>
      <c r="I4391" s="1063"/>
      <c r="J4391" s="1063"/>
      <c r="K4391" s="1063"/>
      <c r="L4391" s="1063"/>
    </row>
    <row r="4392" spans="5:12" x14ac:dyDescent="0.2">
      <c r="E4392" s="1063"/>
      <c r="H4392" s="1066"/>
      <c r="I4392" s="1063"/>
      <c r="J4392" s="1063"/>
      <c r="K4392" s="1063"/>
      <c r="L4392" s="1063"/>
    </row>
    <row r="4393" spans="5:12" x14ac:dyDescent="0.2">
      <c r="E4393" s="1063"/>
      <c r="H4393" s="1066"/>
      <c r="I4393" s="1063"/>
      <c r="J4393" s="1063"/>
      <c r="K4393" s="1063"/>
      <c r="L4393" s="1063"/>
    </row>
    <row r="4394" spans="5:12" x14ac:dyDescent="0.2">
      <c r="E4394" s="1063"/>
      <c r="H4394" s="1066"/>
      <c r="I4394" s="1063"/>
      <c r="J4394" s="1063"/>
      <c r="K4394" s="1063"/>
      <c r="L4394" s="1063"/>
    </row>
    <row r="4395" spans="5:12" x14ac:dyDescent="0.2">
      <c r="E4395" s="1063"/>
      <c r="H4395" s="1066"/>
      <c r="I4395" s="1063"/>
      <c r="J4395" s="1063"/>
      <c r="K4395" s="1063"/>
      <c r="L4395" s="1063"/>
    </row>
    <row r="4396" spans="5:12" x14ac:dyDescent="0.2">
      <c r="E4396" s="1063"/>
      <c r="H4396" s="1066"/>
      <c r="I4396" s="1063"/>
      <c r="J4396" s="1063"/>
      <c r="K4396" s="1063"/>
      <c r="L4396" s="1063"/>
    </row>
    <row r="4397" spans="5:12" x14ac:dyDescent="0.2">
      <c r="E4397" s="1063"/>
      <c r="H4397" s="1066"/>
      <c r="I4397" s="1063"/>
      <c r="J4397" s="1063"/>
      <c r="K4397" s="1063"/>
      <c r="L4397" s="1063"/>
    </row>
    <row r="4398" spans="5:12" x14ac:dyDescent="0.2">
      <c r="E4398" s="1063"/>
      <c r="H4398" s="1066"/>
      <c r="I4398" s="1063"/>
      <c r="J4398" s="1063"/>
      <c r="K4398" s="1063"/>
      <c r="L4398" s="1063"/>
    </row>
    <row r="4399" spans="5:12" x14ac:dyDescent="0.2">
      <c r="E4399" s="1063"/>
      <c r="H4399" s="1066"/>
      <c r="I4399" s="1063"/>
      <c r="J4399" s="1063"/>
      <c r="K4399" s="1063"/>
      <c r="L4399" s="1063"/>
    </row>
    <row r="4400" spans="5:12" x14ac:dyDescent="0.2">
      <c r="E4400" s="1063"/>
      <c r="H4400" s="1066"/>
      <c r="I4400" s="1063"/>
      <c r="J4400" s="1063"/>
      <c r="K4400" s="1063"/>
      <c r="L4400" s="1063"/>
    </row>
    <row r="4401" spans="5:12" x14ac:dyDescent="0.2">
      <c r="E4401" s="1063"/>
      <c r="H4401" s="1066"/>
      <c r="I4401" s="1063"/>
      <c r="J4401" s="1063"/>
      <c r="K4401" s="1063"/>
      <c r="L4401" s="1063"/>
    </row>
    <row r="4402" spans="5:12" x14ac:dyDescent="0.2">
      <c r="E4402" s="1063"/>
      <c r="H4402" s="1066"/>
      <c r="I4402" s="1063"/>
      <c r="J4402" s="1063"/>
      <c r="K4402" s="1063"/>
      <c r="L4402" s="1063"/>
    </row>
    <row r="4403" spans="5:12" x14ac:dyDescent="0.2">
      <c r="E4403" s="1063"/>
      <c r="H4403" s="1066"/>
      <c r="I4403" s="1063"/>
      <c r="J4403" s="1063"/>
      <c r="K4403" s="1063"/>
      <c r="L4403" s="1063"/>
    </row>
    <row r="4404" spans="5:12" x14ac:dyDescent="0.2">
      <c r="E4404" s="1063"/>
      <c r="H4404" s="1066"/>
      <c r="I4404" s="1063"/>
      <c r="J4404" s="1063"/>
      <c r="K4404" s="1063"/>
      <c r="L4404" s="1063"/>
    </row>
    <row r="4405" spans="5:12" x14ac:dyDescent="0.2">
      <c r="E4405" s="1063"/>
      <c r="H4405" s="1066"/>
      <c r="I4405" s="1063"/>
      <c r="J4405" s="1063"/>
      <c r="K4405" s="1063"/>
      <c r="L4405" s="1063"/>
    </row>
    <row r="4406" spans="5:12" x14ac:dyDescent="0.2">
      <c r="E4406" s="1063"/>
      <c r="H4406" s="1066"/>
      <c r="I4406" s="1063"/>
      <c r="J4406" s="1063"/>
      <c r="K4406" s="1063"/>
      <c r="L4406" s="1063"/>
    </row>
    <row r="4407" spans="5:12" x14ac:dyDescent="0.2">
      <c r="E4407" s="1063"/>
      <c r="H4407" s="1066"/>
      <c r="I4407" s="1063"/>
      <c r="J4407" s="1063"/>
      <c r="K4407" s="1063"/>
      <c r="L4407" s="1063"/>
    </row>
    <row r="4408" spans="5:12" x14ac:dyDescent="0.2">
      <c r="E4408" s="1063"/>
      <c r="H4408" s="1066"/>
      <c r="I4408" s="1063"/>
      <c r="J4408" s="1063"/>
      <c r="K4408" s="1063"/>
      <c r="L4408" s="1063"/>
    </row>
    <row r="4409" spans="5:12" x14ac:dyDescent="0.2">
      <c r="E4409" s="1063"/>
      <c r="H4409" s="1066"/>
      <c r="I4409" s="1063"/>
      <c r="J4409" s="1063"/>
      <c r="K4409" s="1063"/>
      <c r="L4409" s="1063"/>
    </row>
    <row r="4410" spans="5:12" x14ac:dyDescent="0.2">
      <c r="E4410" s="1063"/>
      <c r="H4410" s="1066"/>
      <c r="I4410" s="1063"/>
      <c r="J4410" s="1063"/>
      <c r="K4410" s="1063"/>
      <c r="L4410" s="1063"/>
    </row>
    <row r="4411" spans="5:12" x14ac:dyDescent="0.2">
      <c r="E4411" s="1063"/>
      <c r="H4411" s="1066"/>
      <c r="I4411" s="1063"/>
      <c r="J4411" s="1063"/>
      <c r="K4411" s="1063"/>
      <c r="L4411" s="1063"/>
    </row>
    <row r="4412" spans="5:12" x14ac:dyDescent="0.2">
      <c r="E4412" s="1063"/>
      <c r="H4412" s="1066"/>
      <c r="I4412" s="1063"/>
      <c r="J4412" s="1063"/>
      <c r="K4412" s="1063"/>
      <c r="L4412" s="1063"/>
    </row>
    <row r="4413" spans="5:12" x14ac:dyDescent="0.2">
      <c r="E4413" s="1063"/>
      <c r="H4413" s="1066"/>
      <c r="I4413" s="1063"/>
      <c r="J4413" s="1063"/>
      <c r="K4413" s="1063"/>
      <c r="L4413" s="1063"/>
    </row>
    <row r="4414" spans="5:12" x14ac:dyDescent="0.2">
      <c r="E4414" s="1063"/>
      <c r="H4414" s="1066"/>
      <c r="I4414" s="1063"/>
      <c r="J4414" s="1063"/>
      <c r="K4414" s="1063"/>
      <c r="L4414" s="1063"/>
    </row>
    <row r="4415" spans="5:12" x14ac:dyDescent="0.2">
      <c r="E4415" s="1063"/>
      <c r="H4415" s="1066"/>
      <c r="I4415" s="1063"/>
      <c r="J4415" s="1063"/>
      <c r="K4415" s="1063"/>
      <c r="L4415" s="1063"/>
    </row>
    <row r="4416" spans="5:12" x14ac:dyDescent="0.2">
      <c r="E4416" s="1063"/>
      <c r="H4416" s="1066"/>
      <c r="I4416" s="1063"/>
      <c r="J4416" s="1063"/>
      <c r="K4416" s="1063"/>
      <c r="L4416" s="1063"/>
    </row>
    <row r="4417" spans="5:12" x14ac:dyDescent="0.2">
      <c r="E4417" s="1063"/>
      <c r="H4417" s="1066"/>
      <c r="I4417" s="1063"/>
      <c r="J4417" s="1063"/>
      <c r="K4417" s="1063"/>
      <c r="L4417" s="1063"/>
    </row>
    <row r="4418" spans="5:12" x14ac:dyDescent="0.2">
      <c r="E4418" s="1063"/>
      <c r="H4418" s="1066"/>
      <c r="I4418" s="1063"/>
      <c r="J4418" s="1063"/>
      <c r="K4418" s="1063"/>
      <c r="L4418" s="1063"/>
    </row>
    <row r="4419" spans="5:12" x14ac:dyDescent="0.2">
      <c r="E4419" s="1063"/>
      <c r="H4419" s="1066"/>
      <c r="I4419" s="1063"/>
      <c r="J4419" s="1063"/>
      <c r="K4419" s="1063"/>
      <c r="L4419" s="1063"/>
    </row>
    <row r="4420" spans="5:12" x14ac:dyDescent="0.2">
      <c r="E4420" s="1063"/>
      <c r="H4420" s="1066"/>
      <c r="I4420" s="1063"/>
      <c r="J4420" s="1063"/>
      <c r="K4420" s="1063"/>
      <c r="L4420" s="1063"/>
    </row>
    <row r="4421" spans="5:12" x14ac:dyDescent="0.2">
      <c r="E4421" s="1063"/>
      <c r="H4421" s="1066"/>
      <c r="I4421" s="1063"/>
      <c r="J4421" s="1063"/>
      <c r="K4421" s="1063"/>
      <c r="L4421" s="1063"/>
    </row>
    <row r="4422" spans="5:12" x14ac:dyDescent="0.2">
      <c r="E4422" s="1063"/>
      <c r="H4422" s="1066"/>
      <c r="I4422" s="1063"/>
      <c r="J4422" s="1063"/>
      <c r="K4422" s="1063"/>
      <c r="L4422" s="1063"/>
    </row>
    <row r="4423" spans="5:12" x14ac:dyDescent="0.2">
      <c r="E4423" s="1063"/>
      <c r="H4423" s="1066"/>
      <c r="I4423" s="1063"/>
      <c r="J4423" s="1063"/>
      <c r="K4423" s="1063"/>
      <c r="L4423" s="1063"/>
    </row>
    <row r="4424" spans="5:12" x14ac:dyDescent="0.2">
      <c r="E4424" s="1063"/>
      <c r="H4424" s="1066"/>
      <c r="I4424" s="1063"/>
      <c r="J4424" s="1063"/>
      <c r="K4424" s="1063"/>
      <c r="L4424" s="1063"/>
    </row>
    <row r="4425" spans="5:12" x14ac:dyDescent="0.2">
      <c r="E4425" s="1063"/>
      <c r="H4425" s="1066"/>
      <c r="I4425" s="1063"/>
      <c r="J4425" s="1063"/>
      <c r="K4425" s="1063"/>
      <c r="L4425" s="1063"/>
    </row>
    <row r="4426" spans="5:12" x14ac:dyDescent="0.2">
      <c r="E4426" s="1063"/>
      <c r="H4426" s="1066"/>
      <c r="I4426" s="1063"/>
      <c r="J4426" s="1063"/>
      <c r="K4426" s="1063"/>
      <c r="L4426" s="1063"/>
    </row>
    <row r="4427" spans="5:12" x14ac:dyDescent="0.2">
      <c r="E4427" s="1063"/>
      <c r="H4427" s="1066"/>
      <c r="I4427" s="1063"/>
      <c r="J4427" s="1063"/>
      <c r="K4427" s="1063"/>
      <c r="L4427" s="1063"/>
    </row>
    <row r="4428" spans="5:12" x14ac:dyDescent="0.2">
      <c r="E4428" s="1063"/>
      <c r="H4428" s="1066"/>
      <c r="I4428" s="1063"/>
      <c r="J4428" s="1063"/>
      <c r="K4428" s="1063"/>
      <c r="L4428" s="1063"/>
    </row>
    <row r="4429" spans="5:12" x14ac:dyDescent="0.2">
      <c r="E4429" s="1063"/>
      <c r="H4429" s="1066"/>
      <c r="I4429" s="1063"/>
      <c r="J4429" s="1063"/>
      <c r="K4429" s="1063"/>
      <c r="L4429" s="1063"/>
    </row>
    <row r="4430" spans="5:12" x14ac:dyDescent="0.2">
      <c r="E4430" s="1063"/>
      <c r="H4430" s="1066"/>
      <c r="I4430" s="1063"/>
      <c r="J4430" s="1063"/>
      <c r="K4430" s="1063"/>
      <c r="L4430" s="1063"/>
    </row>
    <row r="4431" spans="5:12" x14ac:dyDescent="0.2">
      <c r="E4431" s="1063"/>
      <c r="H4431" s="1066"/>
      <c r="I4431" s="1063"/>
      <c r="J4431" s="1063"/>
      <c r="K4431" s="1063"/>
      <c r="L4431" s="1063"/>
    </row>
    <row r="4432" spans="5:12" x14ac:dyDescent="0.2">
      <c r="E4432" s="1063"/>
      <c r="H4432" s="1066"/>
      <c r="I4432" s="1063"/>
      <c r="J4432" s="1063"/>
      <c r="K4432" s="1063"/>
      <c r="L4432" s="1063"/>
    </row>
    <row r="4433" spans="5:12" x14ac:dyDescent="0.2">
      <c r="E4433" s="1063"/>
      <c r="H4433" s="1066"/>
      <c r="I4433" s="1063"/>
      <c r="J4433" s="1063"/>
      <c r="K4433" s="1063"/>
      <c r="L4433" s="1063"/>
    </row>
    <row r="4434" spans="5:12" x14ac:dyDescent="0.2">
      <c r="E4434" s="1063"/>
      <c r="H4434" s="1066"/>
      <c r="I4434" s="1063"/>
      <c r="J4434" s="1063"/>
      <c r="K4434" s="1063"/>
      <c r="L4434" s="1063"/>
    </row>
    <row r="4435" spans="5:12" x14ac:dyDescent="0.2">
      <c r="E4435" s="1063"/>
      <c r="H4435" s="1066"/>
      <c r="I4435" s="1063"/>
      <c r="J4435" s="1063"/>
      <c r="K4435" s="1063"/>
      <c r="L4435" s="1063"/>
    </row>
    <row r="4436" spans="5:12" x14ac:dyDescent="0.2">
      <c r="E4436" s="1063"/>
      <c r="H4436" s="1066"/>
      <c r="I4436" s="1063"/>
      <c r="J4436" s="1063"/>
      <c r="K4436" s="1063"/>
      <c r="L4436" s="1063"/>
    </row>
    <row r="4437" spans="5:12" x14ac:dyDescent="0.2">
      <c r="E4437" s="1063"/>
      <c r="H4437" s="1066"/>
      <c r="I4437" s="1063"/>
      <c r="J4437" s="1063"/>
      <c r="K4437" s="1063"/>
      <c r="L4437" s="1063"/>
    </row>
    <row r="4438" spans="5:12" x14ac:dyDescent="0.2">
      <c r="E4438" s="1063"/>
      <c r="H4438" s="1066"/>
      <c r="I4438" s="1063"/>
      <c r="J4438" s="1063"/>
      <c r="K4438" s="1063"/>
      <c r="L4438" s="1063"/>
    </row>
    <row r="4439" spans="5:12" x14ac:dyDescent="0.2">
      <c r="E4439" s="1063"/>
      <c r="H4439" s="1066"/>
      <c r="I4439" s="1063"/>
      <c r="J4439" s="1063"/>
      <c r="K4439" s="1063"/>
      <c r="L4439" s="1063"/>
    </row>
    <row r="4440" spans="5:12" x14ac:dyDescent="0.2">
      <c r="E4440" s="1063"/>
      <c r="H4440" s="1066"/>
      <c r="I4440" s="1063"/>
      <c r="J4440" s="1063"/>
      <c r="K4440" s="1063"/>
      <c r="L4440" s="1063"/>
    </row>
    <row r="4441" spans="5:12" x14ac:dyDescent="0.2">
      <c r="E4441" s="1063"/>
      <c r="H4441" s="1066"/>
      <c r="I4441" s="1063"/>
      <c r="J4441" s="1063"/>
      <c r="K4441" s="1063"/>
      <c r="L4441" s="1063"/>
    </row>
    <row r="4442" spans="5:12" x14ac:dyDescent="0.2">
      <c r="E4442" s="1063"/>
      <c r="H4442" s="1066"/>
      <c r="I4442" s="1063"/>
      <c r="J4442" s="1063"/>
      <c r="K4442" s="1063"/>
      <c r="L4442" s="1063"/>
    </row>
    <row r="4443" spans="5:12" x14ac:dyDescent="0.2">
      <c r="E4443" s="1063"/>
      <c r="H4443" s="1066"/>
      <c r="I4443" s="1063"/>
      <c r="J4443" s="1063"/>
      <c r="K4443" s="1063"/>
      <c r="L4443" s="1063"/>
    </row>
    <row r="4444" spans="5:12" x14ac:dyDescent="0.2">
      <c r="E4444" s="1063"/>
      <c r="H4444" s="1066"/>
      <c r="I4444" s="1063"/>
      <c r="J4444" s="1063"/>
      <c r="K4444" s="1063"/>
      <c r="L4444" s="1063"/>
    </row>
    <row r="4445" spans="5:12" x14ac:dyDescent="0.2">
      <c r="E4445" s="1063"/>
      <c r="H4445" s="1066"/>
      <c r="I4445" s="1063"/>
      <c r="J4445" s="1063"/>
      <c r="K4445" s="1063"/>
      <c r="L4445" s="1063"/>
    </row>
    <row r="4446" spans="5:12" x14ac:dyDescent="0.2">
      <c r="E4446" s="1063"/>
      <c r="H4446" s="1066"/>
      <c r="I4446" s="1063"/>
      <c r="J4446" s="1063"/>
      <c r="K4446" s="1063"/>
      <c r="L4446" s="1063"/>
    </row>
    <row r="4447" spans="5:12" x14ac:dyDescent="0.2">
      <c r="E4447" s="1063"/>
      <c r="H4447" s="1066"/>
      <c r="I4447" s="1063"/>
      <c r="J4447" s="1063"/>
      <c r="K4447" s="1063"/>
      <c r="L4447" s="1063"/>
    </row>
    <row r="4448" spans="5:12" x14ac:dyDescent="0.2">
      <c r="E4448" s="1063"/>
      <c r="H4448" s="1066"/>
      <c r="I4448" s="1063"/>
      <c r="J4448" s="1063"/>
      <c r="K4448" s="1063"/>
      <c r="L4448" s="1063"/>
    </row>
    <row r="4449" spans="5:12" x14ac:dyDescent="0.2">
      <c r="E4449" s="1063"/>
      <c r="H4449" s="1066"/>
      <c r="I4449" s="1063"/>
      <c r="J4449" s="1063"/>
      <c r="K4449" s="1063"/>
      <c r="L4449" s="1063"/>
    </row>
    <row r="4450" spans="5:12" x14ac:dyDescent="0.2">
      <c r="E4450" s="1063"/>
      <c r="H4450" s="1066"/>
      <c r="I4450" s="1063"/>
      <c r="J4450" s="1063"/>
      <c r="K4450" s="1063"/>
      <c r="L4450" s="1063"/>
    </row>
    <row r="4451" spans="5:12" x14ac:dyDescent="0.2">
      <c r="E4451" s="1063"/>
      <c r="H4451" s="1066"/>
      <c r="I4451" s="1063"/>
      <c r="J4451" s="1063"/>
      <c r="K4451" s="1063"/>
      <c r="L4451" s="1063"/>
    </row>
    <row r="4452" spans="5:12" x14ac:dyDescent="0.2">
      <c r="E4452" s="1063"/>
      <c r="H4452" s="1066"/>
      <c r="I4452" s="1063"/>
      <c r="J4452" s="1063"/>
      <c r="K4452" s="1063"/>
      <c r="L4452" s="1063"/>
    </row>
    <row r="4453" spans="5:12" x14ac:dyDescent="0.2">
      <c r="E4453" s="1063"/>
      <c r="H4453" s="1066"/>
      <c r="I4453" s="1063"/>
      <c r="J4453" s="1063"/>
      <c r="K4453" s="1063"/>
      <c r="L4453" s="1063"/>
    </row>
    <row r="4454" spans="5:12" x14ac:dyDescent="0.2">
      <c r="E4454" s="1063"/>
      <c r="H4454" s="1066"/>
      <c r="I4454" s="1063"/>
      <c r="J4454" s="1063"/>
      <c r="K4454" s="1063"/>
      <c r="L4454" s="1063"/>
    </row>
    <row r="4455" spans="5:12" x14ac:dyDescent="0.2">
      <c r="E4455" s="1063"/>
      <c r="H4455" s="1066"/>
      <c r="I4455" s="1063"/>
      <c r="J4455" s="1063"/>
      <c r="K4455" s="1063"/>
      <c r="L4455" s="1063"/>
    </row>
    <row r="4456" spans="5:12" x14ac:dyDescent="0.2">
      <c r="E4456" s="1063"/>
      <c r="H4456" s="1066"/>
      <c r="I4456" s="1063"/>
      <c r="J4456" s="1063"/>
      <c r="K4456" s="1063"/>
      <c r="L4456" s="1063"/>
    </row>
    <row r="4457" spans="5:12" x14ac:dyDescent="0.2">
      <c r="E4457" s="1063"/>
      <c r="H4457" s="1066"/>
      <c r="I4457" s="1063"/>
      <c r="J4457" s="1063"/>
      <c r="K4457" s="1063"/>
      <c r="L4457" s="1063"/>
    </row>
    <row r="4458" spans="5:12" x14ac:dyDescent="0.2">
      <c r="E4458" s="1063"/>
      <c r="H4458" s="1066"/>
      <c r="I4458" s="1063"/>
      <c r="J4458" s="1063"/>
      <c r="K4458" s="1063"/>
      <c r="L4458" s="1063"/>
    </row>
    <row r="4459" spans="5:12" x14ac:dyDescent="0.2">
      <c r="E4459" s="1063"/>
      <c r="H4459" s="1066"/>
      <c r="I4459" s="1063"/>
      <c r="J4459" s="1063"/>
      <c r="K4459" s="1063"/>
      <c r="L4459" s="1063"/>
    </row>
    <row r="4460" spans="5:12" x14ac:dyDescent="0.2">
      <c r="E4460" s="1063"/>
      <c r="H4460" s="1066"/>
      <c r="I4460" s="1063"/>
      <c r="J4460" s="1063"/>
      <c r="K4460" s="1063"/>
      <c r="L4460" s="1063"/>
    </row>
    <row r="4461" spans="5:12" x14ac:dyDescent="0.2">
      <c r="E4461" s="1063"/>
      <c r="H4461" s="1066"/>
      <c r="I4461" s="1063"/>
      <c r="J4461" s="1063"/>
      <c r="K4461" s="1063"/>
      <c r="L4461" s="1063"/>
    </row>
    <row r="4462" spans="5:12" x14ac:dyDescent="0.2">
      <c r="E4462" s="1063"/>
      <c r="H4462" s="1066"/>
      <c r="I4462" s="1063"/>
      <c r="J4462" s="1063"/>
      <c r="K4462" s="1063"/>
      <c r="L4462" s="1063"/>
    </row>
    <row r="4463" spans="5:12" x14ac:dyDescent="0.2">
      <c r="E4463" s="1063"/>
      <c r="H4463" s="1066"/>
      <c r="I4463" s="1063"/>
      <c r="J4463" s="1063"/>
      <c r="K4463" s="1063"/>
      <c r="L4463" s="1063"/>
    </row>
    <row r="4464" spans="5:12" x14ac:dyDescent="0.2">
      <c r="E4464" s="1063"/>
      <c r="H4464" s="1066"/>
      <c r="I4464" s="1063"/>
      <c r="J4464" s="1063"/>
      <c r="K4464" s="1063"/>
      <c r="L4464" s="1063"/>
    </row>
    <row r="4465" spans="5:12" x14ac:dyDescent="0.2">
      <c r="E4465" s="1063"/>
      <c r="H4465" s="1066"/>
      <c r="I4465" s="1063"/>
      <c r="J4465" s="1063"/>
      <c r="K4465" s="1063"/>
      <c r="L4465" s="1063"/>
    </row>
    <row r="4466" spans="5:12" x14ac:dyDescent="0.2">
      <c r="E4466" s="1063"/>
      <c r="H4466" s="1066"/>
      <c r="I4466" s="1063"/>
      <c r="J4466" s="1063"/>
      <c r="K4466" s="1063"/>
      <c r="L4466" s="1063"/>
    </row>
    <row r="4467" spans="5:12" x14ac:dyDescent="0.2">
      <c r="E4467" s="1063"/>
      <c r="H4467" s="1066"/>
      <c r="I4467" s="1063"/>
      <c r="J4467" s="1063"/>
      <c r="K4467" s="1063"/>
      <c r="L4467" s="1063"/>
    </row>
    <row r="4468" spans="5:12" x14ac:dyDescent="0.2">
      <c r="E4468" s="1063"/>
      <c r="H4468" s="1066"/>
      <c r="I4468" s="1063"/>
      <c r="J4468" s="1063"/>
      <c r="K4468" s="1063"/>
      <c r="L4468" s="1063"/>
    </row>
    <row r="4469" spans="5:12" x14ac:dyDescent="0.2">
      <c r="E4469" s="1063"/>
      <c r="H4469" s="1066"/>
      <c r="I4469" s="1063"/>
      <c r="J4469" s="1063"/>
      <c r="K4469" s="1063"/>
      <c r="L4469" s="1063"/>
    </row>
    <row r="4470" spans="5:12" x14ac:dyDescent="0.2">
      <c r="E4470" s="1063"/>
      <c r="H4470" s="1066"/>
      <c r="I4470" s="1063"/>
      <c r="J4470" s="1063"/>
      <c r="K4470" s="1063"/>
      <c r="L4470" s="1063"/>
    </row>
    <row r="4471" spans="5:12" x14ac:dyDescent="0.2">
      <c r="E4471" s="1063"/>
      <c r="H4471" s="1066"/>
      <c r="I4471" s="1063"/>
      <c r="J4471" s="1063"/>
      <c r="K4471" s="1063"/>
      <c r="L4471" s="1063"/>
    </row>
    <row r="4472" spans="5:12" x14ac:dyDescent="0.2">
      <c r="E4472" s="1063"/>
      <c r="H4472" s="1066"/>
      <c r="I4472" s="1063"/>
      <c r="J4472" s="1063"/>
      <c r="K4472" s="1063"/>
      <c r="L4472" s="1063"/>
    </row>
    <row r="4473" spans="5:12" x14ac:dyDescent="0.2">
      <c r="E4473" s="1063"/>
      <c r="H4473" s="1066"/>
      <c r="I4473" s="1063"/>
      <c r="J4473" s="1063"/>
      <c r="K4473" s="1063"/>
      <c r="L4473" s="1063"/>
    </row>
    <row r="4474" spans="5:12" x14ac:dyDescent="0.2">
      <c r="E4474" s="1063"/>
      <c r="H4474" s="1066"/>
      <c r="I4474" s="1063"/>
      <c r="J4474" s="1063"/>
      <c r="K4474" s="1063"/>
      <c r="L4474" s="1063"/>
    </row>
    <row r="4475" spans="5:12" x14ac:dyDescent="0.2">
      <c r="E4475" s="1063"/>
      <c r="H4475" s="1066"/>
      <c r="I4475" s="1063"/>
      <c r="J4475" s="1063"/>
      <c r="K4475" s="1063"/>
      <c r="L4475" s="1063"/>
    </row>
    <row r="4476" spans="5:12" x14ac:dyDescent="0.2">
      <c r="E4476" s="1063"/>
      <c r="H4476" s="1066"/>
      <c r="I4476" s="1063"/>
      <c r="J4476" s="1063"/>
      <c r="K4476" s="1063"/>
      <c r="L4476" s="1063"/>
    </row>
    <row r="4477" spans="5:12" x14ac:dyDescent="0.2">
      <c r="E4477" s="1063"/>
      <c r="H4477" s="1066"/>
      <c r="I4477" s="1063"/>
      <c r="J4477" s="1063"/>
      <c r="K4477" s="1063"/>
      <c r="L4477" s="1063"/>
    </row>
    <row r="4478" spans="5:12" x14ac:dyDescent="0.2">
      <c r="E4478" s="1063"/>
      <c r="H4478" s="1066"/>
      <c r="I4478" s="1063"/>
      <c r="J4478" s="1063"/>
      <c r="K4478" s="1063"/>
      <c r="L4478" s="1063"/>
    </row>
    <row r="4479" spans="5:12" x14ac:dyDescent="0.2">
      <c r="E4479" s="1063"/>
      <c r="H4479" s="1066"/>
      <c r="I4479" s="1063"/>
      <c r="J4479" s="1063"/>
      <c r="K4479" s="1063"/>
      <c r="L4479" s="1063"/>
    </row>
    <row r="4480" spans="5:12" x14ac:dyDescent="0.2">
      <c r="E4480" s="1063"/>
      <c r="H4480" s="1066"/>
      <c r="I4480" s="1063"/>
      <c r="J4480" s="1063"/>
      <c r="K4480" s="1063"/>
      <c r="L4480" s="1063"/>
    </row>
    <row r="4481" spans="5:12" x14ac:dyDescent="0.2">
      <c r="E4481" s="1063"/>
      <c r="H4481" s="1066"/>
      <c r="I4481" s="1063"/>
      <c r="J4481" s="1063"/>
      <c r="K4481" s="1063"/>
      <c r="L4481" s="1063"/>
    </row>
    <row r="4482" spans="5:12" x14ac:dyDescent="0.2">
      <c r="E4482" s="1063"/>
      <c r="H4482" s="1066"/>
      <c r="I4482" s="1063"/>
      <c r="J4482" s="1063"/>
      <c r="K4482" s="1063"/>
      <c r="L4482" s="1063"/>
    </row>
    <row r="4483" spans="5:12" x14ac:dyDescent="0.2">
      <c r="E4483" s="1063"/>
      <c r="H4483" s="1066"/>
      <c r="I4483" s="1063"/>
      <c r="J4483" s="1063"/>
      <c r="K4483" s="1063"/>
      <c r="L4483" s="1063"/>
    </row>
    <row r="4484" spans="5:12" x14ac:dyDescent="0.2">
      <c r="E4484" s="1063"/>
      <c r="H4484" s="1066"/>
      <c r="I4484" s="1063"/>
      <c r="J4484" s="1063"/>
      <c r="K4484" s="1063"/>
      <c r="L4484" s="1063"/>
    </row>
    <row r="4485" spans="5:12" x14ac:dyDescent="0.2">
      <c r="E4485" s="1063"/>
      <c r="H4485" s="1066"/>
      <c r="I4485" s="1063"/>
      <c r="J4485" s="1063"/>
      <c r="K4485" s="1063"/>
      <c r="L4485" s="1063"/>
    </row>
    <row r="4486" spans="5:12" x14ac:dyDescent="0.2">
      <c r="E4486" s="1063"/>
      <c r="H4486" s="1066"/>
      <c r="I4486" s="1063"/>
      <c r="J4486" s="1063"/>
      <c r="K4486" s="1063"/>
      <c r="L4486" s="1063"/>
    </row>
    <row r="4487" spans="5:12" x14ac:dyDescent="0.2">
      <c r="E4487" s="1063"/>
      <c r="H4487" s="1066"/>
      <c r="I4487" s="1063"/>
      <c r="J4487" s="1063"/>
      <c r="K4487" s="1063"/>
      <c r="L4487" s="1063"/>
    </row>
    <row r="4488" spans="5:12" x14ac:dyDescent="0.2">
      <c r="E4488" s="1063"/>
      <c r="H4488" s="1066"/>
      <c r="I4488" s="1063"/>
      <c r="J4488" s="1063"/>
      <c r="K4488" s="1063"/>
      <c r="L4488" s="1063"/>
    </row>
    <row r="4489" spans="5:12" x14ac:dyDescent="0.2">
      <c r="E4489" s="1063"/>
      <c r="H4489" s="1066"/>
      <c r="I4489" s="1063"/>
      <c r="J4489" s="1063"/>
      <c r="K4489" s="1063"/>
      <c r="L4489" s="1063"/>
    </row>
    <row r="4490" spans="5:12" x14ac:dyDescent="0.2">
      <c r="E4490" s="1063"/>
      <c r="H4490" s="1066"/>
      <c r="I4490" s="1063"/>
      <c r="J4490" s="1063"/>
      <c r="K4490" s="1063"/>
      <c r="L4490" s="1063"/>
    </row>
    <row r="4491" spans="5:12" x14ac:dyDescent="0.2">
      <c r="E4491" s="1063"/>
      <c r="H4491" s="1066"/>
      <c r="I4491" s="1063"/>
      <c r="J4491" s="1063"/>
      <c r="K4491" s="1063"/>
      <c r="L4491" s="1063"/>
    </row>
    <row r="4492" spans="5:12" x14ac:dyDescent="0.2">
      <c r="E4492" s="1063"/>
      <c r="H4492" s="1066"/>
      <c r="I4492" s="1063"/>
      <c r="J4492" s="1063"/>
      <c r="K4492" s="1063"/>
      <c r="L4492" s="1063"/>
    </row>
    <row r="4493" spans="5:12" x14ac:dyDescent="0.2">
      <c r="E4493" s="1063"/>
      <c r="H4493" s="1066"/>
      <c r="I4493" s="1063"/>
      <c r="J4493" s="1063"/>
      <c r="K4493" s="1063"/>
      <c r="L4493" s="1063"/>
    </row>
    <row r="4494" spans="5:12" x14ac:dyDescent="0.2">
      <c r="E4494" s="1063"/>
      <c r="H4494" s="1066"/>
      <c r="I4494" s="1063"/>
      <c r="J4494" s="1063"/>
      <c r="K4494" s="1063"/>
      <c r="L4494" s="1063"/>
    </row>
    <row r="4495" spans="5:12" x14ac:dyDescent="0.2">
      <c r="E4495" s="1063"/>
      <c r="H4495" s="1066"/>
      <c r="I4495" s="1063"/>
      <c r="J4495" s="1063"/>
      <c r="K4495" s="1063"/>
      <c r="L4495" s="1063"/>
    </row>
    <row r="4496" spans="5:12" x14ac:dyDescent="0.2">
      <c r="E4496" s="1063"/>
      <c r="H4496" s="1066"/>
      <c r="I4496" s="1063"/>
      <c r="J4496" s="1063"/>
      <c r="K4496" s="1063"/>
      <c r="L4496" s="1063"/>
    </row>
    <row r="4497" spans="5:12" x14ac:dyDescent="0.2">
      <c r="E4497" s="1063"/>
      <c r="H4497" s="1066"/>
      <c r="I4497" s="1063"/>
      <c r="J4497" s="1063"/>
      <c r="K4497" s="1063"/>
      <c r="L4497" s="1063"/>
    </row>
    <row r="4498" spans="5:12" x14ac:dyDescent="0.2">
      <c r="E4498" s="1063"/>
      <c r="H4498" s="1066"/>
      <c r="I4498" s="1063"/>
      <c r="J4498" s="1063"/>
      <c r="K4498" s="1063"/>
      <c r="L4498" s="1063"/>
    </row>
    <row r="4499" spans="5:12" x14ac:dyDescent="0.2">
      <c r="E4499" s="1063"/>
      <c r="H4499" s="1066"/>
      <c r="I4499" s="1063"/>
      <c r="J4499" s="1063"/>
      <c r="K4499" s="1063"/>
      <c r="L4499" s="1063"/>
    </row>
    <row r="4500" spans="5:12" x14ac:dyDescent="0.2">
      <c r="E4500" s="1063"/>
      <c r="H4500" s="1066"/>
      <c r="I4500" s="1063"/>
      <c r="J4500" s="1063"/>
      <c r="K4500" s="1063"/>
      <c r="L4500" s="1063"/>
    </row>
    <row r="4501" spans="5:12" x14ac:dyDescent="0.2">
      <c r="E4501" s="1063"/>
      <c r="H4501" s="1066"/>
      <c r="I4501" s="1063"/>
      <c r="J4501" s="1063"/>
      <c r="K4501" s="1063"/>
      <c r="L4501" s="1063"/>
    </row>
    <row r="4502" spans="5:12" x14ac:dyDescent="0.2">
      <c r="E4502" s="1063"/>
      <c r="H4502" s="1066"/>
      <c r="I4502" s="1063"/>
      <c r="J4502" s="1063"/>
      <c r="K4502" s="1063"/>
      <c r="L4502" s="1063"/>
    </row>
    <row r="4503" spans="5:12" x14ac:dyDescent="0.2">
      <c r="E4503" s="1063"/>
      <c r="H4503" s="1066"/>
      <c r="I4503" s="1063"/>
      <c r="J4503" s="1063"/>
      <c r="K4503" s="1063"/>
      <c r="L4503" s="1063"/>
    </row>
    <row r="4504" spans="5:12" x14ac:dyDescent="0.2">
      <c r="E4504" s="1063"/>
      <c r="H4504" s="1066"/>
      <c r="I4504" s="1063"/>
      <c r="J4504" s="1063"/>
      <c r="K4504" s="1063"/>
      <c r="L4504" s="1063"/>
    </row>
    <row r="4505" spans="5:12" x14ac:dyDescent="0.2">
      <c r="E4505" s="1063"/>
      <c r="H4505" s="1066"/>
      <c r="I4505" s="1063"/>
      <c r="J4505" s="1063"/>
      <c r="K4505" s="1063"/>
      <c r="L4505" s="1063"/>
    </row>
    <row r="4506" spans="5:12" x14ac:dyDescent="0.2">
      <c r="E4506" s="1063"/>
      <c r="H4506" s="1066"/>
      <c r="I4506" s="1063"/>
      <c r="J4506" s="1063"/>
      <c r="K4506" s="1063"/>
      <c r="L4506" s="1063"/>
    </row>
    <row r="4507" spans="5:12" x14ac:dyDescent="0.2">
      <c r="E4507" s="1063"/>
      <c r="H4507" s="1066"/>
      <c r="I4507" s="1063"/>
      <c r="J4507" s="1063"/>
      <c r="K4507" s="1063"/>
      <c r="L4507" s="1063"/>
    </row>
    <row r="4508" spans="5:12" x14ac:dyDescent="0.2">
      <c r="E4508" s="1063"/>
      <c r="H4508" s="1066"/>
      <c r="I4508" s="1063"/>
      <c r="J4508" s="1063"/>
      <c r="K4508" s="1063"/>
      <c r="L4508" s="1063"/>
    </row>
    <row r="4509" spans="5:12" x14ac:dyDescent="0.2">
      <c r="E4509" s="1063"/>
      <c r="H4509" s="1066"/>
      <c r="I4509" s="1063"/>
      <c r="J4509" s="1063"/>
      <c r="K4509" s="1063"/>
      <c r="L4509" s="1063"/>
    </row>
    <row r="4510" spans="5:12" x14ac:dyDescent="0.2">
      <c r="E4510" s="1063"/>
      <c r="H4510" s="1066"/>
      <c r="I4510" s="1063"/>
      <c r="J4510" s="1063"/>
      <c r="K4510" s="1063"/>
      <c r="L4510" s="1063"/>
    </row>
    <row r="4511" spans="5:12" x14ac:dyDescent="0.2">
      <c r="E4511" s="1063"/>
      <c r="H4511" s="1066"/>
      <c r="I4511" s="1063"/>
      <c r="J4511" s="1063"/>
      <c r="K4511" s="1063"/>
      <c r="L4511" s="1063"/>
    </row>
    <row r="4512" spans="5:12" x14ac:dyDescent="0.2">
      <c r="E4512" s="1063"/>
      <c r="H4512" s="1066"/>
      <c r="I4512" s="1063"/>
      <c r="J4512" s="1063"/>
      <c r="K4512" s="1063"/>
      <c r="L4512" s="1063"/>
    </row>
    <row r="4513" spans="5:12" x14ac:dyDescent="0.2">
      <c r="E4513" s="1063"/>
      <c r="H4513" s="1066"/>
      <c r="I4513" s="1063"/>
      <c r="J4513" s="1063"/>
      <c r="K4513" s="1063"/>
      <c r="L4513" s="1063"/>
    </row>
    <row r="4514" spans="5:12" x14ac:dyDescent="0.2">
      <c r="E4514" s="1063"/>
      <c r="H4514" s="1066"/>
      <c r="I4514" s="1063"/>
      <c r="J4514" s="1063"/>
      <c r="K4514" s="1063"/>
      <c r="L4514" s="1063"/>
    </row>
    <row r="4515" spans="5:12" x14ac:dyDescent="0.2">
      <c r="E4515" s="1063"/>
      <c r="H4515" s="1066"/>
      <c r="I4515" s="1063"/>
      <c r="J4515" s="1063"/>
      <c r="K4515" s="1063"/>
      <c r="L4515" s="1063"/>
    </row>
    <row r="4516" spans="5:12" x14ac:dyDescent="0.2">
      <c r="E4516" s="1063"/>
      <c r="H4516" s="1066"/>
      <c r="I4516" s="1063"/>
      <c r="J4516" s="1063"/>
      <c r="K4516" s="1063"/>
      <c r="L4516" s="1063"/>
    </row>
    <row r="4517" spans="5:12" x14ac:dyDescent="0.2">
      <c r="E4517" s="1063"/>
      <c r="H4517" s="1066"/>
      <c r="I4517" s="1063"/>
      <c r="J4517" s="1063"/>
      <c r="K4517" s="1063"/>
      <c r="L4517" s="1063"/>
    </row>
    <row r="4518" spans="5:12" x14ac:dyDescent="0.2">
      <c r="E4518" s="1063"/>
      <c r="H4518" s="1066"/>
      <c r="I4518" s="1063"/>
      <c r="J4518" s="1063"/>
      <c r="K4518" s="1063"/>
      <c r="L4518" s="1063"/>
    </row>
    <row r="4519" spans="5:12" x14ac:dyDescent="0.2">
      <c r="E4519" s="1063"/>
      <c r="H4519" s="1066"/>
      <c r="I4519" s="1063"/>
      <c r="J4519" s="1063"/>
      <c r="K4519" s="1063"/>
      <c r="L4519" s="1063"/>
    </row>
    <row r="4520" spans="5:12" x14ac:dyDescent="0.2">
      <c r="E4520" s="1063"/>
      <c r="H4520" s="1066"/>
      <c r="I4520" s="1063"/>
      <c r="J4520" s="1063"/>
      <c r="K4520" s="1063"/>
      <c r="L4520" s="1063"/>
    </row>
    <row r="4521" spans="5:12" x14ac:dyDescent="0.2">
      <c r="E4521" s="1063"/>
      <c r="H4521" s="1066"/>
      <c r="I4521" s="1063"/>
      <c r="J4521" s="1063"/>
      <c r="K4521" s="1063"/>
      <c r="L4521" s="1063"/>
    </row>
    <row r="4522" spans="5:12" x14ac:dyDescent="0.2">
      <c r="E4522" s="1063"/>
      <c r="H4522" s="1066"/>
      <c r="I4522" s="1063"/>
      <c r="J4522" s="1063"/>
      <c r="K4522" s="1063"/>
      <c r="L4522" s="1063"/>
    </row>
    <row r="4523" spans="5:12" x14ac:dyDescent="0.2">
      <c r="E4523" s="1063"/>
      <c r="H4523" s="1066"/>
      <c r="I4523" s="1063"/>
      <c r="J4523" s="1063"/>
      <c r="K4523" s="1063"/>
      <c r="L4523" s="1063"/>
    </row>
    <row r="4524" spans="5:12" x14ac:dyDescent="0.2">
      <c r="E4524" s="1063"/>
      <c r="H4524" s="1066"/>
      <c r="I4524" s="1063"/>
      <c r="J4524" s="1063"/>
      <c r="K4524" s="1063"/>
      <c r="L4524" s="1063"/>
    </row>
    <row r="4525" spans="5:12" x14ac:dyDescent="0.2">
      <c r="E4525" s="1063"/>
      <c r="H4525" s="1066"/>
      <c r="I4525" s="1063"/>
      <c r="J4525" s="1063"/>
      <c r="K4525" s="1063"/>
      <c r="L4525" s="1063"/>
    </row>
    <row r="4526" spans="5:12" x14ac:dyDescent="0.2">
      <c r="E4526" s="1063"/>
      <c r="H4526" s="1066"/>
      <c r="I4526" s="1063"/>
      <c r="J4526" s="1063"/>
      <c r="K4526" s="1063"/>
      <c r="L4526" s="1063"/>
    </row>
    <row r="4527" spans="5:12" x14ac:dyDescent="0.2">
      <c r="E4527" s="1063"/>
      <c r="H4527" s="1066"/>
      <c r="I4527" s="1063"/>
      <c r="J4527" s="1063"/>
      <c r="K4527" s="1063"/>
      <c r="L4527" s="1063"/>
    </row>
    <row r="4528" spans="5:12" x14ac:dyDescent="0.2">
      <c r="E4528" s="1063"/>
      <c r="H4528" s="1066"/>
      <c r="I4528" s="1063"/>
      <c r="J4528" s="1063"/>
      <c r="K4528" s="1063"/>
      <c r="L4528" s="1063"/>
    </row>
    <row r="4529" spans="5:12" x14ac:dyDescent="0.2">
      <c r="E4529" s="1063"/>
      <c r="H4529" s="1066"/>
      <c r="I4529" s="1063"/>
      <c r="J4529" s="1063"/>
      <c r="K4529" s="1063"/>
      <c r="L4529" s="1063"/>
    </row>
    <row r="4530" spans="5:12" x14ac:dyDescent="0.2">
      <c r="E4530" s="1063"/>
      <c r="H4530" s="1066"/>
      <c r="I4530" s="1063"/>
      <c r="J4530" s="1063"/>
      <c r="K4530" s="1063"/>
      <c r="L4530" s="1063"/>
    </row>
    <row r="4531" spans="5:12" x14ac:dyDescent="0.2">
      <c r="E4531" s="1063"/>
      <c r="H4531" s="1066"/>
      <c r="I4531" s="1063"/>
      <c r="J4531" s="1063"/>
      <c r="K4531" s="1063"/>
      <c r="L4531" s="1063"/>
    </row>
    <row r="4532" spans="5:12" x14ac:dyDescent="0.2">
      <c r="E4532" s="1063"/>
      <c r="H4532" s="1066"/>
      <c r="I4532" s="1063"/>
      <c r="J4532" s="1063"/>
      <c r="K4532" s="1063"/>
      <c r="L4532" s="1063"/>
    </row>
    <row r="4533" spans="5:12" x14ac:dyDescent="0.2">
      <c r="E4533" s="1063"/>
      <c r="H4533" s="1066"/>
      <c r="I4533" s="1063"/>
      <c r="J4533" s="1063"/>
      <c r="K4533" s="1063"/>
      <c r="L4533" s="1063"/>
    </row>
    <row r="4534" spans="5:12" x14ac:dyDescent="0.2">
      <c r="E4534" s="1063"/>
      <c r="H4534" s="1066"/>
      <c r="I4534" s="1063"/>
      <c r="J4534" s="1063"/>
      <c r="K4534" s="1063"/>
      <c r="L4534" s="1063"/>
    </row>
    <row r="4535" spans="5:12" x14ac:dyDescent="0.2">
      <c r="E4535" s="1063"/>
      <c r="H4535" s="1066"/>
      <c r="I4535" s="1063"/>
      <c r="J4535" s="1063"/>
      <c r="K4535" s="1063"/>
      <c r="L4535" s="1063"/>
    </row>
    <row r="4536" spans="5:12" x14ac:dyDescent="0.2">
      <c r="E4536" s="1063"/>
      <c r="H4536" s="1066"/>
      <c r="I4536" s="1063"/>
      <c r="J4536" s="1063"/>
      <c r="K4536" s="1063"/>
      <c r="L4536" s="1063"/>
    </row>
    <row r="4537" spans="5:12" x14ac:dyDescent="0.2">
      <c r="E4537" s="1063"/>
      <c r="H4537" s="1066"/>
      <c r="I4537" s="1063"/>
      <c r="J4537" s="1063"/>
      <c r="K4537" s="1063"/>
      <c r="L4537" s="1063"/>
    </row>
    <row r="4538" spans="5:12" x14ac:dyDescent="0.2">
      <c r="E4538" s="1063"/>
      <c r="H4538" s="1066"/>
      <c r="I4538" s="1063"/>
      <c r="J4538" s="1063"/>
      <c r="K4538" s="1063"/>
      <c r="L4538" s="1063"/>
    </row>
    <row r="4539" spans="5:12" x14ac:dyDescent="0.2">
      <c r="E4539" s="1063"/>
      <c r="H4539" s="1066"/>
      <c r="I4539" s="1063"/>
      <c r="J4539" s="1063"/>
      <c r="K4539" s="1063"/>
      <c r="L4539" s="1063"/>
    </row>
    <row r="4540" spans="5:12" x14ac:dyDescent="0.2">
      <c r="E4540" s="1063"/>
      <c r="H4540" s="1066"/>
      <c r="I4540" s="1063"/>
      <c r="J4540" s="1063"/>
      <c r="K4540" s="1063"/>
      <c r="L4540" s="1063"/>
    </row>
    <row r="4541" spans="5:12" x14ac:dyDescent="0.2">
      <c r="E4541" s="1063"/>
      <c r="H4541" s="1066"/>
      <c r="I4541" s="1063"/>
      <c r="J4541" s="1063"/>
      <c r="K4541" s="1063"/>
      <c r="L4541" s="1063"/>
    </row>
    <row r="4542" spans="5:12" x14ac:dyDescent="0.2">
      <c r="E4542" s="1063"/>
      <c r="H4542" s="1066"/>
      <c r="I4542" s="1063"/>
      <c r="J4542" s="1063"/>
      <c r="K4542" s="1063"/>
      <c r="L4542" s="1063"/>
    </row>
    <row r="4543" spans="5:12" x14ac:dyDescent="0.2">
      <c r="E4543" s="1063"/>
      <c r="H4543" s="1066"/>
      <c r="I4543" s="1063"/>
      <c r="J4543" s="1063"/>
      <c r="K4543" s="1063"/>
      <c r="L4543" s="1063"/>
    </row>
    <row r="4544" spans="5:12" x14ac:dyDescent="0.2">
      <c r="E4544" s="1063"/>
      <c r="H4544" s="1066"/>
      <c r="I4544" s="1063"/>
      <c r="J4544" s="1063"/>
      <c r="K4544" s="1063"/>
      <c r="L4544" s="1063"/>
    </row>
    <row r="4545" spans="5:12" x14ac:dyDescent="0.2">
      <c r="E4545" s="1063"/>
      <c r="H4545" s="1066"/>
      <c r="I4545" s="1063"/>
      <c r="J4545" s="1063"/>
      <c r="K4545" s="1063"/>
      <c r="L4545" s="1063"/>
    </row>
    <row r="4546" spans="5:12" x14ac:dyDescent="0.2">
      <c r="E4546" s="1063"/>
      <c r="H4546" s="1066"/>
      <c r="I4546" s="1063"/>
      <c r="J4546" s="1063"/>
      <c r="K4546" s="1063"/>
      <c r="L4546" s="1063"/>
    </row>
    <row r="4547" spans="5:12" x14ac:dyDescent="0.2">
      <c r="E4547" s="1063"/>
      <c r="H4547" s="1066"/>
      <c r="I4547" s="1063"/>
      <c r="J4547" s="1063"/>
      <c r="K4547" s="1063"/>
      <c r="L4547" s="1063"/>
    </row>
    <row r="4548" spans="5:12" x14ac:dyDescent="0.2">
      <c r="E4548" s="1063"/>
      <c r="H4548" s="1066"/>
      <c r="I4548" s="1063"/>
      <c r="J4548" s="1063"/>
      <c r="K4548" s="1063"/>
      <c r="L4548" s="1063"/>
    </row>
    <row r="4549" spans="5:12" x14ac:dyDescent="0.2">
      <c r="E4549" s="1063"/>
      <c r="H4549" s="1066"/>
      <c r="I4549" s="1063"/>
      <c r="J4549" s="1063"/>
      <c r="K4549" s="1063"/>
      <c r="L4549" s="1063"/>
    </row>
    <row r="4550" spans="5:12" x14ac:dyDescent="0.2">
      <c r="E4550" s="1063"/>
      <c r="H4550" s="1066"/>
      <c r="I4550" s="1063"/>
      <c r="J4550" s="1063"/>
      <c r="K4550" s="1063"/>
      <c r="L4550" s="1063"/>
    </row>
    <row r="4551" spans="5:12" x14ac:dyDescent="0.2">
      <c r="E4551" s="1063"/>
      <c r="H4551" s="1066"/>
      <c r="I4551" s="1063"/>
      <c r="J4551" s="1063"/>
      <c r="K4551" s="1063"/>
      <c r="L4551" s="1063"/>
    </row>
    <row r="4552" spans="5:12" x14ac:dyDescent="0.2">
      <c r="E4552" s="1063"/>
      <c r="H4552" s="1066"/>
      <c r="I4552" s="1063"/>
      <c r="J4552" s="1063"/>
      <c r="K4552" s="1063"/>
      <c r="L4552" s="1063"/>
    </row>
    <row r="4553" spans="5:12" x14ac:dyDescent="0.2">
      <c r="E4553" s="1063"/>
      <c r="H4553" s="1066"/>
      <c r="I4553" s="1063"/>
      <c r="J4553" s="1063"/>
      <c r="K4553" s="1063"/>
      <c r="L4553" s="1063"/>
    </row>
    <row r="4554" spans="5:12" x14ac:dyDescent="0.2">
      <c r="E4554" s="1063"/>
      <c r="H4554" s="1066"/>
      <c r="I4554" s="1063"/>
      <c r="J4554" s="1063"/>
      <c r="K4554" s="1063"/>
      <c r="L4554" s="1063"/>
    </row>
    <row r="4555" spans="5:12" x14ac:dyDescent="0.2">
      <c r="E4555" s="1063"/>
      <c r="H4555" s="1066"/>
      <c r="I4555" s="1063"/>
      <c r="J4555" s="1063"/>
      <c r="K4555" s="1063"/>
      <c r="L4555" s="1063"/>
    </row>
    <row r="4556" spans="5:12" x14ac:dyDescent="0.2">
      <c r="E4556" s="1063"/>
      <c r="H4556" s="1066"/>
      <c r="I4556" s="1063"/>
      <c r="J4556" s="1063"/>
      <c r="K4556" s="1063"/>
      <c r="L4556" s="1063"/>
    </row>
    <row r="4557" spans="5:12" x14ac:dyDescent="0.2">
      <c r="E4557" s="1063"/>
      <c r="H4557" s="1066"/>
      <c r="I4557" s="1063"/>
      <c r="J4557" s="1063"/>
      <c r="K4557" s="1063"/>
      <c r="L4557" s="1063"/>
    </row>
    <row r="4558" spans="5:12" x14ac:dyDescent="0.2">
      <c r="E4558" s="1063"/>
      <c r="H4558" s="1066"/>
      <c r="I4558" s="1063"/>
      <c r="J4558" s="1063"/>
      <c r="K4558" s="1063"/>
      <c r="L4558" s="1063"/>
    </row>
    <row r="4559" spans="5:12" x14ac:dyDescent="0.2">
      <c r="E4559" s="1063"/>
      <c r="H4559" s="1066"/>
      <c r="I4559" s="1063"/>
      <c r="J4559" s="1063"/>
      <c r="K4559" s="1063"/>
      <c r="L4559" s="1063"/>
    </row>
    <row r="4560" spans="5:12" x14ac:dyDescent="0.2">
      <c r="E4560" s="1063"/>
      <c r="H4560" s="1066"/>
      <c r="I4560" s="1063"/>
      <c r="J4560" s="1063"/>
      <c r="K4560" s="1063"/>
      <c r="L4560" s="1063"/>
    </row>
    <row r="4561" spans="5:12" x14ac:dyDescent="0.2">
      <c r="E4561" s="1063"/>
      <c r="H4561" s="1066"/>
      <c r="I4561" s="1063"/>
      <c r="J4561" s="1063"/>
      <c r="K4561" s="1063"/>
      <c r="L4561" s="1063"/>
    </row>
    <row r="4562" spans="5:12" x14ac:dyDescent="0.2">
      <c r="E4562" s="1063"/>
      <c r="H4562" s="1066"/>
      <c r="I4562" s="1063"/>
      <c r="J4562" s="1063"/>
      <c r="K4562" s="1063"/>
      <c r="L4562" s="1063"/>
    </row>
    <row r="4563" spans="5:12" x14ac:dyDescent="0.2">
      <c r="E4563" s="1063"/>
      <c r="H4563" s="1066"/>
      <c r="I4563" s="1063"/>
      <c r="J4563" s="1063"/>
      <c r="K4563" s="1063"/>
      <c r="L4563" s="1063"/>
    </row>
    <row r="4564" spans="5:12" x14ac:dyDescent="0.2">
      <c r="E4564" s="1063"/>
      <c r="H4564" s="1066"/>
      <c r="I4564" s="1063"/>
      <c r="J4564" s="1063"/>
      <c r="K4564" s="1063"/>
      <c r="L4564" s="1063"/>
    </row>
    <row r="4565" spans="5:12" x14ac:dyDescent="0.2">
      <c r="E4565" s="1063"/>
      <c r="H4565" s="1066"/>
      <c r="I4565" s="1063"/>
      <c r="J4565" s="1063"/>
      <c r="K4565" s="1063"/>
      <c r="L4565" s="1063"/>
    </row>
    <row r="4566" spans="5:12" x14ac:dyDescent="0.2">
      <c r="E4566" s="1063"/>
      <c r="H4566" s="1066"/>
      <c r="I4566" s="1063"/>
      <c r="J4566" s="1063"/>
      <c r="K4566" s="1063"/>
      <c r="L4566" s="1063"/>
    </row>
    <row r="4567" spans="5:12" x14ac:dyDescent="0.2">
      <c r="E4567" s="1063"/>
      <c r="H4567" s="1066"/>
      <c r="I4567" s="1063"/>
      <c r="J4567" s="1063"/>
      <c r="K4567" s="1063"/>
      <c r="L4567" s="1063"/>
    </row>
    <row r="4568" spans="5:12" x14ac:dyDescent="0.2">
      <c r="E4568" s="1063"/>
      <c r="H4568" s="1066"/>
      <c r="I4568" s="1063"/>
      <c r="J4568" s="1063"/>
      <c r="K4568" s="1063"/>
      <c r="L4568" s="1063"/>
    </row>
    <row r="4569" spans="5:12" x14ac:dyDescent="0.2">
      <c r="E4569" s="1063"/>
      <c r="H4569" s="1066"/>
      <c r="I4569" s="1063"/>
      <c r="J4569" s="1063"/>
      <c r="K4569" s="1063"/>
      <c r="L4569" s="1063"/>
    </row>
    <row r="4570" spans="5:12" x14ac:dyDescent="0.2">
      <c r="E4570" s="1063"/>
      <c r="H4570" s="1066"/>
      <c r="I4570" s="1063"/>
      <c r="J4570" s="1063"/>
      <c r="K4570" s="1063"/>
      <c r="L4570" s="1063"/>
    </row>
    <row r="4571" spans="5:12" x14ac:dyDescent="0.2">
      <c r="E4571" s="1063"/>
      <c r="H4571" s="1066"/>
      <c r="I4571" s="1063"/>
      <c r="J4571" s="1063"/>
      <c r="K4571" s="1063"/>
      <c r="L4571" s="1063"/>
    </row>
    <row r="4572" spans="5:12" x14ac:dyDescent="0.2">
      <c r="E4572" s="1063"/>
      <c r="H4572" s="1066"/>
      <c r="I4572" s="1063"/>
      <c r="J4572" s="1063"/>
      <c r="K4572" s="1063"/>
      <c r="L4572" s="1063"/>
    </row>
    <row r="4573" spans="5:12" x14ac:dyDescent="0.2">
      <c r="E4573" s="1063"/>
      <c r="H4573" s="1066"/>
      <c r="I4573" s="1063"/>
      <c r="J4573" s="1063"/>
      <c r="K4573" s="1063"/>
      <c r="L4573" s="1063"/>
    </row>
    <row r="4574" spans="5:12" x14ac:dyDescent="0.2">
      <c r="E4574" s="1063"/>
      <c r="H4574" s="1066"/>
      <c r="I4574" s="1063"/>
      <c r="J4574" s="1063"/>
      <c r="K4574" s="1063"/>
      <c r="L4574" s="1063"/>
    </row>
    <row r="4575" spans="5:12" x14ac:dyDescent="0.2">
      <c r="E4575" s="1063"/>
      <c r="H4575" s="1066"/>
      <c r="I4575" s="1063"/>
      <c r="J4575" s="1063"/>
      <c r="K4575" s="1063"/>
      <c r="L4575" s="1063"/>
    </row>
    <row r="4576" spans="5:12" x14ac:dyDescent="0.2">
      <c r="E4576" s="1063"/>
      <c r="H4576" s="1066"/>
      <c r="I4576" s="1063"/>
      <c r="J4576" s="1063"/>
      <c r="K4576" s="1063"/>
      <c r="L4576" s="1063"/>
    </row>
    <row r="4577" spans="5:12" x14ac:dyDescent="0.2">
      <c r="E4577" s="1063"/>
      <c r="H4577" s="1066"/>
      <c r="I4577" s="1063"/>
      <c r="J4577" s="1063"/>
      <c r="K4577" s="1063"/>
      <c r="L4577" s="1063"/>
    </row>
    <row r="4578" spans="5:12" x14ac:dyDescent="0.2">
      <c r="E4578" s="1063"/>
      <c r="H4578" s="1066"/>
      <c r="I4578" s="1063"/>
      <c r="J4578" s="1063"/>
      <c r="K4578" s="1063"/>
      <c r="L4578" s="1063"/>
    </row>
    <row r="4579" spans="5:12" x14ac:dyDescent="0.2">
      <c r="E4579" s="1063"/>
      <c r="H4579" s="1066"/>
      <c r="I4579" s="1063"/>
      <c r="J4579" s="1063"/>
      <c r="K4579" s="1063"/>
      <c r="L4579" s="1063"/>
    </row>
    <row r="4580" spans="5:12" x14ac:dyDescent="0.2">
      <c r="E4580" s="1063"/>
      <c r="H4580" s="1066"/>
      <c r="I4580" s="1063"/>
      <c r="J4580" s="1063"/>
      <c r="K4580" s="1063"/>
      <c r="L4580" s="1063"/>
    </row>
    <row r="4581" spans="5:12" x14ac:dyDescent="0.2">
      <c r="E4581" s="1063"/>
      <c r="H4581" s="1066"/>
      <c r="I4581" s="1063"/>
      <c r="J4581" s="1063"/>
      <c r="K4581" s="1063"/>
      <c r="L4581" s="1063"/>
    </row>
    <row r="4582" spans="5:12" x14ac:dyDescent="0.2">
      <c r="E4582" s="1063"/>
      <c r="H4582" s="1066"/>
      <c r="I4582" s="1063"/>
      <c r="J4582" s="1063"/>
      <c r="K4582" s="1063"/>
      <c r="L4582" s="1063"/>
    </row>
    <row r="4583" spans="5:12" x14ac:dyDescent="0.2">
      <c r="E4583" s="1063"/>
      <c r="H4583" s="1066"/>
      <c r="I4583" s="1063"/>
      <c r="J4583" s="1063"/>
      <c r="K4583" s="1063"/>
      <c r="L4583" s="1063"/>
    </row>
    <row r="4584" spans="5:12" x14ac:dyDescent="0.2">
      <c r="E4584" s="1063"/>
      <c r="H4584" s="1066"/>
      <c r="I4584" s="1063"/>
      <c r="J4584" s="1063"/>
      <c r="K4584" s="1063"/>
      <c r="L4584" s="1063"/>
    </row>
    <row r="4585" spans="5:12" x14ac:dyDescent="0.2">
      <c r="E4585" s="1063"/>
      <c r="H4585" s="1066"/>
      <c r="I4585" s="1063"/>
      <c r="J4585" s="1063"/>
      <c r="K4585" s="1063"/>
      <c r="L4585" s="1063"/>
    </row>
    <row r="4586" spans="5:12" x14ac:dyDescent="0.2">
      <c r="E4586" s="1063"/>
      <c r="H4586" s="1066"/>
      <c r="I4586" s="1063"/>
      <c r="J4586" s="1063"/>
      <c r="K4586" s="1063"/>
      <c r="L4586" s="1063"/>
    </row>
    <row r="4587" spans="5:12" x14ac:dyDescent="0.2">
      <c r="E4587" s="1063"/>
      <c r="H4587" s="1066"/>
      <c r="I4587" s="1063"/>
      <c r="J4587" s="1063"/>
      <c r="K4587" s="1063"/>
      <c r="L4587" s="1063"/>
    </row>
    <row r="4588" spans="5:12" x14ac:dyDescent="0.2">
      <c r="E4588" s="1063"/>
      <c r="H4588" s="1066"/>
      <c r="I4588" s="1063"/>
      <c r="J4588" s="1063"/>
      <c r="K4588" s="1063"/>
      <c r="L4588" s="1063"/>
    </row>
    <row r="4589" spans="5:12" x14ac:dyDescent="0.2">
      <c r="E4589" s="1063"/>
      <c r="H4589" s="1066"/>
      <c r="I4589" s="1063"/>
      <c r="J4589" s="1063"/>
      <c r="K4589" s="1063"/>
      <c r="L4589" s="1063"/>
    </row>
    <row r="4590" spans="5:12" x14ac:dyDescent="0.2">
      <c r="E4590" s="1063"/>
      <c r="H4590" s="1066"/>
      <c r="I4590" s="1063"/>
      <c r="J4590" s="1063"/>
      <c r="K4590" s="1063"/>
      <c r="L4590" s="1063"/>
    </row>
    <row r="4591" spans="5:12" x14ac:dyDescent="0.2">
      <c r="E4591" s="1063"/>
      <c r="H4591" s="1066"/>
      <c r="I4591" s="1063"/>
      <c r="J4591" s="1063"/>
      <c r="K4591" s="1063"/>
      <c r="L4591" s="1063"/>
    </row>
    <row r="4592" spans="5:12" x14ac:dyDescent="0.2">
      <c r="E4592" s="1063"/>
      <c r="H4592" s="1066"/>
      <c r="I4592" s="1063"/>
      <c r="J4592" s="1063"/>
      <c r="K4592" s="1063"/>
      <c r="L4592" s="1063"/>
    </row>
    <row r="4593" spans="5:12" x14ac:dyDescent="0.2">
      <c r="E4593" s="1063"/>
      <c r="H4593" s="1066"/>
      <c r="I4593" s="1063"/>
      <c r="J4593" s="1063"/>
      <c r="K4593" s="1063"/>
      <c r="L4593" s="1063"/>
    </row>
    <row r="4594" spans="5:12" x14ac:dyDescent="0.2">
      <c r="E4594" s="1063"/>
      <c r="H4594" s="1066"/>
      <c r="I4594" s="1063"/>
      <c r="J4594" s="1063"/>
      <c r="K4594" s="1063"/>
      <c r="L4594" s="1063"/>
    </row>
    <row r="4595" spans="5:12" x14ac:dyDescent="0.2">
      <c r="E4595" s="1063"/>
      <c r="H4595" s="1066"/>
      <c r="I4595" s="1063"/>
      <c r="J4595" s="1063"/>
      <c r="K4595" s="1063"/>
      <c r="L4595" s="1063"/>
    </row>
    <row r="4596" spans="5:12" x14ac:dyDescent="0.2">
      <c r="E4596" s="1063"/>
      <c r="H4596" s="1066"/>
      <c r="I4596" s="1063"/>
      <c r="J4596" s="1063"/>
      <c r="K4596" s="1063"/>
      <c r="L4596" s="1063"/>
    </row>
    <row r="4597" spans="5:12" x14ac:dyDescent="0.2">
      <c r="E4597" s="1063"/>
      <c r="H4597" s="1066"/>
      <c r="I4597" s="1063"/>
      <c r="J4597" s="1063"/>
      <c r="K4597" s="1063"/>
      <c r="L4597" s="1063"/>
    </row>
    <row r="4598" spans="5:12" x14ac:dyDescent="0.2">
      <c r="E4598" s="1063"/>
      <c r="H4598" s="1066"/>
      <c r="I4598" s="1063"/>
      <c r="J4598" s="1063"/>
      <c r="K4598" s="1063"/>
      <c r="L4598" s="1063"/>
    </row>
    <row r="4599" spans="5:12" x14ac:dyDescent="0.2">
      <c r="E4599" s="1063"/>
      <c r="H4599" s="1066"/>
      <c r="I4599" s="1063"/>
      <c r="J4599" s="1063"/>
      <c r="K4599" s="1063"/>
      <c r="L4599" s="1063"/>
    </row>
    <row r="4600" spans="5:12" x14ac:dyDescent="0.2">
      <c r="E4600" s="1063"/>
      <c r="H4600" s="1066"/>
      <c r="I4600" s="1063"/>
      <c r="J4600" s="1063"/>
      <c r="K4600" s="1063"/>
      <c r="L4600" s="1063"/>
    </row>
    <row r="4601" spans="5:12" x14ac:dyDescent="0.2">
      <c r="E4601" s="1063"/>
      <c r="H4601" s="1066"/>
      <c r="I4601" s="1063"/>
      <c r="J4601" s="1063"/>
      <c r="K4601" s="1063"/>
      <c r="L4601" s="1063"/>
    </row>
    <row r="4602" spans="5:12" x14ac:dyDescent="0.2">
      <c r="E4602" s="1063"/>
      <c r="H4602" s="1066"/>
      <c r="I4602" s="1063"/>
      <c r="J4602" s="1063"/>
      <c r="K4602" s="1063"/>
      <c r="L4602" s="1063"/>
    </row>
    <row r="4603" spans="5:12" x14ac:dyDescent="0.2">
      <c r="E4603" s="1063"/>
      <c r="H4603" s="1066"/>
      <c r="I4603" s="1063"/>
      <c r="J4603" s="1063"/>
      <c r="K4603" s="1063"/>
      <c r="L4603" s="1063"/>
    </row>
    <row r="4604" spans="5:12" x14ac:dyDescent="0.2">
      <c r="E4604" s="1063"/>
      <c r="H4604" s="1066"/>
      <c r="I4604" s="1063"/>
      <c r="J4604" s="1063"/>
      <c r="K4604" s="1063"/>
      <c r="L4604" s="1063"/>
    </row>
    <row r="4605" spans="5:12" x14ac:dyDescent="0.2">
      <c r="E4605" s="1063"/>
      <c r="H4605" s="1066"/>
      <c r="I4605" s="1063"/>
      <c r="J4605" s="1063"/>
      <c r="K4605" s="1063"/>
      <c r="L4605" s="1063"/>
    </row>
    <row r="4606" spans="5:12" x14ac:dyDescent="0.2">
      <c r="E4606" s="1063"/>
      <c r="H4606" s="1066"/>
      <c r="I4606" s="1063"/>
      <c r="J4606" s="1063"/>
      <c r="K4606" s="1063"/>
      <c r="L4606" s="1063"/>
    </row>
    <row r="4607" spans="5:12" x14ac:dyDescent="0.2">
      <c r="E4607" s="1063"/>
      <c r="H4607" s="1066"/>
      <c r="I4607" s="1063"/>
      <c r="J4607" s="1063"/>
      <c r="K4607" s="1063"/>
      <c r="L4607" s="1063"/>
    </row>
    <row r="4608" spans="5:12" x14ac:dyDescent="0.2">
      <c r="E4608" s="1063"/>
      <c r="H4608" s="1066"/>
      <c r="I4608" s="1063"/>
      <c r="J4608" s="1063"/>
      <c r="K4608" s="1063"/>
      <c r="L4608" s="1063"/>
    </row>
    <row r="4609" spans="5:12" x14ac:dyDescent="0.2">
      <c r="E4609" s="1063"/>
      <c r="H4609" s="1066"/>
      <c r="I4609" s="1063"/>
      <c r="J4609" s="1063"/>
      <c r="K4609" s="1063"/>
      <c r="L4609" s="1063"/>
    </row>
    <row r="4610" spans="5:12" x14ac:dyDescent="0.2">
      <c r="E4610" s="1063"/>
      <c r="H4610" s="1066"/>
      <c r="I4610" s="1063"/>
      <c r="J4610" s="1063"/>
      <c r="K4610" s="1063"/>
      <c r="L4610" s="1063"/>
    </row>
    <row r="4611" spans="5:12" x14ac:dyDescent="0.2">
      <c r="E4611" s="1063"/>
      <c r="H4611" s="1066"/>
      <c r="I4611" s="1063"/>
      <c r="J4611" s="1063"/>
      <c r="K4611" s="1063"/>
      <c r="L4611" s="1063"/>
    </row>
    <row r="4612" spans="5:12" x14ac:dyDescent="0.2">
      <c r="E4612" s="1063"/>
      <c r="H4612" s="1066"/>
      <c r="I4612" s="1063"/>
      <c r="J4612" s="1063"/>
      <c r="K4612" s="1063"/>
      <c r="L4612" s="1063"/>
    </row>
    <row r="4613" spans="5:12" x14ac:dyDescent="0.2">
      <c r="E4613" s="1063"/>
      <c r="H4613" s="1066"/>
      <c r="I4613" s="1063"/>
      <c r="J4613" s="1063"/>
      <c r="K4613" s="1063"/>
      <c r="L4613" s="1063"/>
    </row>
    <row r="4614" spans="5:12" x14ac:dyDescent="0.2">
      <c r="E4614" s="1063"/>
      <c r="H4614" s="1066"/>
      <c r="I4614" s="1063"/>
      <c r="J4614" s="1063"/>
      <c r="K4614" s="1063"/>
      <c r="L4614" s="1063"/>
    </row>
    <row r="4615" spans="5:12" x14ac:dyDescent="0.2">
      <c r="E4615" s="1063"/>
      <c r="H4615" s="1066"/>
      <c r="I4615" s="1063"/>
      <c r="J4615" s="1063"/>
      <c r="K4615" s="1063"/>
      <c r="L4615" s="1063"/>
    </row>
    <row r="4616" spans="5:12" x14ac:dyDescent="0.2">
      <c r="E4616" s="1063"/>
      <c r="H4616" s="1066"/>
      <c r="I4616" s="1063"/>
      <c r="J4616" s="1063"/>
      <c r="K4616" s="1063"/>
      <c r="L4616" s="1063"/>
    </row>
    <row r="4617" spans="5:12" x14ac:dyDescent="0.2">
      <c r="E4617" s="1063"/>
      <c r="H4617" s="1066"/>
      <c r="I4617" s="1063"/>
      <c r="J4617" s="1063"/>
      <c r="K4617" s="1063"/>
      <c r="L4617" s="1063"/>
    </row>
    <row r="4618" spans="5:12" x14ac:dyDescent="0.2">
      <c r="E4618" s="1063"/>
      <c r="H4618" s="1066"/>
      <c r="I4618" s="1063"/>
      <c r="J4618" s="1063"/>
      <c r="K4618" s="1063"/>
      <c r="L4618" s="1063"/>
    </row>
    <row r="4619" spans="5:12" x14ac:dyDescent="0.2">
      <c r="E4619" s="1063"/>
      <c r="H4619" s="1066"/>
      <c r="I4619" s="1063"/>
      <c r="J4619" s="1063"/>
      <c r="K4619" s="1063"/>
      <c r="L4619" s="1063"/>
    </row>
    <row r="4620" spans="5:12" x14ac:dyDescent="0.2">
      <c r="E4620" s="1063"/>
      <c r="H4620" s="1066"/>
      <c r="I4620" s="1063"/>
      <c r="J4620" s="1063"/>
      <c r="K4620" s="1063"/>
      <c r="L4620" s="1063"/>
    </row>
    <row r="4621" spans="5:12" x14ac:dyDescent="0.2">
      <c r="E4621" s="1063"/>
      <c r="H4621" s="1066"/>
      <c r="I4621" s="1063"/>
      <c r="J4621" s="1063"/>
      <c r="K4621" s="1063"/>
      <c r="L4621" s="1063"/>
    </row>
    <row r="4622" spans="5:12" x14ac:dyDescent="0.2">
      <c r="E4622" s="1063"/>
      <c r="H4622" s="1066"/>
      <c r="I4622" s="1063"/>
      <c r="J4622" s="1063"/>
      <c r="K4622" s="1063"/>
      <c r="L4622" s="1063"/>
    </row>
    <row r="4623" spans="5:12" x14ac:dyDescent="0.2">
      <c r="E4623" s="1063"/>
      <c r="H4623" s="1066"/>
      <c r="I4623" s="1063"/>
      <c r="J4623" s="1063"/>
      <c r="K4623" s="1063"/>
      <c r="L4623" s="1063"/>
    </row>
    <row r="4624" spans="5:12" x14ac:dyDescent="0.2">
      <c r="E4624" s="1063"/>
      <c r="H4624" s="1066"/>
      <c r="I4624" s="1063"/>
      <c r="J4624" s="1063"/>
      <c r="K4624" s="1063"/>
      <c r="L4624" s="1063"/>
    </row>
    <row r="4625" spans="5:12" x14ac:dyDescent="0.2">
      <c r="E4625" s="1063"/>
      <c r="H4625" s="1066"/>
      <c r="I4625" s="1063"/>
      <c r="J4625" s="1063"/>
      <c r="K4625" s="1063"/>
      <c r="L4625" s="1063"/>
    </row>
    <row r="4626" spans="5:12" x14ac:dyDescent="0.2">
      <c r="E4626" s="1063"/>
      <c r="H4626" s="1066"/>
      <c r="I4626" s="1063"/>
      <c r="J4626" s="1063"/>
      <c r="K4626" s="1063"/>
      <c r="L4626" s="1063"/>
    </row>
    <row r="4627" spans="5:12" x14ac:dyDescent="0.2">
      <c r="E4627" s="1063"/>
      <c r="H4627" s="1066"/>
      <c r="I4627" s="1063"/>
      <c r="J4627" s="1063"/>
      <c r="K4627" s="1063"/>
      <c r="L4627" s="1063"/>
    </row>
    <row r="4628" spans="5:12" x14ac:dyDescent="0.2">
      <c r="E4628" s="1063"/>
      <c r="H4628" s="1066"/>
      <c r="I4628" s="1063"/>
      <c r="J4628" s="1063"/>
      <c r="K4628" s="1063"/>
      <c r="L4628" s="1063"/>
    </row>
    <row r="4629" spans="5:12" x14ac:dyDescent="0.2">
      <c r="E4629" s="1063"/>
      <c r="H4629" s="1066"/>
      <c r="I4629" s="1063"/>
      <c r="J4629" s="1063"/>
      <c r="K4629" s="1063"/>
      <c r="L4629" s="1063"/>
    </row>
    <row r="4630" spans="5:12" x14ac:dyDescent="0.2">
      <c r="E4630" s="1063"/>
      <c r="H4630" s="1066"/>
      <c r="I4630" s="1063"/>
      <c r="J4630" s="1063"/>
      <c r="K4630" s="1063"/>
      <c r="L4630" s="1063"/>
    </row>
    <row r="4631" spans="5:12" x14ac:dyDescent="0.2">
      <c r="E4631" s="1063"/>
      <c r="H4631" s="1066"/>
      <c r="I4631" s="1063"/>
      <c r="J4631" s="1063"/>
      <c r="K4631" s="1063"/>
      <c r="L4631" s="1063"/>
    </row>
    <row r="4632" spans="5:12" x14ac:dyDescent="0.2">
      <c r="E4632" s="1063"/>
      <c r="H4632" s="1066"/>
      <c r="I4632" s="1063"/>
      <c r="J4632" s="1063"/>
      <c r="K4632" s="1063"/>
      <c r="L4632" s="1063"/>
    </row>
    <row r="4633" spans="5:12" x14ac:dyDescent="0.2">
      <c r="E4633" s="1063"/>
      <c r="H4633" s="1066"/>
      <c r="I4633" s="1063"/>
      <c r="J4633" s="1063"/>
      <c r="K4633" s="1063"/>
      <c r="L4633" s="1063"/>
    </row>
    <row r="4634" spans="5:12" x14ac:dyDescent="0.2">
      <c r="E4634" s="1063"/>
      <c r="H4634" s="1066"/>
      <c r="I4634" s="1063"/>
      <c r="J4634" s="1063"/>
      <c r="K4634" s="1063"/>
      <c r="L4634" s="1063"/>
    </row>
    <row r="4635" spans="5:12" x14ac:dyDescent="0.2">
      <c r="E4635" s="1063"/>
      <c r="H4635" s="1066"/>
      <c r="I4635" s="1063"/>
      <c r="J4635" s="1063"/>
      <c r="K4635" s="1063"/>
      <c r="L4635" s="1063"/>
    </row>
    <row r="4636" spans="5:12" x14ac:dyDescent="0.2">
      <c r="E4636" s="1063"/>
      <c r="H4636" s="1066"/>
      <c r="I4636" s="1063"/>
      <c r="J4636" s="1063"/>
      <c r="K4636" s="1063"/>
      <c r="L4636" s="1063"/>
    </row>
    <row r="4637" spans="5:12" x14ac:dyDescent="0.2">
      <c r="E4637" s="1063"/>
      <c r="H4637" s="1066"/>
      <c r="I4637" s="1063"/>
      <c r="J4637" s="1063"/>
      <c r="K4637" s="1063"/>
      <c r="L4637" s="1063"/>
    </row>
    <row r="4638" spans="5:12" x14ac:dyDescent="0.2">
      <c r="E4638" s="1063"/>
      <c r="H4638" s="1066"/>
      <c r="I4638" s="1063"/>
      <c r="J4638" s="1063"/>
      <c r="K4638" s="1063"/>
      <c r="L4638" s="1063"/>
    </row>
    <row r="4639" spans="5:12" x14ac:dyDescent="0.2">
      <c r="E4639" s="1063"/>
      <c r="H4639" s="1066"/>
      <c r="I4639" s="1063"/>
      <c r="J4639" s="1063"/>
      <c r="K4639" s="1063"/>
      <c r="L4639" s="1063"/>
    </row>
    <row r="4640" spans="5:12" x14ac:dyDescent="0.2">
      <c r="E4640" s="1063"/>
      <c r="H4640" s="1066"/>
      <c r="I4640" s="1063"/>
      <c r="J4640" s="1063"/>
      <c r="K4640" s="1063"/>
      <c r="L4640" s="1063"/>
    </row>
    <row r="4641" spans="5:12" x14ac:dyDescent="0.2">
      <c r="E4641" s="1063"/>
      <c r="H4641" s="1066"/>
      <c r="I4641" s="1063"/>
      <c r="J4641" s="1063"/>
      <c r="K4641" s="1063"/>
      <c r="L4641" s="1063"/>
    </row>
    <row r="4642" spans="5:12" x14ac:dyDescent="0.2">
      <c r="E4642" s="1063"/>
      <c r="H4642" s="1066"/>
      <c r="I4642" s="1063"/>
      <c r="J4642" s="1063"/>
      <c r="K4642" s="1063"/>
      <c r="L4642" s="1063"/>
    </row>
    <row r="4643" spans="5:12" x14ac:dyDescent="0.2">
      <c r="E4643" s="1063"/>
      <c r="H4643" s="1066"/>
      <c r="I4643" s="1063"/>
      <c r="J4643" s="1063"/>
      <c r="K4643" s="1063"/>
      <c r="L4643" s="1063"/>
    </row>
    <row r="4644" spans="5:12" x14ac:dyDescent="0.2">
      <c r="E4644" s="1063"/>
      <c r="H4644" s="1066"/>
      <c r="I4644" s="1063"/>
      <c r="J4644" s="1063"/>
      <c r="K4644" s="1063"/>
      <c r="L4644" s="1063"/>
    </row>
    <row r="4645" spans="5:12" x14ac:dyDescent="0.2">
      <c r="E4645" s="1063"/>
      <c r="H4645" s="1066"/>
      <c r="I4645" s="1063"/>
      <c r="J4645" s="1063"/>
      <c r="K4645" s="1063"/>
      <c r="L4645" s="1063"/>
    </row>
    <row r="4646" spans="5:12" x14ac:dyDescent="0.2">
      <c r="E4646" s="1063"/>
      <c r="H4646" s="1066"/>
      <c r="I4646" s="1063"/>
      <c r="J4646" s="1063"/>
      <c r="K4646" s="1063"/>
      <c r="L4646" s="1063"/>
    </row>
    <row r="4647" spans="5:12" x14ac:dyDescent="0.2">
      <c r="E4647" s="1063"/>
      <c r="H4647" s="1066"/>
      <c r="I4647" s="1063"/>
      <c r="J4647" s="1063"/>
      <c r="K4647" s="1063"/>
      <c r="L4647" s="1063"/>
    </row>
    <row r="4648" spans="5:12" x14ac:dyDescent="0.2">
      <c r="E4648" s="1063"/>
      <c r="H4648" s="1066"/>
      <c r="I4648" s="1063"/>
      <c r="J4648" s="1063"/>
      <c r="K4648" s="1063"/>
      <c r="L4648" s="1063"/>
    </row>
    <row r="4649" spans="5:12" x14ac:dyDescent="0.2">
      <c r="E4649" s="1063"/>
      <c r="H4649" s="1066"/>
      <c r="I4649" s="1063"/>
      <c r="J4649" s="1063"/>
      <c r="K4649" s="1063"/>
      <c r="L4649" s="1063"/>
    </row>
    <row r="4650" spans="5:12" x14ac:dyDescent="0.2">
      <c r="E4650" s="1063"/>
      <c r="H4650" s="1066"/>
      <c r="I4650" s="1063"/>
      <c r="J4650" s="1063"/>
      <c r="K4650" s="1063"/>
      <c r="L4650" s="1063"/>
    </row>
    <row r="4651" spans="5:12" x14ac:dyDescent="0.2">
      <c r="E4651" s="1063"/>
      <c r="H4651" s="1066"/>
      <c r="I4651" s="1063"/>
      <c r="J4651" s="1063"/>
      <c r="K4651" s="1063"/>
      <c r="L4651" s="1063"/>
    </row>
    <row r="4652" spans="5:12" x14ac:dyDescent="0.2">
      <c r="E4652" s="1063"/>
      <c r="H4652" s="1066"/>
      <c r="I4652" s="1063"/>
      <c r="J4652" s="1063"/>
      <c r="K4652" s="1063"/>
      <c r="L4652" s="1063"/>
    </row>
    <row r="4653" spans="5:12" x14ac:dyDescent="0.2">
      <c r="E4653" s="1063"/>
      <c r="H4653" s="1066"/>
      <c r="I4653" s="1063"/>
      <c r="J4653" s="1063"/>
      <c r="K4653" s="1063"/>
      <c r="L4653" s="1063"/>
    </row>
    <row r="4654" spans="5:12" x14ac:dyDescent="0.2">
      <c r="E4654" s="1063"/>
      <c r="H4654" s="1066"/>
      <c r="I4654" s="1063"/>
      <c r="J4654" s="1063"/>
      <c r="K4654" s="1063"/>
      <c r="L4654" s="1063"/>
    </row>
    <row r="4655" spans="5:12" x14ac:dyDescent="0.2">
      <c r="E4655" s="1063"/>
      <c r="H4655" s="1066"/>
      <c r="I4655" s="1063"/>
      <c r="J4655" s="1063"/>
      <c r="K4655" s="1063"/>
      <c r="L4655" s="1063"/>
    </row>
    <row r="4656" spans="5:12" x14ac:dyDescent="0.2">
      <c r="E4656" s="1063"/>
      <c r="H4656" s="1066"/>
      <c r="I4656" s="1063"/>
      <c r="J4656" s="1063"/>
      <c r="K4656" s="1063"/>
      <c r="L4656" s="1063"/>
    </row>
    <row r="4657" spans="5:12" x14ac:dyDescent="0.2">
      <c r="E4657" s="1063"/>
      <c r="H4657" s="1066"/>
      <c r="I4657" s="1063"/>
      <c r="J4657" s="1063"/>
      <c r="K4657" s="1063"/>
      <c r="L4657" s="1063"/>
    </row>
    <row r="4658" spans="5:12" x14ac:dyDescent="0.2">
      <c r="E4658" s="1063"/>
      <c r="H4658" s="1066"/>
      <c r="I4658" s="1063"/>
      <c r="J4658" s="1063"/>
      <c r="K4658" s="1063"/>
      <c r="L4658" s="1063"/>
    </row>
    <row r="4659" spans="5:12" x14ac:dyDescent="0.2">
      <c r="E4659" s="1063"/>
      <c r="H4659" s="1066"/>
      <c r="I4659" s="1063"/>
      <c r="J4659" s="1063"/>
      <c r="K4659" s="1063"/>
      <c r="L4659" s="1063"/>
    </row>
    <row r="4660" spans="5:12" x14ac:dyDescent="0.2">
      <c r="E4660" s="1063"/>
      <c r="H4660" s="1066"/>
      <c r="I4660" s="1063"/>
      <c r="J4660" s="1063"/>
      <c r="K4660" s="1063"/>
      <c r="L4660" s="1063"/>
    </row>
    <row r="4661" spans="5:12" x14ac:dyDescent="0.2">
      <c r="E4661" s="1063"/>
      <c r="H4661" s="1066"/>
      <c r="I4661" s="1063"/>
      <c r="J4661" s="1063"/>
      <c r="K4661" s="1063"/>
      <c r="L4661" s="1063"/>
    </row>
    <row r="4662" spans="5:12" x14ac:dyDescent="0.2">
      <c r="E4662" s="1063"/>
      <c r="H4662" s="1066"/>
      <c r="I4662" s="1063"/>
      <c r="J4662" s="1063"/>
      <c r="K4662" s="1063"/>
      <c r="L4662" s="1063"/>
    </row>
    <row r="4663" spans="5:12" x14ac:dyDescent="0.2">
      <c r="E4663" s="1063"/>
      <c r="H4663" s="1066"/>
      <c r="I4663" s="1063"/>
      <c r="J4663" s="1063"/>
      <c r="K4663" s="1063"/>
      <c r="L4663" s="1063"/>
    </row>
    <row r="4664" spans="5:12" x14ac:dyDescent="0.2">
      <c r="E4664" s="1063"/>
      <c r="H4664" s="1066"/>
      <c r="I4664" s="1063"/>
      <c r="J4664" s="1063"/>
      <c r="K4664" s="1063"/>
      <c r="L4664" s="1063"/>
    </row>
    <row r="4665" spans="5:12" x14ac:dyDescent="0.2">
      <c r="E4665" s="1063"/>
      <c r="H4665" s="1066"/>
      <c r="I4665" s="1063"/>
      <c r="J4665" s="1063"/>
      <c r="K4665" s="1063"/>
      <c r="L4665" s="1063"/>
    </row>
    <row r="4666" spans="5:12" x14ac:dyDescent="0.2">
      <c r="E4666" s="1063"/>
      <c r="H4666" s="1066"/>
      <c r="I4666" s="1063"/>
      <c r="J4666" s="1063"/>
      <c r="K4666" s="1063"/>
      <c r="L4666" s="1063"/>
    </row>
    <row r="4667" spans="5:12" x14ac:dyDescent="0.2">
      <c r="E4667" s="1063"/>
      <c r="H4667" s="1066"/>
      <c r="I4667" s="1063"/>
      <c r="J4667" s="1063"/>
      <c r="K4667" s="1063"/>
      <c r="L4667" s="1063"/>
    </row>
    <row r="4668" spans="5:12" x14ac:dyDescent="0.2">
      <c r="E4668" s="1063"/>
      <c r="H4668" s="1066"/>
      <c r="I4668" s="1063"/>
      <c r="J4668" s="1063"/>
      <c r="K4668" s="1063"/>
      <c r="L4668" s="1063"/>
    </row>
    <row r="4669" spans="5:12" x14ac:dyDescent="0.2">
      <c r="E4669" s="1063"/>
      <c r="H4669" s="1066"/>
      <c r="I4669" s="1063"/>
      <c r="J4669" s="1063"/>
      <c r="K4669" s="1063"/>
      <c r="L4669" s="1063"/>
    </row>
    <row r="4670" spans="5:12" x14ac:dyDescent="0.2">
      <c r="E4670" s="1063"/>
      <c r="H4670" s="1066"/>
      <c r="I4670" s="1063"/>
      <c r="J4670" s="1063"/>
      <c r="K4670" s="1063"/>
      <c r="L4670" s="1063"/>
    </row>
    <row r="4671" spans="5:12" x14ac:dyDescent="0.2">
      <c r="E4671" s="1063"/>
      <c r="H4671" s="1066"/>
      <c r="I4671" s="1063"/>
      <c r="J4671" s="1063"/>
      <c r="K4671" s="1063"/>
      <c r="L4671" s="1063"/>
    </row>
    <row r="4672" spans="5:12" x14ac:dyDescent="0.2">
      <c r="E4672" s="1063"/>
      <c r="H4672" s="1066"/>
      <c r="I4672" s="1063"/>
      <c r="J4672" s="1063"/>
      <c r="K4672" s="1063"/>
      <c r="L4672" s="1063"/>
    </row>
    <row r="4673" spans="5:12" x14ac:dyDescent="0.2">
      <c r="E4673" s="1063"/>
      <c r="H4673" s="1066"/>
      <c r="I4673" s="1063"/>
      <c r="J4673" s="1063"/>
      <c r="K4673" s="1063"/>
      <c r="L4673" s="1063"/>
    </row>
    <row r="4674" spans="5:12" x14ac:dyDescent="0.2">
      <c r="E4674" s="1063"/>
      <c r="H4674" s="1066"/>
      <c r="I4674" s="1063"/>
      <c r="J4674" s="1063"/>
      <c r="K4674" s="1063"/>
      <c r="L4674" s="1063"/>
    </row>
    <row r="4675" spans="5:12" x14ac:dyDescent="0.2">
      <c r="E4675" s="1063"/>
      <c r="H4675" s="1066"/>
      <c r="I4675" s="1063"/>
      <c r="J4675" s="1063"/>
      <c r="K4675" s="1063"/>
      <c r="L4675" s="1063"/>
    </row>
    <row r="4676" spans="5:12" x14ac:dyDescent="0.2">
      <c r="E4676" s="1063"/>
      <c r="H4676" s="1066"/>
      <c r="I4676" s="1063"/>
      <c r="J4676" s="1063"/>
      <c r="K4676" s="1063"/>
      <c r="L4676" s="1063"/>
    </row>
    <row r="4677" spans="5:12" x14ac:dyDescent="0.2">
      <c r="E4677" s="1063"/>
      <c r="H4677" s="1066"/>
      <c r="I4677" s="1063"/>
      <c r="J4677" s="1063"/>
      <c r="K4677" s="1063"/>
      <c r="L4677" s="1063"/>
    </row>
    <row r="4678" spans="5:12" x14ac:dyDescent="0.2">
      <c r="E4678" s="1063"/>
      <c r="H4678" s="1066"/>
      <c r="I4678" s="1063"/>
      <c r="J4678" s="1063"/>
      <c r="K4678" s="1063"/>
      <c r="L4678" s="1063"/>
    </row>
    <row r="4679" spans="5:12" x14ac:dyDescent="0.2">
      <c r="E4679" s="1063"/>
      <c r="H4679" s="1066"/>
      <c r="I4679" s="1063"/>
      <c r="J4679" s="1063"/>
      <c r="K4679" s="1063"/>
      <c r="L4679" s="1063"/>
    </row>
    <row r="4680" spans="5:12" x14ac:dyDescent="0.2">
      <c r="E4680" s="1063"/>
      <c r="H4680" s="1066"/>
      <c r="I4680" s="1063"/>
      <c r="J4680" s="1063"/>
      <c r="K4680" s="1063"/>
      <c r="L4680" s="1063"/>
    </row>
    <row r="4681" spans="5:12" x14ac:dyDescent="0.2">
      <c r="E4681" s="1063"/>
      <c r="H4681" s="1066"/>
      <c r="I4681" s="1063"/>
      <c r="J4681" s="1063"/>
      <c r="K4681" s="1063"/>
      <c r="L4681" s="1063"/>
    </row>
    <row r="4682" spans="5:12" x14ac:dyDescent="0.2">
      <c r="E4682" s="1063"/>
      <c r="H4682" s="1066"/>
      <c r="I4682" s="1063"/>
      <c r="J4682" s="1063"/>
      <c r="K4682" s="1063"/>
      <c r="L4682" s="1063"/>
    </row>
    <row r="4683" spans="5:12" x14ac:dyDescent="0.2">
      <c r="E4683" s="1063"/>
      <c r="H4683" s="1066"/>
      <c r="I4683" s="1063"/>
      <c r="J4683" s="1063"/>
      <c r="K4683" s="1063"/>
      <c r="L4683" s="1063"/>
    </row>
    <row r="4684" spans="5:12" x14ac:dyDescent="0.2">
      <c r="E4684" s="1063"/>
      <c r="H4684" s="1066"/>
      <c r="I4684" s="1063"/>
      <c r="J4684" s="1063"/>
      <c r="K4684" s="1063"/>
      <c r="L4684" s="1063"/>
    </row>
    <row r="4685" spans="5:12" x14ac:dyDescent="0.2">
      <c r="E4685" s="1063"/>
      <c r="H4685" s="1066"/>
      <c r="I4685" s="1063"/>
      <c r="J4685" s="1063"/>
      <c r="K4685" s="1063"/>
      <c r="L4685" s="1063"/>
    </row>
    <row r="4686" spans="5:12" x14ac:dyDescent="0.2">
      <c r="E4686" s="1063"/>
      <c r="H4686" s="1066"/>
      <c r="I4686" s="1063"/>
      <c r="J4686" s="1063"/>
      <c r="K4686" s="1063"/>
      <c r="L4686" s="1063"/>
    </row>
    <row r="4687" spans="5:12" x14ac:dyDescent="0.2">
      <c r="E4687" s="1063"/>
      <c r="H4687" s="1066"/>
      <c r="I4687" s="1063"/>
      <c r="J4687" s="1063"/>
      <c r="K4687" s="1063"/>
      <c r="L4687" s="1063"/>
    </row>
    <row r="4688" spans="5:12" x14ac:dyDescent="0.2">
      <c r="E4688" s="1063"/>
      <c r="H4688" s="1066"/>
      <c r="I4688" s="1063"/>
      <c r="J4688" s="1063"/>
      <c r="K4688" s="1063"/>
      <c r="L4688" s="1063"/>
    </row>
    <row r="4689" spans="5:12" x14ac:dyDescent="0.2">
      <c r="E4689" s="1063"/>
      <c r="H4689" s="1066"/>
      <c r="I4689" s="1063"/>
      <c r="J4689" s="1063"/>
      <c r="K4689" s="1063"/>
      <c r="L4689" s="1063"/>
    </row>
    <row r="4690" spans="5:12" x14ac:dyDescent="0.2">
      <c r="E4690" s="1063"/>
      <c r="H4690" s="1066"/>
      <c r="I4690" s="1063"/>
      <c r="J4690" s="1063"/>
      <c r="K4690" s="1063"/>
      <c r="L4690" s="1063"/>
    </row>
    <row r="4691" spans="5:12" x14ac:dyDescent="0.2">
      <c r="E4691" s="1063"/>
      <c r="H4691" s="1066"/>
      <c r="I4691" s="1063"/>
      <c r="J4691" s="1063"/>
      <c r="K4691" s="1063"/>
      <c r="L4691" s="1063"/>
    </row>
    <row r="4692" spans="5:12" x14ac:dyDescent="0.2">
      <c r="E4692" s="1063"/>
      <c r="H4692" s="1066"/>
      <c r="I4692" s="1063"/>
      <c r="J4692" s="1063"/>
      <c r="K4692" s="1063"/>
      <c r="L4692" s="1063"/>
    </row>
    <row r="4693" spans="5:12" x14ac:dyDescent="0.2">
      <c r="E4693" s="1063"/>
      <c r="H4693" s="1066"/>
      <c r="I4693" s="1063"/>
      <c r="J4693" s="1063"/>
      <c r="K4693" s="1063"/>
      <c r="L4693" s="1063"/>
    </row>
    <row r="4694" spans="5:12" x14ac:dyDescent="0.2">
      <c r="E4694" s="1063"/>
      <c r="H4694" s="1066"/>
      <c r="I4694" s="1063"/>
      <c r="J4694" s="1063"/>
      <c r="K4694" s="1063"/>
      <c r="L4694" s="1063"/>
    </row>
    <row r="4695" spans="5:12" x14ac:dyDescent="0.2">
      <c r="E4695" s="1063"/>
      <c r="H4695" s="1066"/>
      <c r="I4695" s="1063"/>
      <c r="J4695" s="1063"/>
      <c r="K4695" s="1063"/>
      <c r="L4695" s="1063"/>
    </row>
    <row r="4696" spans="5:12" x14ac:dyDescent="0.2">
      <c r="E4696" s="1063"/>
      <c r="H4696" s="1066"/>
      <c r="I4696" s="1063"/>
      <c r="J4696" s="1063"/>
      <c r="K4696" s="1063"/>
      <c r="L4696" s="1063"/>
    </row>
    <row r="4697" spans="5:12" x14ac:dyDescent="0.2">
      <c r="E4697" s="1063"/>
      <c r="H4697" s="1066"/>
      <c r="I4697" s="1063"/>
      <c r="J4697" s="1063"/>
      <c r="K4697" s="1063"/>
      <c r="L4697" s="1063"/>
    </row>
    <row r="4698" spans="5:12" x14ac:dyDescent="0.2">
      <c r="E4698" s="1063"/>
      <c r="H4698" s="1066"/>
      <c r="I4698" s="1063"/>
      <c r="J4698" s="1063"/>
      <c r="K4698" s="1063"/>
      <c r="L4698" s="1063"/>
    </row>
    <row r="4699" spans="5:12" x14ac:dyDescent="0.2">
      <c r="E4699" s="1063"/>
      <c r="H4699" s="1066"/>
      <c r="I4699" s="1063"/>
      <c r="J4699" s="1063"/>
      <c r="K4699" s="1063"/>
      <c r="L4699" s="1063"/>
    </row>
    <row r="4700" spans="5:12" x14ac:dyDescent="0.2">
      <c r="E4700" s="1063"/>
      <c r="H4700" s="1066"/>
      <c r="I4700" s="1063"/>
      <c r="J4700" s="1063"/>
      <c r="K4700" s="1063"/>
      <c r="L4700" s="1063"/>
    </row>
    <row r="4701" spans="5:12" x14ac:dyDescent="0.2">
      <c r="E4701" s="1063"/>
      <c r="H4701" s="1066"/>
      <c r="I4701" s="1063"/>
      <c r="J4701" s="1063"/>
      <c r="K4701" s="1063"/>
      <c r="L4701" s="1063"/>
    </row>
    <row r="4702" spans="5:12" x14ac:dyDescent="0.2">
      <c r="E4702" s="1063"/>
      <c r="H4702" s="1066"/>
      <c r="I4702" s="1063"/>
      <c r="J4702" s="1063"/>
      <c r="K4702" s="1063"/>
      <c r="L4702" s="1063"/>
    </row>
    <row r="4703" spans="5:12" x14ac:dyDescent="0.2">
      <c r="E4703" s="1063"/>
      <c r="H4703" s="1066"/>
      <c r="I4703" s="1063"/>
      <c r="J4703" s="1063"/>
      <c r="K4703" s="1063"/>
      <c r="L4703" s="1063"/>
    </row>
    <row r="4704" spans="5:12" x14ac:dyDescent="0.2">
      <c r="E4704" s="1063"/>
      <c r="H4704" s="1066"/>
      <c r="I4704" s="1063"/>
      <c r="J4704" s="1063"/>
      <c r="K4704" s="1063"/>
      <c r="L4704" s="1063"/>
    </row>
    <row r="4705" spans="5:12" x14ac:dyDescent="0.2">
      <c r="E4705" s="1063"/>
      <c r="H4705" s="1066"/>
      <c r="I4705" s="1063"/>
      <c r="J4705" s="1063"/>
      <c r="K4705" s="1063"/>
      <c r="L4705" s="1063"/>
    </row>
    <row r="4706" spans="5:12" x14ac:dyDescent="0.2">
      <c r="E4706" s="1063"/>
      <c r="H4706" s="1066"/>
      <c r="I4706" s="1063"/>
      <c r="J4706" s="1063"/>
      <c r="K4706" s="1063"/>
      <c r="L4706" s="1063"/>
    </row>
    <row r="4707" spans="5:12" x14ac:dyDescent="0.2">
      <c r="E4707" s="1063"/>
      <c r="H4707" s="1066"/>
      <c r="I4707" s="1063"/>
      <c r="J4707" s="1063"/>
      <c r="K4707" s="1063"/>
      <c r="L4707" s="1063"/>
    </row>
    <row r="4708" spans="5:12" x14ac:dyDescent="0.2">
      <c r="E4708" s="1063"/>
      <c r="H4708" s="1066"/>
      <c r="I4708" s="1063"/>
      <c r="J4708" s="1063"/>
      <c r="K4708" s="1063"/>
      <c r="L4708" s="1063"/>
    </row>
    <row r="4709" spans="5:12" x14ac:dyDescent="0.2">
      <c r="E4709" s="1063"/>
      <c r="H4709" s="1066"/>
      <c r="I4709" s="1063"/>
      <c r="J4709" s="1063"/>
      <c r="K4709" s="1063"/>
      <c r="L4709" s="1063"/>
    </row>
    <row r="4710" spans="5:12" x14ac:dyDescent="0.2">
      <c r="E4710" s="1063"/>
      <c r="H4710" s="1066"/>
      <c r="I4710" s="1063"/>
      <c r="J4710" s="1063"/>
      <c r="K4710" s="1063"/>
      <c r="L4710" s="1063"/>
    </row>
    <row r="4711" spans="5:12" x14ac:dyDescent="0.2">
      <c r="E4711" s="1063"/>
      <c r="H4711" s="1066"/>
      <c r="I4711" s="1063"/>
      <c r="J4711" s="1063"/>
      <c r="K4711" s="1063"/>
      <c r="L4711" s="1063"/>
    </row>
    <row r="4712" spans="5:12" x14ac:dyDescent="0.2">
      <c r="E4712" s="1063"/>
      <c r="H4712" s="1066"/>
      <c r="I4712" s="1063"/>
      <c r="J4712" s="1063"/>
      <c r="K4712" s="1063"/>
      <c r="L4712" s="1063"/>
    </row>
    <row r="4713" spans="5:12" x14ac:dyDescent="0.2">
      <c r="E4713" s="1063"/>
      <c r="H4713" s="1066"/>
      <c r="I4713" s="1063"/>
      <c r="J4713" s="1063"/>
      <c r="K4713" s="1063"/>
      <c r="L4713" s="1063"/>
    </row>
    <row r="4714" spans="5:12" x14ac:dyDescent="0.2">
      <c r="E4714" s="1063"/>
      <c r="H4714" s="1066"/>
      <c r="I4714" s="1063"/>
      <c r="J4714" s="1063"/>
      <c r="K4714" s="1063"/>
      <c r="L4714" s="1063"/>
    </row>
    <row r="4715" spans="5:12" x14ac:dyDescent="0.2">
      <c r="E4715" s="1063"/>
      <c r="H4715" s="1066"/>
      <c r="I4715" s="1063"/>
      <c r="J4715" s="1063"/>
      <c r="K4715" s="1063"/>
      <c r="L4715" s="1063"/>
    </row>
    <row r="4716" spans="5:12" x14ac:dyDescent="0.2">
      <c r="E4716" s="1063"/>
      <c r="H4716" s="1066"/>
      <c r="I4716" s="1063"/>
      <c r="J4716" s="1063"/>
      <c r="K4716" s="1063"/>
      <c r="L4716" s="1063"/>
    </row>
    <row r="4717" spans="5:12" x14ac:dyDescent="0.2">
      <c r="E4717" s="1063"/>
      <c r="H4717" s="1066"/>
      <c r="I4717" s="1063"/>
      <c r="J4717" s="1063"/>
      <c r="K4717" s="1063"/>
      <c r="L4717" s="1063"/>
    </row>
    <row r="4718" spans="5:12" x14ac:dyDescent="0.2">
      <c r="E4718" s="1063"/>
      <c r="H4718" s="1066"/>
      <c r="I4718" s="1063"/>
      <c r="J4718" s="1063"/>
      <c r="K4718" s="1063"/>
      <c r="L4718" s="1063"/>
    </row>
    <row r="4719" spans="5:12" x14ac:dyDescent="0.2">
      <c r="E4719" s="1063"/>
      <c r="H4719" s="1066"/>
      <c r="I4719" s="1063"/>
      <c r="J4719" s="1063"/>
      <c r="K4719" s="1063"/>
      <c r="L4719" s="1063"/>
    </row>
    <row r="4720" spans="5:12" x14ac:dyDescent="0.2">
      <c r="E4720" s="1063"/>
      <c r="H4720" s="1066"/>
      <c r="I4720" s="1063"/>
      <c r="J4720" s="1063"/>
      <c r="K4720" s="1063"/>
      <c r="L4720" s="1063"/>
    </row>
    <row r="4721" spans="5:12" x14ac:dyDescent="0.2">
      <c r="E4721" s="1063"/>
      <c r="H4721" s="1066"/>
      <c r="I4721" s="1063"/>
      <c r="J4721" s="1063"/>
      <c r="K4721" s="1063"/>
      <c r="L4721" s="1063"/>
    </row>
    <row r="4722" spans="5:12" x14ac:dyDescent="0.2">
      <c r="E4722" s="1063"/>
      <c r="H4722" s="1066"/>
      <c r="I4722" s="1063"/>
      <c r="J4722" s="1063"/>
      <c r="K4722" s="1063"/>
      <c r="L4722" s="1063"/>
    </row>
    <row r="4723" spans="5:12" x14ac:dyDescent="0.2">
      <c r="E4723" s="1063"/>
      <c r="H4723" s="1066"/>
      <c r="I4723" s="1063"/>
      <c r="J4723" s="1063"/>
      <c r="K4723" s="1063"/>
      <c r="L4723" s="1063"/>
    </row>
    <row r="4724" spans="5:12" x14ac:dyDescent="0.2">
      <c r="E4724" s="1063"/>
      <c r="H4724" s="1066"/>
      <c r="I4724" s="1063"/>
      <c r="J4724" s="1063"/>
      <c r="K4724" s="1063"/>
      <c r="L4724" s="1063"/>
    </row>
    <row r="4725" spans="5:12" x14ac:dyDescent="0.2">
      <c r="E4725" s="1063"/>
      <c r="H4725" s="1066"/>
      <c r="I4725" s="1063"/>
      <c r="J4725" s="1063"/>
      <c r="K4725" s="1063"/>
      <c r="L4725" s="1063"/>
    </row>
    <row r="4726" spans="5:12" x14ac:dyDescent="0.2">
      <c r="E4726" s="1063"/>
      <c r="H4726" s="1066"/>
      <c r="I4726" s="1063"/>
      <c r="J4726" s="1063"/>
      <c r="K4726" s="1063"/>
      <c r="L4726" s="1063"/>
    </row>
    <row r="4727" spans="5:12" x14ac:dyDescent="0.2">
      <c r="E4727" s="1063"/>
      <c r="H4727" s="1066"/>
      <c r="I4727" s="1063"/>
      <c r="J4727" s="1063"/>
      <c r="K4727" s="1063"/>
      <c r="L4727" s="1063"/>
    </row>
    <row r="4728" spans="5:12" x14ac:dyDescent="0.2">
      <c r="E4728" s="1063"/>
      <c r="H4728" s="1066"/>
      <c r="I4728" s="1063"/>
      <c r="J4728" s="1063"/>
      <c r="K4728" s="1063"/>
      <c r="L4728" s="1063"/>
    </row>
    <row r="4729" spans="5:12" x14ac:dyDescent="0.2">
      <c r="E4729" s="1063"/>
      <c r="H4729" s="1066"/>
      <c r="I4729" s="1063"/>
      <c r="J4729" s="1063"/>
      <c r="K4729" s="1063"/>
      <c r="L4729" s="1063"/>
    </row>
    <row r="4730" spans="5:12" x14ac:dyDescent="0.2">
      <c r="E4730" s="1063"/>
      <c r="H4730" s="1066"/>
      <c r="I4730" s="1063"/>
      <c r="J4730" s="1063"/>
      <c r="K4730" s="1063"/>
      <c r="L4730" s="1063"/>
    </row>
    <row r="4731" spans="5:12" x14ac:dyDescent="0.2">
      <c r="E4731" s="1063"/>
      <c r="H4731" s="1066"/>
      <c r="I4731" s="1063"/>
      <c r="J4731" s="1063"/>
      <c r="K4731" s="1063"/>
      <c r="L4731" s="1063"/>
    </row>
    <row r="4732" spans="5:12" x14ac:dyDescent="0.2">
      <c r="E4732" s="1063"/>
      <c r="H4732" s="1066"/>
      <c r="I4732" s="1063"/>
      <c r="J4732" s="1063"/>
      <c r="K4732" s="1063"/>
      <c r="L4732" s="1063"/>
    </row>
    <row r="4733" spans="5:12" x14ac:dyDescent="0.2">
      <c r="E4733" s="1063"/>
      <c r="H4733" s="1066"/>
      <c r="I4733" s="1063"/>
      <c r="J4733" s="1063"/>
      <c r="K4733" s="1063"/>
      <c r="L4733" s="1063"/>
    </row>
    <row r="4734" spans="5:12" x14ac:dyDescent="0.2">
      <c r="E4734" s="1063"/>
      <c r="H4734" s="1066"/>
      <c r="I4734" s="1063"/>
      <c r="J4734" s="1063"/>
      <c r="K4734" s="1063"/>
      <c r="L4734" s="1063"/>
    </row>
    <row r="4735" spans="5:12" x14ac:dyDescent="0.2">
      <c r="E4735" s="1063"/>
      <c r="H4735" s="1066"/>
      <c r="I4735" s="1063"/>
      <c r="J4735" s="1063"/>
      <c r="K4735" s="1063"/>
      <c r="L4735" s="1063"/>
    </row>
    <row r="4736" spans="5:12" x14ac:dyDescent="0.2">
      <c r="E4736" s="1063"/>
      <c r="H4736" s="1066"/>
      <c r="I4736" s="1063"/>
      <c r="J4736" s="1063"/>
      <c r="K4736" s="1063"/>
      <c r="L4736" s="1063"/>
    </row>
    <row r="4737" spans="5:12" x14ac:dyDescent="0.2">
      <c r="E4737" s="1063"/>
      <c r="H4737" s="1066"/>
      <c r="I4737" s="1063"/>
      <c r="J4737" s="1063"/>
      <c r="K4737" s="1063"/>
      <c r="L4737" s="1063"/>
    </row>
    <row r="4738" spans="5:12" x14ac:dyDescent="0.2">
      <c r="E4738" s="1063"/>
      <c r="H4738" s="1066"/>
      <c r="I4738" s="1063"/>
      <c r="J4738" s="1063"/>
      <c r="K4738" s="1063"/>
      <c r="L4738" s="1063"/>
    </row>
    <row r="4739" spans="5:12" x14ac:dyDescent="0.2">
      <c r="E4739" s="1063"/>
      <c r="H4739" s="1066"/>
      <c r="I4739" s="1063"/>
      <c r="J4739" s="1063"/>
      <c r="K4739" s="1063"/>
      <c r="L4739" s="1063"/>
    </row>
    <row r="4740" spans="5:12" x14ac:dyDescent="0.2">
      <c r="E4740" s="1063"/>
      <c r="H4740" s="1066"/>
      <c r="I4740" s="1063"/>
      <c r="J4740" s="1063"/>
      <c r="K4740" s="1063"/>
      <c r="L4740" s="1063"/>
    </row>
    <row r="4741" spans="5:12" x14ac:dyDescent="0.2">
      <c r="E4741" s="1063"/>
      <c r="H4741" s="1066"/>
      <c r="I4741" s="1063"/>
      <c r="J4741" s="1063"/>
      <c r="K4741" s="1063"/>
      <c r="L4741" s="1063"/>
    </row>
    <row r="4742" spans="5:12" x14ac:dyDescent="0.2">
      <c r="E4742" s="1063"/>
      <c r="H4742" s="1066"/>
      <c r="I4742" s="1063"/>
      <c r="J4742" s="1063"/>
      <c r="K4742" s="1063"/>
      <c r="L4742" s="1063"/>
    </row>
    <row r="4743" spans="5:12" x14ac:dyDescent="0.2">
      <c r="E4743" s="1063"/>
      <c r="H4743" s="1066"/>
      <c r="I4743" s="1063"/>
      <c r="J4743" s="1063"/>
      <c r="K4743" s="1063"/>
      <c r="L4743" s="1063"/>
    </row>
    <row r="4744" spans="5:12" x14ac:dyDescent="0.2">
      <c r="E4744" s="1063"/>
      <c r="H4744" s="1066"/>
      <c r="I4744" s="1063"/>
      <c r="J4744" s="1063"/>
      <c r="K4744" s="1063"/>
      <c r="L4744" s="1063"/>
    </row>
    <row r="4745" spans="5:12" x14ac:dyDescent="0.2">
      <c r="E4745" s="1063"/>
      <c r="H4745" s="1066"/>
      <c r="I4745" s="1063"/>
      <c r="J4745" s="1063"/>
      <c r="K4745" s="1063"/>
      <c r="L4745" s="1063"/>
    </row>
    <row r="4746" spans="5:12" x14ac:dyDescent="0.2">
      <c r="E4746" s="1063"/>
      <c r="H4746" s="1066"/>
      <c r="I4746" s="1063"/>
      <c r="J4746" s="1063"/>
      <c r="K4746" s="1063"/>
      <c r="L4746" s="1063"/>
    </row>
    <row r="4747" spans="5:12" x14ac:dyDescent="0.2">
      <c r="E4747" s="1063"/>
      <c r="H4747" s="1066"/>
      <c r="I4747" s="1063"/>
      <c r="J4747" s="1063"/>
      <c r="K4747" s="1063"/>
      <c r="L4747" s="1063"/>
    </row>
    <row r="4748" spans="5:12" x14ac:dyDescent="0.2">
      <c r="E4748" s="1063"/>
      <c r="H4748" s="1066"/>
      <c r="I4748" s="1063"/>
      <c r="J4748" s="1063"/>
      <c r="K4748" s="1063"/>
      <c r="L4748" s="1063"/>
    </row>
    <row r="4749" spans="5:12" x14ac:dyDescent="0.2">
      <c r="E4749" s="1063"/>
      <c r="H4749" s="1066"/>
      <c r="I4749" s="1063"/>
      <c r="J4749" s="1063"/>
      <c r="K4749" s="1063"/>
      <c r="L4749" s="1063"/>
    </row>
    <row r="4750" spans="5:12" x14ac:dyDescent="0.2">
      <c r="E4750" s="1063"/>
      <c r="H4750" s="1066"/>
      <c r="I4750" s="1063"/>
      <c r="J4750" s="1063"/>
      <c r="K4750" s="1063"/>
      <c r="L4750" s="1063"/>
    </row>
    <row r="4751" spans="5:12" x14ac:dyDescent="0.2">
      <c r="E4751" s="1063"/>
      <c r="H4751" s="1066"/>
      <c r="I4751" s="1063"/>
      <c r="J4751" s="1063"/>
      <c r="K4751" s="1063"/>
      <c r="L4751" s="1063"/>
    </row>
    <row r="4752" spans="5:12" x14ac:dyDescent="0.2">
      <c r="E4752" s="1063"/>
      <c r="H4752" s="1066"/>
      <c r="I4752" s="1063"/>
      <c r="J4752" s="1063"/>
      <c r="K4752" s="1063"/>
      <c r="L4752" s="1063"/>
    </row>
    <row r="4753" spans="5:12" x14ac:dyDescent="0.2">
      <c r="E4753" s="1063"/>
      <c r="H4753" s="1066"/>
      <c r="I4753" s="1063"/>
      <c r="J4753" s="1063"/>
      <c r="K4753" s="1063"/>
      <c r="L4753" s="1063"/>
    </row>
    <row r="4754" spans="5:12" x14ac:dyDescent="0.2">
      <c r="E4754" s="1063"/>
      <c r="H4754" s="1066"/>
      <c r="I4754" s="1063"/>
      <c r="J4754" s="1063"/>
      <c r="K4754" s="1063"/>
      <c r="L4754" s="1063"/>
    </row>
    <row r="4755" spans="5:12" x14ac:dyDescent="0.2">
      <c r="E4755" s="1063"/>
      <c r="H4755" s="1066"/>
      <c r="I4755" s="1063"/>
      <c r="J4755" s="1063"/>
      <c r="K4755" s="1063"/>
      <c r="L4755" s="1063"/>
    </row>
    <row r="4756" spans="5:12" x14ac:dyDescent="0.2">
      <c r="E4756" s="1063"/>
      <c r="H4756" s="1066"/>
      <c r="I4756" s="1063"/>
      <c r="J4756" s="1063"/>
      <c r="K4756" s="1063"/>
      <c r="L4756" s="1063"/>
    </row>
    <row r="4757" spans="5:12" x14ac:dyDescent="0.2">
      <c r="E4757" s="1063"/>
      <c r="H4757" s="1066"/>
      <c r="I4757" s="1063"/>
      <c r="J4757" s="1063"/>
      <c r="K4757" s="1063"/>
      <c r="L4757" s="1063"/>
    </row>
    <row r="4758" spans="5:12" x14ac:dyDescent="0.2">
      <c r="E4758" s="1063"/>
      <c r="H4758" s="1066"/>
      <c r="I4758" s="1063"/>
      <c r="J4758" s="1063"/>
      <c r="K4758" s="1063"/>
      <c r="L4758" s="1063"/>
    </row>
    <row r="4759" spans="5:12" x14ac:dyDescent="0.2">
      <c r="E4759" s="1063"/>
      <c r="H4759" s="1066"/>
      <c r="I4759" s="1063"/>
      <c r="J4759" s="1063"/>
      <c r="K4759" s="1063"/>
      <c r="L4759" s="1063"/>
    </row>
    <row r="4760" spans="5:12" x14ac:dyDescent="0.2">
      <c r="E4760" s="1063"/>
      <c r="H4760" s="1066"/>
      <c r="I4760" s="1063"/>
      <c r="J4760" s="1063"/>
      <c r="K4760" s="1063"/>
      <c r="L4760" s="1063"/>
    </row>
    <row r="4761" spans="5:12" x14ac:dyDescent="0.2">
      <c r="E4761" s="1063"/>
      <c r="H4761" s="1066"/>
      <c r="I4761" s="1063"/>
      <c r="J4761" s="1063"/>
      <c r="K4761" s="1063"/>
      <c r="L4761" s="1063"/>
    </row>
    <row r="4762" spans="5:12" x14ac:dyDescent="0.2">
      <c r="E4762" s="1063"/>
      <c r="H4762" s="1066"/>
      <c r="I4762" s="1063"/>
      <c r="J4762" s="1063"/>
      <c r="K4762" s="1063"/>
      <c r="L4762" s="1063"/>
    </row>
    <row r="4763" spans="5:12" x14ac:dyDescent="0.2">
      <c r="E4763" s="1063"/>
      <c r="H4763" s="1066"/>
      <c r="I4763" s="1063"/>
      <c r="J4763" s="1063"/>
      <c r="K4763" s="1063"/>
      <c r="L4763" s="1063"/>
    </row>
    <row r="4764" spans="5:12" x14ac:dyDescent="0.2">
      <c r="E4764" s="1063"/>
      <c r="H4764" s="1066"/>
      <c r="I4764" s="1063"/>
      <c r="J4764" s="1063"/>
      <c r="K4764" s="1063"/>
      <c r="L4764" s="1063"/>
    </row>
    <row r="4765" spans="5:12" x14ac:dyDescent="0.2">
      <c r="E4765" s="1063"/>
      <c r="H4765" s="1066"/>
      <c r="I4765" s="1063"/>
      <c r="J4765" s="1063"/>
      <c r="K4765" s="1063"/>
      <c r="L4765" s="1063"/>
    </row>
    <row r="4766" spans="5:12" x14ac:dyDescent="0.2">
      <c r="E4766" s="1063"/>
      <c r="H4766" s="1066"/>
      <c r="I4766" s="1063"/>
      <c r="J4766" s="1063"/>
      <c r="K4766" s="1063"/>
      <c r="L4766" s="1063"/>
    </row>
    <row r="4767" spans="5:12" x14ac:dyDescent="0.2">
      <c r="E4767" s="1063"/>
      <c r="H4767" s="1066"/>
      <c r="I4767" s="1063"/>
      <c r="J4767" s="1063"/>
      <c r="K4767" s="1063"/>
      <c r="L4767" s="1063"/>
    </row>
    <row r="4768" spans="5:12" x14ac:dyDescent="0.2">
      <c r="E4768" s="1063"/>
      <c r="H4768" s="1066"/>
      <c r="I4768" s="1063"/>
      <c r="J4768" s="1063"/>
      <c r="K4768" s="1063"/>
      <c r="L4768" s="1063"/>
    </row>
    <row r="4769" spans="5:12" x14ac:dyDescent="0.2">
      <c r="E4769" s="1063"/>
      <c r="H4769" s="1066"/>
      <c r="I4769" s="1063"/>
      <c r="J4769" s="1063"/>
      <c r="K4769" s="1063"/>
      <c r="L4769" s="1063"/>
    </row>
    <row r="4770" spans="5:12" x14ac:dyDescent="0.2">
      <c r="E4770" s="1063"/>
      <c r="H4770" s="1066"/>
      <c r="I4770" s="1063"/>
      <c r="J4770" s="1063"/>
      <c r="K4770" s="1063"/>
      <c r="L4770" s="1063"/>
    </row>
    <row r="4771" spans="5:12" x14ac:dyDescent="0.2">
      <c r="E4771" s="1063"/>
      <c r="H4771" s="1066"/>
      <c r="I4771" s="1063"/>
      <c r="J4771" s="1063"/>
      <c r="K4771" s="1063"/>
      <c r="L4771" s="1063"/>
    </row>
    <row r="4772" spans="5:12" x14ac:dyDescent="0.2">
      <c r="E4772" s="1063"/>
      <c r="H4772" s="1066"/>
      <c r="I4772" s="1063"/>
      <c r="J4772" s="1063"/>
      <c r="K4772" s="1063"/>
      <c r="L4772" s="1063"/>
    </row>
    <row r="4773" spans="5:12" x14ac:dyDescent="0.2">
      <c r="E4773" s="1063"/>
      <c r="H4773" s="1066"/>
      <c r="I4773" s="1063"/>
      <c r="J4773" s="1063"/>
      <c r="K4773" s="1063"/>
      <c r="L4773" s="1063"/>
    </row>
    <row r="4774" spans="5:12" x14ac:dyDescent="0.2">
      <c r="E4774" s="1063"/>
      <c r="H4774" s="1066"/>
      <c r="I4774" s="1063"/>
      <c r="J4774" s="1063"/>
      <c r="K4774" s="1063"/>
      <c r="L4774" s="1063"/>
    </row>
    <row r="4775" spans="5:12" x14ac:dyDescent="0.2">
      <c r="E4775" s="1063"/>
      <c r="H4775" s="1066"/>
      <c r="I4775" s="1063"/>
      <c r="J4775" s="1063"/>
      <c r="K4775" s="1063"/>
      <c r="L4775" s="1063"/>
    </row>
    <row r="4776" spans="5:12" x14ac:dyDescent="0.2">
      <c r="E4776" s="1063"/>
      <c r="H4776" s="1066"/>
      <c r="I4776" s="1063"/>
      <c r="J4776" s="1063"/>
      <c r="K4776" s="1063"/>
      <c r="L4776" s="1063"/>
    </row>
    <row r="4777" spans="5:12" x14ac:dyDescent="0.2">
      <c r="E4777" s="1063"/>
      <c r="H4777" s="1066"/>
      <c r="I4777" s="1063"/>
      <c r="J4777" s="1063"/>
      <c r="K4777" s="1063"/>
      <c r="L4777" s="1063"/>
    </row>
    <row r="4778" spans="5:12" x14ac:dyDescent="0.2">
      <c r="E4778" s="1063"/>
      <c r="H4778" s="1066"/>
      <c r="I4778" s="1063"/>
      <c r="J4778" s="1063"/>
      <c r="K4778" s="1063"/>
      <c r="L4778" s="1063"/>
    </row>
    <row r="4779" spans="5:12" x14ac:dyDescent="0.2">
      <c r="E4779" s="1063"/>
      <c r="H4779" s="1066"/>
      <c r="I4779" s="1063"/>
      <c r="J4779" s="1063"/>
      <c r="K4779" s="1063"/>
      <c r="L4779" s="1063"/>
    </row>
    <row r="4780" spans="5:12" x14ac:dyDescent="0.2">
      <c r="E4780" s="1063"/>
      <c r="H4780" s="1066"/>
      <c r="I4780" s="1063"/>
      <c r="J4780" s="1063"/>
      <c r="K4780" s="1063"/>
      <c r="L4780" s="1063"/>
    </row>
    <row r="4781" spans="5:12" x14ac:dyDescent="0.2">
      <c r="E4781" s="1063"/>
      <c r="H4781" s="1066"/>
      <c r="I4781" s="1063"/>
      <c r="J4781" s="1063"/>
      <c r="K4781" s="1063"/>
      <c r="L4781" s="1063"/>
    </row>
    <row r="4782" spans="5:12" x14ac:dyDescent="0.2">
      <c r="E4782" s="1063"/>
      <c r="H4782" s="1066"/>
      <c r="I4782" s="1063"/>
      <c r="J4782" s="1063"/>
      <c r="K4782" s="1063"/>
      <c r="L4782" s="1063"/>
    </row>
    <row r="4783" spans="5:12" x14ac:dyDescent="0.2">
      <c r="E4783" s="1063"/>
      <c r="H4783" s="1066"/>
      <c r="I4783" s="1063"/>
      <c r="J4783" s="1063"/>
      <c r="K4783" s="1063"/>
      <c r="L4783" s="1063"/>
    </row>
    <row r="4784" spans="5:12" x14ac:dyDescent="0.2">
      <c r="E4784" s="1063"/>
      <c r="H4784" s="1066"/>
      <c r="I4784" s="1063"/>
      <c r="J4784" s="1063"/>
      <c r="K4784" s="1063"/>
      <c r="L4784" s="1063"/>
    </row>
    <row r="4785" spans="5:12" x14ac:dyDescent="0.2">
      <c r="E4785" s="1063"/>
      <c r="H4785" s="1066"/>
      <c r="I4785" s="1063"/>
      <c r="J4785" s="1063"/>
      <c r="K4785" s="1063"/>
      <c r="L4785" s="1063"/>
    </row>
    <row r="4786" spans="5:12" x14ac:dyDescent="0.2">
      <c r="E4786" s="1063"/>
      <c r="H4786" s="1066"/>
      <c r="I4786" s="1063"/>
      <c r="J4786" s="1063"/>
      <c r="K4786" s="1063"/>
      <c r="L4786" s="1063"/>
    </row>
    <row r="4787" spans="5:12" x14ac:dyDescent="0.2">
      <c r="E4787" s="1063"/>
      <c r="H4787" s="1066"/>
      <c r="I4787" s="1063"/>
      <c r="J4787" s="1063"/>
      <c r="K4787" s="1063"/>
      <c r="L4787" s="1063"/>
    </row>
    <row r="4788" spans="5:12" x14ac:dyDescent="0.2">
      <c r="E4788" s="1063"/>
      <c r="H4788" s="1066"/>
      <c r="I4788" s="1063"/>
      <c r="J4788" s="1063"/>
      <c r="K4788" s="1063"/>
      <c r="L4788" s="1063"/>
    </row>
    <row r="4789" spans="5:12" x14ac:dyDescent="0.2">
      <c r="E4789" s="1063"/>
      <c r="H4789" s="1066"/>
      <c r="I4789" s="1063"/>
      <c r="J4789" s="1063"/>
      <c r="K4789" s="1063"/>
      <c r="L4789" s="1063"/>
    </row>
    <row r="4790" spans="5:12" x14ac:dyDescent="0.2">
      <c r="E4790" s="1063"/>
      <c r="H4790" s="1066"/>
      <c r="I4790" s="1063"/>
      <c r="J4790" s="1063"/>
      <c r="K4790" s="1063"/>
      <c r="L4790" s="1063"/>
    </row>
    <row r="4791" spans="5:12" x14ac:dyDescent="0.2">
      <c r="E4791" s="1063"/>
      <c r="H4791" s="1066"/>
      <c r="I4791" s="1063"/>
      <c r="J4791" s="1063"/>
      <c r="K4791" s="1063"/>
      <c r="L4791" s="1063"/>
    </row>
    <row r="4792" spans="5:12" x14ac:dyDescent="0.2">
      <c r="E4792" s="1063"/>
      <c r="H4792" s="1066"/>
      <c r="I4792" s="1063"/>
      <c r="J4792" s="1063"/>
      <c r="K4792" s="1063"/>
      <c r="L4792" s="1063"/>
    </row>
    <row r="4793" spans="5:12" x14ac:dyDescent="0.2">
      <c r="E4793" s="1063"/>
      <c r="H4793" s="1066"/>
      <c r="I4793" s="1063"/>
      <c r="J4793" s="1063"/>
      <c r="K4793" s="1063"/>
      <c r="L4793" s="1063"/>
    </row>
    <row r="4794" spans="5:12" x14ac:dyDescent="0.2">
      <c r="E4794" s="1063"/>
      <c r="H4794" s="1066"/>
      <c r="I4794" s="1063"/>
      <c r="J4794" s="1063"/>
      <c r="K4794" s="1063"/>
      <c r="L4794" s="1063"/>
    </row>
    <row r="4795" spans="5:12" x14ac:dyDescent="0.2">
      <c r="E4795" s="1063"/>
      <c r="H4795" s="1066"/>
      <c r="I4795" s="1063"/>
      <c r="J4795" s="1063"/>
      <c r="K4795" s="1063"/>
      <c r="L4795" s="1063"/>
    </row>
    <row r="4796" spans="5:12" x14ac:dyDescent="0.2">
      <c r="E4796" s="1063"/>
      <c r="H4796" s="1066"/>
      <c r="I4796" s="1063"/>
      <c r="J4796" s="1063"/>
      <c r="K4796" s="1063"/>
      <c r="L4796" s="1063"/>
    </row>
    <row r="4797" spans="5:12" x14ac:dyDescent="0.2">
      <c r="E4797" s="1063"/>
      <c r="H4797" s="1066"/>
      <c r="I4797" s="1063"/>
      <c r="J4797" s="1063"/>
      <c r="K4797" s="1063"/>
      <c r="L4797" s="1063"/>
    </row>
    <row r="4798" spans="5:12" x14ac:dyDescent="0.2">
      <c r="E4798" s="1063"/>
      <c r="H4798" s="1066"/>
      <c r="I4798" s="1063"/>
      <c r="J4798" s="1063"/>
      <c r="K4798" s="1063"/>
      <c r="L4798" s="1063"/>
    </row>
    <row r="4799" spans="5:12" x14ac:dyDescent="0.2">
      <c r="E4799" s="1063"/>
      <c r="H4799" s="1066"/>
      <c r="I4799" s="1063"/>
      <c r="J4799" s="1063"/>
      <c r="K4799" s="1063"/>
      <c r="L4799" s="1063"/>
    </row>
    <row r="4800" spans="5:12" x14ac:dyDescent="0.2">
      <c r="E4800" s="1063"/>
      <c r="H4800" s="1066"/>
      <c r="I4800" s="1063"/>
      <c r="J4800" s="1063"/>
      <c r="K4800" s="1063"/>
      <c r="L4800" s="1063"/>
    </row>
    <row r="4801" spans="5:12" x14ac:dyDescent="0.2">
      <c r="E4801" s="1063"/>
      <c r="H4801" s="1066"/>
      <c r="I4801" s="1063"/>
      <c r="J4801" s="1063"/>
      <c r="K4801" s="1063"/>
      <c r="L4801" s="1063"/>
    </row>
    <row r="4802" spans="5:12" x14ac:dyDescent="0.2">
      <c r="E4802" s="1063"/>
      <c r="H4802" s="1066"/>
      <c r="I4802" s="1063"/>
      <c r="J4802" s="1063"/>
      <c r="K4802" s="1063"/>
      <c r="L4802" s="1063"/>
    </row>
    <row r="4803" spans="5:12" x14ac:dyDescent="0.2">
      <c r="E4803" s="1063"/>
      <c r="H4803" s="1066"/>
      <c r="I4803" s="1063"/>
      <c r="J4803" s="1063"/>
      <c r="K4803" s="1063"/>
      <c r="L4803" s="1063"/>
    </row>
    <row r="4804" spans="5:12" x14ac:dyDescent="0.2">
      <c r="E4804" s="1063"/>
      <c r="H4804" s="1066"/>
      <c r="I4804" s="1063"/>
      <c r="J4804" s="1063"/>
      <c r="K4804" s="1063"/>
      <c r="L4804" s="1063"/>
    </row>
    <row r="4805" spans="5:12" x14ac:dyDescent="0.2">
      <c r="E4805" s="1063"/>
      <c r="H4805" s="1066"/>
      <c r="I4805" s="1063"/>
      <c r="J4805" s="1063"/>
      <c r="K4805" s="1063"/>
      <c r="L4805" s="1063"/>
    </row>
    <row r="4806" spans="5:12" x14ac:dyDescent="0.2">
      <c r="E4806" s="1063"/>
      <c r="H4806" s="1066"/>
      <c r="I4806" s="1063"/>
      <c r="J4806" s="1063"/>
      <c r="K4806" s="1063"/>
      <c r="L4806" s="1063"/>
    </row>
    <row r="4807" spans="5:12" x14ac:dyDescent="0.2">
      <c r="E4807" s="1063"/>
      <c r="H4807" s="1066"/>
      <c r="I4807" s="1063"/>
      <c r="J4807" s="1063"/>
      <c r="K4807" s="1063"/>
      <c r="L4807" s="1063"/>
    </row>
    <row r="4808" spans="5:12" x14ac:dyDescent="0.2">
      <c r="E4808" s="1063"/>
      <c r="H4808" s="1066"/>
      <c r="I4808" s="1063"/>
      <c r="J4808" s="1063"/>
      <c r="K4808" s="1063"/>
      <c r="L4808" s="1063"/>
    </row>
    <row r="4809" spans="5:12" x14ac:dyDescent="0.2">
      <c r="E4809" s="1063"/>
      <c r="H4809" s="1066"/>
      <c r="I4809" s="1063"/>
      <c r="J4809" s="1063"/>
      <c r="K4809" s="1063"/>
      <c r="L4809" s="1063"/>
    </row>
    <row r="4810" spans="5:12" x14ac:dyDescent="0.2">
      <c r="E4810" s="1063"/>
      <c r="H4810" s="1066"/>
      <c r="I4810" s="1063"/>
      <c r="J4810" s="1063"/>
      <c r="K4810" s="1063"/>
      <c r="L4810" s="1063"/>
    </row>
    <row r="4811" spans="5:12" x14ac:dyDescent="0.2">
      <c r="E4811" s="1063"/>
      <c r="H4811" s="1066"/>
      <c r="I4811" s="1063"/>
      <c r="J4811" s="1063"/>
      <c r="K4811" s="1063"/>
      <c r="L4811" s="1063"/>
    </row>
    <row r="4812" spans="5:12" x14ac:dyDescent="0.2">
      <c r="E4812" s="1063"/>
      <c r="H4812" s="1066"/>
      <c r="I4812" s="1063"/>
      <c r="J4812" s="1063"/>
      <c r="K4812" s="1063"/>
      <c r="L4812" s="1063"/>
    </row>
    <row r="4813" spans="5:12" x14ac:dyDescent="0.2">
      <c r="E4813" s="1063"/>
      <c r="H4813" s="1066"/>
      <c r="I4813" s="1063"/>
      <c r="J4813" s="1063"/>
      <c r="K4813" s="1063"/>
      <c r="L4813" s="1063"/>
    </row>
    <row r="4814" spans="5:12" x14ac:dyDescent="0.2">
      <c r="E4814" s="1063"/>
      <c r="H4814" s="1066"/>
      <c r="I4814" s="1063"/>
      <c r="J4814" s="1063"/>
      <c r="K4814" s="1063"/>
      <c r="L4814" s="1063"/>
    </row>
    <row r="4815" spans="5:12" x14ac:dyDescent="0.2">
      <c r="E4815" s="1063"/>
      <c r="H4815" s="1066"/>
      <c r="I4815" s="1063"/>
      <c r="J4815" s="1063"/>
      <c r="K4815" s="1063"/>
      <c r="L4815" s="1063"/>
    </row>
    <row r="4816" spans="5:12" x14ac:dyDescent="0.2">
      <c r="E4816" s="1063"/>
      <c r="H4816" s="1066"/>
      <c r="I4816" s="1063"/>
      <c r="J4816" s="1063"/>
      <c r="K4816" s="1063"/>
      <c r="L4816" s="1063"/>
    </row>
    <row r="4817" spans="5:12" x14ac:dyDescent="0.2">
      <c r="E4817" s="1063"/>
      <c r="H4817" s="1066"/>
      <c r="I4817" s="1063"/>
      <c r="J4817" s="1063"/>
      <c r="K4817" s="1063"/>
      <c r="L4817" s="1063"/>
    </row>
    <row r="4818" spans="5:12" x14ac:dyDescent="0.2">
      <c r="E4818" s="1063"/>
      <c r="H4818" s="1066"/>
      <c r="I4818" s="1063"/>
      <c r="J4818" s="1063"/>
      <c r="K4818" s="1063"/>
      <c r="L4818" s="1063"/>
    </row>
    <row r="4819" spans="5:12" x14ac:dyDescent="0.2">
      <c r="E4819" s="1063"/>
      <c r="H4819" s="1066"/>
      <c r="I4819" s="1063"/>
      <c r="J4819" s="1063"/>
      <c r="K4819" s="1063"/>
      <c r="L4819" s="1063"/>
    </row>
    <row r="4820" spans="5:12" x14ac:dyDescent="0.2">
      <c r="E4820" s="1063"/>
      <c r="H4820" s="1066"/>
      <c r="I4820" s="1063"/>
      <c r="J4820" s="1063"/>
      <c r="K4820" s="1063"/>
      <c r="L4820" s="1063"/>
    </row>
    <row r="4821" spans="5:12" x14ac:dyDescent="0.2">
      <c r="E4821" s="1063"/>
      <c r="H4821" s="1066"/>
      <c r="I4821" s="1063"/>
      <c r="J4821" s="1063"/>
      <c r="K4821" s="1063"/>
      <c r="L4821" s="1063"/>
    </row>
    <row r="4822" spans="5:12" x14ac:dyDescent="0.2">
      <c r="E4822" s="1063"/>
      <c r="H4822" s="1066"/>
      <c r="I4822" s="1063"/>
      <c r="J4822" s="1063"/>
      <c r="K4822" s="1063"/>
      <c r="L4822" s="1063"/>
    </row>
    <row r="4823" spans="5:12" x14ac:dyDescent="0.2">
      <c r="E4823" s="1063"/>
      <c r="H4823" s="1066"/>
      <c r="I4823" s="1063"/>
      <c r="J4823" s="1063"/>
      <c r="K4823" s="1063"/>
      <c r="L4823" s="1063"/>
    </row>
    <row r="4824" spans="5:12" x14ac:dyDescent="0.2">
      <c r="E4824" s="1063"/>
      <c r="H4824" s="1066"/>
      <c r="I4824" s="1063"/>
      <c r="J4824" s="1063"/>
      <c r="K4824" s="1063"/>
      <c r="L4824" s="1063"/>
    </row>
    <row r="4825" spans="5:12" x14ac:dyDescent="0.2">
      <c r="E4825" s="1063"/>
      <c r="H4825" s="1066"/>
      <c r="I4825" s="1063"/>
      <c r="J4825" s="1063"/>
      <c r="K4825" s="1063"/>
      <c r="L4825" s="1063"/>
    </row>
    <row r="4826" spans="5:12" x14ac:dyDescent="0.2">
      <c r="E4826" s="1063"/>
      <c r="H4826" s="1066"/>
      <c r="I4826" s="1063"/>
      <c r="J4826" s="1063"/>
      <c r="K4826" s="1063"/>
      <c r="L4826" s="1063"/>
    </row>
    <row r="4827" spans="5:12" x14ac:dyDescent="0.2">
      <c r="E4827" s="1063"/>
      <c r="H4827" s="1066"/>
      <c r="I4827" s="1063"/>
      <c r="J4827" s="1063"/>
      <c r="K4827" s="1063"/>
      <c r="L4827" s="1063"/>
    </row>
    <row r="4828" spans="5:12" x14ac:dyDescent="0.2">
      <c r="E4828" s="1063"/>
      <c r="H4828" s="1066"/>
      <c r="I4828" s="1063"/>
      <c r="J4828" s="1063"/>
      <c r="K4828" s="1063"/>
      <c r="L4828" s="1063"/>
    </row>
    <row r="4829" spans="5:12" x14ac:dyDescent="0.2">
      <c r="E4829" s="1063"/>
      <c r="H4829" s="1066"/>
      <c r="I4829" s="1063"/>
      <c r="J4829" s="1063"/>
      <c r="K4829" s="1063"/>
      <c r="L4829" s="1063"/>
    </row>
    <row r="4830" spans="5:12" x14ac:dyDescent="0.2">
      <c r="E4830" s="1063"/>
      <c r="H4830" s="1066"/>
      <c r="I4830" s="1063"/>
      <c r="J4830" s="1063"/>
      <c r="K4830" s="1063"/>
      <c r="L4830" s="1063"/>
    </row>
    <row r="4831" spans="5:12" x14ac:dyDescent="0.2">
      <c r="E4831" s="1063"/>
      <c r="H4831" s="1066"/>
      <c r="I4831" s="1063"/>
      <c r="J4831" s="1063"/>
      <c r="K4831" s="1063"/>
      <c r="L4831" s="1063"/>
    </row>
    <row r="4832" spans="5:12" x14ac:dyDescent="0.2">
      <c r="E4832" s="1063"/>
      <c r="H4832" s="1066"/>
      <c r="I4832" s="1063"/>
      <c r="J4832" s="1063"/>
      <c r="K4832" s="1063"/>
      <c r="L4832" s="1063"/>
    </row>
    <row r="4833" spans="5:12" x14ac:dyDescent="0.2">
      <c r="E4833" s="1063"/>
      <c r="H4833" s="1066"/>
      <c r="I4833" s="1063"/>
      <c r="J4833" s="1063"/>
      <c r="K4833" s="1063"/>
      <c r="L4833" s="1063"/>
    </row>
    <row r="4834" spans="5:12" x14ac:dyDescent="0.2">
      <c r="E4834" s="1063"/>
      <c r="H4834" s="1066"/>
      <c r="I4834" s="1063"/>
      <c r="J4834" s="1063"/>
      <c r="K4834" s="1063"/>
      <c r="L4834" s="1063"/>
    </row>
    <row r="4835" spans="5:12" x14ac:dyDescent="0.2">
      <c r="E4835" s="1063"/>
      <c r="H4835" s="1066"/>
      <c r="I4835" s="1063"/>
      <c r="J4835" s="1063"/>
      <c r="K4835" s="1063"/>
      <c r="L4835" s="1063"/>
    </row>
    <row r="4836" spans="5:12" x14ac:dyDescent="0.2">
      <c r="E4836" s="1063"/>
      <c r="H4836" s="1066"/>
      <c r="I4836" s="1063"/>
      <c r="J4836" s="1063"/>
      <c r="K4836" s="1063"/>
      <c r="L4836" s="1063"/>
    </row>
    <row r="4837" spans="5:12" x14ac:dyDescent="0.2">
      <c r="E4837" s="1063"/>
      <c r="H4837" s="1066"/>
      <c r="I4837" s="1063"/>
      <c r="J4837" s="1063"/>
      <c r="K4837" s="1063"/>
      <c r="L4837" s="1063"/>
    </row>
    <row r="4838" spans="5:12" x14ac:dyDescent="0.2">
      <c r="E4838" s="1063"/>
      <c r="H4838" s="1066"/>
      <c r="I4838" s="1063"/>
      <c r="J4838" s="1063"/>
      <c r="K4838" s="1063"/>
      <c r="L4838" s="1063"/>
    </row>
    <row r="4839" spans="5:12" x14ac:dyDescent="0.2">
      <c r="E4839" s="1063"/>
      <c r="H4839" s="1066"/>
      <c r="I4839" s="1063"/>
      <c r="J4839" s="1063"/>
      <c r="K4839" s="1063"/>
      <c r="L4839" s="1063"/>
    </row>
    <row r="4840" spans="5:12" x14ac:dyDescent="0.2">
      <c r="E4840" s="1063"/>
      <c r="H4840" s="1066"/>
      <c r="I4840" s="1063"/>
      <c r="J4840" s="1063"/>
      <c r="K4840" s="1063"/>
      <c r="L4840" s="1063"/>
    </row>
    <row r="4841" spans="5:12" x14ac:dyDescent="0.2">
      <c r="E4841" s="1063"/>
      <c r="H4841" s="1066"/>
      <c r="I4841" s="1063"/>
      <c r="J4841" s="1063"/>
      <c r="K4841" s="1063"/>
      <c r="L4841" s="1063"/>
    </row>
    <row r="4842" spans="5:12" x14ac:dyDescent="0.2">
      <c r="E4842" s="1063"/>
      <c r="H4842" s="1066"/>
      <c r="I4842" s="1063"/>
      <c r="J4842" s="1063"/>
      <c r="K4842" s="1063"/>
      <c r="L4842" s="1063"/>
    </row>
    <row r="4843" spans="5:12" x14ac:dyDescent="0.2">
      <c r="E4843" s="1063"/>
      <c r="H4843" s="1066"/>
      <c r="I4843" s="1063"/>
      <c r="J4843" s="1063"/>
      <c r="K4843" s="1063"/>
      <c r="L4843" s="1063"/>
    </row>
    <row r="4844" spans="5:12" x14ac:dyDescent="0.2">
      <c r="E4844" s="1063"/>
      <c r="H4844" s="1066"/>
      <c r="I4844" s="1063"/>
      <c r="J4844" s="1063"/>
      <c r="K4844" s="1063"/>
      <c r="L4844" s="1063"/>
    </row>
    <row r="4845" spans="5:12" x14ac:dyDescent="0.2">
      <c r="E4845" s="1063"/>
      <c r="H4845" s="1066"/>
      <c r="I4845" s="1063"/>
      <c r="J4845" s="1063"/>
      <c r="K4845" s="1063"/>
      <c r="L4845" s="1063"/>
    </row>
    <row r="4846" spans="5:12" x14ac:dyDescent="0.2">
      <c r="E4846" s="1063"/>
      <c r="H4846" s="1066"/>
      <c r="I4846" s="1063"/>
      <c r="J4846" s="1063"/>
      <c r="K4846" s="1063"/>
      <c r="L4846" s="1063"/>
    </row>
    <row r="4847" spans="5:12" x14ac:dyDescent="0.2">
      <c r="E4847" s="1063"/>
      <c r="H4847" s="1066"/>
      <c r="I4847" s="1063"/>
      <c r="J4847" s="1063"/>
      <c r="K4847" s="1063"/>
      <c r="L4847" s="1063"/>
    </row>
    <row r="4848" spans="5:12" x14ac:dyDescent="0.2">
      <c r="E4848" s="1063"/>
      <c r="H4848" s="1066"/>
      <c r="I4848" s="1063"/>
      <c r="J4848" s="1063"/>
      <c r="K4848" s="1063"/>
      <c r="L4848" s="1063"/>
    </row>
    <row r="4849" spans="5:12" x14ac:dyDescent="0.2">
      <c r="E4849" s="1063"/>
      <c r="H4849" s="1066"/>
      <c r="I4849" s="1063"/>
      <c r="J4849" s="1063"/>
      <c r="K4849" s="1063"/>
      <c r="L4849" s="1063"/>
    </row>
    <row r="4850" spans="5:12" x14ac:dyDescent="0.2">
      <c r="E4850" s="1063"/>
      <c r="H4850" s="1066"/>
      <c r="I4850" s="1063"/>
      <c r="J4850" s="1063"/>
      <c r="K4850" s="1063"/>
      <c r="L4850" s="1063"/>
    </row>
    <row r="4851" spans="5:12" x14ac:dyDescent="0.2">
      <c r="E4851" s="1063"/>
      <c r="H4851" s="1066"/>
      <c r="I4851" s="1063"/>
      <c r="J4851" s="1063"/>
      <c r="K4851" s="1063"/>
      <c r="L4851" s="1063"/>
    </row>
    <row r="4852" spans="5:12" x14ac:dyDescent="0.2">
      <c r="E4852" s="1063"/>
      <c r="H4852" s="1066"/>
      <c r="I4852" s="1063"/>
      <c r="J4852" s="1063"/>
      <c r="K4852" s="1063"/>
      <c r="L4852" s="1063"/>
    </row>
    <row r="4853" spans="5:12" x14ac:dyDescent="0.2">
      <c r="E4853" s="1063"/>
      <c r="H4853" s="1066"/>
      <c r="I4853" s="1063"/>
      <c r="J4853" s="1063"/>
      <c r="K4853" s="1063"/>
      <c r="L4853" s="1063"/>
    </row>
    <row r="4854" spans="5:12" x14ac:dyDescent="0.2">
      <c r="E4854" s="1063"/>
      <c r="H4854" s="1066"/>
      <c r="I4854" s="1063"/>
      <c r="J4854" s="1063"/>
      <c r="K4854" s="1063"/>
      <c r="L4854" s="1063"/>
    </row>
    <row r="4855" spans="5:12" x14ac:dyDescent="0.2">
      <c r="E4855" s="1063"/>
      <c r="H4855" s="1066"/>
      <c r="I4855" s="1063"/>
      <c r="J4855" s="1063"/>
      <c r="K4855" s="1063"/>
      <c r="L4855" s="1063"/>
    </row>
    <row r="4856" spans="5:12" x14ac:dyDescent="0.2">
      <c r="E4856" s="1063"/>
      <c r="H4856" s="1066"/>
      <c r="I4856" s="1063"/>
      <c r="J4856" s="1063"/>
      <c r="K4856" s="1063"/>
      <c r="L4856" s="1063"/>
    </row>
    <row r="4857" spans="5:12" x14ac:dyDescent="0.2">
      <c r="E4857" s="1063"/>
      <c r="H4857" s="1066"/>
      <c r="I4857" s="1063"/>
      <c r="J4857" s="1063"/>
      <c r="K4857" s="1063"/>
      <c r="L4857" s="1063"/>
    </row>
    <row r="4858" spans="5:12" x14ac:dyDescent="0.2">
      <c r="E4858" s="1063"/>
      <c r="H4858" s="1066"/>
      <c r="I4858" s="1063"/>
      <c r="J4858" s="1063"/>
      <c r="K4858" s="1063"/>
      <c r="L4858" s="1063"/>
    </row>
    <row r="4859" spans="5:12" x14ac:dyDescent="0.2">
      <c r="E4859" s="1063"/>
      <c r="H4859" s="1066"/>
      <c r="I4859" s="1063"/>
      <c r="J4859" s="1063"/>
      <c r="K4859" s="1063"/>
      <c r="L4859" s="1063"/>
    </row>
    <row r="4860" spans="5:12" x14ac:dyDescent="0.2">
      <c r="E4860" s="1063"/>
      <c r="H4860" s="1066"/>
      <c r="I4860" s="1063"/>
      <c r="J4860" s="1063"/>
      <c r="K4860" s="1063"/>
      <c r="L4860" s="1063"/>
    </row>
    <row r="4861" spans="5:12" x14ac:dyDescent="0.2">
      <c r="E4861" s="1063"/>
      <c r="H4861" s="1066"/>
      <c r="I4861" s="1063"/>
      <c r="J4861" s="1063"/>
      <c r="K4861" s="1063"/>
      <c r="L4861" s="1063"/>
    </row>
    <row r="4862" spans="5:12" x14ac:dyDescent="0.2">
      <c r="E4862" s="1063"/>
      <c r="H4862" s="1066"/>
      <c r="I4862" s="1063"/>
      <c r="J4862" s="1063"/>
      <c r="K4862" s="1063"/>
      <c r="L4862" s="1063"/>
    </row>
    <row r="4863" spans="5:12" x14ac:dyDescent="0.2">
      <c r="E4863" s="1063"/>
      <c r="H4863" s="1066"/>
      <c r="I4863" s="1063"/>
      <c r="J4863" s="1063"/>
      <c r="K4863" s="1063"/>
      <c r="L4863" s="1063"/>
    </row>
    <row r="4864" spans="5:12" x14ac:dyDescent="0.2">
      <c r="E4864" s="1063"/>
      <c r="H4864" s="1066"/>
      <c r="I4864" s="1063"/>
      <c r="J4864" s="1063"/>
      <c r="K4864" s="1063"/>
      <c r="L4864" s="1063"/>
    </row>
    <row r="4865" spans="5:12" x14ac:dyDescent="0.2">
      <c r="E4865" s="1063"/>
      <c r="H4865" s="1066"/>
      <c r="I4865" s="1063"/>
      <c r="J4865" s="1063"/>
      <c r="K4865" s="1063"/>
      <c r="L4865" s="1063"/>
    </row>
    <row r="4866" spans="5:12" x14ac:dyDescent="0.2">
      <c r="E4866" s="1063"/>
      <c r="H4866" s="1066"/>
      <c r="I4866" s="1063"/>
      <c r="J4866" s="1063"/>
      <c r="K4866" s="1063"/>
      <c r="L4866" s="1063"/>
    </row>
    <row r="4867" spans="5:12" x14ac:dyDescent="0.2">
      <c r="E4867" s="1063"/>
      <c r="H4867" s="1066"/>
      <c r="I4867" s="1063"/>
      <c r="J4867" s="1063"/>
      <c r="K4867" s="1063"/>
      <c r="L4867" s="1063"/>
    </row>
    <row r="4868" spans="5:12" x14ac:dyDescent="0.2">
      <c r="E4868" s="1063"/>
      <c r="H4868" s="1066"/>
      <c r="I4868" s="1063"/>
      <c r="J4868" s="1063"/>
      <c r="K4868" s="1063"/>
      <c r="L4868" s="1063"/>
    </row>
    <row r="4869" spans="5:12" x14ac:dyDescent="0.2">
      <c r="E4869" s="1063"/>
      <c r="H4869" s="1066"/>
      <c r="I4869" s="1063"/>
      <c r="J4869" s="1063"/>
      <c r="K4869" s="1063"/>
      <c r="L4869" s="1063"/>
    </row>
    <row r="4870" spans="5:12" x14ac:dyDescent="0.2">
      <c r="E4870" s="1063"/>
      <c r="H4870" s="1066"/>
      <c r="I4870" s="1063"/>
      <c r="J4870" s="1063"/>
      <c r="K4870" s="1063"/>
      <c r="L4870" s="1063"/>
    </row>
    <row r="4871" spans="5:12" x14ac:dyDescent="0.2">
      <c r="E4871" s="1063"/>
      <c r="H4871" s="1066"/>
      <c r="I4871" s="1063"/>
      <c r="J4871" s="1063"/>
      <c r="K4871" s="1063"/>
      <c r="L4871" s="1063"/>
    </row>
    <row r="4872" spans="5:12" x14ac:dyDescent="0.2">
      <c r="E4872" s="1063"/>
      <c r="H4872" s="1066"/>
      <c r="I4872" s="1063"/>
      <c r="J4872" s="1063"/>
      <c r="K4872" s="1063"/>
      <c r="L4872" s="1063"/>
    </row>
    <row r="4873" spans="5:12" x14ac:dyDescent="0.2">
      <c r="E4873" s="1063"/>
      <c r="H4873" s="1066"/>
      <c r="I4873" s="1063"/>
      <c r="J4873" s="1063"/>
      <c r="K4873" s="1063"/>
      <c r="L4873" s="1063"/>
    </row>
    <row r="4874" spans="5:12" x14ac:dyDescent="0.2">
      <c r="E4874" s="1063"/>
      <c r="H4874" s="1066"/>
      <c r="I4874" s="1063"/>
      <c r="J4874" s="1063"/>
      <c r="K4874" s="1063"/>
      <c r="L4874" s="1063"/>
    </row>
    <row r="4875" spans="5:12" x14ac:dyDescent="0.2">
      <c r="E4875" s="1063"/>
      <c r="H4875" s="1066"/>
      <c r="I4875" s="1063"/>
      <c r="J4875" s="1063"/>
      <c r="K4875" s="1063"/>
      <c r="L4875" s="1063"/>
    </row>
    <row r="4876" spans="5:12" x14ac:dyDescent="0.2">
      <c r="E4876" s="1063"/>
      <c r="H4876" s="1066"/>
      <c r="I4876" s="1063"/>
      <c r="J4876" s="1063"/>
      <c r="K4876" s="1063"/>
      <c r="L4876" s="1063"/>
    </row>
    <row r="4877" spans="5:12" x14ac:dyDescent="0.2">
      <c r="E4877" s="1063"/>
      <c r="H4877" s="1066"/>
      <c r="I4877" s="1063"/>
      <c r="J4877" s="1063"/>
      <c r="K4877" s="1063"/>
      <c r="L4877" s="1063"/>
    </row>
    <row r="4878" spans="5:12" x14ac:dyDescent="0.2">
      <c r="E4878" s="1063"/>
      <c r="H4878" s="1066"/>
      <c r="I4878" s="1063"/>
      <c r="J4878" s="1063"/>
      <c r="K4878" s="1063"/>
      <c r="L4878" s="1063"/>
    </row>
    <row r="4879" spans="5:12" x14ac:dyDescent="0.2">
      <c r="E4879" s="1063"/>
      <c r="H4879" s="1066"/>
      <c r="I4879" s="1063"/>
      <c r="J4879" s="1063"/>
      <c r="K4879" s="1063"/>
      <c r="L4879" s="1063"/>
    </row>
    <row r="4880" spans="5:12" x14ac:dyDescent="0.2">
      <c r="E4880" s="1063"/>
      <c r="H4880" s="1066"/>
      <c r="I4880" s="1063"/>
      <c r="J4880" s="1063"/>
      <c r="K4880" s="1063"/>
      <c r="L4880" s="1063"/>
    </row>
    <row r="4881" spans="5:12" x14ac:dyDescent="0.2">
      <c r="E4881" s="1063"/>
      <c r="H4881" s="1066"/>
      <c r="I4881" s="1063"/>
      <c r="J4881" s="1063"/>
      <c r="K4881" s="1063"/>
      <c r="L4881" s="1063"/>
    </row>
    <row r="4882" spans="5:12" x14ac:dyDescent="0.2">
      <c r="E4882" s="1063"/>
      <c r="H4882" s="1066"/>
      <c r="I4882" s="1063"/>
      <c r="J4882" s="1063"/>
      <c r="K4882" s="1063"/>
      <c r="L4882" s="1063"/>
    </row>
    <row r="4883" spans="5:12" x14ac:dyDescent="0.2">
      <c r="E4883" s="1063"/>
      <c r="H4883" s="1066"/>
      <c r="I4883" s="1063"/>
      <c r="J4883" s="1063"/>
      <c r="K4883" s="1063"/>
      <c r="L4883" s="1063"/>
    </row>
    <row r="4884" spans="5:12" x14ac:dyDescent="0.2">
      <c r="E4884" s="1063"/>
      <c r="H4884" s="1066"/>
      <c r="I4884" s="1063"/>
      <c r="J4884" s="1063"/>
      <c r="K4884" s="1063"/>
      <c r="L4884" s="1063"/>
    </row>
    <row r="4885" spans="5:12" x14ac:dyDescent="0.2">
      <c r="E4885" s="1063"/>
      <c r="H4885" s="1066"/>
      <c r="I4885" s="1063"/>
      <c r="J4885" s="1063"/>
      <c r="K4885" s="1063"/>
      <c r="L4885" s="1063"/>
    </row>
    <row r="4886" spans="5:12" x14ac:dyDescent="0.2">
      <c r="E4886" s="1063"/>
      <c r="H4886" s="1066"/>
      <c r="I4886" s="1063"/>
      <c r="J4886" s="1063"/>
      <c r="K4886" s="1063"/>
      <c r="L4886" s="1063"/>
    </row>
    <row r="4887" spans="5:12" x14ac:dyDescent="0.2">
      <c r="E4887" s="1063"/>
      <c r="H4887" s="1066"/>
      <c r="I4887" s="1063"/>
      <c r="J4887" s="1063"/>
      <c r="K4887" s="1063"/>
      <c r="L4887" s="1063"/>
    </row>
    <row r="4888" spans="5:12" x14ac:dyDescent="0.2">
      <c r="E4888" s="1063"/>
      <c r="H4888" s="1066"/>
      <c r="I4888" s="1063"/>
      <c r="J4888" s="1063"/>
      <c r="K4888" s="1063"/>
      <c r="L4888" s="1063"/>
    </row>
    <row r="4889" spans="5:12" x14ac:dyDescent="0.2">
      <c r="E4889" s="1063"/>
      <c r="H4889" s="1066"/>
      <c r="I4889" s="1063"/>
      <c r="J4889" s="1063"/>
      <c r="K4889" s="1063"/>
      <c r="L4889" s="1063"/>
    </row>
    <row r="4890" spans="5:12" x14ac:dyDescent="0.2">
      <c r="E4890" s="1063"/>
      <c r="H4890" s="1066"/>
      <c r="I4890" s="1063"/>
      <c r="J4890" s="1063"/>
      <c r="K4890" s="1063"/>
      <c r="L4890" s="1063"/>
    </row>
    <row r="4891" spans="5:12" x14ac:dyDescent="0.2">
      <c r="E4891" s="1063"/>
      <c r="H4891" s="1066"/>
      <c r="I4891" s="1063"/>
      <c r="J4891" s="1063"/>
      <c r="K4891" s="1063"/>
      <c r="L4891" s="1063"/>
    </row>
    <row r="4892" spans="5:12" x14ac:dyDescent="0.2">
      <c r="E4892" s="1063"/>
      <c r="H4892" s="1066"/>
      <c r="I4892" s="1063"/>
      <c r="J4892" s="1063"/>
      <c r="K4892" s="1063"/>
      <c r="L4892" s="1063"/>
    </row>
    <row r="4893" spans="5:12" x14ac:dyDescent="0.2">
      <c r="E4893" s="1063"/>
      <c r="H4893" s="1066"/>
      <c r="I4893" s="1063"/>
      <c r="J4893" s="1063"/>
      <c r="K4893" s="1063"/>
      <c r="L4893" s="1063"/>
    </row>
    <row r="4894" spans="5:12" x14ac:dyDescent="0.2">
      <c r="E4894" s="1063"/>
      <c r="H4894" s="1066"/>
      <c r="I4894" s="1063"/>
      <c r="J4894" s="1063"/>
      <c r="K4894" s="1063"/>
      <c r="L4894" s="1063"/>
    </row>
    <row r="4895" spans="5:12" x14ac:dyDescent="0.2">
      <c r="E4895" s="1063"/>
      <c r="H4895" s="1066"/>
      <c r="I4895" s="1063"/>
      <c r="J4895" s="1063"/>
      <c r="K4895" s="1063"/>
      <c r="L4895" s="1063"/>
    </row>
    <row r="4896" spans="5:12" x14ac:dyDescent="0.2">
      <c r="E4896" s="1063"/>
      <c r="H4896" s="1066"/>
      <c r="I4896" s="1063"/>
      <c r="J4896" s="1063"/>
      <c r="K4896" s="1063"/>
      <c r="L4896" s="1063"/>
    </row>
    <row r="4897" spans="5:12" x14ac:dyDescent="0.2">
      <c r="E4897" s="1063"/>
      <c r="H4897" s="1066"/>
      <c r="I4897" s="1063"/>
      <c r="J4897" s="1063"/>
      <c r="K4897" s="1063"/>
      <c r="L4897" s="1063"/>
    </row>
    <row r="4898" spans="5:12" x14ac:dyDescent="0.2">
      <c r="E4898" s="1063"/>
      <c r="H4898" s="1066"/>
      <c r="I4898" s="1063"/>
      <c r="J4898" s="1063"/>
      <c r="K4898" s="1063"/>
      <c r="L4898" s="1063"/>
    </row>
    <row r="4899" spans="5:12" x14ac:dyDescent="0.2">
      <c r="E4899" s="1063"/>
      <c r="H4899" s="1066"/>
      <c r="I4899" s="1063"/>
      <c r="J4899" s="1063"/>
      <c r="K4899" s="1063"/>
      <c r="L4899" s="1063"/>
    </row>
    <row r="4900" spans="5:12" x14ac:dyDescent="0.2">
      <c r="E4900" s="1063"/>
      <c r="H4900" s="1066"/>
      <c r="I4900" s="1063"/>
      <c r="J4900" s="1063"/>
      <c r="K4900" s="1063"/>
      <c r="L4900" s="1063"/>
    </row>
    <row r="4901" spans="5:12" x14ac:dyDescent="0.2">
      <c r="E4901" s="1063"/>
      <c r="H4901" s="1066"/>
      <c r="I4901" s="1063"/>
      <c r="J4901" s="1063"/>
      <c r="K4901" s="1063"/>
      <c r="L4901" s="1063"/>
    </row>
    <row r="4902" spans="5:12" x14ac:dyDescent="0.2">
      <c r="E4902" s="1063"/>
      <c r="H4902" s="1066"/>
      <c r="I4902" s="1063"/>
      <c r="J4902" s="1063"/>
      <c r="K4902" s="1063"/>
      <c r="L4902" s="1063"/>
    </row>
    <row r="4903" spans="5:12" x14ac:dyDescent="0.2">
      <c r="E4903" s="1063"/>
      <c r="H4903" s="1066"/>
      <c r="I4903" s="1063"/>
      <c r="J4903" s="1063"/>
      <c r="K4903" s="1063"/>
      <c r="L4903" s="1063"/>
    </row>
    <row r="4904" spans="5:12" x14ac:dyDescent="0.2">
      <c r="E4904" s="1063"/>
      <c r="H4904" s="1066"/>
      <c r="I4904" s="1063"/>
      <c r="J4904" s="1063"/>
      <c r="K4904" s="1063"/>
      <c r="L4904" s="1063"/>
    </row>
    <row r="4905" spans="5:12" x14ac:dyDescent="0.2">
      <c r="E4905" s="1063"/>
      <c r="H4905" s="1066"/>
      <c r="I4905" s="1063"/>
      <c r="J4905" s="1063"/>
      <c r="K4905" s="1063"/>
      <c r="L4905" s="1063"/>
    </row>
    <row r="4906" spans="5:12" x14ac:dyDescent="0.2">
      <c r="E4906" s="1063"/>
      <c r="H4906" s="1066"/>
      <c r="I4906" s="1063"/>
      <c r="J4906" s="1063"/>
      <c r="K4906" s="1063"/>
      <c r="L4906" s="1063"/>
    </row>
    <row r="4907" spans="5:12" x14ac:dyDescent="0.2">
      <c r="E4907" s="1063"/>
      <c r="H4907" s="1066"/>
      <c r="I4907" s="1063"/>
      <c r="J4907" s="1063"/>
      <c r="K4907" s="1063"/>
      <c r="L4907" s="1063"/>
    </row>
    <row r="4908" spans="5:12" x14ac:dyDescent="0.2">
      <c r="E4908" s="1063"/>
      <c r="H4908" s="1066"/>
      <c r="I4908" s="1063"/>
      <c r="J4908" s="1063"/>
      <c r="K4908" s="1063"/>
      <c r="L4908" s="1063"/>
    </row>
    <row r="4909" spans="5:12" x14ac:dyDescent="0.2">
      <c r="E4909" s="1063"/>
      <c r="H4909" s="1066"/>
      <c r="I4909" s="1063"/>
      <c r="J4909" s="1063"/>
      <c r="K4909" s="1063"/>
      <c r="L4909" s="1063"/>
    </row>
    <row r="4910" spans="5:12" x14ac:dyDescent="0.2">
      <c r="E4910" s="1063"/>
      <c r="H4910" s="1066"/>
      <c r="I4910" s="1063"/>
      <c r="J4910" s="1063"/>
      <c r="K4910" s="1063"/>
      <c r="L4910" s="1063"/>
    </row>
    <row r="4911" spans="5:12" x14ac:dyDescent="0.2">
      <c r="E4911" s="1063"/>
      <c r="H4911" s="1066"/>
      <c r="I4911" s="1063"/>
      <c r="J4911" s="1063"/>
      <c r="K4911" s="1063"/>
      <c r="L4911" s="1063"/>
    </row>
    <row r="4912" spans="5:12" x14ac:dyDescent="0.2">
      <c r="E4912" s="1063"/>
      <c r="H4912" s="1066"/>
      <c r="I4912" s="1063"/>
      <c r="J4912" s="1063"/>
      <c r="K4912" s="1063"/>
      <c r="L4912" s="1063"/>
    </row>
    <row r="4913" spans="5:12" x14ac:dyDescent="0.2">
      <c r="E4913" s="1063"/>
      <c r="H4913" s="1066"/>
      <c r="I4913" s="1063"/>
      <c r="J4913" s="1063"/>
      <c r="K4913" s="1063"/>
      <c r="L4913" s="1063"/>
    </row>
    <row r="4914" spans="5:12" x14ac:dyDescent="0.2">
      <c r="E4914" s="1063"/>
      <c r="H4914" s="1066"/>
      <c r="I4914" s="1063"/>
      <c r="J4914" s="1063"/>
      <c r="K4914" s="1063"/>
      <c r="L4914" s="1063"/>
    </row>
    <row r="4915" spans="5:12" x14ac:dyDescent="0.2">
      <c r="E4915" s="1063"/>
      <c r="H4915" s="1066"/>
      <c r="I4915" s="1063"/>
      <c r="J4915" s="1063"/>
      <c r="K4915" s="1063"/>
      <c r="L4915" s="1063"/>
    </row>
    <row r="4916" spans="5:12" x14ac:dyDescent="0.2">
      <c r="E4916" s="1063"/>
      <c r="H4916" s="1066"/>
      <c r="I4916" s="1063"/>
      <c r="J4916" s="1063"/>
      <c r="K4916" s="1063"/>
      <c r="L4916" s="1063"/>
    </row>
    <row r="4917" spans="5:12" x14ac:dyDescent="0.2">
      <c r="E4917" s="1063"/>
      <c r="H4917" s="1066"/>
      <c r="I4917" s="1063"/>
      <c r="J4917" s="1063"/>
      <c r="K4917" s="1063"/>
      <c r="L4917" s="1063"/>
    </row>
    <row r="4918" spans="5:12" x14ac:dyDescent="0.2">
      <c r="E4918" s="1063"/>
      <c r="H4918" s="1066"/>
      <c r="I4918" s="1063"/>
      <c r="J4918" s="1063"/>
      <c r="K4918" s="1063"/>
      <c r="L4918" s="1063"/>
    </row>
    <row r="4919" spans="5:12" x14ac:dyDescent="0.2">
      <c r="E4919" s="1063"/>
      <c r="H4919" s="1066"/>
      <c r="I4919" s="1063"/>
      <c r="J4919" s="1063"/>
      <c r="K4919" s="1063"/>
      <c r="L4919" s="1063"/>
    </row>
    <row r="4920" spans="5:12" x14ac:dyDescent="0.2">
      <c r="E4920" s="1063"/>
      <c r="H4920" s="1066"/>
      <c r="I4920" s="1063"/>
      <c r="J4920" s="1063"/>
      <c r="K4920" s="1063"/>
      <c r="L4920" s="1063"/>
    </row>
    <row r="4921" spans="5:12" x14ac:dyDescent="0.2">
      <c r="E4921" s="1063"/>
      <c r="H4921" s="1066"/>
      <c r="I4921" s="1063"/>
      <c r="J4921" s="1063"/>
      <c r="K4921" s="1063"/>
      <c r="L4921" s="1063"/>
    </row>
    <row r="4922" spans="5:12" x14ac:dyDescent="0.2">
      <c r="E4922" s="1063"/>
      <c r="H4922" s="1066"/>
      <c r="I4922" s="1063"/>
      <c r="J4922" s="1063"/>
      <c r="K4922" s="1063"/>
      <c r="L4922" s="1063"/>
    </row>
    <row r="4923" spans="5:12" x14ac:dyDescent="0.2">
      <c r="E4923" s="1063"/>
      <c r="H4923" s="1066"/>
      <c r="I4923" s="1063"/>
      <c r="J4923" s="1063"/>
      <c r="K4923" s="1063"/>
      <c r="L4923" s="1063"/>
    </row>
    <row r="4924" spans="5:12" x14ac:dyDescent="0.2">
      <c r="E4924" s="1063"/>
      <c r="H4924" s="1066"/>
      <c r="I4924" s="1063"/>
      <c r="J4924" s="1063"/>
      <c r="K4924" s="1063"/>
      <c r="L4924" s="1063"/>
    </row>
    <row r="4925" spans="5:12" x14ac:dyDescent="0.2">
      <c r="E4925" s="1063"/>
      <c r="H4925" s="1066"/>
      <c r="I4925" s="1063"/>
      <c r="J4925" s="1063"/>
      <c r="K4925" s="1063"/>
      <c r="L4925" s="1063"/>
    </row>
    <row r="4926" spans="5:12" x14ac:dyDescent="0.2">
      <c r="E4926" s="1063"/>
      <c r="H4926" s="1066"/>
      <c r="I4926" s="1063"/>
      <c r="J4926" s="1063"/>
      <c r="K4926" s="1063"/>
      <c r="L4926" s="1063"/>
    </row>
    <row r="4927" spans="5:12" x14ac:dyDescent="0.2">
      <c r="E4927" s="1063"/>
      <c r="H4927" s="1066"/>
      <c r="I4927" s="1063"/>
      <c r="J4927" s="1063"/>
      <c r="K4927" s="1063"/>
      <c r="L4927" s="1063"/>
    </row>
    <row r="4928" spans="5:12" x14ac:dyDescent="0.2">
      <c r="E4928" s="1063"/>
      <c r="H4928" s="1066"/>
      <c r="I4928" s="1063"/>
      <c r="J4928" s="1063"/>
      <c r="K4928" s="1063"/>
      <c r="L4928" s="1063"/>
    </row>
    <row r="4929" spans="5:12" x14ac:dyDescent="0.2">
      <c r="E4929" s="1063"/>
      <c r="H4929" s="1066"/>
      <c r="I4929" s="1063"/>
      <c r="J4929" s="1063"/>
      <c r="K4929" s="1063"/>
      <c r="L4929" s="1063"/>
    </row>
    <row r="4930" spans="5:12" x14ac:dyDescent="0.2">
      <c r="E4930" s="1063"/>
      <c r="H4930" s="1066"/>
      <c r="I4930" s="1063"/>
      <c r="J4930" s="1063"/>
      <c r="K4930" s="1063"/>
      <c r="L4930" s="1063"/>
    </row>
    <row r="4931" spans="5:12" x14ac:dyDescent="0.2">
      <c r="E4931" s="1063"/>
      <c r="H4931" s="1066"/>
      <c r="I4931" s="1063"/>
      <c r="J4931" s="1063"/>
      <c r="K4931" s="1063"/>
      <c r="L4931" s="1063"/>
    </row>
    <row r="4932" spans="5:12" x14ac:dyDescent="0.2">
      <c r="E4932" s="1063"/>
      <c r="H4932" s="1066"/>
      <c r="I4932" s="1063"/>
      <c r="J4932" s="1063"/>
      <c r="K4932" s="1063"/>
      <c r="L4932" s="1063"/>
    </row>
    <row r="4933" spans="5:12" x14ac:dyDescent="0.2">
      <c r="E4933" s="1063"/>
      <c r="H4933" s="1066"/>
      <c r="I4933" s="1063"/>
      <c r="J4933" s="1063"/>
      <c r="K4933" s="1063"/>
      <c r="L4933" s="1063"/>
    </row>
    <row r="4934" spans="5:12" x14ac:dyDescent="0.2">
      <c r="E4934" s="1063"/>
      <c r="H4934" s="1066"/>
      <c r="I4934" s="1063"/>
      <c r="J4934" s="1063"/>
      <c r="K4934" s="1063"/>
      <c r="L4934" s="1063"/>
    </row>
    <row r="4935" spans="5:12" x14ac:dyDescent="0.2">
      <c r="E4935" s="1063"/>
      <c r="H4935" s="1066"/>
      <c r="I4935" s="1063"/>
      <c r="J4935" s="1063"/>
      <c r="K4935" s="1063"/>
      <c r="L4935" s="1063"/>
    </row>
    <row r="4936" spans="5:12" x14ac:dyDescent="0.2">
      <c r="E4936" s="1063"/>
      <c r="H4936" s="1066"/>
      <c r="I4936" s="1063"/>
      <c r="J4936" s="1063"/>
      <c r="K4936" s="1063"/>
      <c r="L4936" s="1063"/>
    </row>
    <row r="4937" spans="5:12" x14ac:dyDescent="0.2">
      <c r="E4937" s="1063"/>
      <c r="H4937" s="1066"/>
      <c r="I4937" s="1063"/>
      <c r="J4937" s="1063"/>
      <c r="K4937" s="1063"/>
      <c r="L4937" s="1063"/>
    </row>
    <row r="4938" spans="5:12" x14ac:dyDescent="0.2">
      <c r="E4938" s="1063"/>
      <c r="H4938" s="1066"/>
      <c r="I4938" s="1063"/>
      <c r="J4938" s="1063"/>
      <c r="K4938" s="1063"/>
      <c r="L4938" s="1063"/>
    </row>
    <row r="4939" spans="5:12" x14ac:dyDescent="0.2">
      <c r="E4939" s="1063"/>
      <c r="H4939" s="1066"/>
      <c r="I4939" s="1063"/>
      <c r="J4939" s="1063"/>
      <c r="K4939" s="1063"/>
      <c r="L4939" s="1063"/>
    </row>
    <row r="4940" spans="5:12" x14ac:dyDescent="0.2">
      <c r="E4940" s="1063"/>
      <c r="H4940" s="1066"/>
      <c r="I4940" s="1063"/>
      <c r="J4940" s="1063"/>
      <c r="K4940" s="1063"/>
      <c r="L4940" s="1063"/>
    </row>
    <row r="4941" spans="5:12" x14ac:dyDescent="0.2">
      <c r="E4941" s="1063"/>
      <c r="H4941" s="1066"/>
      <c r="I4941" s="1063"/>
      <c r="J4941" s="1063"/>
      <c r="K4941" s="1063"/>
      <c r="L4941" s="1063"/>
    </row>
    <row r="4942" spans="5:12" x14ac:dyDescent="0.2">
      <c r="E4942" s="1063"/>
      <c r="H4942" s="1066"/>
      <c r="I4942" s="1063"/>
      <c r="J4942" s="1063"/>
      <c r="K4942" s="1063"/>
      <c r="L4942" s="1063"/>
    </row>
    <row r="4943" spans="5:12" x14ac:dyDescent="0.2">
      <c r="E4943" s="1063"/>
      <c r="H4943" s="1066"/>
      <c r="I4943" s="1063"/>
      <c r="J4943" s="1063"/>
      <c r="K4943" s="1063"/>
      <c r="L4943" s="1063"/>
    </row>
    <row r="4944" spans="5:12" x14ac:dyDescent="0.2">
      <c r="E4944" s="1063"/>
      <c r="H4944" s="1066"/>
      <c r="I4944" s="1063"/>
      <c r="J4944" s="1063"/>
      <c r="K4944" s="1063"/>
      <c r="L4944" s="1063"/>
    </row>
    <row r="4945" spans="5:12" x14ac:dyDescent="0.2">
      <c r="E4945" s="1063"/>
      <c r="H4945" s="1066"/>
      <c r="I4945" s="1063"/>
      <c r="J4945" s="1063"/>
      <c r="K4945" s="1063"/>
      <c r="L4945" s="1063"/>
    </row>
    <row r="4946" spans="5:12" x14ac:dyDescent="0.2">
      <c r="E4946" s="1063"/>
      <c r="H4946" s="1066"/>
      <c r="I4946" s="1063"/>
      <c r="J4946" s="1063"/>
      <c r="K4946" s="1063"/>
      <c r="L4946" s="1063"/>
    </row>
    <row r="4947" spans="5:12" x14ac:dyDescent="0.2">
      <c r="E4947" s="1063"/>
      <c r="H4947" s="1066"/>
      <c r="I4947" s="1063"/>
      <c r="J4947" s="1063"/>
      <c r="K4947" s="1063"/>
      <c r="L4947" s="1063"/>
    </row>
    <row r="4948" spans="5:12" x14ac:dyDescent="0.2">
      <c r="E4948" s="1063"/>
      <c r="H4948" s="1066"/>
      <c r="I4948" s="1063"/>
      <c r="J4948" s="1063"/>
      <c r="K4948" s="1063"/>
      <c r="L4948" s="1063"/>
    </row>
    <row r="4949" spans="5:12" x14ac:dyDescent="0.2">
      <c r="E4949" s="1063"/>
      <c r="H4949" s="1066"/>
      <c r="I4949" s="1063"/>
      <c r="J4949" s="1063"/>
      <c r="K4949" s="1063"/>
      <c r="L4949" s="1063"/>
    </row>
    <row r="4950" spans="5:12" x14ac:dyDescent="0.2">
      <c r="E4950" s="1063"/>
      <c r="H4950" s="1066"/>
      <c r="I4950" s="1063"/>
      <c r="J4950" s="1063"/>
      <c r="K4950" s="1063"/>
      <c r="L4950" s="1063"/>
    </row>
    <row r="4951" spans="5:12" x14ac:dyDescent="0.2">
      <c r="E4951" s="1063"/>
      <c r="H4951" s="1066"/>
      <c r="I4951" s="1063"/>
      <c r="J4951" s="1063"/>
      <c r="K4951" s="1063"/>
      <c r="L4951" s="1063"/>
    </row>
    <row r="4952" spans="5:12" x14ac:dyDescent="0.2">
      <c r="E4952" s="1063"/>
      <c r="H4952" s="1066"/>
      <c r="I4952" s="1063"/>
      <c r="J4952" s="1063"/>
      <c r="K4952" s="1063"/>
      <c r="L4952" s="1063"/>
    </row>
    <row r="4953" spans="5:12" x14ac:dyDescent="0.2">
      <c r="E4953" s="1063"/>
      <c r="H4953" s="1066"/>
      <c r="I4953" s="1063"/>
      <c r="J4953" s="1063"/>
      <c r="K4953" s="1063"/>
      <c r="L4953" s="1063"/>
    </row>
    <row r="4954" spans="5:12" x14ac:dyDescent="0.2">
      <c r="E4954" s="1063"/>
      <c r="H4954" s="1066"/>
      <c r="I4954" s="1063"/>
      <c r="J4954" s="1063"/>
      <c r="K4954" s="1063"/>
      <c r="L4954" s="1063"/>
    </row>
    <row r="4955" spans="5:12" x14ac:dyDescent="0.2">
      <c r="E4955" s="1063"/>
      <c r="H4955" s="1066"/>
      <c r="I4955" s="1063"/>
      <c r="J4955" s="1063"/>
      <c r="K4955" s="1063"/>
      <c r="L4955" s="1063"/>
    </row>
    <row r="4956" spans="5:12" x14ac:dyDescent="0.2">
      <c r="E4956" s="1063"/>
      <c r="H4956" s="1066"/>
      <c r="I4956" s="1063"/>
      <c r="J4956" s="1063"/>
      <c r="K4956" s="1063"/>
      <c r="L4956" s="1063"/>
    </row>
    <row r="4957" spans="5:12" x14ac:dyDescent="0.2">
      <c r="E4957" s="1063"/>
      <c r="H4957" s="1066"/>
      <c r="I4957" s="1063"/>
      <c r="J4957" s="1063"/>
      <c r="K4957" s="1063"/>
      <c r="L4957" s="1063"/>
    </row>
    <row r="4958" spans="5:12" x14ac:dyDescent="0.2">
      <c r="E4958" s="1063"/>
      <c r="H4958" s="1066"/>
      <c r="I4958" s="1063"/>
      <c r="J4958" s="1063"/>
      <c r="K4958" s="1063"/>
      <c r="L4958" s="1063"/>
    </row>
    <row r="4959" spans="5:12" x14ac:dyDescent="0.2">
      <c r="E4959" s="1063"/>
      <c r="H4959" s="1066"/>
      <c r="I4959" s="1063"/>
      <c r="J4959" s="1063"/>
      <c r="K4959" s="1063"/>
      <c r="L4959" s="1063"/>
    </row>
    <row r="4960" spans="5:12" x14ac:dyDescent="0.2">
      <c r="E4960" s="1063"/>
      <c r="H4960" s="1066"/>
      <c r="I4960" s="1063"/>
      <c r="J4960" s="1063"/>
      <c r="K4960" s="1063"/>
      <c r="L4960" s="1063"/>
    </row>
    <row r="4961" spans="5:12" x14ac:dyDescent="0.2">
      <c r="E4961" s="1063"/>
      <c r="H4961" s="1066"/>
      <c r="I4961" s="1063"/>
      <c r="J4961" s="1063"/>
      <c r="K4961" s="1063"/>
      <c r="L4961" s="1063"/>
    </row>
    <row r="4962" spans="5:12" x14ac:dyDescent="0.2">
      <c r="E4962" s="1063"/>
      <c r="H4962" s="1066"/>
      <c r="I4962" s="1063"/>
      <c r="J4962" s="1063"/>
      <c r="K4962" s="1063"/>
      <c r="L4962" s="1063"/>
    </row>
    <row r="4963" spans="5:12" x14ac:dyDescent="0.2">
      <c r="E4963" s="1063"/>
      <c r="H4963" s="1066"/>
      <c r="I4963" s="1063"/>
      <c r="J4963" s="1063"/>
      <c r="K4963" s="1063"/>
      <c r="L4963" s="1063"/>
    </row>
    <row r="4964" spans="5:12" x14ac:dyDescent="0.2">
      <c r="E4964" s="1063"/>
      <c r="H4964" s="1066"/>
      <c r="I4964" s="1063"/>
      <c r="J4964" s="1063"/>
      <c r="K4964" s="1063"/>
      <c r="L4964" s="1063"/>
    </row>
    <row r="4965" spans="5:12" x14ac:dyDescent="0.2">
      <c r="E4965" s="1063"/>
      <c r="H4965" s="1066"/>
      <c r="I4965" s="1063"/>
      <c r="J4965" s="1063"/>
      <c r="K4965" s="1063"/>
      <c r="L4965" s="1063"/>
    </row>
    <row r="4966" spans="5:12" x14ac:dyDescent="0.2">
      <c r="E4966" s="1063"/>
      <c r="H4966" s="1066"/>
      <c r="I4966" s="1063"/>
      <c r="J4966" s="1063"/>
      <c r="K4966" s="1063"/>
      <c r="L4966" s="1063"/>
    </row>
    <row r="4967" spans="5:12" x14ac:dyDescent="0.2">
      <c r="E4967" s="1063"/>
      <c r="H4967" s="1066"/>
      <c r="I4967" s="1063"/>
      <c r="J4967" s="1063"/>
      <c r="K4967" s="1063"/>
      <c r="L4967" s="1063"/>
    </row>
    <row r="4968" spans="5:12" x14ac:dyDescent="0.2">
      <c r="E4968" s="1063"/>
      <c r="H4968" s="1066"/>
      <c r="I4968" s="1063"/>
      <c r="J4968" s="1063"/>
      <c r="K4968" s="1063"/>
      <c r="L4968" s="1063"/>
    </row>
    <row r="4969" spans="5:12" x14ac:dyDescent="0.2">
      <c r="E4969" s="1063"/>
      <c r="H4969" s="1066"/>
      <c r="I4969" s="1063"/>
      <c r="J4969" s="1063"/>
      <c r="K4969" s="1063"/>
      <c r="L4969" s="1063"/>
    </row>
    <row r="4970" spans="5:12" x14ac:dyDescent="0.2">
      <c r="E4970" s="1063"/>
      <c r="H4970" s="1066"/>
      <c r="I4970" s="1063"/>
      <c r="J4970" s="1063"/>
      <c r="K4970" s="1063"/>
      <c r="L4970" s="1063"/>
    </row>
    <row r="4971" spans="5:12" x14ac:dyDescent="0.2">
      <c r="E4971" s="1063"/>
      <c r="H4971" s="1066"/>
      <c r="I4971" s="1063"/>
      <c r="J4971" s="1063"/>
      <c r="K4971" s="1063"/>
      <c r="L4971" s="1063"/>
    </row>
    <row r="4972" spans="5:12" x14ac:dyDescent="0.2">
      <c r="E4972" s="1063"/>
      <c r="H4972" s="1066"/>
      <c r="I4972" s="1063"/>
      <c r="J4972" s="1063"/>
      <c r="K4972" s="1063"/>
      <c r="L4972" s="1063"/>
    </row>
    <row r="4973" spans="5:12" x14ac:dyDescent="0.2">
      <c r="E4973" s="1063"/>
      <c r="H4973" s="1066"/>
      <c r="I4973" s="1063"/>
      <c r="J4973" s="1063"/>
      <c r="K4973" s="1063"/>
      <c r="L4973" s="1063"/>
    </row>
    <row r="4974" spans="5:12" x14ac:dyDescent="0.2">
      <c r="E4974" s="1063"/>
      <c r="H4974" s="1066"/>
      <c r="I4974" s="1063"/>
      <c r="J4974" s="1063"/>
      <c r="K4974" s="1063"/>
      <c r="L4974" s="1063"/>
    </row>
    <row r="4975" spans="5:12" x14ac:dyDescent="0.2">
      <c r="E4975" s="1063"/>
      <c r="H4975" s="1066"/>
      <c r="I4975" s="1063"/>
      <c r="J4975" s="1063"/>
      <c r="K4975" s="1063"/>
      <c r="L4975" s="1063"/>
    </row>
    <row r="4976" spans="5:12" x14ac:dyDescent="0.2">
      <c r="E4976" s="1063"/>
      <c r="H4976" s="1066"/>
      <c r="I4976" s="1063"/>
      <c r="J4976" s="1063"/>
      <c r="K4976" s="1063"/>
      <c r="L4976" s="1063"/>
    </row>
    <row r="4977" spans="5:12" x14ac:dyDescent="0.2">
      <c r="E4977" s="1063"/>
      <c r="H4977" s="1066"/>
      <c r="I4977" s="1063"/>
      <c r="J4977" s="1063"/>
      <c r="K4977" s="1063"/>
      <c r="L4977" s="1063"/>
    </row>
    <row r="4978" spans="5:12" x14ac:dyDescent="0.2">
      <c r="E4978" s="1063"/>
      <c r="H4978" s="1066"/>
      <c r="I4978" s="1063"/>
      <c r="J4978" s="1063"/>
      <c r="K4978" s="1063"/>
      <c r="L4978" s="1063"/>
    </row>
    <row r="4979" spans="5:12" x14ac:dyDescent="0.2">
      <c r="E4979" s="1063"/>
      <c r="H4979" s="1066"/>
      <c r="I4979" s="1063"/>
      <c r="J4979" s="1063"/>
      <c r="K4979" s="1063"/>
      <c r="L4979" s="1063"/>
    </row>
    <row r="4980" spans="5:12" x14ac:dyDescent="0.2">
      <c r="E4980" s="1063"/>
      <c r="H4980" s="1066"/>
      <c r="I4980" s="1063"/>
      <c r="J4980" s="1063"/>
      <c r="K4980" s="1063"/>
      <c r="L4980" s="1063"/>
    </row>
    <row r="4981" spans="5:12" x14ac:dyDescent="0.2">
      <c r="E4981" s="1063"/>
      <c r="H4981" s="1066"/>
      <c r="I4981" s="1063"/>
      <c r="J4981" s="1063"/>
      <c r="K4981" s="1063"/>
      <c r="L4981" s="1063"/>
    </row>
    <row r="4982" spans="5:12" x14ac:dyDescent="0.2">
      <c r="E4982" s="1063"/>
      <c r="H4982" s="1066"/>
      <c r="I4982" s="1063"/>
      <c r="J4982" s="1063"/>
      <c r="K4982" s="1063"/>
      <c r="L4982" s="1063"/>
    </row>
    <row r="4983" spans="5:12" x14ac:dyDescent="0.2">
      <c r="E4983" s="1063"/>
      <c r="H4983" s="1066"/>
      <c r="I4983" s="1063"/>
      <c r="J4983" s="1063"/>
      <c r="K4983" s="1063"/>
      <c r="L4983" s="1063"/>
    </row>
    <row r="4984" spans="5:12" x14ac:dyDescent="0.2">
      <c r="E4984" s="1063"/>
      <c r="H4984" s="1066"/>
      <c r="I4984" s="1063"/>
      <c r="J4984" s="1063"/>
      <c r="K4984" s="1063"/>
      <c r="L4984" s="1063"/>
    </row>
    <row r="4985" spans="5:12" x14ac:dyDescent="0.2">
      <c r="E4985" s="1063"/>
      <c r="H4985" s="1066"/>
      <c r="I4985" s="1063"/>
      <c r="J4985" s="1063"/>
      <c r="K4985" s="1063"/>
      <c r="L4985" s="1063"/>
    </row>
    <row r="4986" spans="5:12" x14ac:dyDescent="0.2">
      <c r="E4986" s="1063"/>
      <c r="H4986" s="1066"/>
      <c r="I4986" s="1063"/>
      <c r="J4986" s="1063"/>
      <c r="K4986" s="1063"/>
      <c r="L4986" s="1063"/>
    </row>
    <row r="4987" spans="5:12" x14ac:dyDescent="0.2">
      <c r="E4987" s="1063"/>
      <c r="H4987" s="1066"/>
      <c r="I4987" s="1063"/>
      <c r="J4987" s="1063"/>
      <c r="K4987" s="1063"/>
      <c r="L4987" s="1063"/>
    </row>
    <row r="4988" spans="5:12" x14ac:dyDescent="0.2">
      <c r="E4988" s="1063"/>
      <c r="H4988" s="1066"/>
      <c r="I4988" s="1063"/>
      <c r="J4988" s="1063"/>
      <c r="K4988" s="1063"/>
      <c r="L4988" s="1063"/>
    </row>
    <row r="4989" spans="5:12" x14ac:dyDescent="0.2">
      <c r="E4989" s="1063"/>
      <c r="H4989" s="1066"/>
      <c r="I4989" s="1063"/>
      <c r="J4989" s="1063"/>
      <c r="K4989" s="1063"/>
      <c r="L4989" s="1063"/>
    </row>
    <row r="4990" spans="5:12" x14ac:dyDescent="0.2">
      <c r="E4990" s="1063"/>
      <c r="H4990" s="1066"/>
      <c r="I4990" s="1063"/>
      <c r="J4990" s="1063"/>
      <c r="K4990" s="1063"/>
      <c r="L4990" s="1063"/>
    </row>
    <row r="4991" spans="5:12" x14ac:dyDescent="0.2">
      <c r="E4991" s="1063"/>
      <c r="H4991" s="1066"/>
      <c r="I4991" s="1063"/>
      <c r="J4991" s="1063"/>
      <c r="K4991" s="1063"/>
      <c r="L4991" s="1063"/>
    </row>
    <row r="4992" spans="5:12" x14ac:dyDescent="0.2">
      <c r="E4992" s="1063"/>
      <c r="H4992" s="1066"/>
      <c r="I4992" s="1063"/>
      <c r="J4992" s="1063"/>
      <c r="K4992" s="1063"/>
      <c r="L4992" s="1063"/>
    </row>
    <row r="4993" spans="5:12" x14ac:dyDescent="0.2">
      <c r="E4993" s="1063"/>
      <c r="H4993" s="1066"/>
      <c r="I4993" s="1063"/>
      <c r="J4993" s="1063"/>
      <c r="K4993" s="1063"/>
      <c r="L4993" s="1063"/>
    </row>
    <row r="4994" spans="5:12" x14ac:dyDescent="0.2">
      <c r="E4994" s="1063"/>
      <c r="H4994" s="1066"/>
      <c r="I4994" s="1063"/>
      <c r="J4994" s="1063"/>
      <c r="K4994" s="1063"/>
      <c r="L4994" s="1063"/>
    </row>
    <row r="4995" spans="5:12" x14ac:dyDescent="0.2">
      <c r="E4995" s="1063"/>
      <c r="H4995" s="1066"/>
      <c r="I4995" s="1063"/>
      <c r="J4995" s="1063"/>
      <c r="K4995" s="1063"/>
      <c r="L4995" s="1063"/>
    </row>
    <row r="4996" spans="5:12" x14ac:dyDescent="0.2">
      <c r="E4996" s="1063"/>
      <c r="H4996" s="1066"/>
      <c r="I4996" s="1063"/>
      <c r="J4996" s="1063"/>
      <c r="K4996" s="1063"/>
      <c r="L4996" s="1063"/>
    </row>
    <row r="4997" spans="5:12" x14ac:dyDescent="0.2">
      <c r="E4997" s="1063"/>
      <c r="H4997" s="1066"/>
      <c r="I4997" s="1063"/>
      <c r="J4997" s="1063"/>
      <c r="K4997" s="1063"/>
      <c r="L4997" s="1063"/>
    </row>
    <row r="4998" spans="5:12" x14ac:dyDescent="0.2">
      <c r="E4998" s="1063"/>
      <c r="H4998" s="1066"/>
      <c r="I4998" s="1063"/>
      <c r="J4998" s="1063"/>
      <c r="K4998" s="1063"/>
      <c r="L4998" s="1063"/>
    </row>
    <row r="4999" spans="5:12" x14ac:dyDescent="0.2">
      <c r="E4999" s="1063"/>
      <c r="H4999" s="1066"/>
      <c r="I4999" s="1063"/>
      <c r="J4999" s="1063"/>
      <c r="K4999" s="1063"/>
      <c r="L4999" s="1063"/>
    </row>
    <row r="5000" spans="5:12" x14ac:dyDescent="0.2">
      <c r="E5000" s="1063"/>
      <c r="H5000" s="1066"/>
      <c r="I5000" s="1063"/>
      <c r="J5000" s="1063"/>
      <c r="K5000" s="1063"/>
      <c r="L5000" s="1063"/>
    </row>
    <row r="5001" spans="5:12" x14ac:dyDescent="0.2">
      <c r="E5001" s="1063"/>
      <c r="H5001" s="1066"/>
      <c r="I5001" s="1063"/>
      <c r="J5001" s="1063"/>
      <c r="K5001" s="1063"/>
      <c r="L5001" s="1063"/>
    </row>
    <row r="5002" spans="5:12" x14ac:dyDescent="0.2">
      <c r="E5002" s="1063"/>
      <c r="H5002" s="1066"/>
      <c r="I5002" s="1063"/>
      <c r="J5002" s="1063"/>
      <c r="K5002" s="1063"/>
      <c r="L5002" s="1063"/>
    </row>
    <row r="5003" spans="5:12" x14ac:dyDescent="0.2">
      <c r="E5003" s="1063"/>
      <c r="H5003" s="1066"/>
      <c r="I5003" s="1063"/>
      <c r="J5003" s="1063"/>
      <c r="K5003" s="1063"/>
      <c r="L5003" s="1063"/>
    </row>
    <row r="5004" spans="5:12" x14ac:dyDescent="0.2">
      <c r="E5004" s="1063"/>
      <c r="H5004" s="1066"/>
      <c r="I5004" s="1063"/>
      <c r="J5004" s="1063"/>
      <c r="K5004" s="1063"/>
      <c r="L5004" s="1063"/>
    </row>
    <row r="5005" spans="5:12" x14ac:dyDescent="0.2">
      <c r="E5005" s="1063"/>
      <c r="H5005" s="1066"/>
      <c r="I5005" s="1063"/>
      <c r="J5005" s="1063"/>
      <c r="K5005" s="1063"/>
      <c r="L5005" s="1063"/>
    </row>
    <row r="5006" spans="5:12" x14ac:dyDescent="0.2">
      <c r="E5006" s="1063"/>
      <c r="H5006" s="1066"/>
      <c r="I5006" s="1063"/>
      <c r="J5006" s="1063"/>
      <c r="K5006" s="1063"/>
      <c r="L5006" s="1063"/>
    </row>
    <row r="5007" spans="5:12" x14ac:dyDescent="0.2">
      <c r="E5007" s="1063"/>
      <c r="H5007" s="1066"/>
      <c r="I5007" s="1063"/>
      <c r="J5007" s="1063"/>
      <c r="K5007" s="1063"/>
      <c r="L5007" s="1063"/>
    </row>
    <row r="5008" spans="5:12" x14ac:dyDescent="0.2">
      <c r="E5008" s="1063"/>
      <c r="H5008" s="1066"/>
      <c r="I5008" s="1063"/>
      <c r="J5008" s="1063"/>
      <c r="K5008" s="1063"/>
      <c r="L5008" s="1063"/>
    </row>
    <row r="5009" spans="5:12" x14ac:dyDescent="0.2">
      <c r="E5009" s="1063"/>
      <c r="H5009" s="1066"/>
      <c r="I5009" s="1063"/>
      <c r="J5009" s="1063"/>
      <c r="K5009" s="1063"/>
      <c r="L5009" s="1063"/>
    </row>
    <row r="5010" spans="5:12" x14ac:dyDescent="0.2">
      <c r="E5010" s="1063"/>
      <c r="H5010" s="1066"/>
      <c r="I5010" s="1063"/>
      <c r="J5010" s="1063"/>
      <c r="K5010" s="1063"/>
      <c r="L5010" s="1063"/>
    </row>
    <row r="5011" spans="5:12" x14ac:dyDescent="0.2">
      <c r="E5011" s="1063"/>
      <c r="H5011" s="1066"/>
      <c r="I5011" s="1063"/>
      <c r="J5011" s="1063"/>
      <c r="K5011" s="1063"/>
      <c r="L5011" s="1063"/>
    </row>
    <row r="5012" spans="5:12" x14ac:dyDescent="0.2">
      <c r="E5012" s="1063"/>
      <c r="H5012" s="1066"/>
      <c r="I5012" s="1063"/>
      <c r="J5012" s="1063"/>
      <c r="K5012" s="1063"/>
      <c r="L5012" s="1063"/>
    </row>
    <row r="5013" spans="5:12" x14ac:dyDescent="0.2">
      <c r="E5013" s="1063"/>
      <c r="H5013" s="1066"/>
      <c r="I5013" s="1063"/>
      <c r="J5013" s="1063"/>
      <c r="K5013" s="1063"/>
      <c r="L5013" s="1063"/>
    </row>
    <row r="5014" spans="5:12" x14ac:dyDescent="0.2">
      <c r="E5014" s="1063"/>
      <c r="H5014" s="1066"/>
      <c r="I5014" s="1063"/>
      <c r="J5014" s="1063"/>
      <c r="K5014" s="1063"/>
      <c r="L5014" s="1063"/>
    </row>
    <row r="5015" spans="5:12" x14ac:dyDescent="0.2">
      <c r="E5015" s="1063"/>
      <c r="H5015" s="1066"/>
      <c r="I5015" s="1063"/>
      <c r="J5015" s="1063"/>
      <c r="K5015" s="1063"/>
      <c r="L5015" s="1063"/>
    </row>
    <row r="5016" spans="5:12" x14ac:dyDescent="0.2">
      <c r="E5016" s="1063"/>
      <c r="H5016" s="1066"/>
      <c r="I5016" s="1063"/>
      <c r="J5016" s="1063"/>
      <c r="K5016" s="1063"/>
      <c r="L5016" s="1063"/>
    </row>
    <row r="5017" spans="5:12" x14ac:dyDescent="0.2">
      <c r="E5017" s="1063"/>
      <c r="H5017" s="1066"/>
      <c r="I5017" s="1063"/>
      <c r="J5017" s="1063"/>
      <c r="K5017" s="1063"/>
      <c r="L5017" s="1063"/>
    </row>
    <row r="5018" spans="5:12" x14ac:dyDescent="0.2">
      <c r="E5018" s="1063"/>
      <c r="H5018" s="1066"/>
      <c r="I5018" s="1063"/>
      <c r="J5018" s="1063"/>
      <c r="K5018" s="1063"/>
      <c r="L5018" s="1063"/>
    </row>
    <row r="5019" spans="5:12" x14ac:dyDescent="0.2">
      <c r="E5019" s="1063"/>
      <c r="H5019" s="1066"/>
      <c r="I5019" s="1063"/>
      <c r="J5019" s="1063"/>
      <c r="K5019" s="1063"/>
      <c r="L5019" s="1063"/>
    </row>
    <row r="5020" spans="5:12" x14ac:dyDescent="0.2">
      <c r="E5020" s="1063"/>
      <c r="H5020" s="1066"/>
      <c r="I5020" s="1063"/>
      <c r="J5020" s="1063"/>
      <c r="K5020" s="1063"/>
      <c r="L5020" s="1063"/>
    </row>
    <row r="5021" spans="5:12" x14ac:dyDescent="0.2">
      <c r="E5021" s="1063"/>
      <c r="H5021" s="1066"/>
      <c r="I5021" s="1063"/>
      <c r="J5021" s="1063"/>
      <c r="K5021" s="1063"/>
      <c r="L5021" s="1063"/>
    </row>
    <row r="5022" spans="5:12" x14ac:dyDescent="0.2">
      <c r="E5022" s="1063"/>
      <c r="H5022" s="1066"/>
      <c r="I5022" s="1063"/>
      <c r="J5022" s="1063"/>
      <c r="K5022" s="1063"/>
      <c r="L5022" s="1063"/>
    </row>
    <row r="5023" spans="5:12" x14ac:dyDescent="0.2">
      <c r="E5023" s="1063"/>
      <c r="H5023" s="1066"/>
      <c r="I5023" s="1063"/>
      <c r="J5023" s="1063"/>
      <c r="K5023" s="1063"/>
      <c r="L5023" s="1063"/>
    </row>
    <row r="5024" spans="5:12" x14ac:dyDescent="0.2">
      <c r="E5024" s="1063"/>
      <c r="H5024" s="1066"/>
      <c r="I5024" s="1063"/>
      <c r="J5024" s="1063"/>
      <c r="K5024" s="1063"/>
      <c r="L5024" s="1063"/>
    </row>
    <row r="5025" spans="5:12" x14ac:dyDescent="0.2">
      <c r="E5025" s="1063"/>
      <c r="H5025" s="1066"/>
      <c r="I5025" s="1063"/>
      <c r="J5025" s="1063"/>
      <c r="K5025" s="1063"/>
      <c r="L5025" s="1063"/>
    </row>
    <row r="5026" spans="5:12" x14ac:dyDescent="0.2">
      <c r="E5026" s="1063"/>
      <c r="H5026" s="1066"/>
      <c r="I5026" s="1063"/>
      <c r="J5026" s="1063"/>
      <c r="K5026" s="1063"/>
      <c r="L5026" s="1063"/>
    </row>
    <row r="5027" spans="5:12" x14ac:dyDescent="0.2">
      <c r="E5027" s="1063"/>
      <c r="H5027" s="1066"/>
      <c r="I5027" s="1063"/>
      <c r="J5027" s="1063"/>
      <c r="K5027" s="1063"/>
      <c r="L5027" s="1063"/>
    </row>
    <row r="5028" spans="5:12" x14ac:dyDescent="0.2">
      <c r="E5028" s="1063"/>
      <c r="H5028" s="1066"/>
      <c r="I5028" s="1063"/>
      <c r="J5028" s="1063"/>
      <c r="K5028" s="1063"/>
      <c r="L5028" s="1063"/>
    </row>
    <row r="5029" spans="5:12" x14ac:dyDescent="0.2">
      <c r="E5029" s="1063"/>
      <c r="H5029" s="1066"/>
      <c r="I5029" s="1063"/>
      <c r="J5029" s="1063"/>
      <c r="K5029" s="1063"/>
      <c r="L5029" s="1063"/>
    </row>
    <row r="5030" spans="5:12" x14ac:dyDescent="0.2">
      <c r="E5030" s="1063"/>
      <c r="H5030" s="1066"/>
      <c r="I5030" s="1063"/>
      <c r="J5030" s="1063"/>
      <c r="K5030" s="1063"/>
      <c r="L5030" s="1063"/>
    </row>
    <row r="5031" spans="5:12" x14ac:dyDescent="0.2">
      <c r="E5031" s="1063"/>
      <c r="H5031" s="1066"/>
      <c r="I5031" s="1063"/>
      <c r="J5031" s="1063"/>
      <c r="K5031" s="1063"/>
      <c r="L5031" s="1063"/>
    </row>
    <row r="5032" spans="5:12" x14ac:dyDescent="0.2">
      <c r="E5032" s="1063"/>
      <c r="H5032" s="1066"/>
      <c r="I5032" s="1063"/>
      <c r="J5032" s="1063"/>
      <c r="K5032" s="1063"/>
      <c r="L5032" s="1063"/>
    </row>
    <row r="5033" spans="5:12" x14ac:dyDescent="0.2">
      <c r="E5033" s="1063"/>
      <c r="H5033" s="1066"/>
      <c r="I5033" s="1063"/>
      <c r="J5033" s="1063"/>
      <c r="K5033" s="1063"/>
      <c r="L5033" s="1063"/>
    </row>
    <row r="5034" spans="5:12" x14ac:dyDescent="0.2">
      <c r="E5034" s="1063"/>
      <c r="H5034" s="1066"/>
      <c r="I5034" s="1063"/>
      <c r="J5034" s="1063"/>
      <c r="K5034" s="1063"/>
      <c r="L5034" s="1063"/>
    </row>
    <row r="5035" spans="5:12" x14ac:dyDescent="0.2">
      <c r="E5035" s="1063"/>
      <c r="H5035" s="1066"/>
      <c r="I5035" s="1063"/>
      <c r="J5035" s="1063"/>
      <c r="K5035" s="1063"/>
      <c r="L5035" s="1063"/>
    </row>
    <row r="5036" spans="5:12" x14ac:dyDescent="0.2">
      <c r="E5036" s="1063"/>
      <c r="H5036" s="1066"/>
      <c r="I5036" s="1063"/>
      <c r="J5036" s="1063"/>
      <c r="K5036" s="1063"/>
      <c r="L5036" s="1063"/>
    </row>
    <row r="5037" spans="5:12" x14ac:dyDescent="0.2">
      <c r="E5037" s="1063"/>
      <c r="H5037" s="1066"/>
      <c r="I5037" s="1063"/>
      <c r="J5037" s="1063"/>
      <c r="K5037" s="1063"/>
      <c r="L5037" s="1063"/>
    </row>
    <row r="5038" spans="5:12" x14ac:dyDescent="0.2">
      <c r="E5038" s="1063"/>
      <c r="H5038" s="1066"/>
      <c r="I5038" s="1063"/>
      <c r="J5038" s="1063"/>
      <c r="K5038" s="1063"/>
      <c r="L5038" s="1063"/>
    </row>
    <row r="5039" spans="5:12" x14ac:dyDescent="0.2">
      <c r="E5039" s="1063"/>
      <c r="H5039" s="1066"/>
      <c r="I5039" s="1063"/>
      <c r="J5039" s="1063"/>
      <c r="K5039" s="1063"/>
      <c r="L5039" s="1063"/>
    </row>
    <row r="5040" spans="5:12" x14ac:dyDescent="0.2">
      <c r="E5040" s="1063"/>
      <c r="H5040" s="1066"/>
      <c r="I5040" s="1063"/>
      <c r="J5040" s="1063"/>
      <c r="K5040" s="1063"/>
      <c r="L5040" s="1063"/>
    </row>
    <row r="5041" spans="5:12" x14ac:dyDescent="0.2">
      <c r="E5041" s="1063"/>
      <c r="H5041" s="1066"/>
      <c r="I5041" s="1063"/>
      <c r="J5041" s="1063"/>
      <c r="K5041" s="1063"/>
      <c r="L5041" s="1063"/>
    </row>
    <row r="5042" spans="5:12" x14ac:dyDescent="0.2">
      <c r="E5042" s="1063"/>
      <c r="H5042" s="1066"/>
      <c r="I5042" s="1063"/>
      <c r="J5042" s="1063"/>
      <c r="K5042" s="1063"/>
      <c r="L5042" s="1063"/>
    </row>
    <row r="5043" spans="5:12" x14ac:dyDescent="0.2">
      <c r="E5043" s="1063"/>
      <c r="H5043" s="1066"/>
      <c r="I5043" s="1063"/>
      <c r="J5043" s="1063"/>
      <c r="K5043" s="1063"/>
      <c r="L5043" s="1063"/>
    </row>
    <row r="5044" spans="5:12" x14ac:dyDescent="0.2">
      <c r="E5044" s="1063"/>
      <c r="H5044" s="1066"/>
      <c r="I5044" s="1063"/>
      <c r="J5044" s="1063"/>
      <c r="K5044" s="1063"/>
      <c r="L5044" s="1063"/>
    </row>
    <row r="5045" spans="5:12" x14ac:dyDescent="0.2">
      <c r="E5045" s="1063"/>
      <c r="H5045" s="1066"/>
      <c r="I5045" s="1063"/>
      <c r="J5045" s="1063"/>
      <c r="K5045" s="1063"/>
      <c r="L5045" s="1063"/>
    </row>
    <row r="5046" spans="5:12" x14ac:dyDescent="0.2">
      <c r="E5046" s="1063"/>
      <c r="H5046" s="1066"/>
      <c r="I5046" s="1063"/>
      <c r="J5046" s="1063"/>
      <c r="K5046" s="1063"/>
      <c r="L5046" s="1063"/>
    </row>
    <row r="5047" spans="5:12" x14ac:dyDescent="0.2">
      <c r="E5047" s="1063"/>
      <c r="H5047" s="1066"/>
      <c r="I5047" s="1063"/>
      <c r="J5047" s="1063"/>
      <c r="K5047" s="1063"/>
      <c r="L5047" s="1063"/>
    </row>
    <row r="5048" spans="5:12" x14ac:dyDescent="0.2">
      <c r="E5048" s="1063"/>
      <c r="H5048" s="1066"/>
      <c r="I5048" s="1063"/>
      <c r="J5048" s="1063"/>
      <c r="K5048" s="1063"/>
      <c r="L5048" s="1063"/>
    </row>
    <row r="5049" spans="5:12" x14ac:dyDescent="0.2">
      <c r="E5049" s="1063"/>
      <c r="H5049" s="1066"/>
      <c r="I5049" s="1063"/>
      <c r="J5049" s="1063"/>
      <c r="K5049" s="1063"/>
      <c r="L5049" s="1063"/>
    </row>
    <row r="5050" spans="5:12" x14ac:dyDescent="0.2">
      <c r="E5050" s="1063"/>
      <c r="H5050" s="1066"/>
      <c r="I5050" s="1063"/>
      <c r="J5050" s="1063"/>
      <c r="K5050" s="1063"/>
      <c r="L5050" s="1063"/>
    </row>
    <row r="5051" spans="5:12" x14ac:dyDescent="0.2">
      <c r="E5051" s="1063"/>
      <c r="H5051" s="1066"/>
      <c r="I5051" s="1063"/>
      <c r="J5051" s="1063"/>
      <c r="K5051" s="1063"/>
      <c r="L5051" s="1063"/>
    </row>
    <row r="5052" spans="5:12" x14ac:dyDescent="0.2">
      <c r="E5052" s="1063"/>
      <c r="H5052" s="1066"/>
      <c r="I5052" s="1063"/>
      <c r="J5052" s="1063"/>
      <c r="K5052" s="1063"/>
      <c r="L5052" s="1063"/>
    </row>
    <row r="5053" spans="5:12" x14ac:dyDescent="0.2">
      <c r="E5053" s="1063"/>
      <c r="H5053" s="1066"/>
      <c r="I5053" s="1063"/>
      <c r="J5053" s="1063"/>
      <c r="K5053" s="1063"/>
      <c r="L5053" s="1063"/>
    </row>
    <row r="5054" spans="5:12" x14ac:dyDescent="0.2">
      <c r="E5054" s="1063"/>
      <c r="H5054" s="1066"/>
      <c r="I5054" s="1063"/>
      <c r="J5054" s="1063"/>
      <c r="K5054" s="1063"/>
      <c r="L5054" s="1063"/>
    </row>
    <row r="5055" spans="5:12" x14ac:dyDescent="0.2">
      <c r="E5055" s="1063"/>
      <c r="H5055" s="1066"/>
      <c r="I5055" s="1063"/>
      <c r="J5055" s="1063"/>
      <c r="K5055" s="1063"/>
      <c r="L5055" s="1063"/>
    </row>
    <row r="5056" spans="5:12" x14ac:dyDescent="0.2">
      <c r="E5056" s="1063"/>
      <c r="H5056" s="1066"/>
      <c r="I5056" s="1063"/>
      <c r="J5056" s="1063"/>
      <c r="K5056" s="1063"/>
      <c r="L5056" s="1063"/>
    </row>
    <row r="5057" spans="5:12" x14ac:dyDescent="0.2">
      <c r="E5057" s="1063"/>
      <c r="H5057" s="1066"/>
      <c r="I5057" s="1063"/>
      <c r="J5057" s="1063"/>
      <c r="K5057" s="1063"/>
      <c r="L5057" s="1063"/>
    </row>
    <row r="5058" spans="5:12" x14ac:dyDescent="0.2">
      <c r="E5058" s="1063"/>
      <c r="H5058" s="1066"/>
      <c r="I5058" s="1063"/>
      <c r="J5058" s="1063"/>
      <c r="K5058" s="1063"/>
      <c r="L5058" s="1063"/>
    </row>
    <row r="5059" spans="5:12" x14ac:dyDescent="0.2">
      <c r="E5059" s="1063"/>
      <c r="H5059" s="1066"/>
      <c r="I5059" s="1063"/>
      <c r="J5059" s="1063"/>
      <c r="K5059" s="1063"/>
      <c r="L5059" s="1063"/>
    </row>
    <row r="5060" spans="5:12" x14ac:dyDescent="0.2">
      <c r="E5060" s="1063"/>
      <c r="H5060" s="1066"/>
      <c r="I5060" s="1063"/>
      <c r="J5060" s="1063"/>
      <c r="K5060" s="1063"/>
      <c r="L5060" s="1063"/>
    </row>
    <row r="5061" spans="5:12" x14ac:dyDescent="0.2">
      <c r="E5061" s="1063"/>
      <c r="H5061" s="1066"/>
      <c r="I5061" s="1063"/>
      <c r="J5061" s="1063"/>
      <c r="K5061" s="1063"/>
      <c r="L5061" s="1063"/>
    </row>
    <row r="5062" spans="5:12" x14ac:dyDescent="0.2">
      <c r="E5062" s="1063"/>
      <c r="H5062" s="1066"/>
      <c r="I5062" s="1063"/>
      <c r="J5062" s="1063"/>
      <c r="K5062" s="1063"/>
      <c r="L5062" s="1063"/>
    </row>
    <row r="5063" spans="5:12" x14ac:dyDescent="0.2">
      <c r="E5063" s="1063"/>
      <c r="H5063" s="1066"/>
      <c r="I5063" s="1063"/>
      <c r="J5063" s="1063"/>
      <c r="K5063" s="1063"/>
      <c r="L5063" s="1063"/>
    </row>
    <row r="5064" spans="5:12" x14ac:dyDescent="0.2">
      <c r="E5064" s="1063"/>
      <c r="H5064" s="1066"/>
      <c r="I5064" s="1063"/>
      <c r="J5064" s="1063"/>
      <c r="K5064" s="1063"/>
      <c r="L5064" s="1063"/>
    </row>
    <row r="5065" spans="5:12" x14ac:dyDescent="0.2">
      <c r="E5065" s="1063"/>
      <c r="H5065" s="1066"/>
      <c r="I5065" s="1063"/>
      <c r="J5065" s="1063"/>
      <c r="K5065" s="1063"/>
      <c r="L5065" s="1063"/>
    </row>
    <row r="5066" spans="5:12" x14ac:dyDescent="0.2">
      <c r="E5066" s="1063"/>
      <c r="H5066" s="1066"/>
      <c r="I5066" s="1063"/>
      <c r="J5066" s="1063"/>
      <c r="K5066" s="1063"/>
      <c r="L5066" s="1063"/>
    </row>
    <row r="5067" spans="5:12" x14ac:dyDescent="0.2">
      <c r="E5067" s="1063"/>
      <c r="H5067" s="1066"/>
      <c r="I5067" s="1063"/>
      <c r="J5067" s="1063"/>
      <c r="K5067" s="1063"/>
      <c r="L5067" s="1063"/>
    </row>
    <row r="5068" spans="5:12" x14ac:dyDescent="0.2">
      <c r="E5068" s="1063"/>
      <c r="H5068" s="1066"/>
      <c r="I5068" s="1063"/>
      <c r="J5068" s="1063"/>
      <c r="K5068" s="1063"/>
      <c r="L5068" s="1063"/>
    </row>
    <row r="5069" spans="5:12" x14ac:dyDescent="0.2">
      <c r="E5069" s="1063"/>
      <c r="H5069" s="1066"/>
      <c r="I5069" s="1063"/>
      <c r="J5069" s="1063"/>
      <c r="K5069" s="1063"/>
      <c r="L5069" s="1063"/>
    </row>
    <row r="5070" spans="5:12" x14ac:dyDescent="0.2">
      <c r="E5070" s="1063"/>
      <c r="H5070" s="1066"/>
      <c r="I5070" s="1063"/>
      <c r="J5070" s="1063"/>
      <c r="K5070" s="1063"/>
      <c r="L5070" s="1063"/>
    </row>
    <row r="5071" spans="5:12" x14ac:dyDescent="0.2">
      <c r="E5071" s="1063"/>
      <c r="H5071" s="1066"/>
      <c r="I5071" s="1063"/>
      <c r="J5071" s="1063"/>
      <c r="K5071" s="1063"/>
      <c r="L5071" s="1063"/>
    </row>
    <row r="5072" spans="5:12" x14ac:dyDescent="0.2">
      <c r="E5072" s="1063"/>
      <c r="H5072" s="1066"/>
      <c r="I5072" s="1063"/>
      <c r="J5072" s="1063"/>
      <c r="K5072" s="1063"/>
      <c r="L5072" s="1063"/>
    </row>
    <row r="5073" spans="5:12" x14ac:dyDescent="0.2">
      <c r="E5073" s="1063"/>
      <c r="H5073" s="1066"/>
      <c r="I5073" s="1063"/>
      <c r="J5073" s="1063"/>
      <c r="K5073" s="1063"/>
      <c r="L5073" s="1063"/>
    </row>
    <row r="5074" spans="5:12" x14ac:dyDescent="0.2">
      <c r="E5074" s="1063"/>
      <c r="H5074" s="1066"/>
      <c r="I5074" s="1063"/>
      <c r="J5074" s="1063"/>
      <c r="K5074" s="1063"/>
      <c r="L5074" s="1063"/>
    </row>
    <row r="5075" spans="5:12" x14ac:dyDescent="0.2">
      <c r="E5075" s="1063"/>
      <c r="H5075" s="1066"/>
      <c r="I5075" s="1063"/>
      <c r="J5075" s="1063"/>
      <c r="K5075" s="1063"/>
      <c r="L5075" s="1063"/>
    </row>
    <row r="5076" spans="5:12" x14ac:dyDescent="0.2">
      <c r="E5076" s="1063"/>
      <c r="H5076" s="1066"/>
      <c r="I5076" s="1063"/>
      <c r="J5076" s="1063"/>
      <c r="K5076" s="1063"/>
      <c r="L5076" s="1063"/>
    </row>
    <row r="5077" spans="5:12" x14ac:dyDescent="0.2">
      <c r="E5077" s="1063"/>
      <c r="H5077" s="1066"/>
      <c r="I5077" s="1063"/>
      <c r="J5077" s="1063"/>
      <c r="K5077" s="1063"/>
      <c r="L5077" s="1063"/>
    </row>
    <row r="5078" spans="5:12" x14ac:dyDescent="0.2">
      <c r="E5078" s="1063"/>
      <c r="H5078" s="1066"/>
      <c r="I5078" s="1063"/>
      <c r="J5078" s="1063"/>
      <c r="K5078" s="1063"/>
      <c r="L5078" s="1063"/>
    </row>
    <row r="5079" spans="5:12" x14ac:dyDescent="0.2">
      <c r="E5079" s="1063"/>
      <c r="H5079" s="1066"/>
      <c r="I5079" s="1063"/>
      <c r="J5079" s="1063"/>
      <c r="K5079" s="1063"/>
      <c r="L5079" s="1063"/>
    </row>
    <row r="5080" spans="5:12" x14ac:dyDescent="0.2">
      <c r="E5080" s="1063"/>
      <c r="H5080" s="1066"/>
      <c r="I5080" s="1063"/>
      <c r="J5080" s="1063"/>
      <c r="K5080" s="1063"/>
      <c r="L5080" s="1063"/>
    </row>
    <row r="5081" spans="5:12" x14ac:dyDescent="0.2">
      <c r="E5081" s="1063"/>
      <c r="H5081" s="1066"/>
      <c r="I5081" s="1063"/>
      <c r="J5081" s="1063"/>
      <c r="K5081" s="1063"/>
      <c r="L5081" s="1063"/>
    </row>
    <row r="5082" spans="5:12" x14ac:dyDescent="0.2">
      <c r="E5082" s="1063"/>
      <c r="H5082" s="1066"/>
      <c r="I5082" s="1063"/>
      <c r="J5082" s="1063"/>
      <c r="K5082" s="1063"/>
      <c r="L5082" s="1063"/>
    </row>
    <row r="5083" spans="5:12" x14ac:dyDescent="0.2">
      <c r="E5083" s="1063"/>
      <c r="H5083" s="1066"/>
      <c r="I5083" s="1063"/>
      <c r="J5083" s="1063"/>
      <c r="K5083" s="1063"/>
      <c r="L5083" s="1063"/>
    </row>
    <row r="5084" spans="5:12" x14ac:dyDescent="0.2">
      <c r="E5084" s="1063"/>
      <c r="H5084" s="1066"/>
      <c r="I5084" s="1063"/>
      <c r="J5084" s="1063"/>
      <c r="K5084" s="1063"/>
      <c r="L5084" s="1063"/>
    </row>
    <row r="5085" spans="5:12" x14ac:dyDescent="0.2">
      <c r="E5085" s="1063"/>
      <c r="H5085" s="1066"/>
      <c r="I5085" s="1063"/>
      <c r="J5085" s="1063"/>
      <c r="K5085" s="1063"/>
      <c r="L5085" s="1063"/>
    </row>
    <row r="5086" spans="5:12" x14ac:dyDescent="0.2">
      <c r="E5086" s="1063"/>
      <c r="H5086" s="1066"/>
      <c r="I5086" s="1063"/>
      <c r="J5086" s="1063"/>
      <c r="K5086" s="1063"/>
      <c r="L5086" s="1063"/>
    </row>
    <row r="5087" spans="5:12" x14ac:dyDescent="0.2">
      <c r="E5087" s="1063"/>
      <c r="H5087" s="1066"/>
      <c r="I5087" s="1063"/>
      <c r="J5087" s="1063"/>
      <c r="K5087" s="1063"/>
      <c r="L5087" s="1063"/>
    </row>
    <row r="5088" spans="5:12" x14ac:dyDescent="0.2">
      <c r="E5088" s="1063"/>
      <c r="H5088" s="1066"/>
      <c r="I5088" s="1063"/>
      <c r="J5088" s="1063"/>
      <c r="K5088" s="1063"/>
      <c r="L5088" s="1063"/>
    </row>
    <row r="5089" spans="5:12" x14ac:dyDescent="0.2">
      <c r="E5089" s="1063"/>
      <c r="H5089" s="1066"/>
      <c r="I5089" s="1063"/>
      <c r="J5089" s="1063"/>
      <c r="K5089" s="1063"/>
      <c r="L5089" s="1063"/>
    </row>
    <row r="5090" spans="5:12" x14ac:dyDescent="0.2">
      <c r="E5090" s="1063"/>
      <c r="H5090" s="1066"/>
      <c r="I5090" s="1063"/>
      <c r="J5090" s="1063"/>
      <c r="K5090" s="1063"/>
      <c r="L5090" s="1063"/>
    </row>
    <row r="5091" spans="5:12" x14ac:dyDescent="0.2">
      <c r="E5091" s="1063"/>
      <c r="H5091" s="1066"/>
      <c r="I5091" s="1063"/>
      <c r="J5091" s="1063"/>
      <c r="K5091" s="1063"/>
      <c r="L5091" s="1063"/>
    </row>
    <row r="5092" spans="5:12" x14ac:dyDescent="0.2">
      <c r="E5092" s="1063"/>
      <c r="H5092" s="1066"/>
      <c r="I5092" s="1063"/>
      <c r="J5092" s="1063"/>
      <c r="K5092" s="1063"/>
      <c r="L5092" s="1063"/>
    </row>
    <row r="5093" spans="5:12" x14ac:dyDescent="0.2">
      <c r="E5093" s="1063"/>
      <c r="H5093" s="1066"/>
      <c r="I5093" s="1063"/>
      <c r="J5093" s="1063"/>
      <c r="K5093" s="1063"/>
      <c r="L5093" s="1063"/>
    </row>
    <row r="5094" spans="5:12" x14ac:dyDescent="0.2">
      <c r="E5094" s="1063"/>
      <c r="H5094" s="1066"/>
      <c r="I5094" s="1063"/>
      <c r="J5094" s="1063"/>
      <c r="K5094" s="1063"/>
      <c r="L5094" s="1063"/>
    </row>
    <row r="5095" spans="5:12" x14ac:dyDescent="0.2">
      <c r="E5095" s="1063"/>
      <c r="H5095" s="1066"/>
      <c r="I5095" s="1063"/>
      <c r="J5095" s="1063"/>
      <c r="K5095" s="1063"/>
      <c r="L5095" s="1063"/>
    </row>
    <row r="5096" spans="5:12" x14ac:dyDescent="0.2">
      <c r="E5096" s="1063"/>
      <c r="H5096" s="1066"/>
      <c r="I5096" s="1063"/>
      <c r="J5096" s="1063"/>
      <c r="K5096" s="1063"/>
      <c r="L5096" s="1063"/>
    </row>
    <row r="5097" spans="5:12" x14ac:dyDescent="0.2">
      <c r="E5097" s="1063"/>
      <c r="H5097" s="1066"/>
      <c r="I5097" s="1063"/>
      <c r="J5097" s="1063"/>
      <c r="K5097" s="1063"/>
      <c r="L5097" s="1063"/>
    </row>
    <row r="5098" spans="5:12" x14ac:dyDescent="0.2">
      <c r="E5098" s="1063"/>
      <c r="H5098" s="1066"/>
      <c r="I5098" s="1063"/>
      <c r="J5098" s="1063"/>
      <c r="K5098" s="1063"/>
      <c r="L5098" s="1063"/>
    </row>
    <row r="5099" spans="5:12" x14ac:dyDescent="0.2">
      <c r="E5099" s="1063"/>
      <c r="H5099" s="1066"/>
      <c r="I5099" s="1063"/>
      <c r="J5099" s="1063"/>
      <c r="K5099" s="1063"/>
      <c r="L5099" s="1063"/>
    </row>
    <row r="5100" spans="5:12" x14ac:dyDescent="0.2">
      <c r="E5100" s="1063"/>
      <c r="H5100" s="1066"/>
      <c r="I5100" s="1063"/>
      <c r="J5100" s="1063"/>
      <c r="K5100" s="1063"/>
      <c r="L5100" s="1063"/>
    </row>
    <row r="5101" spans="5:12" x14ac:dyDescent="0.2">
      <c r="E5101" s="1063"/>
      <c r="H5101" s="1066"/>
      <c r="I5101" s="1063"/>
      <c r="J5101" s="1063"/>
      <c r="K5101" s="1063"/>
      <c r="L5101" s="1063"/>
    </row>
    <row r="5102" spans="5:12" x14ac:dyDescent="0.2">
      <c r="E5102" s="1063"/>
      <c r="H5102" s="1066"/>
      <c r="I5102" s="1063"/>
      <c r="J5102" s="1063"/>
      <c r="K5102" s="1063"/>
      <c r="L5102" s="1063"/>
    </row>
    <row r="5103" spans="5:12" x14ac:dyDescent="0.2">
      <c r="E5103" s="1063"/>
      <c r="H5103" s="1066"/>
      <c r="I5103" s="1063"/>
      <c r="J5103" s="1063"/>
      <c r="K5103" s="1063"/>
      <c r="L5103" s="1063"/>
    </row>
    <row r="5104" spans="5:12" x14ac:dyDescent="0.2">
      <c r="E5104" s="1063"/>
      <c r="H5104" s="1066"/>
      <c r="I5104" s="1063"/>
      <c r="J5104" s="1063"/>
      <c r="K5104" s="1063"/>
      <c r="L5104" s="1063"/>
    </row>
    <row r="5105" spans="5:12" x14ac:dyDescent="0.2">
      <c r="E5105" s="1063"/>
      <c r="H5105" s="1066"/>
      <c r="I5105" s="1063"/>
      <c r="J5105" s="1063"/>
      <c r="K5105" s="1063"/>
      <c r="L5105" s="1063"/>
    </row>
    <row r="5106" spans="5:12" x14ac:dyDescent="0.2">
      <c r="E5106" s="1063"/>
      <c r="H5106" s="1066"/>
      <c r="I5106" s="1063"/>
      <c r="J5106" s="1063"/>
      <c r="K5106" s="1063"/>
      <c r="L5106" s="1063"/>
    </row>
    <row r="5107" spans="5:12" x14ac:dyDescent="0.2">
      <c r="E5107" s="1063"/>
      <c r="H5107" s="1066"/>
      <c r="I5107" s="1063"/>
      <c r="J5107" s="1063"/>
      <c r="K5107" s="1063"/>
      <c r="L5107" s="1063"/>
    </row>
    <row r="5108" spans="5:12" x14ac:dyDescent="0.2">
      <c r="E5108" s="1063"/>
      <c r="H5108" s="1066"/>
      <c r="I5108" s="1063"/>
      <c r="J5108" s="1063"/>
      <c r="K5108" s="1063"/>
      <c r="L5108" s="1063"/>
    </row>
    <row r="5109" spans="5:12" x14ac:dyDescent="0.2">
      <c r="E5109" s="1063"/>
      <c r="H5109" s="1066"/>
      <c r="I5109" s="1063"/>
      <c r="J5109" s="1063"/>
      <c r="K5109" s="1063"/>
      <c r="L5109" s="1063"/>
    </row>
    <row r="5110" spans="5:12" x14ac:dyDescent="0.2">
      <c r="E5110" s="1063"/>
      <c r="H5110" s="1066"/>
      <c r="I5110" s="1063"/>
      <c r="J5110" s="1063"/>
      <c r="K5110" s="1063"/>
      <c r="L5110" s="1063"/>
    </row>
    <row r="5111" spans="5:12" x14ac:dyDescent="0.2">
      <c r="E5111" s="1063"/>
      <c r="H5111" s="1066"/>
      <c r="I5111" s="1063"/>
      <c r="J5111" s="1063"/>
      <c r="K5111" s="1063"/>
      <c r="L5111" s="1063"/>
    </row>
    <row r="5112" spans="5:12" x14ac:dyDescent="0.2">
      <c r="E5112" s="1063"/>
      <c r="H5112" s="1066"/>
      <c r="I5112" s="1063"/>
      <c r="J5112" s="1063"/>
      <c r="K5112" s="1063"/>
      <c r="L5112" s="1063"/>
    </row>
    <row r="5113" spans="5:12" x14ac:dyDescent="0.2">
      <c r="E5113" s="1063"/>
      <c r="H5113" s="1066"/>
      <c r="I5113" s="1063"/>
      <c r="J5113" s="1063"/>
      <c r="K5113" s="1063"/>
      <c r="L5113" s="1063"/>
    </row>
    <row r="5114" spans="5:12" x14ac:dyDescent="0.2">
      <c r="E5114" s="1063"/>
      <c r="H5114" s="1066"/>
      <c r="I5114" s="1063"/>
      <c r="J5114" s="1063"/>
      <c r="K5114" s="1063"/>
      <c r="L5114" s="1063"/>
    </row>
    <row r="5115" spans="5:12" x14ac:dyDescent="0.2">
      <c r="E5115" s="1063"/>
      <c r="H5115" s="1066"/>
      <c r="I5115" s="1063"/>
      <c r="J5115" s="1063"/>
      <c r="K5115" s="1063"/>
      <c r="L5115" s="1063"/>
    </row>
    <row r="5116" spans="5:12" x14ac:dyDescent="0.2">
      <c r="E5116" s="1063"/>
      <c r="H5116" s="1066"/>
      <c r="I5116" s="1063"/>
      <c r="J5116" s="1063"/>
      <c r="K5116" s="1063"/>
      <c r="L5116" s="1063"/>
    </row>
    <row r="5117" spans="5:12" x14ac:dyDescent="0.2">
      <c r="E5117" s="1063"/>
      <c r="H5117" s="1066"/>
      <c r="I5117" s="1063"/>
      <c r="J5117" s="1063"/>
      <c r="K5117" s="1063"/>
      <c r="L5117" s="1063"/>
    </row>
    <row r="5118" spans="5:12" x14ac:dyDescent="0.2">
      <c r="E5118" s="1063"/>
      <c r="H5118" s="1066"/>
      <c r="I5118" s="1063"/>
      <c r="J5118" s="1063"/>
      <c r="K5118" s="1063"/>
      <c r="L5118" s="1063"/>
    </row>
    <row r="5119" spans="5:12" x14ac:dyDescent="0.2">
      <c r="E5119" s="1063"/>
      <c r="H5119" s="1066"/>
      <c r="I5119" s="1063"/>
      <c r="J5119" s="1063"/>
      <c r="K5119" s="1063"/>
      <c r="L5119" s="1063"/>
    </row>
    <row r="5120" spans="5:12" x14ac:dyDescent="0.2">
      <c r="E5120" s="1063"/>
      <c r="H5120" s="1066"/>
      <c r="I5120" s="1063"/>
      <c r="J5120" s="1063"/>
      <c r="K5120" s="1063"/>
      <c r="L5120" s="1063"/>
    </row>
    <row r="5121" spans="5:12" x14ac:dyDescent="0.2">
      <c r="E5121" s="1063"/>
      <c r="H5121" s="1066"/>
      <c r="I5121" s="1063"/>
      <c r="J5121" s="1063"/>
      <c r="K5121" s="1063"/>
      <c r="L5121" s="1063"/>
    </row>
    <row r="5122" spans="5:12" x14ac:dyDescent="0.2">
      <c r="E5122" s="1063"/>
      <c r="H5122" s="1066"/>
      <c r="I5122" s="1063"/>
      <c r="J5122" s="1063"/>
      <c r="K5122" s="1063"/>
      <c r="L5122" s="1063"/>
    </row>
    <row r="5123" spans="5:12" x14ac:dyDescent="0.2">
      <c r="E5123" s="1063"/>
      <c r="H5123" s="1066"/>
      <c r="I5123" s="1063"/>
      <c r="J5123" s="1063"/>
      <c r="K5123" s="1063"/>
      <c r="L5123" s="1063"/>
    </row>
    <row r="5124" spans="5:12" x14ac:dyDescent="0.2">
      <c r="E5124" s="1063"/>
      <c r="H5124" s="1066"/>
      <c r="I5124" s="1063"/>
      <c r="J5124" s="1063"/>
      <c r="K5124" s="1063"/>
      <c r="L5124" s="1063"/>
    </row>
    <row r="5125" spans="5:12" x14ac:dyDescent="0.2">
      <c r="E5125" s="1063"/>
      <c r="H5125" s="1066"/>
      <c r="I5125" s="1063"/>
      <c r="J5125" s="1063"/>
      <c r="K5125" s="1063"/>
      <c r="L5125" s="1063"/>
    </row>
    <row r="5126" spans="5:12" x14ac:dyDescent="0.2">
      <c r="E5126" s="1063"/>
      <c r="H5126" s="1066"/>
      <c r="I5126" s="1063"/>
      <c r="J5126" s="1063"/>
      <c r="K5126" s="1063"/>
      <c r="L5126" s="1063"/>
    </row>
    <row r="5127" spans="5:12" x14ac:dyDescent="0.2">
      <c r="E5127" s="1063"/>
      <c r="H5127" s="1066"/>
      <c r="I5127" s="1063"/>
      <c r="J5127" s="1063"/>
      <c r="K5127" s="1063"/>
      <c r="L5127" s="1063"/>
    </row>
    <row r="5128" spans="5:12" x14ac:dyDescent="0.2">
      <c r="E5128" s="1063"/>
      <c r="H5128" s="1066"/>
      <c r="I5128" s="1063"/>
      <c r="J5128" s="1063"/>
      <c r="K5128" s="1063"/>
      <c r="L5128" s="1063"/>
    </row>
    <row r="5129" spans="5:12" x14ac:dyDescent="0.2">
      <c r="E5129" s="1063"/>
      <c r="H5129" s="1066"/>
      <c r="I5129" s="1063"/>
      <c r="J5129" s="1063"/>
      <c r="K5129" s="1063"/>
      <c r="L5129" s="1063"/>
    </row>
    <row r="5130" spans="5:12" x14ac:dyDescent="0.2">
      <c r="E5130" s="1063"/>
      <c r="H5130" s="1066"/>
      <c r="I5130" s="1063"/>
      <c r="J5130" s="1063"/>
      <c r="K5130" s="1063"/>
      <c r="L5130" s="1063"/>
    </row>
    <row r="5131" spans="5:12" x14ac:dyDescent="0.2">
      <c r="E5131" s="1063"/>
      <c r="H5131" s="1066"/>
      <c r="I5131" s="1063"/>
      <c r="J5131" s="1063"/>
      <c r="K5131" s="1063"/>
      <c r="L5131" s="1063"/>
    </row>
    <row r="5132" spans="5:12" x14ac:dyDescent="0.2">
      <c r="E5132" s="1063"/>
      <c r="H5132" s="1066"/>
      <c r="I5132" s="1063"/>
      <c r="J5132" s="1063"/>
      <c r="K5132" s="1063"/>
      <c r="L5132" s="1063"/>
    </row>
    <row r="5133" spans="5:12" x14ac:dyDescent="0.2">
      <c r="E5133" s="1063"/>
      <c r="H5133" s="1066"/>
      <c r="I5133" s="1063"/>
      <c r="J5133" s="1063"/>
      <c r="K5133" s="1063"/>
      <c r="L5133" s="1063"/>
    </row>
    <row r="5134" spans="5:12" x14ac:dyDescent="0.2">
      <c r="E5134" s="1063"/>
      <c r="H5134" s="1066"/>
      <c r="I5134" s="1063"/>
      <c r="J5134" s="1063"/>
      <c r="K5134" s="1063"/>
      <c r="L5134" s="1063"/>
    </row>
    <row r="5135" spans="5:12" x14ac:dyDescent="0.2">
      <c r="E5135" s="1063"/>
      <c r="H5135" s="1066"/>
      <c r="I5135" s="1063"/>
      <c r="J5135" s="1063"/>
      <c r="K5135" s="1063"/>
      <c r="L5135" s="1063"/>
    </row>
    <row r="5136" spans="5:12" x14ac:dyDescent="0.2">
      <c r="E5136" s="1063"/>
      <c r="H5136" s="1066"/>
      <c r="I5136" s="1063"/>
      <c r="J5136" s="1063"/>
      <c r="K5136" s="1063"/>
      <c r="L5136" s="1063"/>
    </row>
    <row r="5137" spans="5:12" x14ac:dyDescent="0.2">
      <c r="E5137" s="1063"/>
      <c r="H5137" s="1066"/>
      <c r="I5137" s="1063"/>
      <c r="J5137" s="1063"/>
      <c r="K5137" s="1063"/>
      <c r="L5137" s="1063"/>
    </row>
    <row r="5138" spans="5:12" x14ac:dyDescent="0.2">
      <c r="E5138" s="1063"/>
      <c r="H5138" s="1066"/>
      <c r="I5138" s="1063"/>
      <c r="J5138" s="1063"/>
      <c r="K5138" s="1063"/>
      <c r="L5138" s="1063"/>
    </row>
    <row r="5139" spans="5:12" x14ac:dyDescent="0.2">
      <c r="E5139" s="1063"/>
      <c r="H5139" s="1066"/>
      <c r="I5139" s="1063"/>
      <c r="J5139" s="1063"/>
      <c r="K5139" s="1063"/>
      <c r="L5139" s="1063"/>
    </row>
    <row r="5140" spans="5:12" x14ac:dyDescent="0.2">
      <c r="E5140" s="1063"/>
      <c r="H5140" s="1066"/>
      <c r="I5140" s="1063"/>
      <c r="J5140" s="1063"/>
      <c r="K5140" s="1063"/>
      <c r="L5140" s="1063"/>
    </row>
    <row r="5141" spans="5:12" x14ac:dyDescent="0.2">
      <c r="E5141" s="1063"/>
      <c r="H5141" s="1066"/>
      <c r="I5141" s="1063"/>
      <c r="J5141" s="1063"/>
      <c r="K5141" s="1063"/>
      <c r="L5141" s="1063"/>
    </row>
    <row r="5142" spans="5:12" x14ac:dyDescent="0.2">
      <c r="E5142" s="1063"/>
      <c r="H5142" s="1066"/>
      <c r="I5142" s="1063"/>
      <c r="J5142" s="1063"/>
      <c r="K5142" s="1063"/>
      <c r="L5142" s="1063"/>
    </row>
    <row r="5143" spans="5:12" x14ac:dyDescent="0.2">
      <c r="E5143" s="1063"/>
      <c r="H5143" s="1066"/>
      <c r="I5143" s="1063"/>
      <c r="J5143" s="1063"/>
      <c r="K5143" s="1063"/>
      <c r="L5143" s="1063"/>
    </row>
    <row r="5144" spans="5:12" x14ac:dyDescent="0.2">
      <c r="E5144" s="1063"/>
      <c r="H5144" s="1066"/>
      <c r="I5144" s="1063"/>
      <c r="J5144" s="1063"/>
      <c r="K5144" s="1063"/>
      <c r="L5144" s="1063"/>
    </row>
    <row r="5145" spans="5:12" x14ac:dyDescent="0.2">
      <c r="E5145" s="1063"/>
      <c r="H5145" s="1066"/>
      <c r="I5145" s="1063"/>
      <c r="J5145" s="1063"/>
      <c r="K5145" s="1063"/>
      <c r="L5145" s="1063"/>
    </row>
    <row r="5146" spans="5:12" x14ac:dyDescent="0.2">
      <c r="E5146" s="1063"/>
      <c r="H5146" s="1066"/>
      <c r="I5146" s="1063"/>
      <c r="J5146" s="1063"/>
      <c r="K5146" s="1063"/>
      <c r="L5146" s="1063"/>
    </row>
    <row r="5147" spans="5:12" x14ac:dyDescent="0.2">
      <c r="E5147" s="1063"/>
      <c r="H5147" s="1066"/>
      <c r="I5147" s="1063"/>
      <c r="J5147" s="1063"/>
      <c r="K5147" s="1063"/>
      <c r="L5147" s="1063"/>
    </row>
    <row r="5148" spans="5:12" x14ac:dyDescent="0.2">
      <c r="E5148" s="1063"/>
      <c r="H5148" s="1066"/>
      <c r="I5148" s="1063"/>
      <c r="J5148" s="1063"/>
      <c r="K5148" s="1063"/>
      <c r="L5148" s="1063"/>
    </row>
    <row r="5149" spans="5:12" x14ac:dyDescent="0.2">
      <c r="E5149" s="1063"/>
      <c r="H5149" s="1066"/>
      <c r="I5149" s="1063"/>
      <c r="J5149" s="1063"/>
      <c r="K5149" s="1063"/>
      <c r="L5149" s="1063"/>
    </row>
    <row r="5150" spans="5:12" x14ac:dyDescent="0.2">
      <c r="E5150" s="1063"/>
      <c r="H5150" s="1066"/>
      <c r="I5150" s="1063"/>
      <c r="J5150" s="1063"/>
      <c r="K5150" s="1063"/>
      <c r="L5150" s="1063"/>
    </row>
    <row r="5151" spans="5:12" x14ac:dyDescent="0.2">
      <c r="E5151" s="1063"/>
      <c r="H5151" s="1066"/>
      <c r="I5151" s="1063"/>
      <c r="J5151" s="1063"/>
      <c r="K5151" s="1063"/>
      <c r="L5151" s="1063"/>
    </row>
    <row r="5152" spans="5:12" x14ac:dyDescent="0.2">
      <c r="E5152" s="1063"/>
      <c r="H5152" s="1066"/>
      <c r="I5152" s="1063"/>
      <c r="J5152" s="1063"/>
      <c r="K5152" s="1063"/>
      <c r="L5152" s="1063"/>
    </row>
    <row r="5153" spans="5:12" x14ac:dyDescent="0.2">
      <c r="E5153" s="1063"/>
      <c r="H5153" s="1066"/>
      <c r="I5153" s="1063"/>
      <c r="J5153" s="1063"/>
      <c r="K5153" s="1063"/>
      <c r="L5153" s="1063"/>
    </row>
    <row r="5154" spans="5:12" x14ac:dyDescent="0.2">
      <c r="E5154" s="1063"/>
      <c r="H5154" s="1066"/>
      <c r="I5154" s="1063"/>
      <c r="J5154" s="1063"/>
      <c r="K5154" s="1063"/>
      <c r="L5154" s="1063"/>
    </row>
    <row r="5155" spans="5:12" x14ac:dyDescent="0.2">
      <c r="E5155" s="1063"/>
      <c r="H5155" s="1066"/>
      <c r="I5155" s="1063"/>
      <c r="J5155" s="1063"/>
      <c r="K5155" s="1063"/>
      <c r="L5155" s="1063"/>
    </row>
    <row r="5156" spans="5:12" x14ac:dyDescent="0.2">
      <c r="E5156" s="1063"/>
      <c r="H5156" s="1066"/>
      <c r="I5156" s="1063"/>
      <c r="J5156" s="1063"/>
      <c r="K5156" s="1063"/>
      <c r="L5156" s="1063"/>
    </row>
    <row r="5157" spans="5:12" x14ac:dyDescent="0.2">
      <c r="E5157" s="1063"/>
      <c r="H5157" s="1066"/>
      <c r="I5157" s="1063"/>
      <c r="J5157" s="1063"/>
      <c r="K5157" s="1063"/>
      <c r="L5157" s="1063"/>
    </row>
    <row r="5158" spans="5:12" x14ac:dyDescent="0.2">
      <c r="E5158" s="1063"/>
      <c r="H5158" s="1066"/>
      <c r="I5158" s="1063"/>
      <c r="J5158" s="1063"/>
      <c r="K5158" s="1063"/>
      <c r="L5158" s="1063"/>
    </row>
    <row r="5159" spans="5:12" x14ac:dyDescent="0.2">
      <c r="E5159" s="1063"/>
      <c r="H5159" s="1066"/>
      <c r="I5159" s="1063"/>
      <c r="J5159" s="1063"/>
      <c r="K5159" s="1063"/>
      <c r="L5159" s="1063"/>
    </row>
    <row r="5160" spans="5:12" x14ac:dyDescent="0.2">
      <c r="E5160" s="1063"/>
      <c r="H5160" s="1066"/>
      <c r="I5160" s="1063"/>
      <c r="J5160" s="1063"/>
      <c r="K5160" s="1063"/>
      <c r="L5160" s="1063"/>
    </row>
    <row r="5161" spans="5:12" x14ac:dyDescent="0.2">
      <c r="E5161" s="1063"/>
      <c r="H5161" s="1066"/>
      <c r="I5161" s="1063"/>
      <c r="J5161" s="1063"/>
      <c r="K5161" s="1063"/>
      <c r="L5161" s="1063"/>
    </row>
    <row r="5162" spans="5:12" x14ac:dyDescent="0.2">
      <c r="E5162" s="1063"/>
      <c r="H5162" s="1066"/>
      <c r="I5162" s="1063"/>
      <c r="J5162" s="1063"/>
      <c r="K5162" s="1063"/>
      <c r="L5162" s="1063"/>
    </row>
    <row r="5163" spans="5:12" x14ac:dyDescent="0.2">
      <c r="E5163" s="1063"/>
      <c r="H5163" s="1066"/>
      <c r="I5163" s="1063"/>
      <c r="J5163" s="1063"/>
      <c r="K5163" s="1063"/>
      <c r="L5163" s="1063"/>
    </row>
    <row r="5164" spans="5:12" x14ac:dyDescent="0.2">
      <c r="E5164" s="1063"/>
      <c r="H5164" s="1066"/>
      <c r="I5164" s="1063"/>
      <c r="J5164" s="1063"/>
      <c r="K5164" s="1063"/>
      <c r="L5164" s="1063"/>
    </row>
    <row r="5165" spans="5:12" x14ac:dyDescent="0.2">
      <c r="E5165" s="1063"/>
      <c r="H5165" s="1066"/>
      <c r="I5165" s="1063"/>
      <c r="J5165" s="1063"/>
      <c r="K5165" s="1063"/>
      <c r="L5165" s="1063"/>
    </row>
    <row r="5166" spans="5:12" x14ac:dyDescent="0.2">
      <c r="E5166" s="1063"/>
      <c r="H5166" s="1066"/>
      <c r="I5166" s="1063"/>
      <c r="J5166" s="1063"/>
      <c r="K5166" s="1063"/>
      <c r="L5166" s="1063"/>
    </row>
    <row r="5167" spans="5:12" x14ac:dyDescent="0.2">
      <c r="E5167" s="1063"/>
      <c r="H5167" s="1066"/>
      <c r="I5167" s="1063"/>
      <c r="J5167" s="1063"/>
      <c r="K5167" s="1063"/>
      <c r="L5167" s="1063"/>
    </row>
    <row r="5168" spans="5:12" x14ac:dyDescent="0.2">
      <c r="E5168" s="1063"/>
      <c r="H5168" s="1066"/>
      <c r="I5168" s="1063"/>
      <c r="J5168" s="1063"/>
      <c r="K5168" s="1063"/>
      <c r="L5168" s="1063"/>
    </row>
    <row r="5169" spans="5:12" x14ac:dyDescent="0.2">
      <c r="E5169" s="1063"/>
      <c r="H5169" s="1066"/>
      <c r="I5169" s="1063"/>
      <c r="J5169" s="1063"/>
      <c r="K5169" s="1063"/>
      <c r="L5169" s="1063"/>
    </row>
    <row r="5170" spans="5:12" x14ac:dyDescent="0.2">
      <c r="E5170" s="1063"/>
      <c r="H5170" s="1066"/>
      <c r="I5170" s="1063"/>
      <c r="J5170" s="1063"/>
      <c r="K5170" s="1063"/>
      <c r="L5170" s="1063"/>
    </row>
    <row r="5171" spans="5:12" x14ac:dyDescent="0.2">
      <c r="E5171" s="1063"/>
      <c r="H5171" s="1066"/>
      <c r="I5171" s="1063"/>
      <c r="J5171" s="1063"/>
      <c r="K5171" s="1063"/>
      <c r="L5171" s="1063"/>
    </row>
    <row r="5172" spans="5:12" x14ac:dyDescent="0.2">
      <c r="E5172" s="1063"/>
      <c r="H5172" s="1066"/>
      <c r="I5172" s="1063"/>
      <c r="J5172" s="1063"/>
      <c r="K5172" s="1063"/>
      <c r="L5172" s="1063"/>
    </row>
    <row r="5173" spans="5:12" x14ac:dyDescent="0.2">
      <c r="E5173" s="1063"/>
      <c r="H5173" s="1066"/>
      <c r="I5173" s="1063"/>
      <c r="J5173" s="1063"/>
      <c r="K5173" s="1063"/>
      <c r="L5173" s="1063"/>
    </row>
    <row r="5174" spans="5:12" x14ac:dyDescent="0.2">
      <c r="E5174" s="1063"/>
      <c r="H5174" s="1066"/>
      <c r="I5174" s="1063"/>
      <c r="J5174" s="1063"/>
      <c r="K5174" s="1063"/>
      <c r="L5174" s="1063"/>
    </row>
    <row r="5175" spans="5:12" x14ac:dyDescent="0.2">
      <c r="E5175" s="1063"/>
      <c r="H5175" s="1066"/>
      <c r="I5175" s="1063"/>
      <c r="J5175" s="1063"/>
      <c r="K5175" s="1063"/>
      <c r="L5175" s="1063"/>
    </row>
    <row r="5176" spans="5:12" x14ac:dyDescent="0.2">
      <c r="E5176" s="1063"/>
      <c r="H5176" s="1066"/>
      <c r="I5176" s="1063"/>
      <c r="J5176" s="1063"/>
      <c r="K5176" s="1063"/>
      <c r="L5176" s="1063"/>
    </row>
    <row r="5177" spans="5:12" x14ac:dyDescent="0.2">
      <c r="E5177" s="1063"/>
      <c r="H5177" s="1066"/>
      <c r="I5177" s="1063"/>
      <c r="J5177" s="1063"/>
      <c r="K5177" s="1063"/>
      <c r="L5177" s="1063"/>
    </row>
    <row r="5178" spans="5:12" x14ac:dyDescent="0.2">
      <c r="E5178" s="1063"/>
      <c r="H5178" s="1066"/>
      <c r="I5178" s="1063"/>
      <c r="J5178" s="1063"/>
      <c r="K5178" s="1063"/>
      <c r="L5178" s="1063"/>
    </row>
    <row r="5179" spans="5:12" x14ac:dyDescent="0.2">
      <c r="E5179" s="1063"/>
      <c r="H5179" s="1066"/>
      <c r="I5179" s="1063"/>
      <c r="J5179" s="1063"/>
      <c r="K5179" s="1063"/>
      <c r="L5179" s="1063"/>
    </row>
    <row r="5180" spans="5:12" x14ac:dyDescent="0.2">
      <c r="E5180" s="1063"/>
      <c r="H5180" s="1066"/>
      <c r="I5180" s="1063"/>
      <c r="J5180" s="1063"/>
      <c r="K5180" s="1063"/>
      <c r="L5180" s="1063"/>
    </row>
    <row r="5181" spans="5:12" x14ac:dyDescent="0.2">
      <c r="E5181" s="1063"/>
      <c r="H5181" s="1066"/>
      <c r="I5181" s="1063"/>
      <c r="J5181" s="1063"/>
      <c r="K5181" s="1063"/>
      <c r="L5181" s="1063"/>
    </row>
    <row r="5182" spans="5:12" x14ac:dyDescent="0.2">
      <c r="E5182" s="1063"/>
      <c r="H5182" s="1066"/>
      <c r="I5182" s="1063"/>
      <c r="J5182" s="1063"/>
      <c r="K5182" s="1063"/>
      <c r="L5182" s="1063"/>
    </row>
    <row r="5183" spans="5:12" x14ac:dyDescent="0.2">
      <c r="E5183" s="1063"/>
      <c r="H5183" s="1066"/>
      <c r="I5183" s="1063"/>
      <c r="J5183" s="1063"/>
      <c r="K5183" s="1063"/>
      <c r="L5183" s="1063"/>
    </row>
    <row r="5184" spans="5:12" x14ac:dyDescent="0.2">
      <c r="E5184" s="1063"/>
      <c r="H5184" s="1066"/>
      <c r="I5184" s="1063"/>
      <c r="J5184" s="1063"/>
      <c r="K5184" s="1063"/>
      <c r="L5184" s="1063"/>
    </row>
    <row r="5185" spans="5:12" x14ac:dyDescent="0.2">
      <c r="E5185" s="1063"/>
      <c r="H5185" s="1066"/>
      <c r="I5185" s="1063"/>
      <c r="J5185" s="1063"/>
      <c r="K5185" s="1063"/>
      <c r="L5185" s="1063"/>
    </row>
    <row r="5186" spans="5:12" x14ac:dyDescent="0.2">
      <c r="E5186" s="1063"/>
      <c r="H5186" s="1066"/>
      <c r="I5186" s="1063"/>
      <c r="J5186" s="1063"/>
      <c r="K5186" s="1063"/>
      <c r="L5186" s="1063"/>
    </row>
    <row r="5187" spans="5:12" x14ac:dyDescent="0.2">
      <c r="E5187" s="1063"/>
      <c r="H5187" s="1066"/>
      <c r="I5187" s="1063"/>
      <c r="J5187" s="1063"/>
      <c r="K5187" s="1063"/>
      <c r="L5187" s="1063"/>
    </row>
    <row r="5188" spans="5:12" x14ac:dyDescent="0.2">
      <c r="E5188" s="1063"/>
      <c r="H5188" s="1066"/>
      <c r="I5188" s="1063"/>
      <c r="J5188" s="1063"/>
      <c r="K5188" s="1063"/>
      <c r="L5188" s="1063"/>
    </row>
    <row r="5189" spans="5:12" x14ac:dyDescent="0.2">
      <c r="E5189" s="1063"/>
      <c r="H5189" s="1066"/>
      <c r="I5189" s="1063"/>
      <c r="J5189" s="1063"/>
      <c r="K5189" s="1063"/>
      <c r="L5189" s="1063"/>
    </row>
    <row r="5190" spans="5:12" x14ac:dyDescent="0.2">
      <c r="E5190" s="1063"/>
      <c r="H5190" s="1066"/>
      <c r="I5190" s="1063"/>
      <c r="J5190" s="1063"/>
      <c r="K5190" s="1063"/>
      <c r="L5190" s="1063"/>
    </row>
    <row r="5191" spans="5:12" x14ac:dyDescent="0.2">
      <c r="E5191" s="1063"/>
      <c r="H5191" s="1066"/>
      <c r="I5191" s="1063"/>
      <c r="J5191" s="1063"/>
      <c r="K5191" s="1063"/>
      <c r="L5191" s="1063"/>
    </row>
    <row r="5192" spans="5:12" x14ac:dyDescent="0.2">
      <c r="E5192" s="1063"/>
      <c r="H5192" s="1066"/>
      <c r="I5192" s="1063"/>
      <c r="J5192" s="1063"/>
      <c r="K5192" s="1063"/>
      <c r="L5192" s="1063"/>
    </row>
    <row r="5193" spans="5:12" x14ac:dyDescent="0.2">
      <c r="E5193" s="1063"/>
      <c r="H5193" s="1066"/>
      <c r="I5193" s="1063"/>
      <c r="J5193" s="1063"/>
      <c r="K5193" s="1063"/>
      <c r="L5193" s="1063"/>
    </row>
    <row r="5194" spans="5:12" x14ac:dyDescent="0.2">
      <c r="E5194" s="1063"/>
      <c r="H5194" s="1066"/>
      <c r="I5194" s="1063"/>
      <c r="J5194" s="1063"/>
      <c r="K5194" s="1063"/>
      <c r="L5194" s="1063"/>
    </row>
    <row r="5195" spans="5:12" x14ac:dyDescent="0.2">
      <c r="E5195" s="1063"/>
      <c r="H5195" s="1066"/>
      <c r="I5195" s="1063"/>
      <c r="J5195" s="1063"/>
      <c r="K5195" s="1063"/>
      <c r="L5195" s="1063"/>
    </row>
    <row r="5196" spans="5:12" x14ac:dyDescent="0.2">
      <c r="E5196" s="1063"/>
      <c r="H5196" s="1066"/>
      <c r="I5196" s="1063"/>
      <c r="J5196" s="1063"/>
      <c r="K5196" s="1063"/>
      <c r="L5196" s="1063"/>
    </row>
    <row r="5197" spans="5:12" x14ac:dyDescent="0.2">
      <c r="E5197" s="1063"/>
      <c r="H5197" s="1066"/>
      <c r="I5197" s="1063"/>
      <c r="J5197" s="1063"/>
      <c r="K5197" s="1063"/>
      <c r="L5197" s="1063"/>
    </row>
    <row r="5198" spans="5:12" x14ac:dyDescent="0.2">
      <c r="E5198" s="1063"/>
      <c r="H5198" s="1066"/>
      <c r="I5198" s="1063"/>
      <c r="J5198" s="1063"/>
      <c r="K5198" s="1063"/>
      <c r="L5198" s="1063"/>
    </row>
    <row r="5199" spans="5:12" x14ac:dyDescent="0.2">
      <c r="E5199" s="1063"/>
      <c r="H5199" s="1066"/>
      <c r="I5199" s="1063"/>
      <c r="J5199" s="1063"/>
      <c r="K5199" s="1063"/>
      <c r="L5199" s="1063"/>
    </row>
    <row r="5200" spans="5:12" x14ac:dyDescent="0.2">
      <c r="E5200" s="1063"/>
      <c r="H5200" s="1066"/>
      <c r="I5200" s="1063"/>
      <c r="J5200" s="1063"/>
      <c r="K5200" s="1063"/>
      <c r="L5200" s="1063"/>
    </row>
    <row r="5201" spans="5:12" x14ac:dyDescent="0.2">
      <c r="E5201" s="1063"/>
      <c r="H5201" s="1066"/>
      <c r="I5201" s="1063"/>
      <c r="J5201" s="1063"/>
      <c r="K5201" s="1063"/>
      <c r="L5201" s="1063"/>
    </row>
    <row r="5202" spans="5:12" x14ac:dyDescent="0.2">
      <c r="E5202" s="1063"/>
      <c r="H5202" s="1066"/>
      <c r="I5202" s="1063"/>
      <c r="J5202" s="1063"/>
      <c r="K5202" s="1063"/>
      <c r="L5202" s="1063"/>
    </row>
    <row r="5203" spans="5:12" x14ac:dyDescent="0.2">
      <c r="E5203" s="1063"/>
      <c r="H5203" s="1066"/>
      <c r="I5203" s="1063"/>
      <c r="J5203" s="1063"/>
      <c r="K5203" s="1063"/>
      <c r="L5203" s="1063"/>
    </row>
    <row r="5204" spans="5:12" x14ac:dyDescent="0.2">
      <c r="E5204" s="1063"/>
      <c r="H5204" s="1066"/>
      <c r="I5204" s="1063"/>
      <c r="J5204" s="1063"/>
      <c r="K5204" s="1063"/>
      <c r="L5204" s="1063"/>
    </row>
    <row r="5205" spans="5:12" x14ac:dyDescent="0.2">
      <c r="E5205" s="1063"/>
      <c r="H5205" s="1066"/>
      <c r="I5205" s="1063"/>
      <c r="J5205" s="1063"/>
      <c r="K5205" s="1063"/>
      <c r="L5205" s="1063"/>
    </row>
    <row r="5206" spans="5:12" x14ac:dyDescent="0.2">
      <c r="E5206" s="1063"/>
      <c r="H5206" s="1066"/>
      <c r="I5206" s="1063"/>
      <c r="J5206" s="1063"/>
      <c r="K5206" s="1063"/>
      <c r="L5206" s="1063"/>
    </row>
    <row r="5207" spans="5:12" x14ac:dyDescent="0.2">
      <c r="E5207" s="1063"/>
      <c r="H5207" s="1066"/>
      <c r="I5207" s="1063"/>
      <c r="J5207" s="1063"/>
      <c r="K5207" s="1063"/>
      <c r="L5207" s="1063"/>
    </row>
    <row r="5208" spans="5:12" x14ac:dyDescent="0.2">
      <c r="E5208" s="1063"/>
      <c r="H5208" s="1066"/>
      <c r="I5208" s="1063"/>
      <c r="J5208" s="1063"/>
      <c r="K5208" s="1063"/>
      <c r="L5208" s="1063"/>
    </row>
    <row r="5209" spans="5:12" x14ac:dyDescent="0.2">
      <c r="E5209" s="1063"/>
      <c r="H5209" s="1066"/>
      <c r="I5209" s="1063"/>
      <c r="J5209" s="1063"/>
      <c r="K5209" s="1063"/>
      <c r="L5209" s="1063"/>
    </row>
    <row r="5210" spans="5:12" x14ac:dyDescent="0.2">
      <c r="E5210" s="1063"/>
      <c r="H5210" s="1066"/>
      <c r="I5210" s="1063"/>
      <c r="J5210" s="1063"/>
      <c r="K5210" s="1063"/>
      <c r="L5210" s="1063"/>
    </row>
    <row r="5211" spans="5:12" x14ac:dyDescent="0.2">
      <c r="E5211" s="1063"/>
      <c r="H5211" s="1066"/>
      <c r="I5211" s="1063"/>
      <c r="J5211" s="1063"/>
      <c r="K5211" s="1063"/>
      <c r="L5211" s="1063"/>
    </row>
    <row r="5212" spans="5:12" x14ac:dyDescent="0.2">
      <c r="E5212" s="1063"/>
      <c r="H5212" s="1066"/>
      <c r="I5212" s="1063"/>
      <c r="J5212" s="1063"/>
      <c r="K5212" s="1063"/>
      <c r="L5212" s="1063"/>
    </row>
    <row r="5213" spans="5:12" x14ac:dyDescent="0.2">
      <c r="E5213" s="1063"/>
      <c r="H5213" s="1066"/>
      <c r="I5213" s="1063"/>
      <c r="J5213" s="1063"/>
      <c r="K5213" s="1063"/>
      <c r="L5213" s="1063"/>
    </row>
    <row r="5214" spans="5:12" x14ac:dyDescent="0.2">
      <c r="E5214" s="1063"/>
      <c r="H5214" s="1066"/>
      <c r="I5214" s="1063"/>
      <c r="J5214" s="1063"/>
      <c r="K5214" s="1063"/>
      <c r="L5214" s="1063"/>
    </row>
    <row r="5215" spans="5:12" x14ac:dyDescent="0.2">
      <c r="E5215" s="1063"/>
      <c r="H5215" s="1066"/>
      <c r="I5215" s="1063"/>
      <c r="J5215" s="1063"/>
      <c r="K5215" s="1063"/>
      <c r="L5215" s="1063"/>
    </row>
    <row r="5216" spans="5:12" x14ac:dyDescent="0.2">
      <c r="E5216" s="1063"/>
      <c r="H5216" s="1066"/>
      <c r="I5216" s="1063"/>
      <c r="J5216" s="1063"/>
      <c r="K5216" s="1063"/>
      <c r="L5216" s="1063"/>
    </row>
    <row r="5217" spans="5:12" x14ac:dyDescent="0.2">
      <c r="E5217" s="1063"/>
      <c r="H5217" s="1066"/>
      <c r="I5217" s="1063"/>
      <c r="J5217" s="1063"/>
      <c r="K5217" s="1063"/>
      <c r="L5217" s="1063"/>
    </row>
    <row r="5218" spans="5:12" x14ac:dyDescent="0.2">
      <c r="E5218" s="1063"/>
      <c r="H5218" s="1066"/>
      <c r="I5218" s="1063"/>
      <c r="J5218" s="1063"/>
      <c r="K5218" s="1063"/>
      <c r="L5218" s="1063"/>
    </row>
    <row r="5219" spans="5:12" x14ac:dyDescent="0.2">
      <c r="E5219" s="1063"/>
      <c r="H5219" s="1066"/>
      <c r="I5219" s="1063"/>
      <c r="J5219" s="1063"/>
      <c r="K5219" s="1063"/>
      <c r="L5219" s="1063"/>
    </row>
    <row r="5220" spans="5:12" x14ac:dyDescent="0.2">
      <c r="E5220" s="1063"/>
      <c r="H5220" s="1066"/>
      <c r="I5220" s="1063"/>
      <c r="J5220" s="1063"/>
      <c r="K5220" s="1063"/>
      <c r="L5220" s="1063"/>
    </row>
    <row r="5221" spans="5:12" x14ac:dyDescent="0.2">
      <c r="E5221" s="1063"/>
      <c r="H5221" s="1066"/>
      <c r="I5221" s="1063"/>
      <c r="J5221" s="1063"/>
      <c r="K5221" s="1063"/>
      <c r="L5221" s="1063"/>
    </row>
    <row r="5222" spans="5:12" x14ac:dyDescent="0.2">
      <c r="E5222" s="1063"/>
      <c r="H5222" s="1066"/>
      <c r="I5222" s="1063"/>
      <c r="J5222" s="1063"/>
      <c r="K5222" s="1063"/>
      <c r="L5222" s="1063"/>
    </row>
    <row r="5223" spans="5:12" x14ac:dyDescent="0.2">
      <c r="E5223" s="1063"/>
      <c r="H5223" s="1066"/>
      <c r="I5223" s="1063"/>
      <c r="J5223" s="1063"/>
      <c r="K5223" s="1063"/>
      <c r="L5223" s="1063"/>
    </row>
    <row r="5224" spans="5:12" x14ac:dyDescent="0.2">
      <c r="E5224" s="1063"/>
      <c r="H5224" s="1066"/>
      <c r="I5224" s="1063"/>
      <c r="J5224" s="1063"/>
      <c r="K5224" s="1063"/>
      <c r="L5224" s="1063"/>
    </row>
    <row r="5225" spans="5:12" x14ac:dyDescent="0.2">
      <c r="E5225" s="1063"/>
      <c r="H5225" s="1066"/>
      <c r="I5225" s="1063"/>
      <c r="J5225" s="1063"/>
      <c r="K5225" s="1063"/>
      <c r="L5225" s="1063"/>
    </row>
    <row r="5226" spans="5:12" x14ac:dyDescent="0.2">
      <c r="E5226" s="1063"/>
      <c r="H5226" s="1066"/>
      <c r="I5226" s="1063"/>
      <c r="J5226" s="1063"/>
      <c r="K5226" s="1063"/>
      <c r="L5226" s="1063"/>
    </row>
    <row r="5227" spans="5:12" x14ac:dyDescent="0.2">
      <c r="E5227" s="1063"/>
      <c r="H5227" s="1066"/>
      <c r="I5227" s="1063"/>
      <c r="J5227" s="1063"/>
      <c r="K5227" s="1063"/>
      <c r="L5227" s="1063"/>
    </row>
    <row r="5228" spans="5:12" x14ac:dyDescent="0.2">
      <c r="E5228" s="1063"/>
      <c r="H5228" s="1066"/>
      <c r="I5228" s="1063"/>
      <c r="J5228" s="1063"/>
      <c r="K5228" s="1063"/>
      <c r="L5228" s="1063"/>
    </row>
    <row r="5229" spans="5:12" x14ac:dyDescent="0.2">
      <c r="E5229" s="1063"/>
      <c r="H5229" s="1066"/>
      <c r="I5229" s="1063"/>
      <c r="J5229" s="1063"/>
      <c r="K5229" s="1063"/>
      <c r="L5229" s="1063"/>
    </row>
    <row r="5230" spans="5:12" x14ac:dyDescent="0.2">
      <c r="E5230" s="1063"/>
      <c r="H5230" s="1066"/>
      <c r="I5230" s="1063"/>
      <c r="J5230" s="1063"/>
      <c r="K5230" s="1063"/>
      <c r="L5230" s="1063"/>
    </row>
    <row r="5231" spans="5:12" x14ac:dyDescent="0.2">
      <c r="E5231" s="1063"/>
      <c r="H5231" s="1066"/>
      <c r="I5231" s="1063"/>
      <c r="J5231" s="1063"/>
      <c r="K5231" s="1063"/>
      <c r="L5231" s="1063"/>
    </row>
    <row r="5232" spans="5:12" x14ac:dyDescent="0.2">
      <c r="E5232" s="1063"/>
      <c r="H5232" s="1066"/>
      <c r="I5232" s="1063"/>
      <c r="J5232" s="1063"/>
      <c r="K5232" s="1063"/>
      <c r="L5232" s="1063"/>
    </row>
    <row r="5233" spans="5:12" x14ac:dyDescent="0.2">
      <c r="E5233" s="1063"/>
      <c r="H5233" s="1066"/>
      <c r="I5233" s="1063"/>
      <c r="J5233" s="1063"/>
      <c r="K5233" s="1063"/>
      <c r="L5233" s="1063"/>
    </row>
    <row r="5234" spans="5:12" x14ac:dyDescent="0.2">
      <c r="E5234" s="1063"/>
      <c r="H5234" s="1066"/>
      <c r="I5234" s="1063"/>
      <c r="J5234" s="1063"/>
      <c r="K5234" s="1063"/>
      <c r="L5234" s="1063"/>
    </row>
    <row r="5235" spans="5:12" x14ac:dyDescent="0.2">
      <c r="E5235" s="1063"/>
      <c r="H5235" s="1066"/>
      <c r="I5235" s="1063"/>
      <c r="J5235" s="1063"/>
      <c r="K5235" s="1063"/>
      <c r="L5235" s="1063"/>
    </row>
    <row r="5236" spans="5:12" x14ac:dyDescent="0.2">
      <c r="E5236" s="1063"/>
      <c r="H5236" s="1066"/>
      <c r="I5236" s="1063"/>
      <c r="J5236" s="1063"/>
      <c r="K5236" s="1063"/>
      <c r="L5236" s="1063"/>
    </row>
    <row r="5237" spans="5:12" x14ac:dyDescent="0.2">
      <c r="E5237" s="1063"/>
      <c r="H5237" s="1066"/>
      <c r="I5237" s="1063"/>
      <c r="J5237" s="1063"/>
      <c r="K5237" s="1063"/>
      <c r="L5237" s="1063"/>
    </row>
    <row r="5238" spans="5:12" x14ac:dyDescent="0.2">
      <c r="E5238" s="1063"/>
      <c r="H5238" s="1066"/>
      <c r="I5238" s="1063"/>
      <c r="J5238" s="1063"/>
      <c r="K5238" s="1063"/>
      <c r="L5238" s="1063"/>
    </row>
    <row r="5239" spans="5:12" x14ac:dyDescent="0.2">
      <c r="E5239" s="1063"/>
      <c r="H5239" s="1066"/>
      <c r="I5239" s="1063"/>
      <c r="J5239" s="1063"/>
      <c r="K5239" s="1063"/>
      <c r="L5239" s="1063"/>
    </row>
    <row r="5240" spans="5:12" x14ac:dyDescent="0.2">
      <c r="E5240" s="1063"/>
      <c r="H5240" s="1066"/>
      <c r="I5240" s="1063"/>
      <c r="J5240" s="1063"/>
      <c r="K5240" s="1063"/>
      <c r="L5240" s="1063"/>
    </row>
    <row r="5241" spans="5:12" x14ac:dyDescent="0.2">
      <c r="E5241" s="1063"/>
      <c r="H5241" s="1066"/>
      <c r="I5241" s="1063"/>
      <c r="J5241" s="1063"/>
      <c r="K5241" s="1063"/>
      <c r="L5241" s="1063"/>
    </row>
    <row r="5242" spans="5:12" x14ac:dyDescent="0.2">
      <c r="E5242" s="1063"/>
      <c r="H5242" s="1066"/>
      <c r="I5242" s="1063"/>
      <c r="J5242" s="1063"/>
      <c r="K5242" s="1063"/>
      <c r="L5242" s="1063"/>
    </row>
    <row r="5243" spans="5:12" x14ac:dyDescent="0.2">
      <c r="E5243" s="1063"/>
      <c r="H5243" s="1066"/>
      <c r="I5243" s="1063"/>
      <c r="J5243" s="1063"/>
      <c r="K5243" s="1063"/>
      <c r="L5243" s="1063"/>
    </row>
    <row r="5244" spans="5:12" x14ac:dyDescent="0.2">
      <c r="E5244" s="1063"/>
      <c r="H5244" s="1066"/>
      <c r="I5244" s="1063"/>
      <c r="J5244" s="1063"/>
      <c r="K5244" s="1063"/>
      <c r="L5244" s="1063"/>
    </row>
    <row r="5245" spans="5:12" x14ac:dyDescent="0.2">
      <c r="E5245" s="1063"/>
      <c r="H5245" s="1066"/>
      <c r="I5245" s="1063"/>
      <c r="J5245" s="1063"/>
      <c r="K5245" s="1063"/>
      <c r="L5245" s="1063"/>
    </row>
    <row r="5246" spans="5:12" x14ac:dyDescent="0.2">
      <c r="E5246" s="1063"/>
      <c r="H5246" s="1066"/>
      <c r="I5246" s="1063"/>
      <c r="J5246" s="1063"/>
      <c r="K5246" s="1063"/>
      <c r="L5246" s="1063"/>
    </row>
    <row r="5247" spans="5:12" x14ac:dyDescent="0.2">
      <c r="E5247" s="1063"/>
      <c r="H5247" s="1066"/>
      <c r="I5247" s="1063"/>
      <c r="J5247" s="1063"/>
      <c r="K5247" s="1063"/>
      <c r="L5247" s="1063"/>
    </row>
    <row r="5248" spans="5:12" x14ac:dyDescent="0.2">
      <c r="E5248" s="1063"/>
      <c r="H5248" s="1066"/>
      <c r="I5248" s="1063"/>
      <c r="J5248" s="1063"/>
      <c r="K5248" s="1063"/>
      <c r="L5248" s="1063"/>
    </row>
    <row r="5249" spans="5:12" x14ac:dyDescent="0.2">
      <c r="E5249" s="1063"/>
      <c r="H5249" s="1066"/>
      <c r="I5249" s="1063"/>
      <c r="J5249" s="1063"/>
      <c r="K5249" s="1063"/>
      <c r="L5249" s="1063"/>
    </row>
    <row r="5250" spans="5:12" x14ac:dyDescent="0.2">
      <c r="E5250" s="1063"/>
      <c r="H5250" s="1066"/>
      <c r="I5250" s="1063"/>
      <c r="J5250" s="1063"/>
      <c r="K5250" s="1063"/>
      <c r="L5250" s="1063"/>
    </row>
    <row r="5251" spans="5:12" x14ac:dyDescent="0.2">
      <c r="E5251" s="1063"/>
      <c r="H5251" s="1066"/>
      <c r="I5251" s="1063"/>
      <c r="J5251" s="1063"/>
      <c r="K5251" s="1063"/>
      <c r="L5251" s="1063"/>
    </row>
    <row r="5252" spans="5:12" x14ac:dyDescent="0.2">
      <c r="E5252" s="1063"/>
      <c r="H5252" s="1066"/>
      <c r="I5252" s="1063"/>
      <c r="J5252" s="1063"/>
      <c r="K5252" s="1063"/>
      <c r="L5252" s="1063"/>
    </row>
    <row r="5253" spans="5:12" x14ac:dyDescent="0.2">
      <c r="E5253" s="1063"/>
      <c r="H5253" s="1066"/>
      <c r="I5253" s="1063"/>
      <c r="J5253" s="1063"/>
      <c r="K5253" s="1063"/>
      <c r="L5253" s="1063"/>
    </row>
    <row r="5254" spans="5:12" x14ac:dyDescent="0.2">
      <c r="E5254" s="1063"/>
      <c r="H5254" s="1066"/>
      <c r="I5254" s="1063"/>
      <c r="J5254" s="1063"/>
      <c r="K5254" s="1063"/>
      <c r="L5254" s="1063"/>
    </row>
    <row r="5255" spans="5:12" x14ac:dyDescent="0.2">
      <c r="E5255" s="1063"/>
      <c r="H5255" s="1066"/>
      <c r="I5255" s="1063"/>
      <c r="J5255" s="1063"/>
      <c r="K5255" s="1063"/>
      <c r="L5255" s="1063"/>
    </row>
    <row r="5256" spans="5:12" x14ac:dyDescent="0.2">
      <c r="E5256" s="1063"/>
      <c r="H5256" s="1066"/>
      <c r="I5256" s="1063"/>
      <c r="J5256" s="1063"/>
      <c r="K5256" s="1063"/>
      <c r="L5256" s="1063"/>
    </row>
    <row r="5257" spans="5:12" x14ac:dyDescent="0.2">
      <c r="E5257" s="1063"/>
      <c r="H5257" s="1066"/>
      <c r="I5257" s="1063"/>
      <c r="J5257" s="1063"/>
      <c r="K5257" s="1063"/>
      <c r="L5257" s="1063"/>
    </row>
    <row r="5258" spans="5:12" x14ac:dyDescent="0.2">
      <c r="E5258" s="1063"/>
      <c r="H5258" s="1066"/>
      <c r="I5258" s="1063"/>
      <c r="J5258" s="1063"/>
      <c r="K5258" s="1063"/>
      <c r="L5258" s="1063"/>
    </row>
    <row r="5259" spans="5:12" x14ac:dyDescent="0.2">
      <c r="E5259" s="1063"/>
      <c r="H5259" s="1066"/>
      <c r="I5259" s="1063"/>
      <c r="J5259" s="1063"/>
      <c r="K5259" s="1063"/>
      <c r="L5259" s="1063"/>
    </row>
    <row r="5260" spans="5:12" x14ac:dyDescent="0.2">
      <c r="E5260" s="1063"/>
      <c r="H5260" s="1066"/>
      <c r="I5260" s="1063"/>
      <c r="J5260" s="1063"/>
      <c r="K5260" s="1063"/>
      <c r="L5260" s="1063"/>
    </row>
    <row r="5261" spans="5:12" x14ac:dyDescent="0.2">
      <c r="E5261" s="1063"/>
      <c r="H5261" s="1066"/>
      <c r="I5261" s="1063"/>
      <c r="J5261" s="1063"/>
      <c r="K5261" s="1063"/>
      <c r="L5261" s="1063"/>
    </row>
    <row r="5262" spans="5:12" x14ac:dyDescent="0.2">
      <c r="E5262" s="1063"/>
      <c r="H5262" s="1066"/>
      <c r="I5262" s="1063"/>
      <c r="J5262" s="1063"/>
      <c r="K5262" s="1063"/>
      <c r="L5262" s="1063"/>
    </row>
    <row r="5263" spans="5:12" x14ac:dyDescent="0.2">
      <c r="E5263" s="1063"/>
      <c r="H5263" s="1066"/>
      <c r="I5263" s="1063"/>
      <c r="J5263" s="1063"/>
      <c r="K5263" s="1063"/>
      <c r="L5263" s="1063"/>
    </row>
    <row r="5264" spans="5:12" x14ac:dyDescent="0.2">
      <c r="E5264" s="1063"/>
      <c r="H5264" s="1066"/>
      <c r="I5264" s="1063"/>
      <c r="J5264" s="1063"/>
      <c r="K5264" s="1063"/>
      <c r="L5264" s="1063"/>
    </row>
    <row r="5265" spans="5:12" x14ac:dyDescent="0.2">
      <c r="E5265" s="1063"/>
      <c r="H5265" s="1066"/>
      <c r="I5265" s="1063"/>
      <c r="J5265" s="1063"/>
      <c r="K5265" s="1063"/>
      <c r="L5265" s="1063"/>
    </row>
    <row r="5266" spans="5:12" x14ac:dyDescent="0.2">
      <c r="E5266" s="1063"/>
      <c r="H5266" s="1066"/>
      <c r="I5266" s="1063"/>
      <c r="J5266" s="1063"/>
      <c r="K5266" s="1063"/>
      <c r="L5266" s="1063"/>
    </row>
    <row r="5267" spans="5:12" x14ac:dyDescent="0.2">
      <c r="E5267" s="1063"/>
      <c r="H5267" s="1066"/>
      <c r="I5267" s="1063"/>
      <c r="J5267" s="1063"/>
      <c r="K5267" s="1063"/>
      <c r="L5267" s="1063"/>
    </row>
    <row r="5268" spans="5:12" x14ac:dyDescent="0.2">
      <c r="E5268" s="1063"/>
      <c r="H5268" s="1066"/>
      <c r="I5268" s="1063"/>
      <c r="J5268" s="1063"/>
      <c r="K5268" s="1063"/>
      <c r="L5268" s="1063"/>
    </row>
    <row r="5269" spans="5:12" x14ac:dyDescent="0.2">
      <c r="E5269" s="1063"/>
      <c r="H5269" s="1066"/>
      <c r="I5269" s="1063"/>
      <c r="J5269" s="1063"/>
      <c r="K5269" s="1063"/>
      <c r="L5269" s="1063"/>
    </row>
    <row r="5270" spans="5:12" x14ac:dyDescent="0.2">
      <c r="E5270" s="1063"/>
      <c r="H5270" s="1066"/>
      <c r="I5270" s="1063"/>
      <c r="J5270" s="1063"/>
      <c r="K5270" s="1063"/>
      <c r="L5270" s="1063"/>
    </row>
    <row r="5271" spans="5:12" x14ac:dyDescent="0.2">
      <c r="E5271" s="1063"/>
      <c r="H5271" s="1066"/>
      <c r="I5271" s="1063"/>
      <c r="J5271" s="1063"/>
      <c r="K5271" s="1063"/>
      <c r="L5271" s="1063"/>
    </row>
    <row r="5272" spans="5:12" x14ac:dyDescent="0.2">
      <c r="E5272" s="1063"/>
      <c r="H5272" s="1066"/>
      <c r="I5272" s="1063"/>
      <c r="J5272" s="1063"/>
      <c r="K5272" s="1063"/>
      <c r="L5272" s="1063"/>
    </row>
    <row r="5273" spans="5:12" x14ac:dyDescent="0.2">
      <c r="E5273" s="1063"/>
      <c r="H5273" s="1066"/>
      <c r="I5273" s="1063"/>
      <c r="J5273" s="1063"/>
      <c r="K5273" s="1063"/>
      <c r="L5273" s="1063"/>
    </row>
    <row r="5274" spans="5:12" x14ac:dyDescent="0.2">
      <c r="E5274" s="1063"/>
      <c r="H5274" s="1066"/>
      <c r="I5274" s="1063"/>
      <c r="J5274" s="1063"/>
      <c r="K5274" s="1063"/>
      <c r="L5274" s="1063"/>
    </row>
    <row r="5275" spans="5:12" x14ac:dyDescent="0.2">
      <c r="E5275" s="1063"/>
      <c r="H5275" s="1066"/>
      <c r="I5275" s="1063"/>
      <c r="J5275" s="1063"/>
      <c r="K5275" s="1063"/>
      <c r="L5275" s="1063"/>
    </row>
    <row r="5276" spans="5:12" x14ac:dyDescent="0.2">
      <c r="E5276" s="1063"/>
      <c r="H5276" s="1066"/>
      <c r="I5276" s="1063"/>
      <c r="J5276" s="1063"/>
      <c r="K5276" s="1063"/>
      <c r="L5276" s="1063"/>
    </row>
    <row r="5277" spans="5:12" x14ac:dyDescent="0.2">
      <c r="E5277" s="1063"/>
      <c r="H5277" s="1066"/>
      <c r="I5277" s="1063"/>
      <c r="J5277" s="1063"/>
      <c r="K5277" s="1063"/>
      <c r="L5277" s="1063"/>
    </row>
    <row r="5278" spans="5:12" x14ac:dyDescent="0.2">
      <c r="E5278" s="1063"/>
      <c r="H5278" s="1066"/>
      <c r="I5278" s="1063"/>
      <c r="J5278" s="1063"/>
      <c r="K5278" s="1063"/>
      <c r="L5278" s="1063"/>
    </row>
    <row r="5279" spans="5:12" x14ac:dyDescent="0.2">
      <c r="E5279" s="1063"/>
      <c r="H5279" s="1066"/>
      <c r="I5279" s="1063"/>
      <c r="J5279" s="1063"/>
      <c r="K5279" s="1063"/>
      <c r="L5279" s="1063"/>
    </row>
    <row r="5280" spans="5:12" x14ac:dyDescent="0.2">
      <c r="E5280" s="1063"/>
      <c r="H5280" s="1066"/>
      <c r="I5280" s="1063"/>
      <c r="J5280" s="1063"/>
      <c r="K5280" s="1063"/>
      <c r="L5280" s="1063"/>
    </row>
    <row r="5281" spans="5:12" x14ac:dyDescent="0.2">
      <c r="E5281" s="1063"/>
      <c r="H5281" s="1066"/>
      <c r="I5281" s="1063"/>
      <c r="J5281" s="1063"/>
      <c r="K5281" s="1063"/>
      <c r="L5281" s="1063"/>
    </row>
    <row r="5282" spans="5:12" x14ac:dyDescent="0.2">
      <c r="E5282" s="1063"/>
      <c r="H5282" s="1066"/>
      <c r="I5282" s="1063"/>
      <c r="J5282" s="1063"/>
      <c r="K5282" s="1063"/>
      <c r="L5282" s="1063"/>
    </row>
    <row r="5283" spans="5:12" x14ac:dyDescent="0.2">
      <c r="E5283" s="1063"/>
      <c r="H5283" s="1066"/>
      <c r="I5283" s="1063"/>
      <c r="J5283" s="1063"/>
      <c r="K5283" s="1063"/>
      <c r="L5283" s="1063"/>
    </row>
    <row r="5284" spans="5:12" x14ac:dyDescent="0.2">
      <c r="E5284" s="1063"/>
      <c r="H5284" s="1066"/>
      <c r="I5284" s="1063"/>
      <c r="J5284" s="1063"/>
      <c r="K5284" s="1063"/>
      <c r="L5284" s="1063"/>
    </row>
    <row r="5285" spans="5:12" x14ac:dyDescent="0.2">
      <c r="E5285" s="1063"/>
      <c r="H5285" s="1066"/>
      <c r="I5285" s="1063"/>
      <c r="J5285" s="1063"/>
      <c r="K5285" s="1063"/>
      <c r="L5285" s="1063"/>
    </row>
    <row r="5286" spans="5:12" x14ac:dyDescent="0.2">
      <c r="E5286" s="1063"/>
      <c r="H5286" s="1066"/>
      <c r="I5286" s="1063"/>
      <c r="J5286" s="1063"/>
      <c r="K5286" s="1063"/>
      <c r="L5286" s="1063"/>
    </row>
    <row r="5287" spans="5:12" x14ac:dyDescent="0.2">
      <c r="E5287" s="1063"/>
      <c r="H5287" s="1066"/>
      <c r="I5287" s="1063"/>
      <c r="J5287" s="1063"/>
      <c r="K5287" s="1063"/>
      <c r="L5287" s="1063"/>
    </row>
    <row r="5288" spans="5:12" x14ac:dyDescent="0.2">
      <c r="E5288" s="1063"/>
      <c r="H5288" s="1066"/>
      <c r="I5288" s="1063"/>
      <c r="J5288" s="1063"/>
      <c r="K5288" s="1063"/>
      <c r="L5288" s="1063"/>
    </row>
    <row r="5289" spans="5:12" x14ac:dyDescent="0.2">
      <c r="E5289" s="1063"/>
      <c r="H5289" s="1066"/>
      <c r="I5289" s="1063"/>
      <c r="J5289" s="1063"/>
      <c r="K5289" s="1063"/>
      <c r="L5289" s="1063"/>
    </row>
    <row r="5290" spans="5:12" x14ac:dyDescent="0.2">
      <c r="E5290" s="1063"/>
      <c r="H5290" s="1066"/>
      <c r="I5290" s="1063"/>
      <c r="J5290" s="1063"/>
      <c r="K5290" s="1063"/>
      <c r="L5290" s="1063"/>
    </row>
    <row r="5291" spans="5:12" x14ac:dyDescent="0.2">
      <c r="E5291" s="1063"/>
      <c r="H5291" s="1066"/>
      <c r="I5291" s="1063"/>
      <c r="J5291" s="1063"/>
      <c r="K5291" s="1063"/>
      <c r="L5291" s="1063"/>
    </row>
    <row r="5292" spans="5:12" x14ac:dyDescent="0.2">
      <c r="E5292" s="1063"/>
      <c r="H5292" s="1066"/>
      <c r="I5292" s="1063"/>
      <c r="J5292" s="1063"/>
      <c r="K5292" s="1063"/>
      <c r="L5292" s="1063"/>
    </row>
    <row r="5293" spans="5:12" x14ac:dyDescent="0.2">
      <c r="E5293" s="1063"/>
      <c r="H5293" s="1066"/>
      <c r="I5293" s="1063"/>
      <c r="J5293" s="1063"/>
      <c r="K5293" s="1063"/>
      <c r="L5293" s="1063"/>
    </row>
    <row r="5294" spans="5:12" x14ac:dyDescent="0.2">
      <c r="E5294" s="1063"/>
      <c r="H5294" s="1066"/>
      <c r="I5294" s="1063"/>
      <c r="J5294" s="1063"/>
      <c r="K5294" s="1063"/>
      <c r="L5294" s="1063"/>
    </row>
    <row r="5295" spans="5:12" x14ac:dyDescent="0.2">
      <c r="E5295" s="1063"/>
      <c r="H5295" s="1066"/>
      <c r="I5295" s="1063"/>
      <c r="J5295" s="1063"/>
      <c r="K5295" s="1063"/>
      <c r="L5295" s="1063"/>
    </row>
    <row r="5296" spans="5:12" x14ac:dyDescent="0.2">
      <c r="E5296" s="1063"/>
      <c r="H5296" s="1066"/>
      <c r="I5296" s="1063"/>
      <c r="J5296" s="1063"/>
      <c r="K5296" s="1063"/>
      <c r="L5296" s="1063"/>
    </row>
    <row r="5297" spans="5:12" x14ac:dyDescent="0.2">
      <c r="E5297" s="1063"/>
      <c r="H5297" s="1066"/>
      <c r="I5297" s="1063"/>
      <c r="J5297" s="1063"/>
      <c r="K5297" s="1063"/>
      <c r="L5297" s="1063"/>
    </row>
    <row r="5298" spans="5:12" x14ac:dyDescent="0.2">
      <c r="E5298" s="1063"/>
      <c r="H5298" s="1066"/>
      <c r="I5298" s="1063"/>
      <c r="J5298" s="1063"/>
      <c r="K5298" s="1063"/>
      <c r="L5298" s="1063"/>
    </row>
    <row r="5299" spans="5:12" x14ac:dyDescent="0.2">
      <c r="E5299" s="1063"/>
      <c r="H5299" s="1066"/>
      <c r="I5299" s="1063"/>
      <c r="J5299" s="1063"/>
      <c r="K5299" s="1063"/>
      <c r="L5299" s="1063"/>
    </row>
    <row r="5300" spans="5:12" x14ac:dyDescent="0.2">
      <c r="E5300" s="1063"/>
      <c r="H5300" s="1066"/>
      <c r="I5300" s="1063"/>
      <c r="J5300" s="1063"/>
      <c r="K5300" s="1063"/>
      <c r="L5300" s="1063"/>
    </row>
    <row r="5301" spans="5:12" x14ac:dyDescent="0.2">
      <c r="E5301" s="1063"/>
      <c r="H5301" s="1066"/>
      <c r="I5301" s="1063"/>
      <c r="J5301" s="1063"/>
      <c r="K5301" s="1063"/>
      <c r="L5301" s="1063"/>
    </row>
    <row r="5302" spans="5:12" x14ac:dyDescent="0.2">
      <c r="E5302" s="1063"/>
      <c r="H5302" s="1066"/>
      <c r="I5302" s="1063"/>
      <c r="J5302" s="1063"/>
      <c r="K5302" s="1063"/>
      <c r="L5302" s="1063"/>
    </row>
    <row r="5303" spans="5:12" x14ac:dyDescent="0.2">
      <c r="E5303" s="1063"/>
      <c r="H5303" s="1066"/>
      <c r="I5303" s="1063"/>
      <c r="J5303" s="1063"/>
      <c r="K5303" s="1063"/>
      <c r="L5303" s="1063"/>
    </row>
    <row r="5304" spans="5:12" x14ac:dyDescent="0.2">
      <c r="E5304" s="1063"/>
      <c r="H5304" s="1066"/>
      <c r="I5304" s="1063"/>
      <c r="J5304" s="1063"/>
      <c r="K5304" s="1063"/>
      <c r="L5304" s="1063"/>
    </row>
    <row r="5305" spans="5:12" x14ac:dyDescent="0.2">
      <c r="E5305" s="1063"/>
      <c r="H5305" s="1066"/>
      <c r="I5305" s="1063"/>
      <c r="J5305" s="1063"/>
      <c r="K5305" s="1063"/>
      <c r="L5305" s="1063"/>
    </row>
    <row r="5306" spans="5:12" x14ac:dyDescent="0.2">
      <c r="E5306" s="1063"/>
      <c r="H5306" s="1066"/>
      <c r="I5306" s="1063"/>
      <c r="J5306" s="1063"/>
      <c r="K5306" s="1063"/>
      <c r="L5306" s="1063"/>
    </row>
    <row r="5307" spans="5:12" x14ac:dyDescent="0.2">
      <c r="E5307" s="1063"/>
      <c r="H5307" s="1066"/>
      <c r="I5307" s="1063"/>
      <c r="J5307" s="1063"/>
      <c r="K5307" s="1063"/>
      <c r="L5307" s="1063"/>
    </row>
    <row r="5308" spans="5:12" x14ac:dyDescent="0.2">
      <c r="E5308" s="1063"/>
      <c r="H5308" s="1066"/>
      <c r="I5308" s="1063"/>
      <c r="J5308" s="1063"/>
      <c r="K5308" s="1063"/>
      <c r="L5308" s="1063"/>
    </row>
    <row r="5309" spans="5:12" x14ac:dyDescent="0.2">
      <c r="E5309" s="1063"/>
      <c r="H5309" s="1066"/>
      <c r="I5309" s="1063"/>
      <c r="J5309" s="1063"/>
      <c r="K5309" s="1063"/>
      <c r="L5309" s="1063"/>
    </row>
    <row r="5310" spans="5:12" x14ac:dyDescent="0.2">
      <c r="E5310" s="1063"/>
      <c r="H5310" s="1066"/>
      <c r="I5310" s="1063"/>
      <c r="J5310" s="1063"/>
      <c r="K5310" s="1063"/>
      <c r="L5310" s="1063"/>
    </row>
    <row r="5311" spans="5:12" x14ac:dyDescent="0.2">
      <c r="E5311" s="1063"/>
      <c r="H5311" s="1066"/>
      <c r="I5311" s="1063"/>
      <c r="J5311" s="1063"/>
      <c r="K5311" s="1063"/>
      <c r="L5311" s="1063"/>
    </row>
    <row r="5312" spans="5:12" x14ac:dyDescent="0.2">
      <c r="E5312" s="1063"/>
      <c r="H5312" s="1066"/>
      <c r="I5312" s="1063"/>
      <c r="J5312" s="1063"/>
      <c r="K5312" s="1063"/>
      <c r="L5312" s="1063"/>
    </row>
    <row r="5313" spans="5:12" x14ac:dyDescent="0.2">
      <c r="E5313" s="1063"/>
      <c r="H5313" s="1066"/>
      <c r="I5313" s="1063"/>
      <c r="J5313" s="1063"/>
      <c r="K5313" s="1063"/>
      <c r="L5313" s="1063"/>
    </row>
    <row r="5314" spans="5:12" x14ac:dyDescent="0.2">
      <c r="E5314" s="1063"/>
      <c r="H5314" s="1066"/>
      <c r="I5314" s="1063"/>
      <c r="J5314" s="1063"/>
      <c r="K5314" s="1063"/>
      <c r="L5314" s="1063"/>
    </row>
    <row r="5315" spans="5:12" x14ac:dyDescent="0.2">
      <c r="E5315" s="1063"/>
      <c r="H5315" s="1066"/>
      <c r="I5315" s="1063"/>
      <c r="J5315" s="1063"/>
      <c r="K5315" s="1063"/>
      <c r="L5315" s="1063"/>
    </row>
    <row r="5316" spans="5:12" x14ac:dyDescent="0.2">
      <c r="E5316" s="1063"/>
      <c r="H5316" s="1066"/>
      <c r="I5316" s="1063"/>
      <c r="J5316" s="1063"/>
      <c r="K5316" s="1063"/>
      <c r="L5316" s="1063"/>
    </row>
    <row r="5317" spans="5:12" x14ac:dyDescent="0.2">
      <c r="E5317" s="1063"/>
      <c r="H5317" s="1066"/>
      <c r="I5317" s="1063"/>
      <c r="J5317" s="1063"/>
      <c r="K5317" s="1063"/>
      <c r="L5317" s="1063"/>
    </row>
    <row r="5318" spans="5:12" x14ac:dyDescent="0.2">
      <c r="E5318" s="1063"/>
      <c r="H5318" s="1066"/>
      <c r="I5318" s="1063"/>
      <c r="J5318" s="1063"/>
      <c r="K5318" s="1063"/>
      <c r="L5318" s="1063"/>
    </row>
    <row r="5319" spans="5:12" x14ac:dyDescent="0.2">
      <c r="E5319" s="1063"/>
      <c r="H5319" s="1066"/>
      <c r="I5319" s="1063"/>
      <c r="J5319" s="1063"/>
      <c r="K5319" s="1063"/>
      <c r="L5319" s="1063"/>
    </row>
    <row r="5320" spans="5:12" x14ac:dyDescent="0.2">
      <c r="E5320" s="1063"/>
      <c r="H5320" s="1066"/>
      <c r="I5320" s="1063"/>
      <c r="J5320" s="1063"/>
      <c r="K5320" s="1063"/>
      <c r="L5320" s="1063"/>
    </row>
    <row r="5321" spans="5:12" x14ac:dyDescent="0.2">
      <c r="E5321" s="1063"/>
      <c r="H5321" s="1066"/>
      <c r="I5321" s="1063"/>
      <c r="J5321" s="1063"/>
      <c r="K5321" s="1063"/>
      <c r="L5321" s="1063"/>
    </row>
    <row r="5322" spans="5:12" x14ac:dyDescent="0.2">
      <c r="E5322" s="1063"/>
      <c r="H5322" s="1066"/>
      <c r="I5322" s="1063"/>
      <c r="J5322" s="1063"/>
      <c r="K5322" s="1063"/>
      <c r="L5322" s="1063"/>
    </row>
    <row r="5323" spans="5:12" x14ac:dyDescent="0.2">
      <c r="E5323" s="1063"/>
      <c r="H5323" s="1066"/>
      <c r="I5323" s="1063"/>
      <c r="J5323" s="1063"/>
      <c r="K5323" s="1063"/>
      <c r="L5323" s="1063"/>
    </row>
    <row r="5324" spans="5:12" x14ac:dyDescent="0.2">
      <c r="E5324" s="1063"/>
      <c r="H5324" s="1066"/>
      <c r="I5324" s="1063"/>
      <c r="J5324" s="1063"/>
      <c r="K5324" s="1063"/>
      <c r="L5324" s="1063"/>
    </row>
    <row r="5325" spans="5:12" x14ac:dyDescent="0.2">
      <c r="E5325" s="1063"/>
      <c r="H5325" s="1066"/>
      <c r="I5325" s="1063"/>
      <c r="J5325" s="1063"/>
      <c r="K5325" s="1063"/>
      <c r="L5325" s="1063"/>
    </row>
    <row r="5326" spans="5:12" x14ac:dyDescent="0.2">
      <c r="E5326" s="1063"/>
      <c r="H5326" s="1066"/>
      <c r="I5326" s="1063"/>
      <c r="J5326" s="1063"/>
      <c r="K5326" s="1063"/>
      <c r="L5326" s="1063"/>
    </row>
    <row r="5327" spans="5:12" x14ac:dyDescent="0.2">
      <c r="E5327" s="1063"/>
      <c r="H5327" s="1066"/>
      <c r="I5327" s="1063"/>
      <c r="J5327" s="1063"/>
      <c r="K5327" s="1063"/>
      <c r="L5327" s="1063"/>
    </row>
    <row r="5328" spans="5:12" x14ac:dyDescent="0.2">
      <c r="E5328" s="1063"/>
      <c r="H5328" s="1066"/>
      <c r="I5328" s="1063"/>
      <c r="J5328" s="1063"/>
      <c r="K5328" s="1063"/>
      <c r="L5328" s="1063"/>
    </row>
    <row r="5329" spans="5:12" x14ac:dyDescent="0.2">
      <c r="E5329" s="1063"/>
      <c r="H5329" s="1066"/>
      <c r="I5329" s="1063"/>
      <c r="J5329" s="1063"/>
      <c r="K5329" s="1063"/>
      <c r="L5329" s="1063"/>
    </row>
    <row r="5330" spans="5:12" x14ac:dyDescent="0.2">
      <c r="E5330" s="1063"/>
      <c r="H5330" s="1066"/>
      <c r="I5330" s="1063"/>
      <c r="J5330" s="1063"/>
      <c r="K5330" s="1063"/>
      <c r="L5330" s="1063"/>
    </row>
    <row r="5331" spans="5:12" x14ac:dyDescent="0.2">
      <c r="E5331" s="1063"/>
      <c r="H5331" s="1066"/>
      <c r="I5331" s="1063"/>
      <c r="J5331" s="1063"/>
      <c r="K5331" s="1063"/>
      <c r="L5331" s="1063"/>
    </row>
    <row r="5332" spans="5:12" x14ac:dyDescent="0.2">
      <c r="E5332" s="1063"/>
      <c r="H5332" s="1066"/>
      <c r="I5332" s="1063"/>
      <c r="J5332" s="1063"/>
      <c r="K5332" s="1063"/>
      <c r="L5332" s="1063"/>
    </row>
    <row r="5333" spans="5:12" x14ac:dyDescent="0.2">
      <c r="E5333" s="1063"/>
      <c r="H5333" s="1066"/>
      <c r="I5333" s="1063"/>
      <c r="J5333" s="1063"/>
      <c r="K5333" s="1063"/>
      <c r="L5333" s="1063"/>
    </row>
    <row r="5334" spans="5:12" x14ac:dyDescent="0.2">
      <c r="E5334" s="1063"/>
      <c r="H5334" s="1066"/>
      <c r="I5334" s="1063"/>
      <c r="J5334" s="1063"/>
      <c r="K5334" s="1063"/>
      <c r="L5334" s="1063"/>
    </row>
    <row r="5335" spans="5:12" x14ac:dyDescent="0.2">
      <c r="E5335" s="1063"/>
      <c r="H5335" s="1066"/>
      <c r="I5335" s="1063"/>
      <c r="J5335" s="1063"/>
      <c r="K5335" s="1063"/>
      <c r="L5335" s="1063"/>
    </row>
    <row r="5336" spans="5:12" x14ac:dyDescent="0.2">
      <c r="E5336" s="1063"/>
      <c r="H5336" s="1066"/>
      <c r="I5336" s="1063"/>
      <c r="J5336" s="1063"/>
      <c r="K5336" s="1063"/>
      <c r="L5336" s="1063"/>
    </row>
    <row r="5337" spans="5:12" x14ac:dyDescent="0.2">
      <c r="E5337" s="1063"/>
      <c r="H5337" s="1066"/>
      <c r="I5337" s="1063"/>
      <c r="J5337" s="1063"/>
      <c r="K5337" s="1063"/>
      <c r="L5337" s="1063"/>
    </row>
    <row r="5338" spans="5:12" x14ac:dyDescent="0.2">
      <c r="E5338" s="1063"/>
      <c r="H5338" s="1066"/>
      <c r="I5338" s="1063"/>
      <c r="J5338" s="1063"/>
      <c r="K5338" s="1063"/>
      <c r="L5338" s="1063"/>
    </row>
    <row r="5339" spans="5:12" x14ac:dyDescent="0.2">
      <c r="E5339" s="1063"/>
      <c r="H5339" s="1066"/>
      <c r="I5339" s="1063"/>
      <c r="J5339" s="1063"/>
      <c r="K5339" s="1063"/>
      <c r="L5339" s="1063"/>
    </row>
    <row r="5340" spans="5:12" x14ac:dyDescent="0.2">
      <c r="E5340" s="1063"/>
      <c r="H5340" s="1066"/>
      <c r="I5340" s="1063"/>
      <c r="J5340" s="1063"/>
      <c r="K5340" s="1063"/>
      <c r="L5340" s="1063"/>
    </row>
    <row r="5341" spans="5:12" x14ac:dyDescent="0.2">
      <c r="E5341" s="1063"/>
      <c r="H5341" s="1066"/>
      <c r="I5341" s="1063"/>
      <c r="J5341" s="1063"/>
      <c r="K5341" s="1063"/>
      <c r="L5341" s="1063"/>
    </row>
    <row r="5342" spans="5:12" x14ac:dyDescent="0.2">
      <c r="E5342" s="1063"/>
      <c r="H5342" s="1066"/>
      <c r="I5342" s="1063"/>
      <c r="J5342" s="1063"/>
      <c r="K5342" s="1063"/>
      <c r="L5342" s="1063"/>
    </row>
    <row r="5343" spans="5:12" x14ac:dyDescent="0.2">
      <c r="E5343" s="1063"/>
      <c r="H5343" s="1066"/>
      <c r="I5343" s="1063"/>
      <c r="J5343" s="1063"/>
      <c r="K5343" s="1063"/>
      <c r="L5343" s="1063"/>
    </row>
    <row r="5344" spans="5:12" x14ac:dyDescent="0.2">
      <c r="E5344" s="1063"/>
      <c r="H5344" s="1066"/>
      <c r="I5344" s="1063"/>
      <c r="J5344" s="1063"/>
      <c r="K5344" s="1063"/>
      <c r="L5344" s="1063"/>
    </row>
    <row r="5345" spans="5:12" x14ac:dyDescent="0.2">
      <c r="E5345" s="1063"/>
      <c r="H5345" s="1066"/>
      <c r="I5345" s="1063"/>
      <c r="J5345" s="1063"/>
      <c r="K5345" s="1063"/>
      <c r="L5345" s="1063"/>
    </row>
    <row r="5346" spans="5:12" x14ac:dyDescent="0.2">
      <c r="E5346" s="1063"/>
      <c r="H5346" s="1066"/>
      <c r="I5346" s="1063"/>
      <c r="J5346" s="1063"/>
      <c r="K5346" s="1063"/>
      <c r="L5346" s="1063"/>
    </row>
    <row r="5347" spans="5:12" x14ac:dyDescent="0.2">
      <c r="E5347" s="1063"/>
      <c r="H5347" s="1066"/>
      <c r="I5347" s="1063"/>
      <c r="J5347" s="1063"/>
      <c r="K5347" s="1063"/>
      <c r="L5347" s="1063"/>
    </row>
    <row r="5348" spans="5:12" x14ac:dyDescent="0.2">
      <c r="E5348" s="1063"/>
      <c r="H5348" s="1066"/>
      <c r="I5348" s="1063"/>
      <c r="J5348" s="1063"/>
      <c r="K5348" s="1063"/>
      <c r="L5348" s="1063"/>
    </row>
    <row r="5349" spans="5:12" x14ac:dyDescent="0.2">
      <c r="E5349" s="1063"/>
      <c r="H5349" s="1066"/>
      <c r="I5349" s="1063"/>
      <c r="J5349" s="1063"/>
      <c r="K5349" s="1063"/>
      <c r="L5349" s="1063"/>
    </row>
    <row r="5350" spans="5:12" x14ac:dyDescent="0.2">
      <c r="E5350" s="1063"/>
      <c r="H5350" s="1066"/>
      <c r="I5350" s="1063"/>
      <c r="J5350" s="1063"/>
      <c r="K5350" s="1063"/>
      <c r="L5350" s="1063"/>
    </row>
    <row r="5351" spans="5:12" x14ac:dyDescent="0.2">
      <c r="E5351" s="1063"/>
      <c r="H5351" s="1066"/>
      <c r="I5351" s="1063"/>
      <c r="J5351" s="1063"/>
      <c r="K5351" s="1063"/>
      <c r="L5351" s="1063"/>
    </row>
    <row r="5352" spans="5:12" x14ac:dyDescent="0.2">
      <c r="E5352" s="1063"/>
      <c r="H5352" s="1066"/>
      <c r="I5352" s="1063"/>
      <c r="J5352" s="1063"/>
      <c r="K5352" s="1063"/>
      <c r="L5352" s="1063"/>
    </row>
    <row r="5353" spans="5:12" x14ac:dyDescent="0.2">
      <c r="E5353" s="1063"/>
      <c r="H5353" s="1066"/>
      <c r="I5353" s="1063"/>
      <c r="J5353" s="1063"/>
      <c r="K5353" s="1063"/>
      <c r="L5353" s="1063"/>
    </row>
    <row r="5354" spans="5:12" x14ac:dyDescent="0.2">
      <c r="E5354" s="1063"/>
      <c r="H5354" s="1066"/>
      <c r="I5354" s="1063"/>
      <c r="J5354" s="1063"/>
      <c r="K5354" s="1063"/>
      <c r="L5354" s="1063"/>
    </row>
    <row r="5355" spans="5:12" x14ac:dyDescent="0.2">
      <c r="E5355" s="1063"/>
      <c r="H5355" s="1066"/>
      <c r="I5355" s="1063"/>
      <c r="J5355" s="1063"/>
      <c r="K5355" s="1063"/>
      <c r="L5355" s="1063"/>
    </row>
    <row r="5356" spans="5:12" x14ac:dyDescent="0.2">
      <c r="E5356" s="1063"/>
      <c r="H5356" s="1066"/>
      <c r="I5356" s="1063"/>
      <c r="J5356" s="1063"/>
      <c r="K5356" s="1063"/>
      <c r="L5356" s="1063"/>
    </row>
    <row r="5357" spans="5:12" x14ac:dyDescent="0.2">
      <c r="E5357" s="1063"/>
      <c r="H5357" s="1066"/>
      <c r="I5357" s="1063"/>
      <c r="J5357" s="1063"/>
      <c r="K5357" s="1063"/>
      <c r="L5357" s="1063"/>
    </row>
    <row r="5358" spans="5:12" x14ac:dyDescent="0.2">
      <c r="E5358" s="1063"/>
      <c r="H5358" s="1066"/>
      <c r="I5358" s="1063"/>
      <c r="J5358" s="1063"/>
      <c r="K5358" s="1063"/>
      <c r="L5358" s="1063"/>
    </row>
    <row r="5359" spans="5:12" x14ac:dyDescent="0.2">
      <c r="E5359" s="1063"/>
      <c r="H5359" s="1066"/>
      <c r="I5359" s="1063"/>
      <c r="J5359" s="1063"/>
      <c r="K5359" s="1063"/>
      <c r="L5359" s="1063"/>
    </row>
    <row r="5360" spans="5:12" x14ac:dyDescent="0.2">
      <c r="E5360" s="1063"/>
      <c r="H5360" s="1066"/>
      <c r="I5360" s="1063"/>
      <c r="J5360" s="1063"/>
      <c r="K5360" s="1063"/>
      <c r="L5360" s="1063"/>
    </row>
    <row r="5361" spans="5:12" x14ac:dyDescent="0.2">
      <c r="E5361" s="1063"/>
      <c r="H5361" s="1066"/>
      <c r="I5361" s="1063"/>
      <c r="J5361" s="1063"/>
      <c r="K5361" s="1063"/>
      <c r="L5361" s="1063"/>
    </row>
    <row r="5362" spans="5:12" x14ac:dyDescent="0.2">
      <c r="E5362" s="1063"/>
      <c r="H5362" s="1066"/>
      <c r="I5362" s="1063"/>
      <c r="J5362" s="1063"/>
      <c r="K5362" s="1063"/>
      <c r="L5362" s="1063"/>
    </row>
    <row r="5363" spans="5:12" x14ac:dyDescent="0.2">
      <c r="E5363" s="1063"/>
      <c r="H5363" s="1066"/>
      <c r="I5363" s="1063"/>
      <c r="J5363" s="1063"/>
      <c r="K5363" s="1063"/>
      <c r="L5363" s="1063"/>
    </row>
    <row r="5364" spans="5:12" x14ac:dyDescent="0.2">
      <c r="E5364" s="1063"/>
      <c r="H5364" s="1066"/>
      <c r="I5364" s="1063"/>
      <c r="J5364" s="1063"/>
      <c r="K5364" s="1063"/>
      <c r="L5364" s="1063"/>
    </row>
    <row r="5365" spans="5:12" x14ac:dyDescent="0.2">
      <c r="E5365" s="1063"/>
      <c r="H5365" s="1066"/>
      <c r="I5365" s="1063"/>
      <c r="J5365" s="1063"/>
      <c r="K5365" s="1063"/>
      <c r="L5365" s="1063"/>
    </row>
    <row r="5366" spans="5:12" x14ac:dyDescent="0.2">
      <c r="E5366" s="1063"/>
      <c r="H5366" s="1066"/>
      <c r="I5366" s="1063"/>
      <c r="J5366" s="1063"/>
      <c r="K5366" s="1063"/>
      <c r="L5366" s="1063"/>
    </row>
    <row r="5367" spans="5:12" x14ac:dyDescent="0.2">
      <c r="E5367" s="1063"/>
      <c r="H5367" s="1066"/>
      <c r="I5367" s="1063"/>
      <c r="J5367" s="1063"/>
      <c r="K5367" s="1063"/>
      <c r="L5367" s="1063"/>
    </row>
    <row r="5368" spans="5:12" x14ac:dyDescent="0.2">
      <c r="E5368" s="1063"/>
      <c r="H5368" s="1066"/>
      <c r="I5368" s="1063"/>
      <c r="J5368" s="1063"/>
      <c r="K5368" s="1063"/>
      <c r="L5368" s="1063"/>
    </row>
    <row r="5369" spans="5:12" x14ac:dyDescent="0.2">
      <c r="E5369" s="1063"/>
      <c r="H5369" s="1066"/>
      <c r="I5369" s="1063"/>
      <c r="J5369" s="1063"/>
      <c r="K5369" s="1063"/>
      <c r="L5369" s="1063"/>
    </row>
    <row r="5370" spans="5:12" x14ac:dyDescent="0.2">
      <c r="E5370" s="1063"/>
      <c r="H5370" s="1066"/>
      <c r="I5370" s="1063"/>
      <c r="J5370" s="1063"/>
      <c r="K5370" s="1063"/>
      <c r="L5370" s="1063"/>
    </row>
    <row r="5371" spans="5:12" x14ac:dyDescent="0.2">
      <c r="E5371" s="1063"/>
      <c r="H5371" s="1066"/>
      <c r="I5371" s="1063"/>
      <c r="J5371" s="1063"/>
      <c r="K5371" s="1063"/>
      <c r="L5371" s="1063"/>
    </row>
    <row r="5372" spans="5:12" x14ac:dyDescent="0.2">
      <c r="E5372" s="1063"/>
      <c r="H5372" s="1066"/>
      <c r="I5372" s="1063"/>
      <c r="J5372" s="1063"/>
      <c r="K5372" s="1063"/>
      <c r="L5372" s="1063"/>
    </row>
    <row r="5373" spans="5:12" x14ac:dyDescent="0.2">
      <c r="E5373" s="1063"/>
      <c r="H5373" s="1066"/>
      <c r="I5373" s="1063"/>
      <c r="J5373" s="1063"/>
      <c r="K5373" s="1063"/>
      <c r="L5373" s="1063"/>
    </row>
    <row r="5374" spans="5:12" x14ac:dyDescent="0.2">
      <c r="E5374" s="1063"/>
      <c r="H5374" s="1066"/>
      <c r="I5374" s="1063"/>
      <c r="J5374" s="1063"/>
      <c r="K5374" s="1063"/>
      <c r="L5374" s="1063"/>
    </row>
    <row r="5375" spans="5:12" x14ac:dyDescent="0.2">
      <c r="E5375" s="1063"/>
      <c r="H5375" s="1066"/>
      <c r="I5375" s="1063"/>
      <c r="J5375" s="1063"/>
      <c r="K5375" s="1063"/>
      <c r="L5375" s="1063"/>
    </row>
    <row r="5376" spans="5:12" x14ac:dyDescent="0.2">
      <c r="E5376" s="1063"/>
      <c r="H5376" s="1066"/>
      <c r="I5376" s="1063"/>
      <c r="J5376" s="1063"/>
      <c r="K5376" s="1063"/>
      <c r="L5376" s="1063"/>
    </row>
    <row r="5377" spans="5:12" x14ac:dyDescent="0.2">
      <c r="E5377" s="1063"/>
      <c r="H5377" s="1066"/>
      <c r="I5377" s="1063"/>
      <c r="J5377" s="1063"/>
      <c r="K5377" s="1063"/>
      <c r="L5377" s="1063"/>
    </row>
    <row r="5378" spans="5:12" x14ac:dyDescent="0.2">
      <c r="E5378" s="1063"/>
      <c r="H5378" s="1066"/>
      <c r="I5378" s="1063"/>
      <c r="J5378" s="1063"/>
      <c r="K5378" s="1063"/>
      <c r="L5378" s="1063"/>
    </row>
    <row r="5379" spans="5:12" x14ac:dyDescent="0.2">
      <c r="E5379" s="1063"/>
      <c r="H5379" s="1066"/>
      <c r="I5379" s="1063"/>
      <c r="J5379" s="1063"/>
      <c r="K5379" s="1063"/>
      <c r="L5379" s="1063"/>
    </row>
    <row r="5380" spans="5:12" x14ac:dyDescent="0.2">
      <c r="E5380" s="1063"/>
      <c r="H5380" s="1066"/>
      <c r="I5380" s="1063"/>
      <c r="J5380" s="1063"/>
      <c r="K5380" s="1063"/>
      <c r="L5380" s="1063"/>
    </row>
    <row r="5381" spans="5:12" x14ac:dyDescent="0.2">
      <c r="E5381" s="1063"/>
      <c r="H5381" s="1066"/>
      <c r="I5381" s="1063"/>
      <c r="J5381" s="1063"/>
      <c r="K5381" s="1063"/>
      <c r="L5381" s="1063"/>
    </row>
    <row r="5382" spans="5:12" x14ac:dyDescent="0.2">
      <c r="E5382" s="1063"/>
      <c r="H5382" s="1066"/>
      <c r="I5382" s="1063"/>
      <c r="J5382" s="1063"/>
      <c r="K5382" s="1063"/>
      <c r="L5382" s="1063"/>
    </row>
    <row r="5383" spans="5:12" x14ac:dyDescent="0.2">
      <c r="E5383" s="1063"/>
      <c r="H5383" s="1066"/>
      <c r="I5383" s="1063"/>
      <c r="J5383" s="1063"/>
      <c r="K5383" s="1063"/>
      <c r="L5383" s="1063"/>
    </row>
    <row r="5384" spans="5:12" x14ac:dyDescent="0.2">
      <c r="E5384" s="1063"/>
      <c r="H5384" s="1066"/>
      <c r="I5384" s="1063"/>
      <c r="J5384" s="1063"/>
      <c r="K5384" s="1063"/>
      <c r="L5384" s="1063"/>
    </row>
    <row r="5385" spans="5:12" x14ac:dyDescent="0.2">
      <c r="E5385" s="1063"/>
      <c r="H5385" s="1066"/>
      <c r="I5385" s="1063"/>
      <c r="J5385" s="1063"/>
      <c r="K5385" s="1063"/>
      <c r="L5385" s="1063"/>
    </row>
    <row r="5386" spans="5:12" x14ac:dyDescent="0.2">
      <c r="E5386" s="1063"/>
      <c r="H5386" s="1066"/>
      <c r="I5386" s="1063"/>
      <c r="J5386" s="1063"/>
      <c r="K5386" s="1063"/>
      <c r="L5386" s="1063"/>
    </row>
    <row r="5387" spans="5:12" x14ac:dyDescent="0.2">
      <c r="E5387" s="1063"/>
      <c r="H5387" s="1066"/>
      <c r="I5387" s="1063"/>
      <c r="J5387" s="1063"/>
      <c r="K5387" s="1063"/>
      <c r="L5387" s="1063"/>
    </row>
    <row r="5388" spans="5:12" x14ac:dyDescent="0.2">
      <c r="E5388" s="1063"/>
      <c r="H5388" s="1066"/>
      <c r="I5388" s="1063"/>
      <c r="J5388" s="1063"/>
      <c r="K5388" s="1063"/>
      <c r="L5388" s="1063"/>
    </row>
    <row r="5389" spans="5:12" x14ac:dyDescent="0.2">
      <c r="E5389" s="1063"/>
      <c r="H5389" s="1066"/>
      <c r="I5389" s="1063"/>
      <c r="J5389" s="1063"/>
      <c r="K5389" s="1063"/>
      <c r="L5389" s="1063"/>
    </row>
    <row r="5390" spans="5:12" x14ac:dyDescent="0.2">
      <c r="E5390" s="1063"/>
      <c r="H5390" s="1066"/>
      <c r="I5390" s="1063"/>
      <c r="J5390" s="1063"/>
      <c r="K5390" s="1063"/>
      <c r="L5390" s="1063"/>
    </row>
    <row r="5391" spans="5:12" x14ac:dyDescent="0.2">
      <c r="E5391" s="1063"/>
      <c r="H5391" s="1066"/>
      <c r="I5391" s="1063"/>
      <c r="J5391" s="1063"/>
      <c r="K5391" s="1063"/>
      <c r="L5391" s="1063"/>
    </row>
    <row r="5392" spans="5:12" x14ac:dyDescent="0.2">
      <c r="E5392" s="1063"/>
      <c r="H5392" s="1066"/>
      <c r="I5392" s="1063"/>
      <c r="J5392" s="1063"/>
      <c r="K5392" s="1063"/>
      <c r="L5392" s="1063"/>
    </row>
    <row r="5393" spans="5:12" x14ac:dyDescent="0.2">
      <c r="E5393" s="1063"/>
      <c r="H5393" s="1066"/>
      <c r="I5393" s="1063"/>
      <c r="J5393" s="1063"/>
      <c r="K5393" s="1063"/>
      <c r="L5393" s="1063"/>
    </row>
    <row r="5394" spans="5:12" x14ac:dyDescent="0.2">
      <c r="E5394" s="1063"/>
      <c r="H5394" s="1066"/>
      <c r="I5394" s="1063"/>
      <c r="J5394" s="1063"/>
      <c r="K5394" s="1063"/>
      <c r="L5394" s="1063"/>
    </row>
    <row r="5395" spans="5:12" x14ac:dyDescent="0.2">
      <c r="E5395" s="1063"/>
      <c r="H5395" s="1066"/>
      <c r="I5395" s="1063"/>
      <c r="J5395" s="1063"/>
      <c r="K5395" s="1063"/>
      <c r="L5395" s="1063"/>
    </row>
    <row r="5396" spans="5:12" x14ac:dyDescent="0.2">
      <c r="E5396" s="1063"/>
      <c r="H5396" s="1066"/>
      <c r="I5396" s="1063"/>
      <c r="J5396" s="1063"/>
      <c r="K5396" s="1063"/>
      <c r="L5396" s="1063"/>
    </row>
    <row r="5397" spans="5:12" x14ac:dyDescent="0.2">
      <c r="E5397" s="1063"/>
      <c r="H5397" s="1066"/>
      <c r="I5397" s="1063"/>
      <c r="J5397" s="1063"/>
      <c r="K5397" s="1063"/>
      <c r="L5397" s="1063"/>
    </row>
    <row r="5398" spans="5:12" x14ac:dyDescent="0.2">
      <c r="E5398" s="1063"/>
      <c r="H5398" s="1066"/>
      <c r="I5398" s="1063"/>
      <c r="J5398" s="1063"/>
      <c r="K5398" s="1063"/>
      <c r="L5398" s="1063"/>
    </row>
    <row r="5399" spans="5:12" x14ac:dyDescent="0.2">
      <c r="E5399" s="1063"/>
      <c r="H5399" s="1066"/>
      <c r="I5399" s="1063"/>
      <c r="J5399" s="1063"/>
      <c r="K5399" s="1063"/>
      <c r="L5399" s="1063"/>
    </row>
    <row r="5400" spans="5:12" x14ac:dyDescent="0.2">
      <c r="E5400" s="1063"/>
      <c r="H5400" s="1066"/>
      <c r="I5400" s="1063"/>
      <c r="J5400" s="1063"/>
      <c r="K5400" s="1063"/>
      <c r="L5400" s="1063"/>
    </row>
    <row r="5401" spans="5:12" x14ac:dyDescent="0.2">
      <c r="E5401" s="1063"/>
      <c r="H5401" s="1066"/>
      <c r="I5401" s="1063"/>
      <c r="J5401" s="1063"/>
      <c r="K5401" s="1063"/>
      <c r="L5401" s="1063"/>
    </row>
    <row r="5402" spans="5:12" x14ac:dyDescent="0.2">
      <c r="E5402" s="1063"/>
      <c r="H5402" s="1066"/>
      <c r="I5402" s="1063"/>
      <c r="J5402" s="1063"/>
      <c r="K5402" s="1063"/>
      <c r="L5402" s="1063"/>
    </row>
    <row r="5403" spans="5:12" x14ac:dyDescent="0.2">
      <c r="E5403" s="1063"/>
      <c r="H5403" s="1066"/>
      <c r="I5403" s="1063"/>
      <c r="J5403" s="1063"/>
      <c r="K5403" s="1063"/>
      <c r="L5403" s="1063"/>
    </row>
    <row r="5404" spans="5:12" x14ac:dyDescent="0.2">
      <c r="E5404" s="1063"/>
      <c r="H5404" s="1066"/>
      <c r="I5404" s="1063"/>
      <c r="J5404" s="1063"/>
      <c r="K5404" s="1063"/>
      <c r="L5404" s="1063"/>
    </row>
    <row r="5405" spans="5:12" x14ac:dyDescent="0.2">
      <c r="E5405" s="1063"/>
      <c r="H5405" s="1066"/>
      <c r="I5405" s="1063"/>
      <c r="J5405" s="1063"/>
      <c r="K5405" s="1063"/>
      <c r="L5405" s="1063"/>
    </row>
    <row r="5406" spans="5:12" x14ac:dyDescent="0.2">
      <c r="E5406" s="1063"/>
      <c r="H5406" s="1066"/>
      <c r="I5406" s="1063"/>
      <c r="J5406" s="1063"/>
      <c r="K5406" s="1063"/>
      <c r="L5406" s="1063"/>
    </row>
    <row r="5407" spans="5:12" x14ac:dyDescent="0.2">
      <c r="E5407" s="1063"/>
      <c r="H5407" s="1066"/>
      <c r="I5407" s="1063"/>
      <c r="J5407" s="1063"/>
      <c r="K5407" s="1063"/>
      <c r="L5407" s="1063"/>
    </row>
    <row r="5408" spans="5:12" x14ac:dyDescent="0.2">
      <c r="E5408" s="1063"/>
      <c r="H5408" s="1066"/>
      <c r="I5408" s="1063"/>
      <c r="J5408" s="1063"/>
      <c r="K5408" s="1063"/>
      <c r="L5408" s="1063"/>
    </row>
    <row r="5409" spans="5:12" x14ac:dyDescent="0.2">
      <c r="E5409" s="1063"/>
      <c r="H5409" s="1066"/>
      <c r="I5409" s="1063"/>
      <c r="J5409" s="1063"/>
      <c r="K5409" s="1063"/>
      <c r="L5409" s="1063"/>
    </row>
    <row r="5410" spans="5:12" x14ac:dyDescent="0.2">
      <c r="E5410" s="1063"/>
      <c r="H5410" s="1066"/>
      <c r="I5410" s="1063"/>
      <c r="J5410" s="1063"/>
      <c r="K5410" s="1063"/>
      <c r="L5410" s="1063"/>
    </row>
    <row r="5411" spans="5:12" x14ac:dyDescent="0.2">
      <c r="E5411" s="1063"/>
      <c r="H5411" s="1066"/>
      <c r="I5411" s="1063"/>
      <c r="J5411" s="1063"/>
      <c r="K5411" s="1063"/>
      <c r="L5411" s="1063"/>
    </row>
    <row r="5412" spans="5:12" x14ac:dyDescent="0.2">
      <c r="E5412" s="1063"/>
      <c r="H5412" s="1066"/>
      <c r="I5412" s="1063"/>
      <c r="J5412" s="1063"/>
      <c r="K5412" s="1063"/>
      <c r="L5412" s="1063"/>
    </row>
    <row r="5413" spans="5:12" x14ac:dyDescent="0.2">
      <c r="E5413" s="1063"/>
      <c r="H5413" s="1066"/>
      <c r="I5413" s="1063"/>
      <c r="J5413" s="1063"/>
      <c r="K5413" s="1063"/>
      <c r="L5413" s="1063"/>
    </row>
    <row r="5414" spans="5:12" x14ac:dyDescent="0.2">
      <c r="E5414" s="1063"/>
      <c r="H5414" s="1066"/>
      <c r="I5414" s="1063"/>
      <c r="J5414" s="1063"/>
      <c r="K5414" s="1063"/>
      <c r="L5414" s="1063"/>
    </row>
    <row r="5415" spans="5:12" x14ac:dyDescent="0.2">
      <c r="E5415" s="1063"/>
      <c r="H5415" s="1066"/>
      <c r="I5415" s="1063"/>
      <c r="J5415" s="1063"/>
      <c r="K5415" s="1063"/>
      <c r="L5415" s="1063"/>
    </row>
    <row r="5416" spans="5:12" x14ac:dyDescent="0.2">
      <c r="E5416" s="1063"/>
      <c r="H5416" s="1066"/>
      <c r="I5416" s="1063"/>
      <c r="J5416" s="1063"/>
      <c r="K5416" s="1063"/>
      <c r="L5416" s="1063"/>
    </row>
    <row r="5417" spans="5:12" x14ac:dyDescent="0.2">
      <c r="E5417" s="1063"/>
      <c r="H5417" s="1066"/>
      <c r="I5417" s="1063"/>
      <c r="J5417" s="1063"/>
      <c r="K5417" s="1063"/>
      <c r="L5417" s="1063"/>
    </row>
    <row r="5418" spans="5:12" x14ac:dyDescent="0.2">
      <c r="E5418" s="1063"/>
      <c r="H5418" s="1066"/>
      <c r="I5418" s="1063"/>
      <c r="J5418" s="1063"/>
      <c r="K5418" s="1063"/>
      <c r="L5418" s="1063"/>
    </row>
    <row r="5419" spans="5:12" x14ac:dyDescent="0.2">
      <c r="E5419" s="1063"/>
      <c r="H5419" s="1066"/>
      <c r="I5419" s="1063"/>
      <c r="J5419" s="1063"/>
      <c r="K5419" s="1063"/>
      <c r="L5419" s="1063"/>
    </row>
    <row r="5420" spans="5:12" x14ac:dyDescent="0.2">
      <c r="E5420" s="1063"/>
      <c r="H5420" s="1066"/>
      <c r="I5420" s="1063"/>
      <c r="J5420" s="1063"/>
      <c r="K5420" s="1063"/>
      <c r="L5420" s="1063"/>
    </row>
    <row r="5421" spans="5:12" x14ac:dyDescent="0.2">
      <c r="E5421" s="1063"/>
      <c r="H5421" s="1066"/>
      <c r="I5421" s="1063"/>
      <c r="J5421" s="1063"/>
      <c r="K5421" s="1063"/>
      <c r="L5421" s="1063"/>
    </row>
    <row r="5422" spans="5:12" x14ac:dyDescent="0.2">
      <c r="E5422" s="1063"/>
      <c r="H5422" s="1066"/>
      <c r="I5422" s="1063"/>
      <c r="J5422" s="1063"/>
      <c r="K5422" s="1063"/>
      <c r="L5422" s="1063"/>
    </row>
    <row r="5423" spans="5:12" x14ac:dyDescent="0.2">
      <c r="E5423" s="1063"/>
      <c r="H5423" s="1066"/>
      <c r="I5423" s="1063"/>
      <c r="J5423" s="1063"/>
      <c r="K5423" s="1063"/>
      <c r="L5423" s="1063"/>
    </row>
    <row r="5424" spans="5:12" x14ac:dyDescent="0.2">
      <c r="E5424" s="1063"/>
      <c r="H5424" s="1066"/>
      <c r="I5424" s="1063"/>
      <c r="J5424" s="1063"/>
      <c r="K5424" s="1063"/>
      <c r="L5424" s="1063"/>
    </row>
    <row r="5425" spans="5:12" x14ac:dyDescent="0.2">
      <c r="E5425" s="1063"/>
      <c r="H5425" s="1066"/>
      <c r="I5425" s="1063"/>
      <c r="J5425" s="1063"/>
      <c r="K5425" s="1063"/>
      <c r="L5425" s="1063"/>
    </row>
    <row r="5426" spans="5:12" x14ac:dyDescent="0.2">
      <c r="E5426" s="1063"/>
      <c r="H5426" s="1066"/>
      <c r="I5426" s="1063"/>
      <c r="J5426" s="1063"/>
      <c r="K5426" s="1063"/>
      <c r="L5426" s="1063"/>
    </row>
    <row r="5427" spans="5:12" x14ac:dyDescent="0.2">
      <c r="E5427" s="1063"/>
      <c r="H5427" s="1066"/>
      <c r="I5427" s="1063"/>
      <c r="J5427" s="1063"/>
      <c r="K5427" s="1063"/>
      <c r="L5427" s="1063"/>
    </row>
    <row r="5428" spans="5:12" x14ac:dyDescent="0.2">
      <c r="E5428" s="1063"/>
      <c r="H5428" s="1066"/>
      <c r="I5428" s="1063"/>
      <c r="J5428" s="1063"/>
      <c r="K5428" s="1063"/>
      <c r="L5428" s="1063"/>
    </row>
    <row r="5429" spans="5:12" x14ac:dyDescent="0.2">
      <c r="E5429" s="1063"/>
      <c r="H5429" s="1066"/>
      <c r="I5429" s="1063"/>
      <c r="J5429" s="1063"/>
      <c r="K5429" s="1063"/>
      <c r="L5429" s="1063"/>
    </row>
    <row r="5430" spans="5:12" x14ac:dyDescent="0.2">
      <c r="E5430" s="1063"/>
      <c r="H5430" s="1066"/>
      <c r="I5430" s="1063"/>
      <c r="J5430" s="1063"/>
      <c r="K5430" s="1063"/>
      <c r="L5430" s="1063"/>
    </row>
    <row r="5431" spans="5:12" x14ac:dyDescent="0.2">
      <c r="E5431" s="1063"/>
      <c r="H5431" s="1066"/>
      <c r="I5431" s="1063"/>
      <c r="J5431" s="1063"/>
      <c r="K5431" s="1063"/>
      <c r="L5431" s="1063"/>
    </row>
    <row r="5432" spans="5:12" x14ac:dyDescent="0.2">
      <c r="E5432" s="1063"/>
      <c r="H5432" s="1066"/>
      <c r="I5432" s="1063"/>
      <c r="J5432" s="1063"/>
      <c r="K5432" s="1063"/>
      <c r="L5432" s="1063"/>
    </row>
    <row r="5433" spans="5:12" x14ac:dyDescent="0.2">
      <c r="E5433" s="1063"/>
      <c r="H5433" s="1066"/>
      <c r="I5433" s="1063"/>
      <c r="J5433" s="1063"/>
      <c r="K5433" s="1063"/>
      <c r="L5433" s="1063"/>
    </row>
    <row r="5434" spans="5:12" x14ac:dyDescent="0.2">
      <c r="E5434" s="1063"/>
      <c r="H5434" s="1066"/>
      <c r="I5434" s="1063"/>
      <c r="J5434" s="1063"/>
      <c r="K5434" s="1063"/>
      <c r="L5434" s="1063"/>
    </row>
    <row r="5435" spans="5:12" x14ac:dyDescent="0.2">
      <c r="E5435" s="1063"/>
      <c r="H5435" s="1066"/>
      <c r="I5435" s="1063"/>
      <c r="J5435" s="1063"/>
      <c r="K5435" s="1063"/>
      <c r="L5435" s="1063"/>
    </row>
    <row r="5436" spans="5:12" x14ac:dyDescent="0.2">
      <c r="E5436" s="1063"/>
      <c r="H5436" s="1066"/>
      <c r="I5436" s="1063"/>
      <c r="J5436" s="1063"/>
      <c r="K5436" s="1063"/>
      <c r="L5436" s="1063"/>
    </row>
    <row r="5437" spans="5:12" x14ac:dyDescent="0.2">
      <c r="E5437" s="1063"/>
      <c r="H5437" s="1066"/>
      <c r="I5437" s="1063"/>
      <c r="J5437" s="1063"/>
      <c r="K5437" s="1063"/>
      <c r="L5437" s="1063"/>
    </row>
    <row r="5438" spans="5:12" x14ac:dyDescent="0.2">
      <c r="E5438" s="1063"/>
      <c r="H5438" s="1066"/>
      <c r="I5438" s="1063"/>
      <c r="J5438" s="1063"/>
      <c r="K5438" s="1063"/>
      <c r="L5438" s="1063"/>
    </row>
    <row r="5439" spans="5:12" x14ac:dyDescent="0.2">
      <c r="E5439" s="1063"/>
      <c r="H5439" s="1066"/>
      <c r="I5439" s="1063"/>
      <c r="J5439" s="1063"/>
      <c r="K5439" s="1063"/>
      <c r="L5439" s="1063"/>
    </row>
    <row r="5440" spans="5:12" x14ac:dyDescent="0.2">
      <c r="E5440" s="1063"/>
      <c r="H5440" s="1066"/>
      <c r="I5440" s="1063"/>
      <c r="J5440" s="1063"/>
      <c r="K5440" s="1063"/>
      <c r="L5440" s="1063"/>
    </row>
    <row r="5441" spans="5:12" x14ac:dyDescent="0.2">
      <c r="E5441" s="1063"/>
      <c r="H5441" s="1066"/>
      <c r="I5441" s="1063"/>
      <c r="J5441" s="1063"/>
      <c r="K5441" s="1063"/>
      <c r="L5441" s="1063"/>
    </row>
    <row r="5442" spans="5:12" x14ac:dyDescent="0.2">
      <c r="E5442" s="1063"/>
      <c r="H5442" s="1066"/>
      <c r="I5442" s="1063"/>
      <c r="J5442" s="1063"/>
      <c r="K5442" s="1063"/>
      <c r="L5442" s="1063"/>
    </row>
    <row r="5443" spans="5:12" x14ac:dyDescent="0.2">
      <c r="E5443" s="1063"/>
      <c r="H5443" s="1066"/>
      <c r="I5443" s="1063"/>
      <c r="J5443" s="1063"/>
      <c r="K5443" s="1063"/>
      <c r="L5443" s="1063"/>
    </row>
    <row r="5444" spans="5:12" x14ac:dyDescent="0.2">
      <c r="E5444" s="1063"/>
      <c r="H5444" s="1066"/>
      <c r="I5444" s="1063"/>
      <c r="J5444" s="1063"/>
      <c r="K5444" s="1063"/>
      <c r="L5444" s="1063"/>
    </row>
    <row r="5445" spans="5:12" x14ac:dyDescent="0.2">
      <c r="E5445" s="1063"/>
      <c r="H5445" s="1066"/>
      <c r="I5445" s="1063"/>
      <c r="J5445" s="1063"/>
      <c r="K5445" s="1063"/>
      <c r="L5445" s="1063"/>
    </row>
    <row r="5446" spans="5:12" x14ac:dyDescent="0.2">
      <c r="E5446" s="1063"/>
      <c r="H5446" s="1066"/>
      <c r="I5446" s="1063"/>
      <c r="J5446" s="1063"/>
      <c r="K5446" s="1063"/>
      <c r="L5446" s="1063"/>
    </row>
    <row r="5447" spans="5:12" x14ac:dyDescent="0.2">
      <c r="E5447" s="1063"/>
      <c r="H5447" s="1066"/>
      <c r="I5447" s="1063"/>
      <c r="J5447" s="1063"/>
      <c r="K5447" s="1063"/>
      <c r="L5447" s="1063"/>
    </row>
    <row r="5448" spans="5:12" x14ac:dyDescent="0.2">
      <c r="E5448" s="1063"/>
      <c r="H5448" s="1066"/>
      <c r="I5448" s="1063"/>
      <c r="J5448" s="1063"/>
      <c r="K5448" s="1063"/>
      <c r="L5448" s="1063"/>
    </row>
    <row r="5449" spans="5:12" x14ac:dyDescent="0.2">
      <c r="E5449" s="1063"/>
      <c r="H5449" s="1066"/>
      <c r="I5449" s="1063"/>
      <c r="J5449" s="1063"/>
      <c r="K5449" s="1063"/>
      <c r="L5449" s="1063"/>
    </row>
    <row r="5450" spans="5:12" x14ac:dyDescent="0.2">
      <c r="E5450" s="1063"/>
      <c r="H5450" s="1066"/>
      <c r="I5450" s="1063"/>
      <c r="J5450" s="1063"/>
      <c r="K5450" s="1063"/>
      <c r="L5450" s="1063"/>
    </row>
    <row r="5451" spans="5:12" x14ac:dyDescent="0.2">
      <c r="E5451" s="1063"/>
      <c r="H5451" s="1066"/>
      <c r="I5451" s="1063"/>
      <c r="J5451" s="1063"/>
      <c r="K5451" s="1063"/>
      <c r="L5451" s="1063"/>
    </row>
    <row r="5452" spans="5:12" x14ac:dyDescent="0.2">
      <c r="E5452" s="1063"/>
      <c r="H5452" s="1066"/>
      <c r="I5452" s="1063"/>
      <c r="J5452" s="1063"/>
      <c r="K5452" s="1063"/>
      <c r="L5452" s="1063"/>
    </row>
    <row r="5453" spans="5:12" x14ac:dyDescent="0.2">
      <c r="E5453" s="1063"/>
      <c r="H5453" s="1066"/>
      <c r="I5453" s="1063"/>
      <c r="J5453" s="1063"/>
      <c r="K5453" s="1063"/>
      <c r="L5453" s="1063"/>
    </row>
    <row r="5454" spans="5:12" x14ac:dyDescent="0.2">
      <c r="E5454" s="1063"/>
      <c r="H5454" s="1066"/>
      <c r="I5454" s="1063"/>
      <c r="J5454" s="1063"/>
      <c r="K5454" s="1063"/>
      <c r="L5454" s="1063"/>
    </row>
    <row r="5455" spans="5:12" x14ac:dyDescent="0.2">
      <c r="E5455" s="1063"/>
      <c r="H5455" s="1066"/>
      <c r="I5455" s="1063"/>
      <c r="J5455" s="1063"/>
      <c r="K5455" s="1063"/>
      <c r="L5455" s="1063"/>
    </row>
    <row r="5456" spans="5:12" x14ac:dyDescent="0.2">
      <c r="E5456" s="1063"/>
      <c r="H5456" s="1066"/>
      <c r="I5456" s="1063"/>
      <c r="J5456" s="1063"/>
      <c r="K5456" s="1063"/>
      <c r="L5456" s="1063"/>
    </row>
    <row r="5457" spans="5:12" x14ac:dyDescent="0.2">
      <c r="E5457" s="1063"/>
      <c r="H5457" s="1066"/>
      <c r="I5457" s="1063"/>
      <c r="J5457" s="1063"/>
      <c r="K5457" s="1063"/>
      <c r="L5457" s="1063"/>
    </row>
    <row r="5458" spans="5:12" x14ac:dyDescent="0.2">
      <c r="E5458" s="1063"/>
      <c r="H5458" s="1066"/>
      <c r="I5458" s="1063"/>
      <c r="J5458" s="1063"/>
      <c r="K5458" s="1063"/>
      <c r="L5458" s="1063"/>
    </row>
    <row r="5459" spans="5:12" x14ac:dyDescent="0.2">
      <c r="E5459" s="1063"/>
      <c r="H5459" s="1066"/>
      <c r="I5459" s="1063"/>
      <c r="J5459" s="1063"/>
      <c r="K5459" s="1063"/>
      <c r="L5459" s="1063"/>
    </row>
    <row r="5460" spans="5:12" x14ac:dyDescent="0.2">
      <c r="E5460" s="1063"/>
      <c r="H5460" s="1066"/>
      <c r="I5460" s="1063"/>
      <c r="J5460" s="1063"/>
      <c r="K5460" s="1063"/>
      <c r="L5460" s="1063"/>
    </row>
    <row r="5461" spans="5:12" x14ac:dyDescent="0.2">
      <c r="E5461" s="1063"/>
      <c r="H5461" s="1066"/>
      <c r="I5461" s="1063"/>
      <c r="J5461" s="1063"/>
      <c r="K5461" s="1063"/>
      <c r="L5461" s="1063"/>
    </row>
    <row r="5462" spans="5:12" x14ac:dyDescent="0.2">
      <c r="E5462" s="1063"/>
      <c r="H5462" s="1066"/>
      <c r="I5462" s="1063"/>
      <c r="J5462" s="1063"/>
      <c r="K5462" s="1063"/>
      <c r="L5462" s="1063"/>
    </row>
    <row r="5463" spans="5:12" x14ac:dyDescent="0.2">
      <c r="E5463" s="1063"/>
      <c r="H5463" s="1066"/>
      <c r="I5463" s="1063"/>
      <c r="J5463" s="1063"/>
      <c r="K5463" s="1063"/>
      <c r="L5463" s="1063"/>
    </row>
    <row r="5464" spans="5:12" x14ac:dyDescent="0.2">
      <c r="E5464" s="1063"/>
      <c r="H5464" s="1066"/>
      <c r="I5464" s="1063"/>
      <c r="J5464" s="1063"/>
      <c r="K5464" s="1063"/>
      <c r="L5464" s="1063"/>
    </row>
    <row r="5465" spans="5:12" x14ac:dyDescent="0.2">
      <c r="E5465" s="1063"/>
      <c r="H5465" s="1066"/>
      <c r="I5465" s="1063"/>
      <c r="J5465" s="1063"/>
      <c r="K5465" s="1063"/>
      <c r="L5465" s="1063"/>
    </row>
    <row r="5466" spans="5:12" x14ac:dyDescent="0.2">
      <c r="E5466" s="1063"/>
      <c r="H5466" s="1066"/>
      <c r="I5466" s="1063"/>
      <c r="J5466" s="1063"/>
      <c r="K5466" s="1063"/>
      <c r="L5466" s="1063"/>
    </row>
    <row r="5467" spans="5:12" x14ac:dyDescent="0.2">
      <c r="E5467" s="1063"/>
      <c r="H5467" s="1066"/>
      <c r="I5467" s="1063"/>
      <c r="J5467" s="1063"/>
      <c r="K5467" s="1063"/>
      <c r="L5467" s="1063"/>
    </row>
    <row r="5468" spans="5:12" x14ac:dyDescent="0.2">
      <c r="E5468" s="1063"/>
      <c r="H5468" s="1066"/>
      <c r="I5468" s="1063"/>
      <c r="J5468" s="1063"/>
      <c r="K5468" s="1063"/>
      <c r="L5468" s="1063"/>
    </row>
    <row r="5469" spans="5:12" x14ac:dyDescent="0.2">
      <c r="E5469" s="1063"/>
      <c r="H5469" s="1066"/>
      <c r="I5469" s="1063"/>
      <c r="J5469" s="1063"/>
      <c r="K5469" s="1063"/>
      <c r="L5469" s="1063"/>
    </row>
    <row r="5470" spans="5:12" x14ac:dyDescent="0.2">
      <c r="E5470" s="1063"/>
      <c r="H5470" s="1066"/>
      <c r="I5470" s="1063"/>
      <c r="J5470" s="1063"/>
      <c r="K5470" s="1063"/>
      <c r="L5470" s="1063"/>
    </row>
    <row r="5471" spans="5:12" x14ac:dyDescent="0.2">
      <c r="E5471" s="1063"/>
      <c r="H5471" s="1066"/>
      <c r="I5471" s="1063"/>
      <c r="J5471" s="1063"/>
      <c r="K5471" s="1063"/>
      <c r="L5471" s="1063"/>
    </row>
    <row r="5472" spans="5:12" x14ac:dyDescent="0.2">
      <c r="E5472" s="1063"/>
      <c r="H5472" s="1066"/>
      <c r="I5472" s="1063"/>
      <c r="J5472" s="1063"/>
      <c r="K5472" s="1063"/>
      <c r="L5472" s="1063"/>
    </row>
    <row r="5473" spans="5:12" x14ac:dyDescent="0.2">
      <c r="E5473" s="1063"/>
      <c r="H5473" s="1066"/>
      <c r="I5473" s="1063"/>
      <c r="J5473" s="1063"/>
      <c r="K5473" s="1063"/>
      <c r="L5473" s="1063"/>
    </row>
    <row r="5474" spans="5:12" x14ac:dyDescent="0.2">
      <c r="E5474" s="1063"/>
      <c r="H5474" s="1066"/>
      <c r="I5474" s="1063"/>
      <c r="J5474" s="1063"/>
      <c r="K5474" s="1063"/>
      <c r="L5474" s="1063"/>
    </row>
    <row r="5475" spans="5:12" x14ac:dyDescent="0.2">
      <c r="E5475" s="1063"/>
      <c r="H5475" s="1066"/>
      <c r="I5475" s="1063"/>
      <c r="J5475" s="1063"/>
      <c r="K5475" s="1063"/>
      <c r="L5475" s="1063"/>
    </row>
    <row r="5476" spans="5:12" x14ac:dyDescent="0.2">
      <c r="E5476" s="1063"/>
      <c r="H5476" s="1066"/>
      <c r="I5476" s="1063"/>
      <c r="J5476" s="1063"/>
      <c r="K5476" s="1063"/>
      <c r="L5476" s="1063"/>
    </row>
    <row r="5477" spans="5:12" x14ac:dyDescent="0.2">
      <c r="E5477" s="1063"/>
      <c r="H5477" s="1066"/>
      <c r="I5477" s="1063"/>
      <c r="J5477" s="1063"/>
      <c r="K5477" s="1063"/>
      <c r="L5477" s="1063"/>
    </row>
    <row r="5478" spans="5:12" x14ac:dyDescent="0.2">
      <c r="E5478" s="1063"/>
      <c r="H5478" s="1066"/>
      <c r="I5478" s="1063"/>
      <c r="J5478" s="1063"/>
      <c r="K5478" s="1063"/>
      <c r="L5478" s="1063"/>
    </row>
    <row r="5479" spans="5:12" x14ac:dyDescent="0.2">
      <c r="E5479" s="1063"/>
      <c r="H5479" s="1066"/>
      <c r="I5479" s="1063"/>
      <c r="J5479" s="1063"/>
      <c r="K5479" s="1063"/>
      <c r="L5479" s="1063"/>
    </row>
    <row r="5480" spans="5:12" x14ac:dyDescent="0.2">
      <c r="E5480" s="1063"/>
      <c r="H5480" s="1066"/>
      <c r="I5480" s="1063"/>
      <c r="J5480" s="1063"/>
      <c r="K5480" s="1063"/>
      <c r="L5480" s="1063"/>
    </row>
    <row r="5481" spans="5:12" x14ac:dyDescent="0.2">
      <c r="E5481" s="1063"/>
      <c r="H5481" s="1066"/>
      <c r="I5481" s="1063"/>
      <c r="J5481" s="1063"/>
      <c r="K5481" s="1063"/>
      <c r="L5481" s="1063"/>
    </row>
    <row r="5482" spans="5:12" x14ac:dyDescent="0.2">
      <c r="E5482" s="1063"/>
      <c r="H5482" s="1066"/>
      <c r="I5482" s="1063"/>
      <c r="J5482" s="1063"/>
      <c r="K5482" s="1063"/>
      <c r="L5482" s="1063"/>
    </row>
    <row r="5483" spans="5:12" x14ac:dyDescent="0.2">
      <c r="E5483" s="1063"/>
      <c r="H5483" s="1066"/>
      <c r="I5483" s="1063"/>
      <c r="J5483" s="1063"/>
      <c r="K5483" s="1063"/>
      <c r="L5483" s="1063"/>
    </row>
    <row r="5484" spans="5:12" x14ac:dyDescent="0.2">
      <c r="E5484" s="1063"/>
      <c r="H5484" s="1066"/>
      <c r="I5484" s="1063"/>
      <c r="J5484" s="1063"/>
      <c r="K5484" s="1063"/>
      <c r="L5484" s="1063"/>
    </row>
    <row r="5485" spans="5:12" x14ac:dyDescent="0.2">
      <c r="E5485" s="1063"/>
      <c r="H5485" s="1066"/>
      <c r="I5485" s="1063"/>
      <c r="J5485" s="1063"/>
      <c r="K5485" s="1063"/>
      <c r="L5485" s="1063"/>
    </row>
    <row r="5486" spans="5:12" x14ac:dyDescent="0.2">
      <c r="E5486" s="1063"/>
      <c r="H5486" s="1066"/>
      <c r="I5486" s="1063"/>
      <c r="J5486" s="1063"/>
      <c r="K5486" s="1063"/>
      <c r="L5486" s="1063"/>
    </row>
    <row r="5487" spans="5:12" x14ac:dyDescent="0.2">
      <c r="E5487" s="1063"/>
      <c r="H5487" s="1066"/>
      <c r="I5487" s="1063"/>
      <c r="J5487" s="1063"/>
      <c r="K5487" s="1063"/>
      <c r="L5487" s="1063"/>
    </row>
    <row r="5488" spans="5:12" x14ac:dyDescent="0.2">
      <c r="E5488" s="1063"/>
      <c r="H5488" s="1066"/>
      <c r="I5488" s="1063"/>
      <c r="J5488" s="1063"/>
      <c r="K5488" s="1063"/>
      <c r="L5488" s="1063"/>
    </row>
    <row r="5489" spans="5:12" x14ac:dyDescent="0.2">
      <c r="E5489" s="1063"/>
      <c r="H5489" s="1066"/>
      <c r="I5489" s="1063"/>
      <c r="J5489" s="1063"/>
      <c r="K5489" s="1063"/>
      <c r="L5489" s="1063"/>
    </row>
    <row r="5490" spans="5:12" x14ac:dyDescent="0.2">
      <c r="E5490" s="1063"/>
      <c r="H5490" s="1066"/>
      <c r="I5490" s="1063"/>
      <c r="J5490" s="1063"/>
      <c r="K5490" s="1063"/>
      <c r="L5490" s="1063"/>
    </row>
    <row r="5491" spans="5:12" x14ac:dyDescent="0.2">
      <c r="E5491" s="1063"/>
      <c r="H5491" s="1066"/>
      <c r="I5491" s="1063"/>
      <c r="J5491" s="1063"/>
      <c r="K5491" s="1063"/>
      <c r="L5491" s="1063"/>
    </row>
    <row r="5492" spans="5:12" x14ac:dyDescent="0.2">
      <c r="E5492" s="1063"/>
      <c r="H5492" s="1066"/>
      <c r="I5492" s="1063"/>
      <c r="J5492" s="1063"/>
      <c r="K5492" s="1063"/>
      <c r="L5492" s="1063"/>
    </row>
    <row r="5493" spans="5:12" x14ac:dyDescent="0.2">
      <c r="E5493" s="1063"/>
      <c r="H5493" s="1066"/>
      <c r="I5493" s="1063"/>
      <c r="J5493" s="1063"/>
      <c r="K5493" s="1063"/>
      <c r="L5493" s="1063"/>
    </row>
    <row r="5494" spans="5:12" x14ac:dyDescent="0.2">
      <c r="E5494" s="1063"/>
      <c r="H5494" s="1066"/>
      <c r="I5494" s="1063"/>
      <c r="J5494" s="1063"/>
      <c r="K5494" s="1063"/>
      <c r="L5494" s="1063"/>
    </row>
    <row r="5495" spans="5:12" x14ac:dyDescent="0.2">
      <c r="E5495" s="1063"/>
      <c r="H5495" s="1066"/>
      <c r="I5495" s="1063"/>
      <c r="J5495" s="1063"/>
      <c r="K5495" s="1063"/>
      <c r="L5495" s="1063"/>
    </row>
    <row r="5496" spans="5:12" x14ac:dyDescent="0.2">
      <c r="E5496" s="1063"/>
      <c r="H5496" s="1066"/>
      <c r="I5496" s="1063"/>
      <c r="J5496" s="1063"/>
      <c r="K5496" s="1063"/>
      <c r="L5496" s="1063"/>
    </row>
    <row r="5497" spans="5:12" x14ac:dyDescent="0.2">
      <c r="E5497" s="1063"/>
      <c r="H5497" s="1066"/>
      <c r="I5497" s="1063"/>
      <c r="J5497" s="1063"/>
      <c r="K5497" s="1063"/>
      <c r="L5497" s="1063"/>
    </row>
    <row r="5498" spans="5:12" x14ac:dyDescent="0.2">
      <c r="E5498" s="1063"/>
      <c r="H5498" s="1066"/>
      <c r="I5498" s="1063"/>
      <c r="J5498" s="1063"/>
      <c r="K5498" s="1063"/>
      <c r="L5498" s="1063"/>
    </row>
    <row r="5499" spans="5:12" x14ac:dyDescent="0.2">
      <c r="E5499" s="1063"/>
      <c r="H5499" s="1066"/>
      <c r="I5499" s="1063"/>
      <c r="J5499" s="1063"/>
      <c r="K5499" s="1063"/>
      <c r="L5499" s="1063"/>
    </row>
    <row r="5500" spans="5:12" x14ac:dyDescent="0.2">
      <c r="E5500" s="1063"/>
      <c r="H5500" s="1066"/>
      <c r="I5500" s="1063"/>
      <c r="J5500" s="1063"/>
      <c r="K5500" s="1063"/>
      <c r="L5500" s="1063"/>
    </row>
    <row r="5501" spans="5:12" x14ac:dyDescent="0.2">
      <c r="E5501" s="1063"/>
      <c r="H5501" s="1066"/>
      <c r="I5501" s="1063"/>
      <c r="J5501" s="1063"/>
      <c r="K5501" s="1063"/>
      <c r="L5501" s="1063"/>
    </row>
    <row r="5502" spans="5:12" x14ac:dyDescent="0.2">
      <c r="E5502" s="1063"/>
      <c r="H5502" s="1066"/>
      <c r="I5502" s="1063"/>
      <c r="J5502" s="1063"/>
      <c r="K5502" s="1063"/>
      <c r="L5502" s="1063"/>
    </row>
    <row r="5503" spans="5:12" x14ac:dyDescent="0.2">
      <c r="E5503" s="1063"/>
      <c r="H5503" s="1066"/>
      <c r="I5503" s="1063"/>
      <c r="J5503" s="1063"/>
      <c r="K5503" s="1063"/>
      <c r="L5503" s="1063"/>
    </row>
    <row r="5504" spans="5:12" x14ac:dyDescent="0.2">
      <c r="E5504" s="1063"/>
      <c r="H5504" s="1066"/>
      <c r="I5504" s="1063"/>
      <c r="J5504" s="1063"/>
      <c r="K5504" s="1063"/>
      <c r="L5504" s="1063"/>
    </row>
    <row r="5505" spans="5:12" x14ac:dyDescent="0.2">
      <c r="E5505" s="1063"/>
      <c r="H5505" s="1066"/>
      <c r="I5505" s="1063"/>
      <c r="J5505" s="1063"/>
      <c r="K5505" s="1063"/>
      <c r="L5505" s="1063"/>
    </row>
    <row r="5506" spans="5:12" x14ac:dyDescent="0.2">
      <c r="E5506" s="1063"/>
      <c r="H5506" s="1066"/>
      <c r="I5506" s="1063"/>
      <c r="J5506" s="1063"/>
      <c r="K5506" s="1063"/>
      <c r="L5506" s="1063"/>
    </row>
    <row r="5507" spans="5:12" x14ac:dyDescent="0.2">
      <c r="E5507" s="1063"/>
      <c r="H5507" s="1066"/>
      <c r="I5507" s="1063"/>
      <c r="J5507" s="1063"/>
      <c r="K5507" s="1063"/>
      <c r="L5507" s="1063"/>
    </row>
    <row r="5508" spans="5:12" x14ac:dyDescent="0.2">
      <c r="E5508" s="1063"/>
      <c r="H5508" s="1066"/>
      <c r="I5508" s="1063"/>
      <c r="J5508" s="1063"/>
      <c r="K5508" s="1063"/>
      <c r="L5508" s="1063"/>
    </row>
    <row r="5509" spans="5:12" x14ac:dyDescent="0.2">
      <c r="E5509" s="1063"/>
      <c r="H5509" s="1066"/>
      <c r="I5509" s="1063"/>
      <c r="J5509" s="1063"/>
      <c r="K5509" s="1063"/>
      <c r="L5509" s="1063"/>
    </row>
    <row r="5510" spans="5:12" x14ac:dyDescent="0.2">
      <c r="E5510" s="1063"/>
      <c r="H5510" s="1066"/>
      <c r="I5510" s="1063"/>
      <c r="J5510" s="1063"/>
      <c r="K5510" s="1063"/>
      <c r="L5510" s="1063"/>
    </row>
    <row r="5511" spans="5:12" x14ac:dyDescent="0.2">
      <c r="E5511" s="1063"/>
      <c r="H5511" s="1066"/>
      <c r="I5511" s="1063"/>
      <c r="J5511" s="1063"/>
      <c r="K5511" s="1063"/>
      <c r="L5511" s="1063"/>
    </row>
    <row r="5512" spans="5:12" x14ac:dyDescent="0.2">
      <c r="E5512" s="1063"/>
      <c r="H5512" s="1066"/>
      <c r="I5512" s="1063"/>
      <c r="J5512" s="1063"/>
      <c r="K5512" s="1063"/>
      <c r="L5512" s="1063"/>
    </row>
    <row r="5513" spans="5:12" x14ac:dyDescent="0.2">
      <c r="E5513" s="1063"/>
      <c r="H5513" s="1066"/>
      <c r="I5513" s="1063"/>
      <c r="J5513" s="1063"/>
      <c r="K5513" s="1063"/>
      <c r="L5513" s="1063"/>
    </row>
    <row r="5514" spans="5:12" x14ac:dyDescent="0.2">
      <c r="E5514" s="1063"/>
      <c r="H5514" s="1066"/>
      <c r="I5514" s="1063"/>
      <c r="J5514" s="1063"/>
      <c r="K5514" s="1063"/>
      <c r="L5514" s="1063"/>
    </row>
    <row r="5515" spans="5:12" x14ac:dyDescent="0.2">
      <c r="E5515" s="1063"/>
      <c r="H5515" s="1066"/>
      <c r="I5515" s="1063"/>
      <c r="J5515" s="1063"/>
      <c r="K5515" s="1063"/>
      <c r="L5515" s="1063"/>
    </row>
    <row r="5516" spans="5:12" x14ac:dyDescent="0.2">
      <c r="E5516" s="1063"/>
      <c r="H5516" s="1066"/>
      <c r="I5516" s="1063"/>
      <c r="J5516" s="1063"/>
      <c r="K5516" s="1063"/>
      <c r="L5516" s="1063"/>
    </row>
    <row r="5517" spans="5:12" x14ac:dyDescent="0.2">
      <c r="E5517" s="1063"/>
      <c r="H5517" s="1066"/>
      <c r="I5517" s="1063"/>
      <c r="J5517" s="1063"/>
      <c r="K5517" s="1063"/>
      <c r="L5517" s="1063"/>
    </row>
    <row r="5518" spans="5:12" x14ac:dyDescent="0.2">
      <c r="E5518" s="1063"/>
      <c r="H5518" s="1066"/>
      <c r="I5518" s="1063"/>
      <c r="J5518" s="1063"/>
      <c r="K5518" s="1063"/>
      <c r="L5518" s="1063"/>
    </row>
    <row r="5519" spans="5:12" x14ac:dyDescent="0.2">
      <c r="E5519" s="1063"/>
      <c r="H5519" s="1066"/>
      <c r="I5519" s="1063"/>
      <c r="J5519" s="1063"/>
      <c r="K5519" s="1063"/>
      <c r="L5519" s="1063"/>
    </row>
    <row r="5520" spans="5:12" x14ac:dyDescent="0.2">
      <c r="E5520" s="1063"/>
      <c r="H5520" s="1066"/>
      <c r="I5520" s="1063"/>
      <c r="J5520" s="1063"/>
      <c r="K5520" s="1063"/>
      <c r="L5520" s="1063"/>
    </row>
    <row r="5521" spans="5:12" x14ac:dyDescent="0.2">
      <c r="E5521" s="1063"/>
      <c r="H5521" s="1066"/>
      <c r="I5521" s="1063"/>
      <c r="J5521" s="1063"/>
      <c r="K5521" s="1063"/>
      <c r="L5521" s="1063"/>
    </row>
    <row r="5522" spans="5:12" x14ac:dyDescent="0.2">
      <c r="E5522" s="1063"/>
      <c r="H5522" s="1066"/>
      <c r="I5522" s="1063"/>
      <c r="J5522" s="1063"/>
      <c r="K5522" s="1063"/>
      <c r="L5522" s="1063"/>
    </row>
    <row r="5523" spans="5:12" x14ac:dyDescent="0.2">
      <c r="E5523" s="1063"/>
      <c r="H5523" s="1066"/>
      <c r="I5523" s="1063"/>
      <c r="J5523" s="1063"/>
      <c r="K5523" s="1063"/>
      <c r="L5523" s="1063"/>
    </row>
    <row r="5524" spans="5:12" x14ac:dyDescent="0.2">
      <c r="E5524" s="1063"/>
      <c r="H5524" s="1066"/>
      <c r="I5524" s="1063"/>
      <c r="J5524" s="1063"/>
      <c r="K5524" s="1063"/>
      <c r="L5524" s="1063"/>
    </row>
    <row r="5525" spans="5:12" x14ac:dyDescent="0.2">
      <c r="E5525" s="1063"/>
      <c r="H5525" s="1066"/>
      <c r="I5525" s="1063"/>
      <c r="J5525" s="1063"/>
      <c r="K5525" s="1063"/>
      <c r="L5525" s="1063"/>
    </row>
    <row r="5526" spans="5:12" x14ac:dyDescent="0.2">
      <c r="E5526" s="1063"/>
      <c r="H5526" s="1066"/>
      <c r="I5526" s="1063"/>
      <c r="J5526" s="1063"/>
      <c r="K5526" s="1063"/>
      <c r="L5526" s="1063"/>
    </row>
    <row r="5527" spans="5:12" x14ac:dyDescent="0.2">
      <c r="E5527" s="1063"/>
      <c r="H5527" s="1066"/>
      <c r="I5527" s="1063"/>
      <c r="J5527" s="1063"/>
      <c r="K5527" s="1063"/>
      <c r="L5527" s="1063"/>
    </row>
    <row r="5528" spans="5:12" x14ac:dyDescent="0.2">
      <c r="E5528" s="1063"/>
      <c r="H5528" s="1066"/>
      <c r="I5528" s="1063"/>
      <c r="J5528" s="1063"/>
      <c r="K5528" s="1063"/>
      <c r="L5528" s="1063"/>
    </row>
    <row r="5529" spans="5:12" x14ac:dyDescent="0.2">
      <c r="E5529" s="1063"/>
      <c r="H5529" s="1066"/>
      <c r="I5529" s="1063"/>
      <c r="J5529" s="1063"/>
      <c r="K5529" s="1063"/>
      <c r="L5529" s="1063"/>
    </row>
    <row r="5530" spans="5:12" x14ac:dyDescent="0.2">
      <c r="E5530" s="1063"/>
      <c r="H5530" s="1066"/>
      <c r="I5530" s="1063"/>
      <c r="J5530" s="1063"/>
      <c r="K5530" s="1063"/>
      <c r="L5530" s="1063"/>
    </row>
    <row r="5531" spans="5:12" x14ac:dyDescent="0.2">
      <c r="E5531" s="1063"/>
      <c r="H5531" s="1066"/>
      <c r="I5531" s="1063"/>
      <c r="J5531" s="1063"/>
      <c r="K5531" s="1063"/>
      <c r="L5531" s="1063"/>
    </row>
    <row r="5532" spans="5:12" x14ac:dyDescent="0.2">
      <c r="E5532" s="1063"/>
      <c r="H5532" s="1066"/>
      <c r="I5532" s="1063"/>
      <c r="J5532" s="1063"/>
      <c r="K5532" s="1063"/>
      <c r="L5532" s="1063"/>
    </row>
    <row r="5533" spans="5:12" x14ac:dyDescent="0.2">
      <c r="E5533" s="1063"/>
      <c r="H5533" s="1066"/>
      <c r="I5533" s="1063"/>
      <c r="J5533" s="1063"/>
      <c r="K5533" s="1063"/>
      <c r="L5533" s="1063"/>
    </row>
    <row r="5534" spans="5:12" x14ac:dyDescent="0.2">
      <c r="E5534" s="1063"/>
      <c r="H5534" s="1066"/>
      <c r="I5534" s="1063"/>
      <c r="J5534" s="1063"/>
      <c r="K5534" s="1063"/>
      <c r="L5534" s="1063"/>
    </row>
    <row r="5535" spans="5:12" x14ac:dyDescent="0.2">
      <c r="E5535" s="1063"/>
      <c r="H5535" s="1066"/>
      <c r="I5535" s="1063"/>
      <c r="J5535" s="1063"/>
      <c r="K5535" s="1063"/>
      <c r="L5535" s="1063"/>
    </row>
    <row r="5536" spans="5:12" x14ac:dyDescent="0.2">
      <c r="E5536" s="1063"/>
      <c r="H5536" s="1066"/>
      <c r="I5536" s="1063"/>
      <c r="J5536" s="1063"/>
      <c r="K5536" s="1063"/>
      <c r="L5536" s="1063"/>
    </row>
    <row r="5537" spans="5:12" x14ac:dyDescent="0.2">
      <c r="E5537" s="1063"/>
      <c r="H5537" s="1066"/>
      <c r="I5537" s="1063"/>
      <c r="J5537" s="1063"/>
      <c r="K5537" s="1063"/>
      <c r="L5537" s="1063"/>
    </row>
    <row r="5538" spans="5:12" x14ac:dyDescent="0.2">
      <c r="E5538" s="1063"/>
      <c r="H5538" s="1066"/>
      <c r="I5538" s="1063"/>
      <c r="J5538" s="1063"/>
      <c r="K5538" s="1063"/>
      <c r="L5538" s="1063"/>
    </row>
    <row r="5539" spans="5:12" x14ac:dyDescent="0.2">
      <c r="E5539" s="1063"/>
      <c r="H5539" s="1066"/>
      <c r="I5539" s="1063"/>
      <c r="J5539" s="1063"/>
      <c r="K5539" s="1063"/>
      <c r="L5539" s="1063"/>
    </row>
    <row r="5540" spans="5:12" x14ac:dyDescent="0.2">
      <c r="E5540" s="1063"/>
      <c r="H5540" s="1066"/>
      <c r="I5540" s="1063"/>
      <c r="J5540" s="1063"/>
      <c r="K5540" s="1063"/>
      <c r="L5540" s="1063"/>
    </row>
    <row r="5541" spans="5:12" x14ac:dyDescent="0.2">
      <c r="E5541" s="1063"/>
      <c r="H5541" s="1066"/>
      <c r="I5541" s="1063"/>
      <c r="J5541" s="1063"/>
      <c r="K5541" s="1063"/>
      <c r="L5541" s="1063"/>
    </row>
    <row r="5542" spans="5:12" x14ac:dyDescent="0.2">
      <c r="E5542" s="1063"/>
      <c r="H5542" s="1066"/>
      <c r="I5542" s="1063"/>
      <c r="J5542" s="1063"/>
      <c r="K5542" s="1063"/>
      <c r="L5542" s="1063"/>
    </row>
    <row r="5543" spans="5:12" x14ac:dyDescent="0.2">
      <c r="E5543" s="1063"/>
      <c r="H5543" s="1066"/>
      <c r="I5543" s="1063"/>
      <c r="J5543" s="1063"/>
      <c r="K5543" s="1063"/>
      <c r="L5543" s="1063"/>
    </row>
    <row r="5544" spans="5:12" x14ac:dyDescent="0.2">
      <c r="E5544" s="1063"/>
      <c r="H5544" s="1066"/>
      <c r="I5544" s="1063"/>
      <c r="J5544" s="1063"/>
      <c r="K5544" s="1063"/>
      <c r="L5544" s="1063"/>
    </row>
    <row r="5545" spans="5:12" x14ac:dyDescent="0.2">
      <c r="E5545" s="1063"/>
      <c r="H5545" s="1066"/>
      <c r="I5545" s="1063"/>
      <c r="J5545" s="1063"/>
      <c r="K5545" s="1063"/>
      <c r="L5545" s="1063"/>
    </row>
    <row r="5546" spans="5:12" x14ac:dyDescent="0.2">
      <c r="E5546" s="1063"/>
      <c r="H5546" s="1066"/>
      <c r="I5546" s="1063"/>
      <c r="J5546" s="1063"/>
      <c r="K5546" s="1063"/>
      <c r="L5546" s="1063"/>
    </row>
    <row r="5547" spans="5:12" x14ac:dyDescent="0.2">
      <c r="E5547" s="1063"/>
      <c r="H5547" s="1066"/>
      <c r="I5547" s="1063"/>
      <c r="J5547" s="1063"/>
      <c r="K5547" s="1063"/>
      <c r="L5547" s="1063"/>
    </row>
    <row r="5548" spans="5:12" x14ac:dyDescent="0.2">
      <c r="E5548" s="1063"/>
      <c r="H5548" s="1066"/>
      <c r="I5548" s="1063"/>
      <c r="J5548" s="1063"/>
      <c r="K5548" s="1063"/>
      <c r="L5548" s="1063"/>
    </row>
    <row r="5549" spans="5:12" x14ac:dyDescent="0.2">
      <c r="E5549" s="1063"/>
      <c r="H5549" s="1066"/>
      <c r="I5549" s="1063"/>
      <c r="J5549" s="1063"/>
      <c r="K5549" s="1063"/>
      <c r="L5549" s="1063"/>
    </row>
    <row r="5550" spans="5:12" x14ac:dyDescent="0.2">
      <c r="E5550" s="1063"/>
      <c r="H5550" s="1066"/>
      <c r="I5550" s="1063"/>
      <c r="J5550" s="1063"/>
      <c r="K5550" s="1063"/>
      <c r="L5550" s="1063"/>
    </row>
    <row r="5551" spans="5:12" x14ac:dyDescent="0.2">
      <c r="E5551" s="1063"/>
      <c r="H5551" s="1066"/>
      <c r="I5551" s="1063"/>
      <c r="J5551" s="1063"/>
      <c r="K5551" s="1063"/>
      <c r="L5551" s="1063"/>
    </row>
    <row r="5552" spans="5:12" x14ac:dyDescent="0.2">
      <c r="E5552" s="1063"/>
      <c r="H5552" s="1066"/>
      <c r="I5552" s="1063"/>
      <c r="J5552" s="1063"/>
      <c r="K5552" s="1063"/>
      <c r="L5552" s="1063"/>
    </row>
    <row r="5553" spans="5:12" x14ac:dyDescent="0.2">
      <c r="E5553" s="1063"/>
      <c r="H5553" s="1066"/>
      <c r="I5553" s="1063"/>
      <c r="J5553" s="1063"/>
      <c r="K5553" s="1063"/>
      <c r="L5553" s="1063"/>
    </row>
    <row r="5554" spans="5:12" x14ac:dyDescent="0.2">
      <c r="E5554" s="1063"/>
      <c r="H5554" s="1066"/>
      <c r="I5554" s="1063"/>
      <c r="J5554" s="1063"/>
      <c r="K5554" s="1063"/>
      <c r="L5554" s="1063"/>
    </row>
    <row r="5555" spans="5:12" x14ac:dyDescent="0.2">
      <c r="E5555" s="1063"/>
      <c r="H5555" s="1066"/>
      <c r="I5555" s="1063"/>
      <c r="J5555" s="1063"/>
      <c r="K5555" s="1063"/>
      <c r="L5555" s="1063"/>
    </row>
    <row r="5556" spans="5:12" x14ac:dyDescent="0.2">
      <c r="E5556" s="1063"/>
      <c r="H5556" s="1066"/>
      <c r="I5556" s="1063"/>
      <c r="J5556" s="1063"/>
      <c r="K5556" s="1063"/>
      <c r="L5556" s="1063"/>
    </row>
    <row r="5557" spans="5:12" x14ac:dyDescent="0.2">
      <c r="E5557" s="1063"/>
      <c r="H5557" s="1066"/>
      <c r="I5557" s="1063"/>
      <c r="J5557" s="1063"/>
      <c r="K5557" s="1063"/>
      <c r="L5557" s="1063"/>
    </row>
    <row r="5558" spans="5:12" x14ac:dyDescent="0.2">
      <c r="E5558" s="1063"/>
      <c r="H5558" s="1066"/>
      <c r="I5558" s="1063"/>
      <c r="J5558" s="1063"/>
      <c r="K5558" s="1063"/>
      <c r="L5558" s="1063"/>
    </row>
    <row r="5559" spans="5:12" x14ac:dyDescent="0.2">
      <c r="E5559" s="1063"/>
      <c r="H5559" s="1066"/>
      <c r="I5559" s="1063"/>
      <c r="J5559" s="1063"/>
      <c r="K5559" s="1063"/>
      <c r="L5559" s="1063"/>
    </row>
    <row r="5560" spans="5:12" x14ac:dyDescent="0.2">
      <c r="E5560" s="1063"/>
      <c r="H5560" s="1066"/>
      <c r="I5560" s="1063"/>
      <c r="J5560" s="1063"/>
      <c r="K5560" s="1063"/>
      <c r="L5560" s="1063"/>
    </row>
    <row r="5561" spans="5:12" x14ac:dyDescent="0.2">
      <c r="E5561" s="1063"/>
      <c r="H5561" s="1066"/>
      <c r="I5561" s="1063"/>
      <c r="J5561" s="1063"/>
      <c r="K5561" s="1063"/>
      <c r="L5561" s="1063"/>
    </row>
    <row r="5562" spans="5:12" x14ac:dyDescent="0.2">
      <c r="E5562" s="1063"/>
      <c r="H5562" s="1066"/>
      <c r="I5562" s="1063"/>
      <c r="J5562" s="1063"/>
      <c r="K5562" s="1063"/>
      <c r="L5562" s="1063"/>
    </row>
    <row r="5563" spans="5:12" x14ac:dyDescent="0.2">
      <c r="E5563" s="1063"/>
      <c r="H5563" s="1066"/>
      <c r="I5563" s="1063"/>
      <c r="J5563" s="1063"/>
      <c r="K5563" s="1063"/>
      <c r="L5563" s="1063"/>
    </row>
    <row r="5564" spans="5:12" x14ac:dyDescent="0.2">
      <c r="E5564" s="1063"/>
      <c r="H5564" s="1066"/>
      <c r="I5564" s="1063"/>
      <c r="J5564" s="1063"/>
      <c r="K5564" s="1063"/>
      <c r="L5564" s="1063"/>
    </row>
    <row r="5565" spans="5:12" x14ac:dyDescent="0.2">
      <c r="E5565" s="1063"/>
      <c r="H5565" s="1066"/>
      <c r="I5565" s="1063"/>
      <c r="J5565" s="1063"/>
      <c r="K5565" s="1063"/>
      <c r="L5565" s="1063"/>
    </row>
    <row r="5566" spans="5:12" x14ac:dyDescent="0.2">
      <c r="E5566" s="1063"/>
      <c r="H5566" s="1066"/>
      <c r="I5566" s="1063"/>
      <c r="J5566" s="1063"/>
      <c r="K5566" s="1063"/>
      <c r="L5566" s="1063"/>
    </row>
    <row r="5567" spans="5:12" x14ac:dyDescent="0.2">
      <c r="E5567" s="1063"/>
      <c r="H5567" s="1066"/>
      <c r="I5567" s="1063"/>
      <c r="J5567" s="1063"/>
      <c r="K5567" s="1063"/>
      <c r="L5567" s="1063"/>
    </row>
    <row r="5568" spans="5:12" x14ac:dyDescent="0.2">
      <c r="E5568" s="1063"/>
      <c r="H5568" s="1066"/>
      <c r="I5568" s="1063"/>
      <c r="J5568" s="1063"/>
      <c r="K5568" s="1063"/>
      <c r="L5568" s="1063"/>
    </row>
    <row r="5569" spans="5:12" x14ac:dyDescent="0.2">
      <c r="E5569" s="1063"/>
      <c r="H5569" s="1066"/>
      <c r="I5569" s="1063"/>
      <c r="J5569" s="1063"/>
      <c r="K5569" s="1063"/>
      <c r="L5569" s="1063"/>
    </row>
    <row r="5570" spans="5:12" x14ac:dyDescent="0.2">
      <c r="E5570" s="1063"/>
      <c r="H5570" s="1066"/>
      <c r="I5570" s="1063"/>
      <c r="J5570" s="1063"/>
      <c r="K5570" s="1063"/>
      <c r="L5570" s="1063"/>
    </row>
    <row r="5571" spans="5:12" x14ac:dyDescent="0.2">
      <c r="E5571" s="1063"/>
      <c r="H5571" s="1066"/>
      <c r="I5571" s="1063"/>
      <c r="J5571" s="1063"/>
      <c r="K5571" s="1063"/>
      <c r="L5571" s="1063"/>
    </row>
    <row r="5572" spans="5:12" x14ac:dyDescent="0.2">
      <c r="E5572" s="1063"/>
      <c r="H5572" s="1066"/>
      <c r="I5572" s="1063"/>
      <c r="J5572" s="1063"/>
      <c r="K5572" s="1063"/>
      <c r="L5572" s="1063"/>
    </row>
    <row r="5573" spans="5:12" x14ac:dyDescent="0.2">
      <c r="E5573" s="1063"/>
      <c r="H5573" s="1066"/>
      <c r="I5573" s="1063"/>
      <c r="J5573" s="1063"/>
      <c r="K5573" s="1063"/>
      <c r="L5573" s="1063"/>
    </row>
    <row r="5574" spans="5:12" x14ac:dyDescent="0.2">
      <c r="E5574" s="1063"/>
      <c r="H5574" s="1066"/>
      <c r="I5574" s="1063"/>
      <c r="J5574" s="1063"/>
      <c r="K5574" s="1063"/>
      <c r="L5574" s="1063"/>
    </row>
    <row r="5575" spans="5:12" x14ac:dyDescent="0.2">
      <c r="E5575" s="1063"/>
      <c r="H5575" s="1066"/>
      <c r="I5575" s="1063"/>
      <c r="J5575" s="1063"/>
      <c r="K5575" s="1063"/>
      <c r="L5575" s="1063"/>
    </row>
    <row r="5576" spans="5:12" x14ac:dyDescent="0.2">
      <c r="E5576" s="1063"/>
      <c r="H5576" s="1066"/>
      <c r="I5576" s="1063"/>
      <c r="J5576" s="1063"/>
      <c r="K5576" s="1063"/>
      <c r="L5576" s="1063"/>
    </row>
    <row r="5577" spans="5:12" x14ac:dyDescent="0.2">
      <c r="E5577" s="1063"/>
      <c r="H5577" s="1066"/>
      <c r="I5577" s="1063"/>
      <c r="J5577" s="1063"/>
      <c r="K5577" s="1063"/>
      <c r="L5577" s="1063"/>
    </row>
    <row r="5578" spans="5:12" x14ac:dyDescent="0.2">
      <c r="E5578" s="1063"/>
      <c r="H5578" s="1066"/>
      <c r="I5578" s="1063"/>
      <c r="J5578" s="1063"/>
      <c r="K5578" s="1063"/>
      <c r="L5578" s="1063"/>
    </row>
    <row r="5579" spans="5:12" x14ac:dyDescent="0.2">
      <c r="E5579" s="1063"/>
      <c r="H5579" s="1066"/>
      <c r="I5579" s="1063"/>
      <c r="J5579" s="1063"/>
      <c r="K5579" s="1063"/>
      <c r="L5579" s="1063"/>
    </row>
    <row r="5580" spans="5:12" x14ac:dyDescent="0.2">
      <c r="E5580" s="1063"/>
      <c r="H5580" s="1066"/>
      <c r="I5580" s="1063"/>
      <c r="J5580" s="1063"/>
      <c r="K5580" s="1063"/>
      <c r="L5580" s="1063"/>
    </row>
    <row r="5581" spans="5:12" x14ac:dyDescent="0.2">
      <c r="E5581" s="1063"/>
      <c r="H5581" s="1066"/>
      <c r="I5581" s="1063"/>
      <c r="J5581" s="1063"/>
      <c r="K5581" s="1063"/>
      <c r="L5581" s="1063"/>
    </row>
    <row r="5582" spans="5:12" x14ac:dyDescent="0.2">
      <c r="E5582" s="1063"/>
      <c r="H5582" s="1066"/>
      <c r="I5582" s="1063"/>
      <c r="J5582" s="1063"/>
      <c r="K5582" s="1063"/>
      <c r="L5582" s="1063"/>
    </row>
    <row r="5583" spans="5:12" x14ac:dyDescent="0.2">
      <c r="E5583" s="1063"/>
      <c r="H5583" s="1066"/>
      <c r="I5583" s="1063"/>
      <c r="J5583" s="1063"/>
      <c r="K5583" s="1063"/>
      <c r="L5583" s="1063"/>
    </row>
    <row r="5584" spans="5:12" x14ac:dyDescent="0.2">
      <c r="E5584" s="1063"/>
      <c r="H5584" s="1066"/>
      <c r="I5584" s="1063"/>
      <c r="J5584" s="1063"/>
      <c r="K5584" s="1063"/>
      <c r="L5584" s="1063"/>
    </row>
    <row r="5585" spans="5:12" x14ac:dyDescent="0.2">
      <c r="E5585" s="1063"/>
      <c r="H5585" s="1066"/>
      <c r="I5585" s="1063"/>
      <c r="J5585" s="1063"/>
      <c r="K5585" s="1063"/>
      <c r="L5585" s="1063"/>
    </row>
    <row r="5586" spans="5:12" x14ac:dyDescent="0.2">
      <c r="E5586" s="1063"/>
      <c r="H5586" s="1066"/>
      <c r="I5586" s="1063"/>
      <c r="J5586" s="1063"/>
      <c r="K5586" s="1063"/>
      <c r="L5586" s="1063"/>
    </row>
    <row r="5587" spans="5:12" x14ac:dyDescent="0.2">
      <c r="E5587" s="1063"/>
      <c r="H5587" s="1066"/>
      <c r="I5587" s="1063"/>
      <c r="J5587" s="1063"/>
      <c r="K5587" s="1063"/>
      <c r="L5587" s="1063"/>
    </row>
    <row r="5588" spans="5:12" x14ac:dyDescent="0.2">
      <c r="E5588" s="1063"/>
      <c r="H5588" s="1066"/>
      <c r="I5588" s="1063"/>
      <c r="J5588" s="1063"/>
      <c r="K5588" s="1063"/>
      <c r="L5588" s="1063"/>
    </row>
    <row r="5589" spans="5:12" x14ac:dyDescent="0.2">
      <c r="E5589" s="1063"/>
      <c r="H5589" s="1066"/>
      <c r="I5589" s="1063"/>
      <c r="J5589" s="1063"/>
      <c r="K5589" s="1063"/>
      <c r="L5589" s="1063"/>
    </row>
    <row r="5590" spans="5:12" x14ac:dyDescent="0.2">
      <c r="E5590" s="1063"/>
      <c r="H5590" s="1066"/>
      <c r="I5590" s="1063"/>
      <c r="J5590" s="1063"/>
      <c r="K5590" s="1063"/>
      <c r="L5590" s="1063"/>
    </row>
    <row r="5591" spans="5:12" x14ac:dyDescent="0.2">
      <c r="E5591" s="1063"/>
      <c r="H5591" s="1066"/>
      <c r="I5591" s="1063"/>
      <c r="J5591" s="1063"/>
      <c r="K5591" s="1063"/>
      <c r="L5591" s="1063"/>
    </row>
    <row r="5592" spans="5:12" x14ac:dyDescent="0.2">
      <c r="E5592" s="1063"/>
      <c r="H5592" s="1066"/>
      <c r="I5592" s="1063"/>
      <c r="J5592" s="1063"/>
      <c r="K5592" s="1063"/>
      <c r="L5592" s="1063"/>
    </row>
    <row r="5593" spans="5:12" x14ac:dyDescent="0.2">
      <c r="E5593" s="1063"/>
      <c r="H5593" s="1066"/>
      <c r="I5593" s="1063"/>
      <c r="J5593" s="1063"/>
      <c r="K5593" s="1063"/>
      <c r="L5593" s="1063"/>
    </row>
    <row r="5594" spans="5:12" x14ac:dyDescent="0.2">
      <c r="E5594" s="1063"/>
      <c r="H5594" s="1066"/>
      <c r="I5594" s="1063"/>
      <c r="J5594" s="1063"/>
      <c r="K5594" s="1063"/>
      <c r="L5594" s="1063"/>
    </row>
    <row r="5595" spans="5:12" x14ac:dyDescent="0.2">
      <c r="E5595" s="1063"/>
      <c r="H5595" s="1066"/>
      <c r="I5595" s="1063"/>
      <c r="J5595" s="1063"/>
      <c r="K5595" s="1063"/>
      <c r="L5595" s="1063"/>
    </row>
    <row r="5596" spans="5:12" x14ac:dyDescent="0.2">
      <c r="E5596" s="1063"/>
      <c r="H5596" s="1066"/>
      <c r="I5596" s="1063"/>
      <c r="J5596" s="1063"/>
      <c r="K5596" s="1063"/>
      <c r="L5596" s="1063"/>
    </row>
    <row r="5597" spans="5:12" x14ac:dyDescent="0.2">
      <c r="E5597" s="1063"/>
      <c r="H5597" s="1066"/>
      <c r="I5597" s="1063"/>
      <c r="J5597" s="1063"/>
      <c r="K5597" s="1063"/>
      <c r="L5597" s="1063"/>
    </row>
    <row r="5598" spans="5:12" x14ac:dyDescent="0.2">
      <c r="E5598" s="1063"/>
      <c r="H5598" s="1066"/>
      <c r="I5598" s="1063"/>
      <c r="J5598" s="1063"/>
      <c r="K5598" s="1063"/>
      <c r="L5598" s="1063"/>
    </row>
    <row r="5599" spans="5:12" x14ac:dyDescent="0.2">
      <c r="E5599" s="1063"/>
      <c r="H5599" s="1066"/>
      <c r="I5599" s="1063"/>
      <c r="J5599" s="1063"/>
      <c r="K5599" s="1063"/>
      <c r="L5599" s="1063"/>
    </row>
    <row r="5600" spans="5:12" x14ac:dyDescent="0.2">
      <c r="E5600" s="1063"/>
      <c r="H5600" s="1066"/>
      <c r="I5600" s="1063"/>
      <c r="J5600" s="1063"/>
      <c r="K5600" s="1063"/>
      <c r="L5600" s="1063"/>
    </row>
    <row r="5601" spans="5:12" x14ac:dyDescent="0.2">
      <c r="E5601" s="1063"/>
      <c r="H5601" s="1066"/>
      <c r="I5601" s="1063"/>
      <c r="J5601" s="1063"/>
      <c r="K5601" s="1063"/>
      <c r="L5601" s="1063"/>
    </row>
    <row r="5602" spans="5:12" x14ac:dyDescent="0.2">
      <c r="E5602" s="1063"/>
      <c r="H5602" s="1066"/>
      <c r="I5602" s="1063"/>
      <c r="J5602" s="1063"/>
      <c r="K5602" s="1063"/>
      <c r="L5602" s="1063"/>
    </row>
    <row r="5603" spans="5:12" x14ac:dyDescent="0.2">
      <c r="E5603" s="1063"/>
      <c r="H5603" s="1066"/>
      <c r="I5603" s="1063"/>
      <c r="J5603" s="1063"/>
      <c r="K5603" s="1063"/>
      <c r="L5603" s="1063"/>
    </row>
    <row r="5604" spans="5:12" x14ac:dyDescent="0.2">
      <c r="E5604" s="1063"/>
      <c r="H5604" s="1066"/>
      <c r="I5604" s="1063"/>
      <c r="J5604" s="1063"/>
      <c r="K5604" s="1063"/>
      <c r="L5604" s="1063"/>
    </row>
    <row r="5605" spans="5:12" x14ac:dyDescent="0.2">
      <c r="E5605" s="1063"/>
      <c r="H5605" s="1066"/>
      <c r="I5605" s="1063"/>
      <c r="J5605" s="1063"/>
      <c r="K5605" s="1063"/>
      <c r="L5605" s="1063"/>
    </row>
    <row r="5606" spans="5:12" x14ac:dyDescent="0.2">
      <c r="E5606" s="1063"/>
      <c r="H5606" s="1066"/>
      <c r="I5606" s="1063"/>
      <c r="J5606" s="1063"/>
      <c r="K5606" s="1063"/>
      <c r="L5606" s="1063"/>
    </row>
    <row r="5607" spans="5:12" x14ac:dyDescent="0.2">
      <c r="E5607" s="1063"/>
      <c r="H5607" s="1066"/>
      <c r="I5607" s="1063"/>
      <c r="J5607" s="1063"/>
      <c r="K5607" s="1063"/>
      <c r="L5607" s="1063"/>
    </row>
    <row r="5608" spans="5:12" x14ac:dyDescent="0.2">
      <c r="E5608" s="1063"/>
      <c r="H5608" s="1066"/>
      <c r="I5608" s="1063"/>
      <c r="J5608" s="1063"/>
      <c r="K5608" s="1063"/>
      <c r="L5608" s="1063"/>
    </row>
    <row r="5609" spans="5:12" x14ac:dyDescent="0.2">
      <c r="E5609" s="1063"/>
      <c r="H5609" s="1066"/>
      <c r="I5609" s="1063"/>
      <c r="J5609" s="1063"/>
      <c r="K5609" s="1063"/>
      <c r="L5609" s="1063"/>
    </row>
    <row r="5610" spans="5:12" x14ac:dyDescent="0.2">
      <c r="E5610" s="1063"/>
      <c r="H5610" s="1066"/>
      <c r="I5610" s="1063"/>
      <c r="J5610" s="1063"/>
      <c r="K5610" s="1063"/>
      <c r="L5610" s="1063"/>
    </row>
    <row r="5611" spans="5:12" x14ac:dyDescent="0.2">
      <c r="E5611" s="1063"/>
      <c r="H5611" s="1066"/>
      <c r="I5611" s="1063"/>
      <c r="J5611" s="1063"/>
      <c r="K5611" s="1063"/>
      <c r="L5611" s="1063"/>
    </row>
    <row r="5612" spans="5:12" x14ac:dyDescent="0.2">
      <c r="E5612" s="1063"/>
      <c r="H5612" s="1066"/>
      <c r="I5612" s="1063"/>
      <c r="J5612" s="1063"/>
      <c r="K5612" s="1063"/>
      <c r="L5612" s="1063"/>
    </row>
    <row r="5613" spans="5:12" x14ac:dyDescent="0.2">
      <c r="E5613" s="1063"/>
      <c r="H5613" s="1066"/>
      <c r="I5613" s="1063"/>
      <c r="J5613" s="1063"/>
      <c r="K5613" s="1063"/>
      <c r="L5613" s="1063"/>
    </row>
    <row r="5614" spans="5:12" x14ac:dyDescent="0.2">
      <c r="E5614" s="1063"/>
      <c r="H5614" s="1066"/>
      <c r="I5614" s="1063"/>
      <c r="J5614" s="1063"/>
      <c r="K5614" s="1063"/>
      <c r="L5614" s="1063"/>
    </row>
    <row r="5615" spans="5:12" x14ac:dyDescent="0.2">
      <c r="E5615" s="1063"/>
      <c r="H5615" s="1066"/>
      <c r="I5615" s="1063"/>
      <c r="J5615" s="1063"/>
      <c r="K5615" s="1063"/>
      <c r="L5615" s="1063"/>
    </row>
    <row r="5616" spans="5:12" x14ac:dyDescent="0.2">
      <c r="E5616" s="1063"/>
      <c r="H5616" s="1066"/>
      <c r="I5616" s="1063"/>
      <c r="J5616" s="1063"/>
      <c r="K5616" s="1063"/>
      <c r="L5616" s="1063"/>
    </row>
    <row r="5617" spans="5:12" x14ac:dyDescent="0.2">
      <c r="E5617" s="1063"/>
      <c r="H5617" s="1066"/>
      <c r="I5617" s="1063"/>
      <c r="J5617" s="1063"/>
      <c r="K5617" s="1063"/>
      <c r="L5617" s="1063"/>
    </row>
    <row r="5618" spans="5:12" x14ac:dyDescent="0.2">
      <c r="E5618" s="1063"/>
      <c r="H5618" s="1066"/>
      <c r="I5618" s="1063"/>
      <c r="J5618" s="1063"/>
      <c r="K5618" s="1063"/>
      <c r="L5618" s="1063"/>
    </row>
    <row r="5619" spans="5:12" x14ac:dyDescent="0.2">
      <c r="E5619" s="1063"/>
      <c r="H5619" s="1066"/>
      <c r="I5619" s="1063"/>
      <c r="J5619" s="1063"/>
      <c r="K5619" s="1063"/>
      <c r="L5619" s="1063"/>
    </row>
    <row r="5620" spans="5:12" x14ac:dyDescent="0.2">
      <c r="E5620" s="1063"/>
      <c r="H5620" s="1066"/>
      <c r="I5620" s="1063"/>
      <c r="J5620" s="1063"/>
      <c r="K5620" s="1063"/>
      <c r="L5620" s="1063"/>
    </row>
    <row r="5621" spans="5:12" x14ac:dyDescent="0.2">
      <c r="E5621" s="1063"/>
      <c r="H5621" s="1066"/>
      <c r="I5621" s="1063"/>
      <c r="J5621" s="1063"/>
      <c r="K5621" s="1063"/>
      <c r="L5621" s="1063"/>
    </row>
    <row r="5622" spans="5:12" x14ac:dyDescent="0.2">
      <c r="E5622" s="1063"/>
      <c r="H5622" s="1066"/>
      <c r="I5622" s="1063"/>
      <c r="J5622" s="1063"/>
      <c r="K5622" s="1063"/>
      <c r="L5622" s="1063"/>
    </row>
    <row r="5623" spans="5:12" x14ac:dyDescent="0.2">
      <c r="E5623" s="1063"/>
      <c r="H5623" s="1066"/>
      <c r="I5623" s="1063"/>
      <c r="J5623" s="1063"/>
      <c r="K5623" s="1063"/>
      <c r="L5623" s="1063"/>
    </row>
    <row r="5624" spans="5:12" x14ac:dyDescent="0.2">
      <c r="E5624" s="1063"/>
      <c r="H5624" s="1066"/>
      <c r="I5624" s="1063"/>
      <c r="J5624" s="1063"/>
      <c r="K5624" s="1063"/>
      <c r="L5624" s="1063"/>
    </row>
    <row r="5625" spans="5:12" x14ac:dyDescent="0.2">
      <c r="E5625" s="1063"/>
      <c r="H5625" s="1066"/>
      <c r="I5625" s="1063"/>
      <c r="J5625" s="1063"/>
      <c r="K5625" s="1063"/>
      <c r="L5625" s="1063"/>
    </row>
    <row r="5626" spans="5:12" x14ac:dyDescent="0.2">
      <c r="E5626" s="1063"/>
      <c r="H5626" s="1066"/>
      <c r="I5626" s="1063"/>
      <c r="J5626" s="1063"/>
      <c r="K5626" s="1063"/>
      <c r="L5626" s="1063"/>
    </row>
    <row r="5627" spans="5:12" x14ac:dyDescent="0.2">
      <c r="E5627" s="1063"/>
      <c r="H5627" s="1066"/>
      <c r="I5627" s="1063"/>
      <c r="J5627" s="1063"/>
      <c r="K5627" s="1063"/>
      <c r="L5627" s="1063"/>
    </row>
    <row r="5628" spans="5:12" x14ac:dyDescent="0.2">
      <c r="E5628" s="1063"/>
      <c r="H5628" s="1066"/>
      <c r="I5628" s="1063"/>
      <c r="J5628" s="1063"/>
      <c r="K5628" s="1063"/>
      <c r="L5628" s="1063"/>
    </row>
    <row r="5629" spans="5:12" x14ac:dyDescent="0.2">
      <c r="E5629" s="1063"/>
      <c r="H5629" s="1066"/>
      <c r="I5629" s="1063"/>
      <c r="J5629" s="1063"/>
      <c r="K5629" s="1063"/>
      <c r="L5629" s="1063"/>
    </row>
    <row r="5630" spans="5:12" x14ac:dyDescent="0.2">
      <c r="E5630" s="1063"/>
      <c r="H5630" s="1066"/>
      <c r="I5630" s="1063"/>
      <c r="J5630" s="1063"/>
      <c r="K5630" s="1063"/>
      <c r="L5630" s="1063"/>
    </row>
    <row r="5631" spans="5:12" x14ac:dyDescent="0.2">
      <c r="E5631" s="1063"/>
      <c r="H5631" s="1066"/>
      <c r="I5631" s="1063"/>
      <c r="J5631" s="1063"/>
      <c r="K5631" s="1063"/>
      <c r="L5631" s="1063"/>
    </row>
    <row r="5632" spans="5:12" x14ac:dyDescent="0.2">
      <c r="E5632" s="1063"/>
      <c r="H5632" s="1066"/>
      <c r="I5632" s="1063"/>
      <c r="J5632" s="1063"/>
      <c r="K5632" s="1063"/>
      <c r="L5632" s="1063"/>
    </row>
    <row r="5633" spans="5:12" x14ac:dyDescent="0.2">
      <c r="E5633" s="1063"/>
      <c r="H5633" s="1066"/>
      <c r="I5633" s="1063"/>
      <c r="J5633" s="1063"/>
      <c r="K5633" s="1063"/>
      <c r="L5633" s="1063"/>
    </row>
    <row r="5634" spans="5:12" x14ac:dyDescent="0.2">
      <c r="E5634" s="1063"/>
      <c r="H5634" s="1066"/>
      <c r="I5634" s="1063"/>
      <c r="J5634" s="1063"/>
      <c r="K5634" s="1063"/>
      <c r="L5634" s="1063"/>
    </row>
    <row r="5635" spans="5:12" x14ac:dyDescent="0.2">
      <c r="E5635" s="1063"/>
      <c r="H5635" s="1066"/>
      <c r="I5635" s="1063"/>
      <c r="J5635" s="1063"/>
      <c r="K5635" s="1063"/>
      <c r="L5635" s="1063"/>
    </row>
    <row r="5636" spans="5:12" x14ac:dyDescent="0.2">
      <c r="E5636" s="1063"/>
      <c r="H5636" s="1066"/>
      <c r="I5636" s="1063"/>
      <c r="J5636" s="1063"/>
      <c r="K5636" s="1063"/>
      <c r="L5636" s="1063"/>
    </row>
    <row r="5637" spans="5:12" x14ac:dyDescent="0.2">
      <c r="E5637" s="1063"/>
      <c r="H5637" s="1066"/>
      <c r="I5637" s="1063"/>
      <c r="J5637" s="1063"/>
      <c r="K5637" s="1063"/>
      <c r="L5637" s="1063"/>
    </row>
    <row r="5638" spans="5:12" x14ac:dyDescent="0.2">
      <c r="E5638" s="1063"/>
      <c r="H5638" s="1066"/>
      <c r="I5638" s="1063"/>
      <c r="J5638" s="1063"/>
      <c r="K5638" s="1063"/>
      <c r="L5638" s="1063"/>
    </row>
    <row r="5639" spans="5:12" x14ac:dyDescent="0.2">
      <c r="E5639" s="1063"/>
      <c r="H5639" s="1066"/>
      <c r="I5639" s="1063"/>
      <c r="J5639" s="1063"/>
      <c r="K5639" s="1063"/>
      <c r="L5639" s="1063"/>
    </row>
    <row r="5640" spans="5:12" x14ac:dyDescent="0.2">
      <c r="E5640" s="1063"/>
      <c r="H5640" s="1066"/>
      <c r="I5640" s="1063"/>
      <c r="J5640" s="1063"/>
      <c r="K5640" s="1063"/>
      <c r="L5640" s="1063"/>
    </row>
    <row r="5641" spans="5:12" x14ac:dyDescent="0.2">
      <c r="E5641" s="1063"/>
      <c r="H5641" s="1066"/>
      <c r="I5641" s="1063"/>
      <c r="J5641" s="1063"/>
      <c r="K5641" s="1063"/>
      <c r="L5641" s="1063"/>
    </row>
    <row r="5642" spans="5:12" x14ac:dyDescent="0.2">
      <c r="E5642" s="1063"/>
      <c r="H5642" s="1066"/>
      <c r="I5642" s="1063"/>
      <c r="J5642" s="1063"/>
      <c r="K5642" s="1063"/>
      <c r="L5642" s="1063"/>
    </row>
    <row r="5643" spans="5:12" x14ac:dyDescent="0.2">
      <c r="E5643" s="1063"/>
      <c r="H5643" s="1066"/>
      <c r="I5643" s="1063"/>
      <c r="J5643" s="1063"/>
      <c r="K5643" s="1063"/>
      <c r="L5643" s="1063"/>
    </row>
    <row r="5644" spans="5:12" x14ac:dyDescent="0.2">
      <c r="E5644" s="1063"/>
      <c r="H5644" s="1066"/>
      <c r="I5644" s="1063"/>
      <c r="J5644" s="1063"/>
      <c r="K5644" s="1063"/>
      <c r="L5644" s="1063"/>
    </row>
    <row r="5645" spans="5:12" x14ac:dyDescent="0.2">
      <c r="E5645" s="1063"/>
      <c r="H5645" s="1066"/>
      <c r="I5645" s="1063"/>
      <c r="J5645" s="1063"/>
      <c r="K5645" s="1063"/>
      <c r="L5645" s="1063"/>
    </row>
    <row r="5646" spans="5:12" x14ac:dyDescent="0.2">
      <c r="E5646" s="1063"/>
      <c r="H5646" s="1066"/>
      <c r="I5646" s="1063"/>
      <c r="J5646" s="1063"/>
      <c r="K5646" s="1063"/>
      <c r="L5646" s="1063"/>
    </row>
    <row r="5647" spans="5:12" x14ac:dyDescent="0.2">
      <c r="E5647" s="1063"/>
      <c r="H5647" s="1066"/>
      <c r="I5647" s="1063"/>
      <c r="J5647" s="1063"/>
      <c r="K5647" s="1063"/>
      <c r="L5647" s="1063"/>
    </row>
    <row r="5648" spans="5:12" x14ac:dyDescent="0.2">
      <c r="E5648" s="1063"/>
      <c r="H5648" s="1066"/>
      <c r="I5648" s="1063"/>
      <c r="J5648" s="1063"/>
      <c r="K5648" s="1063"/>
      <c r="L5648" s="1063"/>
    </row>
    <row r="5649" spans="5:12" x14ac:dyDescent="0.2">
      <c r="E5649" s="1063"/>
      <c r="H5649" s="1066"/>
      <c r="I5649" s="1063"/>
      <c r="J5649" s="1063"/>
      <c r="K5649" s="1063"/>
      <c r="L5649" s="1063"/>
    </row>
    <row r="5650" spans="5:12" x14ac:dyDescent="0.2">
      <c r="E5650" s="1063"/>
      <c r="H5650" s="1066"/>
      <c r="I5650" s="1063"/>
      <c r="J5650" s="1063"/>
      <c r="K5650" s="1063"/>
      <c r="L5650" s="1063"/>
    </row>
    <row r="5651" spans="5:12" x14ac:dyDescent="0.2">
      <c r="E5651" s="1063"/>
      <c r="H5651" s="1066"/>
      <c r="I5651" s="1063"/>
      <c r="J5651" s="1063"/>
      <c r="K5651" s="1063"/>
      <c r="L5651" s="1063"/>
    </row>
    <row r="5652" spans="5:12" x14ac:dyDescent="0.2">
      <c r="E5652" s="1063"/>
      <c r="H5652" s="1066"/>
      <c r="I5652" s="1063"/>
      <c r="J5652" s="1063"/>
      <c r="K5652" s="1063"/>
      <c r="L5652" s="1063"/>
    </row>
    <row r="5653" spans="5:12" x14ac:dyDescent="0.2">
      <c r="E5653" s="1063"/>
      <c r="H5653" s="1066"/>
      <c r="I5653" s="1063"/>
      <c r="J5653" s="1063"/>
      <c r="K5653" s="1063"/>
      <c r="L5653" s="1063"/>
    </row>
    <row r="5654" spans="5:12" x14ac:dyDescent="0.2">
      <c r="E5654" s="1063"/>
      <c r="H5654" s="1066"/>
      <c r="I5654" s="1063"/>
      <c r="J5654" s="1063"/>
      <c r="K5654" s="1063"/>
      <c r="L5654" s="1063"/>
    </row>
    <row r="5655" spans="5:12" x14ac:dyDescent="0.2">
      <c r="E5655" s="1063"/>
      <c r="H5655" s="1066"/>
      <c r="I5655" s="1063"/>
      <c r="J5655" s="1063"/>
      <c r="K5655" s="1063"/>
      <c r="L5655" s="1063"/>
    </row>
    <row r="5656" spans="5:12" x14ac:dyDescent="0.2">
      <c r="E5656" s="1063"/>
      <c r="H5656" s="1066"/>
      <c r="I5656" s="1063"/>
      <c r="J5656" s="1063"/>
      <c r="K5656" s="1063"/>
      <c r="L5656" s="1063"/>
    </row>
    <row r="5657" spans="5:12" x14ac:dyDescent="0.2">
      <c r="E5657" s="1063"/>
      <c r="H5657" s="1066"/>
      <c r="I5657" s="1063"/>
      <c r="J5657" s="1063"/>
      <c r="K5657" s="1063"/>
      <c r="L5657" s="1063"/>
    </row>
    <row r="5658" spans="5:12" x14ac:dyDescent="0.2">
      <c r="E5658" s="1063"/>
      <c r="H5658" s="1066"/>
      <c r="I5658" s="1063"/>
      <c r="J5658" s="1063"/>
      <c r="K5658" s="1063"/>
      <c r="L5658" s="1063"/>
    </row>
    <row r="5659" spans="5:12" x14ac:dyDescent="0.2">
      <c r="E5659" s="1063"/>
      <c r="H5659" s="1066"/>
      <c r="I5659" s="1063"/>
      <c r="J5659" s="1063"/>
      <c r="K5659" s="1063"/>
      <c r="L5659" s="1063"/>
    </row>
    <row r="5660" spans="5:12" x14ac:dyDescent="0.2">
      <c r="E5660" s="1063"/>
      <c r="H5660" s="1066"/>
      <c r="I5660" s="1063"/>
      <c r="J5660" s="1063"/>
      <c r="K5660" s="1063"/>
      <c r="L5660" s="1063"/>
    </row>
    <row r="5661" spans="5:12" x14ac:dyDescent="0.2">
      <c r="E5661" s="1063"/>
      <c r="H5661" s="1066"/>
      <c r="I5661" s="1063"/>
      <c r="J5661" s="1063"/>
      <c r="K5661" s="1063"/>
      <c r="L5661" s="1063"/>
    </row>
    <row r="5662" spans="5:12" x14ac:dyDescent="0.2">
      <c r="E5662" s="1063"/>
      <c r="H5662" s="1066"/>
      <c r="I5662" s="1063"/>
      <c r="J5662" s="1063"/>
      <c r="K5662" s="1063"/>
      <c r="L5662" s="1063"/>
    </row>
    <row r="5663" spans="5:12" x14ac:dyDescent="0.2">
      <c r="E5663" s="1063"/>
      <c r="H5663" s="1066"/>
      <c r="I5663" s="1063"/>
      <c r="J5663" s="1063"/>
      <c r="K5663" s="1063"/>
      <c r="L5663" s="1063"/>
    </row>
    <row r="5664" spans="5:12" x14ac:dyDescent="0.2">
      <c r="E5664" s="1063"/>
      <c r="H5664" s="1066"/>
      <c r="I5664" s="1063"/>
      <c r="J5664" s="1063"/>
      <c r="K5664" s="1063"/>
      <c r="L5664" s="1063"/>
    </row>
    <row r="5665" spans="5:12" x14ac:dyDescent="0.2">
      <c r="E5665" s="1063"/>
      <c r="H5665" s="1066"/>
      <c r="I5665" s="1063"/>
      <c r="J5665" s="1063"/>
      <c r="K5665" s="1063"/>
      <c r="L5665" s="1063"/>
    </row>
    <row r="5666" spans="5:12" x14ac:dyDescent="0.2">
      <c r="E5666" s="1063"/>
      <c r="H5666" s="1066"/>
      <c r="I5666" s="1063"/>
      <c r="J5666" s="1063"/>
      <c r="K5666" s="1063"/>
      <c r="L5666" s="1063"/>
    </row>
    <row r="5667" spans="5:12" x14ac:dyDescent="0.2">
      <c r="E5667" s="1063"/>
      <c r="H5667" s="1066"/>
      <c r="I5667" s="1063"/>
      <c r="J5667" s="1063"/>
      <c r="K5667" s="1063"/>
      <c r="L5667" s="1063"/>
    </row>
    <row r="5668" spans="5:12" x14ac:dyDescent="0.2">
      <c r="E5668" s="1063"/>
      <c r="H5668" s="1066"/>
      <c r="I5668" s="1063"/>
      <c r="J5668" s="1063"/>
      <c r="K5668" s="1063"/>
      <c r="L5668" s="1063"/>
    </row>
    <row r="5669" spans="5:12" x14ac:dyDescent="0.2">
      <c r="E5669" s="1063"/>
      <c r="H5669" s="1066"/>
      <c r="I5669" s="1063"/>
      <c r="J5669" s="1063"/>
      <c r="K5669" s="1063"/>
      <c r="L5669" s="1063"/>
    </row>
    <row r="5670" spans="5:12" x14ac:dyDescent="0.2">
      <c r="E5670" s="1063"/>
      <c r="H5670" s="1066"/>
      <c r="I5670" s="1063"/>
      <c r="J5670" s="1063"/>
      <c r="K5670" s="1063"/>
      <c r="L5670" s="1063"/>
    </row>
    <row r="5671" spans="5:12" x14ac:dyDescent="0.2">
      <c r="E5671" s="1063"/>
      <c r="H5671" s="1066"/>
      <c r="I5671" s="1063"/>
      <c r="J5671" s="1063"/>
      <c r="K5671" s="1063"/>
      <c r="L5671" s="1063"/>
    </row>
    <row r="5672" spans="5:12" x14ac:dyDescent="0.2">
      <c r="E5672" s="1063"/>
      <c r="H5672" s="1066"/>
      <c r="I5672" s="1063"/>
      <c r="J5672" s="1063"/>
      <c r="K5672" s="1063"/>
      <c r="L5672" s="1063"/>
    </row>
    <row r="5673" spans="5:12" x14ac:dyDescent="0.2">
      <c r="E5673" s="1063"/>
      <c r="H5673" s="1066"/>
      <c r="I5673" s="1063"/>
      <c r="J5673" s="1063"/>
      <c r="K5673" s="1063"/>
      <c r="L5673" s="1063"/>
    </row>
    <row r="5674" spans="5:12" x14ac:dyDescent="0.2">
      <c r="E5674" s="1063"/>
      <c r="H5674" s="1066"/>
      <c r="I5674" s="1063"/>
      <c r="J5674" s="1063"/>
      <c r="K5674" s="1063"/>
      <c r="L5674" s="1063"/>
    </row>
    <row r="5675" spans="5:12" x14ac:dyDescent="0.2">
      <c r="E5675" s="1063"/>
      <c r="H5675" s="1066"/>
      <c r="I5675" s="1063"/>
      <c r="J5675" s="1063"/>
      <c r="K5675" s="1063"/>
      <c r="L5675" s="1063"/>
    </row>
    <row r="5676" spans="5:12" x14ac:dyDescent="0.2">
      <c r="E5676" s="1063"/>
      <c r="H5676" s="1066"/>
      <c r="I5676" s="1063"/>
      <c r="J5676" s="1063"/>
      <c r="K5676" s="1063"/>
      <c r="L5676" s="1063"/>
    </row>
    <row r="5677" spans="5:12" x14ac:dyDescent="0.2">
      <c r="E5677" s="1063"/>
      <c r="H5677" s="1066"/>
      <c r="I5677" s="1063"/>
      <c r="J5677" s="1063"/>
      <c r="K5677" s="1063"/>
      <c r="L5677" s="1063"/>
    </row>
    <row r="5678" spans="5:12" x14ac:dyDescent="0.2">
      <c r="E5678" s="1063"/>
      <c r="H5678" s="1066"/>
      <c r="I5678" s="1063"/>
      <c r="J5678" s="1063"/>
      <c r="K5678" s="1063"/>
      <c r="L5678" s="1063"/>
    </row>
    <row r="5679" spans="5:12" x14ac:dyDescent="0.2">
      <c r="E5679" s="1063"/>
      <c r="H5679" s="1066"/>
      <c r="I5679" s="1063"/>
      <c r="J5679" s="1063"/>
      <c r="K5679" s="1063"/>
      <c r="L5679" s="1063"/>
    </row>
    <row r="5680" spans="5:12" x14ac:dyDescent="0.2">
      <c r="E5680" s="1063"/>
      <c r="H5680" s="1066"/>
      <c r="I5680" s="1063"/>
      <c r="J5680" s="1063"/>
      <c r="K5680" s="1063"/>
      <c r="L5680" s="1063"/>
    </row>
    <row r="5681" spans="5:12" x14ac:dyDescent="0.2">
      <c r="E5681" s="1063"/>
      <c r="H5681" s="1066"/>
      <c r="I5681" s="1063"/>
      <c r="J5681" s="1063"/>
      <c r="K5681" s="1063"/>
      <c r="L5681" s="1063"/>
    </row>
    <row r="5682" spans="5:12" x14ac:dyDescent="0.2">
      <c r="E5682" s="1063"/>
      <c r="H5682" s="1066"/>
      <c r="I5682" s="1063"/>
      <c r="J5682" s="1063"/>
      <c r="K5682" s="1063"/>
      <c r="L5682" s="1063"/>
    </row>
    <row r="5683" spans="5:12" x14ac:dyDescent="0.2">
      <c r="E5683" s="1063"/>
      <c r="H5683" s="1066"/>
      <c r="I5683" s="1063"/>
      <c r="J5683" s="1063"/>
      <c r="K5683" s="1063"/>
      <c r="L5683" s="1063"/>
    </row>
    <row r="5684" spans="5:12" x14ac:dyDescent="0.2">
      <c r="E5684" s="1063"/>
      <c r="H5684" s="1066"/>
      <c r="I5684" s="1063"/>
      <c r="J5684" s="1063"/>
      <c r="K5684" s="1063"/>
      <c r="L5684" s="1063"/>
    </row>
    <row r="5685" spans="5:12" x14ac:dyDescent="0.2">
      <c r="E5685" s="1063"/>
      <c r="H5685" s="1066"/>
      <c r="I5685" s="1063"/>
      <c r="J5685" s="1063"/>
      <c r="K5685" s="1063"/>
      <c r="L5685" s="1063"/>
    </row>
    <row r="5686" spans="5:12" x14ac:dyDescent="0.2">
      <c r="E5686" s="1063"/>
      <c r="H5686" s="1066"/>
      <c r="I5686" s="1063"/>
      <c r="J5686" s="1063"/>
      <c r="K5686" s="1063"/>
      <c r="L5686" s="1063"/>
    </row>
    <row r="5687" spans="5:12" x14ac:dyDescent="0.2">
      <c r="E5687" s="1063"/>
      <c r="H5687" s="1066"/>
      <c r="I5687" s="1063"/>
      <c r="J5687" s="1063"/>
      <c r="K5687" s="1063"/>
      <c r="L5687" s="1063"/>
    </row>
    <row r="5688" spans="5:12" x14ac:dyDescent="0.2">
      <c r="E5688" s="1063"/>
      <c r="H5688" s="1066"/>
      <c r="I5688" s="1063"/>
      <c r="J5688" s="1063"/>
      <c r="K5688" s="1063"/>
      <c r="L5688" s="1063"/>
    </row>
    <row r="5689" spans="5:12" x14ac:dyDescent="0.2">
      <c r="E5689" s="1063"/>
      <c r="H5689" s="1066"/>
      <c r="I5689" s="1063"/>
      <c r="J5689" s="1063"/>
      <c r="K5689" s="1063"/>
      <c r="L5689" s="1063"/>
    </row>
    <row r="5690" spans="5:12" x14ac:dyDescent="0.2">
      <c r="E5690" s="1063"/>
      <c r="H5690" s="1066"/>
      <c r="I5690" s="1063"/>
      <c r="J5690" s="1063"/>
      <c r="K5690" s="1063"/>
      <c r="L5690" s="1063"/>
    </row>
    <row r="5691" spans="5:12" x14ac:dyDescent="0.2">
      <c r="E5691" s="1063"/>
      <c r="H5691" s="1066"/>
      <c r="I5691" s="1063"/>
      <c r="J5691" s="1063"/>
      <c r="K5691" s="1063"/>
      <c r="L5691" s="1063"/>
    </row>
    <row r="5692" spans="5:12" x14ac:dyDescent="0.2">
      <c r="E5692" s="1063"/>
      <c r="H5692" s="1066"/>
      <c r="I5692" s="1063"/>
      <c r="J5692" s="1063"/>
      <c r="K5692" s="1063"/>
      <c r="L5692" s="1063"/>
    </row>
    <row r="5693" spans="5:12" x14ac:dyDescent="0.2">
      <c r="E5693" s="1063"/>
      <c r="H5693" s="1066"/>
      <c r="I5693" s="1063"/>
      <c r="J5693" s="1063"/>
      <c r="K5693" s="1063"/>
      <c r="L5693" s="1063"/>
    </row>
    <row r="5694" spans="5:12" x14ac:dyDescent="0.2">
      <c r="E5694" s="1063"/>
      <c r="H5694" s="1066"/>
      <c r="I5694" s="1063"/>
      <c r="J5694" s="1063"/>
      <c r="K5694" s="1063"/>
      <c r="L5694" s="1063"/>
    </row>
    <row r="5695" spans="5:12" x14ac:dyDescent="0.2">
      <c r="E5695" s="1063"/>
      <c r="H5695" s="1066"/>
      <c r="I5695" s="1063"/>
      <c r="J5695" s="1063"/>
      <c r="K5695" s="1063"/>
      <c r="L5695" s="1063"/>
    </row>
    <row r="5696" spans="5:12" x14ac:dyDescent="0.2">
      <c r="E5696" s="1063"/>
      <c r="H5696" s="1066"/>
      <c r="I5696" s="1063"/>
      <c r="J5696" s="1063"/>
      <c r="K5696" s="1063"/>
      <c r="L5696" s="1063"/>
    </row>
    <row r="5697" spans="5:12" x14ac:dyDescent="0.2">
      <c r="E5697" s="1063"/>
      <c r="H5697" s="1066"/>
      <c r="I5697" s="1063"/>
      <c r="J5697" s="1063"/>
      <c r="K5697" s="1063"/>
      <c r="L5697" s="1063"/>
    </row>
    <row r="5698" spans="5:12" x14ac:dyDescent="0.2">
      <c r="E5698" s="1063"/>
      <c r="H5698" s="1066"/>
      <c r="I5698" s="1063"/>
      <c r="J5698" s="1063"/>
      <c r="K5698" s="1063"/>
      <c r="L5698" s="1063"/>
    </row>
    <row r="5699" spans="5:12" x14ac:dyDescent="0.2">
      <c r="E5699" s="1063"/>
      <c r="H5699" s="1066"/>
      <c r="I5699" s="1063"/>
      <c r="J5699" s="1063"/>
      <c r="K5699" s="1063"/>
      <c r="L5699" s="1063"/>
    </row>
    <row r="5700" spans="5:12" x14ac:dyDescent="0.2">
      <c r="E5700" s="1063"/>
      <c r="H5700" s="1066"/>
      <c r="I5700" s="1063"/>
      <c r="J5700" s="1063"/>
      <c r="K5700" s="1063"/>
      <c r="L5700" s="1063"/>
    </row>
    <row r="5701" spans="5:12" x14ac:dyDescent="0.2">
      <c r="E5701" s="1063"/>
      <c r="H5701" s="1066"/>
      <c r="I5701" s="1063"/>
      <c r="J5701" s="1063"/>
      <c r="K5701" s="1063"/>
      <c r="L5701" s="1063"/>
    </row>
    <row r="5702" spans="5:12" x14ac:dyDescent="0.2">
      <c r="E5702" s="1063"/>
      <c r="H5702" s="1066"/>
      <c r="I5702" s="1063"/>
      <c r="J5702" s="1063"/>
      <c r="K5702" s="1063"/>
      <c r="L5702" s="1063"/>
    </row>
    <row r="5703" spans="5:12" x14ac:dyDescent="0.2">
      <c r="E5703" s="1063"/>
      <c r="H5703" s="1066"/>
      <c r="I5703" s="1063"/>
      <c r="J5703" s="1063"/>
      <c r="K5703" s="1063"/>
      <c r="L5703" s="1063"/>
    </row>
    <row r="5704" spans="5:12" x14ac:dyDescent="0.2">
      <c r="E5704" s="1063"/>
      <c r="H5704" s="1066"/>
      <c r="I5704" s="1063"/>
      <c r="J5704" s="1063"/>
      <c r="K5704" s="1063"/>
      <c r="L5704" s="1063"/>
    </row>
    <row r="5705" spans="5:12" x14ac:dyDescent="0.2">
      <c r="E5705" s="1063"/>
      <c r="H5705" s="1066"/>
      <c r="I5705" s="1063"/>
      <c r="J5705" s="1063"/>
      <c r="K5705" s="1063"/>
      <c r="L5705" s="1063"/>
    </row>
    <row r="5706" spans="5:12" x14ac:dyDescent="0.2">
      <c r="E5706" s="1063"/>
      <c r="H5706" s="1066"/>
      <c r="I5706" s="1063"/>
      <c r="J5706" s="1063"/>
      <c r="K5706" s="1063"/>
      <c r="L5706" s="1063"/>
    </row>
    <row r="5707" spans="5:12" x14ac:dyDescent="0.2">
      <c r="E5707" s="1063"/>
      <c r="H5707" s="1066"/>
      <c r="I5707" s="1063"/>
      <c r="J5707" s="1063"/>
      <c r="K5707" s="1063"/>
      <c r="L5707" s="1063"/>
    </row>
    <row r="5708" spans="5:12" x14ac:dyDescent="0.2">
      <c r="E5708" s="1063"/>
      <c r="H5708" s="1066"/>
      <c r="I5708" s="1063"/>
      <c r="J5708" s="1063"/>
      <c r="K5708" s="1063"/>
      <c r="L5708" s="1063"/>
    </row>
    <row r="5709" spans="5:12" x14ac:dyDescent="0.2">
      <c r="E5709" s="1063"/>
      <c r="H5709" s="1066"/>
      <c r="I5709" s="1063"/>
      <c r="J5709" s="1063"/>
      <c r="K5709" s="1063"/>
      <c r="L5709" s="1063"/>
    </row>
    <row r="5710" spans="5:12" x14ac:dyDescent="0.2">
      <c r="E5710" s="1063"/>
      <c r="H5710" s="1066"/>
      <c r="I5710" s="1063"/>
      <c r="J5710" s="1063"/>
      <c r="K5710" s="1063"/>
      <c r="L5710" s="1063"/>
    </row>
    <row r="5711" spans="5:12" x14ac:dyDescent="0.2">
      <c r="E5711" s="1063"/>
      <c r="H5711" s="1066"/>
      <c r="I5711" s="1063"/>
      <c r="J5711" s="1063"/>
      <c r="K5711" s="1063"/>
      <c r="L5711" s="1063"/>
    </row>
    <row r="5712" spans="5:12" x14ac:dyDescent="0.2">
      <c r="E5712" s="1063"/>
      <c r="H5712" s="1066"/>
      <c r="I5712" s="1063"/>
      <c r="J5712" s="1063"/>
      <c r="K5712" s="1063"/>
      <c r="L5712" s="1063"/>
    </row>
    <row r="5713" spans="5:12" x14ac:dyDescent="0.2">
      <c r="E5713" s="1063"/>
      <c r="H5713" s="1066"/>
      <c r="I5713" s="1063"/>
      <c r="J5713" s="1063"/>
      <c r="K5713" s="1063"/>
      <c r="L5713" s="1063"/>
    </row>
    <row r="5714" spans="5:12" x14ac:dyDescent="0.2">
      <c r="E5714" s="1063"/>
      <c r="H5714" s="1066"/>
      <c r="I5714" s="1063"/>
      <c r="J5714" s="1063"/>
      <c r="K5714" s="1063"/>
      <c r="L5714" s="1063"/>
    </row>
    <row r="5715" spans="5:12" x14ac:dyDescent="0.2">
      <c r="E5715" s="1063"/>
      <c r="H5715" s="1066"/>
      <c r="I5715" s="1063"/>
      <c r="J5715" s="1063"/>
      <c r="K5715" s="1063"/>
      <c r="L5715" s="1063"/>
    </row>
    <row r="5716" spans="5:12" x14ac:dyDescent="0.2">
      <c r="E5716" s="1063"/>
      <c r="H5716" s="1066"/>
      <c r="I5716" s="1063"/>
      <c r="J5716" s="1063"/>
      <c r="K5716" s="1063"/>
      <c r="L5716" s="1063"/>
    </row>
    <row r="5717" spans="5:12" x14ac:dyDescent="0.2">
      <c r="E5717" s="1063"/>
      <c r="H5717" s="1066"/>
      <c r="I5717" s="1063"/>
      <c r="J5717" s="1063"/>
      <c r="K5717" s="1063"/>
      <c r="L5717" s="1063"/>
    </row>
    <row r="5718" spans="5:12" x14ac:dyDescent="0.2">
      <c r="E5718" s="1063"/>
      <c r="H5718" s="1066"/>
      <c r="I5718" s="1063"/>
      <c r="J5718" s="1063"/>
      <c r="K5718" s="1063"/>
      <c r="L5718" s="1063"/>
    </row>
    <row r="5719" spans="5:12" x14ac:dyDescent="0.2">
      <c r="E5719" s="1063"/>
      <c r="H5719" s="1066"/>
      <c r="I5719" s="1063"/>
      <c r="J5719" s="1063"/>
      <c r="K5719" s="1063"/>
      <c r="L5719" s="1063"/>
    </row>
    <row r="5720" spans="5:12" x14ac:dyDescent="0.2">
      <c r="E5720" s="1063"/>
      <c r="H5720" s="1066"/>
      <c r="I5720" s="1063"/>
      <c r="J5720" s="1063"/>
      <c r="K5720" s="1063"/>
      <c r="L5720" s="1063"/>
    </row>
    <row r="5721" spans="5:12" x14ac:dyDescent="0.2">
      <c r="E5721" s="1063"/>
      <c r="H5721" s="1066"/>
      <c r="I5721" s="1063"/>
      <c r="J5721" s="1063"/>
      <c r="K5721" s="1063"/>
      <c r="L5721" s="1063"/>
    </row>
    <row r="5722" spans="5:12" x14ac:dyDescent="0.2">
      <c r="E5722" s="1063"/>
      <c r="H5722" s="1066"/>
      <c r="I5722" s="1063"/>
      <c r="J5722" s="1063"/>
      <c r="K5722" s="1063"/>
      <c r="L5722" s="1063"/>
    </row>
    <row r="5723" spans="5:12" x14ac:dyDescent="0.2">
      <c r="E5723" s="1063"/>
      <c r="H5723" s="1066"/>
      <c r="I5723" s="1063"/>
      <c r="J5723" s="1063"/>
      <c r="K5723" s="1063"/>
      <c r="L5723" s="1063"/>
    </row>
    <row r="5724" spans="5:12" x14ac:dyDescent="0.2">
      <c r="E5724" s="1063"/>
      <c r="H5724" s="1066"/>
      <c r="I5724" s="1063"/>
      <c r="J5724" s="1063"/>
      <c r="K5724" s="1063"/>
      <c r="L5724" s="1063"/>
    </row>
    <row r="5725" spans="5:12" x14ac:dyDescent="0.2">
      <c r="E5725" s="1063"/>
      <c r="H5725" s="1066"/>
      <c r="I5725" s="1063"/>
      <c r="J5725" s="1063"/>
      <c r="K5725" s="1063"/>
      <c r="L5725" s="1063"/>
    </row>
    <row r="5726" spans="5:12" x14ac:dyDescent="0.2">
      <c r="E5726" s="1063"/>
      <c r="H5726" s="1066"/>
      <c r="I5726" s="1063"/>
      <c r="J5726" s="1063"/>
      <c r="K5726" s="1063"/>
      <c r="L5726" s="1063"/>
    </row>
    <row r="5727" spans="5:12" x14ac:dyDescent="0.2">
      <c r="E5727" s="1063"/>
      <c r="H5727" s="1066"/>
      <c r="I5727" s="1063"/>
      <c r="J5727" s="1063"/>
      <c r="K5727" s="1063"/>
      <c r="L5727" s="1063"/>
    </row>
    <row r="5728" spans="5:12" x14ac:dyDescent="0.2">
      <c r="E5728" s="1063"/>
      <c r="H5728" s="1066"/>
      <c r="I5728" s="1063"/>
      <c r="J5728" s="1063"/>
      <c r="K5728" s="1063"/>
      <c r="L5728" s="1063"/>
    </row>
    <row r="5729" spans="5:12" x14ac:dyDescent="0.2">
      <c r="E5729" s="1063"/>
      <c r="H5729" s="1066"/>
      <c r="I5729" s="1063"/>
      <c r="J5729" s="1063"/>
      <c r="K5729" s="1063"/>
      <c r="L5729" s="1063"/>
    </row>
    <row r="5730" spans="5:12" x14ac:dyDescent="0.2">
      <c r="E5730" s="1063"/>
      <c r="H5730" s="1066"/>
      <c r="I5730" s="1063"/>
      <c r="J5730" s="1063"/>
      <c r="K5730" s="1063"/>
      <c r="L5730" s="1063"/>
    </row>
    <row r="5731" spans="5:12" x14ac:dyDescent="0.2">
      <c r="E5731" s="1063"/>
      <c r="H5731" s="1066"/>
      <c r="I5731" s="1063"/>
      <c r="J5731" s="1063"/>
      <c r="K5731" s="1063"/>
      <c r="L5731" s="1063"/>
    </row>
    <row r="5732" spans="5:12" x14ac:dyDescent="0.2">
      <c r="E5732" s="1063"/>
      <c r="H5732" s="1066"/>
      <c r="I5732" s="1063"/>
      <c r="J5732" s="1063"/>
      <c r="K5732" s="1063"/>
      <c r="L5732" s="1063"/>
    </row>
    <row r="5733" spans="5:12" x14ac:dyDescent="0.2">
      <c r="E5733" s="1063"/>
      <c r="H5733" s="1066"/>
      <c r="I5733" s="1063"/>
      <c r="J5733" s="1063"/>
      <c r="K5733" s="1063"/>
      <c r="L5733" s="1063"/>
    </row>
    <row r="5734" spans="5:12" x14ac:dyDescent="0.2">
      <c r="E5734" s="1063"/>
      <c r="H5734" s="1066"/>
      <c r="I5734" s="1063"/>
      <c r="J5734" s="1063"/>
      <c r="K5734" s="1063"/>
      <c r="L5734" s="1063"/>
    </row>
    <row r="5735" spans="5:12" x14ac:dyDescent="0.2">
      <c r="E5735" s="1063"/>
      <c r="H5735" s="1066"/>
      <c r="I5735" s="1063"/>
      <c r="J5735" s="1063"/>
      <c r="K5735" s="1063"/>
      <c r="L5735" s="1063"/>
    </row>
    <row r="5736" spans="5:12" x14ac:dyDescent="0.2">
      <c r="E5736" s="1063"/>
      <c r="H5736" s="1066"/>
      <c r="I5736" s="1063"/>
      <c r="J5736" s="1063"/>
      <c r="K5736" s="1063"/>
      <c r="L5736" s="1063"/>
    </row>
    <row r="5737" spans="5:12" x14ac:dyDescent="0.2">
      <c r="E5737" s="1063"/>
      <c r="H5737" s="1066"/>
      <c r="I5737" s="1063"/>
      <c r="J5737" s="1063"/>
      <c r="K5737" s="1063"/>
      <c r="L5737" s="1063"/>
    </row>
    <row r="5738" spans="5:12" x14ac:dyDescent="0.2">
      <c r="E5738" s="1063"/>
      <c r="H5738" s="1066"/>
      <c r="I5738" s="1063"/>
      <c r="J5738" s="1063"/>
      <c r="K5738" s="1063"/>
      <c r="L5738" s="1063"/>
    </row>
    <row r="5739" spans="5:12" x14ac:dyDescent="0.2">
      <c r="E5739" s="1063"/>
      <c r="H5739" s="1066"/>
      <c r="I5739" s="1063"/>
      <c r="J5739" s="1063"/>
      <c r="K5739" s="1063"/>
      <c r="L5739" s="1063"/>
    </row>
    <row r="5740" spans="5:12" x14ac:dyDescent="0.2">
      <c r="E5740" s="1063"/>
      <c r="H5740" s="1066"/>
      <c r="I5740" s="1063"/>
      <c r="J5740" s="1063"/>
      <c r="K5740" s="1063"/>
      <c r="L5740" s="1063"/>
    </row>
    <row r="5741" spans="5:12" x14ac:dyDescent="0.2">
      <c r="E5741" s="1063"/>
      <c r="H5741" s="1066"/>
      <c r="I5741" s="1063"/>
      <c r="J5741" s="1063"/>
      <c r="K5741" s="1063"/>
      <c r="L5741" s="1063"/>
    </row>
    <row r="5742" spans="5:12" x14ac:dyDescent="0.2">
      <c r="E5742" s="1063"/>
      <c r="H5742" s="1066"/>
      <c r="I5742" s="1063"/>
      <c r="J5742" s="1063"/>
      <c r="K5742" s="1063"/>
      <c r="L5742" s="1063"/>
    </row>
    <row r="5743" spans="5:12" x14ac:dyDescent="0.2">
      <c r="E5743" s="1063"/>
      <c r="H5743" s="1066"/>
      <c r="I5743" s="1063"/>
      <c r="J5743" s="1063"/>
      <c r="K5743" s="1063"/>
      <c r="L5743" s="1063"/>
    </row>
    <row r="5744" spans="5:12" x14ac:dyDescent="0.2">
      <c r="E5744" s="1063"/>
      <c r="H5744" s="1066"/>
      <c r="I5744" s="1063"/>
      <c r="J5744" s="1063"/>
      <c r="K5744" s="1063"/>
      <c r="L5744" s="1063"/>
    </row>
    <row r="5745" spans="5:12" x14ac:dyDescent="0.2">
      <c r="E5745" s="1063"/>
      <c r="H5745" s="1066"/>
      <c r="I5745" s="1063"/>
      <c r="J5745" s="1063"/>
      <c r="K5745" s="1063"/>
      <c r="L5745" s="1063"/>
    </row>
    <row r="5746" spans="5:12" x14ac:dyDescent="0.2">
      <c r="E5746" s="1063"/>
      <c r="H5746" s="1066"/>
      <c r="I5746" s="1063"/>
      <c r="J5746" s="1063"/>
      <c r="K5746" s="1063"/>
      <c r="L5746" s="1063"/>
    </row>
    <row r="5747" spans="5:12" x14ac:dyDescent="0.2">
      <c r="E5747" s="1063"/>
      <c r="H5747" s="1066"/>
      <c r="I5747" s="1063"/>
      <c r="J5747" s="1063"/>
      <c r="K5747" s="1063"/>
      <c r="L5747" s="1063"/>
    </row>
    <row r="5748" spans="5:12" x14ac:dyDescent="0.2">
      <c r="E5748" s="1063"/>
      <c r="H5748" s="1066"/>
      <c r="I5748" s="1063"/>
      <c r="J5748" s="1063"/>
      <c r="K5748" s="1063"/>
      <c r="L5748" s="1063"/>
    </row>
    <row r="5749" spans="5:12" x14ac:dyDescent="0.2">
      <c r="E5749" s="1063"/>
      <c r="H5749" s="1066"/>
      <c r="I5749" s="1063"/>
      <c r="J5749" s="1063"/>
      <c r="K5749" s="1063"/>
      <c r="L5749" s="1063"/>
    </row>
    <row r="5750" spans="5:12" x14ac:dyDescent="0.2">
      <c r="E5750" s="1063"/>
      <c r="H5750" s="1066"/>
      <c r="I5750" s="1063"/>
      <c r="J5750" s="1063"/>
      <c r="K5750" s="1063"/>
      <c r="L5750" s="1063"/>
    </row>
    <row r="5751" spans="5:12" x14ac:dyDescent="0.2">
      <c r="E5751" s="1063"/>
      <c r="H5751" s="1066"/>
      <c r="I5751" s="1063"/>
      <c r="J5751" s="1063"/>
      <c r="K5751" s="1063"/>
      <c r="L5751" s="1063"/>
    </row>
    <row r="5752" spans="5:12" x14ac:dyDescent="0.2">
      <c r="E5752" s="1063"/>
      <c r="H5752" s="1066"/>
      <c r="I5752" s="1063"/>
      <c r="J5752" s="1063"/>
      <c r="K5752" s="1063"/>
      <c r="L5752" s="1063"/>
    </row>
    <row r="5753" spans="5:12" x14ac:dyDescent="0.2">
      <c r="E5753" s="1063"/>
      <c r="H5753" s="1066"/>
      <c r="I5753" s="1063"/>
      <c r="J5753" s="1063"/>
      <c r="K5753" s="1063"/>
      <c r="L5753" s="1063"/>
    </row>
    <row r="5754" spans="5:12" x14ac:dyDescent="0.2">
      <c r="E5754" s="1063"/>
      <c r="H5754" s="1066"/>
      <c r="I5754" s="1063"/>
      <c r="J5754" s="1063"/>
      <c r="K5754" s="1063"/>
      <c r="L5754" s="1063"/>
    </row>
    <row r="5755" spans="5:12" x14ac:dyDescent="0.2">
      <c r="E5755" s="1063"/>
      <c r="H5755" s="1066"/>
      <c r="I5755" s="1063"/>
      <c r="J5755" s="1063"/>
      <c r="K5755" s="1063"/>
      <c r="L5755" s="1063"/>
    </row>
    <row r="5756" spans="5:12" x14ac:dyDescent="0.2">
      <c r="E5756" s="1063"/>
      <c r="H5756" s="1066"/>
      <c r="I5756" s="1063"/>
      <c r="J5756" s="1063"/>
      <c r="K5756" s="1063"/>
      <c r="L5756" s="1063"/>
    </row>
    <row r="5757" spans="5:12" x14ac:dyDescent="0.2">
      <c r="E5757" s="1063"/>
      <c r="H5757" s="1066"/>
      <c r="I5757" s="1063"/>
      <c r="J5757" s="1063"/>
      <c r="K5757" s="1063"/>
      <c r="L5757" s="1063"/>
    </row>
    <row r="5758" spans="5:12" x14ac:dyDescent="0.2">
      <c r="E5758" s="1063"/>
      <c r="H5758" s="1066"/>
      <c r="I5758" s="1063"/>
      <c r="J5758" s="1063"/>
      <c r="K5758" s="1063"/>
      <c r="L5758" s="1063"/>
    </row>
    <row r="5759" spans="5:12" x14ac:dyDescent="0.2">
      <c r="E5759" s="1063"/>
      <c r="H5759" s="1066"/>
      <c r="I5759" s="1063"/>
      <c r="J5759" s="1063"/>
      <c r="K5759" s="1063"/>
      <c r="L5759" s="1063"/>
    </row>
    <row r="5760" spans="5:12" x14ac:dyDescent="0.2">
      <c r="E5760" s="1063"/>
      <c r="H5760" s="1066"/>
      <c r="I5760" s="1063"/>
      <c r="J5760" s="1063"/>
      <c r="K5760" s="1063"/>
      <c r="L5760" s="1063"/>
    </row>
    <row r="5761" spans="5:12" x14ac:dyDescent="0.2">
      <c r="E5761" s="1063"/>
      <c r="H5761" s="1066"/>
      <c r="I5761" s="1063"/>
      <c r="J5761" s="1063"/>
      <c r="K5761" s="1063"/>
      <c r="L5761" s="1063"/>
    </row>
    <row r="5762" spans="5:12" x14ac:dyDescent="0.2">
      <c r="E5762" s="1063"/>
      <c r="H5762" s="1066"/>
      <c r="I5762" s="1063"/>
      <c r="J5762" s="1063"/>
      <c r="K5762" s="1063"/>
      <c r="L5762" s="1063"/>
    </row>
    <row r="5763" spans="5:12" x14ac:dyDescent="0.2">
      <c r="E5763" s="1063"/>
      <c r="H5763" s="1066"/>
      <c r="I5763" s="1063"/>
      <c r="J5763" s="1063"/>
      <c r="K5763" s="1063"/>
      <c r="L5763" s="1063"/>
    </row>
    <row r="5764" spans="5:12" x14ac:dyDescent="0.2">
      <c r="E5764" s="1063"/>
      <c r="H5764" s="1066"/>
      <c r="I5764" s="1063"/>
      <c r="J5764" s="1063"/>
      <c r="K5764" s="1063"/>
      <c r="L5764" s="1063"/>
    </row>
    <row r="5765" spans="5:12" x14ac:dyDescent="0.2">
      <c r="E5765" s="1063"/>
      <c r="H5765" s="1066"/>
      <c r="I5765" s="1063"/>
      <c r="J5765" s="1063"/>
      <c r="K5765" s="1063"/>
      <c r="L5765" s="1063"/>
    </row>
    <row r="5766" spans="5:12" x14ac:dyDescent="0.2">
      <c r="E5766" s="1063"/>
      <c r="H5766" s="1066"/>
      <c r="I5766" s="1063"/>
      <c r="J5766" s="1063"/>
      <c r="K5766" s="1063"/>
      <c r="L5766" s="1063"/>
    </row>
    <row r="5767" spans="5:12" x14ac:dyDescent="0.2">
      <c r="E5767" s="1063"/>
      <c r="H5767" s="1066"/>
      <c r="I5767" s="1063"/>
      <c r="J5767" s="1063"/>
      <c r="K5767" s="1063"/>
      <c r="L5767" s="1063"/>
    </row>
    <row r="5768" spans="5:12" x14ac:dyDescent="0.2">
      <c r="E5768" s="1063"/>
      <c r="H5768" s="1066"/>
      <c r="I5768" s="1063"/>
      <c r="J5768" s="1063"/>
      <c r="K5768" s="1063"/>
      <c r="L5768" s="1063"/>
    </row>
    <row r="5769" spans="5:12" x14ac:dyDescent="0.2">
      <c r="E5769" s="1063"/>
      <c r="H5769" s="1066"/>
      <c r="I5769" s="1063"/>
      <c r="J5769" s="1063"/>
      <c r="K5769" s="1063"/>
      <c r="L5769" s="1063"/>
    </row>
    <row r="5770" spans="5:12" x14ac:dyDescent="0.2">
      <c r="E5770" s="1063"/>
      <c r="H5770" s="1066"/>
      <c r="I5770" s="1063"/>
      <c r="J5770" s="1063"/>
      <c r="K5770" s="1063"/>
      <c r="L5770" s="1063"/>
    </row>
    <row r="5771" spans="5:12" x14ac:dyDescent="0.2">
      <c r="E5771" s="1063"/>
      <c r="H5771" s="1066"/>
      <c r="I5771" s="1063"/>
      <c r="J5771" s="1063"/>
      <c r="K5771" s="1063"/>
      <c r="L5771" s="1063"/>
    </row>
    <row r="5772" spans="5:12" x14ac:dyDescent="0.2">
      <c r="E5772" s="1063"/>
      <c r="H5772" s="1066"/>
      <c r="I5772" s="1063"/>
      <c r="J5772" s="1063"/>
      <c r="K5772" s="1063"/>
      <c r="L5772" s="1063"/>
    </row>
    <row r="5773" spans="5:12" x14ac:dyDescent="0.2">
      <c r="E5773" s="1063"/>
      <c r="H5773" s="1066"/>
      <c r="I5773" s="1063"/>
      <c r="J5773" s="1063"/>
      <c r="K5773" s="1063"/>
      <c r="L5773" s="1063"/>
    </row>
    <row r="5774" spans="5:12" x14ac:dyDescent="0.2">
      <c r="E5774" s="1063"/>
      <c r="H5774" s="1066"/>
      <c r="I5774" s="1063"/>
      <c r="J5774" s="1063"/>
      <c r="K5774" s="1063"/>
      <c r="L5774" s="1063"/>
    </row>
    <row r="5775" spans="5:12" x14ac:dyDescent="0.2">
      <c r="E5775" s="1063"/>
      <c r="H5775" s="1066"/>
      <c r="I5775" s="1063"/>
      <c r="J5775" s="1063"/>
      <c r="K5775" s="1063"/>
      <c r="L5775" s="1063"/>
    </row>
    <row r="5776" spans="5:12" x14ac:dyDescent="0.2">
      <c r="E5776" s="1063"/>
      <c r="H5776" s="1066"/>
      <c r="I5776" s="1063"/>
      <c r="J5776" s="1063"/>
      <c r="K5776" s="1063"/>
      <c r="L5776" s="1063"/>
    </row>
    <row r="5777" spans="5:12" x14ac:dyDescent="0.2">
      <c r="E5777" s="1063"/>
      <c r="H5777" s="1066"/>
      <c r="I5777" s="1063"/>
      <c r="J5777" s="1063"/>
      <c r="K5777" s="1063"/>
      <c r="L5777" s="1063"/>
    </row>
    <row r="5778" spans="5:12" x14ac:dyDescent="0.2">
      <c r="E5778" s="1063"/>
      <c r="H5778" s="1066"/>
      <c r="I5778" s="1063"/>
      <c r="J5778" s="1063"/>
      <c r="K5778" s="1063"/>
      <c r="L5778" s="1063"/>
    </row>
    <row r="5779" spans="5:12" x14ac:dyDescent="0.2">
      <c r="E5779" s="1063"/>
      <c r="H5779" s="1066"/>
      <c r="I5779" s="1063"/>
      <c r="J5779" s="1063"/>
      <c r="K5779" s="1063"/>
      <c r="L5779" s="1063"/>
    </row>
    <row r="5780" spans="5:12" x14ac:dyDescent="0.2">
      <c r="E5780" s="1063"/>
      <c r="H5780" s="1066"/>
      <c r="I5780" s="1063"/>
      <c r="J5780" s="1063"/>
      <c r="K5780" s="1063"/>
      <c r="L5780" s="1063"/>
    </row>
    <row r="5781" spans="5:12" x14ac:dyDescent="0.2">
      <c r="E5781" s="1063"/>
      <c r="H5781" s="1066"/>
      <c r="I5781" s="1063"/>
      <c r="J5781" s="1063"/>
      <c r="K5781" s="1063"/>
      <c r="L5781" s="1063"/>
    </row>
    <row r="5782" spans="5:12" x14ac:dyDescent="0.2">
      <c r="E5782" s="1063"/>
      <c r="H5782" s="1066"/>
      <c r="I5782" s="1063"/>
      <c r="J5782" s="1063"/>
      <c r="K5782" s="1063"/>
      <c r="L5782" s="1063"/>
    </row>
    <row r="5783" spans="5:12" x14ac:dyDescent="0.2">
      <c r="E5783" s="1063"/>
      <c r="H5783" s="1066"/>
      <c r="I5783" s="1063"/>
      <c r="J5783" s="1063"/>
      <c r="K5783" s="1063"/>
      <c r="L5783" s="1063"/>
    </row>
    <row r="5784" spans="5:12" x14ac:dyDescent="0.2">
      <c r="E5784" s="1063"/>
      <c r="H5784" s="1066"/>
      <c r="I5784" s="1063"/>
      <c r="J5784" s="1063"/>
      <c r="K5784" s="1063"/>
      <c r="L5784" s="1063"/>
    </row>
    <row r="5785" spans="5:12" x14ac:dyDescent="0.2">
      <c r="E5785" s="1063"/>
      <c r="H5785" s="1066"/>
      <c r="I5785" s="1063"/>
      <c r="J5785" s="1063"/>
      <c r="K5785" s="1063"/>
      <c r="L5785" s="1063"/>
    </row>
    <row r="5786" spans="5:12" x14ac:dyDescent="0.2">
      <c r="E5786" s="1063"/>
      <c r="H5786" s="1066"/>
      <c r="I5786" s="1063"/>
      <c r="J5786" s="1063"/>
      <c r="K5786" s="1063"/>
      <c r="L5786" s="1063"/>
    </row>
    <row r="5787" spans="5:12" x14ac:dyDescent="0.2">
      <c r="E5787" s="1063"/>
      <c r="H5787" s="1066"/>
      <c r="I5787" s="1063"/>
      <c r="J5787" s="1063"/>
      <c r="K5787" s="1063"/>
      <c r="L5787" s="1063"/>
    </row>
    <row r="5788" spans="5:12" x14ac:dyDescent="0.2">
      <c r="E5788" s="1063"/>
      <c r="H5788" s="1066"/>
      <c r="I5788" s="1063"/>
      <c r="J5788" s="1063"/>
      <c r="K5788" s="1063"/>
      <c r="L5788" s="1063"/>
    </row>
    <row r="5789" spans="5:12" x14ac:dyDescent="0.2">
      <c r="E5789" s="1063"/>
      <c r="H5789" s="1066"/>
      <c r="I5789" s="1063"/>
      <c r="J5789" s="1063"/>
      <c r="K5789" s="1063"/>
      <c r="L5789" s="1063"/>
    </row>
    <row r="5790" spans="5:12" x14ac:dyDescent="0.2">
      <c r="E5790" s="1063"/>
      <c r="H5790" s="1066"/>
      <c r="I5790" s="1063"/>
      <c r="J5790" s="1063"/>
      <c r="K5790" s="1063"/>
      <c r="L5790" s="1063"/>
    </row>
    <row r="5791" spans="5:12" x14ac:dyDescent="0.2">
      <c r="E5791" s="1063"/>
      <c r="H5791" s="1066"/>
      <c r="I5791" s="1063"/>
      <c r="J5791" s="1063"/>
      <c r="K5791" s="1063"/>
      <c r="L5791" s="1063"/>
    </row>
    <row r="5792" spans="5:12" x14ac:dyDescent="0.2">
      <c r="E5792" s="1063"/>
      <c r="H5792" s="1066"/>
      <c r="I5792" s="1063"/>
      <c r="J5792" s="1063"/>
      <c r="K5792" s="1063"/>
      <c r="L5792" s="1063"/>
    </row>
    <row r="5793" spans="5:12" x14ac:dyDescent="0.2">
      <c r="E5793" s="1063"/>
      <c r="H5793" s="1066"/>
      <c r="I5793" s="1063"/>
      <c r="J5793" s="1063"/>
      <c r="K5793" s="1063"/>
      <c r="L5793" s="1063"/>
    </row>
    <row r="5794" spans="5:12" x14ac:dyDescent="0.2">
      <c r="E5794" s="1063"/>
      <c r="H5794" s="1066"/>
      <c r="I5794" s="1063"/>
      <c r="J5794" s="1063"/>
      <c r="K5794" s="1063"/>
      <c r="L5794" s="1063"/>
    </row>
    <row r="5795" spans="5:12" x14ac:dyDescent="0.2">
      <c r="E5795" s="1063"/>
      <c r="H5795" s="1066"/>
      <c r="I5795" s="1063"/>
      <c r="J5795" s="1063"/>
      <c r="K5795" s="1063"/>
      <c r="L5795" s="1063"/>
    </row>
    <row r="5796" spans="5:12" x14ac:dyDescent="0.2">
      <c r="E5796" s="1063"/>
      <c r="H5796" s="1066"/>
      <c r="I5796" s="1063"/>
      <c r="J5796" s="1063"/>
      <c r="K5796" s="1063"/>
      <c r="L5796" s="1063"/>
    </row>
    <row r="5797" spans="5:12" x14ac:dyDescent="0.2">
      <c r="E5797" s="1063"/>
      <c r="H5797" s="1066"/>
      <c r="I5797" s="1063"/>
      <c r="J5797" s="1063"/>
      <c r="K5797" s="1063"/>
      <c r="L5797" s="1063"/>
    </row>
    <row r="5798" spans="5:12" x14ac:dyDescent="0.2">
      <c r="E5798" s="1063"/>
      <c r="H5798" s="1066"/>
      <c r="I5798" s="1063"/>
      <c r="J5798" s="1063"/>
      <c r="K5798" s="1063"/>
      <c r="L5798" s="1063"/>
    </row>
    <row r="5799" spans="5:12" x14ac:dyDescent="0.2">
      <c r="E5799" s="1063"/>
      <c r="H5799" s="1066"/>
      <c r="I5799" s="1063"/>
      <c r="J5799" s="1063"/>
      <c r="K5799" s="1063"/>
      <c r="L5799" s="1063"/>
    </row>
    <row r="5800" spans="5:12" x14ac:dyDescent="0.2">
      <c r="E5800" s="1063"/>
      <c r="H5800" s="1066"/>
      <c r="I5800" s="1063"/>
      <c r="J5800" s="1063"/>
      <c r="K5800" s="1063"/>
      <c r="L5800" s="1063"/>
    </row>
    <row r="5801" spans="5:12" x14ac:dyDescent="0.2">
      <c r="E5801" s="1063"/>
      <c r="H5801" s="1066"/>
      <c r="I5801" s="1063"/>
      <c r="J5801" s="1063"/>
      <c r="K5801" s="1063"/>
      <c r="L5801" s="1063"/>
    </row>
    <row r="5802" spans="5:12" x14ac:dyDescent="0.2">
      <c r="E5802" s="1063"/>
      <c r="H5802" s="1066"/>
      <c r="I5802" s="1063"/>
      <c r="J5802" s="1063"/>
      <c r="K5802" s="1063"/>
      <c r="L5802" s="1063"/>
    </row>
    <row r="5803" spans="5:12" x14ac:dyDescent="0.2">
      <c r="E5803" s="1063"/>
      <c r="H5803" s="1066"/>
      <c r="I5803" s="1063"/>
      <c r="J5803" s="1063"/>
      <c r="K5803" s="1063"/>
      <c r="L5803" s="1063"/>
    </row>
    <row r="5804" spans="5:12" x14ac:dyDescent="0.2">
      <c r="E5804" s="1063"/>
      <c r="H5804" s="1066"/>
      <c r="I5804" s="1063"/>
      <c r="J5804" s="1063"/>
      <c r="K5804" s="1063"/>
      <c r="L5804" s="1063"/>
    </row>
    <row r="5805" spans="5:12" x14ac:dyDescent="0.2">
      <c r="E5805" s="1063"/>
      <c r="H5805" s="1066"/>
      <c r="I5805" s="1063"/>
      <c r="J5805" s="1063"/>
      <c r="K5805" s="1063"/>
      <c r="L5805" s="1063"/>
    </row>
    <row r="5806" spans="5:12" x14ac:dyDescent="0.2">
      <c r="E5806" s="1063"/>
      <c r="H5806" s="1066"/>
      <c r="I5806" s="1063"/>
      <c r="J5806" s="1063"/>
      <c r="K5806" s="1063"/>
      <c r="L5806" s="1063"/>
    </row>
    <row r="5807" spans="5:12" x14ac:dyDescent="0.2">
      <c r="E5807" s="1063"/>
      <c r="H5807" s="1066"/>
      <c r="I5807" s="1063"/>
      <c r="J5807" s="1063"/>
      <c r="K5807" s="1063"/>
      <c r="L5807" s="1063"/>
    </row>
    <row r="5808" spans="5:12" x14ac:dyDescent="0.2">
      <c r="E5808" s="1063"/>
      <c r="H5808" s="1066"/>
      <c r="I5808" s="1063"/>
      <c r="J5808" s="1063"/>
      <c r="K5808" s="1063"/>
      <c r="L5808" s="1063"/>
    </row>
    <row r="5809" spans="5:12" x14ac:dyDescent="0.2">
      <c r="E5809" s="1063"/>
      <c r="H5809" s="1066"/>
      <c r="I5809" s="1063"/>
      <c r="J5809" s="1063"/>
      <c r="K5809" s="1063"/>
      <c r="L5809" s="1063"/>
    </row>
    <row r="5810" spans="5:12" x14ac:dyDescent="0.2">
      <c r="E5810" s="1063"/>
      <c r="H5810" s="1066"/>
      <c r="I5810" s="1063"/>
      <c r="J5810" s="1063"/>
      <c r="K5810" s="1063"/>
      <c r="L5810" s="1063"/>
    </row>
    <row r="5811" spans="5:12" x14ac:dyDescent="0.2">
      <c r="E5811" s="1063"/>
      <c r="H5811" s="1066"/>
      <c r="I5811" s="1063"/>
      <c r="J5811" s="1063"/>
      <c r="K5811" s="1063"/>
      <c r="L5811" s="1063"/>
    </row>
    <row r="5812" spans="5:12" x14ac:dyDescent="0.2">
      <c r="E5812" s="1063"/>
      <c r="H5812" s="1066"/>
      <c r="I5812" s="1063"/>
      <c r="J5812" s="1063"/>
      <c r="K5812" s="1063"/>
      <c r="L5812" s="1063"/>
    </row>
    <row r="5813" spans="5:12" x14ac:dyDescent="0.2">
      <c r="E5813" s="1063"/>
      <c r="H5813" s="1066"/>
      <c r="I5813" s="1063"/>
      <c r="J5813" s="1063"/>
      <c r="K5813" s="1063"/>
      <c r="L5813" s="1063"/>
    </row>
    <row r="5814" spans="5:12" x14ac:dyDescent="0.2">
      <c r="E5814" s="1063"/>
      <c r="H5814" s="1066"/>
      <c r="I5814" s="1063"/>
      <c r="J5814" s="1063"/>
      <c r="K5814" s="1063"/>
      <c r="L5814" s="1063"/>
    </row>
    <row r="5815" spans="5:12" x14ac:dyDescent="0.2">
      <c r="E5815" s="1063"/>
      <c r="H5815" s="1066"/>
      <c r="I5815" s="1063"/>
      <c r="J5815" s="1063"/>
      <c r="K5815" s="1063"/>
      <c r="L5815" s="1063"/>
    </row>
    <row r="5816" spans="5:12" x14ac:dyDescent="0.2">
      <c r="E5816" s="1063"/>
      <c r="H5816" s="1066"/>
      <c r="I5816" s="1063"/>
      <c r="J5816" s="1063"/>
      <c r="K5816" s="1063"/>
      <c r="L5816" s="1063"/>
    </row>
    <row r="5817" spans="5:12" x14ac:dyDescent="0.2">
      <c r="E5817" s="1063"/>
      <c r="H5817" s="1066"/>
      <c r="I5817" s="1063"/>
      <c r="J5817" s="1063"/>
      <c r="K5817" s="1063"/>
      <c r="L5817" s="1063"/>
    </row>
    <row r="5818" spans="5:12" x14ac:dyDescent="0.2">
      <c r="E5818" s="1063"/>
      <c r="H5818" s="1066"/>
      <c r="I5818" s="1063"/>
      <c r="J5818" s="1063"/>
      <c r="K5818" s="1063"/>
      <c r="L5818" s="1063"/>
    </row>
    <row r="5819" spans="5:12" x14ac:dyDescent="0.2">
      <c r="E5819" s="1063"/>
      <c r="H5819" s="1066"/>
      <c r="I5819" s="1063"/>
      <c r="J5819" s="1063"/>
      <c r="K5819" s="1063"/>
      <c r="L5819" s="1063"/>
    </row>
    <row r="5820" spans="5:12" x14ac:dyDescent="0.2">
      <c r="E5820" s="1063"/>
      <c r="H5820" s="1066"/>
      <c r="I5820" s="1063"/>
      <c r="J5820" s="1063"/>
      <c r="K5820" s="1063"/>
      <c r="L5820" s="1063"/>
    </row>
    <row r="5821" spans="5:12" x14ac:dyDescent="0.2">
      <c r="E5821" s="1063"/>
      <c r="H5821" s="1066"/>
      <c r="I5821" s="1063"/>
      <c r="J5821" s="1063"/>
      <c r="K5821" s="1063"/>
      <c r="L5821" s="1063"/>
    </row>
    <row r="5822" spans="5:12" x14ac:dyDescent="0.2">
      <c r="E5822" s="1063"/>
      <c r="H5822" s="1066"/>
      <c r="I5822" s="1063"/>
      <c r="J5822" s="1063"/>
      <c r="K5822" s="1063"/>
      <c r="L5822" s="1063"/>
    </row>
    <row r="5823" spans="5:12" x14ac:dyDescent="0.2">
      <c r="E5823" s="1063"/>
      <c r="H5823" s="1066"/>
      <c r="I5823" s="1063"/>
      <c r="J5823" s="1063"/>
      <c r="K5823" s="1063"/>
      <c r="L5823" s="1063"/>
    </row>
    <row r="5824" spans="5:12" x14ac:dyDescent="0.2">
      <c r="E5824" s="1063"/>
      <c r="H5824" s="1066"/>
      <c r="I5824" s="1063"/>
      <c r="J5824" s="1063"/>
      <c r="K5824" s="1063"/>
      <c r="L5824" s="1063"/>
    </row>
    <row r="5825" spans="5:12" x14ac:dyDescent="0.2">
      <c r="E5825" s="1063"/>
      <c r="H5825" s="1066"/>
      <c r="I5825" s="1063"/>
      <c r="J5825" s="1063"/>
      <c r="K5825" s="1063"/>
      <c r="L5825" s="1063"/>
    </row>
    <row r="5826" spans="5:12" x14ac:dyDescent="0.2">
      <c r="E5826" s="1063"/>
      <c r="H5826" s="1066"/>
      <c r="I5826" s="1063"/>
      <c r="J5826" s="1063"/>
      <c r="K5826" s="1063"/>
      <c r="L5826" s="1063"/>
    </row>
    <row r="5827" spans="5:12" x14ac:dyDescent="0.2">
      <c r="E5827" s="1063"/>
      <c r="H5827" s="1066"/>
      <c r="I5827" s="1063"/>
      <c r="J5827" s="1063"/>
      <c r="K5827" s="1063"/>
      <c r="L5827" s="1063"/>
    </row>
    <row r="5828" spans="5:12" x14ac:dyDescent="0.2">
      <c r="E5828" s="1063"/>
      <c r="H5828" s="1066"/>
      <c r="I5828" s="1063"/>
      <c r="J5828" s="1063"/>
      <c r="K5828" s="1063"/>
      <c r="L5828" s="1063"/>
    </row>
    <row r="5829" spans="5:12" x14ac:dyDescent="0.2">
      <c r="E5829" s="1063"/>
      <c r="H5829" s="1066"/>
      <c r="I5829" s="1063"/>
      <c r="J5829" s="1063"/>
      <c r="K5829" s="1063"/>
      <c r="L5829" s="1063"/>
    </row>
    <row r="5830" spans="5:12" x14ac:dyDescent="0.2">
      <c r="E5830" s="1063"/>
      <c r="H5830" s="1066"/>
      <c r="I5830" s="1063"/>
      <c r="J5830" s="1063"/>
      <c r="K5830" s="1063"/>
      <c r="L5830" s="1063"/>
    </row>
    <row r="5831" spans="5:12" x14ac:dyDescent="0.2">
      <c r="E5831" s="1063"/>
      <c r="H5831" s="1066"/>
      <c r="I5831" s="1063"/>
      <c r="J5831" s="1063"/>
      <c r="K5831" s="1063"/>
      <c r="L5831" s="1063"/>
    </row>
    <row r="5832" spans="5:12" x14ac:dyDescent="0.2">
      <c r="E5832" s="1063"/>
      <c r="H5832" s="1066"/>
      <c r="I5832" s="1063"/>
      <c r="J5832" s="1063"/>
      <c r="K5832" s="1063"/>
      <c r="L5832" s="1063"/>
    </row>
    <row r="5833" spans="5:12" x14ac:dyDescent="0.2">
      <c r="E5833" s="1063"/>
      <c r="H5833" s="1066"/>
      <c r="I5833" s="1063"/>
      <c r="J5833" s="1063"/>
      <c r="K5833" s="1063"/>
      <c r="L5833" s="1063"/>
    </row>
    <row r="5834" spans="5:12" x14ac:dyDescent="0.2">
      <c r="E5834" s="1063"/>
      <c r="H5834" s="1066"/>
      <c r="I5834" s="1063"/>
      <c r="J5834" s="1063"/>
      <c r="K5834" s="1063"/>
      <c r="L5834" s="1063"/>
    </row>
    <row r="5835" spans="5:12" x14ac:dyDescent="0.2">
      <c r="E5835" s="1063"/>
      <c r="H5835" s="1066"/>
      <c r="I5835" s="1063"/>
      <c r="J5835" s="1063"/>
      <c r="K5835" s="1063"/>
      <c r="L5835" s="1063"/>
    </row>
    <row r="5836" spans="5:12" x14ac:dyDescent="0.2">
      <c r="E5836" s="1063"/>
      <c r="H5836" s="1066"/>
      <c r="I5836" s="1063"/>
      <c r="J5836" s="1063"/>
      <c r="K5836" s="1063"/>
      <c r="L5836" s="1063"/>
    </row>
    <row r="5837" spans="5:12" x14ac:dyDescent="0.2">
      <c r="E5837" s="1063"/>
      <c r="H5837" s="1066"/>
      <c r="I5837" s="1063"/>
      <c r="J5837" s="1063"/>
      <c r="K5837" s="1063"/>
      <c r="L5837" s="1063"/>
    </row>
    <row r="5838" spans="5:12" x14ac:dyDescent="0.2">
      <c r="E5838" s="1063"/>
      <c r="H5838" s="1066"/>
      <c r="I5838" s="1063"/>
      <c r="J5838" s="1063"/>
      <c r="K5838" s="1063"/>
      <c r="L5838" s="1063"/>
    </row>
    <row r="5839" spans="5:12" x14ac:dyDescent="0.2">
      <c r="E5839" s="1063"/>
      <c r="H5839" s="1066"/>
      <c r="I5839" s="1063"/>
      <c r="J5839" s="1063"/>
      <c r="K5839" s="1063"/>
      <c r="L5839" s="1063"/>
    </row>
    <row r="5840" spans="5:12" x14ac:dyDescent="0.2">
      <c r="E5840" s="1063"/>
      <c r="H5840" s="1066"/>
      <c r="I5840" s="1063"/>
      <c r="J5840" s="1063"/>
      <c r="K5840" s="1063"/>
      <c r="L5840" s="1063"/>
    </row>
    <row r="5841" spans="5:12" x14ac:dyDescent="0.2">
      <c r="E5841" s="1063"/>
      <c r="H5841" s="1066"/>
      <c r="I5841" s="1063"/>
      <c r="J5841" s="1063"/>
      <c r="K5841" s="1063"/>
      <c r="L5841" s="1063"/>
    </row>
    <row r="5842" spans="5:12" x14ac:dyDescent="0.2">
      <c r="E5842" s="1063"/>
      <c r="H5842" s="1066"/>
      <c r="I5842" s="1063"/>
      <c r="J5842" s="1063"/>
      <c r="K5842" s="1063"/>
      <c r="L5842" s="1063"/>
    </row>
    <row r="5843" spans="5:12" x14ac:dyDescent="0.2">
      <c r="E5843" s="1063"/>
      <c r="H5843" s="1066"/>
      <c r="I5843" s="1063"/>
      <c r="J5843" s="1063"/>
      <c r="K5843" s="1063"/>
      <c r="L5843" s="1063"/>
    </row>
    <row r="5844" spans="5:12" x14ac:dyDescent="0.2">
      <c r="E5844" s="1063"/>
      <c r="H5844" s="1066"/>
      <c r="I5844" s="1063"/>
      <c r="J5844" s="1063"/>
      <c r="K5844" s="1063"/>
      <c r="L5844" s="1063"/>
    </row>
    <row r="5845" spans="5:12" x14ac:dyDescent="0.2">
      <c r="E5845" s="1063"/>
      <c r="H5845" s="1066"/>
      <c r="I5845" s="1063"/>
      <c r="J5845" s="1063"/>
      <c r="K5845" s="1063"/>
      <c r="L5845" s="1063"/>
    </row>
    <row r="5846" spans="5:12" x14ac:dyDescent="0.2">
      <c r="E5846" s="1063"/>
      <c r="H5846" s="1066"/>
      <c r="I5846" s="1063"/>
      <c r="J5846" s="1063"/>
      <c r="K5846" s="1063"/>
      <c r="L5846" s="1063"/>
    </row>
    <row r="5847" spans="5:12" x14ac:dyDescent="0.2">
      <c r="E5847" s="1063"/>
      <c r="H5847" s="1066"/>
      <c r="I5847" s="1063"/>
      <c r="J5847" s="1063"/>
      <c r="K5847" s="1063"/>
      <c r="L5847" s="1063"/>
    </row>
    <row r="5848" spans="5:12" x14ac:dyDescent="0.2">
      <c r="E5848" s="1063"/>
      <c r="H5848" s="1066"/>
      <c r="I5848" s="1063"/>
      <c r="J5848" s="1063"/>
      <c r="K5848" s="1063"/>
      <c r="L5848" s="1063"/>
    </row>
    <row r="5849" spans="5:12" x14ac:dyDescent="0.2">
      <c r="E5849" s="1063"/>
      <c r="H5849" s="1066"/>
      <c r="I5849" s="1063"/>
      <c r="J5849" s="1063"/>
      <c r="K5849" s="1063"/>
      <c r="L5849" s="1063"/>
    </row>
    <row r="5850" spans="5:12" x14ac:dyDescent="0.2">
      <c r="E5850" s="1063"/>
      <c r="H5850" s="1066"/>
      <c r="I5850" s="1063"/>
      <c r="J5850" s="1063"/>
      <c r="K5850" s="1063"/>
      <c r="L5850" s="1063"/>
    </row>
    <row r="5851" spans="5:12" x14ac:dyDescent="0.2">
      <c r="E5851" s="1063"/>
      <c r="H5851" s="1066"/>
      <c r="I5851" s="1063"/>
      <c r="J5851" s="1063"/>
      <c r="K5851" s="1063"/>
      <c r="L5851" s="1063"/>
    </row>
    <row r="5852" spans="5:12" x14ac:dyDescent="0.2">
      <c r="E5852" s="1063"/>
      <c r="H5852" s="1066"/>
      <c r="I5852" s="1063"/>
      <c r="J5852" s="1063"/>
      <c r="K5852" s="1063"/>
      <c r="L5852" s="1063"/>
    </row>
    <row r="5853" spans="5:12" x14ac:dyDescent="0.2">
      <c r="E5853" s="1063"/>
      <c r="H5853" s="1066"/>
      <c r="I5853" s="1063"/>
      <c r="J5853" s="1063"/>
      <c r="K5853" s="1063"/>
      <c r="L5853" s="1063"/>
    </row>
    <row r="5854" spans="5:12" x14ac:dyDescent="0.2">
      <c r="E5854" s="1063"/>
      <c r="H5854" s="1066"/>
      <c r="I5854" s="1063"/>
      <c r="J5854" s="1063"/>
      <c r="K5854" s="1063"/>
      <c r="L5854" s="1063"/>
    </row>
    <row r="5855" spans="5:12" x14ac:dyDescent="0.2">
      <c r="E5855" s="1063"/>
      <c r="H5855" s="1066"/>
      <c r="I5855" s="1063"/>
      <c r="J5855" s="1063"/>
      <c r="K5855" s="1063"/>
      <c r="L5855" s="1063"/>
    </row>
    <row r="5856" spans="5:12" x14ac:dyDescent="0.2">
      <c r="E5856" s="1063"/>
      <c r="H5856" s="1066"/>
      <c r="I5856" s="1063"/>
      <c r="J5856" s="1063"/>
      <c r="K5856" s="1063"/>
      <c r="L5856" s="1063"/>
    </row>
    <row r="5857" spans="5:12" x14ac:dyDescent="0.2">
      <c r="E5857" s="1063"/>
      <c r="H5857" s="1066"/>
      <c r="I5857" s="1063"/>
      <c r="J5857" s="1063"/>
      <c r="K5857" s="1063"/>
      <c r="L5857" s="1063"/>
    </row>
    <row r="5858" spans="5:12" x14ac:dyDescent="0.2">
      <c r="E5858" s="1063"/>
      <c r="H5858" s="1066"/>
      <c r="I5858" s="1063"/>
      <c r="J5858" s="1063"/>
      <c r="K5858" s="1063"/>
      <c r="L5858" s="1063"/>
    </row>
    <row r="5859" spans="5:12" x14ac:dyDescent="0.2">
      <c r="E5859" s="1063"/>
      <c r="H5859" s="1066"/>
      <c r="I5859" s="1063"/>
      <c r="J5859" s="1063"/>
      <c r="K5859" s="1063"/>
      <c r="L5859" s="1063"/>
    </row>
    <row r="5860" spans="5:12" x14ac:dyDescent="0.2">
      <c r="E5860" s="1063"/>
      <c r="H5860" s="1066"/>
      <c r="I5860" s="1063"/>
      <c r="J5860" s="1063"/>
      <c r="K5860" s="1063"/>
      <c r="L5860" s="1063"/>
    </row>
    <row r="5861" spans="5:12" x14ac:dyDescent="0.2">
      <c r="E5861" s="1063"/>
      <c r="H5861" s="1066"/>
      <c r="I5861" s="1063"/>
      <c r="J5861" s="1063"/>
      <c r="K5861" s="1063"/>
      <c r="L5861" s="1063"/>
    </row>
    <row r="5862" spans="5:12" x14ac:dyDescent="0.2">
      <c r="E5862" s="1063"/>
      <c r="H5862" s="1066"/>
      <c r="I5862" s="1063"/>
      <c r="J5862" s="1063"/>
      <c r="K5862" s="1063"/>
      <c r="L5862" s="1063"/>
    </row>
    <row r="5863" spans="5:12" x14ac:dyDescent="0.2">
      <c r="E5863" s="1063"/>
      <c r="H5863" s="1066"/>
      <c r="I5863" s="1063"/>
      <c r="J5863" s="1063"/>
      <c r="K5863" s="1063"/>
      <c r="L5863" s="1063"/>
    </row>
    <row r="5864" spans="5:12" x14ac:dyDescent="0.2">
      <c r="E5864" s="1063"/>
      <c r="H5864" s="1066"/>
      <c r="I5864" s="1063"/>
      <c r="J5864" s="1063"/>
      <c r="K5864" s="1063"/>
      <c r="L5864" s="1063"/>
    </row>
    <row r="5865" spans="5:12" x14ac:dyDescent="0.2">
      <c r="E5865" s="1063"/>
      <c r="H5865" s="1066"/>
      <c r="I5865" s="1063"/>
      <c r="J5865" s="1063"/>
      <c r="K5865" s="1063"/>
      <c r="L5865" s="1063"/>
    </row>
    <row r="5866" spans="5:12" x14ac:dyDescent="0.2">
      <c r="E5866" s="1063"/>
      <c r="H5866" s="1066"/>
      <c r="I5866" s="1063"/>
      <c r="J5866" s="1063"/>
      <c r="K5866" s="1063"/>
      <c r="L5866" s="1063"/>
    </row>
    <row r="5867" spans="5:12" x14ac:dyDescent="0.2">
      <c r="E5867" s="1063"/>
      <c r="H5867" s="1066"/>
      <c r="I5867" s="1063"/>
      <c r="J5867" s="1063"/>
      <c r="K5867" s="1063"/>
      <c r="L5867" s="1063"/>
    </row>
    <row r="5868" spans="5:12" x14ac:dyDescent="0.2">
      <c r="E5868" s="1063"/>
      <c r="H5868" s="1066"/>
      <c r="I5868" s="1063"/>
      <c r="J5868" s="1063"/>
      <c r="K5868" s="1063"/>
      <c r="L5868" s="1063"/>
    </row>
    <row r="5869" spans="5:12" x14ac:dyDescent="0.2">
      <c r="E5869" s="1063"/>
      <c r="H5869" s="1066"/>
      <c r="I5869" s="1063"/>
      <c r="J5869" s="1063"/>
      <c r="K5869" s="1063"/>
      <c r="L5869" s="1063"/>
    </row>
    <row r="5870" spans="5:12" x14ac:dyDescent="0.2">
      <c r="E5870" s="1063"/>
      <c r="H5870" s="1066"/>
      <c r="I5870" s="1063"/>
      <c r="J5870" s="1063"/>
      <c r="K5870" s="1063"/>
      <c r="L5870" s="1063"/>
    </row>
    <row r="5871" spans="5:12" x14ac:dyDescent="0.2">
      <c r="E5871" s="1063"/>
      <c r="H5871" s="1066"/>
      <c r="I5871" s="1063"/>
      <c r="J5871" s="1063"/>
      <c r="K5871" s="1063"/>
      <c r="L5871" s="1063"/>
    </row>
    <row r="5872" spans="5:12" x14ac:dyDescent="0.2">
      <c r="E5872" s="1063"/>
      <c r="H5872" s="1066"/>
      <c r="I5872" s="1063"/>
      <c r="J5872" s="1063"/>
      <c r="K5872" s="1063"/>
      <c r="L5872" s="1063"/>
    </row>
    <row r="5873" spans="5:12" x14ac:dyDescent="0.2">
      <c r="E5873" s="1063"/>
      <c r="H5873" s="1066"/>
      <c r="I5873" s="1063"/>
      <c r="J5873" s="1063"/>
      <c r="K5873" s="1063"/>
      <c r="L5873" s="1063"/>
    </row>
    <row r="5874" spans="5:12" x14ac:dyDescent="0.2">
      <c r="E5874" s="1063"/>
      <c r="H5874" s="1066"/>
      <c r="I5874" s="1063"/>
      <c r="J5874" s="1063"/>
      <c r="K5874" s="1063"/>
      <c r="L5874" s="1063"/>
    </row>
    <row r="5875" spans="5:12" x14ac:dyDescent="0.2">
      <c r="E5875" s="1063"/>
      <c r="H5875" s="1066"/>
      <c r="I5875" s="1063"/>
      <c r="J5875" s="1063"/>
      <c r="K5875" s="1063"/>
      <c r="L5875" s="1063"/>
    </row>
    <row r="5876" spans="5:12" x14ac:dyDescent="0.2">
      <c r="E5876" s="1063"/>
      <c r="H5876" s="1066"/>
      <c r="I5876" s="1063"/>
      <c r="J5876" s="1063"/>
      <c r="K5876" s="1063"/>
      <c r="L5876" s="1063"/>
    </row>
    <row r="5877" spans="5:12" x14ac:dyDescent="0.2">
      <c r="E5877" s="1063"/>
      <c r="H5877" s="1066"/>
      <c r="I5877" s="1063"/>
      <c r="J5877" s="1063"/>
      <c r="K5877" s="1063"/>
      <c r="L5877" s="1063"/>
    </row>
    <row r="5878" spans="5:12" x14ac:dyDescent="0.2">
      <c r="E5878" s="1063"/>
      <c r="H5878" s="1066"/>
      <c r="I5878" s="1063"/>
      <c r="J5878" s="1063"/>
      <c r="K5878" s="1063"/>
      <c r="L5878" s="1063"/>
    </row>
    <row r="5879" spans="5:12" x14ac:dyDescent="0.2">
      <c r="E5879" s="1063"/>
      <c r="H5879" s="1066"/>
      <c r="I5879" s="1063"/>
      <c r="J5879" s="1063"/>
      <c r="K5879" s="1063"/>
      <c r="L5879" s="1063"/>
    </row>
    <row r="5880" spans="5:12" x14ac:dyDescent="0.2">
      <c r="E5880" s="1063"/>
      <c r="H5880" s="1066"/>
      <c r="I5880" s="1063"/>
      <c r="J5880" s="1063"/>
      <c r="K5880" s="1063"/>
      <c r="L5880" s="1063"/>
    </row>
    <row r="5881" spans="5:12" x14ac:dyDescent="0.2">
      <c r="E5881" s="1063"/>
      <c r="H5881" s="1066"/>
      <c r="I5881" s="1063"/>
      <c r="J5881" s="1063"/>
      <c r="K5881" s="1063"/>
      <c r="L5881" s="1063"/>
    </row>
    <row r="5882" spans="5:12" x14ac:dyDescent="0.2">
      <c r="E5882" s="1063"/>
      <c r="H5882" s="1066"/>
      <c r="I5882" s="1063"/>
      <c r="J5882" s="1063"/>
      <c r="K5882" s="1063"/>
      <c r="L5882" s="1063"/>
    </row>
    <row r="5883" spans="5:12" x14ac:dyDescent="0.2">
      <c r="E5883" s="1063"/>
      <c r="H5883" s="1066"/>
      <c r="I5883" s="1063"/>
      <c r="J5883" s="1063"/>
      <c r="K5883" s="1063"/>
      <c r="L5883" s="1063"/>
    </row>
    <row r="5884" spans="5:12" x14ac:dyDescent="0.2">
      <c r="E5884" s="1063"/>
      <c r="H5884" s="1066"/>
      <c r="I5884" s="1063"/>
      <c r="J5884" s="1063"/>
      <c r="K5884" s="1063"/>
      <c r="L5884" s="1063"/>
    </row>
    <row r="5885" spans="5:12" x14ac:dyDescent="0.2">
      <c r="E5885" s="1063"/>
      <c r="H5885" s="1066"/>
      <c r="I5885" s="1063"/>
      <c r="J5885" s="1063"/>
      <c r="K5885" s="1063"/>
      <c r="L5885" s="1063"/>
    </row>
    <row r="5886" spans="5:12" x14ac:dyDescent="0.2">
      <c r="E5886" s="1063"/>
      <c r="H5886" s="1066"/>
      <c r="I5886" s="1063"/>
      <c r="J5886" s="1063"/>
      <c r="K5886" s="1063"/>
      <c r="L5886" s="1063"/>
    </row>
    <row r="5887" spans="5:12" x14ac:dyDescent="0.2">
      <c r="E5887" s="1063"/>
      <c r="H5887" s="1066"/>
      <c r="I5887" s="1063"/>
      <c r="J5887" s="1063"/>
      <c r="K5887" s="1063"/>
      <c r="L5887" s="1063"/>
    </row>
    <row r="5888" spans="5:12" x14ac:dyDescent="0.2">
      <c r="E5888" s="1063"/>
      <c r="H5888" s="1066"/>
      <c r="I5888" s="1063"/>
      <c r="J5888" s="1063"/>
      <c r="K5888" s="1063"/>
      <c r="L5888" s="1063"/>
    </row>
    <row r="5889" spans="5:12" x14ac:dyDescent="0.2">
      <c r="E5889" s="1063"/>
      <c r="H5889" s="1066"/>
      <c r="I5889" s="1063"/>
      <c r="J5889" s="1063"/>
      <c r="K5889" s="1063"/>
      <c r="L5889" s="1063"/>
    </row>
    <row r="5890" spans="5:12" x14ac:dyDescent="0.2">
      <c r="E5890" s="1063"/>
      <c r="H5890" s="1066"/>
      <c r="I5890" s="1063"/>
      <c r="J5890" s="1063"/>
      <c r="K5890" s="1063"/>
      <c r="L5890" s="1063"/>
    </row>
    <row r="5891" spans="5:12" x14ac:dyDescent="0.2">
      <c r="E5891" s="1063"/>
      <c r="H5891" s="1066"/>
      <c r="I5891" s="1063"/>
      <c r="J5891" s="1063"/>
      <c r="K5891" s="1063"/>
      <c r="L5891" s="1063"/>
    </row>
    <row r="5892" spans="5:12" x14ac:dyDescent="0.2">
      <c r="E5892" s="1063"/>
      <c r="H5892" s="1066"/>
      <c r="I5892" s="1063"/>
      <c r="J5892" s="1063"/>
      <c r="K5892" s="1063"/>
      <c r="L5892" s="1063"/>
    </row>
    <row r="5893" spans="5:12" x14ac:dyDescent="0.2">
      <c r="E5893" s="1063"/>
      <c r="H5893" s="1066"/>
      <c r="I5893" s="1063"/>
      <c r="J5893" s="1063"/>
      <c r="K5893" s="1063"/>
      <c r="L5893" s="1063"/>
    </row>
    <row r="5894" spans="5:12" x14ac:dyDescent="0.2">
      <c r="E5894" s="1063"/>
      <c r="H5894" s="1066"/>
      <c r="I5894" s="1063"/>
      <c r="J5894" s="1063"/>
      <c r="K5894" s="1063"/>
      <c r="L5894" s="1063"/>
    </row>
    <row r="5895" spans="5:12" x14ac:dyDescent="0.2">
      <c r="E5895" s="1063"/>
      <c r="H5895" s="1066"/>
      <c r="I5895" s="1063"/>
      <c r="J5895" s="1063"/>
      <c r="K5895" s="1063"/>
      <c r="L5895" s="1063"/>
    </row>
    <row r="5896" spans="5:12" x14ac:dyDescent="0.2">
      <c r="E5896" s="1063"/>
      <c r="H5896" s="1066"/>
      <c r="I5896" s="1063"/>
      <c r="J5896" s="1063"/>
      <c r="K5896" s="1063"/>
      <c r="L5896" s="1063"/>
    </row>
    <row r="5897" spans="5:12" x14ac:dyDescent="0.2">
      <c r="E5897" s="1063"/>
      <c r="H5897" s="1066"/>
      <c r="I5897" s="1063"/>
      <c r="J5897" s="1063"/>
      <c r="K5897" s="1063"/>
      <c r="L5897" s="1063"/>
    </row>
    <row r="5898" spans="5:12" x14ac:dyDescent="0.2">
      <c r="E5898" s="1063"/>
      <c r="H5898" s="1066"/>
      <c r="I5898" s="1063"/>
      <c r="J5898" s="1063"/>
      <c r="K5898" s="1063"/>
      <c r="L5898" s="1063"/>
    </row>
    <row r="5899" spans="5:12" x14ac:dyDescent="0.2">
      <c r="E5899" s="1063"/>
      <c r="H5899" s="1066"/>
      <c r="I5899" s="1063"/>
      <c r="J5899" s="1063"/>
      <c r="K5899" s="1063"/>
      <c r="L5899" s="1063"/>
    </row>
    <row r="5900" spans="5:12" x14ac:dyDescent="0.2">
      <c r="E5900" s="1063"/>
      <c r="H5900" s="1066"/>
      <c r="I5900" s="1063"/>
      <c r="J5900" s="1063"/>
      <c r="K5900" s="1063"/>
      <c r="L5900" s="1063"/>
    </row>
    <row r="5901" spans="5:12" x14ac:dyDescent="0.2">
      <c r="E5901" s="1063"/>
      <c r="H5901" s="1066"/>
      <c r="I5901" s="1063"/>
      <c r="J5901" s="1063"/>
      <c r="K5901" s="1063"/>
      <c r="L5901" s="1063"/>
    </row>
    <row r="5902" spans="5:12" x14ac:dyDescent="0.2">
      <c r="E5902" s="1063"/>
      <c r="H5902" s="1066"/>
      <c r="I5902" s="1063"/>
      <c r="J5902" s="1063"/>
      <c r="K5902" s="1063"/>
      <c r="L5902" s="1063"/>
    </row>
    <row r="5903" spans="5:12" x14ac:dyDescent="0.2">
      <c r="E5903" s="1063"/>
      <c r="H5903" s="1066"/>
      <c r="I5903" s="1063"/>
      <c r="J5903" s="1063"/>
      <c r="K5903" s="1063"/>
      <c r="L5903" s="1063"/>
    </row>
    <row r="5904" spans="5:12" x14ac:dyDescent="0.2">
      <c r="E5904" s="1063"/>
      <c r="H5904" s="1066"/>
      <c r="I5904" s="1063"/>
      <c r="J5904" s="1063"/>
      <c r="K5904" s="1063"/>
      <c r="L5904" s="1063"/>
    </row>
    <row r="5905" spans="5:12" x14ac:dyDescent="0.2">
      <c r="E5905" s="1063"/>
      <c r="H5905" s="1066"/>
      <c r="I5905" s="1063"/>
      <c r="J5905" s="1063"/>
      <c r="K5905" s="1063"/>
      <c r="L5905" s="1063"/>
    </row>
    <row r="5906" spans="5:12" x14ac:dyDescent="0.2">
      <c r="E5906" s="1063"/>
      <c r="H5906" s="1066"/>
      <c r="I5906" s="1063"/>
      <c r="J5906" s="1063"/>
      <c r="K5906" s="1063"/>
      <c r="L5906" s="1063"/>
    </row>
    <row r="5907" spans="5:12" x14ac:dyDescent="0.2">
      <c r="E5907" s="1063"/>
      <c r="H5907" s="1066"/>
      <c r="I5907" s="1063"/>
      <c r="J5907" s="1063"/>
      <c r="K5907" s="1063"/>
      <c r="L5907" s="1063"/>
    </row>
    <row r="5908" spans="5:12" x14ac:dyDescent="0.2">
      <c r="E5908" s="1063"/>
      <c r="H5908" s="1066"/>
      <c r="I5908" s="1063"/>
      <c r="J5908" s="1063"/>
      <c r="K5908" s="1063"/>
      <c r="L5908" s="1063"/>
    </row>
    <row r="5909" spans="5:12" x14ac:dyDescent="0.2">
      <c r="E5909" s="1063"/>
      <c r="H5909" s="1066"/>
      <c r="I5909" s="1063"/>
      <c r="J5909" s="1063"/>
      <c r="K5909" s="1063"/>
      <c r="L5909" s="1063"/>
    </row>
    <row r="5910" spans="5:12" x14ac:dyDescent="0.2">
      <c r="E5910" s="1063"/>
      <c r="H5910" s="1066"/>
      <c r="I5910" s="1063"/>
      <c r="J5910" s="1063"/>
      <c r="K5910" s="1063"/>
      <c r="L5910" s="1063"/>
    </row>
    <row r="5911" spans="5:12" x14ac:dyDescent="0.2">
      <c r="E5911" s="1063"/>
      <c r="H5911" s="1066"/>
      <c r="I5911" s="1063"/>
      <c r="J5911" s="1063"/>
      <c r="K5911" s="1063"/>
      <c r="L5911" s="1063"/>
    </row>
    <row r="5912" spans="5:12" x14ac:dyDescent="0.2">
      <c r="E5912" s="1063"/>
      <c r="H5912" s="1066"/>
      <c r="I5912" s="1063"/>
      <c r="J5912" s="1063"/>
      <c r="K5912" s="1063"/>
      <c r="L5912" s="1063"/>
    </row>
    <row r="5913" spans="5:12" x14ac:dyDescent="0.2">
      <c r="E5913" s="1063"/>
      <c r="H5913" s="1066"/>
      <c r="I5913" s="1063"/>
      <c r="J5913" s="1063"/>
      <c r="K5913" s="1063"/>
      <c r="L5913" s="1063"/>
    </row>
    <row r="5914" spans="5:12" x14ac:dyDescent="0.2">
      <c r="E5914" s="1063"/>
      <c r="H5914" s="1066"/>
      <c r="I5914" s="1063"/>
      <c r="J5914" s="1063"/>
      <c r="K5914" s="1063"/>
      <c r="L5914" s="1063"/>
    </row>
    <row r="5915" spans="5:12" x14ac:dyDescent="0.2">
      <c r="E5915" s="1063"/>
      <c r="H5915" s="1066"/>
      <c r="I5915" s="1063"/>
      <c r="J5915" s="1063"/>
      <c r="K5915" s="1063"/>
      <c r="L5915" s="1063"/>
    </row>
    <row r="5916" spans="5:12" x14ac:dyDescent="0.2">
      <c r="E5916" s="1063"/>
      <c r="H5916" s="1066"/>
      <c r="I5916" s="1063"/>
      <c r="J5916" s="1063"/>
      <c r="K5916" s="1063"/>
      <c r="L5916" s="1063"/>
    </row>
    <row r="5917" spans="5:12" x14ac:dyDescent="0.2">
      <c r="E5917" s="1063"/>
      <c r="H5917" s="1066"/>
      <c r="I5917" s="1063"/>
      <c r="J5917" s="1063"/>
      <c r="K5917" s="1063"/>
      <c r="L5917" s="1063"/>
    </row>
    <row r="5918" spans="5:12" x14ac:dyDescent="0.2">
      <c r="E5918" s="1063"/>
      <c r="H5918" s="1066"/>
      <c r="I5918" s="1063"/>
      <c r="J5918" s="1063"/>
      <c r="K5918" s="1063"/>
      <c r="L5918" s="1063"/>
    </row>
    <row r="5919" spans="5:12" x14ac:dyDescent="0.2">
      <c r="E5919" s="1063"/>
      <c r="H5919" s="1066"/>
      <c r="I5919" s="1063"/>
      <c r="J5919" s="1063"/>
      <c r="K5919" s="1063"/>
      <c r="L5919" s="1063"/>
    </row>
    <row r="5920" spans="5:12" x14ac:dyDescent="0.2">
      <c r="E5920" s="1063"/>
      <c r="H5920" s="1066"/>
      <c r="I5920" s="1063"/>
      <c r="J5920" s="1063"/>
      <c r="K5920" s="1063"/>
      <c r="L5920" s="1063"/>
    </row>
    <row r="5921" spans="5:12" x14ac:dyDescent="0.2">
      <c r="E5921" s="1063"/>
      <c r="H5921" s="1066"/>
      <c r="I5921" s="1063"/>
      <c r="J5921" s="1063"/>
      <c r="K5921" s="1063"/>
      <c r="L5921" s="1063"/>
    </row>
    <row r="5922" spans="5:12" x14ac:dyDescent="0.2">
      <c r="E5922" s="1063"/>
      <c r="H5922" s="1066"/>
      <c r="I5922" s="1063"/>
      <c r="J5922" s="1063"/>
      <c r="K5922" s="1063"/>
      <c r="L5922" s="1063"/>
    </row>
    <row r="5923" spans="5:12" x14ac:dyDescent="0.2">
      <c r="E5923" s="1063"/>
      <c r="H5923" s="1066"/>
      <c r="I5923" s="1063"/>
      <c r="J5923" s="1063"/>
      <c r="K5923" s="1063"/>
      <c r="L5923" s="1063"/>
    </row>
    <row r="5924" spans="5:12" x14ac:dyDescent="0.2">
      <c r="E5924" s="1063"/>
      <c r="H5924" s="1066"/>
      <c r="I5924" s="1063"/>
      <c r="J5924" s="1063"/>
      <c r="K5924" s="1063"/>
      <c r="L5924" s="1063"/>
    </row>
    <row r="5925" spans="5:12" x14ac:dyDescent="0.2">
      <c r="E5925" s="1063"/>
      <c r="H5925" s="1066"/>
      <c r="I5925" s="1063"/>
      <c r="J5925" s="1063"/>
      <c r="K5925" s="1063"/>
      <c r="L5925" s="1063"/>
    </row>
    <row r="5926" spans="5:12" x14ac:dyDescent="0.2">
      <c r="E5926" s="1063"/>
      <c r="H5926" s="1066"/>
      <c r="I5926" s="1063"/>
      <c r="J5926" s="1063"/>
      <c r="K5926" s="1063"/>
      <c r="L5926" s="1063"/>
    </row>
    <row r="5927" spans="5:12" x14ac:dyDescent="0.2">
      <c r="E5927" s="1063"/>
      <c r="H5927" s="1066"/>
      <c r="I5927" s="1063"/>
      <c r="J5927" s="1063"/>
      <c r="K5927" s="1063"/>
      <c r="L5927" s="1063"/>
    </row>
    <row r="5928" spans="5:12" x14ac:dyDescent="0.2">
      <c r="E5928" s="1063"/>
      <c r="H5928" s="1066"/>
      <c r="I5928" s="1063"/>
      <c r="J5928" s="1063"/>
      <c r="K5928" s="1063"/>
      <c r="L5928" s="1063"/>
    </row>
    <row r="5929" spans="5:12" x14ac:dyDescent="0.2">
      <c r="E5929" s="1063"/>
      <c r="H5929" s="1066"/>
      <c r="I5929" s="1063"/>
      <c r="J5929" s="1063"/>
      <c r="K5929" s="1063"/>
      <c r="L5929" s="1063"/>
    </row>
    <row r="5930" spans="5:12" x14ac:dyDescent="0.2">
      <c r="E5930" s="1063"/>
      <c r="H5930" s="1066"/>
      <c r="I5930" s="1063"/>
      <c r="J5930" s="1063"/>
      <c r="K5930" s="1063"/>
      <c r="L5930" s="1063"/>
    </row>
    <row r="5931" spans="5:12" x14ac:dyDescent="0.2">
      <c r="E5931" s="1063"/>
      <c r="H5931" s="1066"/>
      <c r="I5931" s="1063"/>
      <c r="J5931" s="1063"/>
      <c r="K5931" s="1063"/>
      <c r="L5931" s="1063"/>
    </row>
    <row r="5932" spans="5:12" x14ac:dyDescent="0.2">
      <c r="E5932" s="1063"/>
      <c r="H5932" s="1066"/>
      <c r="I5932" s="1063"/>
      <c r="J5932" s="1063"/>
      <c r="K5932" s="1063"/>
      <c r="L5932" s="1063"/>
    </row>
    <row r="5933" spans="5:12" x14ac:dyDescent="0.2">
      <c r="E5933" s="1063"/>
      <c r="H5933" s="1066"/>
      <c r="I5933" s="1063"/>
      <c r="J5933" s="1063"/>
      <c r="K5933" s="1063"/>
      <c r="L5933" s="1063"/>
    </row>
    <row r="5934" spans="5:12" x14ac:dyDescent="0.2">
      <c r="E5934" s="1063"/>
      <c r="H5934" s="1066"/>
      <c r="I5934" s="1063"/>
      <c r="J5934" s="1063"/>
      <c r="K5934" s="1063"/>
      <c r="L5934" s="1063"/>
    </row>
    <row r="5935" spans="5:12" x14ac:dyDescent="0.2">
      <c r="E5935" s="1063"/>
      <c r="H5935" s="1066"/>
      <c r="I5935" s="1063"/>
      <c r="J5935" s="1063"/>
      <c r="K5935" s="1063"/>
      <c r="L5935" s="1063"/>
    </row>
    <row r="5936" spans="5:12" x14ac:dyDescent="0.2">
      <c r="E5936" s="1063"/>
      <c r="H5936" s="1066"/>
      <c r="I5936" s="1063"/>
      <c r="J5936" s="1063"/>
      <c r="K5936" s="1063"/>
      <c r="L5936" s="1063"/>
    </row>
    <row r="5937" spans="5:12" x14ac:dyDescent="0.2">
      <c r="E5937" s="1063"/>
      <c r="H5937" s="1066"/>
      <c r="I5937" s="1063"/>
      <c r="J5937" s="1063"/>
      <c r="K5937" s="1063"/>
      <c r="L5937" s="1063"/>
    </row>
    <row r="5938" spans="5:12" x14ac:dyDescent="0.2">
      <c r="E5938" s="1063"/>
      <c r="H5938" s="1066"/>
      <c r="I5938" s="1063"/>
      <c r="J5938" s="1063"/>
      <c r="K5938" s="1063"/>
      <c r="L5938" s="1063"/>
    </row>
    <row r="5939" spans="5:12" x14ac:dyDescent="0.2">
      <c r="E5939" s="1063"/>
      <c r="H5939" s="1066"/>
      <c r="I5939" s="1063"/>
      <c r="J5939" s="1063"/>
      <c r="K5939" s="1063"/>
      <c r="L5939" s="1063"/>
    </row>
    <row r="5940" spans="5:12" x14ac:dyDescent="0.2">
      <c r="E5940" s="1063"/>
      <c r="H5940" s="1066"/>
      <c r="I5940" s="1063"/>
      <c r="J5940" s="1063"/>
      <c r="K5940" s="1063"/>
      <c r="L5940" s="1063"/>
    </row>
    <row r="5941" spans="5:12" x14ac:dyDescent="0.2">
      <c r="E5941" s="1063"/>
      <c r="H5941" s="1066"/>
      <c r="I5941" s="1063"/>
      <c r="J5941" s="1063"/>
      <c r="K5941" s="1063"/>
      <c r="L5941" s="1063"/>
    </row>
    <row r="5942" spans="5:12" x14ac:dyDescent="0.2">
      <c r="E5942" s="1063"/>
      <c r="H5942" s="1066"/>
      <c r="I5942" s="1063"/>
      <c r="J5942" s="1063"/>
      <c r="K5942" s="1063"/>
      <c r="L5942" s="1063"/>
    </row>
    <row r="5943" spans="5:12" x14ac:dyDescent="0.2">
      <c r="E5943" s="1063"/>
      <c r="H5943" s="1066"/>
      <c r="I5943" s="1063"/>
      <c r="J5943" s="1063"/>
      <c r="K5943" s="1063"/>
      <c r="L5943" s="1063"/>
    </row>
    <row r="5944" spans="5:12" x14ac:dyDescent="0.2">
      <c r="E5944" s="1063"/>
      <c r="H5944" s="1066"/>
      <c r="I5944" s="1063"/>
      <c r="J5944" s="1063"/>
      <c r="K5944" s="1063"/>
      <c r="L5944" s="1063"/>
    </row>
    <row r="5945" spans="5:12" x14ac:dyDescent="0.2">
      <c r="E5945" s="1063"/>
      <c r="H5945" s="1066"/>
      <c r="I5945" s="1063"/>
      <c r="J5945" s="1063"/>
      <c r="K5945" s="1063"/>
      <c r="L5945" s="1063"/>
    </row>
    <row r="5946" spans="5:12" x14ac:dyDescent="0.2">
      <c r="E5946" s="1063"/>
      <c r="H5946" s="1066"/>
      <c r="I5946" s="1063"/>
      <c r="J5946" s="1063"/>
      <c r="K5946" s="1063"/>
      <c r="L5946" s="1063"/>
    </row>
    <row r="5947" spans="5:12" x14ac:dyDescent="0.2">
      <c r="E5947" s="1063"/>
      <c r="H5947" s="1066"/>
      <c r="I5947" s="1063"/>
      <c r="J5947" s="1063"/>
      <c r="K5947" s="1063"/>
      <c r="L5947" s="1063"/>
    </row>
    <row r="5948" spans="5:12" x14ac:dyDescent="0.2">
      <c r="E5948" s="1063"/>
      <c r="H5948" s="1066"/>
      <c r="I5948" s="1063"/>
      <c r="J5948" s="1063"/>
      <c r="K5948" s="1063"/>
      <c r="L5948" s="1063"/>
    </row>
    <row r="5949" spans="5:12" x14ac:dyDescent="0.2">
      <c r="E5949" s="1063"/>
      <c r="H5949" s="1066"/>
      <c r="I5949" s="1063"/>
      <c r="J5949" s="1063"/>
      <c r="K5949" s="1063"/>
      <c r="L5949" s="1063"/>
    </row>
    <row r="5950" spans="5:12" x14ac:dyDescent="0.2">
      <c r="E5950" s="1063"/>
      <c r="H5950" s="1066"/>
      <c r="I5950" s="1063"/>
      <c r="J5950" s="1063"/>
      <c r="K5950" s="1063"/>
      <c r="L5950" s="1063"/>
    </row>
    <row r="5951" spans="5:12" x14ac:dyDescent="0.2">
      <c r="E5951" s="1063"/>
      <c r="H5951" s="1066"/>
      <c r="I5951" s="1063"/>
      <c r="J5951" s="1063"/>
      <c r="K5951" s="1063"/>
      <c r="L5951" s="1063"/>
    </row>
    <row r="5952" spans="5:12" x14ac:dyDescent="0.2">
      <c r="E5952" s="1063"/>
      <c r="H5952" s="1066"/>
      <c r="I5952" s="1063"/>
      <c r="J5952" s="1063"/>
      <c r="K5952" s="1063"/>
      <c r="L5952" s="1063"/>
    </row>
    <row r="5953" spans="5:12" x14ac:dyDescent="0.2">
      <c r="E5953" s="1063"/>
      <c r="H5953" s="1066"/>
      <c r="I5953" s="1063"/>
      <c r="J5953" s="1063"/>
      <c r="K5953" s="1063"/>
      <c r="L5953" s="1063"/>
    </row>
    <row r="5954" spans="5:12" x14ac:dyDescent="0.2">
      <c r="E5954" s="1063"/>
      <c r="H5954" s="1066"/>
      <c r="I5954" s="1063"/>
      <c r="J5954" s="1063"/>
      <c r="K5954" s="1063"/>
      <c r="L5954" s="1063"/>
    </row>
    <row r="5955" spans="5:12" x14ac:dyDescent="0.2">
      <c r="E5955" s="1063"/>
      <c r="H5955" s="1066"/>
      <c r="I5955" s="1063"/>
      <c r="J5955" s="1063"/>
      <c r="K5955" s="1063"/>
      <c r="L5955" s="1063"/>
    </row>
    <row r="5956" spans="5:12" x14ac:dyDescent="0.2">
      <c r="E5956" s="1063"/>
      <c r="H5956" s="1066"/>
      <c r="I5956" s="1063"/>
      <c r="J5956" s="1063"/>
      <c r="K5956" s="1063"/>
      <c r="L5956" s="1063"/>
    </row>
    <row r="5957" spans="5:12" x14ac:dyDescent="0.2">
      <c r="E5957" s="1063"/>
      <c r="H5957" s="1066"/>
      <c r="I5957" s="1063"/>
      <c r="J5957" s="1063"/>
      <c r="K5957" s="1063"/>
      <c r="L5957" s="1063"/>
    </row>
    <row r="5958" spans="5:12" x14ac:dyDescent="0.2">
      <c r="E5958" s="1063"/>
      <c r="H5958" s="1066"/>
      <c r="I5958" s="1063"/>
      <c r="J5958" s="1063"/>
      <c r="K5958" s="1063"/>
      <c r="L5958" s="1063"/>
    </row>
    <row r="5959" spans="5:12" x14ac:dyDescent="0.2">
      <c r="E5959" s="1063"/>
      <c r="H5959" s="1066"/>
      <c r="I5959" s="1063"/>
      <c r="J5959" s="1063"/>
      <c r="K5959" s="1063"/>
      <c r="L5959" s="1063"/>
    </row>
    <row r="5960" spans="5:12" x14ac:dyDescent="0.2">
      <c r="E5960" s="1063"/>
      <c r="H5960" s="1066"/>
      <c r="I5960" s="1063"/>
      <c r="J5960" s="1063"/>
      <c r="K5960" s="1063"/>
      <c r="L5960" s="1063"/>
    </row>
    <row r="5961" spans="5:12" x14ac:dyDescent="0.2">
      <c r="E5961" s="1063"/>
      <c r="H5961" s="1066"/>
      <c r="I5961" s="1063"/>
      <c r="J5961" s="1063"/>
      <c r="K5961" s="1063"/>
      <c r="L5961" s="1063"/>
    </row>
    <row r="5962" spans="5:12" x14ac:dyDescent="0.2">
      <c r="E5962" s="1063"/>
      <c r="H5962" s="1066"/>
      <c r="I5962" s="1063"/>
      <c r="J5962" s="1063"/>
      <c r="K5962" s="1063"/>
      <c r="L5962" s="1063"/>
    </row>
    <row r="5963" spans="5:12" x14ac:dyDescent="0.2">
      <c r="E5963" s="1063"/>
      <c r="H5963" s="1066"/>
      <c r="I5963" s="1063"/>
      <c r="J5963" s="1063"/>
      <c r="K5963" s="1063"/>
      <c r="L5963" s="1063"/>
    </row>
    <row r="5964" spans="5:12" x14ac:dyDescent="0.2">
      <c r="E5964" s="1063"/>
      <c r="H5964" s="1066"/>
      <c r="I5964" s="1063"/>
      <c r="J5964" s="1063"/>
      <c r="K5964" s="1063"/>
      <c r="L5964" s="1063"/>
    </row>
    <row r="5965" spans="5:12" x14ac:dyDescent="0.2">
      <c r="E5965" s="1063"/>
      <c r="H5965" s="1066"/>
      <c r="I5965" s="1063"/>
      <c r="J5965" s="1063"/>
      <c r="K5965" s="1063"/>
      <c r="L5965" s="1063"/>
    </row>
    <row r="5966" spans="5:12" x14ac:dyDescent="0.2">
      <c r="E5966" s="1063"/>
      <c r="H5966" s="1066"/>
      <c r="I5966" s="1063"/>
      <c r="J5966" s="1063"/>
      <c r="K5966" s="1063"/>
      <c r="L5966" s="1063"/>
    </row>
    <row r="5967" spans="5:12" x14ac:dyDescent="0.2">
      <c r="E5967" s="1063"/>
      <c r="H5967" s="1066"/>
      <c r="I5967" s="1063"/>
      <c r="J5967" s="1063"/>
      <c r="K5967" s="1063"/>
      <c r="L5967" s="1063"/>
    </row>
    <row r="5968" spans="5:12" x14ac:dyDescent="0.2">
      <c r="E5968" s="1063"/>
      <c r="H5968" s="1066"/>
      <c r="I5968" s="1063"/>
      <c r="J5968" s="1063"/>
      <c r="K5968" s="1063"/>
      <c r="L5968" s="1063"/>
    </row>
    <row r="5969" spans="5:12" x14ac:dyDescent="0.2">
      <c r="E5969" s="1063"/>
      <c r="H5969" s="1066"/>
      <c r="I5969" s="1063"/>
      <c r="J5969" s="1063"/>
      <c r="K5969" s="1063"/>
      <c r="L5969" s="1063"/>
    </row>
    <row r="5970" spans="5:12" x14ac:dyDescent="0.2">
      <c r="E5970" s="1063"/>
      <c r="H5970" s="1066"/>
      <c r="I5970" s="1063"/>
      <c r="J5970" s="1063"/>
      <c r="K5970" s="1063"/>
      <c r="L5970" s="1063"/>
    </row>
    <row r="5971" spans="5:12" x14ac:dyDescent="0.2">
      <c r="E5971" s="1063"/>
      <c r="H5971" s="1066"/>
      <c r="I5971" s="1063"/>
      <c r="J5971" s="1063"/>
      <c r="K5971" s="1063"/>
      <c r="L5971" s="1063"/>
    </row>
    <row r="5972" spans="5:12" x14ac:dyDescent="0.2">
      <c r="E5972" s="1063"/>
      <c r="H5972" s="1066"/>
      <c r="I5972" s="1063"/>
      <c r="J5972" s="1063"/>
      <c r="K5972" s="1063"/>
      <c r="L5972" s="1063"/>
    </row>
    <row r="5973" spans="5:12" x14ac:dyDescent="0.2">
      <c r="E5973" s="1063"/>
      <c r="H5973" s="1066"/>
      <c r="I5973" s="1063"/>
      <c r="J5973" s="1063"/>
      <c r="K5973" s="1063"/>
      <c r="L5973" s="1063"/>
    </row>
    <row r="5974" spans="5:12" x14ac:dyDescent="0.2">
      <c r="E5974" s="1063"/>
      <c r="H5974" s="1066"/>
      <c r="I5974" s="1063"/>
      <c r="J5974" s="1063"/>
      <c r="K5974" s="1063"/>
      <c r="L5974" s="1063"/>
    </row>
    <row r="5975" spans="5:12" x14ac:dyDescent="0.2">
      <c r="E5975" s="1063"/>
      <c r="H5975" s="1066"/>
      <c r="I5975" s="1063"/>
      <c r="J5975" s="1063"/>
      <c r="K5975" s="1063"/>
      <c r="L5975" s="1063"/>
    </row>
    <row r="5976" spans="5:12" x14ac:dyDescent="0.2">
      <c r="E5976" s="1063"/>
      <c r="H5976" s="1066"/>
      <c r="I5976" s="1063"/>
      <c r="J5976" s="1063"/>
      <c r="K5976" s="1063"/>
      <c r="L5976" s="1063"/>
    </row>
    <row r="5977" spans="5:12" x14ac:dyDescent="0.2">
      <c r="E5977" s="1063"/>
      <c r="H5977" s="1066"/>
      <c r="I5977" s="1063"/>
      <c r="J5977" s="1063"/>
      <c r="K5977" s="1063"/>
      <c r="L5977" s="1063"/>
    </row>
    <row r="5978" spans="5:12" x14ac:dyDescent="0.2">
      <c r="E5978" s="1063"/>
      <c r="H5978" s="1066"/>
      <c r="I5978" s="1063"/>
      <c r="J5978" s="1063"/>
      <c r="K5978" s="1063"/>
      <c r="L5978" s="1063"/>
    </row>
    <row r="5979" spans="5:12" x14ac:dyDescent="0.2">
      <c r="E5979" s="1063"/>
      <c r="H5979" s="1066"/>
      <c r="I5979" s="1063"/>
      <c r="J5979" s="1063"/>
      <c r="K5979" s="1063"/>
      <c r="L5979" s="1063"/>
    </row>
    <row r="5980" spans="5:12" x14ac:dyDescent="0.2">
      <c r="E5980" s="1063"/>
      <c r="H5980" s="1066"/>
      <c r="I5980" s="1063"/>
      <c r="J5980" s="1063"/>
      <c r="K5980" s="1063"/>
      <c r="L5980" s="1063"/>
    </row>
    <row r="5981" spans="5:12" x14ac:dyDescent="0.2">
      <c r="E5981" s="1063"/>
      <c r="H5981" s="1066"/>
      <c r="I5981" s="1063"/>
      <c r="J5981" s="1063"/>
      <c r="K5981" s="1063"/>
      <c r="L5981" s="1063"/>
    </row>
    <row r="5982" spans="5:12" x14ac:dyDescent="0.2">
      <c r="E5982" s="1063"/>
      <c r="H5982" s="1066"/>
      <c r="I5982" s="1063"/>
      <c r="J5982" s="1063"/>
      <c r="K5982" s="1063"/>
      <c r="L5982" s="1063"/>
    </row>
    <row r="5983" spans="5:12" x14ac:dyDescent="0.2">
      <c r="E5983" s="1063"/>
      <c r="H5983" s="1066"/>
      <c r="I5983" s="1063"/>
      <c r="J5983" s="1063"/>
      <c r="K5983" s="1063"/>
      <c r="L5983" s="1063"/>
    </row>
    <row r="5984" spans="5:12" x14ac:dyDescent="0.2">
      <c r="E5984" s="1063"/>
      <c r="H5984" s="1066"/>
      <c r="I5984" s="1063"/>
      <c r="J5984" s="1063"/>
      <c r="K5984" s="1063"/>
      <c r="L5984" s="1063"/>
    </row>
    <row r="5985" spans="5:12" x14ac:dyDescent="0.2">
      <c r="E5985" s="1063"/>
      <c r="H5985" s="1066"/>
      <c r="I5985" s="1063"/>
      <c r="J5985" s="1063"/>
      <c r="K5985" s="1063"/>
      <c r="L5985" s="1063"/>
    </row>
    <row r="5986" spans="5:12" x14ac:dyDescent="0.2">
      <c r="E5986" s="1063"/>
      <c r="H5986" s="1066"/>
      <c r="I5986" s="1063"/>
      <c r="J5986" s="1063"/>
      <c r="K5986" s="1063"/>
      <c r="L5986" s="1063"/>
    </row>
    <row r="5987" spans="5:12" x14ac:dyDescent="0.2">
      <c r="E5987" s="1063"/>
      <c r="H5987" s="1066"/>
      <c r="I5987" s="1063"/>
      <c r="J5987" s="1063"/>
      <c r="K5987" s="1063"/>
      <c r="L5987" s="1063"/>
    </row>
    <row r="5988" spans="5:12" x14ac:dyDescent="0.2">
      <c r="E5988" s="1063"/>
      <c r="H5988" s="1066"/>
      <c r="I5988" s="1063"/>
      <c r="J5988" s="1063"/>
      <c r="K5988" s="1063"/>
      <c r="L5988" s="1063"/>
    </row>
    <row r="5989" spans="5:12" x14ac:dyDescent="0.2">
      <c r="E5989" s="1063"/>
      <c r="H5989" s="1066"/>
      <c r="I5989" s="1063"/>
      <c r="J5989" s="1063"/>
      <c r="K5989" s="1063"/>
      <c r="L5989" s="1063"/>
    </row>
    <row r="5990" spans="5:12" x14ac:dyDescent="0.2">
      <c r="E5990" s="1063"/>
      <c r="H5990" s="1066"/>
      <c r="I5990" s="1063"/>
      <c r="J5990" s="1063"/>
      <c r="K5990" s="1063"/>
      <c r="L5990" s="1063"/>
    </row>
    <row r="5991" spans="5:12" x14ac:dyDescent="0.2">
      <c r="E5991" s="1063"/>
      <c r="H5991" s="1066"/>
      <c r="I5991" s="1063"/>
      <c r="J5991" s="1063"/>
      <c r="K5991" s="1063"/>
      <c r="L5991" s="1063"/>
    </row>
    <row r="5992" spans="5:12" x14ac:dyDescent="0.2">
      <c r="E5992" s="1063"/>
      <c r="H5992" s="1066"/>
      <c r="I5992" s="1063"/>
      <c r="J5992" s="1063"/>
      <c r="K5992" s="1063"/>
      <c r="L5992" s="1063"/>
    </row>
    <row r="5993" spans="5:12" x14ac:dyDescent="0.2">
      <c r="E5993" s="1063"/>
      <c r="H5993" s="1066"/>
      <c r="I5993" s="1063"/>
      <c r="J5993" s="1063"/>
      <c r="K5993" s="1063"/>
      <c r="L5993" s="1063"/>
    </row>
    <row r="5994" spans="5:12" x14ac:dyDescent="0.2">
      <c r="E5994" s="1063"/>
      <c r="H5994" s="1066"/>
      <c r="I5994" s="1063"/>
      <c r="J5994" s="1063"/>
      <c r="K5994" s="1063"/>
      <c r="L5994" s="1063"/>
    </row>
    <row r="5995" spans="5:12" x14ac:dyDescent="0.2">
      <c r="E5995" s="1063"/>
      <c r="H5995" s="1066"/>
      <c r="I5995" s="1063"/>
      <c r="J5995" s="1063"/>
      <c r="K5995" s="1063"/>
      <c r="L5995" s="1063"/>
    </row>
    <row r="5996" spans="5:12" x14ac:dyDescent="0.2">
      <c r="E5996" s="1063"/>
      <c r="H5996" s="1066"/>
      <c r="I5996" s="1063"/>
      <c r="J5996" s="1063"/>
      <c r="K5996" s="1063"/>
      <c r="L5996" s="1063"/>
    </row>
    <row r="5997" spans="5:12" x14ac:dyDescent="0.2">
      <c r="E5997" s="1063"/>
      <c r="H5997" s="1066"/>
      <c r="I5997" s="1063"/>
      <c r="J5997" s="1063"/>
      <c r="K5997" s="1063"/>
      <c r="L5997" s="1063"/>
    </row>
    <row r="5998" spans="5:12" x14ac:dyDescent="0.2">
      <c r="E5998" s="1063"/>
      <c r="H5998" s="1066"/>
      <c r="I5998" s="1063"/>
      <c r="J5998" s="1063"/>
      <c r="K5998" s="1063"/>
      <c r="L5998" s="1063"/>
    </row>
    <row r="5999" spans="5:12" x14ac:dyDescent="0.2">
      <c r="E5999" s="1063"/>
      <c r="H5999" s="1066"/>
      <c r="I5999" s="1063"/>
      <c r="J5999" s="1063"/>
      <c r="K5999" s="1063"/>
      <c r="L5999" s="1063"/>
    </row>
    <row r="6000" spans="5:12" x14ac:dyDescent="0.2">
      <c r="E6000" s="1063"/>
      <c r="H6000" s="1066"/>
      <c r="I6000" s="1063"/>
      <c r="J6000" s="1063"/>
      <c r="K6000" s="1063"/>
      <c r="L6000" s="1063"/>
    </row>
    <row r="6001" spans="5:12" x14ac:dyDescent="0.2">
      <c r="E6001" s="1063"/>
      <c r="H6001" s="1066"/>
      <c r="I6001" s="1063"/>
      <c r="J6001" s="1063"/>
      <c r="K6001" s="1063"/>
      <c r="L6001" s="1063"/>
    </row>
    <row r="6002" spans="5:12" x14ac:dyDescent="0.2">
      <c r="E6002" s="1063"/>
      <c r="H6002" s="1066"/>
      <c r="I6002" s="1063"/>
      <c r="J6002" s="1063"/>
      <c r="K6002" s="1063"/>
      <c r="L6002" s="1063"/>
    </row>
    <row r="6003" spans="5:12" x14ac:dyDescent="0.2">
      <c r="E6003" s="1063"/>
      <c r="H6003" s="1066"/>
      <c r="I6003" s="1063"/>
      <c r="J6003" s="1063"/>
      <c r="K6003" s="1063"/>
      <c r="L6003" s="1063"/>
    </row>
    <row r="6004" spans="5:12" x14ac:dyDescent="0.2">
      <c r="E6004" s="1063"/>
      <c r="H6004" s="1066"/>
      <c r="I6004" s="1063"/>
      <c r="J6004" s="1063"/>
      <c r="K6004" s="1063"/>
      <c r="L6004" s="1063"/>
    </row>
    <row r="6005" spans="5:12" x14ac:dyDescent="0.2">
      <c r="E6005" s="1063"/>
      <c r="H6005" s="1066"/>
      <c r="I6005" s="1063"/>
      <c r="J6005" s="1063"/>
      <c r="K6005" s="1063"/>
      <c r="L6005" s="1063"/>
    </row>
    <row r="6006" spans="5:12" x14ac:dyDescent="0.2">
      <c r="E6006" s="1063"/>
      <c r="H6006" s="1066"/>
      <c r="I6006" s="1063"/>
      <c r="J6006" s="1063"/>
      <c r="K6006" s="1063"/>
      <c r="L6006" s="1063"/>
    </row>
    <row r="6007" spans="5:12" x14ac:dyDescent="0.2">
      <c r="E6007" s="1063"/>
      <c r="H6007" s="1066"/>
      <c r="I6007" s="1063"/>
      <c r="J6007" s="1063"/>
      <c r="K6007" s="1063"/>
      <c r="L6007" s="1063"/>
    </row>
    <row r="6008" spans="5:12" x14ac:dyDescent="0.2">
      <c r="E6008" s="1063"/>
      <c r="H6008" s="1066"/>
      <c r="I6008" s="1063"/>
      <c r="J6008" s="1063"/>
      <c r="K6008" s="1063"/>
      <c r="L6008" s="1063"/>
    </row>
    <row r="6009" spans="5:12" x14ac:dyDescent="0.2">
      <c r="E6009" s="1063"/>
      <c r="H6009" s="1066"/>
      <c r="I6009" s="1063"/>
      <c r="J6009" s="1063"/>
      <c r="K6009" s="1063"/>
      <c r="L6009" s="1063"/>
    </row>
    <row r="6010" spans="5:12" x14ac:dyDescent="0.2">
      <c r="E6010" s="1063"/>
      <c r="H6010" s="1066"/>
      <c r="I6010" s="1063"/>
      <c r="J6010" s="1063"/>
      <c r="K6010" s="1063"/>
      <c r="L6010" s="1063"/>
    </row>
    <row r="6011" spans="5:12" x14ac:dyDescent="0.2">
      <c r="E6011" s="1063"/>
      <c r="H6011" s="1066"/>
      <c r="I6011" s="1063"/>
      <c r="J6011" s="1063"/>
      <c r="K6011" s="1063"/>
      <c r="L6011" s="1063"/>
    </row>
    <row r="6012" spans="5:12" x14ac:dyDescent="0.2">
      <c r="E6012" s="1063"/>
      <c r="H6012" s="1066"/>
      <c r="I6012" s="1063"/>
      <c r="J6012" s="1063"/>
      <c r="K6012" s="1063"/>
      <c r="L6012" s="1063"/>
    </row>
    <row r="6013" spans="5:12" x14ac:dyDescent="0.2">
      <c r="E6013" s="1063"/>
      <c r="H6013" s="1066"/>
      <c r="I6013" s="1063"/>
      <c r="J6013" s="1063"/>
      <c r="K6013" s="1063"/>
      <c r="L6013" s="1063"/>
    </row>
    <row r="6014" spans="5:12" x14ac:dyDescent="0.2">
      <c r="E6014" s="1063"/>
      <c r="H6014" s="1066"/>
      <c r="I6014" s="1063"/>
      <c r="J6014" s="1063"/>
      <c r="K6014" s="1063"/>
      <c r="L6014" s="1063"/>
    </row>
    <row r="6015" spans="5:12" x14ac:dyDescent="0.2">
      <c r="E6015" s="1063"/>
      <c r="H6015" s="1066"/>
      <c r="I6015" s="1063"/>
      <c r="J6015" s="1063"/>
      <c r="K6015" s="1063"/>
      <c r="L6015" s="1063"/>
    </row>
    <row r="6016" spans="5:12" x14ac:dyDescent="0.2">
      <c r="E6016" s="1063"/>
      <c r="H6016" s="1066"/>
      <c r="I6016" s="1063"/>
      <c r="J6016" s="1063"/>
      <c r="K6016" s="1063"/>
      <c r="L6016" s="1063"/>
    </row>
    <row r="6017" spans="5:12" x14ac:dyDescent="0.2">
      <c r="E6017" s="1063"/>
      <c r="H6017" s="1066"/>
      <c r="I6017" s="1063"/>
      <c r="J6017" s="1063"/>
      <c r="K6017" s="1063"/>
      <c r="L6017" s="1063"/>
    </row>
    <row r="6018" spans="5:12" x14ac:dyDescent="0.2">
      <c r="E6018" s="1063"/>
      <c r="H6018" s="1066"/>
      <c r="I6018" s="1063"/>
      <c r="J6018" s="1063"/>
      <c r="K6018" s="1063"/>
      <c r="L6018" s="1063"/>
    </row>
    <row r="6019" spans="5:12" x14ac:dyDescent="0.2">
      <c r="E6019" s="1063"/>
      <c r="H6019" s="1066"/>
      <c r="I6019" s="1063"/>
      <c r="J6019" s="1063"/>
      <c r="K6019" s="1063"/>
      <c r="L6019" s="1063"/>
    </row>
    <row r="6020" spans="5:12" x14ac:dyDescent="0.2">
      <c r="E6020" s="1063"/>
      <c r="H6020" s="1066"/>
      <c r="I6020" s="1063"/>
      <c r="J6020" s="1063"/>
      <c r="K6020" s="1063"/>
      <c r="L6020" s="1063"/>
    </row>
    <row r="6021" spans="5:12" x14ac:dyDescent="0.2">
      <c r="E6021" s="1063"/>
      <c r="H6021" s="1066"/>
      <c r="I6021" s="1063"/>
      <c r="J6021" s="1063"/>
      <c r="K6021" s="1063"/>
      <c r="L6021" s="1063"/>
    </row>
    <row r="6022" spans="5:12" x14ac:dyDescent="0.2">
      <c r="E6022" s="1063"/>
      <c r="H6022" s="1066"/>
      <c r="I6022" s="1063"/>
      <c r="J6022" s="1063"/>
      <c r="K6022" s="1063"/>
      <c r="L6022" s="1063"/>
    </row>
    <row r="6023" spans="5:12" x14ac:dyDescent="0.2">
      <c r="E6023" s="1063"/>
      <c r="H6023" s="1066"/>
      <c r="I6023" s="1063"/>
      <c r="J6023" s="1063"/>
      <c r="K6023" s="1063"/>
      <c r="L6023" s="1063"/>
    </row>
    <row r="6024" spans="5:12" x14ac:dyDescent="0.2">
      <c r="E6024" s="1063"/>
      <c r="H6024" s="1066"/>
      <c r="I6024" s="1063"/>
      <c r="J6024" s="1063"/>
      <c r="K6024" s="1063"/>
      <c r="L6024" s="1063"/>
    </row>
    <row r="6025" spans="5:12" x14ac:dyDescent="0.2">
      <c r="E6025" s="1063"/>
      <c r="H6025" s="1066"/>
      <c r="I6025" s="1063"/>
      <c r="J6025" s="1063"/>
      <c r="K6025" s="1063"/>
      <c r="L6025" s="1063"/>
    </row>
    <row r="6026" spans="5:12" x14ac:dyDescent="0.2">
      <c r="E6026" s="1063"/>
      <c r="H6026" s="1066"/>
      <c r="I6026" s="1063"/>
      <c r="J6026" s="1063"/>
      <c r="K6026" s="1063"/>
      <c r="L6026" s="1063"/>
    </row>
    <row r="6027" spans="5:12" x14ac:dyDescent="0.2">
      <c r="E6027" s="1063"/>
      <c r="H6027" s="1066"/>
      <c r="I6027" s="1063"/>
      <c r="J6027" s="1063"/>
      <c r="K6027" s="1063"/>
      <c r="L6027" s="1063"/>
    </row>
    <row r="6028" spans="5:12" x14ac:dyDescent="0.2">
      <c r="E6028" s="1063"/>
      <c r="H6028" s="1066"/>
      <c r="I6028" s="1063"/>
      <c r="J6028" s="1063"/>
      <c r="K6028" s="1063"/>
      <c r="L6028" s="1063"/>
    </row>
    <row r="6029" spans="5:12" x14ac:dyDescent="0.2">
      <c r="E6029" s="1063"/>
      <c r="H6029" s="1066"/>
      <c r="I6029" s="1063"/>
      <c r="J6029" s="1063"/>
      <c r="K6029" s="1063"/>
      <c r="L6029" s="1063"/>
    </row>
    <row r="6030" spans="5:12" x14ac:dyDescent="0.2">
      <c r="E6030" s="1063"/>
      <c r="H6030" s="1066"/>
      <c r="I6030" s="1063"/>
      <c r="J6030" s="1063"/>
      <c r="K6030" s="1063"/>
      <c r="L6030" s="1063"/>
    </row>
    <row r="6031" spans="5:12" x14ac:dyDescent="0.2">
      <c r="E6031" s="1063"/>
      <c r="H6031" s="1066"/>
      <c r="I6031" s="1063"/>
      <c r="J6031" s="1063"/>
      <c r="K6031" s="1063"/>
      <c r="L6031" s="1063"/>
    </row>
    <row r="6032" spans="5:12" x14ac:dyDescent="0.2">
      <c r="E6032" s="1063"/>
      <c r="H6032" s="1066"/>
      <c r="I6032" s="1063"/>
      <c r="J6032" s="1063"/>
      <c r="K6032" s="1063"/>
      <c r="L6032" s="1063"/>
    </row>
    <row r="6033" spans="5:12" x14ac:dyDescent="0.2">
      <c r="E6033" s="1063"/>
      <c r="H6033" s="1066"/>
      <c r="I6033" s="1063"/>
      <c r="J6033" s="1063"/>
      <c r="K6033" s="1063"/>
      <c r="L6033" s="1063"/>
    </row>
    <row r="6034" spans="5:12" x14ac:dyDescent="0.2">
      <c r="E6034" s="1063"/>
      <c r="H6034" s="1066"/>
      <c r="I6034" s="1063"/>
      <c r="J6034" s="1063"/>
      <c r="K6034" s="1063"/>
      <c r="L6034" s="1063"/>
    </row>
    <row r="6035" spans="5:12" x14ac:dyDescent="0.2">
      <c r="E6035" s="1063"/>
      <c r="H6035" s="1066"/>
      <c r="I6035" s="1063"/>
      <c r="J6035" s="1063"/>
      <c r="K6035" s="1063"/>
      <c r="L6035" s="1063"/>
    </row>
    <row r="6036" spans="5:12" x14ac:dyDescent="0.2">
      <c r="E6036" s="1063"/>
      <c r="H6036" s="1066"/>
      <c r="I6036" s="1063"/>
      <c r="J6036" s="1063"/>
      <c r="K6036" s="1063"/>
      <c r="L6036" s="1063"/>
    </row>
    <row r="6037" spans="5:12" x14ac:dyDescent="0.2">
      <c r="E6037" s="1063"/>
      <c r="H6037" s="1066"/>
      <c r="I6037" s="1063"/>
      <c r="J6037" s="1063"/>
      <c r="K6037" s="1063"/>
      <c r="L6037" s="1063"/>
    </row>
    <row r="6038" spans="5:12" x14ac:dyDescent="0.2">
      <c r="E6038" s="1063"/>
      <c r="H6038" s="1066"/>
      <c r="I6038" s="1063"/>
      <c r="J6038" s="1063"/>
      <c r="K6038" s="1063"/>
      <c r="L6038" s="1063"/>
    </row>
    <row r="6039" spans="5:12" x14ac:dyDescent="0.2">
      <c r="E6039" s="1063"/>
      <c r="H6039" s="1066"/>
      <c r="I6039" s="1063"/>
      <c r="J6039" s="1063"/>
      <c r="K6039" s="1063"/>
      <c r="L6039" s="1063"/>
    </row>
    <row r="6040" spans="5:12" x14ac:dyDescent="0.2">
      <c r="E6040" s="1063"/>
      <c r="H6040" s="1066"/>
      <c r="I6040" s="1063"/>
      <c r="J6040" s="1063"/>
      <c r="K6040" s="1063"/>
      <c r="L6040" s="1063"/>
    </row>
    <row r="6041" spans="5:12" x14ac:dyDescent="0.2">
      <c r="E6041" s="1063"/>
      <c r="H6041" s="1066"/>
      <c r="I6041" s="1063"/>
      <c r="J6041" s="1063"/>
      <c r="K6041" s="1063"/>
      <c r="L6041" s="1063"/>
    </row>
    <row r="6042" spans="5:12" x14ac:dyDescent="0.2">
      <c r="E6042" s="1063"/>
      <c r="H6042" s="1066"/>
      <c r="I6042" s="1063"/>
      <c r="J6042" s="1063"/>
      <c r="K6042" s="1063"/>
      <c r="L6042" s="1063"/>
    </row>
    <row r="6043" spans="5:12" x14ac:dyDescent="0.2">
      <c r="E6043" s="1063"/>
      <c r="H6043" s="1066"/>
      <c r="I6043" s="1063"/>
      <c r="J6043" s="1063"/>
      <c r="K6043" s="1063"/>
      <c r="L6043" s="1063"/>
    </row>
    <row r="6044" spans="5:12" x14ac:dyDescent="0.2">
      <c r="E6044" s="1063"/>
      <c r="H6044" s="1066"/>
      <c r="I6044" s="1063"/>
      <c r="J6044" s="1063"/>
      <c r="K6044" s="1063"/>
      <c r="L6044" s="1063"/>
    </row>
    <row r="6045" spans="5:12" x14ac:dyDescent="0.2">
      <c r="E6045" s="1063"/>
      <c r="H6045" s="1066"/>
      <c r="I6045" s="1063"/>
      <c r="J6045" s="1063"/>
      <c r="K6045" s="1063"/>
      <c r="L6045" s="1063"/>
    </row>
    <row r="6046" spans="5:12" x14ac:dyDescent="0.2">
      <c r="E6046" s="1063"/>
      <c r="H6046" s="1066"/>
      <c r="I6046" s="1063"/>
      <c r="J6046" s="1063"/>
      <c r="K6046" s="1063"/>
      <c r="L6046" s="1063"/>
    </row>
    <row r="6047" spans="5:12" x14ac:dyDescent="0.2">
      <c r="E6047" s="1063"/>
      <c r="H6047" s="1066"/>
      <c r="I6047" s="1063"/>
      <c r="J6047" s="1063"/>
      <c r="K6047" s="1063"/>
      <c r="L6047" s="1063"/>
    </row>
    <row r="6048" spans="5:12" x14ac:dyDescent="0.2">
      <c r="E6048" s="1063"/>
      <c r="H6048" s="1066"/>
      <c r="I6048" s="1063"/>
      <c r="J6048" s="1063"/>
      <c r="K6048" s="1063"/>
      <c r="L6048" s="1063"/>
    </row>
    <row r="6049" spans="5:12" x14ac:dyDescent="0.2">
      <c r="E6049" s="1063"/>
      <c r="H6049" s="1066"/>
      <c r="I6049" s="1063"/>
      <c r="J6049" s="1063"/>
      <c r="K6049" s="1063"/>
      <c r="L6049" s="1063"/>
    </row>
    <row r="6050" spans="5:12" x14ac:dyDescent="0.2">
      <c r="E6050" s="1063"/>
      <c r="H6050" s="1066"/>
      <c r="I6050" s="1063"/>
      <c r="J6050" s="1063"/>
      <c r="K6050" s="1063"/>
      <c r="L6050" s="1063"/>
    </row>
    <row r="6051" spans="5:12" x14ac:dyDescent="0.2">
      <c r="E6051" s="1063"/>
      <c r="H6051" s="1066"/>
      <c r="I6051" s="1063"/>
      <c r="J6051" s="1063"/>
      <c r="K6051" s="1063"/>
      <c r="L6051" s="1063"/>
    </row>
    <row r="6052" spans="5:12" x14ac:dyDescent="0.2">
      <c r="E6052" s="1063"/>
      <c r="H6052" s="1066"/>
      <c r="I6052" s="1063"/>
      <c r="J6052" s="1063"/>
      <c r="K6052" s="1063"/>
      <c r="L6052" s="1063"/>
    </row>
    <row r="6053" spans="5:12" x14ac:dyDescent="0.2">
      <c r="E6053" s="1063"/>
      <c r="H6053" s="1066"/>
      <c r="I6053" s="1063"/>
      <c r="J6053" s="1063"/>
      <c r="K6053" s="1063"/>
      <c r="L6053" s="1063"/>
    </row>
    <row r="6054" spans="5:12" x14ac:dyDescent="0.2">
      <c r="E6054" s="1063"/>
      <c r="H6054" s="1066"/>
      <c r="I6054" s="1063"/>
      <c r="J6054" s="1063"/>
      <c r="K6054" s="1063"/>
      <c r="L6054" s="1063"/>
    </row>
    <row r="6055" spans="5:12" x14ac:dyDescent="0.2">
      <c r="E6055" s="1063"/>
      <c r="H6055" s="1066"/>
      <c r="I6055" s="1063"/>
      <c r="J6055" s="1063"/>
      <c r="K6055" s="1063"/>
      <c r="L6055" s="1063"/>
    </row>
    <row r="6056" spans="5:12" x14ac:dyDescent="0.2">
      <c r="E6056" s="1063"/>
      <c r="H6056" s="1066"/>
      <c r="I6056" s="1063"/>
      <c r="J6056" s="1063"/>
      <c r="K6056" s="1063"/>
      <c r="L6056" s="1063"/>
    </row>
    <row r="6057" spans="5:12" x14ac:dyDescent="0.2">
      <c r="E6057" s="1063"/>
      <c r="H6057" s="1066"/>
      <c r="I6057" s="1063"/>
      <c r="J6057" s="1063"/>
      <c r="K6057" s="1063"/>
      <c r="L6057" s="1063"/>
    </row>
    <row r="6058" spans="5:12" x14ac:dyDescent="0.2">
      <c r="E6058" s="1063"/>
      <c r="H6058" s="1066"/>
      <c r="I6058" s="1063"/>
      <c r="J6058" s="1063"/>
      <c r="K6058" s="1063"/>
      <c r="L6058" s="1063"/>
    </row>
    <row r="6059" spans="5:12" x14ac:dyDescent="0.2">
      <c r="E6059" s="1063"/>
      <c r="H6059" s="1066"/>
      <c r="I6059" s="1063"/>
      <c r="J6059" s="1063"/>
      <c r="K6059" s="1063"/>
      <c r="L6059" s="1063"/>
    </row>
    <row r="6060" spans="5:12" x14ac:dyDescent="0.2">
      <c r="E6060" s="1063"/>
      <c r="H6060" s="1066"/>
      <c r="I6060" s="1063"/>
      <c r="J6060" s="1063"/>
      <c r="K6060" s="1063"/>
      <c r="L6060" s="1063"/>
    </row>
    <row r="6061" spans="5:12" x14ac:dyDescent="0.2">
      <c r="E6061" s="1063"/>
      <c r="H6061" s="1066"/>
      <c r="I6061" s="1063"/>
      <c r="J6061" s="1063"/>
      <c r="K6061" s="1063"/>
      <c r="L6061" s="1063"/>
    </row>
    <row r="6062" spans="5:12" x14ac:dyDescent="0.2">
      <c r="E6062" s="1063"/>
      <c r="H6062" s="1066"/>
      <c r="I6062" s="1063"/>
      <c r="J6062" s="1063"/>
      <c r="K6062" s="1063"/>
      <c r="L6062" s="1063"/>
    </row>
    <row r="6063" spans="5:12" x14ac:dyDescent="0.2">
      <c r="E6063" s="1063"/>
      <c r="H6063" s="1066"/>
      <c r="I6063" s="1063"/>
      <c r="J6063" s="1063"/>
      <c r="K6063" s="1063"/>
      <c r="L6063" s="1063"/>
    </row>
    <row r="6064" spans="5:12" x14ac:dyDescent="0.2">
      <c r="E6064" s="1063"/>
      <c r="H6064" s="1066"/>
      <c r="I6064" s="1063"/>
      <c r="J6064" s="1063"/>
      <c r="K6064" s="1063"/>
      <c r="L6064" s="1063"/>
    </row>
    <row r="6065" spans="5:12" x14ac:dyDescent="0.2">
      <c r="E6065" s="1063"/>
      <c r="H6065" s="1066"/>
      <c r="I6065" s="1063"/>
      <c r="J6065" s="1063"/>
      <c r="K6065" s="1063"/>
      <c r="L6065" s="1063"/>
    </row>
    <row r="6066" spans="5:12" x14ac:dyDescent="0.2">
      <c r="E6066" s="1063"/>
      <c r="H6066" s="1066"/>
      <c r="I6066" s="1063"/>
      <c r="J6066" s="1063"/>
      <c r="K6066" s="1063"/>
      <c r="L6066" s="1063"/>
    </row>
    <row r="6067" spans="5:12" x14ac:dyDescent="0.2">
      <c r="E6067" s="1063"/>
      <c r="H6067" s="1066"/>
      <c r="I6067" s="1063"/>
      <c r="J6067" s="1063"/>
      <c r="K6067" s="1063"/>
      <c r="L6067" s="1063"/>
    </row>
    <row r="6068" spans="5:12" x14ac:dyDescent="0.2">
      <c r="E6068" s="1063"/>
      <c r="H6068" s="1066"/>
      <c r="I6068" s="1063"/>
      <c r="J6068" s="1063"/>
      <c r="K6068" s="1063"/>
      <c r="L6068" s="1063"/>
    </row>
    <row r="6069" spans="5:12" x14ac:dyDescent="0.2">
      <c r="E6069" s="1063"/>
      <c r="H6069" s="1066"/>
      <c r="I6069" s="1063"/>
      <c r="J6069" s="1063"/>
      <c r="K6069" s="1063"/>
      <c r="L6069" s="1063"/>
    </row>
    <row r="6070" spans="5:12" x14ac:dyDescent="0.2">
      <c r="E6070" s="1063"/>
      <c r="H6070" s="1066"/>
      <c r="I6070" s="1063"/>
      <c r="J6070" s="1063"/>
      <c r="K6070" s="1063"/>
      <c r="L6070" s="1063"/>
    </row>
    <row r="6071" spans="5:12" x14ac:dyDescent="0.2">
      <c r="E6071" s="1063"/>
      <c r="H6071" s="1066"/>
      <c r="I6071" s="1063"/>
      <c r="J6071" s="1063"/>
      <c r="K6071" s="1063"/>
      <c r="L6071" s="1063"/>
    </row>
    <row r="6072" spans="5:12" x14ac:dyDescent="0.2">
      <c r="E6072" s="1063"/>
      <c r="H6072" s="1066"/>
      <c r="I6072" s="1063"/>
      <c r="J6072" s="1063"/>
      <c r="K6072" s="1063"/>
      <c r="L6072" s="1063"/>
    </row>
    <row r="6073" spans="5:12" x14ac:dyDescent="0.2">
      <c r="E6073" s="1063"/>
      <c r="H6073" s="1066"/>
      <c r="I6073" s="1063"/>
      <c r="J6073" s="1063"/>
      <c r="K6073" s="1063"/>
      <c r="L6073" s="1063"/>
    </row>
    <row r="6074" spans="5:12" x14ac:dyDescent="0.2">
      <c r="E6074" s="1063"/>
      <c r="H6074" s="1066"/>
      <c r="I6074" s="1063"/>
      <c r="J6074" s="1063"/>
      <c r="K6074" s="1063"/>
      <c r="L6074" s="1063"/>
    </row>
    <row r="6075" spans="5:12" x14ac:dyDescent="0.2">
      <c r="E6075" s="1063"/>
      <c r="H6075" s="1066"/>
      <c r="I6075" s="1063"/>
      <c r="J6075" s="1063"/>
      <c r="K6075" s="1063"/>
      <c r="L6075" s="1063"/>
    </row>
    <row r="6076" spans="5:12" x14ac:dyDescent="0.2">
      <c r="E6076" s="1063"/>
      <c r="H6076" s="1066"/>
      <c r="I6076" s="1063"/>
      <c r="J6076" s="1063"/>
      <c r="K6076" s="1063"/>
      <c r="L6076" s="1063"/>
    </row>
    <row r="6077" spans="5:12" x14ac:dyDescent="0.2">
      <c r="E6077" s="1063"/>
      <c r="H6077" s="1066"/>
      <c r="I6077" s="1063"/>
      <c r="J6077" s="1063"/>
      <c r="K6077" s="1063"/>
      <c r="L6077" s="1063"/>
    </row>
    <row r="6078" spans="5:12" x14ac:dyDescent="0.2">
      <c r="E6078" s="1063"/>
      <c r="H6078" s="1066"/>
      <c r="I6078" s="1063"/>
      <c r="J6078" s="1063"/>
      <c r="K6078" s="1063"/>
      <c r="L6078" s="1063"/>
    </row>
    <row r="6079" spans="5:12" x14ac:dyDescent="0.2">
      <c r="E6079" s="1063"/>
      <c r="H6079" s="1066"/>
      <c r="I6079" s="1063"/>
      <c r="J6079" s="1063"/>
      <c r="K6079" s="1063"/>
      <c r="L6079" s="1063"/>
    </row>
    <row r="6080" spans="5:12" x14ac:dyDescent="0.2">
      <c r="E6080" s="1063"/>
      <c r="H6080" s="1066"/>
      <c r="I6080" s="1063"/>
      <c r="J6080" s="1063"/>
      <c r="K6080" s="1063"/>
      <c r="L6080" s="1063"/>
    </row>
    <row r="6081" spans="5:12" x14ac:dyDescent="0.2">
      <c r="E6081" s="1063"/>
      <c r="H6081" s="1066"/>
      <c r="I6081" s="1063"/>
      <c r="J6081" s="1063"/>
      <c r="K6081" s="1063"/>
      <c r="L6081" s="1063"/>
    </row>
    <row r="6082" spans="5:12" x14ac:dyDescent="0.2">
      <c r="E6082" s="1063"/>
      <c r="H6082" s="1066"/>
      <c r="I6082" s="1063"/>
      <c r="J6082" s="1063"/>
      <c r="K6082" s="1063"/>
      <c r="L6082" s="1063"/>
    </row>
    <row r="6083" spans="5:12" x14ac:dyDescent="0.2">
      <c r="E6083" s="1063"/>
      <c r="H6083" s="1066"/>
      <c r="I6083" s="1063"/>
      <c r="J6083" s="1063"/>
      <c r="K6083" s="1063"/>
      <c r="L6083" s="1063"/>
    </row>
    <row r="6084" spans="5:12" x14ac:dyDescent="0.2">
      <c r="E6084" s="1063"/>
      <c r="H6084" s="1066"/>
      <c r="I6084" s="1063"/>
      <c r="J6084" s="1063"/>
      <c r="K6084" s="1063"/>
      <c r="L6084" s="1063"/>
    </row>
    <row r="6085" spans="5:12" x14ac:dyDescent="0.2">
      <c r="E6085" s="1063"/>
      <c r="H6085" s="1066"/>
      <c r="I6085" s="1063"/>
      <c r="J6085" s="1063"/>
      <c r="K6085" s="1063"/>
      <c r="L6085" s="1063"/>
    </row>
    <row r="6086" spans="5:12" x14ac:dyDescent="0.2">
      <c r="E6086" s="1063"/>
      <c r="H6086" s="1066"/>
      <c r="I6086" s="1063"/>
      <c r="J6086" s="1063"/>
      <c r="K6086" s="1063"/>
      <c r="L6086" s="1063"/>
    </row>
    <row r="6087" spans="5:12" x14ac:dyDescent="0.2">
      <c r="E6087" s="1063"/>
      <c r="H6087" s="1066"/>
      <c r="I6087" s="1063"/>
      <c r="J6087" s="1063"/>
      <c r="K6087" s="1063"/>
      <c r="L6087" s="1063"/>
    </row>
    <row r="6088" spans="5:12" x14ac:dyDescent="0.2">
      <c r="E6088" s="1063"/>
      <c r="H6088" s="1066"/>
      <c r="I6088" s="1063"/>
      <c r="J6088" s="1063"/>
      <c r="K6088" s="1063"/>
      <c r="L6088" s="1063"/>
    </row>
    <row r="6089" spans="5:12" x14ac:dyDescent="0.2">
      <c r="E6089" s="1063"/>
      <c r="H6089" s="1066"/>
      <c r="I6089" s="1063"/>
      <c r="J6089" s="1063"/>
      <c r="K6089" s="1063"/>
      <c r="L6089" s="1063"/>
    </row>
    <row r="6090" spans="5:12" x14ac:dyDescent="0.2">
      <c r="E6090" s="1063"/>
      <c r="H6090" s="1066"/>
      <c r="I6090" s="1063"/>
      <c r="J6090" s="1063"/>
      <c r="K6090" s="1063"/>
      <c r="L6090" s="1063"/>
    </row>
    <row r="6091" spans="5:12" x14ac:dyDescent="0.2">
      <c r="E6091" s="1063"/>
      <c r="H6091" s="1066"/>
      <c r="I6091" s="1063"/>
      <c r="J6091" s="1063"/>
      <c r="K6091" s="1063"/>
      <c r="L6091" s="1063"/>
    </row>
    <row r="6092" spans="5:12" x14ac:dyDescent="0.2">
      <c r="E6092" s="1063"/>
      <c r="H6092" s="1066"/>
      <c r="I6092" s="1063"/>
      <c r="J6092" s="1063"/>
      <c r="K6092" s="1063"/>
      <c r="L6092" s="1063"/>
    </row>
    <row r="6093" spans="5:12" x14ac:dyDescent="0.2">
      <c r="E6093" s="1063"/>
      <c r="H6093" s="1066"/>
      <c r="I6093" s="1063"/>
      <c r="J6093" s="1063"/>
      <c r="K6093" s="1063"/>
      <c r="L6093" s="1063"/>
    </row>
    <row r="6094" spans="5:12" x14ac:dyDescent="0.2">
      <c r="E6094" s="1063"/>
      <c r="H6094" s="1066"/>
      <c r="I6094" s="1063"/>
      <c r="J6094" s="1063"/>
      <c r="K6094" s="1063"/>
      <c r="L6094" s="1063"/>
    </row>
    <row r="6095" spans="5:12" x14ac:dyDescent="0.2">
      <c r="E6095" s="1063"/>
      <c r="H6095" s="1066"/>
      <c r="I6095" s="1063"/>
      <c r="J6095" s="1063"/>
      <c r="K6095" s="1063"/>
      <c r="L6095" s="1063"/>
    </row>
    <row r="6096" spans="5:12" x14ac:dyDescent="0.2">
      <c r="E6096" s="1063"/>
      <c r="H6096" s="1066"/>
      <c r="I6096" s="1063"/>
      <c r="J6096" s="1063"/>
      <c r="K6096" s="1063"/>
      <c r="L6096" s="1063"/>
    </row>
    <row r="6097" spans="5:12" x14ac:dyDescent="0.2">
      <c r="E6097" s="1063"/>
      <c r="H6097" s="1066"/>
      <c r="I6097" s="1063"/>
      <c r="J6097" s="1063"/>
      <c r="K6097" s="1063"/>
      <c r="L6097" s="1063"/>
    </row>
    <row r="6098" spans="5:12" x14ac:dyDescent="0.2">
      <c r="E6098" s="1063"/>
      <c r="H6098" s="1066"/>
      <c r="I6098" s="1063"/>
      <c r="J6098" s="1063"/>
      <c r="K6098" s="1063"/>
      <c r="L6098" s="1063"/>
    </row>
    <row r="6099" spans="5:12" x14ac:dyDescent="0.2">
      <c r="E6099" s="1063"/>
      <c r="H6099" s="1066"/>
      <c r="I6099" s="1063"/>
      <c r="J6099" s="1063"/>
      <c r="K6099" s="1063"/>
      <c r="L6099" s="1063"/>
    </row>
    <row r="6100" spans="5:12" x14ac:dyDescent="0.2">
      <c r="E6100" s="1063"/>
      <c r="H6100" s="1066"/>
      <c r="I6100" s="1063"/>
      <c r="J6100" s="1063"/>
      <c r="K6100" s="1063"/>
      <c r="L6100" s="1063"/>
    </row>
    <row r="6101" spans="5:12" x14ac:dyDescent="0.2">
      <c r="E6101" s="1063"/>
      <c r="H6101" s="1066"/>
      <c r="I6101" s="1063"/>
      <c r="J6101" s="1063"/>
      <c r="K6101" s="1063"/>
      <c r="L6101" s="1063"/>
    </row>
    <row r="6102" spans="5:12" x14ac:dyDescent="0.2">
      <c r="E6102" s="1063"/>
      <c r="H6102" s="1066"/>
      <c r="I6102" s="1063"/>
      <c r="J6102" s="1063"/>
      <c r="K6102" s="1063"/>
      <c r="L6102" s="1063"/>
    </row>
    <row r="6103" spans="5:12" x14ac:dyDescent="0.2">
      <c r="E6103" s="1063"/>
      <c r="H6103" s="1066"/>
      <c r="I6103" s="1063"/>
      <c r="J6103" s="1063"/>
      <c r="K6103" s="1063"/>
      <c r="L6103" s="1063"/>
    </row>
    <row r="6104" spans="5:12" x14ac:dyDescent="0.2">
      <c r="E6104" s="1063"/>
      <c r="H6104" s="1066"/>
      <c r="I6104" s="1063"/>
      <c r="J6104" s="1063"/>
      <c r="K6104" s="1063"/>
      <c r="L6104" s="1063"/>
    </row>
    <row r="6105" spans="5:12" x14ac:dyDescent="0.2">
      <c r="E6105" s="1063"/>
      <c r="H6105" s="1066"/>
      <c r="I6105" s="1063"/>
      <c r="J6105" s="1063"/>
      <c r="K6105" s="1063"/>
      <c r="L6105" s="1063"/>
    </row>
    <row r="6106" spans="5:12" x14ac:dyDescent="0.2">
      <c r="E6106" s="1063"/>
      <c r="H6106" s="1066"/>
      <c r="I6106" s="1063"/>
      <c r="J6106" s="1063"/>
      <c r="K6106" s="1063"/>
      <c r="L6106" s="1063"/>
    </row>
    <row r="6107" spans="5:12" x14ac:dyDescent="0.2">
      <c r="E6107" s="1063"/>
      <c r="H6107" s="1066"/>
      <c r="I6107" s="1063"/>
      <c r="J6107" s="1063"/>
      <c r="K6107" s="1063"/>
      <c r="L6107" s="1063"/>
    </row>
    <row r="6108" spans="5:12" x14ac:dyDescent="0.2">
      <c r="E6108" s="1063"/>
      <c r="H6108" s="1066"/>
      <c r="I6108" s="1063"/>
      <c r="J6108" s="1063"/>
      <c r="K6108" s="1063"/>
      <c r="L6108" s="1063"/>
    </row>
    <row r="6109" spans="5:12" x14ac:dyDescent="0.2">
      <c r="E6109" s="1063"/>
      <c r="H6109" s="1066"/>
      <c r="I6109" s="1063"/>
      <c r="J6109" s="1063"/>
      <c r="K6109" s="1063"/>
      <c r="L6109" s="1063"/>
    </row>
    <row r="6110" spans="5:12" x14ac:dyDescent="0.2">
      <c r="E6110" s="1063"/>
      <c r="H6110" s="1066"/>
      <c r="I6110" s="1063"/>
      <c r="J6110" s="1063"/>
      <c r="K6110" s="1063"/>
      <c r="L6110" s="1063"/>
    </row>
    <row r="6111" spans="5:12" x14ac:dyDescent="0.2">
      <c r="E6111" s="1063"/>
      <c r="H6111" s="1066"/>
      <c r="I6111" s="1063"/>
      <c r="J6111" s="1063"/>
      <c r="K6111" s="1063"/>
      <c r="L6111" s="1063"/>
    </row>
    <row r="6112" spans="5:12" x14ac:dyDescent="0.2">
      <c r="E6112" s="1063"/>
      <c r="H6112" s="1066"/>
      <c r="I6112" s="1063"/>
      <c r="J6112" s="1063"/>
      <c r="K6112" s="1063"/>
      <c r="L6112" s="1063"/>
    </row>
    <row r="6113" spans="5:12" x14ac:dyDescent="0.2">
      <c r="E6113" s="1063"/>
      <c r="H6113" s="1066"/>
      <c r="I6113" s="1063"/>
      <c r="J6113" s="1063"/>
      <c r="K6113" s="1063"/>
      <c r="L6113" s="1063"/>
    </row>
    <row r="6114" spans="5:12" x14ac:dyDescent="0.2">
      <c r="E6114" s="1063"/>
      <c r="H6114" s="1066"/>
      <c r="I6114" s="1063"/>
      <c r="J6114" s="1063"/>
      <c r="K6114" s="1063"/>
      <c r="L6114" s="1063"/>
    </row>
    <row r="6115" spans="5:12" x14ac:dyDescent="0.2">
      <c r="E6115" s="1063"/>
      <c r="H6115" s="1066"/>
      <c r="I6115" s="1063"/>
      <c r="J6115" s="1063"/>
      <c r="K6115" s="1063"/>
      <c r="L6115" s="1063"/>
    </row>
    <row r="6116" spans="5:12" x14ac:dyDescent="0.2">
      <c r="E6116" s="1063"/>
      <c r="H6116" s="1066"/>
      <c r="I6116" s="1063"/>
      <c r="J6116" s="1063"/>
      <c r="K6116" s="1063"/>
      <c r="L6116" s="1063"/>
    </row>
    <row r="6117" spans="5:12" x14ac:dyDescent="0.2">
      <c r="E6117" s="1063"/>
      <c r="H6117" s="1066"/>
      <c r="I6117" s="1063"/>
      <c r="J6117" s="1063"/>
      <c r="K6117" s="1063"/>
      <c r="L6117" s="1063"/>
    </row>
    <row r="6118" spans="5:12" x14ac:dyDescent="0.2">
      <c r="E6118" s="1063"/>
      <c r="H6118" s="1066"/>
      <c r="I6118" s="1063"/>
      <c r="J6118" s="1063"/>
      <c r="K6118" s="1063"/>
      <c r="L6118" s="1063"/>
    </row>
    <row r="6119" spans="5:12" x14ac:dyDescent="0.2">
      <c r="E6119" s="1063"/>
      <c r="H6119" s="1066"/>
      <c r="I6119" s="1063"/>
      <c r="J6119" s="1063"/>
      <c r="K6119" s="1063"/>
      <c r="L6119" s="1063"/>
    </row>
    <row r="6120" spans="5:12" x14ac:dyDescent="0.2">
      <c r="E6120" s="1063"/>
      <c r="H6120" s="1066"/>
      <c r="I6120" s="1063"/>
      <c r="J6120" s="1063"/>
      <c r="K6120" s="1063"/>
      <c r="L6120" s="1063"/>
    </row>
    <row r="6121" spans="5:12" x14ac:dyDescent="0.2">
      <c r="E6121" s="1063"/>
      <c r="H6121" s="1066"/>
      <c r="I6121" s="1063"/>
      <c r="J6121" s="1063"/>
      <c r="K6121" s="1063"/>
      <c r="L6121" s="1063"/>
    </row>
    <row r="6122" spans="5:12" x14ac:dyDescent="0.2">
      <c r="E6122" s="1063"/>
      <c r="H6122" s="1066"/>
      <c r="I6122" s="1063"/>
      <c r="J6122" s="1063"/>
      <c r="K6122" s="1063"/>
      <c r="L6122" s="1063"/>
    </row>
    <row r="6123" spans="5:12" x14ac:dyDescent="0.2">
      <c r="E6123" s="1063"/>
      <c r="H6123" s="1066"/>
      <c r="I6123" s="1063"/>
      <c r="J6123" s="1063"/>
      <c r="K6123" s="1063"/>
      <c r="L6123" s="1063"/>
    </row>
    <row r="6124" spans="5:12" x14ac:dyDescent="0.2">
      <c r="E6124" s="1063"/>
      <c r="H6124" s="1066"/>
      <c r="I6124" s="1063"/>
      <c r="J6124" s="1063"/>
      <c r="K6124" s="1063"/>
      <c r="L6124" s="1063"/>
    </row>
    <row r="6125" spans="5:12" x14ac:dyDescent="0.2">
      <c r="E6125" s="1063"/>
      <c r="H6125" s="1066"/>
      <c r="I6125" s="1063"/>
      <c r="J6125" s="1063"/>
      <c r="K6125" s="1063"/>
      <c r="L6125" s="1063"/>
    </row>
    <row r="6126" spans="5:12" x14ac:dyDescent="0.2">
      <c r="E6126" s="1063"/>
      <c r="H6126" s="1066"/>
      <c r="I6126" s="1063"/>
      <c r="J6126" s="1063"/>
      <c r="K6126" s="1063"/>
      <c r="L6126" s="1063"/>
    </row>
    <row r="6127" spans="5:12" x14ac:dyDescent="0.2">
      <c r="E6127" s="1063"/>
      <c r="H6127" s="1066"/>
      <c r="I6127" s="1063"/>
      <c r="J6127" s="1063"/>
      <c r="K6127" s="1063"/>
      <c r="L6127" s="1063"/>
    </row>
    <row r="6128" spans="5:12" x14ac:dyDescent="0.2">
      <c r="E6128" s="1063"/>
      <c r="H6128" s="1066"/>
      <c r="I6128" s="1063"/>
      <c r="J6128" s="1063"/>
      <c r="K6128" s="1063"/>
      <c r="L6128" s="1063"/>
    </row>
    <row r="6129" spans="5:12" x14ac:dyDescent="0.2">
      <c r="E6129" s="1063"/>
      <c r="H6129" s="1066"/>
      <c r="I6129" s="1063"/>
      <c r="J6129" s="1063"/>
      <c r="K6129" s="1063"/>
      <c r="L6129" s="1063"/>
    </row>
    <row r="6130" spans="5:12" x14ac:dyDescent="0.2">
      <c r="E6130" s="1063"/>
      <c r="H6130" s="1066"/>
      <c r="I6130" s="1063"/>
      <c r="J6130" s="1063"/>
      <c r="K6130" s="1063"/>
      <c r="L6130" s="1063"/>
    </row>
    <row r="6131" spans="5:12" x14ac:dyDescent="0.2">
      <c r="E6131" s="1063"/>
      <c r="H6131" s="1066"/>
      <c r="I6131" s="1063"/>
      <c r="J6131" s="1063"/>
      <c r="K6131" s="1063"/>
      <c r="L6131" s="1063"/>
    </row>
    <row r="6132" spans="5:12" x14ac:dyDescent="0.2">
      <c r="E6132" s="1063"/>
      <c r="H6132" s="1066"/>
      <c r="I6132" s="1063"/>
      <c r="J6132" s="1063"/>
      <c r="K6132" s="1063"/>
      <c r="L6132" s="1063"/>
    </row>
    <row r="6133" spans="5:12" x14ac:dyDescent="0.2">
      <c r="E6133" s="1063"/>
      <c r="H6133" s="1066"/>
      <c r="I6133" s="1063"/>
      <c r="J6133" s="1063"/>
      <c r="K6133" s="1063"/>
      <c r="L6133" s="1063"/>
    </row>
    <row r="6134" spans="5:12" x14ac:dyDescent="0.2">
      <c r="E6134" s="1063"/>
      <c r="H6134" s="1066"/>
      <c r="I6134" s="1063"/>
      <c r="J6134" s="1063"/>
      <c r="K6134" s="1063"/>
      <c r="L6134" s="1063"/>
    </row>
    <row r="6135" spans="5:12" x14ac:dyDescent="0.2">
      <c r="E6135" s="1063"/>
      <c r="H6135" s="1066"/>
      <c r="I6135" s="1063"/>
      <c r="J6135" s="1063"/>
      <c r="K6135" s="1063"/>
      <c r="L6135" s="1063"/>
    </row>
    <row r="6136" spans="5:12" x14ac:dyDescent="0.2">
      <c r="E6136" s="1063"/>
      <c r="H6136" s="1066"/>
      <c r="I6136" s="1063"/>
      <c r="J6136" s="1063"/>
      <c r="K6136" s="1063"/>
      <c r="L6136" s="1063"/>
    </row>
    <row r="6137" spans="5:12" x14ac:dyDescent="0.2">
      <c r="E6137" s="1063"/>
      <c r="H6137" s="1066"/>
      <c r="I6137" s="1063"/>
      <c r="J6137" s="1063"/>
      <c r="K6137" s="1063"/>
      <c r="L6137" s="1063"/>
    </row>
    <row r="6138" spans="5:12" x14ac:dyDescent="0.2">
      <c r="E6138" s="1063"/>
      <c r="H6138" s="1066"/>
      <c r="I6138" s="1063"/>
      <c r="J6138" s="1063"/>
      <c r="K6138" s="1063"/>
      <c r="L6138" s="1063"/>
    </row>
    <row r="6139" spans="5:12" x14ac:dyDescent="0.2">
      <c r="E6139" s="1063"/>
      <c r="H6139" s="1066"/>
      <c r="I6139" s="1063"/>
      <c r="J6139" s="1063"/>
      <c r="K6139" s="1063"/>
      <c r="L6139" s="1063"/>
    </row>
    <row r="6140" spans="5:12" x14ac:dyDescent="0.2">
      <c r="E6140" s="1063"/>
      <c r="H6140" s="1066"/>
      <c r="I6140" s="1063"/>
      <c r="J6140" s="1063"/>
      <c r="K6140" s="1063"/>
      <c r="L6140" s="1063"/>
    </row>
    <row r="6141" spans="5:12" x14ac:dyDescent="0.2">
      <c r="E6141" s="1063"/>
      <c r="H6141" s="1066"/>
      <c r="I6141" s="1063"/>
      <c r="J6141" s="1063"/>
      <c r="K6141" s="1063"/>
      <c r="L6141" s="1063"/>
    </row>
    <row r="6142" spans="5:12" x14ac:dyDescent="0.2">
      <c r="E6142" s="1063"/>
      <c r="H6142" s="1066"/>
      <c r="I6142" s="1063"/>
      <c r="J6142" s="1063"/>
      <c r="K6142" s="1063"/>
      <c r="L6142" s="1063"/>
    </row>
    <row r="6143" spans="5:12" x14ac:dyDescent="0.2">
      <c r="E6143" s="1063"/>
      <c r="H6143" s="1066"/>
      <c r="I6143" s="1063"/>
      <c r="J6143" s="1063"/>
      <c r="K6143" s="1063"/>
      <c r="L6143" s="1063"/>
    </row>
    <row r="6144" spans="5:12" x14ac:dyDescent="0.2">
      <c r="E6144" s="1063"/>
      <c r="H6144" s="1066"/>
      <c r="I6144" s="1063"/>
      <c r="J6144" s="1063"/>
      <c r="K6144" s="1063"/>
      <c r="L6144" s="1063"/>
    </row>
    <row r="6145" spans="5:12" x14ac:dyDescent="0.2">
      <c r="E6145" s="1063"/>
      <c r="H6145" s="1066"/>
      <c r="I6145" s="1063"/>
      <c r="J6145" s="1063"/>
      <c r="K6145" s="1063"/>
      <c r="L6145" s="1063"/>
    </row>
    <row r="6146" spans="5:12" x14ac:dyDescent="0.2">
      <c r="E6146" s="1063"/>
      <c r="H6146" s="1066"/>
      <c r="I6146" s="1063"/>
      <c r="J6146" s="1063"/>
      <c r="K6146" s="1063"/>
      <c r="L6146" s="1063"/>
    </row>
    <row r="6147" spans="5:12" x14ac:dyDescent="0.2">
      <c r="E6147" s="1063"/>
      <c r="H6147" s="1066"/>
      <c r="I6147" s="1063"/>
      <c r="J6147" s="1063"/>
      <c r="K6147" s="1063"/>
      <c r="L6147" s="1063"/>
    </row>
    <row r="6148" spans="5:12" x14ac:dyDescent="0.2">
      <c r="E6148" s="1063"/>
      <c r="H6148" s="1066"/>
      <c r="I6148" s="1063"/>
      <c r="J6148" s="1063"/>
      <c r="K6148" s="1063"/>
      <c r="L6148" s="1063"/>
    </row>
    <row r="6149" spans="5:12" x14ac:dyDescent="0.2">
      <c r="E6149" s="1063"/>
      <c r="H6149" s="1066"/>
      <c r="I6149" s="1063"/>
      <c r="J6149" s="1063"/>
      <c r="K6149" s="1063"/>
      <c r="L6149" s="1063"/>
    </row>
    <row r="6150" spans="5:12" x14ac:dyDescent="0.2">
      <c r="E6150" s="1063"/>
      <c r="H6150" s="1066"/>
      <c r="I6150" s="1063"/>
      <c r="J6150" s="1063"/>
      <c r="K6150" s="1063"/>
      <c r="L6150" s="1063"/>
    </row>
    <row r="6151" spans="5:12" x14ac:dyDescent="0.2">
      <c r="E6151" s="1063"/>
      <c r="H6151" s="1066"/>
      <c r="I6151" s="1063"/>
      <c r="J6151" s="1063"/>
      <c r="K6151" s="1063"/>
      <c r="L6151" s="1063"/>
    </row>
    <row r="6152" spans="5:12" x14ac:dyDescent="0.2">
      <c r="E6152" s="1063"/>
      <c r="H6152" s="1066"/>
      <c r="I6152" s="1063"/>
      <c r="J6152" s="1063"/>
      <c r="K6152" s="1063"/>
      <c r="L6152" s="1063"/>
    </row>
    <row r="6153" spans="5:12" x14ac:dyDescent="0.2">
      <c r="E6153" s="1063"/>
      <c r="H6153" s="1066"/>
      <c r="I6153" s="1063"/>
      <c r="J6153" s="1063"/>
      <c r="K6153" s="1063"/>
      <c r="L6153" s="1063"/>
    </row>
    <row r="6154" spans="5:12" x14ac:dyDescent="0.2">
      <c r="E6154" s="1063"/>
      <c r="H6154" s="1066"/>
      <c r="I6154" s="1063"/>
      <c r="J6154" s="1063"/>
      <c r="K6154" s="1063"/>
      <c r="L6154" s="1063"/>
    </row>
    <row r="6155" spans="5:12" x14ac:dyDescent="0.2">
      <c r="E6155" s="1063"/>
      <c r="H6155" s="1066"/>
      <c r="I6155" s="1063"/>
      <c r="J6155" s="1063"/>
      <c r="K6155" s="1063"/>
      <c r="L6155" s="1063"/>
    </row>
    <row r="6156" spans="5:12" x14ac:dyDescent="0.2">
      <c r="E6156" s="1063"/>
      <c r="H6156" s="1066"/>
      <c r="I6156" s="1063"/>
      <c r="J6156" s="1063"/>
      <c r="K6156" s="1063"/>
      <c r="L6156" s="1063"/>
    </row>
    <row r="6157" spans="5:12" x14ac:dyDescent="0.2">
      <c r="E6157" s="1063"/>
      <c r="H6157" s="1066"/>
      <c r="I6157" s="1063"/>
      <c r="J6157" s="1063"/>
      <c r="K6157" s="1063"/>
      <c r="L6157" s="1063"/>
    </row>
    <row r="6158" spans="5:12" x14ac:dyDescent="0.2">
      <c r="E6158" s="1063"/>
      <c r="H6158" s="1066"/>
      <c r="I6158" s="1063"/>
      <c r="J6158" s="1063"/>
      <c r="K6158" s="1063"/>
      <c r="L6158" s="1063"/>
    </row>
    <row r="6159" spans="5:12" x14ac:dyDescent="0.2">
      <c r="E6159" s="1063"/>
      <c r="H6159" s="1066"/>
      <c r="I6159" s="1063"/>
      <c r="J6159" s="1063"/>
      <c r="K6159" s="1063"/>
      <c r="L6159" s="1063"/>
    </row>
    <row r="6160" spans="5:12" x14ac:dyDescent="0.2">
      <c r="E6160" s="1063"/>
      <c r="H6160" s="1066"/>
      <c r="I6160" s="1063"/>
      <c r="J6160" s="1063"/>
      <c r="K6160" s="1063"/>
      <c r="L6160" s="1063"/>
    </row>
    <row r="6161" spans="5:12" x14ac:dyDescent="0.2">
      <c r="E6161" s="1063"/>
      <c r="H6161" s="1066"/>
      <c r="I6161" s="1063"/>
      <c r="J6161" s="1063"/>
      <c r="K6161" s="1063"/>
      <c r="L6161" s="1063"/>
    </row>
    <row r="6162" spans="5:12" x14ac:dyDescent="0.2">
      <c r="E6162" s="1063"/>
      <c r="H6162" s="1066"/>
      <c r="I6162" s="1063"/>
      <c r="J6162" s="1063"/>
      <c r="K6162" s="1063"/>
      <c r="L6162" s="1063"/>
    </row>
    <row r="6163" spans="5:12" x14ac:dyDescent="0.2">
      <c r="E6163" s="1063"/>
      <c r="H6163" s="1066"/>
      <c r="I6163" s="1063"/>
      <c r="J6163" s="1063"/>
      <c r="K6163" s="1063"/>
      <c r="L6163" s="1063"/>
    </row>
    <row r="6164" spans="5:12" x14ac:dyDescent="0.2">
      <c r="E6164" s="1063"/>
      <c r="H6164" s="1066"/>
      <c r="I6164" s="1063"/>
      <c r="J6164" s="1063"/>
      <c r="K6164" s="1063"/>
      <c r="L6164" s="1063"/>
    </row>
    <row r="6165" spans="5:12" x14ac:dyDescent="0.2">
      <c r="E6165" s="1063"/>
      <c r="H6165" s="1066"/>
      <c r="I6165" s="1063"/>
      <c r="J6165" s="1063"/>
      <c r="K6165" s="1063"/>
      <c r="L6165" s="1063"/>
    </row>
    <row r="6166" spans="5:12" x14ac:dyDescent="0.2">
      <c r="E6166" s="1063"/>
      <c r="H6166" s="1066"/>
      <c r="I6166" s="1063"/>
      <c r="J6166" s="1063"/>
      <c r="K6166" s="1063"/>
      <c r="L6166" s="1063"/>
    </row>
    <row r="6167" spans="5:12" x14ac:dyDescent="0.2">
      <c r="E6167" s="1063"/>
      <c r="H6167" s="1066"/>
      <c r="I6167" s="1063"/>
      <c r="J6167" s="1063"/>
      <c r="K6167" s="1063"/>
      <c r="L6167" s="1063"/>
    </row>
    <row r="6168" spans="5:12" x14ac:dyDescent="0.2">
      <c r="E6168" s="1063"/>
      <c r="H6168" s="1066"/>
      <c r="I6168" s="1063"/>
      <c r="J6168" s="1063"/>
      <c r="K6168" s="1063"/>
      <c r="L6168" s="1063"/>
    </row>
    <row r="6169" spans="5:12" x14ac:dyDescent="0.2">
      <c r="E6169" s="1063"/>
      <c r="H6169" s="1066"/>
      <c r="I6169" s="1063"/>
      <c r="J6169" s="1063"/>
      <c r="K6169" s="1063"/>
      <c r="L6169" s="1063"/>
    </row>
    <row r="6170" spans="5:12" x14ac:dyDescent="0.2">
      <c r="E6170" s="1063"/>
      <c r="H6170" s="1066"/>
      <c r="I6170" s="1063"/>
      <c r="J6170" s="1063"/>
      <c r="K6170" s="1063"/>
      <c r="L6170" s="1063"/>
    </row>
    <row r="6171" spans="5:12" x14ac:dyDescent="0.2">
      <c r="E6171" s="1063"/>
      <c r="H6171" s="1066"/>
      <c r="I6171" s="1063"/>
      <c r="J6171" s="1063"/>
      <c r="K6171" s="1063"/>
      <c r="L6171" s="1063"/>
    </row>
    <row r="6172" spans="5:12" x14ac:dyDescent="0.2">
      <c r="E6172" s="1063"/>
      <c r="H6172" s="1066"/>
      <c r="I6172" s="1063"/>
      <c r="J6172" s="1063"/>
      <c r="K6172" s="1063"/>
      <c r="L6172" s="1063"/>
    </row>
    <row r="6173" spans="5:12" x14ac:dyDescent="0.2">
      <c r="E6173" s="1063"/>
      <c r="H6173" s="1066"/>
      <c r="I6173" s="1063"/>
      <c r="J6173" s="1063"/>
      <c r="K6173" s="1063"/>
      <c r="L6173" s="1063"/>
    </row>
    <row r="6174" spans="5:12" x14ac:dyDescent="0.2">
      <c r="E6174" s="1063"/>
      <c r="H6174" s="1066"/>
      <c r="I6174" s="1063"/>
      <c r="J6174" s="1063"/>
      <c r="K6174" s="1063"/>
      <c r="L6174" s="1063"/>
    </row>
    <row r="6175" spans="5:12" x14ac:dyDescent="0.2">
      <c r="E6175" s="1063"/>
      <c r="H6175" s="1066"/>
      <c r="I6175" s="1063"/>
      <c r="J6175" s="1063"/>
      <c r="K6175" s="1063"/>
      <c r="L6175" s="1063"/>
    </row>
    <row r="6176" spans="5:12" x14ac:dyDescent="0.2">
      <c r="E6176" s="1063"/>
      <c r="H6176" s="1066"/>
      <c r="I6176" s="1063"/>
      <c r="J6176" s="1063"/>
      <c r="K6176" s="1063"/>
      <c r="L6176" s="1063"/>
    </row>
    <row r="6177" spans="5:12" x14ac:dyDescent="0.2">
      <c r="E6177" s="1063"/>
      <c r="H6177" s="1066"/>
      <c r="I6177" s="1063"/>
      <c r="J6177" s="1063"/>
      <c r="K6177" s="1063"/>
      <c r="L6177" s="1063"/>
    </row>
    <row r="6178" spans="5:12" x14ac:dyDescent="0.2">
      <c r="E6178" s="1063"/>
      <c r="H6178" s="1066"/>
      <c r="I6178" s="1063"/>
      <c r="J6178" s="1063"/>
      <c r="K6178" s="1063"/>
      <c r="L6178" s="1063"/>
    </row>
    <row r="6179" spans="5:12" x14ac:dyDescent="0.2">
      <c r="E6179" s="1063"/>
      <c r="H6179" s="1066"/>
      <c r="I6179" s="1063"/>
      <c r="J6179" s="1063"/>
      <c r="K6179" s="1063"/>
      <c r="L6179" s="1063"/>
    </row>
    <row r="6180" spans="5:12" x14ac:dyDescent="0.2">
      <c r="E6180" s="1063"/>
      <c r="H6180" s="1066"/>
      <c r="I6180" s="1063"/>
      <c r="J6180" s="1063"/>
      <c r="K6180" s="1063"/>
      <c r="L6180" s="1063"/>
    </row>
    <row r="6181" spans="5:12" x14ac:dyDescent="0.2">
      <c r="E6181" s="1063"/>
      <c r="H6181" s="1066"/>
      <c r="I6181" s="1063"/>
      <c r="J6181" s="1063"/>
      <c r="K6181" s="1063"/>
      <c r="L6181" s="1063"/>
    </row>
    <row r="6182" spans="5:12" x14ac:dyDescent="0.2">
      <c r="E6182" s="1063"/>
      <c r="H6182" s="1066"/>
      <c r="I6182" s="1063"/>
      <c r="J6182" s="1063"/>
      <c r="K6182" s="1063"/>
      <c r="L6182" s="1063"/>
    </row>
    <row r="6183" spans="5:12" x14ac:dyDescent="0.2">
      <c r="E6183" s="1063"/>
      <c r="H6183" s="1066"/>
      <c r="I6183" s="1063"/>
      <c r="J6183" s="1063"/>
      <c r="K6183" s="1063"/>
      <c r="L6183" s="1063"/>
    </row>
    <row r="6184" spans="5:12" x14ac:dyDescent="0.2">
      <c r="E6184" s="1063"/>
      <c r="H6184" s="1066"/>
      <c r="I6184" s="1063"/>
      <c r="J6184" s="1063"/>
      <c r="K6184" s="1063"/>
      <c r="L6184" s="1063"/>
    </row>
    <row r="6185" spans="5:12" x14ac:dyDescent="0.2">
      <c r="E6185" s="1063"/>
      <c r="H6185" s="1066"/>
      <c r="I6185" s="1063"/>
      <c r="J6185" s="1063"/>
      <c r="K6185" s="1063"/>
      <c r="L6185" s="1063"/>
    </row>
    <row r="6186" spans="5:12" x14ac:dyDescent="0.2">
      <c r="E6186" s="1063"/>
      <c r="H6186" s="1066"/>
      <c r="I6186" s="1063"/>
      <c r="J6186" s="1063"/>
      <c r="K6186" s="1063"/>
      <c r="L6186" s="1063"/>
    </row>
    <row r="6187" spans="5:12" x14ac:dyDescent="0.2">
      <c r="E6187" s="1063"/>
      <c r="H6187" s="1066"/>
      <c r="I6187" s="1063"/>
      <c r="J6187" s="1063"/>
      <c r="K6187" s="1063"/>
      <c r="L6187" s="1063"/>
    </row>
    <row r="6188" spans="5:12" x14ac:dyDescent="0.2">
      <c r="E6188" s="1063"/>
      <c r="H6188" s="1066"/>
      <c r="I6188" s="1063"/>
      <c r="J6188" s="1063"/>
      <c r="K6188" s="1063"/>
      <c r="L6188" s="1063"/>
    </row>
    <row r="6189" spans="5:12" x14ac:dyDescent="0.2">
      <c r="E6189" s="1063"/>
      <c r="H6189" s="1066"/>
      <c r="I6189" s="1063"/>
      <c r="J6189" s="1063"/>
      <c r="K6189" s="1063"/>
      <c r="L6189" s="1063"/>
    </row>
    <row r="6190" spans="5:12" x14ac:dyDescent="0.2">
      <c r="E6190" s="1063"/>
      <c r="H6190" s="1066"/>
      <c r="I6190" s="1063"/>
      <c r="J6190" s="1063"/>
      <c r="K6190" s="1063"/>
      <c r="L6190" s="1063"/>
    </row>
    <row r="6191" spans="5:12" x14ac:dyDescent="0.2">
      <c r="E6191" s="1063"/>
      <c r="H6191" s="1066"/>
      <c r="I6191" s="1063"/>
      <c r="J6191" s="1063"/>
      <c r="K6191" s="1063"/>
      <c r="L6191" s="1063"/>
    </row>
    <row r="6192" spans="5:12" x14ac:dyDescent="0.2">
      <c r="E6192" s="1063"/>
      <c r="H6192" s="1066"/>
      <c r="I6192" s="1063"/>
      <c r="J6192" s="1063"/>
      <c r="K6192" s="1063"/>
      <c r="L6192" s="1063"/>
    </row>
    <row r="6193" spans="5:12" x14ac:dyDescent="0.2">
      <c r="E6193" s="1063"/>
      <c r="H6193" s="1066"/>
      <c r="I6193" s="1063"/>
      <c r="J6193" s="1063"/>
      <c r="K6193" s="1063"/>
      <c r="L6193" s="1063"/>
    </row>
    <row r="6194" spans="5:12" x14ac:dyDescent="0.2">
      <c r="E6194" s="1063"/>
      <c r="H6194" s="1066"/>
      <c r="I6194" s="1063"/>
      <c r="J6194" s="1063"/>
      <c r="K6194" s="1063"/>
      <c r="L6194" s="1063"/>
    </row>
    <row r="6195" spans="5:12" x14ac:dyDescent="0.2">
      <c r="E6195" s="1063"/>
      <c r="H6195" s="1066"/>
      <c r="I6195" s="1063"/>
      <c r="J6195" s="1063"/>
      <c r="K6195" s="1063"/>
      <c r="L6195" s="1063"/>
    </row>
    <row r="6196" spans="5:12" x14ac:dyDescent="0.2">
      <c r="E6196" s="1063"/>
      <c r="H6196" s="1066"/>
      <c r="I6196" s="1063"/>
      <c r="J6196" s="1063"/>
      <c r="K6196" s="1063"/>
      <c r="L6196" s="1063"/>
    </row>
    <row r="6197" spans="5:12" x14ac:dyDescent="0.2">
      <c r="E6197" s="1063"/>
      <c r="H6197" s="1066"/>
      <c r="I6197" s="1063"/>
      <c r="J6197" s="1063"/>
      <c r="K6197" s="1063"/>
      <c r="L6197" s="1063"/>
    </row>
    <row r="6198" spans="5:12" x14ac:dyDescent="0.2">
      <c r="E6198" s="1063"/>
      <c r="H6198" s="1066"/>
      <c r="I6198" s="1063"/>
      <c r="J6198" s="1063"/>
      <c r="K6198" s="1063"/>
      <c r="L6198" s="1063"/>
    </row>
    <row r="6199" spans="5:12" x14ac:dyDescent="0.2">
      <c r="E6199" s="1063"/>
      <c r="H6199" s="1066"/>
      <c r="I6199" s="1063"/>
      <c r="J6199" s="1063"/>
      <c r="K6199" s="1063"/>
      <c r="L6199" s="1063"/>
    </row>
    <row r="6200" spans="5:12" x14ac:dyDescent="0.2">
      <c r="E6200" s="1063"/>
      <c r="H6200" s="1066"/>
      <c r="I6200" s="1063"/>
      <c r="J6200" s="1063"/>
      <c r="K6200" s="1063"/>
      <c r="L6200" s="1063"/>
    </row>
    <row r="6201" spans="5:12" x14ac:dyDescent="0.2">
      <c r="E6201" s="1063"/>
      <c r="H6201" s="1066"/>
      <c r="I6201" s="1063"/>
      <c r="J6201" s="1063"/>
      <c r="K6201" s="1063"/>
      <c r="L6201" s="1063"/>
    </row>
    <row r="6202" spans="5:12" x14ac:dyDescent="0.2">
      <c r="E6202" s="1063"/>
      <c r="H6202" s="1066"/>
      <c r="I6202" s="1063"/>
      <c r="J6202" s="1063"/>
      <c r="K6202" s="1063"/>
      <c r="L6202" s="1063"/>
    </row>
    <row r="6203" spans="5:12" x14ac:dyDescent="0.2">
      <c r="E6203" s="1063"/>
      <c r="H6203" s="1066"/>
      <c r="I6203" s="1063"/>
      <c r="J6203" s="1063"/>
      <c r="K6203" s="1063"/>
      <c r="L6203" s="1063"/>
    </row>
    <row r="6204" spans="5:12" x14ac:dyDescent="0.2">
      <c r="E6204" s="1063"/>
      <c r="H6204" s="1066"/>
      <c r="I6204" s="1063"/>
      <c r="J6204" s="1063"/>
      <c r="K6204" s="1063"/>
      <c r="L6204" s="1063"/>
    </row>
    <row r="6205" spans="5:12" x14ac:dyDescent="0.2">
      <c r="E6205" s="1063"/>
      <c r="H6205" s="1066"/>
      <c r="I6205" s="1063"/>
      <c r="J6205" s="1063"/>
      <c r="K6205" s="1063"/>
      <c r="L6205" s="1063"/>
    </row>
    <row r="6206" spans="5:12" x14ac:dyDescent="0.2">
      <c r="E6206" s="1063"/>
      <c r="H6206" s="1066"/>
      <c r="I6206" s="1063"/>
      <c r="J6206" s="1063"/>
      <c r="K6206" s="1063"/>
      <c r="L6206" s="1063"/>
    </row>
    <row r="6207" spans="5:12" x14ac:dyDescent="0.2">
      <c r="E6207" s="1063"/>
      <c r="H6207" s="1066"/>
      <c r="I6207" s="1063"/>
      <c r="J6207" s="1063"/>
      <c r="K6207" s="1063"/>
      <c r="L6207" s="1063"/>
    </row>
    <row r="6208" spans="5:12" x14ac:dyDescent="0.2">
      <c r="E6208" s="1063"/>
      <c r="H6208" s="1066"/>
      <c r="I6208" s="1063"/>
      <c r="J6208" s="1063"/>
      <c r="K6208" s="1063"/>
      <c r="L6208" s="1063"/>
    </row>
    <row r="6209" spans="5:12" x14ac:dyDescent="0.2">
      <c r="E6209" s="1063"/>
      <c r="H6209" s="1066"/>
      <c r="I6209" s="1063"/>
      <c r="J6209" s="1063"/>
      <c r="K6209" s="1063"/>
      <c r="L6209" s="1063"/>
    </row>
    <row r="6210" spans="5:12" x14ac:dyDescent="0.2">
      <c r="E6210" s="1063"/>
      <c r="H6210" s="1066"/>
      <c r="I6210" s="1063"/>
      <c r="J6210" s="1063"/>
      <c r="K6210" s="1063"/>
      <c r="L6210" s="1063"/>
    </row>
    <row r="6211" spans="5:12" x14ac:dyDescent="0.2">
      <c r="E6211" s="1063"/>
      <c r="H6211" s="1066"/>
      <c r="I6211" s="1063"/>
      <c r="J6211" s="1063"/>
      <c r="K6211" s="1063"/>
      <c r="L6211" s="1063"/>
    </row>
    <row r="6212" spans="5:12" x14ac:dyDescent="0.2">
      <c r="E6212" s="1063"/>
      <c r="H6212" s="1066"/>
      <c r="I6212" s="1063"/>
      <c r="J6212" s="1063"/>
      <c r="K6212" s="1063"/>
      <c r="L6212" s="1063"/>
    </row>
    <row r="6213" spans="5:12" x14ac:dyDescent="0.2">
      <c r="E6213" s="1063"/>
      <c r="H6213" s="1066"/>
      <c r="I6213" s="1063"/>
      <c r="J6213" s="1063"/>
      <c r="K6213" s="1063"/>
      <c r="L6213" s="1063"/>
    </row>
    <row r="6214" spans="5:12" x14ac:dyDescent="0.2">
      <c r="E6214" s="1063"/>
      <c r="H6214" s="1066"/>
      <c r="I6214" s="1063"/>
      <c r="J6214" s="1063"/>
      <c r="K6214" s="1063"/>
      <c r="L6214" s="1063"/>
    </row>
    <row r="6215" spans="5:12" x14ac:dyDescent="0.2">
      <c r="E6215" s="1063"/>
      <c r="H6215" s="1066"/>
      <c r="I6215" s="1063"/>
      <c r="J6215" s="1063"/>
      <c r="K6215" s="1063"/>
      <c r="L6215" s="1063"/>
    </row>
    <row r="6216" spans="5:12" x14ac:dyDescent="0.2">
      <c r="E6216" s="1063"/>
      <c r="H6216" s="1066"/>
      <c r="I6216" s="1063"/>
      <c r="J6216" s="1063"/>
      <c r="K6216" s="1063"/>
      <c r="L6216" s="1063"/>
    </row>
    <row r="6217" spans="5:12" x14ac:dyDescent="0.2">
      <c r="E6217" s="1063"/>
      <c r="H6217" s="1066"/>
      <c r="I6217" s="1063"/>
      <c r="J6217" s="1063"/>
      <c r="K6217" s="1063"/>
      <c r="L6217" s="1063"/>
    </row>
    <row r="6218" spans="5:12" x14ac:dyDescent="0.2">
      <c r="E6218" s="1063"/>
      <c r="H6218" s="1066"/>
      <c r="I6218" s="1063"/>
      <c r="J6218" s="1063"/>
      <c r="K6218" s="1063"/>
      <c r="L6218" s="1063"/>
    </row>
    <row r="6219" spans="5:12" x14ac:dyDescent="0.2">
      <c r="E6219" s="1063"/>
      <c r="H6219" s="1066"/>
      <c r="I6219" s="1063"/>
      <c r="J6219" s="1063"/>
      <c r="K6219" s="1063"/>
      <c r="L6219" s="1063"/>
    </row>
    <row r="6220" spans="5:12" x14ac:dyDescent="0.2">
      <c r="E6220" s="1063"/>
      <c r="H6220" s="1066"/>
      <c r="I6220" s="1063"/>
      <c r="J6220" s="1063"/>
      <c r="K6220" s="1063"/>
      <c r="L6220" s="1063"/>
    </row>
    <row r="6221" spans="5:12" x14ac:dyDescent="0.2">
      <c r="E6221" s="1063"/>
      <c r="H6221" s="1066"/>
      <c r="I6221" s="1063"/>
      <c r="J6221" s="1063"/>
      <c r="K6221" s="1063"/>
      <c r="L6221" s="1063"/>
    </row>
    <row r="6222" spans="5:12" x14ac:dyDescent="0.2">
      <c r="E6222" s="1063"/>
      <c r="H6222" s="1066"/>
      <c r="I6222" s="1063"/>
      <c r="J6222" s="1063"/>
      <c r="K6222" s="1063"/>
      <c r="L6222" s="1063"/>
    </row>
    <row r="6223" spans="5:12" x14ac:dyDescent="0.2">
      <c r="E6223" s="1063"/>
      <c r="H6223" s="1066"/>
      <c r="I6223" s="1063"/>
      <c r="J6223" s="1063"/>
      <c r="K6223" s="1063"/>
      <c r="L6223" s="1063"/>
    </row>
    <row r="6224" spans="5:12" x14ac:dyDescent="0.2">
      <c r="E6224" s="1063"/>
      <c r="H6224" s="1066"/>
      <c r="I6224" s="1063"/>
      <c r="J6224" s="1063"/>
      <c r="K6224" s="1063"/>
      <c r="L6224" s="1063"/>
    </row>
    <row r="6225" spans="5:12" x14ac:dyDescent="0.2">
      <c r="E6225" s="1063"/>
      <c r="H6225" s="1066"/>
      <c r="I6225" s="1063"/>
      <c r="J6225" s="1063"/>
      <c r="K6225" s="1063"/>
      <c r="L6225" s="1063"/>
    </row>
    <row r="6226" spans="5:12" x14ac:dyDescent="0.2">
      <c r="E6226" s="1063"/>
      <c r="H6226" s="1066"/>
      <c r="I6226" s="1063"/>
      <c r="J6226" s="1063"/>
      <c r="K6226" s="1063"/>
      <c r="L6226" s="1063"/>
    </row>
    <row r="6227" spans="5:12" x14ac:dyDescent="0.2">
      <c r="E6227" s="1063"/>
      <c r="H6227" s="1066"/>
      <c r="I6227" s="1063"/>
      <c r="J6227" s="1063"/>
      <c r="K6227" s="1063"/>
      <c r="L6227" s="1063"/>
    </row>
    <row r="6228" spans="5:12" x14ac:dyDescent="0.2">
      <c r="E6228" s="1063"/>
      <c r="H6228" s="1066"/>
      <c r="I6228" s="1063"/>
      <c r="J6228" s="1063"/>
      <c r="K6228" s="1063"/>
      <c r="L6228" s="1063"/>
    </row>
    <row r="6229" spans="5:12" x14ac:dyDescent="0.2">
      <c r="E6229" s="1063"/>
      <c r="H6229" s="1066"/>
      <c r="I6229" s="1063"/>
      <c r="J6229" s="1063"/>
      <c r="K6229" s="1063"/>
      <c r="L6229" s="1063"/>
    </row>
    <row r="6230" spans="5:12" x14ac:dyDescent="0.2">
      <c r="E6230" s="1063"/>
      <c r="H6230" s="1066"/>
      <c r="I6230" s="1063"/>
      <c r="J6230" s="1063"/>
      <c r="K6230" s="1063"/>
      <c r="L6230" s="1063"/>
    </row>
    <row r="6231" spans="5:12" x14ac:dyDescent="0.2">
      <c r="E6231" s="1063"/>
      <c r="H6231" s="1066"/>
      <c r="I6231" s="1063"/>
      <c r="J6231" s="1063"/>
      <c r="K6231" s="1063"/>
      <c r="L6231" s="1063"/>
    </row>
    <row r="6232" spans="5:12" x14ac:dyDescent="0.2">
      <c r="E6232" s="1063"/>
      <c r="H6232" s="1066"/>
      <c r="I6232" s="1063"/>
      <c r="J6232" s="1063"/>
      <c r="K6232" s="1063"/>
      <c r="L6232" s="1063"/>
    </row>
    <row r="6233" spans="5:12" x14ac:dyDescent="0.2">
      <c r="E6233" s="1063"/>
      <c r="H6233" s="1066"/>
      <c r="I6233" s="1063"/>
      <c r="J6233" s="1063"/>
      <c r="K6233" s="1063"/>
      <c r="L6233" s="1063"/>
    </row>
    <row r="6234" spans="5:12" x14ac:dyDescent="0.2">
      <c r="E6234" s="1063"/>
      <c r="H6234" s="1066"/>
      <c r="I6234" s="1063"/>
      <c r="J6234" s="1063"/>
      <c r="K6234" s="1063"/>
      <c r="L6234" s="1063"/>
    </row>
    <row r="6235" spans="5:12" x14ac:dyDescent="0.2">
      <c r="E6235" s="1063"/>
      <c r="H6235" s="1066"/>
      <c r="I6235" s="1063"/>
      <c r="J6235" s="1063"/>
      <c r="K6235" s="1063"/>
      <c r="L6235" s="1063"/>
    </row>
    <row r="6236" spans="5:12" x14ac:dyDescent="0.2">
      <c r="E6236" s="1063"/>
      <c r="H6236" s="1066"/>
      <c r="I6236" s="1063"/>
      <c r="J6236" s="1063"/>
      <c r="K6236" s="1063"/>
      <c r="L6236" s="1063"/>
    </row>
    <row r="6237" spans="5:12" x14ac:dyDescent="0.2">
      <c r="E6237" s="1063"/>
      <c r="H6237" s="1066"/>
      <c r="I6237" s="1063"/>
      <c r="J6237" s="1063"/>
      <c r="K6237" s="1063"/>
      <c r="L6237" s="1063"/>
    </row>
    <row r="6238" spans="5:12" x14ac:dyDescent="0.2">
      <c r="E6238" s="1063"/>
      <c r="H6238" s="1066"/>
      <c r="I6238" s="1063"/>
      <c r="J6238" s="1063"/>
      <c r="K6238" s="1063"/>
      <c r="L6238" s="1063"/>
    </row>
    <row r="6239" spans="5:12" x14ac:dyDescent="0.2">
      <c r="E6239" s="1063"/>
      <c r="H6239" s="1066"/>
      <c r="I6239" s="1063"/>
      <c r="J6239" s="1063"/>
      <c r="K6239" s="1063"/>
      <c r="L6239" s="1063"/>
    </row>
    <row r="6240" spans="5:12" x14ac:dyDescent="0.2">
      <c r="E6240" s="1063"/>
      <c r="H6240" s="1066"/>
      <c r="I6240" s="1063"/>
      <c r="J6240" s="1063"/>
      <c r="K6240" s="1063"/>
      <c r="L6240" s="1063"/>
    </row>
    <row r="6241" spans="5:12" x14ac:dyDescent="0.2">
      <c r="E6241" s="1063"/>
      <c r="H6241" s="1066"/>
      <c r="I6241" s="1063"/>
      <c r="J6241" s="1063"/>
      <c r="K6241" s="1063"/>
      <c r="L6241" s="1063"/>
    </row>
    <row r="6242" spans="5:12" x14ac:dyDescent="0.2">
      <c r="E6242" s="1063"/>
      <c r="H6242" s="1066"/>
      <c r="I6242" s="1063"/>
      <c r="J6242" s="1063"/>
      <c r="K6242" s="1063"/>
      <c r="L6242" s="1063"/>
    </row>
    <row r="6243" spans="5:12" x14ac:dyDescent="0.2">
      <c r="E6243" s="1063"/>
      <c r="H6243" s="1066"/>
      <c r="I6243" s="1063"/>
      <c r="J6243" s="1063"/>
      <c r="K6243" s="1063"/>
      <c r="L6243" s="1063"/>
    </row>
    <row r="6244" spans="5:12" x14ac:dyDescent="0.2">
      <c r="E6244" s="1063"/>
      <c r="H6244" s="1066"/>
      <c r="I6244" s="1063"/>
      <c r="J6244" s="1063"/>
      <c r="K6244" s="1063"/>
      <c r="L6244" s="1063"/>
    </row>
    <row r="6245" spans="5:12" x14ac:dyDescent="0.2">
      <c r="E6245" s="1063"/>
      <c r="H6245" s="1066"/>
      <c r="I6245" s="1063"/>
      <c r="J6245" s="1063"/>
      <c r="K6245" s="1063"/>
      <c r="L6245" s="1063"/>
    </row>
    <row r="6246" spans="5:12" x14ac:dyDescent="0.2">
      <c r="E6246" s="1063"/>
      <c r="H6246" s="1066"/>
      <c r="I6246" s="1063"/>
      <c r="J6246" s="1063"/>
      <c r="K6246" s="1063"/>
      <c r="L6246" s="1063"/>
    </row>
    <row r="6247" spans="5:12" x14ac:dyDescent="0.2">
      <c r="E6247" s="1063"/>
      <c r="H6247" s="1066"/>
      <c r="I6247" s="1063"/>
      <c r="J6247" s="1063"/>
      <c r="K6247" s="1063"/>
      <c r="L6247" s="1063"/>
    </row>
    <row r="6248" spans="5:12" x14ac:dyDescent="0.2">
      <c r="E6248" s="1063"/>
      <c r="H6248" s="1066"/>
      <c r="I6248" s="1063"/>
      <c r="J6248" s="1063"/>
      <c r="K6248" s="1063"/>
      <c r="L6248" s="1063"/>
    </row>
    <row r="6249" spans="5:12" x14ac:dyDescent="0.2">
      <c r="E6249" s="1063"/>
      <c r="H6249" s="1066"/>
      <c r="I6249" s="1063"/>
      <c r="J6249" s="1063"/>
      <c r="K6249" s="1063"/>
      <c r="L6249" s="1063"/>
    </row>
    <row r="6250" spans="5:12" x14ac:dyDescent="0.2">
      <c r="E6250" s="1063"/>
      <c r="H6250" s="1066"/>
      <c r="I6250" s="1063"/>
      <c r="J6250" s="1063"/>
      <c r="K6250" s="1063"/>
      <c r="L6250" s="1063"/>
    </row>
    <row r="6251" spans="5:12" x14ac:dyDescent="0.2">
      <c r="E6251" s="1063"/>
      <c r="H6251" s="1066"/>
      <c r="I6251" s="1063"/>
      <c r="J6251" s="1063"/>
      <c r="K6251" s="1063"/>
      <c r="L6251" s="1063"/>
    </row>
    <row r="6252" spans="5:12" x14ac:dyDescent="0.2">
      <c r="E6252" s="1063"/>
      <c r="H6252" s="1066"/>
      <c r="I6252" s="1063"/>
      <c r="J6252" s="1063"/>
      <c r="K6252" s="1063"/>
      <c r="L6252" s="1063"/>
    </row>
    <row r="6253" spans="5:12" x14ac:dyDescent="0.2">
      <c r="E6253" s="1063"/>
      <c r="H6253" s="1066"/>
      <c r="I6253" s="1063"/>
      <c r="J6253" s="1063"/>
      <c r="K6253" s="1063"/>
      <c r="L6253" s="1063"/>
    </row>
    <row r="6254" spans="5:12" x14ac:dyDescent="0.2">
      <c r="E6254" s="1063"/>
      <c r="H6254" s="1066"/>
      <c r="I6254" s="1063"/>
      <c r="J6254" s="1063"/>
      <c r="K6254" s="1063"/>
      <c r="L6254" s="1063"/>
    </row>
    <row r="6255" spans="5:12" x14ac:dyDescent="0.2">
      <c r="E6255" s="1063"/>
      <c r="H6255" s="1066"/>
      <c r="I6255" s="1063"/>
      <c r="J6255" s="1063"/>
      <c r="K6255" s="1063"/>
      <c r="L6255" s="1063"/>
    </row>
    <row r="6256" spans="5:12" x14ac:dyDescent="0.2">
      <c r="E6256" s="1063"/>
      <c r="H6256" s="1066"/>
      <c r="I6256" s="1063"/>
      <c r="J6256" s="1063"/>
      <c r="K6256" s="1063"/>
      <c r="L6256" s="1063"/>
    </row>
    <row r="6257" spans="5:12" x14ac:dyDescent="0.2">
      <c r="E6257" s="1063"/>
      <c r="H6257" s="1066"/>
      <c r="I6257" s="1063"/>
      <c r="J6257" s="1063"/>
      <c r="K6257" s="1063"/>
      <c r="L6257" s="1063"/>
    </row>
    <row r="6258" spans="5:12" x14ac:dyDescent="0.2">
      <c r="E6258" s="1063"/>
      <c r="H6258" s="1066"/>
      <c r="I6258" s="1063"/>
      <c r="J6258" s="1063"/>
      <c r="K6258" s="1063"/>
      <c r="L6258" s="1063"/>
    </row>
    <row r="6259" spans="5:12" x14ac:dyDescent="0.2">
      <c r="E6259" s="1063"/>
      <c r="H6259" s="1066"/>
      <c r="I6259" s="1063"/>
      <c r="J6259" s="1063"/>
      <c r="K6259" s="1063"/>
      <c r="L6259" s="1063"/>
    </row>
    <row r="6260" spans="5:12" x14ac:dyDescent="0.2">
      <c r="E6260" s="1063"/>
      <c r="H6260" s="1066"/>
      <c r="I6260" s="1063"/>
      <c r="J6260" s="1063"/>
      <c r="K6260" s="1063"/>
      <c r="L6260" s="1063"/>
    </row>
    <row r="6261" spans="5:12" x14ac:dyDescent="0.2">
      <c r="E6261" s="1063"/>
      <c r="H6261" s="1066"/>
      <c r="I6261" s="1063"/>
      <c r="J6261" s="1063"/>
      <c r="K6261" s="1063"/>
      <c r="L6261" s="1063"/>
    </row>
    <row r="6262" spans="5:12" x14ac:dyDescent="0.2">
      <c r="E6262" s="1063"/>
      <c r="H6262" s="1066"/>
      <c r="I6262" s="1063"/>
      <c r="J6262" s="1063"/>
      <c r="K6262" s="1063"/>
      <c r="L6262" s="1063"/>
    </row>
    <row r="6263" spans="5:12" x14ac:dyDescent="0.2">
      <c r="E6263" s="1063"/>
      <c r="H6263" s="1066"/>
      <c r="I6263" s="1063"/>
      <c r="J6263" s="1063"/>
      <c r="K6263" s="1063"/>
      <c r="L6263" s="1063"/>
    </row>
    <row r="6264" spans="5:12" x14ac:dyDescent="0.2">
      <c r="E6264" s="1063"/>
      <c r="H6264" s="1066"/>
      <c r="I6264" s="1063"/>
      <c r="J6264" s="1063"/>
      <c r="K6264" s="1063"/>
      <c r="L6264" s="1063"/>
    </row>
    <row r="6265" spans="5:12" x14ac:dyDescent="0.2">
      <c r="E6265" s="1063"/>
      <c r="H6265" s="1066"/>
      <c r="I6265" s="1063"/>
      <c r="J6265" s="1063"/>
      <c r="K6265" s="1063"/>
      <c r="L6265" s="1063"/>
    </row>
    <row r="6266" spans="5:12" x14ac:dyDescent="0.2">
      <c r="E6266" s="1063"/>
      <c r="H6266" s="1066"/>
      <c r="I6266" s="1063"/>
      <c r="J6266" s="1063"/>
      <c r="K6266" s="1063"/>
      <c r="L6266" s="1063"/>
    </row>
    <row r="6267" spans="5:12" x14ac:dyDescent="0.2">
      <c r="E6267" s="1063"/>
      <c r="H6267" s="1066"/>
      <c r="I6267" s="1063"/>
      <c r="J6267" s="1063"/>
      <c r="K6267" s="1063"/>
      <c r="L6267" s="1063"/>
    </row>
    <row r="6268" spans="5:12" x14ac:dyDescent="0.2">
      <c r="E6268" s="1063"/>
      <c r="H6268" s="1066"/>
      <c r="I6268" s="1063"/>
      <c r="J6268" s="1063"/>
      <c r="K6268" s="1063"/>
      <c r="L6268" s="1063"/>
    </row>
    <row r="6269" spans="5:12" x14ac:dyDescent="0.2">
      <c r="E6269" s="1063"/>
      <c r="H6269" s="1066"/>
      <c r="I6269" s="1063"/>
      <c r="J6269" s="1063"/>
      <c r="K6269" s="1063"/>
      <c r="L6269" s="1063"/>
    </row>
    <row r="6270" spans="5:12" x14ac:dyDescent="0.2">
      <c r="E6270" s="1063"/>
      <c r="H6270" s="1066"/>
      <c r="I6270" s="1063"/>
      <c r="J6270" s="1063"/>
      <c r="K6270" s="1063"/>
      <c r="L6270" s="1063"/>
    </row>
    <row r="6271" spans="5:12" x14ac:dyDescent="0.2">
      <c r="E6271" s="1063"/>
      <c r="H6271" s="1066"/>
      <c r="I6271" s="1063"/>
      <c r="J6271" s="1063"/>
      <c r="K6271" s="1063"/>
      <c r="L6271" s="1063"/>
    </row>
    <row r="6272" spans="5:12" x14ac:dyDescent="0.2">
      <c r="E6272" s="1063"/>
      <c r="H6272" s="1066"/>
      <c r="I6272" s="1063"/>
      <c r="J6272" s="1063"/>
      <c r="K6272" s="1063"/>
      <c r="L6272" s="1063"/>
    </row>
    <row r="6273" spans="5:12" x14ac:dyDescent="0.2">
      <c r="E6273" s="1063"/>
      <c r="H6273" s="1066"/>
      <c r="I6273" s="1063"/>
      <c r="J6273" s="1063"/>
      <c r="K6273" s="1063"/>
      <c r="L6273" s="1063"/>
    </row>
    <row r="6274" spans="5:12" x14ac:dyDescent="0.2">
      <c r="E6274" s="1063"/>
      <c r="H6274" s="1066"/>
      <c r="I6274" s="1063"/>
      <c r="J6274" s="1063"/>
      <c r="K6274" s="1063"/>
      <c r="L6274" s="1063"/>
    </row>
    <row r="6275" spans="5:12" x14ac:dyDescent="0.2">
      <c r="E6275" s="1063"/>
      <c r="H6275" s="1066"/>
      <c r="I6275" s="1063"/>
      <c r="J6275" s="1063"/>
      <c r="K6275" s="1063"/>
      <c r="L6275" s="1063"/>
    </row>
    <row r="6276" spans="5:12" x14ac:dyDescent="0.2">
      <c r="E6276" s="1063"/>
      <c r="H6276" s="1066"/>
      <c r="I6276" s="1063"/>
      <c r="J6276" s="1063"/>
      <c r="K6276" s="1063"/>
      <c r="L6276" s="1063"/>
    </row>
    <row r="6277" spans="5:12" x14ac:dyDescent="0.2">
      <c r="E6277" s="1063"/>
      <c r="H6277" s="1066"/>
      <c r="I6277" s="1063"/>
      <c r="J6277" s="1063"/>
      <c r="K6277" s="1063"/>
      <c r="L6277" s="1063"/>
    </row>
    <row r="6278" spans="5:12" x14ac:dyDescent="0.2">
      <c r="E6278" s="1063"/>
      <c r="H6278" s="1066"/>
      <c r="I6278" s="1063"/>
      <c r="J6278" s="1063"/>
      <c r="K6278" s="1063"/>
      <c r="L6278" s="1063"/>
    </row>
    <row r="6279" spans="5:12" x14ac:dyDescent="0.2">
      <c r="E6279" s="1063"/>
      <c r="H6279" s="1066"/>
      <c r="I6279" s="1063"/>
      <c r="J6279" s="1063"/>
      <c r="K6279" s="1063"/>
      <c r="L6279" s="1063"/>
    </row>
    <row r="6280" spans="5:12" x14ac:dyDescent="0.2">
      <c r="E6280" s="1063"/>
      <c r="H6280" s="1066"/>
      <c r="I6280" s="1063"/>
      <c r="J6280" s="1063"/>
      <c r="K6280" s="1063"/>
      <c r="L6280" s="1063"/>
    </row>
    <row r="6281" spans="5:12" x14ac:dyDescent="0.2">
      <c r="E6281" s="1063"/>
      <c r="H6281" s="1066"/>
      <c r="I6281" s="1063"/>
      <c r="J6281" s="1063"/>
      <c r="K6281" s="1063"/>
      <c r="L6281" s="1063"/>
    </row>
    <row r="6282" spans="5:12" x14ac:dyDescent="0.2">
      <c r="E6282" s="1063"/>
      <c r="H6282" s="1066"/>
      <c r="I6282" s="1063"/>
      <c r="J6282" s="1063"/>
      <c r="K6282" s="1063"/>
      <c r="L6282" s="1063"/>
    </row>
    <row r="6283" spans="5:12" x14ac:dyDescent="0.2">
      <c r="E6283" s="1063"/>
      <c r="H6283" s="1066"/>
      <c r="I6283" s="1063"/>
      <c r="J6283" s="1063"/>
      <c r="K6283" s="1063"/>
      <c r="L6283" s="1063"/>
    </row>
    <row r="6284" spans="5:12" x14ac:dyDescent="0.2">
      <c r="E6284" s="1063"/>
      <c r="H6284" s="1066"/>
      <c r="I6284" s="1063"/>
      <c r="J6284" s="1063"/>
      <c r="K6284" s="1063"/>
      <c r="L6284" s="1063"/>
    </row>
    <row r="6285" spans="5:12" x14ac:dyDescent="0.2">
      <c r="E6285" s="1063"/>
      <c r="H6285" s="1066"/>
      <c r="I6285" s="1063"/>
      <c r="J6285" s="1063"/>
      <c r="K6285" s="1063"/>
      <c r="L6285" s="1063"/>
    </row>
    <row r="6286" spans="5:12" x14ac:dyDescent="0.2">
      <c r="E6286" s="1063"/>
      <c r="H6286" s="1066"/>
      <c r="I6286" s="1063"/>
      <c r="J6286" s="1063"/>
      <c r="K6286" s="1063"/>
      <c r="L6286" s="1063"/>
    </row>
    <row r="6287" spans="5:12" x14ac:dyDescent="0.2">
      <c r="E6287" s="1063"/>
      <c r="H6287" s="1066"/>
      <c r="I6287" s="1063"/>
      <c r="J6287" s="1063"/>
      <c r="K6287" s="1063"/>
      <c r="L6287" s="1063"/>
    </row>
    <row r="6288" spans="5:12" x14ac:dyDescent="0.2">
      <c r="E6288" s="1063"/>
      <c r="H6288" s="1066"/>
      <c r="I6288" s="1063"/>
      <c r="J6288" s="1063"/>
      <c r="K6288" s="1063"/>
      <c r="L6288" s="1063"/>
    </row>
    <row r="6289" spans="5:12" x14ac:dyDescent="0.2">
      <c r="E6289" s="1063"/>
      <c r="H6289" s="1066"/>
      <c r="I6289" s="1063"/>
      <c r="J6289" s="1063"/>
      <c r="K6289" s="1063"/>
      <c r="L6289" s="1063"/>
    </row>
    <row r="6290" spans="5:12" x14ac:dyDescent="0.2">
      <c r="E6290" s="1063"/>
      <c r="H6290" s="1066"/>
      <c r="I6290" s="1063"/>
      <c r="J6290" s="1063"/>
      <c r="K6290" s="1063"/>
      <c r="L6290" s="1063"/>
    </row>
    <row r="6291" spans="5:12" x14ac:dyDescent="0.2">
      <c r="E6291" s="1063"/>
      <c r="H6291" s="1066"/>
      <c r="I6291" s="1063"/>
      <c r="J6291" s="1063"/>
      <c r="K6291" s="1063"/>
      <c r="L6291" s="1063"/>
    </row>
    <row r="6292" spans="5:12" x14ac:dyDescent="0.2">
      <c r="E6292" s="1063"/>
      <c r="H6292" s="1066"/>
      <c r="I6292" s="1063"/>
      <c r="J6292" s="1063"/>
      <c r="K6292" s="1063"/>
      <c r="L6292" s="1063"/>
    </row>
    <row r="6293" spans="5:12" x14ac:dyDescent="0.2">
      <c r="E6293" s="1063"/>
      <c r="H6293" s="1066"/>
      <c r="I6293" s="1063"/>
      <c r="J6293" s="1063"/>
      <c r="K6293" s="1063"/>
      <c r="L6293" s="1063"/>
    </row>
    <row r="6294" spans="5:12" x14ac:dyDescent="0.2">
      <c r="E6294" s="1063"/>
      <c r="H6294" s="1066"/>
      <c r="I6294" s="1063"/>
      <c r="J6294" s="1063"/>
      <c r="K6294" s="1063"/>
      <c r="L6294" s="1063"/>
    </row>
    <row r="6295" spans="5:12" x14ac:dyDescent="0.2">
      <c r="E6295" s="1063"/>
      <c r="H6295" s="1066"/>
      <c r="I6295" s="1063"/>
      <c r="J6295" s="1063"/>
      <c r="K6295" s="1063"/>
      <c r="L6295" s="1063"/>
    </row>
    <row r="6296" spans="5:12" x14ac:dyDescent="0.2">
      <c r="E6296" s="1063"/>
      <c r="H6296" s="1066"/>
      <c r="I6296" s="1063"/>
      <c r="J6296" s="1063"/>
      <c r="K6296" s="1063"/>
      <c r="L6296" s="1063"/>
    </row>
    <row r="6297" spans="5:12" x14ac:dyDescent="0.2">
      <c r="E6297" s="1063"/>
      <c r="H6297" s="1066"/>
      <c r="I6297" s="1063"/>
      <c r="J6297" s="1063"/>
      <c r="K6297" s="1063"/>
      <c r="L6297" s="1063"/>
    </row>
    <row r="6298" spans="5:12" x14ac:dyDescent="0.2">
      <c r="E6298" s="1063"/>
      <c r="H6298" s="1066"/>
      <c r="I6298" s="1063"/>
      <c r="J6298" s="1063"/>
      <c r="K6298" s="1063"/>
      <c r="L6298" s="1063"/>
    </row>
    <row r="6299" spans="5:12" x14ac:dyDescent="0.2">
      <c r="E6299" s="1063"/>
      <c r="H6299" s="1066"/>
      <c r="I6299" s="1063"/>
      <c r="J6299" s="1063"/>
      <c r="K6299" s="1063"/>
      <c r="L6299" s="1063"/>
    </row>
    <row r="6300" spans="5:12" x14ac:dyDescent="0.2">
      <c r="E6300" s="1063"/>
      <c r="H6300" s="1066"/>
      <c r="I6300" s="1063"/>
      <c r="J6300" s="1063"/>
      <c r="K6300" s="1063"/>
      <c r="L6300" s="1063"/>
    </row>
    <row r="6301" spans="5:12" x14ac:dyDescent="0.2">
      <c r="E6301" s="1063"/>
      <c r="H6301" s="1066"/>
      <c r="I6301" s="1063"/>
      <c r="J6301" s="1063"/>
      <c r="K6301" s="1063"/>
      <c r="L6301" s="1063"/>
    </row>
    <row r="6302" spans="5:12" x14ac:dyDescent="0.2">
      <c r="E6302" s="1063"/>
      <c r="H6302" s="1066"/>
      <c r="I6302" s="1063"/>
      <c r="J6302" s="1063"/>
      <c r="K6302" s="1063"/>
      <c r="L6302" s="1063"/>
    </row>
    <row r="6303" spans="5:12" x14ac:dyDescent="0.2">
      <c r="E6303" s="1063"/>
      <c r="H6303" s="1066"/>
      <c r="I6303" s="1063"/>
      <c r="J6303" s="1063"/>
      <c r="K6303" s="1063"/>
      <c r="L6303" s="1063"/>
    </row>
    <row r="6304" spans="5:12" x14ac:dyDescent="0.2">
      <c r="E6304" s="1063"/>
      <c r="H6304" s="1066"/>
      <c r="I6304" s="1063"/>
      <c r="J6304" s="1063"/>
      <c r="K6304" s="1063"/>
      <c r="L6304" s="1063"/>
    </row>
    <row r="6305" spans="5:12" x14ac:dyDescent="0.2">
      <c r="E6305" s="1063"/>
      <c r="H6305" s="1066"/>
      <c r="I6305" s="1063"/>
      <c r="J6305" s="1063"/>
      <c r="K6305" s="1063"/>
      <c r="L6305" s="1063"/>
    </row>
    <row r="6306" spans="5:12" x14ac:dyDescent="0.2">
      <c r="E6306" s="1063"/>
      <c r="H6306" s="1066"/>
      <c r="I6306" s="1063"/>
      <c r="J6306" s="1063"/>
      <c r="K6306" s="1063"/>
      <c r="L6306" s="1063"/>
    </row>
    <row r="6307" spans="5:12" x14ac:dyDescent="0.2">
      <c r="E6307" s="1063"/>
      <c r="H6307" s="1066"/>
      <c r="I6307" s="1063"/>
      <c r="J6307" s="1063"/>
      <c r="K6307" s="1063"/>
      <c r="L6307" s="1063"/>
    </row>
    <row r="6308" spans="5:12" x14ac:dyDescent="0.2">
      <c r="E6308" s="1063"/>
      <c r="H6308" s="1066"/>
      <c r="I6308" s="1063"/>
      <c r="J6308" s="1063"/>
      <c r="K6308" s="1063"/>
      <c r="L6308" s="1063"/>
    </row>
    <row r="6309" spans="5:12" x14ac:dyDescent="0.2">
      <c r="E6309" s="1063"/>
      <c r="H6309" s="1066"/>
      <c r="I6309" s="1063"/>
      <c r="J6309" s="1063"/>
      <c r="K6309" s="1063"/>
      <c r="L6309" s="1063"/>
    </row>
    <row r="6310" spans="5:12" x14ac:dyDescent="0.2">
      <c r="E6310" s="1063"/>
      <c r="H6310" s="1066"/>
      <c r="I6310" s="1063"/>
      <c r="J6310" s="1063"/>
      <c r="K6310" s="1063"/>
      <c r="L6310" s="1063"/>
    </row>
    <row r="6311" spans="5:12" x14ac:dyDescent="0.2">
      <c r="E6311" s="1063"/>
      <c r="H6311" s="1066"/>
      <c r="I6311" s="1063"/>
      <c r="J6311" s="1063"/>
      <c r="K6311" s="1063"/>
      <c r="L6311" s="1063"/>
    </row>
    <row r="6312" spans="5:12" x14ac:dyDescent="0.2">
      <c r="E6312" s="1063"/>
      <c r="H6312" s="1066"/>
      <c r="I6312" s="1063"/>
      <c r="J6312" s="1063"/>
      <c r="K6312" s="1063"/>
      <c r="L6312" s="1063"/>
    </row>
    <row r="6313" spans="5:12" x14ac:dyDescent="0.2">
      <c r="E6313" s="1063"/>
      <c r="H6313" s="1066"/>
      <c r="I6313" s="1063"/>
      <c r="J6313" s="1063"/>
      <c r="K6313" s="1063"/>
      <c r="L6313" s="1063"/>
    </row>
    <row r="6314" spans="5:12" x14ac:dyDescent="0.2">
      <c r="E6314" s="1063"/>
      <c r="H6314" s="1066"/>
      <c r="I6314" s="1063"/>
      <c r="J6314" s="1063"/>
      <c r="K6314" s="1063"/>
      <c r="L6314" s="1063"/>
    </row>
    <row r="6315" spans="5:12" x14ac:dyDescent="0.2">
      <c r="E6315" s="1063"/>
      <c r="H6315" s="1066"/>
      <c r="I6315" s="1063"/>
      <c r="J6315" s="1063"/>
      <c r="K6315" s="1063"/>
      <c r="L6315" s="1063"/>
    </row>
    <row r="6316" spans="5:12" x14ac:dyDescent="0.2">
      <c r="E6316" s="1063"/>
      <c r="H6316" s="1066"/>
      <c r="I6316" s="1063"/>
      <c r="J6316" s="1063"/>
      <c r="K6316" s="1063"/>
      <c r="L6316" s="1063"/>
    </row>
    <row r="6317" spans="5:12" x14ac:dyDescent="0.2">
      <c r="E6317" s="1063"/>
      <c r="H6317" s="1066"/>
      <c r="I6317" s="1063"/>
      <c r="J6317" s="1063"/>
      <c r="K6317" s="1063"/>
      <c r="L6317" s="1063"/>
    </row>
    <row r="6318" spans="5:12" x14ac:dyDescent="0.2">
      <c r="E6318" s="1063"/>
      <c r="H6318" s="1066"/>
      <c r="I6318" s="1063"/>
      <c r="J6318" s="1063"/>
      <c r="K6318" s="1063"/>
      <c r="L6318" s="1063"/>
    </row>
    <row r="6319" spans="5:12" x14ac:dyDescent="0.2">
      <c r="E6319" s="1063"/>
      <c r="H6319" s="1066"/>
      <c r="I6319" s="1063"/>
      <c r="J6319" s="1063"/>
      <c r="K6319" s="1063"/>
      <c r="L6319" s="1063"/>
    </row>
    <row r="6320" spans="5:12" x14ac:dyDescent="0.2">
      <c r="E6320" s="1063"/>
      <c r="H6320" s="1066"/>
      <c r="I6320" s="1063"/>
      <c r="J6320" s="1063"/>
      <c r="K6320" s="1063"/>
      <c r="L6320" s="1063"/>
    </row>
    <row r="6321" spans="5:12" x14ac:dyDescent="0.2">
      <c r="E6321" s="1063"/>
      <c r="H6321" s="1066"/>
      <c r="I6321" s="1063"/>
      <c r="J6321" s="1063"/>
      <c r="K6321" s="1063"/>
      <c r="L6321" s="1063"/>
    </row>
    <row r="6322" spans="5:12" x14ac:dyDescent="0.2">
      <c r="E6322" s="1063"/>
      <c r="H6322" s="1066"/>
      <c r="I6322" s="1063"/>
      <c r="J6322" s="1063"/>
      <c r="K6322" s="1063"/>
      <c r="L6322" s="1063"/>
    </row>
    <row r="6323" spans="5:12" x14ac:dyDescent="0.2">
      <c r="E6323" s="1063"/>
      <c r="H6323" s="1066"/>
      <c r="I6323" s="1063"/>
      <c r="J6323" s="1063"/>
      <c r="K6323" s="1063"/>
      <c r="L6323" s="1063"/>
    </row>
    <row r="6324" spans="5:12" x14ac:dyDescent="0.2">
      <c r="E6324" s="1063"/>
      <c r="H6324" s="1066"/>
      <c r="I6324" s="1063"/>
      <c r="J6324" s="1063"/>
      <c r="K6324" s="1063"/>
      <c r="L6324" s="1063"/>
    </row>
    <row r="6325" spans="5:12" x14ac:dyDescent="0.2">
      <c r="E6325" s="1063"/>
      <c r="H6325" s="1066"/>
      <c r="I6325" s="1063"/>
      <c r="J6325" s="1063"/>
      <c r="K6325" s="1063"/>
      <c r="L6325" s="1063"/>
    </row>
    <row r="6326" spans="5:12" x14ac:dyDescent="0.2">
      <c r="E6326" s="1063"/>
      <c r="H6326" s="1066"/>
      <c r="I6326" s="1063"/>
      <c r="J6326" s="1063"/>
      <c r="K6326" s="1063"/>
      <c r="L6326" s="1063"/>
    </row>
    <row r="6327" spans="5:12" x14ac:dyDescent="0.2">
      <c r="E6327" s="1063"/>
      <c r="H6327" s="1066"/>
      <c r="I6327" s="1063"/>
      <c r="J6327" s="1063"/>
      <c r="K6327" s="1063"/>
      <c r="L6327" s="1063"/>
    </row>
    <row r="6328" spans="5:12" x14ac:dyDescent="0.2">
      <c r="E6328" s="1063"/>
      <c r="H6328" s="1066"/>
      <c r="I6328" s="1063"/>
      <c r="J6328" s="1063"/>
      <c r="K6328" s="1063"/>
      <c r="L6328" s="1063"/>
    </row>
    <row r="6329" spans="5:12" x14ac:dyDescent="0.2">
      <c r="E6329" s="1063"/>
      <c r="H6329" s="1066"/>
      <c r="I6329" s="1063"/>
      <c r="J6329" s="1063"/>
      <c r="K6329" s="1063"/>
      <c r="L6329" s="1063"/>
    </row>
    <row r="6330" spans="5:12" x14ac:dyDescent="0.2">
      <c r="E6330" s="1063"/>
      <c r="H6330" s="1066"/>
      <c r="I6330" s="1063"/>
      <c r="J6330" s="1063"/>
      <c r="K6330" s="1063"/>
      <c r="L6330" s="1063"/>
    </row>
    <row r="6331" spans="5:12" x14ac:dyDescent="0.2">
      <c r="E6331" s="1063"/>
      <c r="H6331" s="1066"/>
      <c r="I6331" s="1063"/>
      <c r="J6331" s="1063"/>
      <c r="K6331" s="1063"/>
      <c r="L6331" s="1063"/>
    </row>
    <row r="6332" spans="5:12" x14ac:dyDescent="0.2">
      <c r="E6332" s="1063"/>
      <c r="H6332" s="1066"/>
      <c r="I6332" s="1063"/>
      <c r="J6332" s="1063"/>
      <c r="K6332" s="1063"/>
      <c r="L6332" s="1063"/>
    </row>
    <row r="6333" spans="5:12" x14ac:dyDescent="0.2">
      <c r="E6333" s="1063"/>
      <c r="H6333" s="1066"/>
      <c r="I6333" s="1063"/>
      <c r="J6333" s="1063"/>
      <c r="K6333" s="1063"/>
      <c r="L6333" s="1063"/>
    </row>
    <row r="6334" spans="5:12" x14ac:dyDescent="0.2">
      <c r="E6334" s="1063"/>
      <c r="H6334" s="1066"/>
      <c r="I6334" s="1063"/>
      <c r="J6334" s="1063"/>
      <c r="K6334" s="1063"/>
      <c r="L6334" s="1063"/>
    </row>
    <row r="6335" spans="5:12" x14ac:dyDescent="0.2">
      <c r="E6335" s="1063"/>
      <c r="H6335" s="1066"/>
      <c r="I6335" s="1063"/>
      <c r="J6335" s="1063"/>
      <c r="K6335" s="1063"/>
      <c r="L6335" s="1063"/>
    </row>
    <row r="6336" spans="5:12" x14ac:dyDescent="0.2">
      <c r="E6336" s="1063"/>
      <c r="H6336" s="1066"/>
      <c r="I6336" s="1063"/>
      <c r="J6336" s="1063"/>
      <c r="K6336" s="1063"/>
      <c r="L6336" s="1063"/>
    </row>
    <row r="6337" spans="5:12" x14ac:dyDescent="0.2">
      <c r="E6337" s="1063"/>
      <c r="H6337" s="1066"/>
      <c r="I6337" s="1063"/>
      <c r="J6337" s="1063"/>
      <c r="K6337" s="1063"/>
      <c r="L6337" s="1063"/>
    </row>
    <row r="6338" spans="5:12" x14ac:dyDescent="0.2">
      <c r="E6338" s="1063"/>
      <c r="H6338" s="1066"/>
      <c r="I6338" s="1063"/>
      <c r="J6338" s="1063"/>
      <c r="K6338" s="1063"/>
      <c r="L6338" s="1063"/>
    </row>
    <row r="6339" spans="5:12" x14ac:dyDescent="0.2">
      <c r="E6339" s="1063"/>
      <c r="H6339" s="1066"/>
      <c r="I6339" s="1063"/>
      <c r="J6339" s="1063"/>
      <c r="K6339" s="1063"/>
      <c r="L6339" s="1063"/>
    </row>
    <row r="6340" spans="5:12" x14ac:dyDescent="0.2">
      <c r="E6340" s="1063"/>
      <c r="H6340" s="1066"/>
      <c r="I6340" s="1063"/>
      <c r="J6340" s="1063"/>
      <c r="K6340" s="1063"/>
      <c r="L6340" s="1063"/>
    </row>
    <row r="6341" spans="5:12" x14ac:dyDescent="0.2">
      <c r="E6341" s="1063"/>
      <c r="H6341" s="1066"/>
      <c r="I6341" s="1063"/>
      <c r="J6341" s="1063"/>
      <c r="K6341" s="1063"/>
      <c r="L6341" s="1063"/>
    </row>
    <row r="6342" spans="5:12" x14ac:dyDescent="0.2">
      <c r="E6342" s="1063"/>
      <c r="H6342" s="1066"/>
      <c r="I6342" s="1063"/>
      <c r="J6342" s="1063"/>
      <c r="K6342" s="1063"/>
      <c r="L6342" s="1063"/>
    </row>
    <row r="6343" spans="5:12" x14ac:dyDescent="0.2">
      <c r="E6343" s="1063"/>
      <c r="H6343" s="1066"/>
      <c r="I6343" s="1063"/>
      <c r="J6343" s="1063"/>
      <c r="K6343" s="1063"/>
      <c r="L6343" s="1063"/>
    </row>
    <row r="6344" spans="5:12" x14ac:dyDescent="0.2">
      <c r="E6344" s="1063"/>
      <c r="H6344" s="1066"/>
      <c r="I6344" s="1063"/>
      <c r="J6344" s="1063"/>
      <c r="K6344" s="1063"/>
      <c r="L6344" s="1063"/>
    </row>
    <row r="6345" spans="5:12" x14ac:dyDescent="0.2">
      <c r="E6345" s="1063"/>
      <c r="H6345" s="1066"/>
      <c r="I6345" s="1063"/>
      <c r="J6345" s="1063"/>
      <c r="K6345" s="1063"/>
      <c r="L6345" s="1063"/>
    </row>
    <row r="6346" spans="5:12" x14ac:dyDescent="0.2">
      <c r="E6346" s="1063"/>
      <c r="H6346" s="1066"/>
      <c r="I6346" s="1063"/>
      <c r="J6346" s="1063"/>
      <c r="K6346" s="1063"/>
      <c r="L6346" s="1063"/>
    </row>
    <row r="6347" spans="5:12" x14ac:dyDescent="0.2">
      <c r="E6347" s="1063"/>
      <c r="H6347" s="1066"/>
      <c r="I6347" s="1063"/>
      <c r="J6347" s="1063"/>
      <c r="K6347" s="1063"/>
      <c r="L6347" s="1063"/>
    </row>
    <row r="6348" spans="5:12" x14ac:dyDescent="0.2">
      <c r="E6348" s="1063"/>
      <c r="H6348" s="1066"/>
      <c r="I6348" s="1063"/>
      <c r="J6348" s="1063"/>
      <c r="K6348" s="1063"/>
      <c r="L6348" s="1063"/>
    </row>
    <row r="6349" spans="5:12" x14ac:dyDescent="0.2">
      <c r="E6349" s="1063"/>
      <c r="H6349" s="1066"/>
      <c r="I6349" s="1063"/>
      <c r="J6349" s="1063"/>
      <c r="K6349" s="1063"/>
      <c r="L6349" s="1063"/>
    </row>
    <row r="6350" spans="5:12" x14ac:dyDescent="0.2">
      <c r="E6350" s="1063"/>
      <c r="H6350" s="1066"/>
      <c r="I6350" s="1063"/>
      <c r="J6350" s="1063"/>
      <c r="K6350" s="1063"/>
      <c r="L6350" s="1063"/>
    </row>
    <row r="6351" spans="5:12" x14ac:dyDescent="0.2">
      <c r="E6351" s="1063"/>
      <c r="H6351" s="1066"/>
      <c r="I6351" s="1063"/>
      <c r="J6351" s="1063"/>
      <c r="K6351" s="1063"/>
      <c r="L6351" s="1063"/>
    </row>
    <row r="6352" spans="5:12" x14ac:dyDescent="0.2">
      <c r="E6352" s="1063"/>
      <c r="H6352" s="1066"/>
      <c r="I6352" s="1063"/>
      <c r="J6352" s="1063"/>
      <c r="K6352" s="1063"/>
      <c r="L6352" s="1063"/>
    </row>
    <row r="6353" spans="5:12" x14ac:dyDescent="0.2">
      <c r="E6353" s="1063"/>
      <c r="H6353" s="1066"/>
      <c r="I6353" s="1063"/>
      <c r="J6353" s="1063"/>
      <c r="K6353" s="1063"/>
      <c r="L6353" s="1063"/>
    </row>
    <row r="6354" spans="5:12" x14ac:dyDescent="0.2">
      <c r="E6354" s="1063"/>
      <c r="H6354" s="1066"/>
      <c r="I6354" s="1063"/>
      <c r="J6354" s="1063"/>
      <c r="K6354" s="1063"/>
      <c r="L6354" s="1063"/>
    </row>
    <row r="6355" spans="5:12" x14ac:dyDescent="0.2">
      <c r="E6355" s="1063"/>
      <c r="H6355" s="1066"/>
      <c r="I6355" s="1063"/>
      <c r="J6355" s="1063"/>
      <c r="K6355" s="1063"/>
      <c r="L6355" s="1063"/>
    </row>
    <row r="6356" spans="5:12" x14ac:dyDescent="0.2">
      <c r="E6356" s="1063"/>
      <c r="H6356" s="1066"/>
      <c r="I6356" s="1063"/>
      <c r="J6356" s="1063"/>
      <c r="K6356" s="1063"/>
      <c r="L6356" s="1063"/>
    </row>
    <row r="6357" spans="5:12" x14ac:dyDescent="0.2">
      <c r="E6357" s="1063"/>
      <c r="H6357" s="1066"/>
      <c r="I6357" s="1063"/>
      <c r="J6357" s="1063"/>
      <c r="K6357" s="1063"/>
      <c r="L6357" s="1063"/>
    </row>
    <row r="6358" spans="5:12" x14ac:dyDescent="0.2">
      <c r="E6358" s="1063"/>
      <c r="H6358" s="1066"/>
      <c r="I6358" s="1063"/>
      <c r="J6358" s="1063"/>
      <c r="K6358" s="1063"/>
      <c r="L6358" s="1063"/>
    </row>
    <row r="6359" spans="5:12" x14ac:dyDescent="0.2">
      <c r="E6359" s="1063"/>
      <c r="H6359" s="1066"/>
      <c r="I6359" s="1063"/>
      <c r="J6359" s="1063"/>
      <c r="K6359" s="1063"/>
      <c r="L6359" s="1063"/>
    </row>
    <row r="6360" spans="5:12" x14ac:dyDescent="0.2">
      <c r="E6360" s="1063"/>
      <c r="H6360" s="1066"/>
      <c r="I6360" s="1063"/>
      <c r="J6360" s="1063"/>
      <c r="K6360" s="1063"/>
      <c r="L6360" s="1063"/>
    </row>
    <row r="6361" spans="5:12" x14ac:dyDescent="0.2">
      <c r="E6361" s="1063"/>
      <c r="H6361" s="1066"/>
      <c r="I6361" s="1063"/>
      <c r="J6361" s="1063"/>
      <c r="K6361" s="1063"/>
      <c r="L6361" s="1063"/>
    </row>
    <row r="6362" spans="5:12" x14ac:dyDescent="0.2">
      <c r="E6362" s="1063"/>
      <c r="H6362" s="1066"/>
      <c r="I6362" s="1063"/>
      <c r="J6362" s="1063"/>
      <c r="K6362" s="1063"/>
      <c r="L6362" s="1063"/>
    </row>
    <row r="6363" spans="5:12" x14ac:dyDescent="0.2">
      <c r="E6363" s="1063"/>
      <c r="H6363" s="1066"/>
      <c r="I6363" s="1063"/>
      <c r="J6363" s="1063"/>
      <c r="K6363" s="1063"/>
      <c r="L6363" s="1063"/>
    </row>
    <row r="6364" spans="5:12" x14ac:dyDescent="0.2">
      <c r="E6364" s="1063"/>
      <c r="H6364" s="1066"/>
      <c r="I6364" s="1063"/>
      <c r="J6364" s="1063"/>
      <c r="K6364" s="1063"/>
      <c r="L6364" s="1063"/>
    </row>
    <row r="6365" spans="5:12" x14ac:dyDescent="0.2">
      <c r="E6365" s="1063"/>
      <c r="H6365" s="1066"/>
      <c r="I6365" s="1063"/>
      <c r="J6365" s="1063"/>
      <c r="K6365" s="1063"/>
      <c r="L6365" s="1063"/>
    </row>
    <row r="6366" spans="5:12" x14ac:dyDescent="0.2">
      <c r="E6366" s="1063"/>
      <c r="H6366" s="1066"/>
      <c r="I6366" s="1063"/>
      <c r="J6366" s="1063"/>
      <c r="K6366" s="1063"/>
      <c r="L6366" s="1063"/>
    </row>
    <row r="6367" spans="5:12" x14ac:dyDescent="0.2">
      <c r="E6367" s="1063"/>
      <c r="H6367" s="1066"/>
      <c r="I6367" s="1063"/>
      <c r="J6367" s="1063"/>
      <c r="K6367" s="1063"/>
      <c r="L6367" s="1063"/>
    </row>
    <row r="6368" spans="5:12" x14ac:dyDescent="0.2">
      <c r="E6368" s="1063"/>
      <c r="H6368" s="1066"/>
      <c r="I6368" s="1063"/>
      <c r="J6368" s="1063"/>
      <c r="K6368" s="1063"/>
      <c r="L6368" s="1063"/>
    </row>
    <row r="6369" spans="5:12" x14ac:dyDescent="0.2">
      <c r="E6369" s="1063"/>
      <c r="H6369" s="1066"/>
      <c r="I6369" s="1063"/>
      <c r="J6369" s="1063"/>
      <c r="K6369" s="1063"/>
      <c r="L6369" s="1063"/>
    </row>
    <row r="6370" spans="5:12" x14ac:dyDescent="0.2">
      <c r="E6370" s="1063"/>
      <c r="H6370" s="1066"/>
      <c r="I6370" s="1063"/>
      <c r="J6370" s="1063"/>
      <c r="K6370" s="1063"/>
      <c r="L6370" s="1063"/>
    </row>
    <row r="6371" spans="5:12" x14ac:dyDescent="0.2">
      <c r="E6371" s="1063"/>
      <c r="H6371" s="1066"/>
      <c r="I6371" s="1063"/>
      <c r="J6371" s="1063"/>
      <c r="K6371" s="1063"/>
      <c r="L6371" s="1063"/>
    </row>
    <row r="6372" spans="5:12" x14ac:dyDescent="0.2">
      <c r="E6372" s="1063"/>
      <c r="H6372" s="1066"/>
      <c r="I6372" s="1063"/>
      <c r="J6372" s="1063"/>
      <c r="K6372" s="1063"/>
      <c r="L6372" s="1063"/>
    </row>
    <row r="6373" spans="5:12" x14ac:dyDescent="0.2">
      <c r="E6373" s="1063"/>
      <c r="H6373" s="1066"/>
      <c r="I6373" s="1063"/>
      <c r="J6373" s="1063"/>
      <c r="K6373" s="1063"/>
      <c r="L6373" s="1063"/>
    </row>
    <row r="6374" spans="5:12" x14ac:dyDescent="0.2">
      <c r="E6374" s="1063"/>
      <c r="H6374" s="1066"/>
      <c r="I6374" s="1063"/>
      <c r="J6374" s="1063"/>
      <c r="K6374" s="1063"/>
      <c r="L6374" s="1063"/>
    </row>
    <row r="6375" spans="5:12" x14ac:dyDescent="0.2">
      <c r="E6375" s="1063"/>
      <c r="H6375" s="1066"/>
      <c r="I6375" s="1063"/>
      <c r="J6375" s="1063"/>
      <c r="K6375" s="1063"/>
      <c r="L6375" s="1063"/>
    </row>
    <row r="6376" spans="5:12" x14ac:dyDescent="0.2">
      <c r="E6376" s="1063"/>
      <c r="H6376" s="1066"/>
      <c r="I6376" s="1063"/>
      <c r="J6376" s="1063"/>
      <c r="K6376" s="1063"/>
      <c r="L6376" s="1063"/>
    </row>
    <row r="6377" spans="5:12" x14ac:dyDescent="0.2">
      <c r="E6377" s="1063"/>
      <c r="H6377" s="1066"/>
      <c r="I6377" s="1063"/>
      <c r="J6377" s="1063"/>
      <c r="K6377" s="1063"/>
      <c r="L6377" s="1063"/>
    </row>
    <row r="6378" spans="5:12" x14ac:dyDescent="0.2">
      <c r="E6378" s="1063"/>
      <c r="H6378" s="1066"/>
      <c r="I6378" s="1063"/>
      <c r="J6378" s="1063"/>
      <c r="K6378" s="1063"/>
      <c r="L6378" s="1063"/>
    </row>
    <row r="6379" spans="5:12" x14ac:dyDescent="0.2">
      <c r="E6379" s="1063"/>
      <c r="H6379" s="1066"/>
      <c r="I6379" s="1063"/>
      <c r="J6379" s="1063"/>
      <c r="K6379" s="1063"/>
      <c r="L6379" s="1063"/>
    </row>
    <row r="6380" spans="5:12" x14ac:dyDescent="0.2">
      <c r="E6380" s="1063"/>
      <c r="H6380" s="1066"/>
      <c r="I6380" s="1063"/>
      <c r="J6380" s="1063"/>
      <c r="K6380" s="1063"/>
      <c r="L6380" s="1063"/>
    </row>
    <row r="6381" spans="5:12" x14ac:dyDescent="0.2">
      <c r="E6381" s="1063"/>
      <c r="H6381" s="1066"/>
      <c r="I6381" s="1063"/>
      <c r="J6381" s="1063"/>
      <c r="K6381" s="1063"/>
      <c r="L6381" s="1063"/>
    </row>
    <row r="6382" spans="5:12" x14ac:dyDescent="0.2">
      <c r="E6382" s="1063"/>
      <c r="H6382" s="1066"/>
      <c r="I6382" s="1063"/>
      <c r="J6382" s="1063"/>
      <c r="K6382" s="1063"/>
      <c r="L6382" s="1063"/>
    </row>
    <row r="6383" spans="5:12" x14ac:dyDescent="0.2">
      <c r="E6383" s="1063"/>
      <c r="H6383" s="1066"/>
      <c r="I6383" s="1063"/>
      <c r="J6383" s="1063"/>
      <c r="K6383" s="1063"/>
      <c r="L6383" s="1063"/>
    </row>
    <row r="6384" spans="5:12" x14ac:dyDescent="0.2">
      <c r="E6384" s="1063"/>
      <c r="H6384" s="1066"/>
      <c r="I6384" s="1063"/>
      <c r="J6384" s="1063"/>
      <c r="K6384" s="1063"/>
      <c r="L6384" s="1063"/>
    </row>
    <row r="6385" spans="5:12" x14ac:dyDescent="0.2">
      <c r="E6385" s="1063"/>
      <c r="H6385" s="1066"/>
      <c r="I6385" s="1063"/>
      <c r="J6385" s="1063"/>
      <c r="K6385" s="1063"/>
      <c r="L6385" s="1063"/>
    </row>
    <row r="6386" spans="5:12" x14ac:dyDescent="0.2">
      <c r="E6386" s="1063"/>
      <c r="H6386" s="1066"/>
      <c r="I6386" s="1063"/>
      <c r="J6386" s="1063"/>
      <c r="K6386" s="1063"/>
      <c r="L6386" s="1063"/>
    </row>
    <row r="6387" spans="5:12" x14ac:dyDescent="0.2">
      <c r="E6387" s="1063"/>
      <c r="H6387" s="1066"/>
      <c r="I6387" s="1063"/>
      <c r="J6387" s="1063"/>
      <c r="K6387" s="1063"/>
      <c r="L6387" s="1063"/>
    </row>
    <row r="6388" spans="5:12" x14ac:dyDescent="0.2">
      <c r="E6388" s="1063"/>
      <c r="H6388" s="1066"/>
      <c r="I6388" s="1063"/>
      <c r="J6388" s="1063"/>
      <c r="K6388" s="1063"/>
      <c r="L6388" s="1063"/>
    </row>
    <row r="6389" spans="5:12" x14ac:dyDescent="0.2">
      <c r="E6389" s="1063"/>
      <c r="H6389" s="1066"/>
      <c r="I6389" s="1063"/>
      <c r="J6389" s="1063"/>
      <c r="K6389" s="1063"/>
      <c r="L6389" s="1063"/>
    </row>
    <row r="6390" spans="5:12" x14ac:dyDescent="0.2">
      <c r="E6390" s="1063"/>
      <c r="H6390" s="1066"/>
      <c r="I6390" s="1063"/>
      <c r="J6390" s="1063"/>
      <c r="K6390" s="1063"/>
      <c r="L6390" s="1063"/>
    </row>
    <row r="6391" spans="5:12" x14ac:dyDescent="0.2">
      <c r="E6391" s="1063"/>
      <c r="H6391" s="1066"/>
      <c r="I6391" s="1063"/>
      <c r="J6391" s="1063"/>
      <c r="K6391" s="1063"/>
      <c r="L6391" s="1063"/>
    </row>
    <row r="6392" spans="5:12" x14ac:dyDescent="0.2">
      <c r="E6392" s="1063"/>
      <c r="H6392" s="1066"/>
      <c r="I6392" s="1063"/>
      <c r="J6392" s="1063"/>
      <c r="K6392" s="1063"/>
      <c r="L6392" s="1063"/>
    </row>
    <row r="6393" spans="5:12" x14ac:dyDescent="0.2">
      <c r="E6393" s="1063"/>
      <c r="H6393" s="1066"/>
      <c r="I6393" s="1063"/>
      <c r="J6393" s="1063"/>
      <c r="K6393" s="1063"/>
      <c r="L6393" s="1063"/>
    </row>
    <row r="6394" spans="5:12" x14ac:dyDescent="0.2">
      <c r="E6394" s="1063"/>
      <c r="H6394" s="1066"/>
      <c r="I6394" s="1063"/>
      <c r="J6394" s="1063"/>
      <c r="K6394" s="1063"/>
      <c r="L6394" s="1063"/>
    </row>
    <row r="6395" spans="5:12" x14ac:dyDescent="0.2">
      <c r="E6395" s="1063"/>
      <c r="H6395" s="1066"/>
      <c r="I6395" s="1063"/>
      <c r="J6395" s="1063"/>
      <c r="K6395" s="1063"/>
      <c r="L6395" s="1063"/>
    </row>
    <row r="6396" spans="5:12" x14ac:dyDescent="0.2">
      <c r="E6396" s="1063"/>
      <c r="H6396" s="1066"/>
      <c r="I6396" s="1063"/>
      <c r="J6396" s="1063"/>
      <c r="K6396" s="1063"/>
      <c r="L6396" s="1063"/>
    </row>
    <row r="6397" spans="5:12" x14ac:dyDescent="0.2">
      <c r="E6397" s="1063"/>
      <c r="H6397" s="1066"/>
      <c r="I6397" s="1063"/>
      <c r="J6397" s="1063"/>
      <c r="K6397" s="1063"/>
      <c r="L6397" s="1063"/>
    </row>
    <row r="6398" spans="5:12" x14ac:dyDescent="0.2">
      <c r="E6398" s="1063"/>
      <c r="H6398" s="1066"/>
      <c r="I6398" s="1063"/>
      <c r="J6398" s="1063"/>
      <c r="K6398" s="1063"/>
      <c r="L6398" s="1063"/>
    </row>
    <row r="6399" spans="5:12" x14ac:dyDescent="0.2">
      <c r="E6399" s="1063"/>
      <c r="H6399" s="1066"/>
      <c r="I6399" s="1063"/>
      <c r="J6399" s="1063"/>
      <c r="K6399" s="1063"/>
      <c r="L6399" s="1063"/>
    </row>
    <row r="6400" spans="5:12" x14ac:dyDescent="0.2">
      <c r="E6400" s="1063"/>
      <c r="H6400" s="1066"/>
      <c r="I6400" s="1063"/>
      <c r="J6400" s="1063"/>
      <c r="K6400" s="1063"/>
      <c r="L6400" s="1063"/>
    </row>
    <row r="6401" spans="5:12" x14ac:dyDescent="0.2">
      <c r="E6401" s="1063"/>
      <c r="H6401" s="1066"/>
      <c r="I6401" s="1063"/>
      <c r="J6401" s="1063"/>
      <c r="K6401" s="1063"/>
      <c r="L6401" s="1063"/>
    </row>
    <row r="6402" spans="5:12" x14ac:dyDescent="0.2">
      <c r="E6402" s="1063"/>
      <c r="H6402" s="1066"/>
      <c r="I6402" s="1063"/>
      <c r="J6402" s="1063"/>
      <c r="K6402" s="1063"/>
      <c r="L6402" s="1063"/>
    </row>
    <row r="6403" spans="5:12" x14ac:dyDescent="0.2">
      <c r="E6403" s="1063"/>
      <c r="H6403" s="1066"/>
      <c r="I6403" s="1063"/>
      <c r="J6403" s="1063"/>
      <c r="K6403" s="1063"/>
      <c r="L6403" s="1063"/>
    </row>
    <row r="6404" spans="5:12" x14ac:dyDescent="0.2">
      <c r="E6404" s="1063"/>
      <c r="H6404" s="1066"/>
      <c r="I6404" s="1063"/>
      <c r="J6404" s="1063"/>
      <c r="K6404" s="1063"/>
      <c r="L6404" s="1063"/>
    </row>
    <row r="6405" spans="5:12" x14ac:dyDescent="0.2">
      <c r="E6405" s="1063"/>
      <c r="H6405" s="1066"/>
      <c r="I6405" s="1063"/>
      <c r="J6405" s="1063"/>
      <c r="K6405" s="1063"/>
      <c r="L6405" s="1063"/>
    </row>
    <row r="6406" spans="5:12" x14ac:dyDescent="0.2">
      <c r="E6406" s="1063"/>
      <c r="H6406" s="1066"/>
      <c r="I6406" s="1063"/>
      <c r="J6406" s="1063"/>
      <c r="K6406" s="1063"/>
      <c r="L6406" s="1063"/>
    </row>
    <row r="6407" spans="5:12" x14ac:dyDescent="0.2">
      <c r="E6407" s="1063"/>
      <c r="H6407" s="1066"/>
      <c r="I6407" s="1063"/>
      <c r="J6407" s="1063"/>
      <c r="K6407" s="1063"/>
      <c r="L6407" s="1063"/>
    </row>
    <row r="6408" spans="5:12" x14ac:dyDescent="0.2">
      <c r="E6408" s="1063"/>
      <c r="H6408" s="1066"/>
      <c r="I6408" s="1063"/>
      <c r="J6408" s="1063"/>
      <c r="K6408" s="1063"/>
      <c r="L6408" s="1063"/>
    </row>
    <row r="6409" spans="5:12" x14ac:dyDescent="0.2">
      <c r="E6409" s="1063"/>
      <c r="H6409" s="1066"/>
      <c r="I6409" s="1063"/>
      <c r="J6409" s="1063"/>
      <c r="K6409" s="1063"/>
      <c r="L6409" s="1063"/>
    </row>
    <row r="6410" spans="5:12" x14ac:dyDescent="0.2">
      <c r="E6410" s="1063"/>
      <c r="H6410" s="1066"/>
      <c r="I6410" s="1063"/>
      <c r="J6410" s="1063"/>
      <c r="K6410" s="1063"/>
      <c r="L6410" s="1063"/>
    </row>
    <row r="6411" spans="5:12" x14ac:dyDescent="0.2">
      <c r="E6411" s="1063"/>
      <c r="H6411" s="1066"/>
      <c r="I6411" s="1063"/>
      <c r="J6411" s="1063"/>
      <c r="K6411" s="1063"/>
      <c r="L6411" s="1063"/>
    </row>
    <row r="6412" spans="5:12" x14ac:dyDescent="0.2">
      <c r="E6412" s="1063"/>
      <c r="H6412" s="1066"/>
      <c r="I6412" s="1063"/>
      <c r="J6412" s="1063"/>
      <c r="K6412" s="1063"/>
      <c r="L6412" s="1063"/>
    </row>
    <row r="6413" spans="5:12" x14ac:dyDescent="0.2">
      <c r="E6413" s="1063"/>
      <c r="H6413" s="1066"/>
      <c r="I6413" s="1063"/>
      <c r="J6413" s="1063"/>
      <c r="K6413" s="1063"/>
      <c r="L6413" s="1063"/>
    </row>
    <row r="6414" spans="5:12" x14ac:dyDescent="0.2">
      <c r="E6414" s="1063"/>
      <c r="H6414" s="1066"/>
      <c r="I6414" s="1063"/>
      <c r="J6414" s="1063"/>
      <c r="K6414" s="1063"/>
      <c r="L6414" s="1063"/>
    </row>
    <row r="6415" spans="5:12" x14ac:dyDescent="0.2">
      <c r="E6415" s="1063"/>
      <c r="H6415" s="1066"/>
      <c r="I6415" s="1063"/>
      <c r="J6415" s="1063"/>
      <c r="K6415" s="1063"/>
      <c r="L6415" s="1063"/>
    </row>
    <row r="6416" spans="5:12" x14ac:dyDescent="0.2">
      <c r="E6416" s="1063"/>
      <c r="H6416" s="1066"/>
      <c r="I6416" s="1063"/>
      <c r="J6416" s="1063"/>
      <c r="K6416" s="1063"/>
      <c r="L6416" s="1063"/>
    </row>
    <row r="6417" spans="5:12" x14ac:dyDescent="0.2">
      <c r="E6417" s="1063"/>
      <c r="H6417" s="1066"/>
      <c r="I6417" s="1063"/>
      <c r="J6417" s="1063"/>
      <c r="K6417" s="1063"/>
      <c r="L6417" s="1063"/>
    </row>
    <row r="6418" spans="5:12" x14ac:dyDescent="0.2">
      <c r="E6418" s="1063"/>
      <c r="H6418" s="1066"/>
      <c r="I6418" s="1063"/>
      <c r="J6418" s="1063"/>
      <c r="K6418" s="1063"/>
      <c r="L6418" s="1063"/>
    </row>
    <row r="6419" spans="5:12" x14ac:dyDescent="0.2">
      <c r="E6419" s="1063"/>
      <c r="H6419" s="1066"/>
      <c r="I6419" s="1063"/>
      <c r="J6419" s="1063"/>
      <c r="K6419" s="1063"/>
      <c r="L6419" s="1063"/>
    </row>
    <row r="6420" spans="5:12" x14ac:dyDescent="0.2">
      <c r="E6420" s="1063"/>
      <c r="H6420" s="1066"/>
      <c r="I6420" s="1063"/>
      <c r="J6420" s="1063"/>
      <c r="K6420" s="1063"/>
      <c r="L6420" s="1063"/>
    </row>
    <row r="6421" spans="5:12" x14ac:dyDescent="0.2">
      <c r="E6421" s="1063"/>
      <c r="H6421" s="1066"/>
      <c r="I6421" s="1063"/>
      <c r="J6421" s="1063"/>
      <c r="K6421" s="1063"/>
      <c r="L6421" s="1063"/>
    </row>
    <row r="6422" spans="5:12" x14ac:dyDescent="0.2">
      <c r="E6422" s="1063"/>
      <c r="H6422" s="1066"/>
      <c r="I6422" s="1063"/>
      <c r="J6422" s="1063"/>
      <c r="K6422" s="1063"/>
      <c r="L6422" s="1063"/>
    </row>
    <row r="6423" spans="5:12" x14ac:dyDescent="0.2">
      <c r="E6423" s="1063"/>
      <c r="H6423" s="1066"/>
      <c r="I6423" s="1063"/>
      <c r="J6423" s="1063"/>
      <c r="K6423" s="1063"/>
      <c r="L6423" s="1063"/>
    </row>
    <row r="6424" spans="5:12" x14ac:dyDescent="0.2">
      <c r="E6424" s="1063"/>
      <c r="H6424" s="1066"/>
      <c r="I6424" s="1063"/>
      <c r="J6424" s="1063"/>
      <c r="K6424" s="1063"/>
      <c r="L6424" s="1063"/>
    </row>
    <row r="6425" spans="5:12" x14ac:dyDescent="0.2">
      <c r="E6425" s="1063"/>
      <c r="H6425" s="1066"/>
      <c r="I6425" s="1063"/>
      <c r="J6425" s="1063"/>
      <c r="K6425" s="1063"/>
      <c r="L6425" s="1063"/>
    </row>
    <row r="6426" spans="5:12" x14ac:dyDescent="0.2">
      <c r="E6426" s="1063"/>
      <c r="H6426" s="1066"/>
      <c r="I6426" s="1063"/>
      <c r="J6426" s="1063"/>
      <c r="K6426" s="1063"/>
      <c r="L6426" s="1063"/>
    </row>
    <row r="6427" spans="5:12" x14ac:dyDescent="0.2">
      <c r="E6427" s="1063"/>
      <c r="H6427" s="1066"/>
      <c r="I6427" s="1063"/>
      <c r="J6427" s="1063"/>
      <c r="K6427" s="1063"/>
      <c r="L6427" s="1063"/>
    </row>
    <row r="6428" spans="5:12" x14ac:dyDescent="0.2">
      <c r="E6428" s="1063"/>
      <c r="H6428" s="1066"/>
      <c r="I6428" s="1063"/>
      <c r="J6428" s="1063"/>
      <c r="K6428" s="1063"/>
      <c r="L6428" s="1063"/>
    </row>
    <row r="6429" spans="5:12" x14ac:dyDescent="0.2">
      <c r="E6429" s="1063"/>
      <c r="H6429" s="1066"/>
      <c r="I6429" s="1063"/>
      <c r="J6429" s="1063"/>
      <c r="K6429" s="1063"/>
      <c r="L6429" s="1063"/>
    </row>
    <row r="6430" spans="5:12" x14ac:dyDescent="0.2">
      <c r="E6430" s="1063"/>
      <c r="H6430" s="1066"/>
      <c r="I6430" s="1063"/>
      <c r="J6430" s="1063"/>
      <c r="K6430" s="1063"/>
      <c r="L6430" s="1063"/>
    </row>
    <row r="6431" spans="5:12" x14ac:dyDescent="0.2">
      <c r="E6431" s="1063"/>
      <c r="H6431" s="1066"/>
      <c r="I6431" s="1063"/>
      <c r="J6431" s="1063"/>
      <c r="K6431" s="1063"/>
      <c r="L6431" s="1063"/>
    </row>
    <row r="6432" spans="5:12" x14ac:dyDescent="0.2">
      <c r="E6432" s="1063"/>
      <c r="H6432" s="1066"/>
      <c r="I6432" s="1063"/>
      <c r="J6432" s="1063"/>
      <c r="K6432" s="1063"/>
      <c r="L6432" s="1063"/>
    </row>
    <row r="6433" spans="5:12" x14ac:dyDescent="0.2">
      <c r="E6433" s="1063"/>
      <c r="H6433" s="1066"/>
      <c r="I6433" s="1063"/>
      <c r="J6433" s="1063"/>
      <c r="K6433" s="1063"/>
      <c r="L6433" s="1063"/>
    </row>
    <row r="6434" spans="5:12" x14ac:dyDescent="0.2">
      <c r="E6434" s="1063"/>
      <c r="H6434" s="1066"/>
      <c r="I6434" s="1063"/>
      <c r="J6434" s="1063"/>
      <c r="K6434" s="1063"/>
      <c r="L6434" s="1063"/>
    </row>
    <row r="6435" spans="5:12" x14ac:dyDescent="0.2">
      <c r="E6435" s="1063"/>
      <c r="H6435" s="1066"/>
      <c r="I6435" s="1063"/>
      <c r="J6435" s="1063"/>
      <c r="K6435" s="1063"/>
      <c r="L6435" s="1063"/>
    </row>
    <row r="6436" spans="5:12" x14ac:dyDescent="0.2">
      <c r="E6436" s="1063"/>
      <c r="H6436" s="1066"/>
      <c r="I6436" s="1063"/>
      <c r="J6436" s="1063"/>
      <c r="K6436" s="1063"/>
      <c r="L6436" s="1063"/>
    </row>
    <row r="6437" spans="5:12" x14ac:dyDescent="0.2">
      <c r="E6437" s="1063"/>
      <c r="H6437" s="1066"/>
      <c r="I6437" s="1063"/>
      <c r="J6437" s="1063"/>
      <c r="K6437" s="1063"/>
      <c r="L6437" s="1063"/>
    </row>
    <row r="6438" spans="5:12" x14ac:dyDescent="0.2">
      <c r="E6438" s="1063"/>
      <c r="H6438" s="1066"/>
      <c r="I6438" s="1063"/>
      <c r="J6438" s="1063"/>
      <c r="K6438" s="1063"/>
      <c r="L6438" s="1063"/>
    </row>
    <row r="6439" spans="5:12" x14ac:dyDescent="0.2">
      <c r="E6439" s="1063"/>
      <c r="H6439" s="1066"/>
      <c r="I6439" s="1063"/>
      <c r="J6439" s="1063"/>
      <c r="K6439" s="1063"/>
      <c r="L6439" s="1063"/>
    </row>
    <row r="6440" spans="5:12" x14ac:dyDescent="0.2">
      <c r="E6440" s="1063"/>
      <c r="H6440" s="1066"/>
      <c r="I6440" s="1063"/>
      <c r="J6440" s="1063"/>
      <c r="K6440" s="1063"/>
      <c r="L6440" s="1063"/>
    </row>
    <row r="6441" spans="5:12" x14ac:dyDescent="0.2">
      <c r="E6441" s="1063"/>
      <c r="H6441" s="1066"/>
      <c r="I6441" s="1063"/>
      <c r="J6441" s="1063"/>
      <c r="K6441" s="1063"/>
      <c r="L6441" s="1063"/>
    </row>
    <row r="6442" spans="5:12" x14ac:dyDescent="0.2">
      <c r="E6442" s="1063"/>
      <c r="H6442" s="1066"/>
      <c r="I6442" s="1063"/>
      <c r="J6442" s="1063"/>
      <c r="K6442" s="1063"/>
      <c r="L6442" s="1063"/>
    </row>
    <row r="6443" spans="5:12" x14ac:dyDescent="0.2">
      <c r="E6443" s="1063"/>
      <c r="H6443" s="1066"/>
      <c r="I6443" s="1063"/>
      <c r="J6443" s="1063"/>
      <c r="K6443" s="1063"/>
      <c r="L6443" s="1063"/>
    </row>
    <row r="6444" spans="5:12" x14ac:dyDescent="0.2">
      <c r="E6444" s="1063"/>
      <c r="H6444" s="1066"/>
      <c r="I6444" s="1063"/>
      <c r="J6444" s="1063"/>
      <c r="K6444" s="1063"/>
      <c r="L6444" s="1063"/>
    </row>
    <row r="6445" spans="5:12" x14ac:dyDescent="0.2">
      <c r="E6445" s="1063"/>
      <c r="H6445" s="1066"/>
      <c r="I6445" s="1063"/>
      <c r="J6445" s="1063"/>
      <c r="K6445" s="1063"/>
      <c r="L6445" s="1063"/>
    </row>
    <row r="6446" spans="5:12" x14ac:dyDescent="0.2">
      <c r="E6446" s="1063"/>
      <c r="H6446" s="1066"/>
      <c r="I6446" s="1063"/>
      <c r="J6446" s="1063"/>
      <c r="K6446" s="1063"/>
      <c r="L6446" s="1063"/>
    </row>
    <row r="6447" spans="5:12" x14ac:dyDescent="0.2">
      <c r="E6447" s="1063"/>
      <c r="H6447" s="1066"/>
      <c r="I6447" s="1063"/>
      <c r="J6447" s="1063"/>
      <c r="K6447" s="1063"/>
      <c r="L6447" s="1063"/>
    </row>
    <row r="6448" spans="5:12" x14ac:dyDescent="0.2">
      <c r="E6448" s="1063"/>
      <c r="H6448" s="1066"/>
      <c r="I6448" s="1063"/>
      <c r="J6448" s="1063"/>
      <c r="K6448" s="1063"/>
      <c r="L6448" s="1063"/>
    </row>
    <row r="6449" spans="5:12" x14ac:dyDescent="0.2">
      <c r="E6449" s="1063"/>
      <c r="H6449" s="1066"/>
      <c r="I6449" s="1063"/>
      <c r="J6449" s="1063"/>
      <c r="K6449" s="1063"/>
      <c r="L6449" s="1063"/>
    </row>
    <row r="6450" spans="5:12" x14ac:dyDescent="0.2">
      <c r="E6450" s="1063"/>
      <c r="H6450" s="1066"/>
      <c r="I6450" s="1063"/>
      <c r="J6450" s="1063"/>
      <c r="K6450" s="1063"/>
      <c r="L6450" s="1063"/>
    </row>
    <row r="6451" spans="5:12" x14ac:dyDescent="0.2">
      <c r="E6451" s="1063"/>
      <c r="H6451" s="1066"/>
      <c r="I6451" s="1063"/>
      <c r="J6451" s="1063"/>
      <c r="K6451" s="1063"/>
      <c r="L6451" s="1063"/>
    </row>
    <row r="6452" spans="5:12" x14ac:dyDescent="0.2">
      <c r="E6452" s="1063"/>
      <c r="H6452" s="1066"/>
      <c r="I6452" s="1063"/>
      <c r="J6452" s="1063"/>
      <c r="K6452" s="1063"/>
      <c r="L6452" s="1063"/>
    </row>
    <row r="6453" spans="5:12" x14ac:dyDescent="0.2">
      <c r="E6453" s="1063"/>
      <c r="H6453" s="1066"/>
      <c r="I6453" s="1063"/>
      <c r="J6453" s="1063"/>
      <c r="K6453" s="1063"/>
      <c r="L6453" s="1063"/>
    </row>
    <row r="6454" spans="5:12" x14ac:dyDescent="0.2">
      <c r="E6454" s="1063"/>
      <c r="H6454" s="1066"/>
      <c r="I6454" s="1063"/>
      <c r="J6454" s="1063"/>
      <c r="K6454" s="1063"/>
      <c r="L6454" s="1063"/>
    </row>
    <row r="6455" spans="5:12" x14ac:dyDescent="0.2">
      <c r="E6455" s="1063"/>
      <c r="H6455" s="1066"/>
      <c r="I6455" s="1063"/>
      <c r="J6455" s="1063"/>
      <c r="K6455" s="1063"/>
      <c r="L6455" s="1063"/>
    </row>
    <row r="6456" spans="5:12" x14ac:dyDescent="0.2">
      <c r="E6456" s="1063"/>
      <c r="H6456" s="1066"/>
      <c r="I6456" s="1063"/>
      <c r="J6456" s="1063"/>
      <c r="K6456" s="1063"/>
      <c r="L6456" s="1063"/>
    </row>
    <row r="6457" spans="5:12" x14ac:dyDescent="0.2">
      <c r="E6457" s="1063"/>
      <c r="H6457" s="1066"/>
      <c r="I6457" s="1063"/>
      <c r="J6457" s="1063"/>
      <c r="K6457" s="1063"/>
      <c r="L6457" s="1063"/>
    </row>
    <row r="6458" spans="5:12" x14ac:dyDescent="0.2">
      <c r="E6458" s="1063"/>
      <c r="H6458" s="1066"/>
      <c r="I6458" s="1063"/>
      <c r="J6458" s="1063"/>
      <c r="K6458" s="1063"/>
      <c r="L6458" s="1063"/>
    </row>
    <row r="6459" spans="5:12" x14ac:dyDescent="0.2">
      <c r="E6459" s="1063"/>
      <c r="H6459" s="1066"/>
      <c r="I6459" s="1063"/>
      <c r="J6459" s="1063"/>
      <c r="K6459" s="1063"/>
      <c r="L6459" s="1063"/>
    </row>
    <row r="6460" spans="5:12" x14ac:dyDescent="0.2">
      <c r="E6460" s="1063"/>
      <c r="H6460" s="1066"/>
      <c r="I6460" s="1063"/>
      <c r="J6460" s="1063"/>
      <c r="K6460" s="1063"/>
      <c r="L6460" s="1063"/>
    </row>
    <row r="6461" spans="5:12" x14ac:dyDescent="0.2">
      <c r="E6461" s="1063"/>
      <c r="H6461" s="1066"/>
      <c r="I6461" s="1063"/>
      <c r="J6461" s="1063"/>
      <c r="K6461" s="1063"/>
      <c r="L6461" s="1063"/>
    </row>
    <row r="6462" spans="5:12" x14ac:dyDescent="0.2">
      <c r="E6462" s="1063"/>
      <c r="H6462" s="1066"/>
      <c r="I6462" s="1063"/>
      <c r="J6462" s="1063"/>
      <c r="K6462" s="1063"/>
      <c r="L6462" s="1063"/>
    </row>
    <row r="6463" spans="5:12" x14ac:dyDescent="0.2">
      <c r="E6463" s="1063"/>
      <c r="H6463" s="1066"/>
      <c r="I6463" s="1063"/>
      <c r="J6463" s="1063"/>
      <c r="K6463" s="1063"/>
      <c r="L6463" s="1063"/>
    </row>
    <row r="6464" spans="5:12" x14ac:dyDescent="0.2">
      <c r="E6464" s="1063"/>
      <c r="H6464" s="1066"/>
      <c r="I6464" s="1063"/>
      <c r="J6464" s="1063"/>
      <c r="K6464" s="1063"/>
      <c r="L6464" s="1063"/>
    </row>
    <row r="6465" spans="5:12" x14ac:dyDescent="0.2">
      <c r="E6465" s="1063"/>
      <c r="H6465" s="1066"/>
      <c r="I6465" s="1063"/>
      <c r="J6465" s="1063"/>
      <c r="K6465" s="1063"/>
      <c r="L6465" s="1063"/>
    </row>
    <row r="6466" spans="5:12" x14ac:dyDescent="0.2">
      <c r="E6466" s="1063"/>
      <c r="H6466" s="1066"/>
      <c r="I6466" s="1063"/>
      <c r="J6466" s="1063"/>
      <c r="K6466" s="1063"/>
      <c r="L6466" s="1063"/>
    </row>
    <row r="6467" spans="5:12" x14ac:dyDescent="0.2">
      <c r="E6467" s="1063"/>
      <c r="H6467" s="1066"/>
      <c r="I6467" s="1063"/>
      <c r="J6467" s="1063"/>
      <c r="K6467" s="1063"/>
      <c r="L6467" s="1063"/>
    </row>
    <row r="6468" spans="5:12" x14ac:dyDescent="0.2">
      <c r="E6468" s="1063"/>
      <c r="H6468" s="1066"/>
      <c r="I6468" s="1063"/>
      <c r="J6468" s="1063"/>
      <c r="K6468" s="1063"/>
      <c r="L6468" s="1063"/>
    </row>
    <row r="6469" spans="5:12" x14ac:dyDescent="0.2">
      <c r="E6469" s="1063"/>
      <c r="H6469" s="1066"/>
      <c r="I6469" s="1063"/>
      <c r="J6469" s="1063"/>
      <c r="K6469" s="1063"/>
      <c r="L6469" s="1063"/>
    </row>
    <row r="6470" spans="5:12" x14ac:dyDescent="0.2">
      <c r="E6470" s="1063"/>
      <c r="H6470" s="1066"/>
      <c r="I6470" s="1063"/>
      <c r="J6470" s="1063"/>
      <c r="K6470" s="1063"/>
      <c r="L6470" s="1063"/>
    </row>
    <row r="6471" spans="5:12" x14ac:dyDescent="0.2">
      <c r="E6471" s="1063"/>
      <c r="H6471" s="1066"/>
      <c r="I6471" s="1063"/>
      <c r="J6471" s="1063"/>
      <c r="K6471" s="1063"/>
      <c r="L6471" s="1063"/>
    </row>
    <row r="6472" spans="5:12" x14ac:dyDescent="0.2">
      <c r="E6472" s="1063"/>
      <c r="H6472" s="1066"/>
      <c r="I6472" s="1063"/>
      <c r="J6472" s="1063"/>
      <c r="K6472" s="1063"/>
      <c r="L6472" s="1063"/>
    </row>
    <row r="6473" spans="5:12" x14ac:dyDescent="0.2">
      <c r="E6473" s="1063"/>
      <c r="H6473" s="1066"/>
      <c r="I6473" s="1063"/>
      <c r="J6473" s="1063"/>
      <c r="K6473" s="1063"/>
      <c r="L6473" s="1063"/>
    </row>
    <row r="6474" spans="5:12" x14ac:dyDescent="0.2">
      <c r="E6474" s="1063"/>
      <c r="H6474" s="1066"/>
      <c r="I6474" s="1063"/>
      <c r="J6474" s="1063"/>
      <c r="K6474" s="1063"/>
      <c r="L6474" s="1063"/>
    </row>
    <row r="6475" spans="5:12" x14ac:dyDescent="0.2">
      <c r="E6475" s="1063"/>
      <c r="H6475" s="1066"/>
      <c r="I6475" s="1063"/>
      <c r="J6475" s="1063"/>
      <c r="K6475" s="1063"/>
      <c r="L6475" s="1063"/>
    </row>
    <row r="6476" spans="5:12" x14ac:dyDescent="0.2">
      <c r="E6476" s="1063"/>
      <c r="H6476" s="1066"/>
      <c r="I6476" s="1063"/>
      <c r="J6476" s="1063"/>
      <c r="K6476" s="1063"/>
      <c r="L6476" s="1063"/>
    </row>
    <row r="6477" spans="5:12" x14ac:dyDescent="0.2">
      <c r="E6477" s="1063"/>
      <c r="H6477" s="1066"/>
      <c r="I6477" s="1063"/>
      <c r="J6477" s="1063"/>
      <c r="K6477" s="1063"/>
      <c r="L6477" s="1063"/>
    </row>
    <row r="6478" spans="5:12" x14ac:dyDescent="0.2">
      <c r="E6478" s="1063"/>
      <c r="H6478" s="1066"/>
      <c r="I6478" s="1063"/>
      <c r="J6478" s="1063"/>
      <c r="K6478" s="1063"/>
      <c r="L6478" s="1063"/>
    </row>
    <row r="6479" spans="5:12" x14ac:dyDescent="0.2">
      <c r="E6479" s="1063"/>
      <c r="H6479" s="1066"/>
      <c r="I6479" s="1063"/>
      <c r="J6479" s="1063"/>
      <c r="K6479" s="1063"/>
      <c r="L6479" s="1063"/>
    </row>
    <row r="6480" spans="5:12" x14ac:dyDescent="0.2">
      <c r="E6480" s="1063"/>
      <c r="H6480" s="1066"/>
      <c r="I6480" s="1063"/>
      <c r="J6480" s="1063"/>
      <c r="K6480" s="1063"/>
      <c r="L6480" s="1063"/>
    </row>
    <row r="6481" spans="5:12" x14ac:dyDescent="0.2">
      <c r="E6481" s="1063"/>
      <c r="H6481" s="1066"/>
      <c r="I6481" s="1063"/>
      <c r="J6481" s="1063"/>
      <c r="K6481" s="1063"/>
      <c r="L6481" s="1063"/>
    </row>
    <row r="6482" spans="5:12" x14ac:dyDescent="0.2">
      <c r="E6482" s="1063"/>
      <c r="H6482" s="1066"/>
      <c r="I6482" s="1063"/>
      <c r="J6482" s="1063"/>
      <c r="K6482" s="1063"/>
      <c r="L6482" s="1063"/>
    </row>
    <row r="6483" spans="5:12" x14ac:dyDescent="0.2">
      <c r="E6483" s="1063"/>
      <c r="H6483" s="1066"/>
      <c r="I6483" s="1063"/>
      <c r="J6483" s="1063"/>
      <c r="K6483" s="1063"/>
      <c r="L6483" s="1063"/>
    </row>
    <row r="6484" spans="5:12" x14ac:dyDescent="0.2">
      <c r="E6484" s="1063"/>
      <c r="H6484" s="1066"/>
      <c r="I6484" s="1063"/>
      <c r="J6484" s="1063"/>
      <c r="K6484" s="1063"/>
      <c r="L6484" s="1063"/>
    </row>
    <row r="6485" spans="5:12" x14ac:dyDescent="0.2">
      <c r="E6485" s="1063"/>
      <c r="H6485" s="1066"/>
      <c r="I6485" s="1063"/>
      <c r="J6485" s="1063"/>
      <c r="K6485" s="1063"/>
      <c r="L6485" s="1063"/>
    </row>
    <row r="6486" spans="5:12" x14ac:dyDescent="0.2">
      <c r="E6486" s="1063"/>
      <c r="H6486" s="1066"/>
      <c r="I6486" s="1063"/>
      <c r="J6486" s="1063"/>
      <c r="K6486" s="1063"/>
      <c r="L6486" s="1063"/>
    </row>
    <row r="6487" spans="5:12" x14ac:dyDescent="0.2">
      <c r="E6487" s="1063"/>
      <c r="H6487" s="1066"/>
      <c r="I6487" s="1063"/>
      <c r="J6487" s="1063"/>
      <c r="K6487" s="1063"/>
      <c r="L6487" s="1063"/>
    </row>
    <row r="6488" spans="5:12" x14ac:dyDescent="0.2">
      <c r="E6488" s="1063"/>
      <c r="H6488" s="1066"/>
      <c r="I6488" s="1063"/>
      <c r="J6488" s="1063"/>
      <c r="K6488" s="1063"/>
      <c r="L6488" s="1063"/>
    </row>
    <row r="6489" spans="5:12" x14ac:dyDescent="0.2">
      <c r="E6489" s="1063"/>
      <c r="H6489" s="1066"/>
      <c r="I6489" s="1063"/>
      <c r="J6489" s="1063"/>
      <c r="K6489" s="1063"/>
      <c r="L6489" s="1063"/>
    </row>
    <row r="6490" spans="5:12" x14ac:dyDescent="0.2">
      <c r="E6490" s="1063"/>
      <c r="H6490" s="1066"/>
      <c r="I6490" s="1063"/>
      <c r="J6490" s="1063"/>
      <c r="K6490" s="1063"/>
      <c r="L6490" s="1063"/>
    </row>
    <row r="6491" spans="5:12" x14ac:dyDescent="0.2">
      <c r="E6491" s="1063"/>
      <c r="H6491" s="1066"/>
      <c r="I6491" s="1063"/>
      <c r="J6491" s="1063"/>
      <c r="K6491" s="1063"/>
      <c r="L6491" s="1063"/>
    </row>
    <row r="6492" spans="5:12" x14ac:dyDescent="0.2">
      <c r="E6492" s="1063"/>
      <c r="H6492" s="1066"/>
      <c r="I6492" s="1063"/>
      <c r="J6492" s="1063"/>
      <c r="K6492" s="1063"/>
      <c r="L6492" s="1063"/>
    </row>
    <row r="6493" spans="5:12" x14ac:dyDescent="0.2">
      <c r="E6493" s="1063"/>
      <c r="H6493" s="1066"/>
      <c r="I6493" s="1063"/>
      <c r="J6493" s="1063"/>
      <c r="K6493" s="1063"/>
      <c r="L6493" s="1063"/>
    </row>
    <row r="6494" spans="5:12" x14ac:dyDescent="0.2">
      <c r="E6494" s="1063"/>
      <c r="H6494" s="1066"/>
      <c r="I6494" s="1063"/>
      <c r="J6494" s="1063"/>
      <c r="K6494" s="1063"/>
      <c r="L6494" s="1063"/>
    </row>
    <row r="6495" spans="5:12" x14ac:dyDescent="0.2">
      <c r="E6495" s="1063"/>
      <c r="H6495" s="1066"/>
      <c r="I6495" s="1063"/>
      <c r="J6495" s="1063"/>
      <c r="K6495" s="1063"/>
      <c r="L6495" s="1063"/>
    </row>
    <row r="6496" spans="5:12" x14ac:dyDescent="0.2">
      <c r="E6496" s="1063"/>
      <c r="H6496" s="1066"/>
      <c r="I6496" s="1063"/>
      <c r="J6496" s="1063"/>
      <c r="K6496" s="1063"/>
      <c r="L6496" s="1063"/>
    </row>
    <row r="6497" spans="5:12" x14ac:dyDescent="0.2">
      <c r="E6497" s="1063"/>
      <c r="H6497" s="1066"/>
      <c r="I6497" s="1063"/>
      <c r="J6497" s="1063"/>
      <c r="K6497" s="1063"/>
      <c r="L6497" s="1063"/>
    </row>
    <row r="6498" spans="5:12" x14ac:dyDescent="0.2">
      <c r="E6498" s="1063"/>
      <c r="H6498" s="1066"/>
      <c r="I6498" s="1063"/>
      <c r="J6498" s="1063"/>
      <c r="K6498" s="1063"/>
      <c r="L6498" s="1063"/>
    </row>
    <row r="6499" spans="5:12" x14ac:dyDescent="0.2">
      <c r="E6499" s="1063"/>
      <c r="H6499" s="1066"/>
      <c r="I6499" s="1063"/>
      <c r="J6499" s="1063"/>
      <c r="K6499" s="1063"/>
      <c r="L6499" s="1063"/>
    </row>
    <row r="6500" spans="5:12" x14ac:dyDescent="0.2">
      <c r="E6500" s="1063"/>
      <c r="H6500" s="1066"/>
      <c r="I6500" s="1063"/>
      <c r="J6500" s="1063"/>
      <c r="K6500" s="1063"/>
      <c r="L6500" s="1063"/>
    </row>
    <row r="6501" spans="5:12" x14ac:dyDescent="0.2">
      <c r="E6501" s="1063"/>
      <c r="H6501" s="1066"/>
      <c r="I6501" s="1063"/>
      <c r="J6501" s="1063"/>
      <c r="K6501" s="1063"/>
      <c r="L6501" s="1063"/>
    </row>
    <row r="6502" spans="5:12" x14ac:dyDescent="0.2">
      <c r="E6502" s="1063"/>
      <c r="H6502" s="1066"/>
      <c r="I6502" s="1063"/>
      <c r="J6502" s="1063"/>
      <c r="K6502" s="1063"/>
      <c r="L6502" s="1063"/>
    </row>
    <row r="6503" spans="5:12" x14ac:dyDescent="0.2">
      <c r="E6503" s="1063"/>
      <c r="H6503" s="1066"/>
      <c r="I6503" s="1063"/>
      <c r="J6503" s="1063"/>
      <c r="K6503" s="1063"/>
      <c r="L6503" s="1063"/>
    </row>
    <row r="6504" spans="5:12" x14ac:dyDescent="0.2">
      <c r="E6504" s="1063"/>
      <c r="H6504" s="1066"/>
      <c r="I6504" s="1063"/>
      <c r="J6504" s="1063"/>
      <c r="K6504" s="1063"/>
      <c r="L6504" s="1063"/>
    </row>
    <row r="6505" spans="5:12" x14ac:dyDescent="0.2">
      <c r="E6505" s="1063"/>
      <c r="H6505" s="1066"/>
      <c r="I6505" s="1063"/>
      <c r="J6505" s="1063"/>
      <c r="K6505" s="1063"/>
      <c r="L6505" s="1063"/>
    </row>
    <row r="6506" spans="5:12" x14ac:dyDescent="0.2">
      <c r="E6506" s="1063"/>
      <c r="H6506" s="1066"/>
      <c r="I6506" s="1063"/>
      <c r="J6506" s="1063"/>
      <c r="K6506" s="1063"/>
      <c r="L6506" s="1063"/>
    </row>
    <row r="6507" spans="5:12" x14ac:dyDescent="0.2">
      <c r="E6507" s="1063"/>
      <c r="H6507" s="1066"/>
      <c r="I6507" s="1063"/>
      <c r="J6507" s="1063"/>
      <c r="K6507" s="1063"/>
      <c r="L6507" s="1063"/>
    </row>
    <row r="6508" spans="5:12" x14ac:dyDescent="0.2">
      <c r="E6508" s="1063"/>
      <c r="H6508" s="1066"/>
      <c r="I6508" s="1063"/>
      <c r="J6508" s="1063"/>
      <c r="K6508" s="1063"/>
      <c r="L6508" s="1063"/>
    </row>
    <row r="6509" spans="5:12" x14ac:dyDescent="0.2">
      <c r="E6509" s="1063"/>
      <c r="H6509" s="1066"/>
      <c r="I6509" s="1063"/>
      <c r="J6509" s="1063"/>
      <c r="K6509" s="1063"/>
      <c r="L6509" s="1063"/>
    </row>
    <row r="6510" spans="5:12" x14ac:dyDescent="0.2">
      <c r="E6510" s="1063"/>
      <c r="H6510" s="1066"/>
      <c r="I6510" s="1063"/>
      <c r="J6510" s="1063"/>
      <c r="K6510" s="1063"/>
      <c r="L6510" s="1063"/>
    </row>
    <row r="6511" spans="5:12" x14ac:dyDescent="0.2">
      <c r="E6511" s="1063"/>
      <c r="H6511" s="1066"/>
      <c r="I6511" s="1063"/>
      <c r="J6511" s="1063"/>
      <c r="K6511" s="1063"/>
      <c r="L6511" s="1063"/>
    </row>
    <row r="6512" spans="5:12" x14ac:dyDescent="0.2">
      <c r="E6512" s="1063"/>
      <c r="H6512" s="1066"/>
      <c r="I6512" s="1063"/>
      <c r="J6512" s="1063"/>
      <c r="K6512" s="1063"/>
      <c r="L6512" s="1063"/>
    </row>
    <row r="6513" spans="5:12" x14ac:dyDescent="0.2">
      <c r="E6513" s="1063"/>
      <c r="H6513" s="1066"/>
      <c r="I6513" s="1063"/>
      <c r="J6513" s="1063"/>
      <c r="K6513" s="1063"/>
      <c r="L6513" s="1063"/>
    </row>
    <row r="6514" spans="5:12" x14ac:dyDescent="0.2">
      <c r="E6514" s="1063"/>
      <c r="H6514" s="1066"/>
      <c r="I6514" s="1063"/>
      <c r="J6514" s="1063"/>
      <c r="K6514" s="1063"/>
      <c r="L6514" s="1063"/>
    </row>
    <row r="6515" spans="5:12" x14ac:dyDescent="0.2">
      <c r="E6515" s="1063"/>
      <c r="H6515" s="1066"/>
      <c r="I6515" s="1063"/>
      <c r="J6515" s="1063"/>
      <c r="K6515" s="1063"/>
      <c r="L6515" s="1063"/>
    </row>
    <row r="6516" spans="5:12" x14ac:dyDescent="0.2">
      <c r="E6516" s="1063"/>
      <c r="H6516" s="1066"/>
      <c r="I6516" s="1063"/>
      <c r="J6516" s="1063"/>
      <c r="K6516" s="1063"/>
      <c r="L6516" s="1063"/>
    </row>
    <row r="6517" spans="5:12" x14ac:dyDescent="0.2">
      <c r="E6517" s="1063"/>
      <c r="H6517" s="1066"/>
      <c r="I6517" s="1063"/>
      <c r="J6517" s="1063"/>
      <c r="K6517" s="1063"/>
      <c r="L6517" s="1063"/>
    </row>
    <row r="6518" spans="5:12" x14ac:dyDescent="0.2">
      <c r="E6518" s="1063"/>
      <c r="H6518" s="1066"/>
      <c r="I6518" s="1063"/>
      <c r="J6518" s="1063"/>
      <c r="K6518" s="1063"/>
      <c r="L6518" s="1063"/>
    </row>
    <row r="6519" spans="5:12" x14ac:dyDescent="0.2">
      <c r="E6519" s="1063"/>
      <c r="H6519" s="1066"/>
      <c r="I6519" s="1063"/>
      <c r="J6519" s="1063"/>
      <c r="K6519" s="1063"/>
      <c r="L6519" s="1063"/>
    </row>
    <row r="6520" spans="5:12" x14ac:dyDescent="0.2">
      <c r="E6520" s="1063"/>
      <c r="H6520" s="1066"/>
      <c r="I6520" s="1063"/>
      <c r="J6520" s="1063"/>
      <c r="K6520" s="1063"/>
      <c r="L6520" s="1063"/>
    </row>
    <row r="6521" spans="5:12" x14ac:dyDescent="0.2">
      <c r="E6521" s="1063"/>
      <c r="H6521" s="1066"/>
      <c r="I6521" s="1063"/>
      <c r="J6521" s="1063"/>
      <c r="K6521" s="1063"/>
      <c r="L6521" s="1063"/>
    </row>
    <row r="6522" spans="5:12" x14ac:dyDescent="0.2">
      <c r="E6522" s="1063"/>
      <c r="H6522" s="1066"/>
      <c r="I6522" s="1063"/>
      <c r="J6522" s="1063"/>
      <c r="K6522" s="1063"/>
      <c r="L6522" s="1063"/>
    </row>
    <row r="6523" spans="5:12" x14ac:dyDescent="0.2">
      <c r="E6523" s="1063"/>
      <c r="H6523" s="1066"/>
      <c r="I6523" s="1063"/>
      <c r="J6523" s="1063"/>
      <c r="K6523" s="1063"/>
      <c r="L6523" s="1063"/>
    </row>
    <row r="6524" spans="5:12" x14ac:dyDescent="0.2">
      <c r="E6524" s="1063"/>
      <c r="H6524" s="1066"/>
      <c r="I6524" s="1063"/>
      <c r="J6524" s="1063"/>
      <c r="K6524" s="1063"/>
      <c r="L6524" s="1063"/>
    </row>
    <row r="6525" spans="5:12" x14ac:dyDescent="0.2">
      <c r="E6525" s="1063"/>
      <c r="H6525" s="1066"/>
      <c r="I6525" s="1063"/>
      <c r="J6525" s="1063"/>
      <c r="K6525" s="1063"/>
      <c r="L6525" s="1063"/>
    </row>
    <row r="6526" spans="5:12" x14ac:dyDescent="0.2">
      <c r="E6526" s="1063"/>
      <c r="H6526" s="1066"/>
      <c r="I6526" s="1063"/>
      <c r="J6526" s="1063"/>
      <c r="K6526" s="1063"/>
      <c r="L6526" s="1063"/>
    </row>
    <row r="6527" spans="5:12" x14ac:dyDescent="0.2">
      <c r="E6527" s="1063"/>
      <c r="H6527" s="1066"/>
      <c r="I6527" s="1063"/>
      <c r="J6527" s="1063"/>
      <c r="K6527" s="1063"/>
      <c r="L6527" s="1063"/>
    </row>
    <row r="6528" spans="5:12" x14ac:dyDescent="0.2">
      <c r="E6528" s="1063"/>
      <c r="H6528" s="1066"/>
      <c r="I6528" s="1063"/>
      <c r="J6528" s="1063"/>
      <c r="K6528" s="1063"/>
      <c r="L6528" s="1063"/>
    </row>
    <row r="6529" spans="5:12" x14ac:dyDescent="0.2">
      <c r="E6529" s="1063"/>
      <c r="H6529" s="1066"/>
      <c r="I6529" s="1063"/>
      <c r="J6529" s="1063"/>
      <c r="K6529" s="1063"/>
      <c r="L6529" s="1063"/>
    </row>
    <row r="6530" spans="5:12" x14ac:dyDescent="0.2">
      <c r="E6530" s="1063"/>
      <c r="H6530" s="1066"/>
      <c r="I6530" s="1063"/>
      <c r="J6530" s="1063"/>
      <c r="K6530" s="1063"/>
      <c r="L6530" s="1063"/>
    </row>
    <row r="6531" spans="5:12" x14ac:dyDescent="0.2">
      <c r="E6531" s="1063"/>
      <c r="H6531" s="1066"/>
      <c r="I6531" s="1063"/>
      <c r="J6531" s="1063"/>
      <c r="K6531" s="1063"/>
      <c r="L6531" s="1063"/>
    </row>
    <row r="6532" spans="5:12" x14ac:dyDescent="0.2">
      <c r="E6532" s="1063"/>
      <c r="H6532" s="1066"/>
      <c r="I6532" s="1063"/>
      <c r="J6532" s="1063"/>
      <c r="K6532" s="1063"/>
      <c r="L6532" s="1063"/>
    </row>
    <row r="6533" spans="5:12" x14ac:dyDescent="0.2">
      <c r="E6533" s="1063"/>
      <c r="H6533" s="1066"/>
      <c r="I6533" s="1063"/>
      <c r="J6533" s="1063"/>
      <c r="K6533" s="1063"/>
      <c r="L6533" s="1063"/>
    </row>
    <row r="6534" spans="5:12" x14ac:dyDescent="0.2">
      <c r="E6534" s="1063"/>
      <c r="H6534" s="1066"/>
      <c r="I6534" s="1063"/>
      <c r="J6534" s="1063"/>
      <c r="K6534" s="1063"/>
      <c r="L6534" s="1063"/>
    </row>
    <row r="6535" spans="5:12" x14ac:dyDescent="0.2">
      <c r="E6535" s="1063"/>
      <c r="H6535" s="1066"/>
      <c r="I6535" s="1063"/>
      <c r="J6535" s="1063"/>
      <c r="K6535" s="1063"/>
      <c r="L6535" s="1063"/>
    </row>
    <row r="6536" spans="5:12" x14ac:dyDescent="0.2">
      <c r="E6536" s="1063"/>
      <c r="H6536" s="1066"/>
      <c r="I6536" s="1063"/>
      <c r="J6536" s="1063"/>
      <c r="K6536" s="1063"/>
      <c r="L6536" s="1063"/>
    </row>
    <row r="6537" spans="5:12" x14ac:dyDescent="0.2">
      <c r="E6537" s="1063"/>
      <c r="H6537" s="1066"/>
      <c r="I6537" s="1063"/>
      <c r="J6537" s="1063"/>
      <c r="K6537" s="1063"/>
      <c r="L6537" s="1063"/>
    </row>
    <row r="6538" spans="5:12" x14ac:dyDescent="0.2">
      <c r="E6538" s="1063"/>
      <c r="H6538" s="1066"/>
      <c r="I6538" s="1063"/>
      <c r="J6538" s="1063"/>
      <c r="K6538" s="1063"/>
      <c r="L6538" s="1063"/>
    </row>
    <row r="6539" spans="5:12" x14ac:dyDescent="0.2">
      <c r="E6539" s="1063"/>
      <c r="H6539" s="1066"/>
      <c r="I6539" s="1063"/>
      <c r="J6539" s="1063"/>
      <c r="K6539" s="1063"/>
      <c r="L6539" s="1063"/>
    </row>
    <row r="6540" spans="5:12" x14ac:dyDescent="0.2">
      <c r="E6540" s="1063"/>
      <c r="H6540" s="1066"/>
      <c r="I6540" s="1063"/>
      <c r="J6540" s="1063"/>
      <c r="K6540" s="1063"/>
      <c r="L6540" s="1063"/>
    </row>
    <row r="6541" spans="5:12" x14ac:dyDescent="0.2">
      <c r="E6541" s="1063"/>
      <c r="H6541" s="1066"/>
      <c r="I6541" s="1063"/>
      <c r="J6541" s="1063"/>
      <c r="K6541" s="1063"/>
      <c r="L6541" s="1063"/>
    </row>
    <row r="6542" spans="5:12" x14ac:dyDescent="0.2">
      <c r="E6542" s="1063"/>
      <c r="H6542" s="1066"/>
      <c r="I6542" s="1063"/>
      <c r="J6542" s="1063"/>
      <c r="K6542" s="1063"/>
      <c r="L6542" s="1063"/>
    </row>
    <row r="6543" spans="5:12" x14ac:dyDescent="0.2">
      <c r="E6543" s="1063"/>
      <c r="H6543" s="1066"/>
      <c r="I6543" s="1063"/>
      <c r="J6543" s="1063"/>
      <c r="K6543" s="1063"/>
      <c r="L6543" s="1063"/>
    </row>
    <row r="6544" spans="5:12" x14ac:dyDescent="0.2">
      <c r="E6544" s="1063"/>
      <c r="H6544" s="1066"/>
      <c r="I6544" s="1063"/>
      <c r="J6544" s="1063"/>
      <c r="K6544" s="1063"/>
      <c r="L6544" s="1063"/>
    </row>
    <row r="6545" spans="5:12" x14ac:dyDescent="0.2">
      <c r="E6545" s="1063"/>
      <c r="H6545" s="1066"/>
      <c r="I6545" s="1063"/>
      <c r="J6545" s="1063"/>
      <c r="K6545" s="1063"/>
      <c r="L6545" s="1063"/>
    </row>
    <row r="6546" spans="5:12" x14ac:dyDescent="0.2">
      <c r="E6546" s="1063"/>
      <c r="H6546" s="1066"/>
      <c r="I6546" s="1063"/>
      <c r="J6546" s="1063"/>
      <c r="K6546" s="1063"/>
      <c r="L6546" s="1063"/>
    </row>
    <row r="6547" spans="5:12" x14ac:dyDescent="0.2">
      <c r="E6547" s="1063"/>
      <c r="H6547" s="1066"/>
      <c r="I6547" s="1063"/>
      <c r="J6547" s="1063"/>
      <c r="K6547" s="1063"/>
      <c r="L6547" s="1063"/>
    </row>
    <row r="6548" spans="5:12" x14ac:dyDescent="0.2">
      <c r="E6548" s="1063"/>
      <c r="H6548" s="1066"/>
      <c r="I6548" s="1063"/>
      <c r="J6548" s="1063"/>
      <c r="K6548" s="1063"/>
      <c r="L6548" s="1063"/>
    </row>
    <row r="6549" spans="5:12" x14ac:dyDescent="0.2">
      <c r="E6549" s="1063"/>
      <c r="H6549" s="1066"/>
      <c r="I6549" s="1063"/>
      <c r="J6549" s="1063"/>
      <c r="K6549" s="1063"/>
      <c r="L6549" s="1063"/>
    </row>
    <row r="6550" spans="5:12" x14ac:dyDescent="0.2">
      <c r="E6550" s="1063"/>
      <c r="H6550" s="1066"/>
      <c r="I6550" s="1063"/>
      <c r="J6550" s="1063"/>
      <c r="K6550" s="1063"/>
      <c r="L6550" s="1063"/>
    </row>
    <row r="6551" spans="5:12" x14ac:dyDescent="0.2">
      <c r="E6551" s="1063"/>
      <c r="H6551" s="1066"/>
      <c r="I6551" s="1063"/>
      <c r="J6551" s="1063"/>
      <c r="K6551" s="1063"/>
      <c r="L6551" s="1063"/>
    </row>
    <row r="6552" spans="5:12" x14ac:dyDescent="0.2">
      <c r="E6552" s="1063"/>
      <c r="H6552" s="1066"/>
      <c r="I6552" s="1063"/>
      <c r="J6552" s="1063"/>
      <c r="K6552" s="1063"/>
      <c r="L6552" s="1063"/>
    </row>
    <row r="6553" spans="5:12" x14ac:dyDescent="0.2">
      <c r="E6553" s="1063"/>
      <c r="H6553" s="1066"/>
      <c r="I6553" s="1063"/>
      <c r="J6553" s="1063"/>
      <c r="K6553" s="1063"/>
      <c r="L6553" s="1063"/>
    </row>
    <row r="6554" spans="5:12" x14ac:dyDescent="0.2">
      <c r="E6554" s="1063"/>
      <c r="H6554" s="1066"/>
      <c r="I6554" s="1063"/>
      <c r="J6554" s="1063"/>
      <c r="K6554" s="1063"/>
      <c r="L6554" s="1063"/>
    </row>
    <row r="6555" spans="5:12" x14ac:dyDescent="0.2">
      <c r="E6555" s="1063"/>
      <c r="H6555" s="1066"/>
      <c r="I6555" s="1063"/>
      <c r="J6555" s="1063"/>
      <c r="K6555" s="1063"/>
      <c r="L6555" s="1063"/>
    </row>
    <row r="6556" spans="5:12" x14ac:dyDescent="0.2">
      <c r="E6556" s="1063"/>
      <c r="H6556" s="1066"/>
      <c r="I6556" s="1063"/>
      <c r="J6556" s="1063"/>
      <c r="K6556" s="1063"/>
      <c r="L6556" s="1063"/>
    </row>
    <row r="6557" spans="5:12" x14ac:dyDescent="0.2">
      <c r="E6557" s="1063"/>
      <c r="H6557" s="1066"/>
      <c r="I6557" s="1063"/>
      <c r="J6557" s="1063"/>
      <c r="K6557" s="1063"/>
      <c r="L6557" s="1063"/>
    </row>
    <row r="6558" spans="5:12" x14ac:dyDescent="0.2">
      <c r="E6558" s="1063"/>
      <c r="H6558" s="1066"/>
      <c r="I6558" s="1063"/>
      <c r="J6558" s="1063"/>
      <c r="K6558" s="1063"/>
      <c r="L6558" s="1063"/>
    </row>
    <row r="6559" spans="5:12" x14ac:dyDescent="0.2">
      <c r="E6559" s="1063"/>
      <c r="H6559" s="1066"/>
      <c r="I6559" s="1063"/>
      <c r="J6559" s="1063"/>
      <c r="K6559" s="1063"/>
      <c r="L6559" s="1063"/>
    </row>
    <row r="6560" spans="5:12" x14ac:dyDescent="0.2">
      <c r="E6560" s="1063"/>
      <c r="H6560" s="1066"/>
      <c r="I6560" s="1063"/>
      <c r="J6560" s="1063"/>
      <c r="K6560" s="1063"/>
      <c r="L6560" s="1063"/>
    </row>
    <row r="6561" spans="5:12" x14ac:dyDescent="0.2">
      <c r="E6561" s="1063"/>
      <c r="H6561" s="1066"/>
      <c r="I6561" s="1063"/>
      <c r="J6561" s="1063"/>
      <c r="K6561" s="1063"/>
      <c r="L6561" s="1063"/>
    </row>
    <row r="6562" spans="5:12" x14ac:dyDescent="0.2">
      <c r="E6562" s="1063"/>
      <c r="H6562" s="1066"/>
      <c r="I6562" s="1063"/>
      <c r="J6562" s="1063"/>
      <c r="K6562" s="1063"/>
      <c r="L6562" s="1063"/>
    </row>
    <row r="6563" spans="5:12" x14ac:dyDescent="0.2">
      <c r="E6563" s="1063"/>
      <c r="H6563" s="1066"/>
      <c r="I6563" s="1063"/>
      <c r="J6563" s="1063"/>
      <c r="K6563" s="1063"/>
      <c r="L6563" s="1063"/>
    </row>
    <row r="6564" spans="5:12" x14ac:dyDescent="0.2">
      <c r="E6564" s="1063"/>
      <c r="H6564" s="1066"/>
      <c r="I6564" s="1063"/>
      <c r="J6564" s="1063"/>
      <c r="K6564" s="1063"/>
      <c r="L6564" s="1063"/>
    </row>
    <row r="6565" spans="5:12" x14ac:dyDescent="0.2">
      <c r="E6565" s="1063"/>
      <c r="H6565" s="1066"/>
      <c r="I6565" s="1063"/>
      <c r="J6565" s="1063"/>
      <c r="K6565" s="1063"/>
      <c r="L6565" s="1063"/>
    </row>
    <row r="6566" spans="5:12" x14ac:dyDescent="0.2">
      <c r="E6566" s="1063"/>
      <c r="H6566" s="1066"/>
      <c r="I6566" s="1063"/>
      <c r="J6566" s="1063"/>
      <c r="K6566" s="1063"/>
      <c r="L6566" s="1063"/>
    </row>
    <row r="6567" spans="5:12" x14ac:dyDescent="0.2">
      <c r="E6567" s="1063"/>
      <c r="H6567" s="1066"/>
      <c r="I6567" s="1063"/>
      <c r="J6567" s="1063"/>
      <c r="K6567" s="1063"/>
      <c r="L6567" s="1063"/>
    </row>
    <row r="6568" spans="5:12" x14ac:dyDescent="0.2">
      <c r="E6568" s="1063"/>
      <c r="H6568" s="1066"/>
      <c r="I6568" s="1063"/>
      <c r="J6568" s="1063"/>
      <c r="K6568" s="1063"/>
      <c r="L6568" s="1063"/>
    </row>
    <row r="6569" spans="5:12" x14ac:dyDescent="0.2">
      <c r="E6569" s="1063"/>
      <c r="H6569" s="1066"/>
      <c r="I6569" s="1063"/>
      <c r="J6569" s="1063"/>
      <c r="K6569" s="1063"/>
      <c r="L6569" s="1063"/>
    </row>
    <row r="6570" spans="5:12" x14ac:dyDescent="0.2">
      <c r="E6570" s="1063"/>
      <c r="H6570" s="1066"/>
      <c r="I6570" s="1063"/>
      <c r="J6570" s="1063"/>
      <c r="K6570" s="1063"/>
      <c r="L6570" s="1063"/>
    </row>
    <row r="6571" spans="5:12" x14ac:dyDescent="0.2">
      <c r="E6571" s="1063"/>
      <c r="H6571" s="1066"/>
      <c r="I6571" s="1063"/>
      <c r="J6571" s="1063"/>
      <c r="K6571" s="1063"/>
      <c r="L6571" s="1063"/>
    </row>
    <row r="6572" spans="5:12" x14ac:dyDescent="0.2">
      <c r="E6572" s="1063"/>
      <c r="H6572" s="1066"/>
      <c r="I6572" s="1063"/>
      <c r="J6572" s="1063"/>
      <c r="K6572" s="1063"/>
      <c r="L6572" s="1063"/>
    </row>
    <row r="6573" spans="5:12" x14ac:dyDescent="0.2">
      <c r="E6573" s="1063"/>
      <c r="H6573" s="1066"/>
      <c r="I6573" s="1063"/>
      <c r="J6573" s="1063"/>
      <c r="K6573" s="1063"/>
      <c r="L6573" s="1063"/>
    </row>
    <row r="6574" spans="5:12" x14ac:dyDescent="0.2">
      <c r="E6574" s="1063"/>
      <c r="H6574" s="1066"/>
      <c r="I6574" s="1063"/>
      <c r="J6574" s="1063"/>
      <c r="K6574" s="1063"/>
      <c r="L6574" s="1063"/>
    </row>
    <row r="6575" spans="5:12" x14ac:dyDescent="0.2">
      <c r="E6575" s="1063"/>
      <c r="H6575" s="1066"/>
      <c r="I6575" s="1063"/>
      <c r="J6575" s="1063"/>
      <c r="K6575" s="1063"/>
      <c r="L6575" s="1063"/>
    </row>
    <row r="6576" spans="5:12" x14ac:dyDescent="0.2">
      <c r="E6576" s="1063"/>
      <c r="H6576" s="1066"/>
      <c r="I6576" s="1063"/>
      <c r="J6576" s="1063"/>
      <c r="K6576" s="1063"/>
      <c r="L6576" s="1063"/>
    </row>
    <row r="6577" spans="5:12" x14ac:dyDescent="0.2">
      <c r="E6577" s="1063"/>
      <c r="H6577" s="1066"/>
      <c r="I6577" s="1063"/>
      <c r="J6577" s="1063"/>
      <c r="K6577" s="1063"/>
      <c r="L6577" s="1063"/>
    </row>
    <row r="6578" spans="5:12" x14ac:dyDescent="0.2">
      <c r="E6578" s="1063"/>
      <c r="H6578" s="1066"/>
      <c r="I6578" s="1063"/>
      <c r="J6578" s="1063"/>
      <c r="K6578" s="1063"/>
      <c r="L6578" s="1063"/>
    </row>
    <row r="6579" spans="5:12" x14ac:dyDescent="0.2">
      <c r="E6579" s="1063"/>
      <c r="H6579" s="1066"/>
      <c r="I6579" s="1063"/>
      <c r="J6579" s="1063"/>
      <c r="K6579" s="1063"/>
      <c r="L6579" s="1063"/>
    </row>
    <row r="6580" spans="5:12" x14ac:dyDescent="0.2">
      <c r="E6580" s="1063"/>
      <c r="H6580" s="1066"/>
      <c r="I6580" s="1063"/>
      <c r="J6580" s="1063"/>
      <c r="K6580" s="1063"/>
      <c r="L6580" s="1063"/>
    </row>
    <row r="6581" spans="5:12" x14ac:dyDescent="0.2">
      <c r="E6581" s="1063"/>
      <c r="H6581" s="1066"/>
      <c r="I6581" s="1063"/>
      <c r="J6581" s="1063"/>
      <c r="K6581" s="1063"/>
      <c r="L6581" s="1063"/>
    </row>
    <row r="6582" spans="5:12" x14ac:dyDescent="0.2">
      <c r="E6582" s="1063"/>
      <c r="H6582" s="1066"/>
      <c r="I6582" s="1063"/>
      <c r="J6582" s="1063"/>
      <c r="K6582" s="1063"/>
      <c r="L6582" s="1063"/>
    </row>
    <row r="6583" spans="5:12" x14ac:dyDescent="0.2">
      <c r="E6583" s="1063"/>
      <c r="H6583" s="1066"/>
      <c r="I6583" s="1063"/>
      <c r="J6583" s="1063"/>
      <c r="K6583" s="1063"/>
      <c r="L6583" s="1063"/>
    </row>
    <row r="6584" spans="5:12" x14ac:dyDescent="0.2">
      <c r="E6584" s="1063"/>
      <c r="H6584" s="1066"/>
      <c r="I6584" s="1063"/>
      <c r="J6584" s="1063"/>
      <c r="K6584" s="1063"/>
      <c r="L6584" s="1063"/>
    </row>
    <row r="6585" spans="5:12" x14ac:dyDescent="0.2">
      <c r="E6585" s="1063"/>
      <c r="H6585" s="1066"/>
      <c r="I6585" s="1063"/>
      <c r="J6585" s="1063"/>
      <c r="K6585" s="1063"/>
      <c r="L6585" s="1063"/>
    </row>
    <row r="6586" spans="5:12" x14ac:dyDescent="0.2">
      <c r="E6586" s="1063"/>
      <c r="H6586" s="1066"/>
      <c r="I6586" s="1063"/>
      <c r="J6586" s="1063"/>
      <c r="K6586" s="1063"/>
      <c r="L6586" s="1063"/>
    </row>
    <row r="6587" spans="5:12" x14ac:dyDescent="0.2">
      <c r="E6587" s="1063"/>
      <c r="H6587" s="1066"/>
      <c r="I6587" s="1063"/>
      <c r="J6587" s="1063"/>
      <c r="K6587" s="1063"/>
      <c r="L6587" s="1063"/>
    </row>
    <row r="6588" spans="5:12" x14ac:dyDescent="0.2">
      <c r="E6588" s="1063"/>
      <c r="H6588" s="1066"/>
      <c r="I6588" s="1063"/>
      <c r="J6588" s="1063"/>
      <c r="K6588" s="1063"/>
      <c r="L6588" s="1063"/>
    </row>
    <row r="6589" spans="5:12" x14ac:dyDescent="0.2">
      <c r="E6589" s="1063"/>
      <c r="H6589" s="1066"/>
      <c r="I6589" s="1063"/>
      <c r="J6589" s="1063"/>
      <c r="K6589" s="1063"/>
      <c r="L6589" s="1063"/>
    </row>
    <row r="6590" spans="5:12" x14ac:dyDescent="0.2">
      <c r="E6590" s="1063"/>
      <c r="H6590" s="1066"/>
      <c r="I6590" s="1063"/>
      <c r="J6590" s="1063"/>
      <c r="K6590" s="1063"/>
      <c r="L6590" s="1063"/>
    </row>
    <row r="6591" spans="5:12" x14ac:dyDescent="0.2">
      <c r="E6591" s="1063"/>
      <c r="H6591" s="1066"/>
      <c r="I6591" s="1063"/>
      <c r="J6591" s="1063"/>
      <c r="K6591" s="1063"/>
      <c r="L6591" s="1063"/>
    </row>
    <row r="6592" spans="5:12" x14ac:dyDescent="0.2">
      <c r="E6592" s="1063"/>
      <c r="H6592" s="1066"/>
      <c r="I6592" s="1063"/>
      <c r="J6592" s="1063"/>
      <c r="K6592" s="1063"/>
      <c r="L6592" s="1063"/>
    </row>
    <row r="6593" spans="5:12" x14ac:dyDescent="0.2">
      <c r="E6593" s="1063"/>
      <c r="H6593" s="1066"/>
      <c r="I6593" s="1063"/>
      <c r="J6593" s="1063"/>
      <c r="K6593" s="1063"/>
      <c r="L6593" s="1063"/>
    </row>
    <row r="6594" spans="5:12" x14ac:dyDescent="0.2">
      <c r="E6594" s="1063"/>
      <c r="H6594" s="1066"/>
      <c r="I6594" s="1063"/>
      <c r="J6594" s="1063"/>
      <c r="K6594" s="1063"/>
      <c r="L6594" s="1063"/>
    </row>
    <row r="6595" spans="5:12" x14ac:dyDescent="0.2">
      <c r="E6595" s="1063"/>
      <c r="H6595" s="1066"/>
      <c r="I6595" s="1063"/>
      <c r="J6595" s="1063"/>
      <c r="K6595" s="1063"/>
      <c r="L6595" s="1063"/>
    </row>
    <row r="6596" spans="5:12" x14ac:dyDescent="0.2">
      <c r="E6596" s="1063"/>
      <c r="H6596" s="1066"/>
      <c r="I6596" s="1063"/>
      <c r="J6596" s="1063"/>
      <c r="K6596" s="1063"/>
      <c r="L6596" s="1063"/>
    </row>
    <row r="6597" spans="5:12" x14ac:dyDescent="0.2">
      <c r="E6597" s="1063"/>
      <c r="H6597" s="1066"/>
      <c r="I6597" s="1063"/>
      <c r="J6597" s="1063"/>
      <c r="K6597" s="1063"/>
      <c r="L6597" s="1063"/>
    </row>
    <row r="6598" spans="5:12" x14ac:dyDescent="0.2">
      <c r="E6598" s="1063"/>
      <c r="H6598" s="1066"/>
      <c r="I6598" s="1063"/>
      <c r="J6598" s="1063"/>
      <c r="K6598" s="1063"/>
      <c r="L6598" s="1063"/>
    </row>
    <row r="6599" spans="5:12" x14ac:dyDescent="0.2">
      <c r="E6599" s="1063"/>
      <c r="H6599" s="1066"/>
      <c r="I6599" s="1063"/>
      <c r="J6599" s="1063"/>
      <c r="K6599" s="1063"/>
      <c r="L6599" s="1063"/>
    </row>
    <row r="6600" spans="5:12" x14ac:dyDescent="0.2">
      <c r="E6600" s="1063"/>
      <c r="H6600" s="1066"/>
      <c r="I6600" s="1063"/>
      <c r="J6600" s="1063"/>
      <c r="K6600" s="1063"/>
      <c r="L6600" s="1063"/>
    </row>
    <row r="6601" spans="5:12" x14ac:dyDescent="0.2">
      <c r="E6601" s="1063"/>
      <c r="H6601" s="1066"/>
      <c r="I6601" s="1063"/>
      <c r="J6601" s="1063"/>
      <c r="K6601" s="1063"/>
      <c r="L6601" s="1063"/>
    </row>
    <row r="6602" spans="5:12" x14ac:dyDescent="0.2">
      <c r="E6602" s="1063"/>
      <c r="H6602" s="1066"/>
      <c r="I6602" s="1063"/>
      <c r="J6602" s="1063"/>
      <c r="K6602" s="1063"/>
      <c r="L6602" s="1063"/>
    </row>
    <row r="6603" spans="5:12" x14ac:dyDescent="0.2">
      <c r="E6603" s="1063"/>
      <c r="H6603" s="1066"/>
      <c r="I6603" s="1063"/>
      <c r="J6603" s="1063"/>
      <c r="K6603" s="1063"/>
      <c r="L6603" s="1063"/>
    </row>
    <row r="6604" spans="5:12" x14ac:dyDescent="0.2">
      <c r="E6604" s="1063"/>
      <c r="H6604" s="1066"/>
      <c r="I6604" s="1063"/>
      <c r="J6604" s="1063"/>
      <c r="K6604" s="1063"/>
      <c r="L6604" s="1063"/>
    </row>
    <row r="6605" spans="5:12" x14ac:dyDescent="0.2">
      <c r="E6605" s="1063"/>
      <c r="H6605" s="1066"/>
      <c r="I6605" s="1063"/>
      <c r="J6605" s="1063"/>
      <c r="K6605" s="1063"/>
      <c r="L6605" s="1063"/>
    </row>
    <row r="6606" spans="5:12" x14ac:dyDescent="0.2">
      <c r="E6606" s="1063"/>
      <c r="H6606" s="1066"/>
      <c r="I6606" s="1063"/>
      <c r="J6606" s="1063"/>
      <c r="K6606" s="1063"/>
      <c r="L6606" s="1063"/>
    </row>
    <row r="6607" spans="5:12" x14ac:dyDescent="0.2">
      <c r="E6607" s="1063"/>
      <c r="H6607" s="1066"/>
      <c r="I6607" s="1063"/>
      <c r="J6607" s="1063"/>
      <c r="K6607" s="1063"/>
      <c r="L6607" s="1063"/>
    </row>
    <row r="6608" spans="5:12" x14ac:dyDescent="0.2">
      <c r="E6608" s="1063"/>
      <c r="H6608" s="1066"/>
      <c r="I6608" s="1063"/>
      <c r="J6608" s="1063"/>
      <c r="K6608" s="1063"/>
      <c r="L6608" s="1063"/>
    </row>
    <row r="6609" spans="5:12" x14ac:dyDescent="0.2">
      <c r="E6609" s="1063"/>
      <c r="H6609" s="1066"/>
      <c r="I6609" s="1063"/>
      <c r="J6609" s="1063"/>
      <c r="K6609" s="1063"/>
      <c r="L6609" s="1063"/>
    </row>
    <row r="6610" spans="5:12" x14ac:dyDescent="0.2">
      <c r="E6610" s="1063"/>
      <c r="H6610" s="1066"/>
      <c r="I6610" s="1063"/>
      <c r="J6610" s="1063"/>
      <c r="K6610" s="1063"/>
      <c r="L6610" s="1063"/>
    </row>
    <row r="6611" spans="5:12" x14ac:dyDescent="0.2">
      <c r="E6611" s="1063"/>
      <c r="H6611" s="1066"/>
      <c r="I6611" s="1063"/>
      <c r="J6611" s="1063"/>
      <c r="K6611" s="1063"/>
      <c r="L6611" s="1063"/>
    </row>
    <row r="6612" spans="5:12" x14ac:dyDescent="0.2">
      <c r="E6612" s="1063"/>
      <c r="H6612" s="1066"/>
      <c r="I6612" s="1063"/>
      <c r="J6612" s="1063"/>
      <c r="K6612" s="1063"/>
      <c r="L6612" s="1063"/>
    </row>
    <row r="6613" spans="5:12" x14ac:dyDescent="0.2">
      <c r="E6613" s="1063"/>
      <c r="H6613" s="1066"/>
      <c r="I6613" s="1063"/>
      <c r="J6613" s="1063"/>
      <c r="K6613" s="1063"/>
      <c r="L6613" s="1063"/>
    </row>
    <row r="6614" spans="5:12" x14ac:dyDescent="0.2">
      <c r="E6614" s="1063"/>
      <c r="H6614" s="1066"/>
      <c r="I6614" s="1063"/>
      <c r="J6614" s="1063"/>
      <c r="K6614" s="1063"/>
      <c r="L6614" s="1063"/>
    </row>
    <row r="6615" spans="5:12" x14ac:dyDescent="0.2">
      <c r="E6615" s="1063"/>
      <c r="H6615" s="1066"/>
      <c r="I6615" s="1063"/>
      <c r="J6615" s="1063"/>
      <c r="K6615" s="1063"/>
      <c r="L6615" s="1063"/>
    </row>
    <row r="6616" spans="5:12" x14ac:dyDescent="0.2">
      <c r="E6616" s="1063"/>
      <c r="H6616" s="1066"/>
      <c r="I6616" s="1063"/>
      <c r="J6616" s="1063"/>
      <c r="K6616" s="1063"/>
      <c r="L6616" s="1063"/>
    </row>
    <row r="6617" spans="5:12" x14ac:dyDescent="0.2">
      <c r="E6617" s="1063"/>
      <c r="H6617" s="1066"/>
      <c r="I6617" s="1063"/>
      <c r="J6617" s="1063"/>
      <c r="K6617" s="1063"/>
      <c r="L6617" s="1063"/>
    </row>
    <row r="6618" spans="5:12" x14ac:dyDescent="0.2">
      <c r="E6618" s="1063"/>
      <c r="H6618" s="1066"/>
      <c r="I6618" s="1063"/>
      <c r="J6618" s="1063"/>
      <c r="K6618" s="1063"/>
      <c r="L6618" s="1063"/>
    </row>
    <row r="6619" spans="5:12" x14ac:dyDescent="0.2">
      <c r="E6619" s="1063"/>
      <c r="H6619" s="1066"/>
      <c r="I6619" s="1063"/>
      <c r="J6619" s="1063"/>
      <c r="K6619" s="1063"/>
      <c r="L6619" s="1063"/>
    </row>
    <row r="6620" spans="5:12" x14ac:dyDescent="0.2">
      <c r="E6620" s="1063"/>
      <c r="H6620" s="1066"/>
      <c r="I6620" s="1063"/>
      <c r="J6620" s="1063"/>
      <c r="K6620" s="1063"/>
      <c r="L6620" s="1063"/>
    </row>
    <row r="6621" spans="5:12" x14ac:dyDescent="0.2">
      <c r="E6621" s="1063"/>
      <c r="H6621" s="1066"/>
      <c r="I6621" s="1063"/>
      <c r="J6621" s="1063"/>
      <c r="K6621" s="1063"/>
      <c r="L6621" s="1063"/>
    </row>
    <row r="6622" spans="5:12" x14ac:dyDescent="0.2">
      <c r="E6622" s="1063"/>
      <c r="H6622" s="1066"/>
      <c r="I6622" s="1063"/>
      <c r="J6622" s="1063"/>
      <c r="K6622" s="1063"/>
      <c r="L6622" s="1063"/>
    </row>
    <row r="6623" spans="5:12" x14ac:dyDescent="0.2">
      <c r="E6623" s="1063"/>
      <c r="H6623" s="1066"/>
      <c r="I6623" s="1063"/>
      <c r="J6623" s="1063"/>
      <c r="K6623" s="1063"/>
      <c r="L6623" s="1063"/>
    </row>
    <row r="6624" spans="5:12" x14ac:dyDescent="0.2">
      <c r="E6624" s="1063"/>
      <c r="H6624" s="1066"/>
      <c r="I6624" s="1063"/>
      <c r="J6624" s="1063"/>
      <c r="K6624" s="1063"/>
      <c r="L6624" s="1063"/>
    </row>
    <row r="6625" spans="5:12" x14ac:dyDescent="0.2">
      <c r="E6625" s="1063"/>
      <c r="H6625" s="1066"/>
      <c r="I6625" s="1063"/>
      <c r="J6625" s="1063"/>
      <c r="K6625" s="1063"/>
      <c r="L6625" s="1063"/>
    </row>
    <row r="6626" spans="5:12" x14ac:dyDescent="0.2">
      <c r="E6626" s="1063"/>
      <c r="H6626" s="1066"/>
      <c r="I6626" s="1063"/>
      <c r="J6626" s="1063"/>
      <c r="K6626" s="1063"/>
      <c r="L6626" s="1063"/>
    </row>
    <row r="6627" spans="5:12" x14ac:dyDescent="0.2">
      <c r="E6627" s="1063"/>
      <c r="H6627" s="1066"/>
      <c r="I6627" s="1063"/>
      <c r="J6627" s="1063"/>
      <c r="K6627" s="1063"/>
      <c r="L6627" s="1063"/>
    </row>
    <row r="6628" spans="5:12" x14ac:dyDescent="0.2">
      <c r="E6628" s="1063"/>
      <c r="H6628" s="1066"/>
      <c r="I6628" s="1063"/>
      <c r="J6628" s="1063"/>
      <c r="K6628" s="1063"/>
      <c r="L6628" s="1063"/>
    </row>
    <row r="6629" spans="5:12" x14ac:dyDescent="0.2">
      <c r="E6629" s="1063"/>
      <c r="H6629" s="1066"/>
      <c r="I6629" s="1063"/>
      <c r="J6629" s="1063"/>
      <c r="K6629" s="1063"/>
      <c r="L6629" s="1063"/>
    </row>
    <row r="6630" spans="5:12" x14ac:dyDescent="0.2">
      <c r="E6630" s="1063"/>
      <c r="H6630" s="1066"/>
      <c r="I6630" s="1063"/>
      <c r="J6630" s="1063"/>
      <c r="K6630" s="1063"/>
      <c r="L6630" s="1063"/>
    </row>
    <row r="6631" spans="5:12" x14ac:dyDescent="0.2">
      <c r="E6631" s="1063"/>
      <c r="H6631" s="1066"/>
      <c r="I6631" s="1063"/>
      <c r="J6631" s="1063"/>
      <c r="K6631" s="1063"/>
      <c r="L6631" s="1063"/>
    </row>
    <row r="6632" spans="5:12" x14ac:dyDescent="0.2">
      <c r="E6632" s="1063"/>
      <c r="H6632" s="1066"/>
      <c r="I6632" s="1063"/>
      <c r="J6632" s="1063"/>
      <c r="K6632" s="1063"/>
      <c r="L6632" s="1063"/>
    </row>
    <row r="6633" spans="5:12" x14ac:dyDescent="0.2">
      <c r="E6633" s="1063"/>
      <c r="H6633" s="1066"/>
      <c r="I6633" s="1063"/>
      <c r="J6633" s="1063"/>
      <c r="K6633" s="1063"/>
      <c r="L6633" s="1063"/>
    </row>
    <row r="6634" spans="5:12" x14ac:dyDescent="0.2">
      <c r="E6634" s="1063"/>
      <c r="H6634" s="1066"/>
      <c r="I6634" s="1063"/>
      <c r="J6634" s="1063"/>
      <c r="K6634" s="1063"/>
      <c r="L6634" s="1063"/>
    </row>
    <row r="6635" spans="5:12" x14ac:dyDescent="0.2">
      <c r="E6635" s="1063"/>
      <c r="H6635" s="1066"/>
      <c r="I6635" s="1063"/>
      <c r="J6635" s="1063"/>
      <c r="K6635" s="1063"/>
      <c r="L6635" s="1063"/>
    </row>
    <row r="6636" spans="5:12" x14ac:dyDescent="0.2">
      <c r="E6636" s="1063"/>
      <c r="H6636" s="1066"/>
      <c r="I6636" s="1063"/>
      <c r="J6636" s="1063"/>
      <c r="K6636" s="1063"/>
      <c r="L6636" s="1063"/>
    </row>
    <row r="6637" spans="5:12" x14ac:dyDescent="0.2">
      <c r="E6637" s="1063"/>
      <c r="H6637" s="1066"/>
      <c r="I6637" s="1063"/>
      <c r="J6637" s="1063"/>
      <c r="K6637" s="1063"/>
      <c r="L6637" s="1063"/>
    </row>
    <row r="6638" spans="5:12" x14ac:dyDescent="0.2">
      <c r="E6638" s="1063"/>
      <c r="H6638" s="1066"/>
      <c r="I6638" s="1063"/>
      <c r="J6638" s="1063"/>
      <c r="K6638" s="1063"/>
      <c r="L6638" s="1063"/>
    </row>
    <row r="6639" spans="5:12" x14ac:dyDescent="0.2">
      <c r="E6639" s="1063"/>
      <c r="H6639" s="1066"/>
      <c r="I6639" s="1063"/>
      <c r="J6639" s="1063"/>
      <c r="K6639" s="1063"/>
      <c r="L6639" s="1063"/>
    </row>
    <row r="6640" spans="5:12" x14ac:dyDescent="0.2">
      <c r="E6640" s="1063"/>
      <c r="H6640" s="1066"/>
      <c r="I6640" s="1063"/>
      <c r="J6640" s="1063"/>
      <c r="K6640" s="1063"/>
      <c r="L6640" s="1063"/>
    </row>
    <row r="6641" spans="5:12" x14ac:dyDescent="0.2">
      <c r="E6641" s="1063"/>
      <c r="H6641" s="1066"/>
      <c r="I6641" s="1063"/>
      <c r="J6641" s="1063"/>
      <c r="K6641" s="1063"/>
      <c r="L6641" s="1063"/>
    </row>
    <row r="6642" spans="5:12" x14ac:dyDescent="0.2">
      <c r="E6642" s="1063"/>
      <c r="H6642" s="1066"/>
      <c r="I6642" s="1063"/>
      <c r="J6642" s="1063"/>
      <c r="K6642" s="1063"/>
      <c r="L6642" s="1063"/>
    </row>
    <row r="6643" spans="5:12" x14ac:dyDescent="0.2">
      <c r="E6643" s="1063"/>
      <c r="H6643" s="1066"/>
      <c r="I6643" s="1063"/>
      <c r="J6643" s="1063"/>
      <c r="K6643" s="1063"/>
      <c r="L6643" s="1063"/>
    </row>
    <row r="6644" spans="5:12" x14ac:dyDescent="0.2">
      <c r="E6644" s="1063"/>
      <c r="H6644" s="1066"/>
      <c r="I6644" s="1063"/>
      <c r="J6644" s="1063"/>
      <c r="K6644" s="1063"/>
      <c r="L6644" s="1063"/>
    </row>
    <row r="6645" spans="5:12" x14ac:dyDescent="0.2">
      <c r="E6645" s="1063"/>
      <c r="H6645" s="1066"/>
      <c r="I6645" s="1063"/>
      <c r="J6645" s="1063"/>
      <c r="K6645" s="1063"/>
      <c r="L6645" s="1063"/>
    </row>
    <row r="6646" spans="5:12" x14ac:dyDescent="0.2">
      <c r="E6646" s="1063"/>
      <c r="H6646" s="1066"/>
      <c r="I6646" s="1063"/>
      <c r="J6646" s="1063"/>
      <c r="K6646" s="1063"/>
      <c r="L6646" s="1063"/>
    </row>
    <row r="6647" spans="5:12" x14ac:dyDescent="0.2">
      <c r="E6647" s="1063"/>
      <c r="H6647" s="1066"/>
      <c r="I6647" s="1063"/>
      <c r="J6647" s="1063"/>
      <c r="K6647" s="1063"/>
      <c r="L6647" s="1063"/>
    </row>
    <row r="6648" spans="5:12" x14ac:dyDescent="0.2">
      <c r="E6648" s="1063"/>
      <c r="H6648" s="1066"/>
      <c r="I6648" s="1063"/>
      <c r="J6648" s="1063"/>
      <c r="K6648" s="1063"/>
      <c r="L6648" s="1063"/>
    </row>
    <row r="6649" spans="5:12" x14ac:dyDescent="0.2">
      <c r="E6649" s="1063"/>
      <c r="H6649" s="1066"/>
      <c r="I6649" s="1063"/>
      <c r="J6649" s="1063"/>
      <c r="K6649" s="1063"/>
      <c r="L6649" s="1063"/>
    </row>
    <row r="6650" spans="5:12" x14ac:dyDescent="0.2">
      <c r="E6650" s="1063"/>
      <c r="H6650" s="1066"/>
      <c r="I6650" s="1063"/>
      <c r="J6650" s="1063"/>
      <c r="K6650" s="1063"/>
      <c r="L6650" s="1063"/>
    </row>
    <row r="6651" spans="5:12" x14ac:dyDescent="0.2">
      <c r="E6651" s="1063"/>
      <c r="H6651" s="1066"/>
      <c r="I6651" s="1063"/>
      <c r="J6651" s="1063"/>
      <c r="K6651" s="1063"/>
      <c r="L6651" s="1063"/>
    </row>
    <row r="6652" spans="5:12" x14ac:dyDescent="0.2">
      <c r="E6652" s="1063"/>
      <c r="H6652" s="1066"/>
      <c r="I6652" s="1063"/>
      <c r="J6652" s="1063"/>
      <c r="K6652" s="1063"/>
      <c r="L6652" s="1063"/>
    </row>
    <row r="6653" spans="5:12" x14ac:dyDescent="0.2">
      <c r="E6653" s="1063"/>
      <c r="H6653" s="1066"/>
      <c r="I6653" s="1063"/>
      <c r="J6653" s="1063"/>
      <c r="K6653" s="1063"/>
      <c r="L6653" s="1063"/>
    </row>
    <row r="6654" spans="5:12" x14ac:dyDescent="0.2">
      <c r="E6654" s="1063"/>
      <c r="H6654" s="1066"/>
      <c r="I6654" s="1063"/>
      <c r="J6654" s="1063"/>
      <c r="K6654" s="1063"/>
      <c r="L6654" s="1063"/>
    </row>
    <row r="6655" spans="5:12" x14ac:dyDescent="0.2">
      <c r="E6655" s="1063"/>
      <c r="H6655" s="1066"/>
      <c r="I6655" s="1063"/>
      <c r="J6655" s="1063"/>
      <c r="K6655" s="1063"/>
      <c r="L6655" s="1063"/>
    </row>
    <row r="6656" spans="5:12" x14ac:dyDescent="0.2">
      <c r="E6656" s="1063"/>
      <c r="H6656" s="1066"/>
      <c r="I6656" s="1063"/>
      <c r="J6656" s="1063"/>
      <c r="K6656" s="1063"/>
      <c r="L6656" s="1063"/>
    </row>
    <row r="6657" spans="5:12" x14ac:dyDescent="0.2">
      <c r="E6657" s="1063"/>
      <c r="H6657" s="1066"/>
      <c r="I6657" s="1063"/>
      <c r="J6657" s="1063"/>
      <c r="K6657" s="1063"/>
      <c r="L6657" s="1063"/>
    </row>
    <row r="6658" spans="5:12" x14ac:dyDescent="0.2">
      <c r="E6658" s="1063"/>
      <c r="H6658" s="1066"/>
      <c r="I6658" s="1063"/>
      <c r="J6658" s="1063"/>
      <c r="K6658" s="1063"/>
      <c r="L6658" s="1063"/>
    </row>
    <row r="6659" spans="5:12" x14ac:dyDescent="0.2">
      <c r="E6659" s="1063"/>
      <c r="H6659" s="1066"/>
      <c r="I6659" s="1063"/>
      <c r="J6659" s="1063"/>
      <c r="K6659" s="1063"/>
      <c r="L6659" s="1063"/>
    </row>
    <row r="6660" spans="5:12" x14ac:dyDescent="0.2">
      <c r="E6660" s="1063"/>
      <c r="H6660" s="1066"/>
      <c r="I6660" s="1063"/>
      <c r="J6660" s="1063"/>
      <c r="K6660" s="1063"/>
      <c r="L6660" s="1063"/>
    </row>
    <row r="6661" spans="5:12" x14ac:dyDescent="0.2">
      <c r="E6661" s="1063"/>
      <c r="H6661" s="1066"/>
      <c r="I6661" s="1063"/>
      <c r="J6661" s="1063"/>
      <c r="K6661" s="1063"/>
      <c r="L6661" s="1063"/>
    </row>
    <row r="6662" spans="5:12" x14ac:dyDescent="0.2">
      <c r="E6662" s="1063"/>
      <c r="H6662" s="1066"/>
      <c r="I6662" s="1063"/>
      <c r="J6662" s="1063"/>
      <c r="K6662" s="1063"/>
      <c r="L6662" s="1063"/>
    </row>
    <row r="6663" spans="5:12" x14ac:dyDescent="0.2">
      <c r="E6663" s="1063"/>
      <c r="H6663" s="1066"/>
      <c r="I6663" s="1063"/>
      <c r="J6663" s="1063"/>
      <c r="K6663" s="1063"/>
      <c r="L6663" s="1063"/>
    </row>
    <row r="6664" spans="5:12" x14ac:dyDescent="0.2">
      <c r="E6664" s="1063"/>
      <c r="H6664" s="1066"/>
      <c r="I6664" s="1063"/>
      <c r="J6664" s="1063"/>
      <c r="K6664" s="1063"/>
      <c r="L6664" s="1063"/>
    </row>
    <row r="6665" spans="5:12" x14ac:dyDescent="0.2">
      <c r="E6665" s="1063"/>
      <c r="H6665" s="1066"/>
      <c r="I6665" s="1063"/>
      <c r="J6665" s="1063"/>
      <c r="K6665" s="1063"/>
      <c r="L6665" s="1063"/>
    </row>
    <row r="6666" spans="5:12" x14ac:dyDescent="0.2">
      <c r="E6666" s="1063"/>
      <c r="H6666" s="1066"/>
      <c r="I6666" s="1063"/>
      <c r="J6666" s="1063"/>
      <c r="K6666" s="1063"/>
      <c r="L6666" s="1063"/>
    </row>
    <row r="6667" spans="5:12" x14ac:dyDescent="0.2">
      <c r="E6667" s="1063"/>
      <c r="H6667" s="1066"/>
      <c r="I6667" s="1063"/>
      <c r="J6667" s="1063"/>
      <c r="K6667" s="1063"/>
      <c r="L6667" s="1063"/>
    </row>
    <row r="6668" spans="5:12" x14ac:dyDescent="0.2">
      <c r="E6668" s="1063"/>
      <c r="H6668" s="1066"/>
      <c r="I6668" s="1063"/>
      <c r="J6668" s="1063"/>
      <c r="K6668" s="1063"/>
      <c r="L6668" s="1063"/>
    </row>
    <row r="6669" spans="5:12" x14ac:dyDescent="0.2">
      <c r="E6669" s="1063"/>
      <c r="H6669" s="1066"/>
      <c r="I6669" s="1063"/>
      <c r="J6669" s="1063"/>
      <c r="K6669" s="1063"/>
      <c r="L6669" s="1063"/>
    </row>
    <row r="6670" spans="5:12" x14ac:dyDescent="0.2">
      <c r="E6670" s="1063"/>
      <c r="H6670" s="1066"/>
      <c r="I6670" s="1063"/>
      <c r="J6670" s="1063"/>
      <c r="K6670" s="1063"/>
      <c r="L6670" s="1063"/>
    </row>
    <row r="6671" spans="5:12" x14ac:dyDescent="0.2">
      <c r="E6671" s="1063"/>
      <c r="H6671" s="1066"/>
      <c r="I6671" s="1063"/>
      <c r="J6671" s="1063"/>
      <c r="K6671" s="1063"/>
      <c r="L6671" s="1063"/>
    </row>
    <row r="6672" spans="5:12" x14ac:dyDescent="0.2">
      <c r="E6672" s="1063"/>
      <c r="H6672" s="1066"/>
      <c r="I6672" s="1063"/>
      <c r="J6672" s="1063"/>
      <c r="K6672" s="1063"/>
      <c r="L6672" s="1063"/>
    </row>
    <row r="6673" spans="5:12" x14ac:dyDescent="0.2">
      <c r="E6673" s="1063"/>
      <c r="H6673" s="1066"/>
      <c r="I6673" s="1063"/>
      <c r="J6673" s="1063"/>
      <c r="K6673" s="1063"/>
      <c r="L6673" s="1063"/>
    </row>
    <row r="6674" spans="5:12" x14ac:dyDescent="0.2">
      <c r="E6674" s="1063"/>
      <c r="H6674" s="1066"/>
      <c r="I6674" s="1063"/>
      <c r="J6674" s="1063"/>
      <c r="K6674" s="1063"/>
      <c r="L6674" s="1063"/>
    </row>
    <row r="6675" spans="5:12" x14ac:dyDescent="0.2">
      <c r="E6675" s="1063"/>
      <c r="H6675" s="1066"/>
      <c r="I6675" s="1063"/>
      <c r="J6675" s="1063"/>
      <c r="K6675" s="1063"/>
      <c r="L6675" s="1063"/>
    </row>
    <row r="6676" spans="5:12" x14ac:dyDescent="0.2">
      <c r="E6676" s="1063"/>
      <c r="H6676" s="1066"/>
      <c r="I6676" s="1063"/>
      <c r="J6676" s="1063"/>
      <c r="K6676" s="1063"/>
      <c r="L6676" s="1063"/>
    </row>
    <row r="6677" spans="5:12" x14ac:dyDescent="0.2">
      <c r="E6677" s="1063"/>
      <c r="H6677" s="1066"/>
      <c r="I6677" s="1063"/>
      <c r="J6677" s="1063"/>
      <c r="K6677" s="1063"/>
      <c r="L6677" s="1063"/>
    </row>
    <row r="6678" spans="5:12" x14ac:dyDescent="0.2">
      <c r="E6678" s="1063"/>
      <c r="H6678" s="1066"/>
      <c r="I6678" s="1063"/>
      <c r="J6678" s="1063"/>
      <c r="K6678" s="1063"/>
      <c r="L6678" s="1063"/>
    </row>
    <row r="6679" spans="5:12" x14ac:dyDescent="0.2">
      <c r="E6679" s="1063"/>
      <c r="H6679" s="1066"/>
      <c r="I6679" s="1063"/>
      <c r="J6679" s="1063"/>
      <c r="K6679" s="1063"/>
      <c r="L6679" s="1063"/>
    </row>
    <row r="6680" spans="5:12" x14ac:dyDescent="0.2">
      <c r="E6680" s="1063"/>
      <c r="H6680" s="1066"/>
      <c r="I6680" s="1063"/>
      <c r="J6680" s="1063"/>
      <c r="K6680" s="1063"/>
      <c r="L6680" s="1063"/>
    </row>
    <row r="6681" spans="5:12" x14ac:dyDescent="0.2">
      <c r="E6681" s="1063"/>
      <c r="H6681" s="1066"/>
      <c r="I6681" s="1063"/>
      <c r="J6681" s="1063"/>
      <c r="K6681" s="1063"/>
      <c r="L6681" s="1063"/>
    </row>
    <row r="6682" spans="5:12" x14ac:dyDescent="0.2">
      <c r="E6682" s="1063"/>
      <c r="H6682" s="1066"/>
      <c r="I6682" s="1063"/>
      <c r="J6682" s="1063"/>
      <c r="K6682" s="1063"/>
      <c r="L6682" s="1063"/>
    </row>
    <row r="6683" spans="5:12" x14ac:dyDescent="0.2">
      <c r="E6683" s="1063"/>
      <c r="H6683" s="1066"/>
      <c r="I6683" s="1063"/>
      <c r="J6683" s="1063"/>
      <c r="K6683" s="1063"/>
      <c r="L6683" s="1063"/>
    </row>
    <row r="6684" spans="5:12" x14ac:dyDescent="0.2">
      <c r="E6684" s="1063"/>
      <c r="H6684" s="1066"/>
      <c r="I6684" s="1063"/>
      <c r="J6684" s="1063"/>
      <c r="K6684" s="1063"/>
      <c r="L6684" s="1063"/>
    </row>
    <row r="6685" spans="5:12" x14ac:dyDescent="0.2">
      <c r="E6685" s="1063"/>
      <c r="H6685" s="1066"/>
      <c r="I6685" s="1063"/>
      <c r="J6685" s="1063"/>
      <c r="K6685" s="1063"/>
      <c r="L6685" s="1063"/>
    </row>
    <row r="6686" spans="5:12" x14ac:dyDescent="0.2">
      <c r="E6686" s="1063"/>
      <c r="H6686" s="1066"/>
      <c r="I6686" s="1063"/>
      <c r="J6686" s="1063"/>
      <c r="K6686" s="1063"/>
      <c r="L6686" s="1063"/>
    </row>
    <row r="6687" spans="5:12" x14ac:dyDescent="0.2">
      <c r="E6687" s="1063"/>
      <c r="H6687" s="1066"/>
      <c r="I6687" s="1063"/>
      <c r="J6687" s="1063"/>
      <c r="K6687" s="1063"/>
      <c r="L6687" s="1063"/>
    </row>
    <row r="6688" spans="5:12" x14ac:dyDescent="0.2">
      <c r="E6688" s="1063"/>
      <c r="H6688" s="1066"/>
      <c r="I6688" s="1063"/>
      <c r="J6688" s="1063"/>
      <c r="K6688" s="1063"/>
      <c r="L6688" s="1063"/>
    </row>
    <row r="6689" spans="5:12" x14ac:dyDescent="0.2">
      <c r="E6689" s="1063"/>
      <c r="H6689" s="1066"/>
      <c r="I6689" s="1063"/>
      <c r="J6689" s="1063"/>
      <c r="K6689" s="1063"/>
      <c r="L6689" s="1063"/>
    </row>
    <row r="6690" spans="5:12" x14ac:dyDescent="0.2">
      <c r="E6690" s="1063"/>
      <c r="H6690" s="1066"/>
      <c r="I6690" s="1063"/>
      <c r="J6690" s="1063"/>
      <c r="K6690" s="1063"/>
      <c r="L6690" s="1063"/>
    </row>
    <row r="6691" spans="5:12" x14ac:dyDescent="0.2">
      <c r="E6691" s="1063"/>
      <c r="H6691" s="1066"/>
      <c r="I6691" s="1063"/>
      <c r="J6691" s="1063"/>
      <c r="K6691" s="1063"/>
      <c r="L6691" s="1063"/>
    </row>
    <row r="6692" spans="5:12" x14ac:dyDescent="0.2">
      <c r="E6692" s="1063"/>
      <c r="H6692" s="1066"/>
      <c r="I6692" s="1063"/>
      <c r="J6692" s="1063"/>
      <c r="K6692" s="1063"/>
      <c r="L6692" s="1063"/>
    </row>
    <row r="6693" spans="5:12" x14ac:dyDescent="0.2">
      <c r="E6693" s="1063"/>
      <c r="H6693" s="1066"/>
      <c r="I6693" s="1063"/>
      <c r="J6693" s="1063"/>
      <c r="K6693" s="1063"/>
      <c r="L6693" s="1063"/>
    </row>
    <row r="6694" spans="5:12" x14ac:dyDescent="0.2">
      <c r="E6694" s="1063"/>
      <c r="H6694" s="1066"/>
      <c r="I6694" s="1063"/>
      <c r="J6694" s="1063"/>
      <c r="K6694" s="1063"/>
      <c r="L6694" s="1063"/>
    </row>
    <row r="6695" spans="5:12" x14ac:dyDescent="0.2">
      <c r="E6695" s="1063"/>
      <c r="H6695" s="1066"/>
      <c r="I6695" s="1063"/>
      <c r="J6695" s="1063"/>
      <c r="K6695" s="1063"/>
      <c r="L6695" s="1063"/>
    </row>
    <row r="6696" spans="5:12" x14ac:dyDescent="0.2">
      <c r="E6696" s="1063"/>
      <c r="H6696" s="1066"/>
      <c r="I6696" s="1063"/>
      <c r="J6696" s="1063"/>
      <c r="K6696" s="1063"/>
      <c r="L6696" s="1063"/>
    </row>
    <row r="6697" spans="5:12" x14ac:dyDescent="0.2">
      <c r="E6697" s="1063"/>
      <c r="H6697" s="1066"/>
      <c r="I6697" s="1063"/>
      <c r="J6697" s="1063"/>
      <c r="K6697" s="1063"/>
      <c r="L6697" s="1063"/>
    </row>
    <row r="6698" spans="5:12" x14ac:dyDescent="0.2">
      <c r="E6698" s="1063"/>
      <c r="H6698" s="1066"/>
      <c r="I6698" s="1063"/>
      <c r="J6698" s="1063"/>
      <c r="K6698" s="1063"/>
      <c r="L6698" s="1063"/>
    </row>
    <row r="6699" spans="5:12" x14ac:dyDescent="0.2">
      <c r="E6699" s="1063"/>
      <c r="H6699" s="1066"/>
      <c r="I6699" s="1063"/>
      <c r="J6699" s="1063"/>
      <c r="K6699" s="1063"/>
      <c r="L6699" s="1063"/>
    </row>
    <row r="6700" spans="5:12" x14ac:dyDescent="0.2">
      <c r="E6700" s="1063"/>
      <c r="H6700" s="1066"/>
      <c r="I6700" s="1063"/>
      <c r="J6700" s="1063"/>
      <c r="K6700" s="1063"/>
      <c r="L6700" s="1063"/>
    </row>
    <row r="6701" spans="5:12" x14ac:dyDescent="0.2">
      <c r="E6701" s="1063"/>
      <c r="H6701" s="1066"/>
      <c r="I6701" s="1063"/>
      <c r="J6701" s="1063"/>
      <c r="K6701" s="1063"/>
      <c r="L6701" s="1063"/>
    </row>
    <row r="6702" spans="5:12" x14ac:dyDescent="0.2">
      <c r="E6702" s="1063"/>
      <c r="H6702" s="1066"/>
      <c r="I6702" s="1063"/>
      <c r="J6702" s="1063"/>
      <c r="K6702" s="1063"/>
      <c r="L6702" s="1063"/>
    </row>
    <row r="6703" spans="5:12" x14ac:dyDescent="0.2">
      <c r="E6703" s="1063"/>
      <c r="H6703" s="1066"/>
      <c r="I6703" s="1063"/>
      <c r="J6703" s="1063"/>
      <c r="K6703" s="1063"/>
      <c r="L6703" s="1063"/>
    </row>
    <row r="6704" spans="5:12" x14ac:dyDescent="0.2">
      <c r="E6704" s="1063"/>
      <c r="H6704" s="1066"/>
      <c r="I6704" s="1063"/>
      <c r="J6704" s="1063"/>
      <c r="K6704" s="1063"/>
      <c r="L6704" s="1063"/>
    </row>
    <row r="6705" spans="5:12" x14ac:dyDescent="0.2">
      <c r="E6705" s="1063"/>
      <c r="H6705" s="1066"/>
      <c r="I6705" s="1063"/>
      <c r="J6705" s="1063"/>
      <c r="K6705" s="1063"/>
      <c r="L6705" s="1063"/>
    </row>
    <row r="6706" spans="5:12" x14ac:dyDescent="0.2">
      <c r="E6706" s="1063"/>
      <c r="H6706" s="1066"/>
      <c r="I6706" s="1063"/>
      <c r="J6706" s="1063"/>
      <c r="K6706" s="1063"/>
      <c r="L6706" s="1063"/>
    </row>
    <row r="6707" spans="5:12" x14ac:dyDescent="0.2">
      <c r="E6707" s="1063"/>
      <c r="H6707" s="1066"/>
      <c r="I6707" s="1063"/>
      <c r="J6707" s="1063"/>
      <c r="K6707" s="1063"/>
      <c r="L6707" s="1063"/>
    </row>
    <row r="6708" spans="5:12" x14ac:dyDescent="0.2">
      <c r="E6708" s="1063"/>
      <c r="H6708" s="1066"/>
      <c r="I6708" s="1063"/>
      <c r="J6708" s="1063"/>
      <c r="K6708" s="1063"/>
      <c r="L6708" s="1063"/>
    </row>
    <row r="6709" spans="5:12" x14ac:dyDescent="0.2">
      <c r="E6709" s="1063"/>
      <c r="H6709" s="1066"/>
      <c r="I6709" s="1063"/>
      <c r="J6709" s="1063"/>
      <c r="K6709" s="1063"/>
      <c r="L6709" s="1063"/>
    </row>
    <row r="6710" spans="5:12" x14ac:dyDescent="0.2">
      <c r="E6710" s="1063"/>
      <c r="H6710" s="1066"/>
      <c r="I6710" s="1063"/>
      <c r="J6710" s="1063"/>
      <c r="K6710" s="1063"/>
      <c r="L6710" s="1063"/>
    </row>
    <row r="6711" spans="5:12" x14ac:dyDescent="0.2">
      <c r="E6711" s="1063"/>
      <c r="H6711" s="1066"/>
      <c r="I6711" s="1063"/>
      <c r="J6711" s="1063"/>
      <c r="K6711" s="1063"/>
      <c r="L6711" s="1063"/>
    </row>
    <row r="6712" spans="5:12" x14ac:dyDescent="0.2">
      <c r="E6712" s="1063"/>
      <c r="H6712" s="1066"/>
      <c r="I6712" s="1063"/>
      <c r="J6712" s="1063"/>
      <c r="K6712" s="1063"/>
      <c r="L6712" s="1063"/>
    </row>
    <row r="6713" spans="5:12" x14ac:dyDescent="0.2">
      <c r="E6713" s="1063"/>
      <c r="H6713" s="1066"/>
      <c r="I6713" s="1063"/>
      <c r="J6713" s="1063"/>
      <c r="K6713" s="1063"/>
      <c r="L6713" s="1063"/>
    </row>
    <row r="6714" spans="5:12" x14ac:dyDescent="0.2">
      <c r="E6714" s="1063"/>
      <c r="H6714" s="1066"/>
      <c r="I6714" s="1063"/>
      <c r="J6714" s="1063"/>
      <c r="K6714" s="1063"/>
      <c r="L6714" s="1063"/>
    </row>
    <row r="6715" spans="5:12" x14ac:dyDescent="0.2">
      <c r="E6715" s="1063"/>
      <c r="H6715" s="1066"/>
      <c r="I6715" s="1063"/>
      <c r="J6715" s="1063"/>
      <c r="K6715" s="1063"/>
      <c r="L6715" s="1063"/>
    </row>
    <row r="6716" spans="5:12" x14ac:dyDescent="0.2">
      <c r="E6716" s="1063"/>
      <c r="H6716" s="1066"/>
      <c r="I6716" s="1063"/>
      <c r="J6716" s="1063"/>
      <c r="K6716" s="1063"/>
      <c r="L6716" s="1063"/>
    </row>
    <row r="6717" spans="5:12" x14ac:dyDescent="0.2">
      <c r="E6717" s="1063"/>
      <c r="H6717" s="1066"/>
      <c r="I6717" s="1063"/>
      <c r="J6717" s="1063"/>
      <c r="K6717" s="1063"/>
      <c r="L6717" s="1063"/>
    </row>
    <row r="6718" spans="5:12" x14ac:dyDescent="0.2">
      <c r="E6718" s="1063"/>
      <c r="H6718" s="1066"/>
      <c r="I6718" s="1063"/>
      <c r="J6718" s="1063"/>
      <c r="K6718" s="1063"/>
      <c r="L6718" s="1063"/>
    </row>
    <row r="6719" spans="5:12" x14ac:dyDescent="0.2">
      <c r="E6719" s="1063"/>
      <c r="H6719" s="1066"/>
      <c r="I6719" s="1063"/>
      <c r="J6719" s="1063"/>
      <c r="K6719" s="1063"/>
      <c r="L6719" s="1063"/>
    </row>
    <row r="6720" spans="5:12" x14ac:dyDescent="0.2">
      <c r="E6720" s="1063"/>
      <c r="H6720" s="1066"/>
      <c r="I6720" s="1063"/>
      <c r="J6720" s="1063"/>
      <c r="K6720" s="1063"/>
      <c r="L6720" s="1063"/>
    </row>
    <row r="6721" spans="5:12" x14ac:dyDescent="0.2">
      <c r="E6721" s="1063"/>
      <c r="H6721" s="1066"/>
      <c r="I6721" s="1063"/>
      <c r="J6721" s="1063"/>
      <c r="K6721" s="1063"/>
      <c r="L6721" s="1063"/>
    </row>
    <row r="6722" spans="5:12" x14ac:dyDescent="0.2">
      <c r="E6722" s="1063"/>
      <c r="H6722" s="1066"/>
      <c r="I6722" s="1063"/>
      <c r="J6722" s="1063"/>
      <c r="K6722" s="1063"/>
      <c r="L6722" s="1063"/>
    </row>
    <row r="6723" spans="5:12" x14ac:dyDescent="0.2">
      <c r="E6723" s="1063"/>
      <c r="H6723" s="1066"/>
      <c r="I6723" s="1063"/>
      <c r="J6723" s="1063"/>
      <c r="K6723" s="1063"/>
      <c r="L6723" s="1063"/>
    </row>
    <row r="6724" spans="5:12" x14ac:dyDescent="0.2">
      <c r="E6724" s="1063"/>
      <c r="H6724" s="1066"/>
      <c r="I6724" s="1063"/>
      <c r="J6724" s="1063"/>
      <c r="K6724" s="1063"/>
      <c r="L6724" s="1063"/>
    </row>
    <row r="6725" spans="5:12" x14ac:dyDescent="0.2">
      <c r="E6725" s="1063"/>
      <c r="H6725" s="1066"/>
      <c r="I6725" s="1063"/>
      <c r="J6725" s="1063"/>
      <c r="K6725" s="1063"/>
      <c r="L6725" s="1063"/>
    </row>
    <row r="6726" spans="5:12" x14ac:dyDescent="0.2">
      <c r="E6726" s="1063"/>
      <c r="H6726" s="1066"/>
      <c r="I6726" s="1063"/>
      <c r="J6726" s="1063"/>
      <c r="K6726" s="1063"/>
      <c r="L6726" s="1063"/>
    </row>
    <row r="6727" spans="5:12" x14ac:dyDescent="0.2">
      <c r="E6727" s="1063"/>
      <c r="H6727" s="1066"/>
      <c r="I6727" s="1063"/>
      <c r="J6727" s="1063"/>
      <c r="K6727" s="1063"/>
      <c r="L6727" s="1063"/>
    </row>
    <row r="6728" spans="5:12" x14ac:dyDescent="0.2">
      <c r="E6728" s="1063"/>
      <c r="H6728" s="1066"/>
      <c r="I6728" s="1063"/>
      <c r="J6728" s="1063"/>
      <c r="K6728" s="1063"/>
      <c r="L6728" s="1063"/>
    </row>
    <row r="6729" spans="5:12" x14ac:dyDescent="0.2">
      <c r="E6729" s="1063"/>
      <c r="H6729" s="1066"/>
      <c r="I6729" s="1063"/>
      <c r="J6729" s="1063"/>
      <c r="K6729" s="1063"/>
      <c r="L6729" s="1063"/>
    </row>
    <row r="6730" spans="5:12" x14ac:dyDescent="0.2">
      <c r="E6730" s="1063"/>
      <c r="H6730" s="1066"/>
      <c r="I6730" s="1063"/>
      <c r="J6730" s="1063"/>
      <c r="K6730" s="1063"/>
      <c r="L6730" s="1063"/>
    </row>
    <row r="6731" spans="5:12" x14ac:dyDescent="0.2">
      <c r="E6731" s="1063"/>
      <c r="H6731" s="1066"/>
      <c r="I6731" s="1063"/>
      <c r="J6731" s="1063"/>
      <c r="K6731" s="1063"/>
      <c r="L6731" s="1063"/>
    </row>
    <row r="6732" spans="5:12" x14ac:dyDescent="0.2">
      <c r="E6732" s="1063"/>
      <c r="H6732" s="1066"/>
      <c r="I6732" s="1063"/>
      <c r="J6732" s="1063"/>
      <c r="K6732" s="1063"/>
      <c r="L6732" s="1063"/>
    </row>
    <row r="6733" spans="5:12" x14ac:dyDescent="0.2">
      <c r="E6733" s="1063"/>
      <c r="H6733" s="1066"/>
      <c r="I6733" s="1063"/>
      <c r="J6733" s="1063"/>
      <c r="K6733" s="1063"/>
      <c r="L6733" s="1063"/>
    </row>
    <row r="6734" spans="5:12" x14ac:dyDescent="0.2">
      <c r="E6734" s="1063"/>
      <c r="H6734" s="1066"/>
      <c r="I6734" s="1063"/>
      <c r="J6734" s="1063"/>
      <c r="K6734" s="1063"/>
      <c r="L6734" s="1063"/>
    </row>
    <row r="6735" spans="5:12" x14ac:dyDescent="0.2">
      <c r="E6735" s="1063"/>
      <c r="H6735" s="1066"/>
      <c r="I6735" s="1063"/>
      <c r="J6735" s="1063"/>
      <c r="K6735" s="1063"/>
      <c r="L6735" s="1063"/>
    </row>
    <row r="6736" spans="5:12" x14ac:dyDescent="0.2">
      <c r="E6736" s="1063"/>
      <c r="H6736" s="1066"/>
      <c r="I6736" s="1063"/>
      <c r="J6736" s="1063"/>
      <c r="K6736" s="1063"/>
      <c r="L6736" s="1063"/>
    </row>
    <row r="6737" spans="5:12" x14ac:dyDescent="0.2">
      <c r="E6737" s="1063"/>
      <c r="H6737" s="1066"/>
      <c r="I6737" s="1063"/>
      <c r="J6737" s="1063"/>
      <c r="K6737" s="1063"/>
      <c r="L6737" s="1063"/>
    </row>
    <row r="6738" spans="5:12" x14ac:dyDescent="0.2">
      <c r="E6738" s="1063"/>
      <c r="H6738" s="1066"/>
      <c r="I6738" s="1063"/>
      <c r="J6738" s="1063"/>
      <c r="K6738" s="1063"/>
      <c r="L6738" s="1063"/>
    </row>
    <row r="6739" spans="5:12" x14ac:dyDescent="0.2">
      <c r="E6739" s="1063"/>
      <c r="H6739" s="1066"/>
      <c r="I6739" s="1063"/>
      <c r="J6739" s="1063"/>
      <c r="K6739" s="1063"/>
      <c r="L6739" s="1063"/>
    </row>
    <row r="6740" spans="5:12" x14ac:dyDescent="0.2">
      <c r="E6740" s="1063"/>
      <c r="H6740" s="1066"/>
      <c r="I6740" s="1063"/>
      <c r="J6740" s="1063"/>
      <c r="K6740" s="1063"/>
      <c r="L6740" s="1063"/>
    </row>
    <row r="6741" spans="5:12" x14ac:dyDescent="0.2">
      <c r="E6741" s="1063"/>
      <c r="H6741" s="1066"/>
      <c r="I6741" s="1063"/>
      <c r="J6741" s="1063"/>
      <c r="K6741" s="1063"/>
      <c r="L6741" s="1063"/>
    </row>
    <row r="6742" spans="5:12" x14ac:dyDescent="0.2">
      <c r="E6742" s="1063"/>
      <c r="H6742" s="1066"/>
      <c r="I6742" s="1063"/>
      <c r="J6742" s="1063"/>
      <c r="K6742" s="1063"/>
      <c r="L6742" s="1063"/>
    </row>
    <row r="6743" spans="5:12" x14ac:dyDescent="0.2">
      <c r="E6743" s="1063"/>
      <c r="H6743" s="1066"/>
      <c r="I6743" s="1063"/>
      <c r="J6743" s="1063"/>
      <c r="K6743" s="1063"/>
      <c r="L6743" s="1063"/>
    </row>
    <row r="6744" spans="5:12" x14ac:dyDescent="0.2">
      <c r="E6744" s="1063"/>
      <c r="H6744" s="1066"/>
      <c r="I6744" s="1063"/>
      <c r="J6744" s="1063"/>
      <c r="K6744" s="1063"/>
      <c r="L6744" s="1063"/>
    </row>
    <row r="6745" spans="5:12" x14ac:dyDescent="0.2">
      <c r="E6745" s="1063"/>
      <c r="H6745" s="1066"/>
      <c r="I6745" s="1063"/>
      <c r="J6745" s="1063"/>
      <c r="K6745" s="1063"/>
      <c r="L6745" s="1063"/>
    </row>
    <row r="6746" spans="5:12" x14ac:dyDescent="0.2">
      <c r="E6746" s="1063"/>
      <c r="H6746" s="1066"/>
      <c r="I6746" s="1063"/>
      <c r="J6746" s="1063"/>
      <c r="K6746" s="1063"/>
      <c r="L6746" s="1063"/>
    </row>
    <row r="6747" spans="5:12" x14ac:dyDescent="0.2">
      <c r="E6747" s="1063"/>
      <c r="H6747" s="1066"/>
      <c r="I6747" s="1063"/>
      <c r="J6747" s="1063"/>
      <c r="K6747" s="1063"/>
      <c r="L6747" s="1063"/>
    </row>
    <row r="6748" spans="5:12" x14ac:dyDescent="0.2">
      <c r="E6748" s="1063"/>
      <c r="H6748" s="1066"/>
      <c r="I6748" s="1063"/>
      <c r="J6748" s="1063"/>
      <c r="K6748" s="1063"/>
      <c r="L6748" s="1063"/>
    </row>
    <row r="6749" spans="5:12" x14ac:dyDescent="0.2">
      <c r="E6749" s="1063"/>
      <c r="H6749" s="1066"/>
      <c r="I6749" s="1063"/>
      <c r="J6749" s="1063"/>
      <c r="K6749" s="1063"/>
      <c r="L6749" s="1063"/>
    </row>
    <row r="6750" spans="5:12" x14ac:dyDescent="0.2">
      <c r="E6750" s="1063"/>
      <c r="H6750" s="1066"/>
      <c r="I6750" s="1063"/>
      <c r="J6750" s="1063"/>
      <c r="K6750" s="1063"/>
      <c r="L6750" s="1063"/>
    </row>
    <row r="6751" spans="5:12" x14ac:dyDescent="0.2">
      <c r="E6751" s="1063"/>
      <c r="H6751" s="1066"/>
      <c r="I6751" s="1063"/>
      <c r="J6751" s="1063"/>
      <c r="K6751" s="1063"/>
      <c r="L6751" s="1063"/>
    </row>
    <row r="6752" spans="5:12" x14ac:dyDescent="0.2">
      <c r="E6752" s="1063"/>
      <c r="H6752" s="1066"/>
      <c r="I6752" s="1063"/>
      <c r="J6752" s="1063"/>
      <c r="K6752" s="1063"/>
      <c r="L6752" s="1063"/>
    </row>
    <row r="6753" spans="5:12" x14ac:dyDescent="0.2">
      <c r="E6753" s="1063"/>
      <c r="H6753" s="1066"/>
      <c r="I6753" s="1063"/>
      <c r="J6753" s="1063"/>
      <c r="K6753" s="1063"/>
      <c r="L6753" s="1063"/>
    </row>
    <row r="6754" spans="5:12" x14ac:dyDescent="0.2">
      <c r="E6754" s="1063"/>
      <c r="H6754" s="1066"/>
      <c r="I6754" s="1063"/>
      <c r="J6754" s="1063"/>
      <c r="K6754" s="1063"/>
      <c r="L6754" s="1063"/>
    </row>
    <row r="6755" spans="5:12" x14ac:dyDescent="0.2">
      <c r="E6755" s="1063"/>
      <c r="H6755" s="1066"/>
      <c r="I6755" s="1063"/>
      <c r="J6755" s="1063"/>
      <c r="K6755" s="1063"/>
      <c r="L6755" s="1063"/>
    </row>
    <row r="6756" spans="5:12" x14ac:dyDescent="0.2">
      <c r="E6756" s="1063"/>
      <c r="H6756" s="1066"/>
      <c r="I6756" s="1063"/>
      <c r="J6756" s="1063"/>
      <c r="K6756" s="1063"/>
      <c r="L6756" s="1063"/>
    </row>
    <row r="6757" spans="5:12" x14ac:dyDescent="0.2">
      <c r="E6757" s="1063"/>
      <c r="H6757" s="1066"/>
      <c r="I6757" s="1063"/>
      <c r="J6757" s="1063"/>
      <c r="K6757" s="1063"/>
      <c r="L6757" s="1063"/>
    </row>
    <row r="6758" spans="5:12" x14ac:dyDescent="0.2">
      <c r="E6758" s="1063"/>
      <c r="H6758" s="1066"/>
      <c r="I6758" s="1063"/>
      <c r="J6758" s="1063"/>
      <c r="K6758" s="1063"/>
      <c r="L6758" s="1063"/>
    </row>
    <row r="6759" spans="5:12" x14ac:dyDescent="0.2">
      <c r="E6759" s="1063"/>
      <c r="H6759" s="1066"/>
      <c r="I6759" s="1063"/>
      <c r="J6759" s="1063"/>
      <c r="K6759" s="1063"/>
      <c r="L6759" s="1063"/>
    </row>
    <row r="6760" spans="5:12" x14ac:dyDescent="0.2">
      <c r="E6760" s="1063"/>
      <c r="H6760" s="1066"/>
      <c r="I6760" s="1063"/>
      <c r="J6760" s="1063"/>
      <c r="K6760" s="1063"/>
      <c r="L6760" s="1063"/>
    </row>
    <row r="6761" spans="5:12" x14ac:dyDescent="0.2">
      <c r="E6761" s="1063"/>
      <c r="H6761" s="1066"/>
      <c r="I6761" s="1063"/>
      <c r="J6761" s="1063"/>
      <c r="K6761" s="1063"/>
      <c r="L6761" s="1063"/>
    </row>
    <row r="6762" spans="5:12" x14ac:dyDescent="0.2">
      <c r="E6762" s="1063"/>
      <c r="H6762" s="1066"/>
      <c r="I6762" s="1063"/>
      <c r="J6762" s="1063"/>
      <c r="K6762" s="1063"/>
      <c r="L6762" s="1063"/>
    </row>
    <row r="6763" spans="5:12" x14ac:dyDescent="0.2">
      <c r="E6763" s="1063"/>
      <c r="H6763" s="1066"/>
      <c r="I6763" s="1063"/>
      <c r="J6763" s="1063"/>
      <c r="K6763" s="1063"/>
      <c r="L6763" s="1063"/>
    </row>
    <row r="6764" spans="5:12" x14ac:dyDescent="0.2">
      <c r="E6764" s="1063"/>
      <c r="H6764" s="1066"/>
      <c r="I6764" s="1063"/>
      <c r="J6764" s="1063"/>
      <c r="K6764" s="1063"/>
      <c r="L6764" s="1063"/>
    </row>
    <row r="6765" spans="5:12" x14ac:dyDescent="0.2">
      <c r="E6765" s="1063"/>
      <c r="H6765" s="1066"/>
      <c r="I6765" s="1063"/>
      <c r="J6765" s="1063"/>
      <c r="K6765" s="1063"/>
      <c r="L6765" s="1063"/>
    </row>
    <row r="6766" spans="5:12" x14ac:dyDescent="0.2">
      <c r="E6766" s="1063"/>
      <c r="H6766" s="1066"/>
      <c r="I6766" s="1063"/>
      <c r="J6766" s="1063"/>
      <c r="K6766" s="1063"/>
      <c r="L6766" s="1063"/>
    </row>
    <row r="6767" spans="5:12" x14ac:dyDescent="0.2">
      <c r="E6767" s="1063"/>
      <c r="H6767" s="1066"/>
      <c r="I6767" s="1063"/>
      <c r="J6767" s="1063"/>
      <c r="K6767" s="1063"/>
      <c r="L6767" s="1063"/>
    </row>
    <row r="6768" spans="5:12" x14ac:dyDescent="0.2">
      <c r="E6768" s="1063"/>
      <c r="H6768" s="1066"/>
      <c r="I6768" s="1063"/>
      <c r="J6768" s="1063"/>
      <c r="K6768" s="1063"/>
      <c r="L6768" s="1063"/>
    </row>
    <row r="6769" spans="5:12" x14ac:dyDescent="0.2">
      <c r="E6769" s="1063"/>
      <c r="H6769" s="1066"/>
      <c r="I6769" s="1063"/>
      <c r="J6769" s="1063"/>
      <c r="K6769" s="1063"/>
      <c r="L6769" s="1063"/>
    </row>
    <row r="6770" spans="5:12" x14ac:dyDescent="0.2">
      <c r="E6770" s="1063"/>
      <c r="H6770" s="1066"/>
      <c r="I6770" s="1063"/>
      <c r="J6770" s="1063"/>
      <c r="K6770" s="1063"/>
      <c r="L6770" s="1063"/>
    </row>
    <row r="6771" spans="5:12" x14ac:dyDescent="0.2">
      <c r="E6771" s="1063"/>
      <c r="H6771" s="1066"/>
      <c r="I6771" s="1063"/>
      <c r="J6771" s="1063"/>
      <c r="K6771" s="1063"/>
      <c r="L6771" s="1063"/>
    </row>
    <row r="6772" spans="5:12" x14ac:dyDescent="0.2">
      <c r="E6772" s="1063"/>
      <c r="H6772" s="1066"/>
      <c r="I6772" s="1063"/>
      <c r="J6772" s="1063"/>
      <c r="K6772" s="1063"/>
      <c r="L6772" s="1063"/>
    </row>
    <row r="6773" spans="5:12" x14ac:dyDescent="0.2">
      <c r="E6773" s="1063"/>
      <c r="H6773" s="1066"/>
      <c r="I6773" s="1063"/>
      <c r="J6773" s="1063"/>
      <c r="K6773" s="1063"/>
      <c r="L6773" s="1063"/>
    </row>
    <row r="6774" spans="5:12" x14ac:dyDescent="0.2">
      <c r="E6774" s="1063"/>
      <c r="H6774" s="1066"/>
      <c r="I6774" s="1063"/>
      <c r="J6774" s="1063"/>
      <c r="K6774" s="1063"/>
      <c r="L6774" s="1063"/>
    </row>
    <row r="6775" spans="5:12" x14ac:dyDescent="0.2">
      <c r="E6775" s="1063"/>
      <c r="H6775" s="1066"/>
      <c r="I6775" s="1063"/>
      <c r="J6775" s="1063"/>
      <c r="K6775" s="1063"/>
      <c r="L6775" s="1063"/>
    </row>
    <row r="6776" spans="5:12" x14ac:dyDescent="0.2">
      <c r="E6776" s="1063"/>
      <c r="H6776" s="1066"/>
      <c r="I6776" s="1063"/>
      <c r="J6776" s="1063"/>
      <c r="K6776" s="1063"/>
      <c r="L6776" s="1063"/>
    </row>
    <row r="6777" spans="5:12" x14ac:dyDescent="0.2">
      <c r="E6777" s="1063"/>
      <c r="H6777" s="1066"/>
      <c r="I6777" s="1063"/>
      <c r="J6777" s="1063"/>
      <c r="K6777" s="1063"/>
      <c r="L6777" s="1063"/>
    </row>
    <row r="6778" spans="5:12" x14ac:dyDescent="0.2">
      <c r="E6778" s="1063"/>
      <c r="H6778" s="1066"/>
      <c r="I6778" s="1063"/>
      <c r="J6778" s="1063"/>
      <c r="K6778" s="1063"/>
      <c r="L6778" s="1063"/>
    </row>
    <row r="6779" spans="5:12" x14ac:dyDescent="0.2">
      <c r="E6779" s="1063"/>
      <c r="H6779" s="1066"/>
      <c r="I6779" s="1063"/>
      <c r="J6779" s="1063"/>
      <c r="K6779" s="1063"/>
      <c r="L6779" s="1063"/>
    </row>
    <row r="6780" spans="5:12" x14ac:dyDescent="0.2">
      <c r="E6780" s="1063"/>
      <c r="H6780" s="1066"/>
      <c r="I6780" s="1063"/>
      <c r="J6780" s="1063"/>
      <c r="K6780" s="1063"/>
      <c r="L6780" s="1063"/>
    </row>
    <row r="6781" spans="5:12" x14ac:dyDescent="0.2">
      <c r="E6781" s="1063"/>
      <c r="H6781" s="1066"/>
      <c r="I6781" s="1063"/>
      <c r="J6781" s="1063"/>
      <c r="K6781" s="1063"/>
      <c r="L6781" s="1063"/>
    </row>
    <row r="6782" spans="5:12" x14ac:dyDescent="0.2">
      <c r="E6782" s="1063"/>
      <c r="H6782" s="1066"/>
      <c r="I6782" s="1063"/>
      <c r="J6782" s="1063"/>
      <c r="K6782" s="1063"/>
      <c r="L6782" s="1063"/>
    </row>
    <row r="6783" spans="5:12" x14ac:dyDescent="0.2">
      <c r="E6783" s="1063"/>
      <c r="H6783" s="1066"/>
      <c r="I6783" s="1063"/>
      <c r="J6783" s="1063"/>
      <c r="K6783" s="1063"/>
      <c r="L6783" s="1063"/>
    </row>
    <row r="6784" spans="5:12" x14ac:dyDescent="0.2">
      <c r="E6784" s="1063"/>
      <c r="H6784" s="1066"/>
      <c r="I6784" s="1063"/>
      <c r="J6784" s="1063"/>
      <c r="K6784" s="1063"/>
      <c r="L6784" s="1063"/>
    </row>
    <row r="6785" spans="5:12" x14ac:dyDescent="0.2">
      <c r="E6785" s="1063"/>
      <c r="H6785" s="1066"/>
      <c r="I6785" s="1063"/>
      <c r="J6785" s="1063"/>
      <c r="K6785" s="1063"/>
      <c r="L6785" s="1063"/>
    </row>
    <row r="6786" spans="5:12" x14ac:dyDescent="0.2">
      <c r="E6786" s="1063"/>
      <c r="H6786" s="1066"/>
      <c r="I6786" s="1063"/>
      <c r="J6786" s="1063"/>
      <c r="K6786" s="1063"/>
      <c r="L6786" s="1063"/>
    </row>
    <row r="6787" spans="5:12" x14ac:dyDescent="0.2">
      <c r="E6787" s="1063"/>
      <c r="H6787" s="1066"/>
      <c r="I6787" s="1063"/>
      <c r="J6787" s="1063"/>
      <c r="K6787" s="1063"/>
      <c r="L6787" s="1063"/>
    </row>
    <row r="6788" spans="5:12" x14ac:dyDescent="0.2">
      <c r="E6788" s="1063"/>
      <c r="H6788" s="1066"/>
      <c r="I6788" s="1063"/>
      <c r="J6788" s="1063"/>
      <c r="K6788" s="1063"/>
      <c r="L6788" s="1063"/>
    </row>
    <row r="6789" spans="5:12" x14ac:dyDescent="0.2">
      <c r="E6789" s="1063"/>
      <c r="H6789" s="1066"/>
      <c r="I6789" s="1063"/>
      <c r="J6789" s="1063"/>
      <c r="K6789" s="1063"/>
      <c r="L6789" s="1063"/>
    </row>
    <row r="6790" spans="5:12" x14ac:dyDescent="0.2">
      <c r="E6790" s="1063"/>
      <c r="H6790" s="1066"/>
      <c r="I6790" s="1063"/>
      <c r="J6790" s="1063"/>
      <c r="K6790" s="1063"/>
      <c r="L6790" s="1063"/>
    </row>
    <row r="6791" spans="5:12" x14ac:dyDescent="0.2">
      <c r="E6791" s="1063"/>
      <c r="H6791" s="1066"/>
      <c r="I6791" s="1063"/>
      <c r="J6791" s="1063"/>
      <c r="K6791" s="1063"/>
      <c r="L6791" s="1063"/>
    </row>
    <row r="6792" spans="5:12" x14ac:dyDescent="0.2">
      <c r="E6792" s="1063"/>
      <c r="H6792" s="1066"/>
      <c r="I6792" s="1063"/>
      <c r="J6792" s="1063"/>
      <c r="K6792" s="1063"/>
      <c r="L6792" s="1063"/>
    </row>
    <row r="6793" spans="5:12" x14ac:dyDescent="0.2">
      <c r="E6793" s="1063"/>
      <c r="H6793" s="1066"/>
      <c r="I6793" s="1063"/>
      <c r="J6793" s="1063"/>
      <c r="K6793" s="1063"/>
      <c r="L6793" s="1063"/>
    </row>
    <row r="6794" spans="5:12" x14ac:dyDescent="0.2">
      <c r="E6794" s="1063"/>
      <c r="H6794" s="1066"/>
      <c r="I6794" s="1063"/>
      <c r="J6794" s="1063"/>
      <c r="K6794" s="1063"/>
      <c r="L6794" s="1063"/>
    </row>
    <row r="6795" spans="5:12" x14ac:dyDescent="0.2">
      <c r="E6795" s="1063"/>
      <c r="H6795" s="1066"/>
      <c r="I6795" s="1063"/>
      <c r="J6795" s="1063"/>
      <c r="K6795" s="1063"/>
      <c r="L6795" s="1063"/>
    </row>
    <row r="6796" spans="5:12" x14ac:dyDescent="0.2">
      <c r="E6796" s="1063"/>
      <c r="H6796" s="1066"/>
      <c r="I6796" s="1063"/>
      <c r="J6796" s="1063"/>
      <c r="K6796" s="1063"/>
      <c r="L6796" s="1063"/>
    </row>
    <row r="6797" spans="5:12" x14ac:dyDescent="0.2">
      <c r="E6797" s="1063"/>
      <c r="H6797" s="1066"/>
      <c r="I6797" s="1063"/>
      <c r="J6797" s="1063"/>
      <c r="K6797" s="1063"/>
      <c r="L6797" s="1063"/>
    </row>
    <row r="6798" spans="5:12" x14ac:dyDescent="0.2">
      <c r="E6798" s="1063"/>
      <c r="H6798" s="1066"/>
      <c r="I6798" s="1063"/>
      <c r="J6798" s="1063"/>
      <c r="K6798" s="1063"/>
      <c r="L6798" s="1063"/>
    </row>
    <row r="6799" spans="5:12" x14ac:dyDescent="0.2">
      <c r="E6799" s="1063"/>
      <c r="H6799" s="1066"/>
      <c r="I6799" s="1063"/>
      <c r="J6799" s="1063"/>
      <c r="K6799" s="1063"/>
      <c r="L6799" s="1063"/>
    </row>
    <row r="6800" spans="5:12" x14ac:dyDescent="0.2">
      <c r="E6800" s="1063"/>
      <c r="H6800" s="1066"/>
      <c r="I6800" s="1063"/>
      <c r="J6800" s="1063"/>
      <c r="K6800" s="1063"/>
      <c r="L6800" s="1063"/>
    </row>
    <row r="6801" spans="5:12" x14ac:dyDescent="0.2">
      <c r="E6801" s="1063"/>
      <c r="H6801" s="1066"/>
      <c r="I6801" s="1063"/>
      <c r="J6801" s="1063"/>
      <c r="K6801" s="1063"/>
      <c r="L6801" s="1063"/>
    </row>
    <row r="6802" spans="5:12" x14ac:dyDescent="0.2">
      <c r="E6802" s="1063"/>
      <c r="H6802" s="1066"/>
      <c r="I6802" s="1063"/>
      <c r="J6802" s="1063"/>
      <c r="K6802" s="1063"/>
      <c r="L6802" s="1063"/>
    </row>
    <row r="6803" spans="5:12" x14ac:dyDescent="0.2">
      <c r="E6803" s="1063"/>
      <c r="H6803" s="1066"/>
      <c r="I6803" s="1063"/>
      <c r="J6803" s="1063"/>
      <c r="K6803" s="1063"/>
      <c r="L6803" s="1063"/>
    </row>
    <row r="6804" spans="5:12" x14ac:dyDescent="0.2">
      <c r="E6804" s="1063"/>
      <c r="H6804" s="1066"/>
      <c r="I6804" s="1063"/>
      <c r="J6804" s="1063"/>
      <c r="K6804" s="1063"/>
      <c r="L6804" s="1063"/>
    </row>
    <row r="6805" spans="5:12" x14ac:dyDescent="0.2">
      <c r="E6805" s="1063"/>
      <c r="H6805" s="1066"/>
      <c r="I6805" s="1063"/>
      <c r="J6805" s="1063"/>
      <c r="K6805" s="1063"/>
      <c r="L6805" s="1063"/>
    </row>
    <row r="6806" spans="5:12" x14ac:dyDescent="0.2">
      <c r="E6806" s="1063"/>
      <c r="H6806" s="1066"/>
      <c r="I6806" s="1063"/>
      <c r="J6806" s="1063"/>
      <c r="K6806" s="1063"/>
      <c r="L6806" s="1063"/>
    </row>
    <row r="6807" spans="5:12" x14ac:dyDescent="0.2">
      <c r="E6807" s="1063"/>
      <c r="H6807" s="1066"/>
      <c r="I6807" s="1063"/>
      <c r="J6807" s="1063"/>
      <c r="K6807" s="1063"/>
      <c r="L6807" s="1063"/>
    </row>
    <row r="6808" spans="5:12" x14ac:dyDescent="0.2">
      <c r="E6808" s="1063"/>
      <c r="H6808" s="1066"/>
      <c r="I6808" s="1063"/>
      <c r="J6808" s="1063"/>
      <c r="K6808" s="1063"/>
      <c r="L6808" s="1063"/>
    </row>
    <row r="6809" spans="5:12" x14ac:dyDescent="0.2">
      <c r="E6809" s="1063"/>
      <c r="H6809" s="1066"/>
      <c r="I6809" s="1063"/>
      <c r="J6809" s="1063"/>
      <c r="K6809" s="1063"/>
      <c r="L6809" s="1063"/>
    </row>
    <row r="6810" spans="5:12" x14ac:dyDescent="0.2">
      <c r="E6810" s="1063"/>
      <c r="H6810" s="1066"/>
      <c r="I6810" s="1063"/>
      <c r="J6810" s="1063"/>
      <c r="K6810" s="1063"/>
      <c r="L6810" s="1063"/>
    </row>
    <row r="6811" spans="5:12" x14ac:dyDescent="0.2">
      <c r="E6811" s="1063"/>
      <c r="H6811" s="1066"/>
      <c r="I6811" s="1063"/>
      <c r="J6811" s="1063"/>
      <c r="K6811" s="1063"/>
      <c r="L6811" s="1063"/>
    </row>
    <row r="6812" spans="5:12" x14ac:dyDescent="0.2">
      <c r="E6812" s="1063"/>
      <c r="H6812" s="1066"/>
      <c r="I6812" s="1063"/>
      <c r="J6812" s="1063"/>
      <c r="K6812" s="1063"/>
      <c r="L6812" s="1063"/>
    </row>
    <row r="6813" spans="5:12" x14ac:dyDescent="0.2">
      <c r="E6813" s="1063"/>
      <c r="H6813" s="1066"/>
      <c r="I6813" s="1063"/>
      <c r="J6813" s="1063"/>
      <c r="K6813" s="1063"/>
      <c r="L6813" s="1063"/>
    </row>
    <row r="6814" spans="5:12" x14ac:dyDescent="0.2">
      <c r="E6814" s="1063"/>
      <c r="H6814" s="1066"/>
      <c r="I6814" s="1063"/>
      <c r="J6814" s="1063"/>
      <c r="K6814" s="1063"/>
      <c r="L6814" s="1063"/>
    </row>
    <row r="6815" spans="5:12" x14ac:dyDescent="0.2">
      <c r="E6815" s="1063"/>
      <c r="H6815" s="1066"/>
      <c r="I6815" s="1063"/>
      <c r="J6815" s="1063"/>
      <c r="K6815" s="1063"/>
      <c r="L6815" s="1063"/>
    </row>
    <row r="6816" spans="5:12" x14ac:dyDescent="0.2">
      <c r="E6816" s="1063"/>
      <c r="H6816" s="1066"/>
      <c r="I6816" s="1063"/>
      <c r="J6816" s="1063"/>
      <c r="K6816" s="1063"/>
      <c r="L6816" s="1063"/>
    </row>
    <row r="6817" spans="5:12" x14ac:dyDescent="0.2">
      <c r="E6817" s="1063"/>
      <c r="H6817" s="1066"/>
      <c r="I6817" s="1063"/>
      <c r="J6817" s="1063"/>
      <c r="K6817" s="1063"/>
      <c r="L6817" s="1063"/>
    </row>
    <row r="6818" spans="5:12" x14ac:dyDescent="0.2">
      <c r="E6818" s="1063"/>
      <c r="H6818" s="1066"/>
      <c r="I6818" s="1063"/>
      <c r="J6818" s="1063"/>
      <c r="K6818" s="1063"/>
      <c r="L6818" s="1063"/>
    </row>
    <row r="6819" spans="5:12" x14ac:dyDescent="0.2">
      <c r="E6819" s="1063"/>
      <c r="H6819" s="1066"/>
      <c r="I6819" s="1063"/>
      <c r="J6819" s="1063"/>
      <c r="K6819" s="1063"/>
      <c r="L6819" s="1063"/>
    </row>
    <row r="6820" spans="5:12" x14ac:dyDescent="0.2">
      <c r="E6820" s="1063"/>
      <c r="H6820" s="1066"/>
      <c r="I6820" s="1063"/>
      <c r="J6820" s="1063"/>
      <c r="K6820" s="1063"/>
      <c r="L6820" s="1063"/>
    </row>
    <row r="6821" spans="5:12" x14ac:dyDescent="0.2">
      <c r="E6821" s="1063"/>
      <c r="H6821" s="1066"/>
      <c r="I6821" s="1063"/>
      <c r="J6821" s="1063"/>
      <c r="K6821" s="1063"/>
      <c r="L6821" s="1063"/>
    </row>
    <row r="6822" spans="5:12" x14ac:dyDescent="0.2">
      <c r="E6822" s="1063"/>
      <c r="H6822" s="1066"/>
      <c r="I6822" s="1063"/>
      <c r="J6822" s="1063"/>
      <c r="K6822" s="1063"/>
      <c r="L6822" s="1063"/>
    </row>
    <row r="6823" spans="5:12" x14ac:dyDescent="0.2">
      <c r="E6823" s="1063"/>
      <c r="H6823" s="1066"/>
      <c r="I6823" s="1063"/>
      <c r="J6823" s="1063"/>
      <c r="K6823" s="1063"/>
      <c r="L6823" s="1063"/>
    </row>
    <row r="6824" spans="5:12" x14ac:dyDescent="0.2">
      <c r="E6824" s="1063"/>
      <c r="H6824" s="1066"/>
      <c r="I6824" s="1063"/>
      <c r="J6824" s="1063"/>
      <c r="K6824" s="1063"/>
      <c r="L6824" s="1063"/>
    </row>
    <row r="6825" spans="5:12" x14ac:dyDescent="0.2">
      <c r="E6825" s="1063"/>
      <c r="H6825" s="1066"/>
      <c r="I6825" s="1063"/>
      <c r="J6825" s="1063"/>
      <c r="K6825" s="1063"/>
      <c r="L6825" s="1063"/>
    </row>
    <row r="6826" spans="5:12" x14ac:dyDescent="0.2">
      <c r="E6826" s="1063"/>
      <c r="H6826" s="1066"/>
      <c r="I6826" s="1063"/>
      <c r="J6826" s="1063"/>
      <c r="K6826" s="1063"/>
      <c r="L6826" s="1063"/>
    </row>
    <row r="6827" spans="5:12" x14ac:dyDescent="0.2">
      <c r="E6827" s="1063"/>
      <c r="H6827" s="1066"/>
      <c r="I6827" s="1063"/>
      <c r="J6827" s="1063"/>
      <c r="K6827" s="1063"/>
      <c r="L6827" s="1063"/>
    </row>
    <row r="6828" spans="5:12" x14ac:dyDescent="0.2">
      <c r="E6828" s="1063"/>
      <c r="H6828" s="1066"/>
      <c r="I6828" s="1063"/>
      <c r="J6828" s="1063"/>
      <c r="K6828" s="1063"/>
      <c r="L6828" s="1063"/>
    </row>
    <row r="6829" spans="5:12" x14ac:dyDescent="0.2">
      <c r="E6829" s="1063"/>
      <c r="H6829" s="1066"/>
      <c r="I6829" s="1063"/>
      <c r="J6829" s="1063"/>
      <c r="K6829" s="1063"/>
      <c r="L6829" s="1063"/>
    </row>
    <row r="6830" spans="5:12" x14ac:dyDescent="0.2">
      <c r="E6830" s="1063"/>
      <c r="H6830" s="1066"/>
      <c r="I6830" s="1063"/>
      <c r="J6830" s="1063"/>
      <c r="K6830" s="1063"/>
      <c r="L6830" s="1063"/>
    </row>
    <row r="6831" spans="5:12" x14ac:dyDescent="0.2">
      <c r="E6831" s="1063"/>
      <c r="H6831" s="1066"/>
      <c r="I6831" s="1063"/>
      <c r="J6831" s="1063"/>
      <c r="K6831" s="1063"/>
      <c r="L6831" s="1063"/>
    </row>
    <row r="6832" spans="5:12" x14ac:dyDescent="0.2">
      <c r="E6832" s="1063"/>
      <c r="H6832" s="1066"/>
      <c r="I6832" s="1063"/>
      <c r="J6832" s="1063"/>
      <c r="K6832" s="1063"/>
      <c r="L6832" s="1063"/>
    </row>
    <row r="6833" spans="5:12" x14ac:dyDescent="0.2">
      <c r="E6833" s="1063"/>
      <c r="H6833" s="1066"/>
      <c r="I6833" s="1063"/>
      <c r="J6833" s="1063"/>
      <c r="K6833" s="1063"/>
      <c r="L6833" s="1063"/>
    </row>
    <row r="6834" spans="5:12" x14ac:dyDescent="0.2">
      <c r="E6834" s="1063"/>
      <c r="H6834" s="1066"/>
      <c r="I6834" s="1063"/>
      <c r="J6834" s="1063"/>
      <c r="K6834" s="1063"/>
      <c r="L6834" s="1063"/>
    </row>
    <row r="6835" spans="5:12" x14ac:dyDescent="0.2">
      <c r="E6835" s="1063"/>
      <c r="H6835" s="1066"/>
      <c r="I6835" s="1063"/>
      <c r="J6835" s="1063"/>
      <c r="K6835" s="1063"/>
      <c r="L6835" s="1063"/>
    </row>
    <row r="6836" spans="5:12" x14ac:dyDescent="0.2">
      <c r="E6836" s="1063"/>
      <c r="H6836" s="1066"/>
      <c r="I6836" s="1063"/>
      <c r="J6836" s="1063"/>
      <c r="K6836" s="1063"/>
      <c r="L6836" s="1063"/>
    </row>
    <row r="6837" spans="5:12" x14ac:dyDescent="0.2">
      <c r="E6837" s="1063"/>
      <c r="H6837" s="1066"/>
      <c r="I6837" s="1063"/>
      <c r="J6837" s="1063"/>
      <c r="K6837" s="1063"/>
      <c r="L6837" s="1063"/>
    </row>
    <row r="6838" spans="5:12" x14ac:dyDescent="0.2">
      <c r="E6838" s="1063"/>
      <c r="H6838" s="1066"/>
      <c r="I6838" s="1063"/>
      <c r="J6838" s="1063"/>
      <c r="K6838" s="1063"/>
      <c r="L6838" s="1063"/>
    </row>
    <row r="6839" spans="5:12" x14ac:dyDescent="0.2">
      <c r="E6839" s="1063"/>
      <c r="H6839" s="1066"/>
      <c r="I6839" s="1063"/>
      <c r="J6839" s="1063"/>
      <c r="K6839" s="1063"/>
      <c r="L6839" s="1063"/>
    </row>
    <row r="6840" spans="5:12" x14ac:dyDescent="0.2">
      <c r="E6840" s="1063"/>
      <c r="H6840" s="1066"/>
      <c r="I6840" s="1063"/>
      <c r="J6840" s="1063"/>
      <c r="K6840" s="1063"/>
      <c r="L6840" s="1063"/>
    </row>
    <row r="6841" spans="5:12" x14ac:dyDescent="0.2">
      <c r="E6841" s="1063"/>
      <c r="H6841" s="1066"/>
      <c r="I6841" s="1063"/>
      <c r="J6841" s="1063"/>
      <c r="K6841" s="1063"/>
      <c r="L6841" s="1063"/>
    </row>
    <row r="6842" spans="5:12" x14ac:dyDescent="0.2">
      <c r="E6842" s="1063"/>
      <c r="H6842" s="1066"/>
      <c r="I6842" s="1063"/>
      <c r="J6842" s="1063"/>
      <c r="K6842" s="1063"/>
      <c r="L6842" s="1063"/>
    </row>
    <row r="6843" spans="5:12" x14ac:dyDescent="0.2">
      <c r="E6843" s="1063"/>
      <c r="H6843" s="1066"/>
      <c r="I6843" s="1063"/>
      <c r="J6843" s="1063"/>
      <c r="K6843" s="1063"/>
      <c r="L6843" s="1063"/>
    </row>
    <row r="6844" spans="5:12" x14ac:dyDescent="0.2">
      <c r="E6844" s="1063"/>
      <c r="H6844" s="1066"/>
      <c r="I6844" s="1063"/>
      <c r="J6844" s="1063"/>
      <c r="K6844" s="1063"/>
      <c r="L6844" s="1063"/>
    </row>
    <row r="6845" spans="5:12" x14ac:dyDescent="0.2">
      <c r="E6845" s="1063"/>
      <c r="H6845" s="1066"/>
      <c r="I6845" s="1063"/>
      <c r="J6845" s="1063"/>
      <c r="K6845" s="1063"/>
      <c r="L6845" s="1063"/>
    </row>
    <row r="6846" spans="5:12" x14ac:dyDescent="0.2">
      <c r="E6846" s="1063"/>
      <c r="H6846" s="1066"/>
      <c r="I6846" s="1063"/>
      <c r="J6846" s="1063"/>
      <c r="K6846" s="1063"/>
      <c r="L6846" s="1063"/>
    </row>
    <row r="6847" spans="5:12" x14ac:dyDescent="0.2">
      <c r="E6847" s="1063"/>
      <c r="H6847" s="1066"/>
      <c r="I6847" s="1063"/>
      <c r="J6847" s="1063"/>
      <c r="K6847" s="1063"/>
      <c r="L6847" s="1063"/>
    </row>
    <row r="6848" spans="5:12" x14ac:dyDescent="0.2">
      <c r="E6848" s="1063"/>
      <c r="H6848" s="1066"/>
      <c r="I6848" s="1063"/>
      <c r="J6848" s="1063"/>
      <c r="K6848" s="1063"/>
      <c r="L6848" s="1063"/>
    </row>
    <row r="6849" spans="5:12" x14ac:dyDescent="0.2">
      <c r="E6849" s="1063"/>
      <c r="H6849" s="1066"/>
      <c r="I6849" s="1063"/>
      <c r="J6849" s="1063"/>
      <c r="K6849" s="1063"/>
      <c r="L6849" s="1063"/>
    </row>
    <row r="6850" spans="5:12" x14ac:dyDescent="0.2">
      <c r="E6850" s="1063"/>
      <c r="H6850" s="1066"/>
      <c r="I6850" s="1063"/>
      <c r="J6850" s="1063"/>
      <c r="K6850" s="1063"/>
      <c r="L6850" s="1063"/>
    </row>
    <row r="6851" spans="5:12" x14ac:dyDescent="0.2">
      <c r="E6851" s="1063"/>
      <c r="H6851" s="1066"/>
      <c r="I6851" s="1063"/>
      <c r="J6851" s="1063"/>
      <c r="K6851" s="1063"/>
      <c r="L6851" s="1063"/>
    </row>
    <row r="6852" spans="5:12" x14ac:dyDescent="0.2">
      <c r="E6852" s="1063"/>
      <c r="H6852" s="1066"/>
      <c r="I6852" s="1063"/>
      <c r="J6852" s="1063"/>
      <c r="K6852" s="1063"/>
      <c r="L6852" s="1063"/>
    </row>
    <row r="6853" spans="5:12" x14ac:dyDescent="0.2">
      <c r="E6853" s="1063"/>
      <c r="H6853" s="1066"/>
      <c r="I6853" s="1063"/>
      <c r="J6853" s="1063"/>
      <c r="K6853" s="1063"/>
      <c r="L6853" s="1063"/>
    </row>
    <row r="6854" spans="5:12" x14ac:dyDescent="0.2">
      <c r="E6854" s="1063"/>
      <c r="H6854" s="1066"/>
      <c r="I6854" s="1063"/>
      <c r="J6854" s="1063"/>
      <c r="K6854" s="1063"/>
      <c r="L6854" s="1063"/>
    </row>
    <row r="6855" spans="5:12" x14ac:dyDescent="0.2">
      <c r="E6855" s="1063"/>
      <c r="H6855" s="1066"/>
      <c r="I6855" s="1063"/>
      <c r="J6855" s="1063"/>
      <c r="K6855" s="1063"/>
      <c r="L6855" s="1063"/>
    </row>
    <row r="6856" spans="5:12" x14ac:dyDescent="0.2">
      <c r="E6856" s="1063"/>
      <c r="H6856" s="1066"/>
      <c r="I6856" s="1063"/>
      <c r="J6856" s="1063"/>
      <c r="K6856" s="1063"/>
      <c r="L6856" s="1063"/>
    </row>
    <row r="6857" spans="5:12" x14ac:dyDescent="0.2">
      <c r="E6857" s="1063"/>
      <c r="H6857" s="1066"/>
      <c r="I6857" s="1063"/>
      <c r="J6857" s="1063"/>
      <c r="K6857" s="1063"/>
      <c r="L6857" s="1063"/>
    </row>
    <row r="6858" spans="5:12" x14ac:dyDescent="0.2">
      <c r="E6858" s="1063"/>
      <c r="H6858" s="1066"/>
      <c r="I6858" s="1063"/>
      <c r="J6858" s="1063"/>
      <c r="K6858" s="1063"/>
      <c r="L6858" s="1063"/>
    </row>
    <row r="6859" spans="5:12" x14ac:dyDescent="0.2">
      <c r="E6859" s="1063"/>
      <c r="H6859" s="1066"/>
      <c r="I6859" s="1063"/>
      <c r="J6859" s="1063"/>
      <c r="K6859" s="1063"/>
      <c r="L6859" s="1063"/>
    </row>
    <row r="6860" spans="5:12" x14ac:dyDescent="0.2">
      <c r="E6860" s="1063"/>
      <c r="H6860" s="1066"/>
      <c r="I6860" s="1063"/>
      <c r="J6860" s="1063"/>
      <c r="K6860" s="1063"/>
      <c r="L6860" s="1063"/>
    </row>
    <row r="6861" spans="5:12" x14ac:dyDescent="0.2">
      <c r="E6861" s="1063"/>
      <c r="H6861" s="1066"/>
      <c r="I6861" s="1063"/>
      <c r="J6861" s="1063"/>
      <c r="K6861" s="1063"/>
      <c r="L6861" s="1063"/>
    </row>
    <row r="6862" spans="5:12" x14ac:dyDescent="0.2">
      <c r="E6862" s="1063"/>
      <c r="H6862" s="1066"/>
      <c r="I6862" s="1063"/>
      <c r="J6862" s="1063"/>
      <c r="K6862" s="1063"/>
      <c r="L6862" s="1063"/>
    </row>
    <row r="6863" spans="5:12" x14ac:dyDescent="0.2">
      <c r="E6863" s="1063"/>
      <c r="H6863" s="1066"/>
      <c r="I6863" s="1063"/>
      <c r="J6863" s="1063"/>
      <c r="K6863" s="1063"/>
      <c r="L6863" s="1063"/>
    </row>
    <row r="6864" spans="5:12" x14ac:dyDescent="0.2">
      <c r="E6864" s="1063"/>
      <c r="H6864" s="1066"/>
      <c r="I6864" s="1063"/>
      <c r="J6864" s="1063"/>
      <c r="K6864" s="1063"/>
      <c r="L6864" s="1063"/>
    </row>
    <row r="6865" spans="5:12" x14ac:dyDescent="0.2">
      <c r="E6865" s="1063"/>
      <c r="H6865" s="1066"/>
      <c r="I6865" s="1063"/>
      <c r="J6865" s="1063"/>
      <c r="K6865" s="1063"/>
      <c r="L6865" s="1063"/>
    </row>
    <row r="6866" spans="5:12" x14ac:dyDescent="0.2">
      <c r="E6866" s="1063"/>
      <c r="H6866" s="1066"/>
      <c r="I6866" s="1063"/>
      <c r="J6866" s="1063"/>
      <c r="K6866" s="1063"/>
      <c r="L6866" s="1063"/>
    </row>
    <row r="6867" spans="5:12" x14ac:dyDescent="0.2">
      <c r="E6867" s="1063"/>
      <c r="H6867" s="1066"/>
      <c r="I6867" s="1063"/>
      <c r="J6867" s="1063"/>
      <c r="K6867" s="1063"/>
      <c r="L6867" s="1063"/>
    </row>
    <row r="6868" spans="5:12" x14ac:dyDescent="0.2">
      <c r="E6868" s="1063"/>
      <c r="H6868" s="1066"/>
      <c r="I6868" s="1063"/>
      <c r="J6868" s="1063"/>
      <c r="K6868" s="1063"/>
      <c r="L6868" s="1063"/>
    </row>
    <row r="6869" spans="5:12" x14ac:dyDescent="0.2">
      <c r="E6869" s="1063"/>
      <c r="H6869" s="1066"/>
      <c r="I6869" s="1063"/>
      <c r="J6869" s="1063"/>
      <c r="K6869" s="1063"/>
      <c r="L6869" s="1063"/>
    </row>
    <row r="6870" spans="5:12" x14ac:dyDescent="0.2">
      <c r="E6870" s="1063"/>
      <c r="H6870" s="1066"/>
      <c r="I6870" s="1063"/>
      <c r="J6870" s="1063"/>
      <c r="K6870" s="1063"/>
      <c r="L6870" s="1063"/>
    </row>
    <row r="6871" spans="5:12" x14ac:dyDescent="0.2">
      <c r="E6871" s="1063"/>
      <c r="H6871" s="1066"/>
      <c r="I6871" s="1063"/>
      <c r="J6871" s="1063"/>
      <c r="K6871" s="1063"/>
      <c r="L6871" s="1063"/>
    </row>
    <row r="6872" spans="5:12" x14ac:dyDescent="0.2">
      <c r="E6872" s="1063"/>
      <c r="H6872" s="1066"/>
      <c r="I6872" s="1063"/>
      <c r="J6872" s="1063"/>
      <c r="K6872" s="1063"/>
      <c r="L6872" s="1063"/>
    </row>
    <row r="6873" spans="5:12" x14ac:dyDescent="0.2">
      <c r="E6873" s="1063"/>
      <c r="H6873" s="1066"/>
      <c r="I6873" s="1063"/>
      <c r="J6873" s="1063"/>
      <c r="K6873" s="1063"/>
      <c r="L6873" s="1063"/>
    </row>
    <row r="6874" spans="5:12" x14ac:dyDescent="0.2">
      <c r="E6874" s="1063"/>
      <c r="H6874" s="1066"/>
      <c r="I6874" s="1063"/>
      <c r="J6874" s="1063"/>
      <c r="K6874" s="1063"/>
      <c r="L6874" s="1063"/>
    </row>
    <row r="6875" spans="5:12" x14ac:dyDescent="0.2">
      <c r="E6875" s="1063"/>
      <c r="H6875" s="1066"/>
      <c r="I6875" s="1063"/>
      <c r="J6875" s="1063"/>
      <c r="K6875" s="1063"/>
      <c r="L6875" s="1063"/>
    </row>
    <row r="6876" spans="5:12" x14ac:dyDescent="0.2">
      <c r="E6876" s="1063"/>
      <c r="H6876" s="1066"/>
      <c r="I6876" s="1063"/>
      <c r="J6876" s="1063"/>
      <c r="K6876" s="1063"/>
      <c r="L6876" s="1063"/>
    </row>
    <row r="6877" spans="5:12" x14ac:dyDescent="0.2">
      <c r="E6877" s="1063"/>
      <c r="H6877" s="1066"/>
      <c r="I6877" s="1063"/>
      <c r="J6877" s="1063"/>
      <c r="K6877" s="1063"/>
      <c r="L6877" s="1063"/>
    </row>
    <row r="6878" spans="5:12" x14ac:dyDescent="0.2">
      <c r="E6878" s="1063"/>
      <c r="H6878" s="1066"/>
      <c r="I6878" s="1063"/>
      <c r="J6878" s="1063"/>
      <c r="K6878" s="1063"/>
      <c r="L6878" s="1063"/>
    </row>
    <row r="6879" spans="5:12" x14ac:dyDescent="0.2">
      <c r="E6879" s="1063"/>
      <c r="H6879" s="1066"/>
      <c r="I6879" s="1063"/>
      <c r="J6879" s="1063"/>
      <c r="K6879" s="1063"/>
      <c r="L6879" s="1063"/>
    </row>
    <row r="6880" spans="5:12" x14ac:dyDescent="0.2">
      <c r="E6880" s="1063"/>
      <c r="H6880" s="1066"/>
      <c r="I6880" s="1063"/>
      <c r="J6880" s="1063"/>
      <c r="K6880" s="1063"/>
      <c r="L6880" s="1063"/>
    </row>
    <row r="6881" spans="5:12" x14ac:dyDescent="0.2">
      <c r="E6881" s="1063"/>
      <c r="H6881" s="1066"/>
      <c r="I6881" s="1063"/>
      <c r="J6881" s="1063"/>
      <c r="K6881" s="1063"/>
      <c r="L6881" s="1063"/>
    </row>
    <row r="6882" spans="5:12" x14ac:dyDescent="0.2">
      <c r="E6882" s="1063"/>
      <c r="H6882" s="1066"/>
      <c r="I6882" s="1063"/>
      <c r="J6882" s="1063"/>
      <c r="K6882" s="1063"/>
      <c r="L6882" s="1063"/>
    </row>
    <row r="6883" spans="5:12" x14ac:dyDescent="0.2">
      <c r="E6883" s="1063"/>
      <c r="H6883" s="1066"/>
      <c r="I6883" s="1063"/>
      <c r="J6883" s="1063"/>
      <c r="K6883" s="1063"/>
      <c r="L6883" s="1063"/>
    </row>
    <row r="6884" spans="5:12" x14ac:dyDescent="0.2">
      <c r="E6884" s="1063"/>
      <c r="H6884" s="1066"/>
      <c r="I6884" s="1063"/>
      <c r="J6884" s="1063"/>
      <c r="K6884" s="1063"/>
      <c r="L6884" s="1063"/>
    </row>
    <row r="6885" spans="5:12" x14ac:dyDescent="0.2">
      <c r="E6885" s="1063"/>
      <c r="H6885" s="1066"/>
      <c r="I6885" s="1063"/>
      <c r="J6885" s="1063"/>
      <c r="K6885" s="1063"/>
      <c r="L6885" s="1063"/>
    </row>
    <row r="6886" spans="5:12" x14ac:dyDescent="0.2">
      <c r="E6886" s="1063"/>
      <c r="H6886" s="1066"/>
      <c r="I6886" s="1063"/>
      <c r="J6886" s="1063"/>
      <c r="K6886" s="1063"/>
      <c r="L6886" s="1063"/>
    </row>
    <row r="6887" spans="5:12" x14ac:dyDescent="0.2">
      <c r="E6887" s="1063"/>
      <c r="H6887" s="1066"/>
      <c r="I6887" s="1063"/>
      <c r="J6887" s="1063"/>
      <c r="K6887" s="1063"/>
      <c r="L6887" s="1063"/>
    </row>
    <row r="6888" spans="5:12" x14ac:dyDescent="0.2">
      <c r="E6888" s="1063"/>
      <c r="H6888" s="1066"/>
      <c r="I6888" s="1063"/>
      <c r="J6888" s="1063"/>
      <c r="K6888" s="1063"/>
      <c r="L6888" s="1063"/>
    </row>
    <row r="6889" spans="5:12" x14ac:dyDescent="0.2">
      <c r="E6889" s="1063"/>
      <c r="H6889" s="1066"/>
      <c r="I6889" s="1063"/>
      <c r="J6889" s="1063"/>
      <c r="K6889" s="1063"/>
      <c r="L6889" s="1063"/>
    </row>
    <row r="6890" spans="5:12" x14ac:dyDescent="0.2">
      <c r="E6890" s="1063"/>
      <c r="H6890" s="1066"/>
      <c r="I6890" s="1063"/>
      <c r="J6890" s="1063"/>
      <c r="K6890" s="1063"/>
      <c r="L6890" s="1063"/>
    </row>
    <row r="6891" spans="5:12" x14ac:dyDescent="0.2">
      <c r="E6891" s="1063"/>
      <c r="H6891" s="1066"/>
      <c r="I6891" s="1063"/>
      <c r="J6891" s="1063"/>
      <c r="K6891" s="1063"/>
      <c r="L6891" s="1063"/>
    </row>
    <row r="6892" spans="5:12" x14ac:dyDescent="0.2">
      <c r="E6892" s="1063"/>
      <c r="H6892" s="1066"/>
      <c r="I6892" s="1063"/>
      <c r="J6892" s="1063"/>
      <c r="K6892" s="1063"/>
      <c r="L6892" s="1063"/>
    </row>
    <row r="6893" spans="5:12" x14ac:dyDescent="0.2">
      <c r="E6893" s="1063"/>
      <c r="H6893" s="1066"/>
      <c r="I6893" s="1063"/>
      <c r="J6893" s="1063"/>
      <c r="K6893" s="1063"/>
      <c r="L6893" s="1063"/>
    </row>
    <row r="6894" spans="5:12" x14ac:dyDescent="0.2">
      <c r="E6894" s="1063"/>
      <c r="H6894" s="1066"/>
      <c r="I6894" s="1063"/>
      <c r="J6894" s="1063"/>
      <c r="K6894" s="1063"/>
      <c r="L6894" s="1063"/>
    </row>
    <row r="6895" spans="5:12" x14ac:dyDescent="0.2">
      <c r="E6895" s="1063"/>
      <c r="H6895" s="1066"/>
      <c r="I6895" s="1063"/>
      <c r="J6895" s="1063"/>
      <c r="K6895" s="1063"/>
      <c r="L6895" s="1063"/>
    </row>
    <row r="6896" spans="5:12" x14ac:dyDescent="0.2">
      <c r="E6896" s="1063"/>
      <c r="H6896" s="1066"/>
      <c r="I6896" s="1063"/>
      <c r="J6896" s="1063"/>
      <c r="K6896" s="1063"/>
      <c r="L6896" s="1063"/>
    </row>
    <row r="6897" spans="5:12" x14ac:dyDescent="0.2">
      <c r="E6897" s="1063"/>
      <c r="H6897" s="1066"/>
      <c r="I6897" s="1063"/>
      <c r="J6897" s="1063"/>
      <c r="K6897" s="1063"/>
      <c r="L6897" s="1063"/>
    </row>
    <row r="6898" spans="5:12" x14ac:dyDescent="0.2">
      <c r="E6898" s="1063"/>
      <c r="H6898" s="1066"/>
      <c r="I6898" s="1063"/>
      <c r="J6898" s="1063"/>
      <c r="K6898" s="1063"/>
      <c r="L6898" s="1063"/>
    </row>
    <row r="6899" spans="5:12" x14ac:dyDescent="0.2">
      <c r="E6899" s="1063"/>
      <c r="H6899" s="1066"/>
      <c r="I6899" s="1063"/>
      <c r="J6899" s="1063"/>
      <c r="K6899" s="1063"/>
      <c r="L6899" s="1063"/>
    </row>
    <row r="6900" spans="5:12" x14ac:dyDescent="0.2">
      <c r="E6900" s="1063"/>
      <c r="H6900" s="1066"/>
      <c r="I6900" s="1063"/>
      <c r="J6900" s="1063"/>
      <c r="K6900" s="1063"/>
      <c r="L6900" s="1063"/>
    </row>
    <row r="6901" spans="5:12" x14ac:dyDescent="0.2">
      <c r="E6901" s="1063"/>
      <c r="H6901" s="1066"/>
      <c r="I6901" s="1063"/>
      <c r="J6901" s="1063"/>
      <c r="K6901" s="1063"/>
      <c r="L6901" s="1063"/>
    </row>
    <row r="6902" spans="5:12" x14ac:dyDescent="0.2">
      <c r="E6902" s="1063"/>
      <c r="H6902" s="1066"/>
      <c r="I6902" s="1063"/>
      <c r="J6902" s="1063"/>
      <c r="K6902" s="1063"/>
      <c r="L6902" s="1063"/>
    </row>
    <row r="6903" spans="5:12" x14ac:dyDescent="0.2">
      <c r="E6903" s="1063"/>
      <c r="H6903" s="1066"/>
      <c r="I6903" s="1063"/>
      <c r="J6903" s="1063"/>
      <c r="K6903" s="1063"/>
      <c r="L6903" s="1063"/>
    </row>
    <row r="6904" spans="5:12" x14ac:dyDescent="0.2">
      <c r="E6904" s="1063"/>
      <c r="H6904" s="1066"/>
      <c r="I6904" s="1063"/>
      <c r="J6904" s="1063"/>
      <c r="K6904" s="1063"/>
      <c r="L6904" s="1063"/>
    </row>
    <row r="6905" spans="5:12" x14ac:dyDescent="0.2">
      <c r="E6905" s="1063"/>
      <c r="H6905" s="1066"/>
      <c r="I6905" s="1063"/>
      <c r="J6905" s="1063"/>
      <c r="K6905" s="1063"/>
      <c r="L6905" s="1063"/>
    </row>
    <row r="6906" spans="5:12" x14ac:dyDescent="0.2">
      <c r="E6906" s="1063"/>
      <c r="H6906" s="1066"/>
      <c r="I6906" s="1063"/>
      <c r="J6906" s="1063"/>
      <c r="K6906" s="1063"/>
      <c r="L6906" s="1063"/>
    </row>
    <row r="6907" spans="5:12" x14ac:dyDescent="0.2">
      <c r="E6907" s="1063"/>
      <c r="H6907" s="1066"/>
      <c r="I6907" s="1063"/>
      <c r="J6907" s="1063"/>
      <c r="K6907" s="1063"/>
      <c r="L6907" s="1063"/>
    </row>
    <row r="6908" spans="5:12" x14ac:dyDescent="0.2">
      <c r="E6908" s="1063"/>
      <c r="H6908" s="1066"/>
      <c r="I6908" s="1063"/>
      <c r="J6908" s="1063"/>
      <c r="K6908" s="1063"/>
      <c r="L6908" s="1063"/>
    </row>
    <row r="6909" spans="5:12" x14ac:dyDescent="0.2">
      <c r="E6909" s="1063"/>
      <c r="H6909" s="1066"/>
      <c r="I6909" s="1063"/>
      <c r="J6909" s="1063"/>
      <c r="K6909" s="1063"/>
      <c r="L6909" s="1063"/>
    </row>
    <row r="6910" spans="5:12" x14ac:dyDescent="0.2">
      <c r="E6910" s="1063"/>
      <c r="H6910" s="1066"/>
      <c r="I6910" s="1063"/>
      <c r="J6910" s="1063"/>
      <c r="K6910" s="1063"/>
      <c r="L6910" s="1063"/>
    </row>
    <row r="6911" spans="5:12" x14ac:dyDescent="0.2">
      <c r="E6911" s="1063"/>
      <c r="H6911" s="1066"/>
      <c r="I6911" s="1063"/>
      <c r="J6911" s="1063"/>
      <c r="K6911" s="1063"/>
      <c r="L6911" s="1063"/>
    </row>
    <row r="6912" spans="5:12" x14ac:dyDescent="0.2">
      <c r="E6912" s="1063"/>
      <c r="H6912" s="1066"/>
      <c r="I6912" s="1063"/>
      <c r="J6912" s="1063"/>
      <c r="K6912" s="1063"/>
      <c r="L6912" s="1063"/>
    </row>
    <row r="6913" spans="5:12" x14ac:dyDescent="0.2">
      <c r="E6913" s="1063"/>
      <c r="H6913" s="1066"/>
      <c r="I6913" s="1063"/>
      <c r="J6913" s="1063"/>
      <c r="K6913" s="1063"/>
      <c r="L6913" s="1063"/>
    </row>
    <row r="6914" spans="5:12" x14ac:dyDescent="0.2">
      <c r="E6914" s="1063"/>
      <c r="H6914" s="1066"/>
      <c r="I6914" s="1063"/>
      <c r="J6914" s="1063"/>
      <c r="K6914" s="1063"/>
      <c r="L6914" s="1063"/>
    </row>
    <row r="6915" spans="5:12" x14ac:dyDescent="0.2">
      <c r="E6915" s="1063"/>
      <c r="H6915" s="1066"/>
      <c r="I6915" s="1063"/>
      <c r="J6915" s="1063"/>
      <c r="K6915" s="1063"/>
      <c r="L6915" s="1063"/>
    </row>
    <row r="6916" spans="5:12" x14ac:dyDescent="0.2">
      <c r="E6916" s="1063"/>
      <c r="H6916" s="1066"/>
      <c r="I6916" s="1063"/>
      <c r="J6916" s="1063"/>
      <c r="K6916" s="1063"/>
      <c r="L6916" s="1063"/>
    </row>
    <row r="6917" spans="5:12" x14ac:dyDescent="0.2">
      <c r="E6917" s="1063"/>
      <c r="H6917" s="1066"/>
      <c r="I6917" s="1063"/>
      <c r="J6917" s="1063"/>
      <c r="K6917" s="1063"/>
      <c r="L6917" s="1063"/>
    </row>
    <row r="6918" spans="5:12" x14ac:dyDescent="0.2">
      <c r="E6918" s="1063"/>
      <c r="H6918" s="1066"/>
      <c r="I6918" s="1063"/>
      <c r="J6918" s="1063"/>
      <c r="K6918" s="1063"/>
      <c r="L6918" s="1063"/>
    </row>
    <row r="6919" spans="5:12" x14ac:dyDescent="0.2">
      <c r="E6919" s="1063"/>
      <c r="H6919" s="1066"/>
      <c r="I6919" s="1063"/>
      <c r="J6919" s="1063"/>
      <c r="K6919" s="1063"/>
      <c r="L6919" s="1063"/>
    </row>
    <row r="6920" spans="5:12" x14ac:dyDescent="0.2">
      <c r="E6920" s="1063"/>
      <c r="H6920" s="1066"/>
      <c r="I6920" s="1063"/>
      <c r="J6920" s="1063"/>
      <c r="K6920" s="1063"/>
      <c r="L6920" s="1063"/>
    </row>
    <row r="6921" spans="5:12" x14ac:dyDescent="0.2">
      <c r="E6921" s="1063"/>
      <c r="H6921" s="1066"/>
      <c r="I6921" s="1063"/>
      <c r="J6921" s="1063"/>
      <c r="K6921" s="1063"/>
      <c r="L6921" s="1063"/>
    </row>
    <row r="6922" spans="5:12" x14ac:dyDescent="0.2">
      <c r="E6922" s="1063"/>
      <c r="H6922" s="1066"/>
      <c r="I6922" s="1063"/>
      <c r="J6922" s="1063"/>
      <c r="K6922" s="1063"/>
      <c r="L6922" s="1063"/>
    </row>
    <row r="6923" spans="5:12" x14ac:dyDescent="0.2">
      <c r="E6923" s="1063"/>
      <c r="H6923" s="1066"/>
      <c r="I6923" s="1063"/>
      <c r="J6923" s="1063"/>
      <c r="K6923" s="1063"/>
      <c r="L6923" s="1063"/>
    </row>
    <row r="6924" spans="5:12" x14ac:dyDescent="0.2">
      <c r="E6924" s="1063"/>
      <c r="H6924" s="1066"/>
      <c r="I6924" s="1063"/>
      <c r="J6924" s="1063"/>
      <c r="K6924" s="1063"/>
      <c r="L6924" s="1063"/>
    </row>
    <row r="6925" spans="5:12" x14ac:dyDescent="0.2">
      <c r="E6925" s="1063"/>
      <c r="H6925" s="1066"/>
      <c r="I6925" s="1063"/>
      <c r="J6925" s="1063"/>
      <c r="K6925" s="1063"/>
      <c r="L6925" s="1063"/>
    </row>
    <row r="6926" spans="5:12" x14ac:dyDescent="0.2">
      <c r="E6926" s="1063"/>
      <c r="H6926" s="1066"/>
      <c r="I6926" s="1063"/>
      <c r="J6926" s="1063"/>
      <c r="K6926" s="1063"/>
      <c r="L6926" s="1063"/>
    </row>
    <row r="6927" spans="5:12" x14ac:dyDescent="0.2">
      <c r="E6927" s="1063"/>
      <c r="H6927" s="1066"/>
      <c r="I6927" s="1063"/>
      <c r="J6927" s="1063"/>
      <c r="K6927" s="1063"/>
      <c r="L6927" s="1063"/>
    </row>
    <row r="6928" spans="5:12" x14ac:dyDescent="0.2">
      <c r="E6928" s="1063"/>
      <c r="H6928" s="1066"/>
      <c r="I6928" s="1063"/>
      <c r="J6928" s="1063"/>
      <c r="K6928" s="1063"/>
      <c r="L6928" s="1063"/>
    </row>
    <row r="6929" spans="5:12" x14ac:dyDescent="0.2">
      <c r="E6929" s="1063"/>
      <c r="H6929" s="1066"/>
      <c r="I6929" s="1063"/>
      <c r="J6929" s="1063"/>
      <c r="K6929" s="1063"/>
      <c r="L6929" s="1063"/>
    </row>
    <row r="6930" spans="5:12" x14ac:dyDescent="0.2">
      <c r="E6930" s="1063"/>
      <c r="H6930" s="1066"/>
      <c r="I6930" s="1063"/>
      <c r="J6930" s="1063"/>
      <c r="K6930" s="1063"/>
      <c r="L6930" s="1063"/>
    </row>
    <row r="6931" spans="5:12" x14ac:dyDescent="0.2">
      <c r="E6931" s="1063"/>
      <c r="H6931" s="1066"/>
      <c r="I6931" s="1063"/>
      <c r="J6931" s="1063"/>
      <c r="K6931" s="1063"/>
      <c r="L6931" s="1063"/>
    </row>
    <row r="6932" spans="5:12" x14ac:dyDescent="0.2">
      <c r="E6932" s="1063"/>
      <c r="H6932" s="1066"/>
      <c r="I6932" s="1063"/>
      <c r="J6932" s="1063"/>
      <c r="K6932" s="1063"/>
      <c r="L6932" s="1063"/>
    </row>
    <row r="6933" spans="5:12" x14ac:dyDescent="0.2">
      <c r="E6933" s="1063"/>
      <c r="H6933" s="1066"/>
      <c r="I6933" s="1063"/>
      <c r="J6933" s="1063"/>
      <c r="K6933" s="1063"/>
      <c r="L6933" s="1063"/>
    </row>
    <row r="6934" spans="5:12" x14ac:dyDescent="0.2">
      <c r="E6934" s="1063"/>
      <c r="H6934" s="1066"/>
      <c r="I6934" s="1063"/>
      <c r="J6934" s="1063"/>
      <c r="K6934" s="1063"/>
      <c r="L6934" s="1063"/>
    </row>
    <row r="6935" spans="5:12" x14ac:dyDescent="0.2">
      <c r="E6935" s="1063"/>
      <c r="H6935" s="1066"/>
      <c r="I6935" s="1063"/>
      <c r="J6935" s="1063"/>
      <c r="K6935" s="1063"/>
      <c r="L6935" s="1063"/>
    </row>
    <row r="6936" spans="5:12" x14ac:dyDescent="0.2">
      <c r="E6936" s="1063"/>
      <c r="H6936" s="1066"/>
      <c r="I6936" s="1063"/>
      <c r="J6936" s="1063"/>
      <c r="K6936" s="1063"/>
      <c r="L6936" s="1063"/>
    </row>
    <row r="6937" spans="5:12" x14ac:dyDescent="0.2">
      <c r="E6937" s="1063"/>
      <c r="H6937" s="1066"/>
      <c r="I6937" s="1063"/>
      <c r="J6937" s="1063"/>
      <c r="K6937" s="1063"/>
      <c r="L6937" s="1063"/>
    </row>
    <row r="6938" spans="5:12" x14ac:dyDescent="0.2">
      <c r="E6938" s="1063"/>
      <c r="H6938" s="1066"/>
      <c r="I6938" s="1063"/>
      <c r="J6938" s="1063"/>
      <c r="K6938" s="1063"/>
      <c r="L6938" s="1063"/>
    </row>
    <row r="6939" spans="5:12" x14ac:dyDescent="0.2">
      <c r="E6939" s="1063"/>
      <c r="H6939" s="1066"/>
      <c r="I6939" s="1063"/>
      <c r="J6939" s="1063"/>
      <c r="K6939" s="1063"/>
      <c r="L6939" s="1063"/>
    </row>
    <row r="6940" spans="5:12" x14ac:dyDescent="0.2">
      <c r="E6940" s="1063"/>
      <c r="H6940" s="1066"/>
      <c r="I6940" s="1063"/>
      <c r="J6940" s="1063"/>
      <c r="K6940" s="1063"/>
      <c r="L6940" s="1063"/>
    </row>
    <row r="6941" spans="5:12" x14ac:dyDescent="0.2">
      <c r="E6941" s="1063"/>
      <c r="H6941" s="1066"/>
      <c r="I6941" s="1063"/>
      <c r="J6941" s="1063"/>
      <c r="K6941" s="1063"/>
      <c r="L6941" s="1063"/>
    </row>
    <row r="6942" spans="5:12" x14ac:dyDescent="0.2">
      <c r="E6942" s="1063"/>
      <c r="H6942" s="1066"/>
      <c r="I6942" s="1063"/>
      <c r="J6942" s="1063"/>
      <c r="K6942" s="1063"/>
      <c r="L6942" s="1063"/>
    </row>
    <row r="6943" spans="5:12" x14ac:dyDescent="0.2">
      <c r="E6943" s="1063"/>
      <c r="H6943" s="1066"/>
      <c r="I6943" s="1063"/>
      <c r="J6943" s="1063"/>
      <c r="K6943" s="1063"/>
      <c r="L6943" s="1063"/>
    </row>
    <row r="6944" spans="5:12" x14ac:dyDescent="0.2">
      <c r="E6944" s="1063"/>
      <c r="H6944" s="1066"/>
      <c r="I6944" s="1063"/>
      <c r="J6944" s="1063"/>
      <c r="K6944" s="1063"/>
      <c r="L6944" s="1063"/>
    </row>
    <row r="6945" spans="5:12" x14ac:dyDescent="0.2">
      <c r="E6945" s="1063"/>
      <c r="H6945" s="1066"/>
      <c r="I6945" s="1063"/>
      <c r="J6945" s="1063"/>
      <c r="K6945" s="1063"/>
      <c r="L6945" s="1063"/>
    </row>
    <row r="6946" spans="5:12" x14ac:dyDescent="0.2">
      <c r="E6946" s="1063"/>
      <c r="H6946" s="1066"/>
      <c r="I6946" s="1063"/>
      <c r="J6946" s="1063"/>
      <c r="K6946" s="1063"/>
      <c r="L6946" s="1063"/>
    </row>
    <row r="6947" spans="5:12" x14ac:dyDescent="0.2">
      <c r="E6947" s="1063"/>
      <c r="H6947" s="1066"/>
      <c r="I6947" s="1063"/>
      <c r="J6947" s="1063"/>
      <c r="K6947" s="1063"/>
      <c r="L6947" s="1063"/>
    </row>
    <row r="6948" spans="5:12" x14ac:dyDescent="0.2">
      <c r="E6948" s="1063"/>
      <c r="H6948" s="1066"/>
      <c r="I6948" s="1063"/>
      <c r="J6948" s="1063"/>
      <c r="K6948" s="1063"/>
      <c r="L6948" s="1063"/>
    </row>
    <row r="6949" spans="5:12" x14ac:dyDescent="0.2">
      <c r="E6949" s="1063"/>
      <c r="H6949" s="1066"/>
      <c r="I6949" s="1063"/>
      <c r="J6949" s="1063"/>
      <c r="K6949" s="1063"/>
      <c r="L6949" s="1063"/>
    </row>
    <row r="6950" spans="5:12" x14ac:dyDescent="0.2">
      <c r="E6950" s="1063"/>
      <c r="H6950" s="1066"/>
      <c r="I6950" s="1063"/>
      <c r="J6950" s="1063"/>
      <c r="K6950" s="1063"/>
      <c r="L6950" s="1063"/>
    </row>
    <row r="6951" spans="5:12" x14ac:dyDescent="0.2">
      <c r="E6951" s="1063"/>
      <c r="H6951" s="1066"/>
      <c r="I6951" s="1063"/>
      <c r="J6951" s="1063"/>
      <c r="K6951" s="1063"/>
      <c r="L6951" s="1063"/>
    </row>
    <row r="6952" spans="5:12" x14ac:dyDescent="0.2">
      <c r="E6952" s="1063"/>
      <c r="H6952" s="1066"/>
      <c r="I6952" s="1063"/>
      <c r="J6952" s="1063"/>
      <c r="K6952" s="1063"/>
      <c r="L6952" s="1063"/>
    </row>
    <row r="6953" spans="5:12" x14ac:dyDescent="0.2">
      <c r="E6953" s="1063"/>
      <c r="H6953" s="1066"/>
      <c r="I6953" s="1063"/>
      <c r="J6953" s="1063"/>
      <c r="K6953" s="1063"/>
      <c r="L6953" s="1063"/>
    </row>
    <row r="6954" spans="5:12" x14ac:dyDescent="0.2">
      <c r="E6954" s="1063"/>
      <c r="H6954" s="1066"/>
      <c r="I6954" s="1063"/>
      <c r="J6954" s="1063"/>
      <c r="K6954" s="1063"/>
      <c r="L6954" s="1063"/>
    </row>
    <row r="6955" spans="5:12" x14ac:dyDescent="0.2">
      <c r="E6955" s="1063"/>
      <c r="H6955" s="1066"/>
      <c r="I6955" s="1063"/>
      <c r="J6955" s="1063"/>
      <c r="K6955" s="1063"/>
      <c r="L6955" s="1063"/>
    </row>
    <row r="6956" spans="5:12" x14ac:dyDescent="0.2">
      <c r="E6956" s="1063"/>
      <c r="H6956" s="1066"/>
      <c r="I6956" s="1063"/>
      <c r="J6956" s="1063"/>
      <c r="K6956" s="1063"/>
      <c r="L6956" s="1063"/>
    </row>
    <row r="6957" spans="5:12" x14ac:dyDescent="0.2">
      <c r="E6957" s="1063"/>
      <c r="H6957" s="1066"/>
      <c r="I6957" s="1063"/>
      <c r="J6957" s="1063"/>
      <c r="K6957" s="1063"/>
      <c r="L6957" s="1063"/>
    </row>
    <row r="6958" spans="5:12" x14ac:dyDescent="0.2">
      <c r="E6958" s="1063"/>
      <c r="H6958" s="1066"/>
      <c r="I6958" s="1063"/>
      <c r="J6958" s="1063"/>
      <c r="K6958" s="1063"/>
      <c r="L6958" s="1063"/>
    </row>
    <row r="6959" spans="5:12" x14ac:dyDescent="0.2">
      <c r="E6959" s="1063"/>
      <c r="H6959" s="1066"/>
      <c r="I6959" s="1063"/>
      <c r="J6959" s="1063"/>
      <c r="K6959" s="1063"/>
      <c r="L6959" s="1063"/>
    </row>
    <row r="6960" spans="5:12" x14ac:dyDescent="0.2">
      <c r="E6960" s="1063"/>
      <c r="H6960" s="1066"/>
      <c r="I6960" s="1063"/>
      <c r="J6960" s="1063"/>
      <c r="K6960" s="1063"/>
      <c r="L6960" s="1063"/>
    </row>
    <row r="6961" spans="5:12" x14ac:dyDescent="0.2">
      <c r="E6961" s="1063"/>
      <c r="H6961" s="1066"/>
      <c r="I6961" s="1063"/>
      <c r="J6961" s="1063"/>
      <c r="K6961" s="1063"/>
      <c r="L6961" s="1063"/>
    </row>
    <row r="6962" spans="5:12" x14ac:dyDescent="0.2">
      <c r="E6962" s="1063"/>
      <c r="H6962" s="1066"/>
      <c r="I6962" s="1063"/>
      <c r="J6962" s="1063"/>
      <c r="K6962" s="1063"/>
      <c r="L6962" s="1063"/>
    </row>
    <row r="6963" spans="5:12" x14ac:dyDescent="0.2">
      <c r="E6963" s="1063"/>
      <c r="H6963" s="1066"/>
      <c r="I6963" s="1063"/>
      <c r="J6963" s="1063"/>
      <c r="K6963" s="1063"/>
      <c r="L6963" s="1063"/>
    </row>
    <row r="6964" spans="5:12" x14ac:dyDescent="0.2">
      <c r="E6964" s="1063"/>
      <c r="H6964" s="1066"/>
      <c r="I6964" s="1063"/>
      <c r="J6964" s="1063"/>
      <c r="K6964" s="1063"/>
      <c r="L6964" s="1063"/>
    </row>
    <row r="6965" spans="5:12" x14ac:dyDescent="0.2">
      <c r="E6965" s="1063"/>
      <c r="H6965" s="1066"/>
      <c r="I6965" s="1063"/>
      <c r="J6965" s="1063"/>
      <c r="K6965" s="1063"/>
      <c r="L6965" s="1063"/>
    </row>
    <row r="6966" spans="5:12" x14ac:dyDescent="0.2">
      <c r="E6966" s="1063"/>
      <c r="H6966" s="1066"/>
      <c r="I6966" s="1063"/>
      <c r="J6966" s="1063"/>
      <c r="K6966" s="1063"/>
      <c r="L6966" s="1063"/>
    </row>
    <row r="6967" spans="5:12" x14ac:dyDescent="0.2">
      <c r="E6967" s="1063"/>
      <c r="H6967" s="1066"/>
      <c r="I6967" s="1063"/>
      <c r="J6967" s="1063"/>
      <c r="K6967" s="1063"/>
      <c r="L6967" s="1063"/>
    </row>
    <row r="6968" spans="5:12" x14ac:dyDescent="0.2">
      <c r="E6968" s="1063"/>
      <c r="H6968" s="1066"/>
      <c r="I6968" s="1063"/>
      <c r="J6968" s="1063"/>
      <c r="K6968" s="1063"/>
      <c r="L6968" s="1063"/>
    </row>
    <row r="6969" spans="5:12" x14ac:dyDescent="0.2">
      <c r="E6969" s="1063"/>
      <c r="H6969" s="1066"/>
      <c r="I6969" s="1063"/>
      <c r="J6969" s="1063"/>
      <c r="K6969" s="1063"/>
      <c r="L6969" s="1063"/>
    </row>
    <row r="6970" spans="5:12" x14ac:dyDescent="0.2">
      <c r="E6970" s="1063"/>
      <c r="H6970" s="1066"/>
      <c r="I6970" s="1063"/>
      <c r="J6970" s="1063"/>
      <c r="K6970" s="1063"/>
      <c r="L6970" s="1063"/>
    </row>
    <row r="6971" spans="5:12" x14ac:dyDescent="0.2">
      <c r="E6971" s="1063"/>
      <c r="H6971" s="1066"/>
      <c r="I6971" s="1063"/>
      <c r="J6971" s="1063"/>
      <c r="K6971" s="1063"/>
      <c r="L6971" s="1063"/>
    </row>
    <row r="6972" spans="5:12" x14ac:dyDescent="0.2">
      <c r="E6972" s="1063"/>
      <c r="H6972" s="1066"/>
      <c r="I6972" s="1063"/>
      <c r="J6972" s="1063"/>
      <c r="K6972" s="1063"/>
      <c r="L6972" s="1063"/>
    </row>
    <row r="6973" spans="5:12" x14ac:dyDescent="0.2">
      <c r="E6973" s="1063"/>
      <c r="H6973" s="1066"/>
      <c r="I6973" s="1063"/>
      <c r="J6973" s="1063"/>
      <c r="K6973" s="1063"/>
      <c r="L6973" s="1063"/>
    </row>
    <row r="6974" spans="5:12" x14ac:dyDescent="0.2">
      <c r="E6974" s="1063"/>
      <c r="H6974" s="1066"/>
      <c r="I6974" s="1063"/>
      <c r="J6974" s="1063"/>
      <c r="K6974" s="1063"/>
      <c r="L6974" s="1063"/>
    </row>
    <row r="6975" spans="5:12" x14ac:dyDescent="0.2">
      <c r="E6975" s="1063"/>
      <c r="H6975" s="1066"/>
      <c r="I6975" s="1063"/>
      <c r="J6975" s="1063"/>
      <c r="K6975" s="1063"/>
      <c r="L6975" s="1063"/>
    </row>
    <row r="6976" spans="5:12" x14ac:dyDescent="0.2">
      <c r="E6976" s="1063"/>
      <c r="H6976" s="1066"/>
      <c r="I6976" s="1063"/>
      <c r="J6976" s="1063"/>
      <c r="K6976" s="1063"/>
      <c r="L6976" s="1063"/>
    </row>
    <row r="6977" spans="5:12" x14ac:dyDescent="0.2">
      <c r="E6977" s="1063"/>
      <c r="H6977" s="1066"/>
      <c r="I6977" s="1063"/>
      <c r="J6977" s="1063"/>
      <c r="K6977" s="1063"/>
      <c r="L6977" s="1063"/>
    </row>
    <row r="6978" spans="5:12" x14ac:dyDescent="0.2">
      <c r="E6978" s="1063"/>
      <c r="H6978" s="1066"/>
      <c r="I6978" s="1063"/>
      <c r="J6978" s="1063"/>
      <c r="K6978" s="1063"/>
      <c r="L6978" s="1063"/>
    </row>
    <row r="6979" spans="5:12" x14ac:dyDescent="0.2">
      <c r="E6979" s="1063"/>
      <c r="H6979" s="1066"/>
      <c r="I6979" s="1063"/>
      <c r="J6979" s="1063"/>
      <c r="K6979" s="1063"/>
      <c r="L6979" s="1063"/>
    </row>
    <row r="6980" spans="5:12" x14ac:dyDescent="0.2">
      <c r="E6980" s="1063"/>
      <c r="H6980" s="1066"/>
      <c r="I6980" s="1063"/>
      <c r="J6980" s="1063"/>
      <c r="K6980" s="1063"/>
      <c r="L6980" s="1063"/>
    </row>
    <row r="6981" spans="5:12" x14ac:dyDescent="0.2">
      <c r="E6981" s="1063"/>
      <c r="H6981" s="1066"/>
      <c r="I6981" s="1063"/>
      <c r="J6981" s="1063"/>
      <c r="K6981" s="1063"/>
      <c r="L6981" s="1063"/>
    </row>
    <row r="6982" spans="5:12" x14ac:dyDescent="0.2">
      <c r="E6982" s="1063"/>
      <c r="H6982" s="1066"/>
      <c r="I6982" s="1063"/>
      <c r="J6982" s="1063"/>
      <c r="K6982" s="1063"/>
      <c r="L6982" s="1063"/>
    </row>
    <row r="6983" spans="5:12" x14ac:dyDescent="0.2">
      <c r="E6983" s="1063"/>
      <c r="H6983" s="1066"/>
      <c r="I6983" s="1063"/>
      <c r="J6983" s="1063"/>
      <c r="K6983" s="1063"/>
      <c r="L6983" s="1063"/>
    </row>
    <row r="6984" spans="5:12" x14ac:dyDescent="0.2">
      <c r="E6984" s="1063"/>
      <c r="H6984" s="1066"/>
      <c r="I6984" s="1063"/>
      <c r="J6984" s="1063"/>
      <c r="K6984" s="1063"/>
      <c r="L6984" s="1063"/>
    </row>
    <row r="6985" spans="5:12" x14ac:dyDescent="0.2">
      <c r="E6985" s="1063"/>
      <c r="H6985" s="1066"/>
      <c r="I6985" s="1063"/>
      <c r="J6985" s="1063"/>
      <c r="K6985" s="1063"/>
      <c r="L6985" s="1063"/>
    </row>
    <row r="6986" spans="5:12" x14ac:dyDescent="0.2">
      <c r="E6986" s="1063"/>
      <c r="H6986" s="1066"/>
      <c r="I6986" s="1063"/>
      <c r="J6986" s="1063"/>
      <c r="K6986" s="1063"/>
      <c r="L6986" s="1063"/>
    </row>
    <row r="6987" spans="5:12" x14ac:dyDescent="0.2">
      <c r="E6987" s="1063"/>
      <c r="H6987" s="1066"/>
      <c r="I6987" s="1063"/>
      <c r="J6987" s="1063"/>
      <c r="K6987" s="1063"/>
      <c r="L6987" s="1063"/>
    </row>
    <row r="6988" spans="5:12" x14ac:dyDescent="0.2">
      <c r="E6988" s="1063"/>
      <c r="H6988" s="1066"/>
      <c r="I6988" s="1063"/>
      <c r="J6988" s="1063"/>
      <c r="K6988" s="1063"/>
      <c r="L6988" s="1063"/>
    </row>
    <row r="6989" spans="5:12" x14ac:dyDescent="0.2">
      <c r="E6989" s="1063"/>
      <c r="H6989" s="1066"/>
      <c r="I6989" s="1063"/>
      <c r="J6989" s="1063"/>
      <c r="K6989" s="1063"/>
      <c r="L6989" s="1063"/>
    </row>
    <row r="6990" spans="5:12" x14ac:dyDescent="0.2">
      <c r="E6990" s="1063"/>
      <c r="H6990" s="1066"/>
      <c r="I6990" s="1063"/>
      <c r="J6990" s="1063"/>
      <c r="K6990" s="1063"/>
      <c r="L6990" s="1063"/>
    </row>
    <row r="6991" spans="5:12" x14ac:dyDescent="0.2">
      <c r="E6991" s="1063"/>
      <c r="H6991" s="1066"/>
      <c r="I6991" s="1063"/>
      <c r="J6991" s="1063"/>
      <c r="K6991" s="1063"/>
      <c r="L6991" s="1063"/>
    </row>
    <row r="6992" spans="5:12" x14ac:dyDescent="0.2">
      <c r="E6992" s="1063"/>
      <c r="H6992" s="1066"/>
      <c r="I6992" s="1063"/>
      <c r="J6992" s="1063"/>
      <c r="K6992" s="1063"/>
      <c r="L6992" s="1063"/>
    </row>
    <row r="6993" spans="5:12" x14ac:dyDescent="0.2">
      <c r="E6993" s="1063"/>
      <c r="H6993" s="1066"/>
      <c r="I6993" s="1063"/>
      <c r="J6993" s="1063"/>
      <c r="K6993" s="1063"/>
      <c r="L6993" s="1063"/>
    </row>
    <row r="6994" spans="5:12" x14ac:dyDescent="0.2">
      <c r="E6994" s="1063"/>
      <c r="H6994" s="1066"/>
      <c r="I6994" s="1063"/>
      <c r="J6994" s="1063"/>
      <c r="K6994" s="1063"/>
      <c r="L6994" s="1063"/>
    </row>
    <row r="6995" spans="5:12" x14ac:dyDescent="0.2">
      <c r="E6995" s="1063"/>
      <c r="H6995" s="1066"/>
      <c r="I6995" s="1063"/>
      <c r="J6995" s="1063"/>
      <c r="K6995" s="1063"/>
      <c r="L6995" s="1063"/>
    </row>
    <row r="6996" spans="5:12" x14ac:dyDescent="0.2">
      <c r="E6996" s="1063"/>
      <c r="H6996" s="1066"/>
      <c r="I6996" s="1063"/>
      <c r="J6996" s="1063"/>
      <c r="K6996" s="1063"/>
      <c r="L6996" s="1063"/>
    </row>
    <row r="6997" spans="5:12" x14ac:dyDescent="0.2">
      <c r="E6997" s="1063"/>
      <c r="H6997" s="1066"/>
      <c r="I6997" s="1063"/>
      <c r="J6997" s="1063"/>
      <c r="K6997" s="1063"/>
      <c r="L6997" s="1063"/>
    </row>
    <row r="6998" spans="5:12" x14ac:dyDescent="0.2">
      <c r="E6998" s="1063"/>
      <c r="H6998" s="1066"/>
      <c r="I6998" s="1063"/>
      <c r="J6998" s="1063"/>
      <c r="K6998" s="1063"/>
      <c r="L6998" s="1063"/>
    </row>
    <row r="6999" spans="5:12" x14ac:dyDescent="0.2">
      <c r="E6999" s="1063"/>
      <c r="H6999" s="1066"/>
      <c r="I6999" s="1063"/>
      <c r="J6999" s="1063"/>
      <c r="K6999" s="1063"/>
      <c r="L6999" s="1063"/>
    </row>
    <row r="7000" spans="5:12" x14ac:dyDescent="0.2">
      <c r="E7000" s="1063"/>
      <c r="H7000" s="1066"/>
      <c r="I7000" s="1063"/>
      <c r="J7000" s="1063"/>
      <c r="K7000" s="1063"/>
      <c r="L7000" s="1063"/>
    </row>
    <row r="7001" spans="5:12" x14ac:dyDescent="0.2">
      <c r="E7001" s="1063"/>
      <c r="H7001" s="1066"/>
      <c r="I7001" s="1063"/>
      <c r="J7001" s="1063"/>
      <c r="K7001" s="1063"/>
      <c r="L7001" s="1063"/>
    </row>
    <row r="7002" spans="5:12" x14ac:dyDescent="0.2">
      <c r="E7002" s="1063"/>
      <c r="H7002" s="1066"/>
      <c r="I7002" s="1063"/>
      <c r="J7002" s="1063"/>
      <c r="K7002" s="1063"/>
      <c r="L7002" s="1063"/>
    </row>
    <row r="7003" spans="5:12" x14ac:dyDescent="0.2">
      <c r="E7003" s="1063"/>
      <c r="H7003" s="1066"/>
      <c r="I7003" s="1063"/>
      <c r="J7003" s="1063"/>
      <c r="K7003" s="1063"/>
      <c r="L7003" s="1063"/>
    </row>
    <row r="7004" spans="5:12" x14ac:dyDescent="0.2">
      <c r="E7004" s="1063"/>
      <c r="H7004" s="1066"/>
      <c r="I7004" s="1063"/>
      <c r="J7004" s="1063"/>
      <c r="K7004" s="1063"/>
      <c r="L7004" s="1063"/>
    </row>
    <row r="7005" spans="5:12" x14ac:dyDescent="0.2">
      <c r="E7005" s="1063"/>
      <c r="H7005" s="1066"/>
      <c r="I7005" s="1063"/>
      <c r="J7005" s="1063"/>
      <c r="K7005" s="1063"/>
      <c r="L7005" s="1063"/>
    </row>
    <row r="7006" spans="5:12" x14ac:dyDescent="0.2">
      <c r="E7006" s="1063"/>
      <c r="H7006" s="1066"/>
      <c r="I7006" s="1063"/>
      <c r="J7006" s="1063"/>
      <c r="K7006" s="1063"/>
      <c r="L7006" s="1063"/>
    </row>
    <row r="7007" spans="5:12" x14ac:dyDescent="0.2">
      <c r="E7007" s="1063"/>
      <c r="H7007" s="1066"/>
      <c r="I7007" s="1063"/>
      <c r="J7007" s="1063"/>
      <c r="K7007" s="1063"/>
      <c r="L7007" s="1063"/>
    </row>
    <row r="7008" spans="5:12" x14ac:dyDescent="0.2">
      <c r="E7008" s="1063"/>
      <c r="H7008" s="1066"/>
      <c r="I7008" s="1063"/>
      <c r="J7008" s="1063"/>
      <c r="K7008" s="1063"/>
      <c r="L7008" s="1063"/>
    </row>
    <row r="7009" spans="5:12" x14ac:dyDescent="0.2">
      <c r="E7009" s="1063"/>
      <c r="H7009" s="1066"/>
      <c r="I7009" s="1063"/>
      <c r="J7009" s="1063"/>
      <c r="K7009" s="1063"/>
      <c r="L7009" s="1063"/>
    </row>
    <row r="7010" spans="5:12" x14ac:dyDescent="0.2">
      <c r="E7010" s="1063"/>
      <c r="H7010" s="1066"/>
      <c r="I7010" s="1063"/>
      <c r="J7010" s="1063"/>
      <c r="K7010" s="1063"/>
      <c r="L7010" s="1063"/>
    </row>
    <row r="7011" spans="5:12" x14ac:dyDescent="0.2">
      <c r="E7011" s="1063"/>
      <c r="H7011" s="1066"/>
      <c r="I7011" s="1063"/>
      <c r="J7011" s="1063"/>
      <c r="K7011" s="1063"/>
      <c r="L7011" s="1063"/>
    </row>
    <row r="7012" spans="5:12" x14ac:dyDescent="0.2">
      <c r="E7012" s="1063"/>
      <c r="H7012" s="1066"/>
      <c r="I7012" s="1063"/>
      <c r="J7012" s="1063"/>
      <c r="K7012" s="1063"/>
      <c r="L7012" s="1063"/>
    </row>
    <row r="7013" spans="5:12" x14ac:dyDescent="0.2">
      <c r="E7013" s="1063"/>
      <c r="H7013" s="1066"/>
      <c r="I7013" s="1063"/>
      <c r="J7013" s="1063"/>
      <c r="K7013" s="1063"/>
      <c r="L7013" s="1063"/>
    </row>
    <row r="7014" spans="5:12" x14ac:dyDescent="0.2">
      <c r="E7014" s="1063"/>
      <c r="H7014" s="1066"/>
      <c r="I7014" s="1063"/>
      <c r="J7014" s="1063"/>
      <c r="K7014" s="1063"/>
      <c r="L7014" s="1063"/>
    </row>
    <row r="7015" spans="5:12" x14ac:dyDescent="0.2">
      <c r="E7015" s="1063"/>
      <c r="H7015" s="1066"/>
      <c r="I7015" s="1063"/>
      <c r="J7015" s="1063"/>
      <c r="K7015" s="1063"/>
      <c r="L7015" s="1063"/>
    </row>
    <row r="7016" spans="5:12" x14ac:dyDescent="0.2">
      <c r="E7016" s="1063"/>
      <c r="H7016" s="1066"/>
      <c r="I7016" s="1063"/>
      <c r="J7016" s="1063"/>
      <c r="K7016" s="1063"/>
      <c r="L7016" s="1063"/>
    </row>
    <row r="7017" spans="5:12" x14ac:dyDescent="0.2">
      <c r="E7017" s="1063"/>
      <c r="H7017" s="1066"/>
      <c r="I7017" s="1063"/>
      <c r="J7017" s="1063"/>
      <c r="K7017" s="1063"/>
      <c r="L7017" s="1063"/>
    </row>
    <row r="7018" spans="5:12" x14ac:dyDescent="0.2">
      <c r="E7018" s="1063"/>
      <c r="H7018" s="1066"/>
      <c r="I7018" s="1063"/>
      <c r="J7018" s="1063"/>
      <c r="K7018" s="1063"/>
      <c r="L7018" s="1063"/>
    </row>
    <row r="7019" spans="5:12" x14ac:dyDescent="0.2">
      <c r="E7019" s="1063"/>
      <c r="H7019" s="1066"/>
      <c r="I7019" s="1063"/>
      <c r="J7019" s="1063"/>
      <c r="K7019" s="1063"/>
      <c r="L7019" s="1063"/>
    </row>
    <row r="7020" spans="5:12" x14ac:dyDescent="0.2">
      <c r="E7020" s="1063"/>
      <c r="H7020" s="1066"/>
      <c r="I7020" s="1063"/>
      <c r="J7020" s="1063"/>
      <c r="K7020" s="1063"/>
      <c r="L7020" s="1063"/>
    </row>
    <row r="7021" spans="5:12" x14ac:dyDescent="0.2">
      <c r="E7021" s="1063"/>
      <c r="H7021" s="1066"/>
      <c r="I7021" s="1063"/>
      <c r="J7021" s="1063"/>
      <c r="K7021" s="1063"/>
      <c r="L7021" s="1063"/>
    </row>
    <row r="7022" spans="5:12" x14ac:dyDescent="0.2">
      <c r="E7022" s="1063"/>
      <c r="H7022" s="1066"/>
      <c r="I7022" s="1063"/>
      <c r="J7022" s="1063"/>
      <c r="K7022" s="1063"/>
      <c r="L7022" s="1063"/>
    </row>
    <row r="7023" spans="5:12" x14ac:dyDescent="0.2">
      <c r="E7023" s="1063"/>
      <c r="H7023" s="1066"/>
      <c r="I7023" s="1063"/>
      <c r="J7023" s="1063"/>
      <c r="K7023" s="1063"/>
      <c r="L7023" s="1063"/>
    </row>
    <row r="7024" spans="5:12" x14ac:dyDescent="0.2">
      <c r="E7024" s="1063"/>
      <c r="H7024" s="1066"/>
      <c r="I7024" s="1063"/>
      <c r="J7024" s="1063"/>
      <c r="K7024" s="1063"/>
      <c r="L7024" s="1063"/>
    </row>
    <row r="7025" spans="5:12" x14ac:dyDescent="0.2">
      <c r="E7025" s="1063"/>
      <c r="H7025" s="1066"/>
      <c r="I7025" s="1063"/>
      <c r="J7025" s="1063"/>
      <c r="K7025" s="1063"/>
      <c r="L7025" s="1063"/>
    </row>
    <row r="7026" spans="5:12" x14ac:dyDescent="0.2">
      <c r="E7026" s="1063"/>
      <c r="H7026" s="1066"/>
      <c r="I7026" s="1063"/>
      <c r="J7026" s="1063"/>
      <c r="K7026" s="1063"/>
      <c r="L7026" s="1063"/>
    </row>
    <row r="7027" spans="5:12" x14ac:dyDescent="0.2">
      <c r="E7027" s="1063"/>
      <c r="H7027" s="1066"/>
      <c r="I7027" s="1063"/>
      <c r="J7027" s="1063"/>
      <c r="K7027" s="1063"/>
      <c r="L7027" s="1063"/>
    </row>
    <row r="7028" spans="5:12" x14ac:dyDescent="0.2">
      <c r="E7028" s="1063"/>
      <c r="H7028" s="1066"/>
      <c r="I7028" s="1063"/>
      <c r="J7028" s="1063"/>
      <c r="K7028" s="1063"/>
      <c r="L7028" s="1063"/>
    </row>
    <row r="7029" spans="5:12" x14ac:dyDescent="0.2">
      <c r="E7029" s="1063"/>
      <c r="H7029" s="1066"/>
      <c r="I7029" s="1063"/>
      <c r="J7029" s="1063"/>
      <c r="K7029" s="1063"/>
      <c r="L7029" s="1063"/>
    </row>
    <row r="7030" spans="5:12" x14ac:dyDescent="0.2">
      <c r="E7030" s="1063"/>
      <c r="H7030" s="1066"/>
      <c r="I7030" s="1063"/>
      <c r="J7030" s="1063"/>
      <c r="K7030" s="1063"/>
      <c r="L7030" s="1063"/>
    </row>
    <row r="7031" spans="5:12" x14ac:dyDescent="0.2">
      <c r="E7031" s="1063"/>
      <c r="H7031" s="1066"/>
      <c r="I7031" s="1063"/>
      <c r="J7031" s="1063"/>
      <c r="K7031" s="1063"/>
      <c r="L7031" s="1063"/>
    </row>
    <row r="7032" spans="5:12" x14ac:dyDescent="0.2">
      <c r="E7032" s="1063"/>
      <c r="H7032" s="1066"/>
      <c r="I7032" s="1063"/>
      <c r="J7032" s="1063"/>
      <c r="K7032" s="1063"/>
      <c r="L7032" s="1063"/>
    </row>
    <row r="7033" spans="5:12" x14ac:dyDescent="0.2">
      <c r="E7033" s="1063"/>
      <c r="H7033" s="1066"/>
      <c r="I7033" s="1063"/>
      <c r="J7033" s="1063"/>
      <c r="K7033" s="1063"/>
      <c r="L7033" s="1063"/>
    </row>
    <row r="7034" spans="5:12" x14ac:dyDescent="0.2">
      <c r="E7034" s="1063"/>
      <c r="H7034" s="1066"/>
      <c r="I7034" s="1063"/>
      <c r="J7034" s="1063"/>
      <c r="K7034" s="1063"/>
      <c r="L7034" s="1063"/>
    </row>
    <row r="7035" spans="5:12" x14ac:dyDescent="0.2">
      <c r="E7035" s="1063"/>
      <c r="H7035" s="1066"/>
      <c r="I7035" s="1063"/>
      <c r="J7035" s="1063"/>
      <c r="K7035" s="1063"/>
      <c r="L7035" s="1063"/>
    </row>
    <row r="7036" spans="5:12" x14ac:dyDescent="0.2">
      <c r="E7036" s="1063"/>
      <c r="H7036" s="1066"/>
      <c r="I7036" s="1063"/>
      <c r="J7036" s="1063"/>
      <c r="K7036" s="1063"/>
      <c r="L7036" s="1063"/>
    </row>
    <row r="7037" spans="5:12" x14ac:dyDescent="0.2">
      <c r="E7037" s="1063"/>
      <c r="H7037" s="1066"/>
      <c r="I7037" s="1063"/>
      <c r="J7037" s="1063"/>
      <c r="K7037" s="1063"/>
      <c r="L7037" s="1063"/>
    </row>
    <row r="7038" spans="5:12" x14ac:dyDescent="0.2">
      <c r="E7038" s="1063"/>
      <c r="H7038" s="1066"/>
      <c r="I7038" s="1063"/>
      <c r="J7038" s="1063"/>
      <c r="K7038" s="1063"/>
      <c r="L7038" s="1063"/>
    </row>
    <row r="7039" spans="5:12" x14ac:dyDescent="0.2">
      <c r="E7039" s="1063"/>
      <c r="H7039" s="1066"/>
      <c r="I7039" s="1063"/>
      <c r="J7039" s="1063"/>
      <c r="K7039" s="1063"/>
      <c r="L7039" s="1063"/>
    </row>
    <row r="7040" spans="5:12" x14ac:dyDescent="0.2">
      <c r="E7040" s="1063"/>
      <c r="H7040" s="1066"/>
      <c r="I7040" s="1063"/>
      <c r="J7040" s="1063"/>
      <c r="K7040" s="1063"/>
      <c r="L7040" s="1063"/>
    </row>
    <row r="7041" spans="5:12" x14ac:dyDescent="0.2">
      <c r="E7041" s="1063"/>
      <c r="H7041" s="1066"/>
      <c r="I7041" s="1063"/>
      <c r="J7041" s="1063"/>
      <c r="K7041" s="1063"/>
      <c r="L7041" s="1063"/>
    </row>
    <row r="7042" spans="5:12" x14ac:dyDescent="0.2">
      <c r="E7042" s="1063"/>
      <c r="H7042" s="1066"/>
      <c r="I7042" s="1063"/>
      <c r="J7042" s="1063"/>
      <c r="K7042" s="1063"/>
      <c r="L7042" s="1063"/>
    </row>
    <row r="7043" spans="5:12" x14ac:dyDescent="0.2">
      <c r="E7043" s="1063"/>
      <c r="H7043" s="1066"/>
      <c r="I7043" s="1063"/>
      <c r="J7043" s="1063"/>
      <c r="K7043" s="1063"/>
      <c r="L7043" s="1063"/>
    </row>
    <row r="7044" spans="5:12" x14ac:dyDescent="0.2">
      <c r="E7044" s="1063"/>
      <c r="H7044" s="1066"/>
      <c r="I7044" s="1063"/>
      <c r="J7044" s="1063"/>
      <c r="K7044" s="1063"/>
      <c r="L7044" s="1063"/>
    </row>
    <row r="7045" spans="5:12" x14ac:dyDescent="0.2">
      <c r="E7045" s="1063"/>
      <c r="H7045" s="1066"/>
      <c r="I7045" s="1063"/>
      <c r="J7045" s="1063"/>
      <c r="K7045" s="1063"/>
      <c r="L7045" s="1063"/>
    </row>
    <row r="7046" spans="5:12" x14ac:dyDescent="0.2">
      <c r="E7046" s="1063"/>
      <c r="H7046" s="1066"/>
      <c r="I7046" s="1063"/>
      <c r="J7046" s="1063"/>
      <c r="K7046" s="1063"/>
      <c r="L7046" s="1063"/>
    </row>
    <row r="7047" spans="5:12" x14ac:dyDescent="0.2">
      <c r="E7047" s="1063"/>
      <c r="H7047" s="1066"/>
      <c r="I7047" s="1063"/>
      <c r="J7047" s="1063"/>
      <c r="K7047" s="1063"/>
      <c r="L7047" s="1063"/>
    </row>
    <row r="7048" spans="5:12" x14ac:dyDescent="0.2">
      <c r="E7048" s="1063"/>
      <c r="H7048" s="1066"/>
      <c r="I7048" s="1063"/>
      <c r="J7048" s="1063"/>
      <c r="K7048" s="1063"/>
      <c r="L7048" s="1063"/>
    </row>
    <row r="7049" spans="5:12" x14ac:dyDescent="0.2">
      <c r="E7049" s="1063"/>
      <c r="H7049" s="1066"/>
      <c r="I7049" s="1063"/>
      <c r="J7049" s="1063"/>
      <c r="K7049" s="1063"/>
      <c r="L7049" s="1063"/>
    </row>
    <row r="7050" spans="5:12" x14ac:dyDescent="0.2">
      <c r="E7050" s="1063"/>
      <c r="H7050" s="1066"/>
      <c r="I7050" s="1063"/>
      <c r="J7050" s="1063"/>
      <c r="K7050" s="1063"/>
      <c r="L7050" s="1063"/>
    </row>
    <row r="7051" spans="5:12" x14ac:dyDescent="0.2">
      <c r="E7051" s="1063"/>
      <c r="H7051" s="1066"/>
      <c r="I7051" s="1063"/>
      <c r="J7051" s="1063"/>
      <c r="K7051" s="1063"/>
      <c r="L7051" s="1063"/>
    </row>
    <row r="7052" spans="5:12" x14ac:dyDescent="0.2">
      <c r="E7052" s="1063"/>
      <c r="H7052" s="1066"/>
      <c r="I7052" s="1063"/>
      <c r="J7052" s="1063"/>
      <c r="K7052" s="1063"/>
      <c r="L7052" s="1063"/>
    </row>
    <row r="7053" spans="5:12" x14ac:dyDescent="0.2">
      <c r="E7053" s="1063"/>
      <c r="H7053" s="1066"/>
      <c r="I7053" s="1063"/>
      <c r="J7053" s="1063"/>
      <c r="K7053" s="1063"/>
      <c r="L7053" s="1063"/>
    </row>
    <row r="7054" spans="5:12" x14ac:dyDescent="0.2">
      <c r="E7054" s="1063"/>
      <c r="H7054" s="1066"/>
      <c r="I7054" s="1063"/>
      <c r="J7054" s="1063"/>
      <c r="K7054" s="1063"/>
      <c r="L7054" s="1063"/>
    </row>
    <row r="7055" spans="5:12" x14ac:dyDescent="0.2">
      <c r="E7055" s="1063"/>
      <c r="H7055" s="1066"/>
      <c r="I7055" s="1063"/>
      <c r="J7055" s="1063"/>
      <c r="K7055" s="1063"/>
      <c r="L7055" s="1063"/>
    </row>
    <row r="7056" spans="5:12" x14ac:dyDescent="0.2">
      <c r="E7056" s="1063"/>
      <c r="H7056" s="1066"/>
      <c r="I7056" s="1063"/>
      <c r="J7056" s="1063"/>
      <c r="K7056" s="1063"/>
      <c r="L7056" s="1063"/>
    </row>
    <row r="7057" spans="5:12" x14ac:dyDescent="0.2">
      <c r="E7057" s="1063"/>
      <c r="H7057" s="1066"/>
      <c r="I7057" s="1063"/>
      <c r="J7057" s="1063"/>
      <c r="K7057" s="1063"/>
      <c r="L7057" s="1063"/>
    </row>
    <row r="7058" spans="5:12" x14ac:dyDescent="0.2">
      <c r="E7058" s="1063"/>
      <c r="H7058" s="1066"/>
      <c r="I7058" s="1063"/>
      <c r="J7058" s="1063"/>
      <c r="K7058" s="1063"/>
      <c r="L7058" s="1063"/>
    </row>
    <row r="7059" spans="5:12" x14ac:dyDescent="0.2">
      <c r="E7059" s="1063"/>
      <c r="H7059" s="1066"/>
      <c r="I7059" s="1063"/>
      <c r="J7059" s="1063"/>
      <c r="K7059" s="1063"/>
      <c r="L7059" s="1063"/>
    </row>
    <row r="7060" spans="5:12" x14ac:dyDescent="0.2">
      <c r="E7060" s="1063"/>
      <c r="H7060" s="1066"/>
      <c r="I7060" s="1063"/>
      <c r="J7060" s="1063"/>
      <c r="K7060" s="1063"/>
      <c r="L7060" s="1063"/>
    </row>
    <row r="7061" spans="5:12" x14ac:dyDescent="0.2">
      <c r="E7061" s="1063"/>
      <c r="H7061" s="1066"/>
      <c r="I7061" s="1063"/>
      <c r="J7061" s="1063"/>
      <c r="K7061" s="1063"/>
      <c r="L7061" s="1063"/>
    </row>
    <row r="7062" spans="5:12" x14ac:dyDescent="0.2">
      <c r="E7062" s="1063"/>
      <c r="H7062" s="1066"/>
      <c r="I7062" s="1063"/>
      <c r="J7062" s="1063"/>
      <c r="K7062" s="1063"/>
      <c r="L7062" s="1063"/>
    </row>
    <row r="7063" spans="5:12" x14ac:dyDescent="0.2">
      <c r="E7063" s="1063"/>
      <c r="H7063" s="1066"/>
      <c r="I7063" s="1063"/>
      <c r="J7063" s="1063"/>
      <c r="K7063" s="1063"/>
      <c r="L7063" s="1063"/>
    </row>
    <row r="7064" spans="5:12" x14ac:dyDescent="0.2">
      <c r="E7064" s="1063"/>
      <c r="H7064" s="1066"/>
      <c r="I7064" s="1063"/>
      <c r="J7064" s="1063"/>
      <c r="K7064" s="1063"/>
      <c r="L7064" s="1063"/>
    </row>
    <row r="7065" spans="5:12" x14ac:dyDescent="0.2">
      <c r="E7065" s="1063"/>
      <c r="H7065" s="1066"/>
      <c r="I7065" s="1063"/>
      <c r="J7065" s="1063"/>
      <c r="K7065" s="1063"/>
      <c r="L7065" s="1063"/>
    </row>
    <row r="7066" spans="5:12" x14ac:dyDescent="0.2">
      <c r="E7066" s="1063"/>
      <c r="H7066" s="1066"/>
      <c r="I7066" s="1063"/>
      <c r="J7066" s="1063"/>
      <c r="K7066" s="1063"/>
      <c r="L7066" s="1063"/>
    </row>
    <row r="7067" spans="5:12" x14ac:dyDescent="0.2">
      <c r="E7067" s="1063"/>
      <c r="H7067" s="1066"/>
      <c r="I7067" s="1063"/>
      <c r="J7067" s="1063"/>
      <c r="K7067" s="1063"/>
      <c r="L7067" s="1063"/>
    </row>
    <row r="7068" spans="5:12" x14ac:dyDescent="0.2">
      <c r="E7068" s="1063"/>
      <c r="H7068" s="1066"/>
      <c r="I7068" s="1063"/>
      <c r="J7068" s="1063"/>
      <c r="K7068" s="1063"/>
      <c r="L7068" s="1063"/>
    </row>
    <row r="7069" spans="5:12" x14ac:dyDescent="0.2">
      <c r="E7069" s="1063"/>
      <c r="H7069" s="1066"/>
      <c r="I7069" s="1063"/>
      <c r="J7069" s="1063"/>
      <c r="K7069" s="1063"/>
      <c r="L7069" s="1063"/>
    </row>
    <row r="7070" spans="5:12" x14ac:dyDescent="0.2">
      <c r="E7070" s="1063"/>
      <c r="H7070" s="1066"/>
      <c r="I7070" s="1063"/>
      <c r="J7070" s="1063"/>
      <c r="K7070" s="1063"/>
      <c r="L7070" s="1063"/>
    </row>
    <row r="7071" spans="5:12" x14ac:dyDescent="0.2">
      <c r="E7071" s="1063"/>
      <c r="H7071" s="1066"/>
      <c r="I7071" s="1063"/>
      <c r="J7071" s="1063"/>
      <c r="K7071" s="1063"/>
      <c r="L7071" s="1063"/>
    </row>
    <row r="7072" spans="5:12" x14ac:dyDescent="0.2">
      <c r="E7072" s="1063"/>
      <c r="H7072" s="1066"/>
      <c r="I7072" s="1063"/>
      <c r="J7072" s="1063"/>
      <c r="K7072" s="1063"/>
      <c r="L7072" s="1063"/>
    </row>
    <row r="7073" spans="5:12" x14ac:dyDescent="0.2">
      <c r="E7073" s="1063"/>
      <c r="H7073" s="1066"/>
      <c r="I7073" s="1063"/>
      <c r="J7073" s="1063"/>
      <c r="K7073" s="1063"/>
      <c r="L7073" s="1063"/>
    </row>
    <row r="7074" spans="5:12" x14ac:dyDescent="0.2">
      <c r="E7074" s="1063"/>
      <c r="H7074" s="1066"/>
      <c r="I7074" s="1063"/>
      <c r="J7074" s="1063"/>
      <c r="K7074" s="1063"/>
      <c r="L7074" s="1063"/>
    </row>
    <row r="7075" spans="5:12" x14ac:dyDescent="0.2">
      <c r="E7075" s="1063"/>
      <c r="H7075" s="1066"/>
      <c r="I7075" s="1063"/>
      <c r="J7075" s="1063"/>
      <c r="K7075" s="1063"/>
      <c r="L7075" s="1063"/>
    </row>
    <row r="7076" spans="5:12" x14ac:dyDescent="0.2">
      <c r="E7076" s="1063"/>
      <c r="H7076" s="1066"/>
      <c r="I7076" s="1063"/>
      <c r="J7076" s="1063"/>
      <c r="K7076" s="1063"/>
      <c r="L7076" s="1063"/>
    </row>
    <row r="7077" spans="5:12" x14ac:dyDescent="0.2">
      <c r="E7077" s="1063"/>
      <c r="H7077" s="1066"/>
      <c r="I7077" s="1063"/>
      <c r="J7077" s="1063"/>
      <c r="K7077" s="1063"/>
      <c r="L7077" s="1063"/>
    </row>
    <row r="7078" spans="5:12" x14ac:dyDescent="0.2">
      <c r="E7078" s="1063"/>
      <c r="H7078" s="1066"/>
      <c r="I7078" s="1063"/>
      <c r="J7078" s="1063"/>
      <c r="K7078" s="1063"/>
      <c r="L7078" s="1063"/>
    </row>
    <row r="7079" spans="5:12" x14ac:dyDescent="0.2">
      <c r="E7079" s="1063"/>
      <c r="H7079" s="1066"/>
      <c r="I7079" s="1063"/>
      <c r="J7079" s="1063"/>
      <c r="K7079" s="1063"/>
      <c r="L7079" s="1063"/>
    </row>
    <row r="7080" spans="5:12" x14ac:dyDescent="0.2">
      <c r="E7080" s="1063"/>
      <c r="H7080" s="1066"/>
      <c r="I7080" s="1063"/>
      <c r="J7080" s="1063"/>
      <c r="K7080" s="1063"/>
      <c r="L7080" s="1063"/>
    </row>
    <row r="7081" spans="5:12" x14ac:dyDescent="0.2">
      <c r="E7081" s="1063"/>
      <c r="H7081" s="1066"/>
      <c r="I7081" s="1063"/>
      <c r="J7081" s="1063"/>
      <c r="K7081" s="1063"/>
      <c r="L7081" s="1063"/>
    </row>
    <row r="7082" spans="5:12" x14ac:dyDescent="0.2">
      <c r="E7082" s="1063"/>
      <c r="H7082" s="1066"/>
      <c r="I7082" s="1063"/>
      <c r="J7082" s="1063"/>
      <c r="K7082" s="1063"/>
      <c r="L7082" s="1063"/>
    </row>
    <row r="7083" spans="5:12" x14ac:dyDescent="0.2">
      <c r="E7083" s="1063"/>
      <c r="H7083" s="1066"/>
      <c r="I7083" s="1063"/>
      <c r="J7083" s="1063"/>
      <c r="K7083" s="1063"/>
      <c r="L7083" s="1063"/>
    </row>
    <row r="7084" spans="5:12" x14ac:dyDescent="0.2">
      <c r="E7084" s="1063"/>
      <c r="H7084" s="1066"/>
      <c r="I7084" s="1063"/>
      <c r="J7084" s="1063"/>
      <c r="K7084" s="1063"/>
      <c r="L7084" s="1063"/>
    </row>
    <row r="7085" spans="5:12" x14ac:dyDescent="0.2">
      <c r="E7085" s="1063"/>
      <c r="H7085" s="1066"/>
      <c r="I7085" s="1063"/>
      <c r="J7085" s="1063"/>
      <c r="K7085" s="1063"/>
      <c r="L7085" s="1063"/>
    </row>
    <row r="7086" spans="5:12" x14ac:dyDescent="0.2">
      <c r="E7086" s="1063"/>
      <c r="H7086" s="1066"/>
      <c r="I7086" s="1063"/>
      <c r="J7086" s="1063"/>
      <c r="K7086" s="1063"/>
      <c r="L7086" s="1063"/>
    </row>
    <row r="7087" spans="5:12" x14ac:dyDescent="0.2">
      <c r="E7087" s="1063"/>
      <c r="H7087" s="1066"/>
      <c r="I7087" s="1063"/>
      <c r="J7087" s="1063"/>
      <c r="K7087" s="1063"/>
      <c r="L7087" s="1063"/>
    </row>
    <row r="7088" spans="5:12" x14ac:dyDescent="0.2">
      <c r="E7088" s="1063"/>
      <c r="H7088" s="1066"/>
      <c r="I7088" s="1063"/>
      <c r="J7088" s="1063"/>
      <c r="K7088" s="1063"/>
      <c r="L7088" s="1063"/>
    </row>
    <row r="7089" spans="5:12" x14ac:dyDescent="0.2">
      <c r="E7089" s="1063"/>
      <c r="H7089" s="1066"/>
      <c r="I7089" s="1063"/>
      <c r="J7089" s="1063"/>
      <c r="K7089" s="1063"/>
      <c r="L7089" s="1063"/>
    </row>
    <row r="7090" spans="5:12" x14ac:dyDescent="0.2">
      <c r="E7090" s="1063"/>
      <c r="H7090" s="1066"/>
      <c r="I7090" s="1063"/>
      <c r="J7090" s="1063"/>
      <c r="K7090" s="1063"/>
      <c r="L7090" s="1063"/>
    </row>
    <row r="7091" spans="5:12" x14ac:dyDescent="0.2">
      <c r="E7091" s="1063"/>
      <c r="H7091" s="1066"/>
      <c r="I7091" s="1063"/>
      <c r="J7091" s="1063"/>
      <c r="K7091" s="1063"/>
      <c r="L7091" s="1063"/>
    </row>
    <row r="7092" spans="5:12" x14ac:dyDescent="0.2">
      <c r="E7092" s="1063"/>
      <c r="H7092" s="1066"/>
      <c r="I7092" s="1063"/>
      <c r="J7092" s="1063"/>
      <c r="K7092" s="1063"/>
      <c r="L7092" s="1063"/>
    </row>
    <row r="7093" spans="5:12" x14ac:dyDescent="0.2">
      <c r="E7093" s="1063"/>
      <c r="H7093" s="1066"/>
      <c r="I7093" s="1063"/>
      <c r="J7093" s="1063"/>
      <c r="K7093" s="1063"/>
      <c r="L7093" s="1063"/>
    </row>
    <row r="7094" spans="5:12" x14ac:dyDescent="0.2">
      <c r="E7094" s="1063"/>
      <c r="H7094" s="1066"/>
      <c r="I7094" s="1063"/>
      <c r="J7094" s="1063"/>
      <c r="K7094" s="1063"/>
      <c r="L7094" s="1063"/>
    </row>
    <row r="7095" spans="5:12" x14ac:dyDescent="0.2">
      <c r="E7095" s="1063"/>
      <c r="H7095" s="1066"/>
      <c r="I7095" s="1063"/>
      <c r="J7095" s="1063"/>
      <c r="K7095" s="1063"/>
      <c r="L7095" s="1063"/>
    </row>
    <row r="7096" spans="5:12" x14ac:dyDescent="0.2">
      <c r="E7096" s="1063"/>
      <c r="H7096" s="1066"/>
      <c r="I7096" s="1063"/>
      <c r="J7096" s="1063"/>
      <c r="K7096" s="1063"/>
      <c r="L7096" s="1063"/>
    </row>
    <row r="7097" spans="5:12" x14ac:dyDescent="0.2">
      <c r="E7097" s="1063"/>
      <c r="H7097" s="1066"/>
      <c r="I7097" s="1063"/>
      <c r="J7097" s="1063"/>
      <c r="K7097" s="1063"/>
      <c r="L7097" s="1063"/>
    </row>
    <row r="7098" spans="5:12" x14ac:dyDescent="0.2">
      <c r="E7098" s="1063"/>
      <c r="H7098" s="1066"/>
      <c r="I7098" s="1063"/>
      <c r="J7098" s="1063"/>
      <c r="K7098" s="1063"/>
      <c r="L7098" s="1063"/>
    </row>
    <row r="7099" spans="5:12" x14ac:dyDescent="0.2">
      <c r="E7099" s="1063"/>
      <c r="H7099" s="1066"/>
      <c r="I7099" s="1063"/>
      <c r="J7099" s="1063"/>
      <c r="K7099" s="1063"/>
      <c r="L7099" s="1063"/>
    </row>
    <row r="7100" spans="5:12" x14ac:dyDescent="0.2">
      <c r="E7100" s="1063"/>
      <c r="H7100" s="1066"/>
      <c r="I7100" s="1063"/>
      <c r="J7100" s="1063"/>
      <c r="K7100" s="1063"/>
      <c r="L7100" s="1063"/>
    </row>
    <row r="7101" spans="5:12" x14ac:dyDescent="0.2">
      <c r="E7101" s="1063"/>
      <c r="H7101" s="1066"/>
      <c r="I7101" s="1063"/>
      <c r="J7101" s="1063"/>
      <c r="K7101" s="1063"/>
      <c r="L7101" s="1063"/>
    </row>
    <row r="7102" spans="5:12" x14ac:dyDescent="0.2">
      <c r="E7102" s="1063"/>
      <c r="H7102" s="1066"/>
      <c r="I7102" s="1063"/>
      <c r="J7102" s="1063"/>
      <c r="K7102" s="1063"/>
      <c r="L7102" s="1063"/>
    </row>
    <row r="7103" spans="5:12" x14ac:dyDescent="0.2">
      <c r="E7103" s="1063"/>
      <c r="H7103" s="1066"/>
      <c r="I7103" s="1063"/>
      <c r="J7103" s="1063"/>
      <c r="K7103" s="1063"/>
      <c r="L7103" s="1063"/>
    </row>
    <row r="7104" spans="5:12" x14ac:dyDescent="0.2">
      <c r="E7104" s="1063"/>
      <c r="H7104" s="1066"/>
      <c r="I7104" s="1063"/>
      <c r="J7104" s="1063"/>
      <c r="K7104" s="1063"/>
      <c r="L7104" s="1063"/>
    </row>
    <row r="7105" spans="5:12" x14ac:dyDescent="0.2">
      <c r="E7105" s="1063"/>
      <c r="H7105" s="1066"/>
      <c r="I7105" s="1063"/>
      <c r="J7105" s="1063"/>
      <c r="K7105" s="1063"/>
      <c r="L7105" s="1063"/>
    </row>
    <row r="7106" spans="5:12" x14ac:dyDescent="0.2">
      <c r="E7106" s="1063"/>
      <c r="H7106" s="1066"/>
      <c r="I7106" s="1063"/>
      <c r="J7106" s="1063"/>
      <c r="K7106" s="1063"/>
      <c r="L7106" s="1063"/>
    </row>
    <row r="7107" spans="5:12" x14ac:dyDescent="0.2">
      <c r="E7107" s="1063"/>
      <c r="H7107" s="1066"/>
      <c r="I7107" s="1063"/>
      <c r="J7107" s="1063"/>
      <c r="K7107" s="1063"/>
      <c r="L7107" s="1063"/>
    </row>
    <row r="7108" spans="5:12" x14ac:dyDescent="0.2">
      <c r="E7108" s="1063"/>
      <c r="H7108" s="1066"/>
      <c r="I7108" s="1063"/>
      <c r="J7108" s="1063"/>
      <c r="K7108" s="1063"/>
      <c r="L7108" s="1063"/>
    </row>
    <row r="7109" spans="5:12" x14ac:dyDescent="0.2">
      <c r="E7109" s="1063"/>
      <c r="H7109" s="1066"/>
      <c r="I7109" s="1063"/>
      <c r="J7109" s="1063"/>
      <c r="K7109" s="1063"/>
      <c r="L7109" s="1063"/>
    </row>
    <row r="7110" spans="5:12" x14ac:dyDescent="0.2">
      <c r="E7110" s="1063"/>
      <c r="H7110" s="1066"/>
      <c r="I7110" s="1063"/>
      <c r="J7110" s="1063"/>
      <c r="K7110" s="1063"/>
      <c r="L7110" s="1063"/>
    </row>
    <row r="7111" spans="5:12" x14ac:dyDescent="0.2">
      <c r="E7111" s="1063"/>
      <c r="H7111" s="1066"/>
      <c r="I7111" s="1063"/>
      <c r="J7111" s="1063"/>
      <c r="K7111" s="1063"/>
      <c r="L7111" s="1063"/>
    </row>
    <row r="7112" spans="5:12" x14ac:dyDescent="0.2">
      <c r="E7112" s="1063"/>
      <c r="H7112" s="1066"/>
      <c r="I7112" s="1063"/>
      <c r="J7112" s="1063"/>
      <c r="K7112" s="1063"/>
      <c r="L7112" s="1063"/>
    </row>
    <row r="7113" spans="5:12" x14ac:dyDescent="0.2">
      <c r="E7113" s="1063"/>
      <c r="H7113" s="1066"/>
      <c r="I7113" s="1063"/>
      <c r="J7113" s="1063"/>
      <c r="K7113" s="1063"/>
      <c r="L7113" s="1063"/>
    </row>
    <row r="7114" spans="5:12" x14ac:dyDescent="0.2">
      <c r="E7114" s="1063"/>
      <c r="H7114" s="1066"/>
      <c r="I7114" s="1063"/>
      <c r="J7114" s="1063"/>
      <c r="K7114" s="1063"/>
      <c r="L7114" s="1063"/>
    </row>
    <row r="7115" spans="5:12" x14ac:dyDescent="0.2">
      <c r="E7115" s="1063"/>
      <c r="H7115" s="1066"/>
      <c r="I7115" s="1063"/>
      <c r="J7115" s="1063"/>
      <c r="K7115" s="1063"/>
      <c r="L7115" s="1063"/>
    </row>
    <row r="7116" spans="5:12" x14ac:dyDescent="0.2">
      <c r="E7116" s="1063"/>
      <c r="H7116" s="1066"/>
      <c r="I7116" s="1063"/>
      <c r="J7116" s="1063"/>
      <c r="K7116" s="1063"/>
      <c r="L7116" s="1063"/>
    </row>
    <row r="7117" spans="5:12" x14ac:dyDescent="0.2">
      <c r="E7117" s="1063"/>
      <c r="H7117" s="1066"/>
      <c r="I7117" s="1063"/>
      <c r="J7117" s="1063"/>
      <c r="K7117" s="1063"/>
      <c r="L7117" s="1063"/>
    </row>
    <row r="7118" spans="5:12" x14ac:dyDescent="0.2">
      <c r="E7118" s="1063"/>
      <c r="H7118" s="1066"/>
      <c r="I7118" s="1063"/>
      <c r="J7118" s="1063"/>
      <c r="K7118" s="1063"/>
      <c r="L7118" s="1063"/>
    </row>
    <row r="7119" spans="5:12" x14ac:dyDescent="0.2">
      <c r="E7119" s="1063"/>
      <c r="H7119" s="1066"/>
      <c r="I7119" s="1063"/>
      <c r="J7119" s="1063"/>
      <c r="K7119" s="1063"/>
      <c r="L7119" s="1063"/>
    </row>
    <row r="7120" spans="5:12" x14ac:dyDescent="0.2">
      <c r="E7120" s="1063"/>
      <c r="H7120" s="1066"/>
      <c r="I7120" s="1063"/>
      <c r="J7120" s="1063"/>
      <c r="K7120" s="1063"/>
      <c r="L7120" s="1063"/>
    </row>
    <row r="7121" spans="5:12" x14ac:dyDescent="0.2">
      <c r="E7121" s="1063"/>
      <c r="H7121" s="1066"/>
      <c r="I7121" s="1063"/>
      <c r="J7121" s="1063"/>
      <c r="K7121" s="1063"/>
      <c r="L7121" s="1063"/>
    </row>
    <row r="7122" spans="5:12" x14ac:dyDescent="0.2">
      <c r="E7122" s="1063"/>
      <c r="H7122" s="1066"/>
      <c r="I7122" s="1063"/>
      <c r="J7122" s="1063"/>
      <c r="K7122" s="1063"/>
      <c r="L7122" s="1063"/>
    </row>
    <row r="7123" spans="5:12" x14ac:dyDescent="0.2">
      <c r="E7123" s="1063"/>
      <c r="H7123" s="1066"/>
      <c r="I7123" s="1063"/>
      <c r="J7123" s="1063"/>
      <c r="K7123" s="1063"/>
      <c r="L7123" s="1063"/>
    </row>
    <row r="7124" spans="5:12" x14ac:dyDescent="0.2">
      <c r="E7124" s="1063"/>
      <c r="H7124" s="1066"/>
      <c r="I7124" s="1063"/>
      <c r="J7124" s="1063"/>
      <c r="K7124" s="1063"/>
      <c r="L7124" s="1063"/>
    </row>
    <row r="7125" spans="5:12" x14ac:dyDescent="0.2">
      <c r="E7125" s="1063"/>
      <c r="H7125" s="1066"/>
      <c r="I7125" s="1063"/>
      <c r="J7125" s="1063"/>
      <c r="K7125" s="1063"/>
      <c r="L7125" s="1063"/>
    </row>
    <row r="7126" spans="5:12" x14ac:dyDescent="0.2">
      <c r="E7126" s="1063"/>
      <c r="H7126" s="1066"/>
      <c r="I7126" s="1063"/>
      <c r="J7126" s="1063"/>
      <c r="K7126" s="1063"/>
      <c r="L7126" s="1063"/>
    </row>
    <row r="7127" spans="5:12" x14ac:dyDescent="0.2">
      <c r="E7127" s="1063"/>
      <c r="H7127" s="1066"/>
      <c r="I7127" s="1063"/>
      <c r="J7127" s="1063"/>
      <c r="K7127" s="1063"/>
      <c r="L7127" s="1063"/>
    </row>
    <row r="7128" spans="5:12" x14ac:dyDescent="0.2">
      <c r="E7128" s="1063"/>
      <c r="H7128" s="1066"/>
      <c r="I7128" s="1063"/>
      <c r="J7128" s="1063"/>
      <c r="K7128" s="1063"/>
      <c r="L7128" s="1063"/>
    </row>
    <row r="7129" spans="5:12" x14ac:dyDescent="0.2">
      <c r="E7129" s="1063"/>
      <c r="H7129" s="1066"/>
      <c r="I7129" s="1063"/>
      <c r="J7129" s="1063"/>
      <c r="K7129" s="1063"/>
      <c r="L7129" s="1063"/>
    </row>
    <row r="7130" spans="5:12" x14ac:dyDescent="0.2">
      <c r="E7130" s="1063"/>
      <c r="H7130" s="1066"/>
      <c r="I7130" s="1063"/>
      <c r="J7130" s="1063"/>
      <c r="K7130" s="1063"/>
      <c r="L7130" s="1063"/>
    </row>
    <row r="7131" spans="5:12" x14ac:dyDescent="0.2">
      <c r="E7131" s="1063"/>
      <c r="H7131" s="1066"/>
      <c r="I7131" s="1063"/>
      <c r="J7131" s="1063"/>
      <c r="K7131" s="1063"/>
      <c r="L7131" s="1063"/>
    </row>
    <row r="7132" spans="5:12" x14ac:dyDescent="0.2">
      <c r="E7132" s="1063"/>
      <c r="H7132" s="1066"/>
      <c r="I7132" s="1063"/>
      <c r="J7132" s="1063"/>
      <c r="K7132" s="1063"/>
      <c r="L7132" s="1063"/>
    </row>
    <row r="7133" spans="5:12" x14ac:dyDescent="0.2">
      <c r="E7133" s="1063"/>
      <c r="H7133" s="1066"/>
      <c r="I7133" s="1063"/>
      <c r="J7133" s="1063"/>
      <c r="K7133" s="1063"/>
      <c r="L7133" s="1063"/>
    </row>
    <row r="7134" spans="5:12" x14ac:dyDescent="0.2">
      <c r="E7134" s="1063"/>
      <c r="H7134" s="1066"/>
      <c r="I7134" s="1063"/>
      <c r="J7134" s="1063"/>
      <c r="K7134" s="1063"/>
      <c r="L7134" s="1063"/>
    </row>
    <row r="7135" spans="5:12" x14ac:dyDescent="0.2">
      <c r="E7135" s="1063"/>
      <c r="H7135" s="1066"/>
      <c r="I7135" s="1063"/>
      <c r="J7135" s="1063"/>
      <c r="K7135" s="1063"/>
      <c r="L7135" s="1063"/>
    </row>
    <row r="7136" spans="5:12" x14ac:dyDescent="0.2">
      <c r="E7136" s="1063"/>
      <c r="H7136" s="1066"/>
      <c r="I7136" s="1063"/>
      <c r="J7136" s="1063"/>
      <c r="K7136" s="1063"/>
      <c r="L7136" s="1063"/>
    </row>
    <row r="7137" spans="5:12" x14ac:dyDescent="0.2">
      <c r="E7137" s="1063"/>
      <c r="H7137" s="1066"/>
      <c r="I7137" s="1063"/>
      <c r="J7137" s="1063"/>
      <c r="K7137" s="1063"/>
      <c r="L7137" s="1063"/>
    </row>
    <row r="7138" spans="5:12" x14ac:dyDescent="0.2">
      <c r="E7138" s="1063"/>
      <c r="H7138" s="1066"/>
      <c r="I7138" s="1063"/>
      <c r="J7138" s="1063"/>
      <c r="K7138" s="1063"/>
      <c r="L7138" s="1063"/>
    </row>
    <row r="7139" spans="5:12" x14ac:dyDescent="0.2">
      <c r="E7139" s="1063"/>
      <c r="H7139" s="1066"/>
      <c r="I7139" s="1063"/>
      <c r="J7139" s="1063"/>
      <c r="K7139" s="1063"/>
      <c r="L7139" s="1063"/>
    </row>
    <row r="7140" spans="5:12" x14ac:dyDescent="0.2">
      <c r="E7140" s="1063"/>
      <c r="H7140" s="1066"/>
      <c r="I7140" s="1063"/>
      <c r="J7140" s="1063"/>
      <c r="K7140" s="1063"/>
      <c r="L7140" s="1063"/>
    </row>
    <row r="7141" spans="5:12" x14ac:dyDescent="0.2">
      <c r="E7141" s="1063"/>
      <c r="H7141" s="1066"/>
      <c r="I7141" s="1063"/>
      <c r="J7141" s="1063"/>
      <c r="K7141" s="1063"/>
      <c r="L7141" s="1063"/>
    </row>
    <row r="7142" spans="5:12" x14ac:dyDescent="0.2">
      <c r="E7142" s="1063"/>
      <c r="H7142" s="1066"/>
      <c r="I7142" s="1063"/>
      <c r="J7142" s="1063"/>
      <c r="K7142" s="1063"/>
      <c r="L7142" s="1063"/>
    </row>
    <row r="7143" spans="5:12" x14ac:dyDescent="0.2">
      <c r="E7143" s="1063"/>
      <c r="H7143" s="1066"/>
      <c r="I7143" s="1063"/>
      <c r="J7143" s="1063"/>
      <c r="K7143" s="1063"/>
      <c r="L7143" s="1063"/>
    </row>
    <row r="7144" spans="5:12" x14ac:dyDescent="0.2">
      <c r="E7144" s="1063"/>
      <c r="H7144" s="1066"/>
      <c r="I7144" s="1063"/>
      <c r="J7144" s="1063"/>
      <c r="K7144" s="1063"/>
      <c r="L7144" s="1063"/>
    </row>
    <row r="7145" spans="5:12" x14ac:dyDescent="0.2">
      <c r="E7145" s="1063"/>
      <c r="H7145" s="1066"/>
      <c r="I7145" s="1063"/>
      <c r="J7145" s="1063"/>
      <c r="K7145" s="1063"/>
      <c r="L7145" s="1063"/>
    </row>
    <row r="7146" spans="5:12" x14ac:dyDescent="0.2">
      <c r="E7146" s="1063"/>
      <c r="H7146" s="1066"/>
      <c r="I7146" s="1063"/>
      <c r="J7146" s="1063"/>
      <c r="K7146" s="1063"/>
      <c r="L7146" s="1063"/>
    </row>
    <row r="7147" spans="5:12" x14ac:dyDescent="0.2">
      <c r="E7147" s="1063"/>
      <c r="H7147" s="1066"/>
      <c r="I7147" s="1063"/>
      <c r="J7147" s="1063"/>
      <c r="K7147" s="1063"/>
      <c r="L7147" s="1063"/>
    </row>
    <row r="7148" spans="5:12" x14ac:dyDescent="0.2">
      <c r="E7148" s="1063"/>
      <c r="H7148" s="1066"/>
      <c r="I7148" s="1063"/>
      <c r="J7148" s="1063"/>
      <c r="K7148" s="1063"/>
      <c r="L7148" s="1063"/>
    </row>
    <row r="7149" spans="5:12" x14ac:dyDescent="0.2">
      <c r="E7149" s="1063"/>
      <c r="H7149" s="1066"/>
      <c r="I7149" s="1063"/>
      <c r="J7149" s="1063"/>
      <c r="K7149" s="1063"/>
      <c r="L7149" s="1063"/>
    </row>
    <row r="7150" spans="5:12" x14ac:dyDescent="0.2">
      <c r="E7150" s="1063"/>
      <c r="H7150" s="1066"/>
      <c r="I7150" s="1063"/>
      <c r="J7150" s="1063"/>
      <c r="K7150" s="1063"/>
      <c r="L7150" s="1063"/>
    </row>
    <row r="7151" spans="5:12" x14ac:dyDescent="0.2">
      <c r="E7151" s="1063"/>
      <c r="H7151" s="1066"/>
      <c r="I7151" s="1063"/>
      <c r="J7151" s="1063"/>
      <c r="K7151" s="1063"/>
      <c r="L7151" s="1063"/>
    </row>
    <row r="7152" spans="5:12" x14ac:dyDescent="0.2">
      <c r="E7152" s="1063"/>
      <c r="H7152" s="1066"/>
      <c r="I7152" s="1063"/>
      <c r="J7152" s="1063"/>
      <c r="K7152" s="1063"/>
      <c r="L7152" s="1063"/>
    </row>
    <row r="7153" spans="5:12" x14ac:dyDescent="0.2">
      <c r="E7153" s="1063"/>
      <c r="H7153" s="1066"/>
      <c r="I7153" s="1063"/>
      <c r="J7153" s="1063"/>
      <c r="K7153" s="1063"/>
      <c r="L7153" s="1063"/>
    </row>
    <row r="7154" spans="5:12" x14ac:dyDescent="0.2">
      <c r="E7154" s="1063"/>
      <c r="H7154" s="1066"/>
      <c r="I7154" s="1063"/>
      <c r="J7154" s="1063"/>
      <c r="K7154" s="1063"/>
      <c r="L7154" s="1063"/>
    </row>
    <row r="7155" spans="5:12" x14ac:dyDescent="0.2">
      <c r="E7155" s="1063"/>
      <c r="H7155" s="1066"/>
      <c r="I7155" s="1063"/>
      <c r="J7155" s="1063"/>
      <c r="K7155" s="1063"/>
      <c r="L7155" s="1063"/>
    </row>
    <row r="7156" spans="5:12" x14ac:dyDescent="0.2">
      <c r="E7156" s="1063"/>
      <c r="H7156" s="1066"/>
      <c r="I7156" s="1063"/>
      <c r="J7156" s="1063"/>
      <c r="K7156" s="1063"/>
      <c r="L7156" s="1063"/>
    </row>
    <row r="7157" spans="5:12" x14ac:dyDescent="0.2">
      <c r="E7157" s="1063"/>
      <c r="H7157" s="1066"/>
      <c r="I7157" s="1063"/>
      <c r="J7157" s="1063"/>
      <c r="K7157" s="1063"/>
      <c r="L7157" s="1063"/>
    </row>
    <row r="7158" spans="5:12" x14ac:dyDescent="0.2">
      <c r="E7158" s="1063"/>
      <c r="H7158" s="1066"/>
      <c r="I7158" s="1063"/>
      <c r="J7158" s="1063"/>
      <c r="K7158" s="1063"/>
      <c r="L7158" s="1063"/>
    </row>
    <row r="7159" spans="5:12" x14ac:dyDescent="0.2">
      <c r="E7159" s="1063"/>
      <c r="H7159" s="1066"/>
      <c r="I7159" s="1063"/>
      <c r="J7159" s="1063"/>
      <c r="K7159" s="1063"/>
      <c r="L7159" s="1063"/>
    </row>
    <row r="7160" spans="5:12" x14ac:dyDescent="0.2">
      <c r="E7160" s="1063"/>
      <c r="H7160" s="1066"/>
      <c r="I7160" s="1063"/>
      <c r="J7160" s="1063"/>
      <c r="K7160" s="1063"/>
      <c r="L7160" s="1063"/>
    </row>
    <row r="7161" spans="5:12" x14ac:dyDescent="0.2">
      <c r="E7161" s="1063"/>
      <c r="H7161" s="1066"/>
      <c r="I7161" s="1063"/>
      <c r="J7161" s="1063"/>
      <c r="K7161" s="1063"/>
      <c r="L7161" s="1063"/>
    </row>
    <row r="7162" spans="5:12" x14ac:dyDescent="0.2">
      <c r="E7162" s="1063"/>
      <c r="H7162" s="1066"/>
      <c r="I7162" s="1063"/>
      <c r="J7162" s="1063"/>
      <c r="K7162" s="1063"/>
      <c r="L7162" s="1063"/>
    </row>
    <row r="7163" spans="5:12" x14ac:dyDescent="0.2">
      <c r="E7163" s="1063"/>
      <c r="H7163" s="1066"/>
      <c r="I7163" s="1063"/>
      <c r="J7163" s="1063"/>
      <c r="K7163" s="1063"/>
      <c r="L7163" s="1063"/>
    </row>
    <row r="7164" spans="5:12" x14ac:dyDescent="0.2">
      <c r="E7164" s="1063"/>
      <c r="H7164" s="1066"/>
      <c r="I7164" s="1063"/>
      <c r="J7164" s="1063"/>
      <c r="K7164" s="1063"/>
      <c r="L7164" s="1063"/>
    </row>
    <row r="7165" spans="5:12" x14ac:dyDescent="0.2">
      <c r="E7165" s="1063"/>
      <c r="H7165" s="1066"/>
      <c r="I7165" s="1063"/>
      <c r="J7165" s="1063"/>
      <c r="K7165" s="1063"/>
      <c r="L7165" s="1063"/>
    </row>
    <row r="7166" spans="5:12" x14ac:dyDescent="0.2">
      <c r="E7166" s="1063"/>
      <c r="H7166" s="1066"/>
      <c r="I7166" s="1063"/>
      <c r="J7166" s="1063"/>
      <c r="K7166" s="1063"/>
      <c r="L7166" s="1063"/>
    </row>
    <row r="7167" spans="5:12" x14ac:dyDescent="0.2">
      <c r="E7167" s="1063"/>
      <c r="H7167" s="1066"/>
      <c r="I7167" s="1063"/>
      <c r="J7167" s="1063"/>
      <c r="K7167" s="1063"/>
      <c r="L7167" s="1063"/>
    </row>
    <row r="7168" spans="5:12" x14ac:dyDescent="0.2">
      <c r="E7168" s="1063"/>
      <c r="H7168" s="1066"/>
      <c r="I7168" s="1063"/>
      <c r="J7168" s="1063"/>
      <c r="K7168" s="1063"/>
      <c r="L7168" s="1063"/>
    </row>
    <row r="7169" spans="5:12" x14ac:dyDescent="0.2">
      <c r="E7169" s="1063"/>
      <c r="H7169" s="1066"/>
      <c r="I7169" s="1063"/>
      <c r="J7169" s="1063"/>
      <c r="K7169" s="1063"/>
      <c r="L7169" s="1063"/>
    </row>
    <row r="7170" spans="5:12" x14ac:dyDescent="0.2">
      <c r="E7170" s="1063"/>
      <c r="H7170" s="1066"/>
      <c r="I7170" s="1063"/>
      <c r="J7170" s="1063"/>
      <c r="K7170" s="1063"/>
      <c r="L7170" s="1063"/>
    </row>
    <row r="7171" spans="5:12" x14ac:dyDescent="0.2">
      <c r="E7171" s="1063"/>
      <c r="H7171" s="1066"/>
      <c r="I7171" s="1063"/>
      <c r="J7171" s="1063"/>
      <c r="K7171" s="1063"/>
      <c r="L7171" s="1063"/>
    </row>
    <row r="7172" spans="5:12" x14ac:dyDescent="0.2">
      <c r="E7172" s="1063"/>
      <c r="H7172" s="1066"/>
      <c r="I7172" s="1063"/>
      <c r="J7172" s="1063"/>
      <c r="K7172" s="1063"/>
      <c r="L7172" s="1063"/>
    </row>
    <row r="7173" spans="5:12" x14ac:dyDescent="0.2">
      <c r="E7173" s="1063"/>
      <c r="H7173" s="1066"/>
      <c r="I7173" s="1063"/>
      <c r="J7173" s="1063"/>
      <c r="K7173" s="1063"/>
      <c r="L7173" s="1063"/>
    </row>
    <row r="7174" spans="5:12" x14ac:dyDescent="0.2">
      <c r="E7174" s="1063"/>
      <c r="H7174" s="1066"/>
      <c r="I7174" s="1063"/>
      <c r="J7174" s="1063"/>
      <c r="K7174" s="1063"/>
      <c r="L7174" s="1063"/>
    </row>
    <row r="7175" spans="5:12" x14ac:dyDescent="0.2">
      <c r="E7175" s="1063"/>
      <c r="H7175" s="1066"/>
      <c r="I7175" s="1063"/>
      <c r="J7175" s="1063"/>
      <c r="K7175" s="1063"/>
      <c r="L7175" s="1063"/>
    </row>
    <row r="7176" spans="5:12" x14ac:dyDescent="0.2">
      <c r="E7176" s="1063"/>
      <c r="H7176" s="1066"/>
      <c r="I7176" s="1063"/>
      <c r="J7176" s="1063"/>
      <c r="K7176" s="1063"/>
      <c r="L7176" s="1063"/>
    </row>
    <row r="7177" spans="5:12" x14ac:dyDescent="0.2">
      <c r="E7177" s="1063"/>
      <c r="H7177" s="1066"/>
      <c r="I7177" s="1063"/>
      <c r="J7177" s="1063"/>
      <c r="K7177" s="1063"/>
      <c r="L7177" s="1063"/>
    </row>
    <row r="7178" spans="5:12" x14ac:dyDescent="0.2">
      <c r="E7178" s="1063"/>
      <c r="H7178" s="1066"/>
      <c r="I7178" s="1063"/>
      <c r="J7178" s="1063"/>
      <c r="K7178" s="1063"/>
      <c r="L7178" s="1063"/>
    </row>
    <row r="7179" spans="5:12" x14ac:dyDescent="0.2">
      <c r="E7179" s="1063"/>
      <c r="H7179" s="1066"/>
      <c r="I7179" s="1063"/>
      <c r="J7179" s="1063"/>
      <c r="K7179" s="1063"/>
      <c r="L7179" s="1063"/>
    </row>
    <row r="7180" spans="5:12" x14ac:dyDescent="0.2">
      <c r="E7180" s="1063"/>
      <c r="H7180" s="1066"/>
      <c r="I7180" s="1063"/>
      <c r="J7180" s="1063"/>
      <c r="K7180" s="1063"/>
      <c r="L7180" s="1063"/>
    </row>
    <row r="7181" spans="5:12" x14ac:dyDescent="0.2">
      <c r="E7181" s="1063"/>
      <c r="H7181" s="1066"/>
      <c r="I7181" s="1063"/>
      <c r="J7181" s="1063"/>
      <c r="K7181" s="1063"/>
      <c r="L7181" s="1063"/>
    </row>
    <row r="7182" spans="5:12" x14ac:dyDescent="0.2">
      <c r="E7182" s="1063"/>
      <c r="H7182" s="1066"/>
      <c r="I7182" s="1063"/>
      <c r="J7182" s="1063"/>
      <c r="K7182" s="1063"/>
      <c r="L7182" s="1063"/>
    </row>
    <row r="7183" spans="5:12" x14ac:dyDescent="0.2">
      <c r="E7183" s="1063"/>
      <c r="H7183" s="1066"/>
      <c r="I7183" s="1063"/>
      <c r="J7183" s="1063"/>
      <c r="K7183" s="1063"/>
      <c r="L7183" s="1063"/>
    </row>
    <row r="7184" spans="5:12" x14ac:dyDescent="0.2">
      <c r="E7184" s="1063"/>
      <c r="H7184" s="1066"/>
      <c r="I7184" s="1063"/>
      <c r="J7184" s="1063"/>
      <c r="K7184" s="1063"/>
      <c r="L7184" s="1063"/>
    </row>
    <row r="7185" spans="5:12" x14ac:dyDescent="0.2">
      <c r="E7185" s="1063"/>
      <c r="H7185" s="1066"/>
      <c r="I7185" s="1063"/>
      <c r="J7185" s="1063"/>
      <c r="K7185" s="1063"/>
      <c r="L7185" s="1063"/>
    </row>
    <row r="7186" spans="5:12" x14ac:dyDescent="0.2">
      <c r="E7186" s="1063"/>
      <c r="H7186" s="1066"/>
      <c r="I7186" s="1063"/>
      <c r="J7186" s="1063"/>
      <c r="K7186" s="1063"/>
      <c r="L7186" s="1063"/>
    </row>
    <row r="7187" spans="5:12" x14ac:dyDescent="0.2">
      <c r="E7187" s="1063"/>
      <c r="H7187" s="1066"/>
      <c r="I7187" s="1063"/>
      <c r="J7187" s="1063"/>
      <c r="K7187" s="1063"/>
      <c r="L7187" s="1063"/>
    </row>
    <row r="7188" spans="5:12" x14ac:dyDescent="0.2">
      <c r="E7188" s="1063"/>
      <c r="H7188" s="1066"/>
      <c r="I7188" s="1063"/>
      <c r="J7188" s="1063"/>
      <c r="K7188" s="1063"/>
      <c r="L7188" s="1063"/>
    </row>
    <row r="7189" spans="5:12" x14ac:dyDescent="0.2">
      <c r="E7189" s="1063"/>
      <c r="H7189" s="1066"/>
      <c r="I7189" s="1063"/>
      <c r="J7189" s="1063"/>
      <c r="K7189" s="1063"/>
      <c r="L7189" s="1063"/>
    </row>
    <row r="7190" spans="5:12" x14ac:dyDescent="0.2">
      <c r="E7190" s="1063"/>
      <c r="H7190" s="1066"/>
      <c r="I7190" s="1063"/>
      <c r="J7190" s="1063"/>
      <c r="K7190" s="1063"/>
      <c r="L7190" s="1063"/>
    </row>
    <row r="7191" spans="5:12" x14ac:dyDescent="0.2">
      <c r="E7191" s="1063"/>
      <c r="H7191" s="1066"/>
      <c r="I7191" s="1063"/>
      <c r="J7191" s="1063"/>
      <c r="K7191" s="1063"/>
      <c r="L7191" s="1063"/>
    </row>
    <row r="7192" spans="5:12" x14ac:dyDescent="0.2">
      <c r="E7192" s="1063"/>
      <c r="H7192" s="1066"/>
      <c r="I7192" s="1063"/>
      <c r="J7192" s="1063"/>
      <c r="K7192" s="1063"/>
      <c r="L7192" s="1063"/>
    </row>
    <row r="7193" spans="5:12" x14ac:dyDescent="0.2">
      <c r="E7193" s="1063"/>
      <c r="H7193" s="1066"/>
      <c r="I7193" s="1063"/>
      <c r="J7193" s="1063"/>
      <c r="K7193" s="1063"/>
      <c r="L7193" s="1063"/>
    </row>
    <row r="7194" spans="5:12" x14ac:dyDescent="0.2">
      <c r="E7194" s="1063"/>
      <c r="H7194" s="1066"/>
      <c r="I7194" s="1063"/>
      <c r="J7194" s="1063"/>
      <c r="K7194" s="1063"/>
      <c r="L7194" s="1063"/>
    </row>
    <row r="7195" spans="5:12" x14ac:dyDescent="0.2">
      <c r="E7195" s="1063"/>
      <c r="H7195" s="1066"/>
      <c r="I7195" s="1063"/>
      <c r="J7195" s="1063"/>
      <c r="K7195" s="1063"/>
      <c r="L7195" s="1063"/>
    </row>
    <row r="7196" spans="5:12" x14ac:dyDescent="0.2">
      <c r="E7196" s="1063"/>
      <c r="H7196" s="1066"/>
      <c r="I7196" s="1063"/>
      <c r="J7196" s="1063"/>
      <c r="K7196" s="1063"/>
      <c r="L7196" s="1063"/>
    </row>
    <row r="7197" spans="5:12" x14ac:dyDescent="0.2">
      <c r="E7197" s="1063"/>
      <c r="H7197" s="1066"/>
      <c r="I7197" s="1063"/>
      <c r="J7197" s="1063"/>
      <c r="K7197" s="1063"/>
      <c r="L7197" s="1063"/>
    </row>
    <row r="7198" spans="5:12" x14ac:dyDescent="0.2">
      <c r="E7198" s="1063"/>
      <c r="H7198" s="1066"/>
      <c r="I7198" s="1063"/>
      <c r="J7198" s="1063"/>
      <c r="K7198" s="1063"/>
      <c r="L7198" s="1063"/>
    </row>
    <row r="7199" spans="5:12" x14ac:dyDescent="0.2">
      <c r="E7199" s="1063"/>
      <c r="H7199" s="1066"/>
      <c r="I7199" s="1063"/>
      <c r="J7199" s="1063"/>
      <c r="K7199" s="1063"/>
      <c r="L7199" s="1063"/>
    </row>
    <row r="7200" spans="5:12" x14ac:dyDescent="0.2">
      <c r="E7200" s="1063"/>
      <c r="H7200" s="1066"/>
      <c r="I7200" s="1063"/>
      <c r="J7200" s="1063"/>
      <c r="K7200" s="1063"/>
      <c r="L7200" s="1063"/>
    </row>
    <row r="7201" spans="5:12" x14ac:dyDescent="0.2">
      <c r="E7201" s="1063"/>
      <c r="H7201" s="1066"/>
      <c r="I7201" s="1063"/>
      <c r="J7201" s="1063"/>
      <c r="K7201" s="1063"/>
      <c r="L7201" s="1063"/>
    </row>
    <row r="7202" spans="5:12" x14ac:dyDescent="0.2">
      <c r="E7202" s="1063"/>
      <c r="H7202" s="1066"/>
      <c r="I7202" s="1063"/>
      <c r="J7202" s="1063"/>
      <c r="K7202" s="1063"/>
      <c r="L7202" s="1063"/>
    </row>
    <row r="7203" spans="5:12" x14ac:dyDescent="0.2">
      <c r="E7203" s="1063"/>
      <c r="H7203" s="1066"/>
      <c r="I7203" s="1063"/>
      <c r="J7203" s="1063"/>
      <c r="K7203" s="1063"/>
      <c r="L7203" s="1063"/>
    </row>
    <row r="7204" spans="5:12" x14ac:dyDescent="0.2">
      <c r="E7204" s="1063"/>
      <c r="H7204" s="1066"/>
      <c r="I7204" s="1063"/>
      <c r="J7204" s="1063"/>
      <c r="K7204" s="1063"/>
      <c r="L7204" s="1063"/>
    </row>
    <row r="7205" spans="5:12" x14ac:dyDescent="0.2">
      <c r="E7205" s="1063"/>
      <c r="H7205" s="1066"/>
      <c r="I7205" s="1063"/>
      <c r="J7205" s="1063"/>
      <c r="K7205" s="1063"/>
      <c r="L7205" s="1063"/>
    </row>
    <row r="7206" spans="5:12" x14ac:dyDescent="0.2">
      <c r="E7206" s="1063"/>
      <c r="H7206" s="1066"/>
      <c r="I7206" s="1063"/>
      <c r="J7206" s="1063"/>
      <c r="K7206" s="1063"/>
      <c r="L7206" s="1063"/>
    </row>
    <row r="7207" spans="5:12" x14ac:dyDescent="0.2">
      <c r="E7207" s="1063"/>
      <c r="H7207" s="1066"/>
      <c r="I7207" s="1063"/>
      <c r="J7207" s="1063"/>
      <c r="K7207" s="1063"/>
      <c r="L7207" s="1063"/>
    </row>
    <row r="7208" spans="5:12" x14ac:dyDescent="0.2">
      <c r="E7208" s="1063"/>
      <c r="H7208" s="1066"/>
      <c r="I7208" s="1063"/>
      <c r="J7208" s="1063"/>
      <c r="K7208" s="1063"/>
      <c r="L7208" s="1063"/>
    </row>
    <row r="7209" spans="5:12" x14ac:dyDescent="0.2">
      <c r="E7209" s="1063"/>
      <c r="H7209" s="1066"/>
      <c r="I7209" s="1063"/>
      <c r="J7209" s="1063"/>
      <c r="K7209" s="1063"/>
      <c r="L7209" s="1063"/>
    </row>
    <row r="7210" spans="5:12" x14ac:dyDescent="0.2">
      <c r="E7210" s="1063"/>
      <c r="H7210" s="1066"/>
      <c r="I7210" s="1063"/>
      <c r="J7210" s="1063"/>
      <c r="K7210" s="1063"/>
      <c r="L7210" s="1063"/>
    </row>
    <row r="7211" spans="5:12" x14ac:dyDescent="0.2">
      <c r="E7211" s="1063"/>
      <c r="H7211" s="1066"/>
      <c r="I7211" s="1063"/>
      <c r="J7211" s="1063"/>
      <c r="K7211" s="1063"/>
      <c r="L7211" s="1063"/>
    </row>
    <row r="7212" spans="5:12" x14ac:dyDescent="0.2">
      <c r="E7212" s="1063"/>
      <c r="H7212" s="1066"/>
      <c r="I7212" s="1063"/>
      <c r="J7212" s="1063"/>
      <c r="K7212" s="1063"/>
      <c r="L7212" s="1063"/>
    </row>
    <row r="7213" spans="5:12" x14ac:dyDescent="0.2">
      <c r="E7213" s="1063"/>
      <c r="H7213" s="1066"/>
      <c r="I7213" s="1063"/>
      <c r="J7213" s="1063"/>
      <c r="K7213" s="1063"/>
      <c r="L7213" s="1063"/>
    </row>
    <row r="7214" spans="5:12" x14ac:dyDescent="0.2">
      <c r="E7214" s="1063"/>
      <c r="H7214" s="1066"/>
      <c r="I7214" s="1063"/>
      <c r="J7214" s="1063"/>
      <c r="K7214" s="1063"/>
      <c r="L7214" s="1063"/>
    </row>
    <row r="7215" spans="5:12" x14ac:dyDescent="0.2">
      <c r="E7215" s="1063"/>
      <c r="H7215" s="1066"/>
      <c r="I7215" s="1063"/>
      <c r="J7215" s="1063"/>
      <c r="K7215" s="1063"/>
      <c r="L7215" s="1063"/>
    </row>
    <row r="7216" spans="5:12" x14ac:dyDescent="0.2">
      <c r="E7216" s="1063"/>
      <c r="H7216" s="1066"/>
      <c r="I7216" s="1063"/>
      <c r="J7216" s="1063"/>
      <c r="K7216" s="1063"/>
      <c r="L7216" s="1063"/>
    </row>
    <row r="7217" spans="5:12" x14ac:dyDescent="0.2">
      <c r="E7217" s="1063"/>
      <c r="H7217" s="1066"/>
      <c r="I7217" s="1063"/>
      <c r="J7217" s="1063"/>
      <c r="K7217" s="1063"/>
      <c r="L7217" s="1063"/>
    </row>
    <row r="7218" spans="5:12" x14ac:dyDescent="0.2">
      <c r="E7218" s="1063"/>
      <c r="H7218" s="1066"/>
      <c r="I7218" s="1063"/>
      <c r="J7218" s="1063"/>
      <c r="K7218" s="1063"/>
      <c r="L7218" s="1063"/>
    </row>
    <row r="7219" spans="5:12" x14ac:dyDescent="0.2">
      <c r="E7219" s="1063"/>
      <c r="H7219" s="1066"/>
      <c r="I7219" s="1063"/>
      <c r="J7219" s="1063"/>
      <c r="K7219" s="1063"/>
      <c r="L7219" s="1063"/>
    </row>
    <row r="7220" spans="5:12" x14ac:dyDescent="0.2">
      <c r="E7220" s="1063"/>
      <c r="H7220" s="1066"/>
      <c r="I7220" s="1063"/>
      <c r="J7220" s="1063"/>
      <c r="K7220" s="1063"/>
      <c r="L7220" s="1063"/>
    </row>
    <row r="7221" spans="5:12" x14ac:dyDescent="0.2">
      <c r="E7221" s="1063"/>
      <c r="H7221" s="1066"/>
      <c r="I7221" s="1063"/>
      <c r="J7221" s="1063"/>
      <c r="K7221" s="1063"/>
      <c r="L7221" s="1063"/>
    </row>
    <row r="7222" spans="5:12" x14ac:dyDescent="0.2">
      <c r="E7222" s="1063"/>
      <c r="H7222" s="1066"/>
      <c r="I7222" s="1063"/>
      <c r="J7222" s="1063"/>
      <c r="K7222" s="1063"/>
      <c r="L7222" s="1063"/>
    </row>
    <row r="7223" spans="5:12" x14ac:dyDescent="0.2">
      <c r="E7223" s="1063"/>
      <c r="H7223" s="1066"/>
      <c r="I7223" s="1063"/>
      <c r="J7223" s="1063"/>
      <c r="K7223" s="1063"/>
      <c r="L7223" s="1063"/>
    </row>
    <row r="7224" spans="5:12" x14ac:dyDescent="0.2">
      <c r="E7224" s="1063"/>
      <c r="H7224" s="1066"/>
      <c r="I7224" s="1063"/>
      <c r="J7224" s="1063"/>
      <c r="K7224" s="1063"/>
      <c r="L7224" s="1063"/>
    </row>
    <row r="7225" spans="5:12" x14ac:dyDescent="0.2">
      <c r="E7225" s="1063"/>
      <c r="H7225" s="1066"/>
      <c r="I7225" s="1063"/>
      <c r="J7225" s="1063"/>
      <c r="K7225" s="1063"/>
      <c r="L7225" s="1063"/>
    </row>
    <row r="7226" spans="5:12" x14ac:dyDescent="0.2">
      <c r="E7226" s="1063"/>
      <c r="H7226" s="1066"/>
      <c r="I7226" s="1063"/>
      <c r="J7226" s="1063"/>
      <c r="K7226" s="1063"/>
      <c r="L7226" s="1063"/>
    </row>
    <row r="7227" spans="5:12" x14ac:dyDescent="0.2">
      <c r="E7227" s="1063"/>
      <c r="H7227" s="1066"/>
      <c r="I7227" s="1063"/>
      <c r="J7227" s="1063"/>
      <c r="K7227" s="1063"/>
      <c r="L7227" s="1063"/>
    </row>
    <row r="7228" spans="5:12" x14ac:dyDescent="0.2">
      <c r="E7228" s="1063"/>
      <c r="H7228" s="1066"/>
      <c r="I7228" s="1063"/>
      <c r="J7228" s="1063"/>
      <c r="K7228" s="1063"/>
      <c r="L7228" s="1063"/>
    </row>
    <row r="7229" spans="5:12" x14ac:dyDescent="0.2">
      <c r="E7229" s="1063"/>
      <c r="H7229" s="1066"/>
      <c r="I7229" s="1063"/>
      <c r="J7229" s="1063"/>
      <c r="K7229" s="1063"/>
      <c r="L7229" s="1063"/>
    </row>
    <row r="7230" spans="5:12" x14ac:dyDescent="0.2">
      <c r="E7230" s="1063"/>
      <c r="H7230" s="1066"/>
      <c r="I7230" s="1063"/>
      <c r="J7230" s="1063"/>
      <c r="K7230" s="1063"/>
      <c r="L7230" s="1063"/>
    </row>
    <row r="7231" spans="5:12" x14ac:dyDescent="0.2">
      <c r="E7231" s="1063"/>
      <c r="H7231" s="1066"/>
      <c r="I7231" s="1063"/>
      <c r="J7231" s="1063"/>
      <c r="K7231" s="1063"/>
      <c r="L7231" s="1063"/>
    </row>
    <row r="7232" spans="5:12" x14ac:dyDescent="0.2">
      <c r="E7232" s="1063"/>
      <c r="H7232" s="1066"/>
      <c r="I7232" s="1063"/>
      <c r="J7232" s="1063"/>
      <c r="K7232" s="1063"/>
      <c r="L7232" s="1063"/>
    </row>
    <row r="7233" spans="5:12" x14ac:dyDescent="0.2">
      <c r="E7233" s="1063"/>
      <c r="H7233" s="1066"/>
      <c r="I7233" s="1063"/>
      <c r="J7233" s="1063"/>
      <c r="K7233" s="1063"/>
      <c r="L7233" s="1063"/>
    </row>
    <row r="7234" spans="5:12" x14ac:dyDescent="0.2">
      <c r="E7234" s="1063"/>
      <c r="H7234" s="1066"/>
      <c r="I7234" s="1063"/>
      <c r="J7234" s="1063"/>
      <c r="K7234" s="1063"/>
      <c r="L7234" s="1063"/>
    </row>
    <row r="7235" spans="5:12" x14ac:dyDescent="0.2">
      <c r="E7235" s="1063"/>
      <c r="H7235" s="1066"/>
      <c r="I7235" s="1063"/>
      <c r="J7235" s="1063"/>
      <c r="K7235" s="1063"/>
      <c r="L7235" s="1063"/>
    </row>
    <row r="7236" spans="5:12" x14ac:dyDescent="0.2">
      <c r="E7236" s="1063"/>
      <c r="H7236" s="1066"/>
      <c r="I7236" s="1063"/>
      <c r="J7236" s="1063"/>
      <c r="K7236" s="1063"/>
      <c r="L7236" s="1063"/>
    </row>
    <row r="7237" spans="5:12" x14ac:dyDescent="0.2">
      <c r="E7237" s="1063"/>
      <c r="H7237" s="1066"/>
      <c r="I7237" s="1063"/>
      <c r="J7237" s="1063"/>
      <c r="K7237" s="1063"/>
      <c r="L7237" s="1063"/>
    </row>
    <row r="7238" spans="5:12" x14ac:dyDescent="0.2">
      <c r="E7238" s="1063"/>
      <c r="H7238" s="1066"/>
      <c r="I7238" s="1063"/>
      <c r="J7238" s="1063"/>
      <c r="K7238" s="1063"/>
      <c r="L7238" s="1063"/>
    </row>
    <row r="7239" spans="5:12" x14ac:dyDescent="0.2">
      <c r="E7239" s="1063"/>
      <c r="H7239" s="1066"/>
      <c r="I7239" s="1063"/>
      <c r="J7239" s="1063"/>
      <c r="K7239" s="1063"/>
      <c r="L7239" s="1063"/>
    </row>
    <row r="7240" spans="5:12" x14ac:dyDescent="0.2">
      <c r="E7240" s="1063"/>
      <c r="H7240" s="1066"/>
      <c r="I7240" s="1063"/>
      <c r="J7240" s="1063"/>
      <c r="K7240" s="1063"/>
      <c r="L7240" s="1063"/>
    </row>
    <row r="7241" spans="5:12" x14ac:dyDescent="0.2">
      <c r="E7241" s="1063"/>
      <c r="H7241" s="1066"/>
      <c r="I7241" s="1063"/>
      <c r="J7241" s="1063"/>
      <c r="K7241" s="1063"/>
      <c r="L7241" s="1063"/>
    </row>
    <row r="7242" spans="5:12" x14ac:dyDescent="0.2">
      <c r="E7242" s="1063"/>
      <c r="H7242" s="1066"/>
      <c r="I7242" s="1063"/>
      <c r="J7242" s="1063"/>
      <c r="K7242" s="1063"/>
      <c r="L7242" s="1063"/>
    </row>
    <row r="7243" spans="5:12" x14ac:dyDescent="0.2">
      <c r="E7243" s="1063"/>
      <c r="H7243" s="1066"/>
      <c r="I7243" s="1063"/>
      <c r="J7243" s="1063"/>
      <c r="K7243" s="1063"/>
      <c r="L7243" s="1063"/>
    </row>
    <row r="7244" spans="5:12" x14ac:dyDescent="0.2">
      <c r="E7244" s="1063"/>
      <c r="H7244" s="1066"/>
      <c r="I7244" s="1063"/>
      <c r="J7244" s="1063"/>
      <c r="K7244" s="1063"/>
      <c r="L7244" s="1063"/>
    </row>
    <row r="7245" spans="5:12" x14ac:dyDescent="0.2">
      <c r="E7245" s="1063"/>
      <c r="H7245" s="1066"/>
      <c r="I7245" s="1063"/>
      <c r="J7245" s="1063"/>
      <c r="K7245" s="1063"/>
      <c r="L7245" s="1063"/>
    </row>
    <row r="7246" spans="5:12" x14ac:dyDescent="0.2">
      <c r="E7246" s="1063"/>
      <c r="H7246" s="1066"/>
      <c r="I7246" s="1063"/>
      <c r="J7246" s="1063"/>
      <c r="K7246" s="1063"/>
      <c r="L7246" s="1063"/>
    </row>
    <row r="7247" spans="5:12" x14ac:dyDescent="0.2">
      <c r="E7247" s="1063"/>
      <c r="H7247" s="1066"/>
      <c r="I7247" s="1063"/>
      <c r="J7247" s="1063"/>
      <c r="K7247" s="1063"/>
      <c r="L7247" s="1063"/>
    </row>
    <row r="7248" spans="5:12" x14ac:dyDescent="0.2">
      <c r="E7248" s="1063"/>
      <c r="H7248" s="1066"/>
      <c r="I7248" s="1063"/>
      <c r="J7248" s="1063"/>
      <c r="K7248" s="1063"/>
      <c r="L7248" s="1063"/>
    </row>
    <row r="7249" spans="5:12" x14ac:dyDescent="0.2">
      <c r="E7249" s="1063"/>
      <c r="H7249" s="1066"/>
      <c r="I7249" s="1063"/>
      <c r="J7249" s="1063"/>
      <c r="K7249" s="1063"/>
      <c r="L7249" s="1063"/>
    </row>
    <row r="7250" spans="5:12" x14ac:dyDescent="0.2">
      <c r="E7250" s="1063"/>
      <c r="H7250" s="1066"/>
      <c r="I7250" s="1063"/>
      <c r="J7250" s="1063"/>
      <c r="K7250" s="1063"/>
      <c r="L7250" s="1063"/>
    </row>
    <row r="7251" spans="5:12" x14ac:dyDescent="0.2">
      <c r="E7251" s="1063"/>
      <c r="H7251" s="1066"/>
      <c r="I7251" s="1063"/>
      <c r="J7251" s="1063"/>
      <c r="K7251" s="1063"/>
      <c r="L7251" s="1063"/>
    </row>
    <row r="7252" spans="5:12" x14ac:dyDescent="0.2">
      <c r="E7252" s="1063"/>
      <c r="H7252" s="1066"/>
      <c r="I7252" s="1063"/>
      <c r="J7252" s="1063"/>
      <c r="K7252" s="1063"/>
      <c r="L7252" s="1063"/>
    </row>
    <row r="7253" spans="5:12" x14ac:dyDescent="0.2">
      <c r="E7253" s="1063"/>
      <c r="H7253" s="1066"/>
      <c r="I7253" s="1063"/>
      <c r="J7253" s="1063"/>
      <c r="K7253" s="1063"/>
      <c r="L7253" s="1063"/>
    </row>
    <row r="7254" spans="5:12" x14ac:dyDescent="0.2">
      <c r="E7254" s="1063"/>
      <c r="H7254" s="1066"/>
      <c r="I7254" s="1063"/>
      <c r="J7254" s="1063"/>
      <c r="K7254" s="1063"/>
      <c r="L7254" s="1063"/>
    </row>
    <row r="7255" spans="5:12" x14ac:dyDescent="0.2">
      <c r="E7255" s="1063"/>
      <c r="H7255" s="1066"/>
      <c r="I7255" s="1063"/>
      <c r="J7255" s="1063"/>
      <c r="K7255" s="1063"/>
      <c r="L7255" s="1063"/>
    </row>
    <row r="7256" spans="5:12" x14ac:dyDescent="0.2">
      <c r="E7256" s="1063"/>
      <c r="H7256" s="1066"/>
      <c r="I7256" s="1063"/>
      <c r="J7256" s="1063"/>
      <c r="K7256" s="1063"/>
      <c r="L7256" s="1063"/>
    </row>
    <row r="7257" spans="5:12" x14ac:dyDescent="0.2">
      <c r="E7257" s="1063"/>
      <c r="H7257" s="1066"/>
      <c r="I7257" s="1063"/>
      <c r="J7257" s="1063"/>
      <c r="K7257" s="1063"/>
      <c r="L7257" s="1063"/>
    </row>
    <row r="7258" spans="5:12" x14ac:dyDescent="0.2">
      <c r="E7258" s="1063"/>
      <c r="H7258" s="1066"/>
      <c r="I7258" s="1063"/>
      <c r="J7258" s="1063"/>
      <c r="K7258" s="1063"/>
      <c r="L7258" s="1063"/>
    </row>
    <row r="7259" spans="5:12" x14ac:dyDescent="0.2">
      <c r="E7259" s="1063"/>
      <c r="H7259" s="1066"/>
      <c r="I7259" s="1063"/>
      <c r="J7259" s="1063"/>
      <c r="K7259" s="1063"/>
      <c r="L7259" s="1063"/>
    </row>
    <row r="7260" spans="5:12" x14ac:dyDescent="0.2">
      <c r="E7260" s="1063"/>
      <c r="H7260" s="1066"/>
      <c r="I7260" s="1063"/>
      <c r="J7260" s="1063"/>
      <c r="K7260" s="1063"/>
      <c r="L7260" s="1063"/>
    </row>
    <row r="7261" spans="5:12" x14ac:dyDescent="0.2">
      <c r="E7261" s="1063"/>
      <c r="H7261" s="1066"/>
      <c r="I7261" s="1063"/>
      <c r="J7261" s="1063"/>
      <c r="K7261" s="1063"/>
      <c r="L7261" s="1063"/>
    </row>
    <row r="7262" spans="5:12" x14ac:dyDescent="0.2">
      <c r="E7262" s="1063"/>
      <c r="H7262" s="1066"/>
      <c r="I7262" s="1063"/>
      <c r="J7262" s="1063"/>
      <c r="K7262" s="1063"/>
      <c r="L7262" s="1063"/>
    </row>
    <row r="7263" spans="5:12" x14ac:dyDescent="0.2">
      <c r="E7263" s="1063"/>
      <c r="H7263" s="1066"/>
      <c r="I7263" s="1063"/>
      <c r="J7263" s="1063"/>
      <c r="K7263" s="1063"/>
      <c r="L7263" s="1063"/>
    </row>
    <row r="7264" spans="5:12" x14ac:dyDescent="0.2">
      <c r="E7264" s="1063"/>
      <c r="H7264" s="1066"/>
      <c r="I7264" s="1063"/>
      <c r="J7264" s="1063"/>
      <c r="K7264" s="1063"/>
      <c r="L7264" s="1063"/>
    </row>
    <row r="7265" spans="5:12" x14ac:dyDescent="0.2">
      <c r="E7265" s="1063"/>
      <c r="H7265" s="1066"/>
      <c r="I7265" s="1063"/>
      <c r="J7265" s="1063"/>
      <c r="K7265" s="1063"/>
      <c r="L7265" s="1063"/>
    </row>
    <row r="7266" spans="5:12" x14ac:dyDescent="0.2">
      <c r="E7266" s="1063"/>
      <c r="H7266" s="1066"/>
      <c r="I7266" s="1063"/>
      <c r="J7266" s="1063"/>
      <c r="K7266" s="1063"/>
      <c r="L7266" s="1063"/>
    </row>
    <row r="7267" spans="5:12" x14ac:dyDescent="0.2">
      <c r="E7267" s="1063"/>
      <c r="H7267" s="1066"/>
      <c r="I7267" s="1063"/>
      <c r="J7267" s="1063"/>
      <c r="K7267" s="1063"/>
      <c r="L7267" s="1063"/>
    </row>
    <row r="7268" spans="5:12" x14ac:dyDescent="0.2">
      <c r="E7268" s="1063"/>
      <c r="H7268" s="1066"/>
      <c r="I7268" s="1063"/>
      <c r="J7268" s="1063"/>
      <c r="K7268" s="1063"/>
      <c r="L7268" s="1063"/>
    </row>
    <row r="7269" spans="5:12" x14ac:dyDescent="0.2">
      <c r="E7269" s="1063"/>
      <c r="H7269" s="1066"/>
      <c r="I7269" s="1063"/>
      <c r="J7269" s="1063"/>
      <c r="K7269" s="1063"/>
      <c r="L7269" s="1063"/>
    </row>
    <row r="7270" spans="5:12" x14ac:dyDescent="0.2">
      <c r="E7270" s="1063"/>
      <c r="H7270" s="1066"/>
      <c r="I7270" s="1063"/>
      <c r="J7270" s="1063"/>
      <c r="K7270" s="1063"/>
      <c r="L7270" s="1063"/>
    </row>
    <row r="7271" spans="5:12" x14ac:dyDescent="0.2">
      <c r="E7271" s="1063"/>
      <c r="H7271" s="1066"/>
      <c r="I7271" s="1063"/>
      <c r="J7271" s="1063"/>
      <c r="K7271" s="1063"/>
      <c r="L7271" s="1063"/>
    </row>
    <row r="7272" spans="5:12" x14ac:dyDescent="0.2">
      <c r="E7272" s="1063"/>
      <c r="H7272" s="1066"/>
      <c r="I7272" s="1063"/>
      <c r="J7272" s="1063"/>
      <c r="K7272" s="1063"/>
      <c r="L7272" s="1063"/>
    </row>
    <row r="7273" spans="5:12" x14ac:dyDescent="0.2">
      <c r="E7273" s="1063"/>
      <c r="H7273" s="1066"/>
      <c r="I7273" s="1063"/>
      <c r="J7273" s="1063"/>
      <c r="K7273" s="1063"/>
      <c r="L7273" s="1063"/>
    </row>
    <row r="7274" spans="5:12" x14ac:dyDescent="0.2">
      <c r="E7274" s="1063"/>
      <c r="H7274" s="1066"/>
      <c r="I7274" s="1063"/>
      <c r="J7274" s="1063"/>
      <c r="K7274" s="1063"/>
      <c r="L7274" s="1063"/>
    </row>
    <row r="7275" spans="5:12" x14ac:dyDescent="0.2">
      <c r="E7275" s="1063"/>
      <c r="H7275" s="1066"/>
      <c r="I7275" s="1063"/>
      <c r="J7275" s="1063"/>
      <c r="K7275" s="1063"/>
      <c r="L7275" s="1063"/>
    </row>
    <row r="7276" spans="5:12" x14ac:dyDescent="0.2">
      <c r="E7276" s="1063"/>
      <c r="H7276" s="1066"/>
      <c r="I7276" s="1063"/>
      <c r="J7276" s="1063"/>
      <c r="K7276" s="1063"/>
      <c r="L7276" s="1063"/>
    </row>
    <row r="7277" spans="5:12" x14ac:dyDescent="0.2">
      <c r="E7277" s="1063"/>
      <c r="H7277" s="1066"/>
      <c r="I7277" s="1063"/>
      <c r="J7277" s="1063"/>
      <c r="K7277" s="1063"/>
      <c r="L7277" s="1063"/>
    </row>
    <row r="7278" spans="5:12" x14ac:dyDescent="0.2">
      <c r="E7278" s="1063"/>
      <c r="H7278" s="1066"/>
      <c r="I7278" s="1063"/>
      <c r="J7278" s="1063"/>
      <c r="K7278" s="1063"/>
      <c r="L7278" s="1063"/>
    </row>
    <row r="7279" spans="5:12" x14ac:dyDescent="0.2">
      <c r="E7279" s="1063"/>
      <c r="H7279" s="1066"/>
      <c r="I7279" s="1063"/>
      <c r="J7279" s="1063"/>
      <c r="K7279" s="1063"/>
      <c r="L7279" s="1063"/>
    </row>
    <row r="7280" spans="5:12" x14ac:dyDescent="0.2">
      <c r="E7280" s="1063"/>
      <c r="H7280" s="1066"/>
      <c r="I7280" s="1063"/>
      <c r="J7280" s="1063"/>
      <c r="K7280" s="1063"/>
      <c r="L7280" s="1063"/>
    </row>
    <row r="7281" spans="5:12" x14ac:dyDescent="0.2">
      <c r="E7281" s="1063"/>
      <c r="H7281" s="1066"/>
      <c r="I7281" s="1063"/>
      <c r="J7281" s="1063"/>
      <c r="K7281" s="1063"/>
      <c r="L7281" s="1063"/>
    </row>
    <row r="7282" spans="5:12" x14ac:dyDescent="0.2">
      <c r="E7282" s="1063"/>
      <c r="H7282" s="1066"/>
      <c r="I7282" s="1063"/>
      <c r="J7282" s="1063"/>
      <c r="K7282" s="1063"/>
      <c r="L7282" s="1063"/>
    </row>
    <row r="7283" spans="5:12" x14ac:dyDescent="0.2">
      <c r="E7283" s="1063"/>
      <c r="H7283" s="1066"/>
      <c r="I7283" s="1063"/>
      <c r="J7283" s="1063"/>
      <c r="K7283" s="1063"/>
      <c r="L7283" s="1063"/>
    </row>
    <row r="7284" spans="5:12" x14ac:dyDescent="0.2">
      <c r="E7284" s="1063"/>
      <c r="H7284" s="1066"/>
      <c r="I7284" s="1063"/>
      <c r="J7284" s="1063"/>
      <c r="K7284" s="1063"/>
      <c r="L7284" s="1063"/>
    </row>
    <row r="7285" spans="5:12" x14ac:dyDescent="0.2">
      <c r="E7285" s="1063"/>
      <c r="H7285" s="1066"/>
      <c r="I7285" s="1063"/>
      <c r="J7285" s="1063"/>
      <c r="K7285" s="1063"/>
      <c r="L7285" s="1063"/>
    </row>
    <row r="7286" spans="5:12" x14ac:dyDescent="0.2">
      <c r="E7286" s="1063"/>
      <c r="H7286" s="1066"/>
      <c r="I7286" s="1063"/>
      <c r="J7286" s="1063"/>
      <c r="K7286" s="1063"/>
      <c r="L7286" s="1063"/>
    </row>
    <row r="7287" spans="5:12" x14ac:dyDescent="0.2">
      <c r="E7287" s="1063"/>
      <c r="H7287" s="1066"/>
      <c r="I7287" s="1063"/>
      <c r="J7287" s="1063"/>
      <c r="K7287" s="1063"/>
      <c r="L7287" s="1063"/>
    </row>
    <row r="7288" spans="5:12" x14ac:dyDescent="0.2">
      <c r="E7288" s="1063"/>
      <c r="H7288" s="1066"/>
      <c r="I7288" s="1063"/>
      <c r="J7288" s="1063"/>
      <c r="K7288" s="1063"/>
      <c r="L7288" s="1063"/>
    </row>
    <row r="7289" spans="5:12" x14ac:dyDescent="0.2">
      <c r="E7289" s="1063"/>
      <c r="H7289" s="1066"/>
      <c r="I7289" s="1063"/>
      <c r="J7289" s="1063"/>
      <c r="K7289" s="1063"/>
      <c r="L7289" s="1063"/>
    </row>
    <row r="7290" spans="5:12" x14ac:dyDescent="0.2">
      <c r="E7290" s="1063"/>
      <c r="H7290" s="1066"/>
      <c r="I7290" s="1063"/>
      <c r="J7290" s="1063"/>
      <c r="K7290" s="1063"/>
      <c r="L7290" s="1063"/>
    </row>
    <row r="7291" spans="5:12" x14ac:dyDescent="0.2">
      <c r="E7291" s="1063"/>
      <c r="H7291" s="1066"/>
      <c r="I7291" s="1063"/>
      <c r="J7291" s="1063"/>
      <c r="K7291" s="1063"/>
      <c r="L7291" s="1063"/>
    </row>
    <row r="7292" spans="5:12" x14ac:dyDescent="0.2">
      <c r="E7292" s="1063"/>
      <c r="H7292" s="1066"/>
      <c r="I7292" s="1063"/>
      <c r="J7292" s="1063"/>
      <c r="K7292" s="1063"/>
      <c r="L7292" s="1063"/>
    </row>
    <row r="7293" spans="5:12" x14ac:dyDescent="0.2">
      <c r="E7293" s="1063"/>
      <c r="H7293" s="1066"/>
      <c r="I7293" s="1063"/>
      <c r="J7293" s="1063"/>
      <c r="K7293" s="1063"/>
      <c r="L7293" s="1063"/>
    </row>
    <row r="7294" spans="5:12" x14ac:dyDescent="0.2">
      <c r="E7294" s="1063"/>
      <c r="H7294" s="1066"/>
      <c r="I7294" s="1063"/>
      <c r="J7294" s="1063"/>
      <c r="K7294" s="1063"/>
      <c r="L7294" s="1063"/>
    </row>
    <row r="7295" spans="5:12" x14ac:dyDescent="0.2">
      <c r="E7295" s="1063"/>
      <c r="H7295" s="1066"/>
      <c r="I7295" s="1063"/>
      <c r="J7295" s="1063"/>
      <c r="K7295" s="1063"/>
      <c r="L7295" s="1063"/>
    </row>
    <row r="7296" spans="5:12" x14ac:dyDescent="0.2">
      <c r="E7296" s="1063"/>
      <c r="H7296" s="1066"/>
      <c r="I7296" s="1063"/>
      <c r="J7296" s="1063"/>
      <c r="K7296" s="1063"/>
      <c r="L7296" s="1063"/>
    </row>
    <row r="7297" spans="5:12" x14ac:dyDescent="0.2">
      <c r="E7297" s="1063"/>
      <c r="H7297" s="1066"/>
      <c r="I7297" s="1063"/>
      <c r="J7297" s="1063"/>
      <c r="K7297" s="1063"/>
      <c r="L7297" s="1063"/>
    </row>
    <row r="7298" spans="5:12" x14ac:dyDescent="0.2">
      <c r="E7298" s="1063"/>
      <c r="H7298" s="1066"/>
      <c r="I7298" s="1063"/>
      <c r="J7298" s="1063"/>
      <c r="K7298" s="1063"/>
      <c r="L7298" s="1063"/>
    </row>
    <row r="7299" spans="5:12" x14ac:dyDescent="0.2">
      <c r="E7299" s="1063"/>
      <c r="H7299" s="1066"/>
      <c r="I7299" s="1063"/>
      <c r="J7299" s="1063"/>
      <c r="K7299" s="1063"/>
      <c r="L7299" s="1063"/>
    </row>
    <row r="7300" spans="5:12" x14ac:dyDescent="0.2">
      <c r="E7300" s="1063"/>
      <c r="H7300" s="1066"/>
      <c r="I7300" s="1063"/>
      <c r="J7300" s="1063"/>
      <c r="K7300" s="1063"/>
      <c r="L7300" s="1063"/>
    </row>
    <row r="7301" spans="5:12" x14ac:dyDescent="0.2">
      <c r="E7301" s="1063"/>
      <c r="H7301" s="1066"/>
      <c r="I7301" s="1063"/>
      <c r="J7301" s="1063"/>
      <c r="K7301" s="1063"/>
      <c r="L7301" s="1063"/>
    </row>
    <row r="7302" spans="5:12" x14ac:dyDescent="0.2">
      <c r="E7302" s="1063"/>
      <c r="H7302" s="1066"/>
      <c r="I7302" s="1063"/>
      <c r="J7302" s="1063"/>
      <c r="K7302" s="1063"/>
      <c r="L7302" s="1063"/>
    </row>
    <row r="7303" spans="5:12" x14ac:dyDescent="0.2">
      <c r="E7303" s="1063"/>
      <c r="H7303" s="1066"/>
      <c r="I7303" s="1063"/>
      <c r="J7303" s="1063"/>
      <c r="K7303" s="1063"/>
      <c r="L7303" s="1063"/>
    </row>
    <row r="7304" spans="5:12" x14ac:dyDescent="0.2">
      <c r="E7304" s="1063"/>
      <c r="H7304" s="1066"/>
      <c r="I7304" s="1063"/>
      <c r="J7304" s="1063"/>
      <c r="K7304" s="1063"/>
      <c r="L7304" s="1063"/>
    </row>
    <row r="7305" spans="5:12" x14ac:dyDescent="0.2">
      <c r="E7305" s="1063"/>
      <c r="H7305" s="1066"/>
      <c r="I7305" s="1063"/>
      <c r="J7305" s="1063"/>
      <c r="K7305" s="1063"/>
      <c r="L7305" s="1063"/>
    </row>
    <row r="7306" spans="5:12" x14ac:dyDescent="0.2">
      <c r="E7306" s="1063"/>
      <c r="H7306" s="1066"/>
      <c r="I7306" s="1063"/>
      <c r="J7306" s="1063"/>
      <c r="K7306" s="1063"/>
      <c r="L7306" s="1063"/>
    </row>
    <row r="7307" spans="5:12" x14ac:dyDescent="0.2">
      <c r="E7307" s="1063"/>
      <c r="H7307" s="1066"/>
      <c r="I7307" s="1063"/>
      <c r="J7307" s="1063"/>
      <c r="K7307" s="1063"/>
      <c r="L7307" s="1063"/>
    </row>
    <row r="7308" spans="5:12" x14ac:dyDescent="0.2">
      <c r="E7308" s="1063"/>
      <c r="H7308" s="1066"/>
      <c r="I7308" s="1063"/>
      <c r="J7308" s="1063"/>
      <c r="K7308" s="1063"/>
      <c r="L7308" s="1063"/>
    </row>
    <row r="7309" spans="5:12" x14ac:dyDescent="0.2">
      <c r="E7309" s="1063"/>
      <c r="H7309" s="1066"/>
      <c r="I7309" s="1063"/>
      <c r="J7309" s="1063"/>
      <c r="K7309" s="1063"/>
      <c r="L7309" s="1063"/>
    </row>
    <row r="7310" spans="5:12" x14ac:dyDescent="0.2">
      <c r="E7310" s="1063"/>
      <c r="H7310" s="1066"/>
      <c r="I7310" s="1063"/>
      <c r="J7310" s="1063"/>
      <c r="K7310" s="1063"/>
      <c r="L7310" s="1063"/>
    </row>
    <row r="7311" spans="5:12" x14ac:dyDescent="0.2">
      <c r="E7311" s="1063"/>
      <c r="H7311" s="1066"/>
      <c r="I7311" s="1063"/>
      <c r="J7311" s="1063"/>
      <c r="K7311" s="1063"/>
      <c r="L7311" s="1063"/>
    </row>
    <row r="7312" spans="5:12" x14ac:dyDescent="0.2">
      <c r="E7312" s="1063"/>
      <c r="H7312" s="1066"/>
      <c r="I7312" s="1063"/>
      <c r="J7312" s="1063"/>
      <c r="K7312" s="1063"/>
      <c r="L7312" s="1063"/>
    </row>
    <row r="7313" spans="5:12" x14ac:dyDescent="0.2">
      <c r="E7313" s="1063"/>
      <c r="H7313" s="1066"/>
      <c r="I7313" s="1063"/>
      <c r="J7313" s="1063"/>
      <c r="K7313" s="1063"/>
      <c r="L7313" s="1063"/>
    </row>
    <row r="7314" spans="5:12" x14ac:dyDescent="0.2">
      <c r="E7314" s="1063"/>
      <c r="H7314" s="1066"/>
      <c r="I7314" s="1063"/>
      <c r="J7314" s="1063"/>
      <c r="K7314" s="1063"/>
      <c r="L7314" s="1063"/>
    </row>
    <row r="7315" spans="5:12" x14ac:dyDescent="0.2">
      <c r="E7315" s="1063"/>
      <c r="H7315" s="1066"/>
      <c r="I7315" s="1063"/>
      <c r="J7315" s="1063"/>
      <c r="K7315" s="1063"/>
      <c r="L7315" s="1063"/>
    </row>
    <row r="7316" spans="5:12" x14ac:dyDescent="0.2">
      <c r="E7316" s="1063"/>
      <c r="H7316" s="1066"/>
      <c r="I7316" s="1063"/>
      <c r="J7316" s="1063"/>
      <c r="K7316" s="1063"/>
      <c r="L7316" s="1063"/>
    </row>
    <row r="7317" spans="5:12" x14ac:dyDescent="0.2">
      <c r="E7317" s="1063"/>
      <c r="H7317" s="1066"/>
      <c r="I7317" s="1063"/>
      <c r="J7317" s="1063"/>
      <c r="K7317" s="1063"/>
      <c r="L7317" s="1063"/>
    </row>
    <row r="7318" spans="5:12" x14ac:dyDescent="0.2">
      <c r="E7318" s="1063"/>
      <c r="H7318" s="1066"/>
      <c r="I7318" s="1063"/>
      <c r="J7318" s="1063"/>
      <c r="K7318" s="1063"/>
      <c r="L7318" s="1063"/>
    </row>
    <row r="7319" spans="5:12" x14ac:dyDescent="0.2">
      <c r="E7319" s="1063"/>
      <c r="H7319" s="1066"/>
      <c r="I7319" s="1063"/>
      <c r="J7319" s="1063"/>
      <c r="K7319" s="1063"/>
      <c r="L7319" s="1063"/>
    </row>
    <row r="7320" spans="5:12" x14ac:dyDescent="0.2">
      <c r="E7320" s="1063"/>
      <c r="H7320" s="1066"/>
      <c r="I7320" s="1063"/>
      <c r="J7320" s="1063"/>
      <c r="K7320" s="1063"/>
      <c r="L7320" s="1063"/>
    </row>
    <row r="7321" spans="5:12" x14ac:dyDescent="0.2">
      <c r="E7321" s="1063"/>
      <c r="H7321" s="1066"/>
      <c r="I7321" s="1063"/>
      <c r="J7321" s="1063"/>
      <c r="K7321" s="1063"/>
      <c r="L7321" s="1063"/>
    </row>
    <row r="7322" spans="5:12" x14ac:dyDescent="0.2">
      <c r="E7322" s="1063"/>
      <c r="H7322" s="1066"/>
      <c r="I7322" s="1063"/>
      <c r="J7322" s="1063"/>
      <c r="K7322" s="1063"/>
      <c r="L7322" s="1063"/>
    </row>
    <row r="7323" spans="5:12" x14ac:dyDescent="0.2">
      <c r="E7323" s="1063"/>
      <c r="H7323" s="1066"/>
      <c r="I7323" s="1063"/>
      <c r="J7323" s="1063"/>
      <c r="K7323" s="1063"/>
      <c r="L7323" s="1063"/>
    </row>
    <row r="7324" spans="5:12" x14ac:dyDescent="0.2">
      <c r="E7324" s="1063"/>
      <c r="H7324" s="1066"/>
      <c r="I7324" s="1063"/>
      <c r="J7324" s="1063"/>
      <c r="K7324" s="1063"/>
      <c r="L7324" s="1063"/>
    </row>
    <row r="7325" spans="5:12" x14ac:dyDescent="0.2">
      <c r="E7325" s="1063"/>
      <c r="H7325" s="1066"/>
      <c r="I7325" s="1063"/>
      <c r="J7325" s="1063"/>
      <c r="K7325" s="1063"/>
      <c r="L7325" s="1063"/>
    </row>
    <row r="7326" spans="5:12" x14ac:dyDescent="0.2">
      <c r="E7326" s="1063"/>
      <c r="H7326" s="1066"/>
      <c r="I7326" s="1063"/>
      <c r="J7326" s="1063"/>
      <c r="K7326" s="1063"/>
      <c r="L7326" s="1063"/>
    </row>
    <row r="7327" spans="5:12" x14ac:dyDescent="0.2">
      <c r="E7327" s="1063"/>
      <c r="H7327" s="1066"/>
      <c r="I7327" s="1063"/>
      <c r="J7327" s="1063"/>
      <c r="K7327" s="1063"/>
      <c r="L7327" s="1063"/>
    </row>
    <row r="7328" spans="5:12" x14ac:dyDescent="0.2">
      <c r="E7328" s="1063"/>
      <c r="H7328" s="1066"/>
      <c r="I7328" s="1063"/>
      <c r="J7328" s="1063"/>
      <c r="K7328" s="1063"/>
      <c r="L7328" s="1063"/>
    </row>
    <row r="7329" spans="5:12" x14ac:dyDescent="0.2">
      <c r="E7329" s="1063"/>
      <c r="H7329" s="1066"/>
      <c r="I7329" s="1063"/>
      <c r="J7329" s="1063"/>
      <c r="K7329" s="1063"/>
      <c r="L7329" s="1063"/>
    </row>
    <row r="7330" spans="5:12" x14ac:dyDescent="0.2">
      <c r="E7330" s="1063"/>
      <c r="H7330" s="1066"/>
      <c r="I7330" s="1063"/>
      <c r="J7330" s="1063"/>
      <c r="K7330" s="1063"/>
      <c r="L7330" s="1063"/>
    </row>
    <row r="7331" spans="5:12" x14ac:dyDescent="0.2">
      <c r="E7331" s="1063"/>
      <c r="H7331" s="1066"/>
      <c r="I7331" s="1063"/>
      <c r="J7331" s="1063"/>
      <c r="K7331" s="1063"/>
      <c r="L7331" s="1063"/>
    </row>
    <row r="7332" spans="5:12" x14ac:dyDescent="0.2">
      <c r="E7332" s="1063"/>
      <c r="H7332" s="1066"/>
      <c r="I7332" s="1063"/>
      <c r="J7332" s="1063"/>
      <c r="K7332" s="1063"/>
      <c r="L7332" s="1063"/>
    </row>
    <row r="7333" spans="5:12" x14ac:dyDescent="0.2">
      <c r="E7333" s="1063"/>
      <c r="H7333" s="1066"/>
      <c r="I7333" s="1063"/>
      <c r="J7333" s="1063"/>
      <c r="K7333" s="1063"/>
      <c r="L7333" s="1063"/>
    </row>
    <row r="7334" spans="5:12" x14ac:dyDescent="0.2">
      <c r="E7334" s="1063"/>
      <c r="H7334" s="1066"/>
      <c r="I7334" s="1063"/>
      <c r="J7334" s="1063"/>
      <c r="K7334" s="1063"/>
      <c r="L7334" s="1063"/>
    </row>
    <row r="7335" spans="5:12" x14ac:dyDescent="0.2">
      <c r="E7335" s="1063"/>
      <c r="H7335" s="1066"/>
      <c r="I7335" s="1063"/>
      <c r="J7335" s="1063"/>
      <c r="K7335" s="1063"/>
      <c r="L7335" s="1063"/>
    </row>
    <row r="7336" spans="5:12" x14ac:dyDescent="0.2">
      <c r="E7336" s="1063"/>
      <c r="H7336" s="1066"/>
      <c r="I7336" s="1063"/>
      <c r="J7336" s="1063"/>
      <c r="K7336" s="1063"/>
      <c r="L7336" s="1063"/>
    </row>
    <row r="7337" spans="5:12" x14ac:dyDescent="0.2">
      <c r="E7337" s="1063"/>
      <c r="H7337" s="1066"/>
      <c r="I7337" s="1063"/>
      <c r="J7337" s="1063"/>
      <c r="K7337" s="1063"/>
      <c r="L7337" s="1063"/>
    </row>
    <row r="7338" spans="5:12" x14ac:dyDescent="0.2">
      <c r="E7338" s="1063"/>
      <c r="H7338" s="1066"/>
      <c r="I7338" s="1063"/>
      <c r="J7338" s="1063"/>
      <c r="K7338" s="1063"/>
      <c r="L7338" s="1063"/>
    </row>
    <row r="7339" spans="5:12" x14ac:dyDescent="0.2">
      <c r="E7339" s="1063"/>
      <c r="H7339" s="1066"/>
      <c r="I7339" s="1063"/>
      <c r="J7339" s="1063"/>
      <c r="K7339" s="1063"/>
      <c r="L7339" s="1063"/>
    </row>
    <row r="7340" spans="5:12" x14ac:dyDescent="0.2">
      <c r="E7340" s="1063"/>
      <c r="H7340" s="1066"/>
      <c r="I7340" s="1063"/>
      <c r="J7340" s="1063"/>
      <c r="K7340" s="1063"/>
      <c r="L7340" s="1063"/>
    </row>
    <row r="7341" spans="5:12" x14ac:dyDescent="0.2">
      <c r="E7341" s="1063"/>
      <c r="H7341" s="1066"/>
      <c r="I7341" s="1063"/>
      <c r="J7341" s="1063"/>
      <c r="K7341" s="1063"/>
      <c r="L7341" s="1063"/>
    </row>
    <row r="7342" spans="5:12" x14ac:dyDescent="0.2">
      <c r="E7342" s="1063"/>
      <c r="H7342" s="1066"/>
      <c r="I7342" s="1063"/>
      <c r="J7342" s="1063"/>
      <c r="K7342" s="1063"/>
      <c r="L7342" s="1063"/>
    </row>
    <row r="7343" spans="5:12" x14ac:dyDescent="0.2">
      <c r="E7343" s="1063"/>
      <c r="H7343" s="1066"/>
      <c r="I7343" s="1063"/>
      <c r="J7343" s="1063"/>
      <c r="K7343" s="1063"/>
      <c r="L7343" s="1063"/>
    </row>
    <row r="7344" spans="5:12" x14ac:dyDescent="0.2">
      <c r="E7344" s="1063"/>
      <c r="H7344" s="1066"/>
      <c r="I7344" s="1063"/>
      <c r="J7344" s="1063"/>
      <c r="K7344" s="1063"/>
      <c r="L7344" s="1063"/>
    </row>
    <row r="7345" spans="5:12" x14ac:dyDescent="0.2">
      <c r="E7345" s="1063"/>
      <c r="H7345" s="1066"/>
      <c r="I7345" s="1063"/>
      <c r="J7345" s="1063"/>
      <c r="K7345" s="1063"/>
      <c r="L7345" s="1063"/>
    </row>
    <row r="7346" spans="5:12" x14ac:dyDescent="0.2">
      <c r="E7346" s="1063"/>
      <c r="H7346" s="1066"/>
      <c r="I7346" s="1063"/>
      <c r="J7346" s="1063"/>
      <c r="K7346" s="1063"/>
      <c r="L7346" s="1063"/>
    </row>
    <row r="7347" spans="5:12" x14ac:dyDescent="0.2">
      <c r="E7347" s="1063"/>
      <c r="H7347" s="1066"/>
      <c r="I7347" s="1063"/>
      <c r="J7347" s="1063"/>
      <c r="K7347" s="1063"/>
      <c r="L7347" s="1063"/>
    </row>
    <row r="7348" spans="5:12" x14ac:dyDescent="0.2">
      <c r="E7348" s="1063"/>
      <c r="H7348" s="1066"/>
      <c r="I7348" s="1063"/>
      <c r="J7348" s="1063"/>
      <c r="K7348" s="1063"/>
      <c r="L7348" s="1063"/>
    </row>
    <row r="7349" spans="5:12" x14ac:dyDescent="0.2">
      <c r="E7349" s="1063"/>
      <c r="H7349" s="1066"/>
      <c r="I7349" s="1063"/>
      <c r="J7349" s="1063"/>
      <c r="K7349" s="1063"/>
      <c r="L7349" s="1063"/>
    </row>
    <row r="7350" spans="5:12" x14ac:dyDescent="0.2">
      <c r="E7350" s="1063"/>
      <c r="H7350" s="1066"/>
      <c r="I7350" s="1063"/>
      <c r="J7350" s="1063"/>
      <c r="K7350" s="1063"/>
      <c r="L7350" s="1063"/>
    </row>
    <row r="7351" spans="5:12" x14ac:dyDescent="0.2">
      <c r="E7351" s="1063"/>
      <c r="H7351" s="1066"/>
      <c r="I7351" s="1063"/>
      <c r="J7351" s="1063"/>
      <c r="K7351" s="1063"/>
      <c r="L7351" s="1063"/>
    </row>
    <row r="7352" spans="5:12" x14ac:dyDescent="0.2">
      <c r="E7352" s="1063"/>
      <c r="H7352" s="1066"/>
      <c r="I7352" s="1063"/>
      <c r="J7352" s="1063"/>
      <c r="K7352" s="1063"/>
      <c r="L7352" s="1063"/>
    </row>
    <row r="7353" spans="5:12" x14ac:dyDescent="0.2">
      <c r="E7353" s="1063"/>
      <c r="H7353" s="1066"/>
      <c r="I7353" s="1063"/>
      <c r="J7353" s="1063"/>
      <c r="K7353" s="1063"/>
      <c r="L7353" s="1063"/>
    </row>
    <row r="7354" spans="5:12" x14ac:dyDescent="0.2">
      <c r="E7354" s="1063"/>
      <c r="H7354" s="1066"/>
      <c r="I7354" s="1063"/>
      <c r="J7354" s="1063"/>
      <c r="K7354" s="1063"/>
      <c r="L7354" s="1063"/>
    </row>
    <row r="7355" spans="5:12" x14ac:dyDescent="0.2">
      <c r="E7355" s="1063"/>
      <c r="H7355" s="1066"/>
      <c r="I7355" s="1063"/>
      <c r="J7355" s="1063"/>
      <c r="K7355" s="1063"/>
      <c r="L7355" s="1063"/>
    </row>
    <row r="7356" spans="5:12" x14ac:dyDescent="0.2">
      <c r="E7356" s="1063"/>
      <c r="H7356" s="1066"/>
      <c r="I7356" s="1063"/>
      <c r="J7356" s="1063"/>
      <c r="K7356" s="1063"/>
      <c r="L7356" s="1063"/>
    </row>
    <row r="7357" spans="5:12" x14ac:dyDescent="0.2">
      <c r="E7357" s="1063"/>
      <c r="H7357" s="1066"/>
      <c r="I7357" s="1063"/>
      <c r="J7357" s="1063"/>
      <c r="K7357" s="1063"/>
      <c r="L7357" s="1063"/>
    </row>
    <row r="7358" spans="5:12" x14ac:dyDescent="0.2">
      <c r="E7358" s="1063"/>
      <c r="H7358" s="1066"/>
      <c r="I7358" s="1063"/>
      <c r="J7358" s="1063"/>
      <c r="K7358" s="1063"/>
      <c r="L7358" s="1063"/>
    </row>
    <row r="7359" spans="5:12" x14ac:dyDescent="0.2">
      <c r="E7359" s="1063"/>
      <c r="H7359" s="1066"/>
      <c r="I7359" s="1063"/>
      <c r="J7359" s="1063"/>
      <c r="K7359" s="1063"/>
      <c r="L7359" s="1063"/>
    </row>
    <row r="7360" spans="5:12" x14ac:dyDescent="0.2">
      <c r="E7360" s="1063"/>
      <c r="H7360" s="1066"/>
      <c r="I7360" s="1063"/>
      <c r="J7360" s="1063"/>
      <c r="K7360" s="1063"/>
      <c r="L7360" s="1063"/>
    </row>
    <row r="7361" spans="5:12" x14ac:dyDescent="0.2">
      <c r="E7361" s="1063"/>
      <c r="H7361" s="1066"/>
      <c r="I7361" s="1063"/>
      <c r="J7361" s="1063"/>
      <c r="K7361" s="1063"/>
      <c r="L7361" s="1063"/>
    </row>
    <row r="7362" spans="5:12" x14ac:dyDescent="0.2">
      <c r="E7362" s="1063"/>
      <c r="H7362" s="1066"/>
      <c r="I7362" s="1063"/>
      <c r="J7362" s="1063"/>
      <c r="K7362" s="1063"/>
      <c r="L7362" s="1063"/>
    </row>
    <row r="7363" spans="5:12" x14ac:dyDescent="0.2">
      <c r="E7363" s="1063"/>
      <c r="H7363" s="1066"/>
      <c r="I7363" s="1063"/>
      <c r="J7363" s="1063"/>
      <c r="K7363" s="1063"/>
      <c r="L7363" s="1063"/>
    </row>
    <row r="7364" spans="5:12" x14ac:dyDescent="0.2">
      <c r="E7364" s="1063"/>
      <c r="H7364" s="1066"/>
      <c r="I7364" s="1063"/>
      <c r="J7364" s="1063"/>
      <c r="K7364" s="1063"/>
      <c r="L7364" s="1063"/>
    </row>
    <row r="7365" spans="5:12" x14ac:dyDescent="0.2">
      <c r="E7365" s="1063"/>
      <c r="H7365" s="1066"/>
      <c r="I7365" s="1063"/>
      <c r="J7365" s="1063"/>
      <c r="K7365" s="1063"/>
      <c r="L7365" s="1063"/>
    </row>
    <row r="7366" spans="5:12" x14ac:dyDescent="0.2">
      <c r="E7366" s="1063"/>
      <c r="H7366" s="1066"/>
      <c r="I7366" s="1063"/>
      <c r="J7366" s="1063"/>
      <c r="K7366" s="1063"/>
      <c r="L7366" s="1063"/>
    </row>
    <row r="7367" spans="5:12" x14ac:dyDescent="0.2">
      <c r="E7367" s="1063"/>
      <c r="H7367" s="1066"/>
      <c r="I7367" s="1063"/>
      <c r="J7367" s="1063"/>
      <c r="K7367" s="1063"/>
      <c r="L7367" s="1063"/>
    </row>
    <row r="7368" spans="5:12" x14ac:dyDescent="0.2">
      <c r="E7368" s="1063"/>
      <c r="H7368" s="1066"/>
      <c r="I7368" s="1063"/>
      <c r="J7368" s="1063"/>
      <c r="K7368" s="1063"/>
      <c r="L7368" s="1063"/>
    </row>
    <row r="7369" spans="5:12" x14ac:dyDescent="0.2">
      <c r="E7369" s="1063"/>
      <c r="H7369" s="1066"/>
      <c r="I7369" s="1063"/>
      <c r="J7369" s="1063"/>
      <c r="K7369" s="1063"/>
      <c r="L7369" s="1063"/>
    </row>
    <row r="7370" spans="5:12" x14ac:dyDescent="0.2">
      <c r="E7370" s="1063"/>
      <c r="H7370" s="1066"/>
      <c r="I7370" s="1063"/>
      <c r="J7370" s="1063"/>
      <c r="K7370" s="1063"/>
      <c r="L7370" s="1063"/>
    </row>
    <row r="7371" spans="5:12" x14ac:dyDescent="0.2">
      <c r="E7371" s="1063"/>
      <c r="H7371" s="1066"/>
      <c r="I7371" s="1063"/>
      <c r="J7371" s="1063"/>
      <c r="K7371" s="1063"/>
      <c r="L7371" s="1063"/>
    </row>
    <row r="7372" spans="5:12" x14ac:dyDescent="0.2">
      <c r="E7372" s="1063"/>
      <c r="H7372" s="1066"/>
      <c r="I7372" s="1063"/>
      <c r="J7372" s="1063"/>
      <c r="K7372" s="1063"/>
      <c r="L7372" s="1063"/>
    </row>
    <row r="7373" spans="5:12" x14ac:dyDescent="0.2">
      <c r="E7373" s="1063"/>
      <c r="H7373" s="1066"/>
      <c r="I7373" s="1063"/>
      <c r="J7373" s="1063"/>
      <c r="K7373" s="1063"/>
      <c r="L7373" s="1063"/>
    </row>
    <row r="7374" spans="5:12" x14ac:dyDescent="0.2">
      <c r="E7374" s="1063"/>
      <c r="H7374" s="1066"/>
      <c r="I7374" s="1063"/>
      <c r="J7374" s="1063"/>
      <c r="K7374" s="1063"/>
      <c r="L7374" s="1063"/>
    </row>
    <row r="7375" spans="5:12" x14ac:dyDescent="0.2">
      <c r="E7375" s="1063"/>
      <c r="H7375" s="1066"/>
      <c r="I7375" s="1063"/>
      <c r="J7375" s="1063"/>
      <c r="K7375" s="1063"/>
      <c r="L7375" s="1063"/>
    </row>
    <row r="7376" spans="5:12" x14ac:dyDescent="0.2">
      <c r="E7376" s="1063"/>
      <c r="H7376" s="1066"/>
      <c r="I7376" s="1063"/>
      <c r="J7376" s="1063"/>
      <c r="K7376" s="1063"/>
      <c r="L7376" s="1063"/>
    </row>
    <row r="7377" spans="5:12" x14ac:dyDescent="0.2">
      <c r="E7377" s="1063"/>
      <c r="H7377" s="1066"/>
      <c r="I7377" s="1063"/>
      <c r="J7377" s="1063"/>
      <c r="K7377" s="1063"/>
      <c r="L7377" s="1063"/>
    </row>
    <row r="7378" spans="5:12" x14ac:dyDescent="0.2">
      <c r="E7378" s="1063"/>
      <c r="H7378" s="1066"/>
      <c r="I7378" s="1063"/>
      <c r="J7378" s="1063"/>
      <c r="K7378" s="1063"/>
      <c r="L7378" s="1063"/>
    </row>
    <row r="7379" spans="5:12" x14ac:dyDescent="0.2">
      <c r="E7379" s="1063"/>
      <c r="H7379" s="1066"/>
      <c r="I7379" s="1063"/>
      <c r="J7379" s="1063"/>
      <c r="K7379" s="1063"/>
      <c r="L7379" s="1063"/>
    </row>
    <row r="7380" spans="5:12" x14ac:dyDescent="0.2">
      <c r="E7380" s="1063"/>
      <c r="H7380" s="1066"/>
      <c r="I7380" s="1063"/>
      <c r="J7380" s="1063"/>
      <c r="K7380" s="1063"/>
      <c r="L7380" s="1063"/>
    </row>
    <row r="7381" spans="5:12" x14ac:dyDescent="0.2">
      <c r="E7381" s="1063"/>
      <c r="H7381" s="1066"/>
      <c r="I7381" s="1063"/>
      <c r="J7381" s="1063"/>
      <c r="K7381" s="1063"/>
      <c r="L7381" s="1063"/>
    </row>
    <row r="7382" spans="5:12" x14ac:dyDescent="0.2">
      <c r="E7382" s="1063"/>
      <c r="H7382" s="1066"/>
      <c r="I7382" s="1063"/>
      <c r="J7382" s="1063"/>
      <c r="K7382" s="1063"/>
      <c r="L7382" s="1063"/>
    </row>
    <row r="7383" spans="5:12" x14ac:dyDescent="0.2">
      <c r="E7383" s="1063"/>
      <c r="H7383" s="1066"/>
      <c r="I7383" s="1063"/>
      <c r="J7383" s="1063"/>
      <c r="K7383" s="1063"/>
      <c r="L7383" s="1063"/>
    </row>
    <row r="7384" spans="5:12" x14ac:dyDescent="0.2">
      <c r="E7384" s="1063"/>
      <c r="H7384" s="1066"/>
      <c r="I7384" s="1063"/>
      <c r="J7384" s="1063"/>
      <c r="K7384" s="1063"/>
      <c r="L7384" s="1063"/>
    </row>
    <row r="7385" spans="5:12" x14ac:dyDescent="0.2">
      <c r="E7385" s="1063"/>
      <c r="H7385" s="1066"/>
      <c r="I7385" s="1063"/>
      <c r="J7385" s="1063"/>
      <c r="K7385" s="1063"/>
      <c r="L7385" s="1063"/>
    </row>
    <row r="7386" spans="5:12" x14ac:dyDescent="0.2">
      <c r="E7386" s="1063"/>
      <c r="H7386" s="1066"/>
      <c r="I7386" s="1063"/>
      <c r="J7386" s="1063"/>
      <c r="K7386" s="1063"/>
      <c r="L7386" s="1063"/>
    </row>
    <row r="7387" spans="5:12" x14ac:dyDescent="0.2">
      <c r="E7387" s="1063"/>
      <c r="H7387" s="1066"/>
      <c r="I7387" s="1063"/>
      <c r="J7387" s="1063"/>
      <c r="K7387" s="1063"/>
      <c r="L7387" s="1063"/>
    </row>
    <row r="7388" spans="5:12" x14ac:dyDescent="0.2">
      <c r="E7388" s="1063"/>
      <c r="H7388" s="1066"/>
      <c r="I7388" s="1063"/>
      <c r="J7388" s="1063"/>
      <c r="K7388" s="1063"/>
      <c r="L7388" s="1063"/>
    </row>
    <row r="7389" spans="5:12" x14ac:dyDescent="0.2">
      <c r="E7389" s="1063"/>
      <c r="H7389" s="1066"/>
      <c r="I7389" s="1063"/>
      <c r="J7389" s="1063"/>
      <c r="K7389" s="1063"/>
      <c r="L7389" s="1063"/>
    </row>
    <row r="7390" spans="5:12" x14ac:dyDescent="0.2">
      <c r="E7390" s="1063"/>
      <c r="H7390" s="1066"/>
      <c r="I7390" s="1063"/>
      <c r="J7390" s="1063"/>
      <c r="K7390" s="1063"/>
      <c r="L7390" s="1063"/>
    </row>
    <row r="7391" spans="5:12" x14ac:dyDescent="0.2">
      <c r="E7391" s="1063"/>
      <c r="H7391" s="1066"/>
      <c r="I7391" s="1063"/>
      <c r="J7391" s="1063"/>
      <c r="K7391" s="1063"/>
      <c r="L7391" s="1063"/>
    </row>
    <row r="7392" spans="5:12" x14ac:dyDescent="0.2">
      <c r="E7392" s="1063"/>
      <c r="H7392" s="1066"/>
      <c r="I7392" s="1063"/>
      <c r="J7392" s="1063"/>
      <c r="K7392" s="1063"/>
      <c r="L7392" s="1063"/>
    </row>
    <row r="7393" spans="5:12" x14ac:dyDescent="0.2">
      <c r="E7393" s="1063"/>
      <c r="H7393" s="1066"/>
      <c r="I7393" s="1063"/>
      <c r="J7393" s="1063"/>
      <c r="K7393" s="1063"/>
      <c r="L7393" s="1063"/>
    </row>
    <row r="7394" spans="5:12" x14ac:dyDescent="0.2">
      <c r="E7394" s="1063"/>
      <c r="H7394" s="1066"/>
      <c r="I7394" s="1063"/>
      <c r="J7394" s="1063"/>
      <c r="K7394" s="1063"/>
      <c r="L7394" s="1063"/>
    </row>
    <row r="7395" spans="5:12" x14ac:dyDescent="0.2">
      <c r="E7395" s="1063"/>
      <c r="H7395" s="1066"/>
      <c r="I7395" s="1063"/>
      <c r="J7395" s="1063"/>
      <c r="K7395" s="1063"/>
      <c r="L7395" s="1063"/>
    </row>
    <row r="7396" spans="5:12" x14ac:dyDescent="0.2">
      <c r="E7396" s="1063"/>
      <c r="H7396" s="1066"/>
      <c r="I7396" s="1063"/>
      <c r="J7396" s="1063"/>
      <c r="K7396" s="1063"/>
      <c r="L7396" s="1063"/>
    </row>
    <row r="7397" spans="5:12" x14ac:dyDescent="0.2">
      <c r="E7397" s="1063"/>
      <c r="H7397" s="1066"/>
      <c r="I7397" s="1063"/>
      <c r="J7397" s="1063"/>
      <c r="K7397" s="1063"/>
      <c r="L7397" s="1063"/>
    </row>
    <row r="7398" spans="5:12" x14ac:dyDescent="0.2">
      <c r="E7398" s="1063"/>
      <c r="H7398" s="1066"/>
      <c r="I7398" s="1063"/>
      <c r="J7398" s="1063"/>
      <c r="K7398" s="1063"/>
      <c r="L7398" s="1063"/>
    </row>
    <row r="7399" spans="5:12" x14ac:dyDescent="0.2">
      <c r="E7399" s="1063"/>
      <c r="H7399" s="1066"/>
      <c r="I7399" s="1063"/>
      <c r="J7399" s="1063"/>
      <c r="K7399" s="1063"/>
      <c r="L7399" s="1063"/>
    </row>
    <row r="7400" spans="5:12" x14ac:dyDescent="0.2">
      <c r="E7400" s="1063"/>
      <c r="H7400" s="1066"/>
      <c r="I7400" s="1063"/>
      <c r="J7400" s="1063"/>
      <c r="K7400" s="1063"/>
      <c r="L7400" s="1063"/>
    </row>
    <row r="7401" spans="5:12" x14ac:dyDescent="0.2">
      <c r="E7401" s="1063"/>
      <c r="H7401" s="1066"/>
      <c r="I7401" s="1063"/>
      <c r="J7401" s="1063"/>
      <c r="K7401" s="1063"/>
      <c r="L7401" s="1063"/>
    </row>
    <row r="7402" spans="5:12" x14ac:dyDescent="0.2">
      <c r="E7402" s="1063"/>
      <c r="H7402" s="1066"/>
      <c r="I7402" s="1063"/>
      <c r="J7402" s="1063"/>
      <c r="K7402" s="1063"/>
      <c r="L7402" s="1063"/>
    </row>
    <row r="7403" spans="5:12" x14ac:dyDescent="0.2">
      <c r="E7403" s="1063"/>
      <c r="H7403" s="1066"/>
      <c r="I7403" s="1063"/>
      <c r="J7403" s="1063"/>
      <c r="K7403" s="1063"/>
      <c r="L7403" s="1063"/>
    </row>
    <row r="7404" spans="5:12" x14ac:dyDescent="0.2">
      <c r="E7404" s="1063"/>
      <c r="H7404" s="1066"/>
      <c r="I7404" s="1063"/>
      <c r="J7404" s="1063"/>
      <c r="K7404" s="1063"/>
      <c r="L7404" s="1063"/>
    </row>
    <row r="7405" spans="5:12" x14ac:dyDescent="0.2">
      <c r="E7405" s="1063"/>
      <c r="H7405" s="1066"/>
      <c r="I7405" s="1063"/>
      <c r="J7405" s="1063"/>
      <c r="K7405" s="1063"/>
      <c r="L7405" s="1063"/>
    </row>
    <row r="7406" spans="5:12" x14ac:dyDescent="0.2">
      <c r="E7406" s="1063"/>
      <c r="H7406" s="1066"/>
      <c r="I7406" s="1063"/>
      <c r="J7406" s="1063"/>
      <c r="K7406" s="1063"/>
      <c r="L7406" s="1063"/>
    </row>
    <row r="7407" spans="5:12" x14ac:dyDescent="0.2">
      <c r="E7407" s="1063"/>
      <c r="H7407" s="1066"/>
      <c r="I7407" s="1063"/>
      <c r="J7407" s="1063"/>
      <c r="K7407" s="1063"/>
      <c r="L7407" s="1063"/>
    </row>
    <row r="7408" spans="5:12" x14ac:dyDescent="0.2">
      <c r="E7408" s="1063"/>
      <c r="H7408" s="1066"/>
      <c r="I7408" s="1063"/>
      <c r="J7408" s="1063"/>
      <c r="K7408" s="1063"/>
      <c r="L7408" s="1063"/>
    </row>
    <row r="7409" spans="5:12" x14ac:dyDescent="0.2">
      <c r="E7409" s="1063"/>
      <c r="H7409" s="1066"/>
      <c r="I7409" s="1063"/>
      <c r="J7409" s="1063"/>
      <c r="K7409" s="1063"/>
      <c r="L7409" s="1063"/>
    </row>
    <row r="7410" spans="5:12" x14ac:dyDescent="0.2">
      <c r="E7410" s="1063"/>
      <c r="H7410" s="1066"/>
      <c r="I7410" s="1063"/>
      <c r="J7410" s="1063"/>
      <c r="K7410" s="1063"/>
      <c r="L7410" s="1063"/>
    </row>
    <row r="7411" spans="5:12" x14ac:dyDescent="0.2">
      <c r="E7411" s="1063"/>
      <c r="H7411" s="1066"/>
      <c r="I7411" s="1063"/>
      <c r="J7411" s="1063"/>
      <c r="K7411" s="1063"/>
      <c r="L7411" s="1063"/>
    </row>
    <row r="7412" spans="5:12" x14ac:dyDescent="0.2">
      <c r="E7412" s="1063"/>
      <c r="H7412" s="1066"/>
      <c r="I7412" s="1063"/>
      <c r="J7412" s="1063"/>
      <c r="K7412" s="1063"/>
      <c r="L7412" s="1063"/>
    </row>
    <row r="7413" spans="5:12" x14ac:dyDescent="0.2">
      <c r="E7413" s="1063"/>
      <c r="H7413" s="1066"/>
      <c r="I7413" s="1063"/>
      <c r="J7413" s="1063"/>
      <c r="K7413" s="1063"/>
      <c r="L7413" s="1063"/>
    </row>
    <row r="7414" spans="5:12" x14ac:dyDescent="0.2">
      <c r="E7414" s="1063"/>
      <c r="H7414" s="1066"/>
      <c r="I7414" s="1063"/>
      <c r="J7414" s="1063"/>
      <c r="K7414" s="1063"/>
      <c r="L7414" s="1063"/>
    </row>
    <row r="7415" spans="5:12" x14ac:dyDescent="0.2">
      <c r="E7415" s="1063"/>
      <c r="H7415" s="1066"/>
      <c r="I7415" s="1063"/>
      <c r="J7415" s="1063"/>
      <c r="K7415" s="1063"/>
      <c r="L7415" s="1063"/>
    </row>
    <row r="7416" spans="5:12" x14ac:dyDescent="0.2">
      <c r="E7416" s="1063"/>
      <c r="H7416" s="1066"/>
      <c r="I7416" s="1063"/>
      <c r="J7416" s="1063"/>
      <c r="K7416" s="1063"/>
      <c r="L7416" s="1063"/>
    </row>
    <row r="7417" spans="5:12" x14ac:dyDescent="0.2">
      <c r="E7417" s="1063"/>
      <c r="H7417" s="1066"/>
      <c r="I7417" s="1063"/>
      <c r="J7417" s="1063"/>
      <c r="K7417" s="1063"/>
      <c r="L7417" s="1063"/>
    </row>
    <row r="7418" spans="5:12" x14ac:dyDescent="0.2">
      <c r="E7418" s="1063"/>
      <c r="H7418" s="1066"/>
      <c r="I7418" s="1063"/>
      <c r="J7418" s="1063"/>
      <c r="K7418" s="1063"/>
      <c r="L7418" s="1063"/>
    </row>
    <row r="7419" spans="5:12" x14ac:dyDescent="0.2">
      <c r="E7419" s="1063"/>
      <c r="H7419" s="1066"/>
      <c r="I7419" s="1063"/>
      <c r="J7419" s="1063"/>
      <c r="K7419" s="1063"/>
      <c r="L7419" s="1063"/>
    </row>
    <row r="7420" spans="5:12" x14ac:dyDescent="0.2">
      <c r="E7420" s="1063"/>
      <c r="H7420" s="1066"/>
      <c r="I7420" s="1063"/>
      <c r="J7420" s="1063"/>
      <c r="K7420" s="1063"/>
      <c r="L7420" s="1063"/>
    </row>
    <row r="7421" spans="5:12" x14ac:dyDescent="0.2">
      <c r="E7421" s="1063"/>
      <c r="H7421" s="1066"/>
      <c r="I7421" s="1063"/>
      <c r="J7421" s="1063"/>
      <c r="K7421" s="1063"/>
      <c r="L7421" s="1063"/>
    </row>
    <row r="7422" spans="5:12" x14ac:dyDescent="0.2">
      <c r="E7422" s="1063"/>
      <c r="H7422" s="1066"/>
      <c r="I7422" s="1063"/>
      <c r="J7422" s="1063"/>
      <c r="K7422" s="1063"/>
      <c r="L7422" s="1063"/>
    </row>
    <row r="7423" spans="5:12" x14ac:dyDescent="0.2">
      <c r="E7423" s="1063"/>
      <c r="H7423" s="1066"/>
      <c r="I7423" s="1063"/>
      <c r="J7423" s="1063"/>
      <c r="K7423" s="1063"/>
      <c r="L7423" s="1063"/>
    </row>
    <row r="7424" spans="5:12" x14ac:dyDescent="0.2">
      <c r="E7424" s="1063"/>
      <c r="H7424" s="1066"/>
      <c r="I7424" s="1063"/>
      <c r="J7424" s="1063"/>
      <c r="K7424" s="1063"/>
      <c r="L7424" s="1063"/>
    </row>
    <row r="7425" spans="5:12" x14ac:dyDescent="0.2">
      <c r="E7425" s="1063"/>
      <c r="H7425" s="1066"/>
      <c r="I7425" s="1063"/>
      <c r="J7425" s="1063"/>
      <c r="K7425" s="1063"/>
      <c r="L7425" s="1063"/>
    </row>
    <row r="7426" spans="5:12" x14ac:dyDescent="0.2">
      <c r="E7426" s="1063"/>
      <c r="H7426" s="1066"/>
      <c r="I7426" s="1063"/>
      <c r="J7426" s="1063"/>
      <c r="K7426" s="1063"/>
      <c r="L7426" s="1063"/>
    </row>
    <row r="7427" spans="5:12" x14ac:dyDescent="0.2">
      <c r="E7427" s="1063"/>
      <c r="H7427" s="1066"/>
      <c r="I7427" s="1063"/>
      <c r="J7427" s="1063"/>
      <c r="K7427" s="1063"/>
      <c r="L7427" s="1063"/>
    </row>
    <row r="7428" spans="5:12" x14ac:dyDescent="0.2">
      <c r="E7428" s="1063"/>
      <c r="H7428" s="1066"/>
      <c r="I7428" s="1063"/>
      <c r="J7428" s="1063"/>
      <c r="K7428" s="1063"/>
      <c r="L7428" s="1063"/>
    </row>
    <row r="7429" spans="5:12" x14ac:dyDescent="0.2">
      <c r="E7429" s="1063"/>
      <c r="H7429" s="1066"/>
      <c r="I7429" s="1063"/>
      <c r="J7429" s="1063"/>
      <c r="K7429" s="1063"/>
      <c r="L7429" s="1063"/>
    </row>
    <row r="7430" spans="5:12" x14ac:dyDescent="0.2">
      <c r="E7430" s="1063"/>
      <c r="H7430" s="1066"/>
      <c r="I7430" s="1063"/>
      <c r="J7430" s="1063"/>
      <c r="K7430" s="1063"/>
      <c r="L7430" s="1063"/>
    </row>
    <row r="7431" spans="5:12" x14ac:dyDescent="0.2">
      <c r="E7431" s="1063"/>
      <c r="H7431" s="1066"/>
      <c r="I7431" s="1063"/>
      <c r="J7431" s="1063"/>
      <c r="K7431" s="1063"/>
      <c r="L7431" s="1063"/>
    </row>
    <row r="7432" spans="5:12" x14ac:dyDescent="0.2">
      <c r="E7432" s="1063"/>
      <c r="H7432" s="1066"/>
      <c r="I7432" s="1063"/>
      <c r="J7432" s="1063"/>
      <c r="K7432" s="1063"/>
      <c r="L7432" s="1063"/>
    </row>
    <row r="7433" spans="5:12" x14ac:dyDescent="0.2">
      <c r="E7433" s="1063"/>
      <c r="H7433" s="1066"/>
      <c r="I7433" s="1063"/>
      <c r="J7433" s="1063"/>
      <c r="K7433" s="1063"/>
      <c r="L7433" s="1063"/>
    </row>
    <row r="7434" spans="5:12" x14ac:dyDescent="0.2">
      <c r="E7434" s="1063"/>
      <c r="H7434" s="1066"/>
      <c r="I7434" s="1063"/>
      <c r="J7434" s="1063"/>
      <c r="K7434" s="1063"/>
      <c r="L7434" s="1063"/>
    </row>
    <row r="7435" spans="5:12" x14ac:dyDescent="0.2">
      <c r="E7435" s="1063"/>
      <c r="H7435" s="1066"/>
      <c r="I7435" s="1063"/>
      <c r="J7435" s="1063"/>
      <c r="K7435" s="1063"/>
      <c r="L7435" s="1063"/>
    </row>
    <row r="7436" spans="5:12" x14ac:dyDescent="0.2">
      <c r="E7436" s="1063"/>
      <c r="H7436" s="1066"/>
      <c r="I7436" s="1063"/>
      <c r="J7436" s="1063"/>
      <c r="K7436" s="1063"/>
      <c r="L7436" s="1063"/>
    </row>
    <row r="7437" spans="5:12" x14ac:dyDescent="0.2">
      <c r="E7437" s="1063"/>
      <c r="H7437" s="1066"/>
      <c r="I7437" s="1063"/>
      <c r="J7437" s="1063"/>
      <c r="K7437" s="1063"/>
      <c r="L7437" s="1063"/>
    </row>
    <row r="7438" spans="5:12" x14ac:dyDescent="0.2">
      <c r="E7438" s="1063"/>
      <c r="H7438" s="1066"/>
      <c r="I7438" s="1063"/>
      <c r="J7438" s="1063"/>
      <c r="K7438" s="1063"/>
      <c r="L7438" s="1063"/>
    </row>
    <row r="7439" spans="5:12" x14ac:dyDescent="0.2">
      <c r="E7439" s="1063"/>
      <c r="H7439" s="1066"/>
      <c r="I7439" s="1063"/>
      <c r="J7439" s="1063"/>
      <c r="K7439" s="1063"/>
      <c r="L7439" s="1063"/>
    </row>
    <row r="7440" spans="5:12" x14ac:dyDescent="0.2">
      <c r="E7440" s="1063"/>
      <c r="H7440" s="1066"/>
      <c r="I7440" s="1063"/>
      <c r="J7440" s="1063"/>
      <c r="K7440" s="1063"/>
      <c r="L7440" s="1063"/>
    </row>
    <row r="7441" spans="5:12" x14ac:dyDescent="0.2">
      <c r="E7441" s="1063"/>
      <c r="H7441" s="1066"/>
      <c r="I7441" s="1063"/>
      <c r="J7441" s="1063"/>
      <c r="K7441" s="1063"/>
      <c r="L7441" s="1063"/>
    </row>
    <row r="7442" spans="5:12" x14ac:dyDescent="0.2">
      <c r="E7442" s="1063"/>
      <c r="H7442" s="1066"/>
      <c r="I7442" s="1063"/>
      <c r="J7442" s="1063"/>
      <c r="K7442" s="1063"/>
      <c r="L7442" s="1063"/>
    </row>
    <row r="7443" spans="5:12" x14ac:dyDescent="0.2">
      <c r="E7443" s="1063"/>
      <c r="H7443" s="1066"/>
      <c r="I7443" s="1063"/>
      <c r="J7443" s="1063"/>
      <c r="K7443" s="1063"/>
      <c r="L7443" s="1063"/>
    </row>
    <row r="7444" spans="5:12" x14ac:dyDescent="0.2">
      <c r="E7444" s="1063"/>
      <c r="H7444" s="1066"/>
      <c r="I7444" s="1063"/>
      <c r="J7444" s="1063"/>
      <c r="K7444" s="1063"/>
      <c r="L7444" s="1063"/>
    </row>
    <row r="7445" spans="5:12" x14ac:dyDescent="0.2">
      <c r="E7445" s="1063"/>
      <c r="H7445" s="1066"/>
      <c r="I7445" s="1063"/>
      <c r="J7445" s="1063"/>
      <c r="K7445" s="1063"/>
      <c r="L7445" s="1063"/>
    </row>
    <row r="7446" spans="5:12" x14ac:dyDescent="0.2">
      <c r="E7446" s="1063"/>
      <c r="H7446" s="1066"/>
      <c r="I7446" s="1063"/>
      <c r="J7446" s="1063"/>
      <c r="K7446" s="1063"/>
      <c r="L7446" s="1063"/>
    </row>
    <row r="7447" spans="5:12" x14ac:dyDescent="0.2">
      <c r="E7447" s="1063"/>
      <c r="H7447" s="1066"/>
      <c r="I7447" s="1063"/>
      <c r="J7447" s="1063"/>
      <c r="K7447" s="1063"/>
      <c r="L7447" s="1063"/>
    </row>
    <row r="7448" spans="5:12" x14ac:dyDescent="0.2">
      <c r="E7448" s="1063"/>
      <c r="H7448" s="1066"/>
      <c r="I7448" s="1063"/>
      <c r="J7448" s="1063"/>
      <c r="K7448" s="1063"/>
      <c r="L7448" s="1063"/>
    </row>
    <row r="7449" spans="5:12" x14ac:dyDescent="0.2">
      <c r="E7449" s="1063"/>
      <c r="H7449" s="1066"/>
      <c r="I7449" s="1063"/>
      <c r="J7449" s="1063"/>
      <c r="K7449" s="1063"/>
      <c r="L7449" s="1063"/>
    </row>
    <row r="7450" spans="5:12" x14ac:dyDescent="0.2">
      <c r="E7450" s="1063"/>
      <c r="H7450" s="1066"/>
      <c r="I7450" s="1063"/>
      <c r="J7450" s="1063"/>
      <c r="K7450" s="1063"/>
      <c r="L7450" s="1063"/>
    </row>
    <row r="7451" spans="5:12" x14ac:dyDescent="0.2">
      <c r="E7451" s="1063"/>
      <c r="H7451" s="1066"/>
      <c r="I7451" s="1063"/>
      <c r="J7451" s="1063"/>
      <c r="K7451" s="1063"/>
      <c r="L7451" s="1063"/>
    </row>
    <row r="7452" spans="5:12" x14ac:dyDescent="0.2">
      <c r="E7452" s="1063"/>
      <c r="H7452" s="1066"/>
      <c r="I7452" s="1063"/>
      <c r="J7452" s="1063"/>
      <c r="K7452" s="1063"/>
      <c r="L7452" s="1063"/>
    </row>
    <row r="7453" spans="5:12" x14ac:dyDescent="0.2">
      <c r="E7453" s="1063"/>
      <c r="H7453" s="1066"/>
      <c r="I7453" s="1063"/>
      <c r="J7453" s="1063"/>
      <c r="K7453" s="1063"/>
      <c r="L7453" s="1063"/>
    </row>
    <row r="7454" spans="5:12" x14ac:dyDescent="0.2">
      <c r="E7454" s="1063"/>
      <c r="H7454" s="1066"/>
      <c r="I7454" s="1063"/>
      <c r="J7454" s="1063"/>
      <c r="K7454" s="1063"/>
      <c r="L7454" s="1063"/>
    </row>
    <row r="7455" spans="5:12" x14ac:dyDescent="0.2">
      <c r="E7455" s="1063"/>
      <c r="H7455" s="1066"/>
      <c r="I7455" s="1063"/>
      <c r="J7455" s="1063"/>
      <c r="K7455" s="1063"/>
      <c r="L7455" s="1063"/>
    </row>
    <row r="7456" spans="5:12" x14ac:dyDescent="0.2">
      <c r="E7456" s="1063"/>
      <c r="H7456" s="1066"/>
      <c r="I7456" s="1063"/>
      <c r="J7456" s="1063"/>
      <c r="K7456" s="1063"/>
      <c r="L7456" s="1063"/>
    </row>
    <row r="7457" spans="5:12" x14ac:dyDescent="0.2">
      <c r="E7457" s="1063"/>
      <c r="H7457" s="1066"/>
      <c r="I7457" s="1063"/>
      <c r="J7457" s="1063"/>
      <c r="K7457" s="1063"/>
      <c r="L7457" s="1063"/>
    </row>
    <row r="7458" spans="5:12" x14ac:dyDescent="0.2">
      <c r="E7458" s="1063"/>
      <c r="H7458" s="1066"/>
      <c r="I7458" s="1063"/>
      <c r="J7458" s="1063"/>
      <c r="K7458" s="1063"/>
      <c r="L7458" s="1063"/>
    </row>
    <row r="7459" spans="5:12" x14ac:dyDescent="0.2">
      <c r="E7459" s="1063"/>
      <c r="H7459" s="1066"/>
      <c r="I7459" s="1063"/>
      <c r="J7459" s="1063"/>
      <c r="K7459" s="1063"/>
      <c r="L7459" s="1063"/>
    </row>
    <row r="7460" spans="5:12" x14ac:dyDescent="0.2">
      <c r="E7460" s="1063"/>
      <c r="H7460" s="1066"/>
      <c r="I7460" s="1063"/>
      <c r="J7460" s="1063"/>
      <c r="K7460" s="1063"/>
      <c r="L7460" s="1063"/>
    </row>
    <row r="7461" spans="5:12" x14ac:dyDescent="0.2">
      <c r="E7461" s="1063"/>
      <c r="H7461" s="1066"/>
      <c r="I7461" s="1063"/>
      <c r="J7461" s="1063"/>
      <c r="K7461" s="1063"/>
      <c r="L7461" s="1063"/>
    </row>
    <row r="7462" spans="5:12" x14ac:dyDescent="0.2">
      <c r="E7462" s="1063"/>
      <c r="H7462" s="1066"/>
      <c r="I7462" s="1063"/>
      <c r="J7462" s="1063"/>
      <c r="K7462" s="1063"/>
      <c r="L7462" s="1063"/>
    </row>
    <row r="7463" spans="5:12" x14ac:dyDescent="0.2">
      <c r="E7463" s="1063"/>
      <c r="H7463" s="1066"/>
      <c r="I7463" s="1063"/>
      <c r="J7463" s="1063"/>
      <c r="K7463" s="1063"/>
      <c r="L7463" s="1063"/>
    </row>
    <row r="7464" spans="5:12" x14ac:dyDescent="0.2">
      <c r="E7464" s="1063"/>
      <c r="H7464" s="1066"/>
      <c r="I7464" s="1063"/>
      <c r="J7464" s="1063"/>
      <c r="K7464" s="1063"/>
      <c r="L7464" s="1063"/>
    </row>
    <row r="7465" spans="5:12" x14ac:dyDescent="0.2">
      <c r="E7465" s="1063"/>
      <c r="H7465" s="1066"/>
      <c r="I7465" s="1063"/>
      <c r="J7465" s="1063"/>
      <c r="K7465" s="1063"/>
      <c r="L7465" s="1063"/>
    </row>
    <row r="7466" spans="5:12" x14ac:dyDescent="0.2">
      <c r="E7466" s="1063"/>
      <c r="H7466" s="1066"/>
      <c r="I7466" s="1063"/>
      <c r="J7466" s="1063"/>
      <c r="K7466" s="1063"/>
      <c r="L7466" s="1063"/>
    </row>
    <row r="7467" spans="5:12" x14ac:dyDescent="0.2">
      <c r="E7467" s="1063"/>
      <c r="H7467" s="1066"/>
      <c r="I7467" s="1063"/>
      <c r="J7467" s="1063"/>
      <c r="K7467" s="1063"/>
      <c r="L7467" s="1063"/>
    </row>
    <row r="7468" spans="5:12" x14ac:dyDescent="0.2">
      <c r="E7468" s="1063"/>
      <c r="H7468" s="1066"/>
      <c r="I7468" s="1063"/>
      <c r="J7468" s="1063"/>
      <c r="K7468" s="1063"/>
      <c r="L7468" s="1063"/>
    </row>
    <row r="7469" spans="5:12" x14ac:dyDescent="0.2">
      <c r="E7469" s="1063"/>
      <c r="H7469" s="1066"/>
      <c r="I7469" s="1063"/>
      <c r="J7469" s="1063"/>
      <c r="K7469" s="1063"/>
      <c r="L7469" s="1063"/>
    </row>
    <row r="7470" spans="5:12" x14ac:dyDescent="0.2">
      <c r="E7470" s="1063"/>
      <c r="H7470" s="1066"/>
      <c r="I7470" s="1063"/>
      <c r="J7470" s="1063"/>
      <c r="K7470" s="1063"/>
      <c r="L7470" s="1063"/>
    </row>
    <row r="7471" spans="5:12" x14ac:dyDescent="0.2">
      <c r="E7471" s="1063"/>
      <c r="H7471" s="1066"/>
      <c r="I7471" s="1063"/>
      <c r="J7471" s="1063"/>
      <c r="K7471" s="1063"/>
      <c r="L7471" s="1063"/>
    </row>
    <row r="7472" spans="5:12" x14ac:dyDescent="0.2">
      <c r="E7472" s="1063"/>
      <c r="H7472" s="1066"/>
      <c r="I7472" s="1063"/>
      <c r="J7472" s="1063"/>
      <c r="K7472" s="1063"/>
      <c r="L7472" s="1063"/>
    </row>
    <row r="7473" spans="5:12" x14ac:dyDescent="0.2">
      <c r="E7473" s="1063"/>
      <c r="H7473" s="1066"/>
      <c r="I7473" s="1063"/>
      <c r="J7473" s="1063"/>
      <c r="K7473" s="1063"/>
      <c r="L7473" s="1063"/>
    </row>
    <row r="7474" spans="5:12" x14ac:dyDescent="0.2">
      <c r="E7474" s="1063"/>
      <c r="H7474" s="1066"/>
      <c r="I7474" s="1063"/>
      <c r="J7474" s="1063"/>
      <c r="K7474" s="1063"/>
      <c r="L7474" s="1063"/>
    </row>
    <row r="7475" spans="5:12" x14ac:dyDescent="0.2">
      <c r="E7475" s="1063"/>
      <c r="H7475" s="1066"/>
      <c r="I7475" s="1063"/>
      <c r="J7475" s="1063"/>
      <c r="K7475" s="1063"/>
      <c r="L7475" s="1063"/>
    </row>
    <row r="7476" spans="5:12" x14ac:dyDescent="0.2">
      <c r="E7476" s="1063"/>
      <c r="H7476" s="1066"/>
      <c r="I7476" s="1063"/>
      <c r="J7476" s="1063"/>
      <c r="K7476" s="1063"/>
      <c r="L7476" s="1063"/>
    </row>
    <row r="7477" spans="5:12" x14ac:dyDescent="0.2">
      <c r="E7477" s="1063"/>
      <c r="H7477" s="1066"/>
      <c r="I7477" s="1063"/>
      <c r="J7477" s="1063"/>
      <c r="K7477" s="1063"/>
      <c r="L7477" s="1063"/>
    </row>
    <row r="7478" spans="5:12" x14ac:dyDescent="0.2">
      <c r="E7478" s="1063"/>
      <c r="H7478" s="1066"/>
      <c r="I7478" s="1063"/>
      <c r="J7478" s="1063"/>
      <c r="K7478" s="1063"/>
      <c r="L7478" s="1063"/>
    </row>
    <row r="7479" spans="5:12" x14ac:dyDescent="0.2">
      <c r="E7479" s="1063"/>
      <c r="H7479" s="1066"/>
      <c r="I7479" s="1063"/>
      <c r="J7479" s="1063"/>
      <c r="K7479" s="1063"/>
      <c r="L7479" s="1063"/>
    </row>
    <row r="7480" spans="5:12" x14ac:dyDescent="0.2">
      <c r="E7480" s="1063"/>
      <c r="H7480" s="1066"/>
      <c r="I7480" s="1063"/>
      <c r="J7480" s="1063"/>
      <c r="K7480" s="1063"/>
      <c r="L7480" s="1063"/>
    </row>
    <row r="7481" spans="5:12" x14ac:dyDescent="0.2">
      <c r="E7481" s="1063"/>
      <c r="H7481" s="1066"/>
      <c r="I7481" s="1063"/>
      <c r="J7481" s="1063"/>
      <c r="K7481" s="1063"/>
      <c r="L7481" s="1063"/>
    </row>
    <row r="7482" spans="5:12" x14ac:dyDescent="0.2">
      <c r="E7482" s="1063"/>
      <c r="H7482" s="1066"/>
      <c r="I7482" s="1063"/>
      <c r="J7482" s="1063"/>
      <c r="K7482" s="1063"/>
      <c r="L7482" s="1063"/>
    </row>
    <row r="7483" spans="5:12" x14ac:dyDescent="0.2">
      <c r="E7483" s="1063"/>
      <c r="H7483" s="1066"/>
      <c r="I7483" s="1063"/>
      <c r="J7483" s="1063"/>
      <c r="K7483" s="1063"/>
      <c r="L7483" s="1063"/>
    </row>
    <row r="7484" spans="5:12" x14ac:dyDescent="0.2">
      <c r="E7484" s="1063"/>
      <c r="H7484" s="1066"/>
      <c r="I7484" s="1063"/>
      <c r="J7484" s="1063"/>
      <c r="K7484" s="1063"/>
      <c r="L7484" s="1063"/>
    </row>
    <row r="7485" spans="5:12" x14ac:dyDescent="0.2">
      <c r="E7485" s="1063"/>
      <c r="H7485" s="1066"/>
      <c r="I7485" s="1063"/>
      <c r="J7485" s="1063"/>
      <c r="K7485" s="1063"/>
      <c r="L7485" s="1063"/>
    </row>
    <row r="7486" spans="5:12" x14ac:dyDescent="0.2">
      <c r="E7486" s="1063"/>
      <c r="H7486" s="1066"/>
      <c r="I7486" s="1063"/>
      <c r="J7486" s="1063"/>
      <c r="K7486" s="1063"/>
      <c r="L7486" s="1063"/>
    </row>
    <row r="7487" spans="5:12" x14ac:dyDescent="0.2">
      <c r="E7487" s="1063"/>
      <c r="H7487" s="1066"/>
      <c r="I7487" s="1063"/>
      <c r="J7487" s="1063"/>
      <c r="K7487" s="1063"/>
      <c r="L7487" s="1063"/>
    </row>
    <row r="7488" spans="5:12" x14ac:dyDescent="0.2">
      <c r="E7488" s="1063"/>
      <c r="H7488" s="1066"/>
      <c r="I7488" s="1063"/>
      <c r="J7488" s="1063"/>
      <c r="K7488" s="1063"/>
      <c r="L7488" s="1063"/>
    </row>
    <row r="7489" spans="5:12" x14ac:dyDescent="0.2">
      <c r="E7489" s="1063"/>
      <c r="H7489" s="1066"/>
      <c r="I7489" s="1063"/>
      <c r="J7489" s="1063"/>
      <c r="K7489" s="1063"/>
      <c r="L7489" s="1063"/>
    </row>
    <row r="7490" spans="5:12" x14ac:dyDescent="0.2">
      <c r="E7490" s="1063"/>
      <c r="H7490" s="1066"/>
      <c r="I7490" s="1063"/>
      <c r="J7490" s="1063"/>
      <c r="K7490" s="1063"/>
      <c r="L7490" s="1063"/>
    </row>
    <row r="7491" spans="5:12" x14ac:dyDescent="0.2">
      <c r="E7491" s="1063"/>
      <c r="H7491" s="1066"/>
      <c r="I7491" s="1063"/>
      <c r="J7491" s="1063"/>
      <c r="K7491" s="1063"/>
      <c r="L7491" s="1063"/>
    </row>
    <row r="7492" spans="5:12" x14ac:dyDescent="0.2">
      <c r="E7492" s="1063"/>
      <c r="H7492" s="1066"/>
      <c r="I7492" s="1063"/>
      <c r="J7492" s="1063"/>
      <c r="K7492" s="1063"/>
      <c r="L7492" s="1063"/>
    </row>
    <row r="7493" spans="5:12" x14ac:dyDescent="0.2">
      <c r="E7493" s="1063"/>
      <c r="H7493" s="1066"/>
      <c r="I7493" s="1063"/>
      <c r="J7493" s="1063"/>
      <c r="K7493" s="1063"/>
      <c r="L7493" s="1063"/>
    </row>
    <row r="7494" spans="5:12" x14ac:dyDescent="0.2">
      <c r="E7494" s="1063"/>
      <c r="H7494" s="1066"/>
      <c r="I7494" s="1063"/>
      <c r="J7494" s="1063"/>
      <c r="K7494" s="1063"/>
      <c r="L7494" s="1063"/>
    </row>
    <row r="7495" spans="5:12" x14ac:dyDescent="0.2">
      <c r="E7495" s="1063"/>
      <c r="H7495" s="1066"/>
      <c r="I7495" s="1063"/>
      <c r="J7495" s="1063"/>
      <c r="K7495" s="1063"/>
      <c r="L7495" s="1063"/>
    </row>
    <row r="7496" spans="5:12" x14ac:dyDescent="0.2">
      <c r="E7496" s="1063"/>
      <c r="H7496" s="1066"/>
      <c r="I7496" s="1063"/>
      <c r="J7496" s="1063"/>
      <c r="K7496" s="1063"/>
      <c r="L7496" s="1063"/>
    </row>
    <row r="7497" spans="5:12" x14ac:dyDescent="0.2">
      <c r="E7497" s="1063"/>
      <c r="H7497" s="1066"/>
      <c r="I7497" s="1063"/>
      <c r="J7497" s="1063"/>
      <c r="K7497" s="1063"/>
      <c r="L7497" s="1063"/>
    </row>
    <row r="7498" spans="5:12" x14ac:dyDescent="0.2">
      <c r="E7498" s="1063"/>
      <c r="H7498" s="1066"/>
      <c r="I7498" s="1063"/>
      <c r="J7498" s="1063"/>
      <c r="K7498" s="1063"/>
      <c r="L7498" s="1063"/>
    </row>
    <row r="7499" spans="5:12" x14ac:dyDescent="0.2">
      <c r="E7499" s="1063"/>
      <c r="H7499" s="1066"/>
      <c r="I7499" s="1063"/>
      <c r="J7499" s="1063"/>
      <c r="K7499" s="1063"/>
      <c r="L7499" s="1063"/>
    </row>
    <row r="7500" spans="5:12" x14ac:dyDescent="0.2">
      <c r="E7500" s="1063"/>
      <c r="H7500" s="1066"/>
      <c r="I7500" s="1063"/>
      <c r="J7500" s="1063"/>
      <c r="K7500" s="1063"/>
      <c r="L7500" s="1063"/>
    </row>
    <row r="7501" spans="5:12" x14ac:dyDescent="0.2">
      <c r="E7501" s="1063"/>
      <c r="H7501" s="1066"/>
      <c r="I7501" s="1063"/>
      <c r="J7501" s="1063"/>
      <c r="K7501" s="1063"/>
      <c r="L7501" s="1063"/>
    </row>
    <row r="7502" spans="5:12" x14ac:dyDescent="0.2">
      <c r="E7502" s="1063"/>
      <c r="H7502" s="1066"/>
      <c r="I7502" s="1063"/>
      <c r="J7502" s="1063"/>
      <c r="K7502" s="1063"/>
      <c r="L7502" s="1063"/>
    </row>
    <row r="7503" spans="5:12" x14ac:dyDescent="0.2">
      <c r="E7503" s="1063"/>
      <c r="H7503" s="1066"/>
      <c r="I7503" s="1063"/>
      <c r="J7503" s="1063"/>
      <c r="K7503" s="1063"/>
      <c r="L7503" s="1063"/>
    </row>
    <row r="7504" spans="5:12" x14ac:dyDescent="0.2">
      <c r="E7504" s="1063"/>
      <c r="H7504" s="1066"/>
      <c r="I7504" s="1063"/>
      <c r="J7504" s="1063"/>
      <c r="K7504" s="1063"/>
      <c r="L7504" s="1063"/>
    </row>
    <row r="7505" spans="5:12" x14ac:dyDescent="0.2">
      <c r="E7505" s="1063"/>
      <c r="H7505" s="1066"/>
      <c r="I7505" s="1063"/>
      <c r="J7505" s="1063"/>
      <c r="K7505" s="1063"/>
      <c r="L7505" s="1063"/>
    </row>
    <row r="7506" spans="5:12" x14ac:dyDescent="0.2">
      <c r="E7506" s="1063"/>
      <c r="H7506" s="1066"/>
      <c r="I7506" s="1063"/>
      <c r="J7506" s="1063"/>
      <c r="K7506" s="1063"/>
      <c r="L7506" s="1063"/>
    </row>
    <row r="7507" spans="5:12" x14ac:dyDescent="0.2">
      <c r="E7507" s="1063"/>
      <c r="H7507" s="1066"/>
      <c r="I7507" s="1063"/>
      <c r="J7507" s="1063"/>
      <c r="K7507" s="1063"/>
      <c r="L7507" s="1063"/>
    </row>
    <row r="7508" spans="5:12" x14ac:dyDescent="0.2">
      <c r="E7508" s="1063"/>
      <c r="H7508" s="1066"/>
      <c r="I7508" s="1063"/>
      <c r="J7508" s="1063"/>
      <c r="K7508" s="1063"/>
      <c r="L7508" s="1063"/>
    </row>
    <row r="7509" spans="5:12" x14ac:dyDescent="0.2">
      <c r="E7509" s="1063"/>
      <c r="H7509" s="1066"/>
      <c r="I7509" s="1063"/>
      <c r="J7509" s="1063"/>
      <c r="K7509" s="1063"/>
      <c r="L7509" s="1063"/>
    </row>
    <row r="7510" spans="5:12" x14ac:dyDescent="0.2">
      <c r="E7510" s="1063"/>
      <c r="H7510" s="1066"/>
      <c r="I7510" s="1063"/>
      <c r="J7510" s="1063"/>
      <c r="K7510" s="1063"/>
      <c r="L7510" s="1063"/>
    </row>
    <row r="7511" spans="5:12" x14ac:dyDescent="0.2">
      <c r="E7511" s="1063"/>
      <c r="H7511" s="1066"/>
      <c r="I7511" s="1063"/>
      <c r="J7511" s="1063"/>
      <c r="K7511" s="1063"/>
      <c r="L7511" s="1063"/>
    </row>
    <row r="7512" spans="5:12" x14ac:dyDescent="0.2">
      <c r="E7512" s="1063"/>
      <c r="H7512" s="1066"/>
      <c r="I7512" s="1063"/>
      <c r="J7512" s="1063"/>
      <c r="K7512" s="1063"/>
      <c r="L7512" s="1063"/>
    </row>
    <row r="7513" spans="5:12" x14ac:dyDescent="0.2">
      <c r="E7513" s="1063"/>
      <c r="H7513" s="1066"/>
      <c r="I7513" s="1063"/>
      <c r="J7513" s="1063"/>
      <c r="K7513" s="1063"/>
      <c r="L7513" s="1063"/>
    </row>
    <row r="7514" spans="5:12" x14ac:dyDescent="0.2">
      <c r="E7514" s="1063"/>
      <c r="H7514" s="1066"/>
      <c r="I7514" s="1063"/>
      <c r="J7514" s="1063"/>
      <c r="K7514" s="1063"/>
      <c r="L7514" s="1063"/>
    </row>
    <row r="7515" spans="5:12" x14ac:dyDescent="0.2">
      <c r="E7515" s="1063"/>
      <c r="H7515" s="1066"/>
      <c r="I7515" s="1063"/>
      <c r="J7515" s="1063"/>
      <c r="K7515" s="1063"/>
      <c r="L7515" s="1063"/>
    </row>
    <row r="7516" spans="5:12" x14ac:dyDescent="0.2">
      <c r="E7516" s="1063"/>
      <c r="H7516" s="1066"/>
      <c r="I7516" s="1063"/>
      <c r="J7516" s="1063"/>
      <c r="K7516" s="1063"/>
      <c r="L7516" s="1063"/>
    </row>
    <row r="7517" spans="5:12" x14ac:dyDescent="0.2">
      <c r="E7517" s="1063"/>
      <c r="H7517" s="1066"/>
      <c r="I7517" s="1063"/>
      <c r="J7517" s="1063"/>
      <c r="K7517" s="1063"/>
      <c r="L7517" s="1063"/>
    </row>
    <row r="7518" spans="5:12" x14ac:dyDescent="0.2">
      <c r="E7518" s="1063"/>
      <c r="H7518" s="1066"/>
      <c r="I7518" s="1063"/>
      <c r="J7518" s="1063"/>
      <c r="K7518" s="1063"/>
      <c r="L7518" s="1063"/>
    </row>
    <row r="7519" spans="5:12" x14ac:dyDescent="0.2">
      <c r="E7519" s="1063"/>
      <c r="H7519" s="1066"/>
      <c r="I7519" s="1063"/>
      <c r="J7519" s="1063"/>
      <c r="K7519" s="1063"/>
      <c r="L7519" s="1063"/>
    </row>
    <row r="7520" spans="5:12" x14ac:dyDescent="0.2">
      <c r="E7520" s="1063"/>
      <c r="H7520" s="1066"/>
      <c r="I7520" s="1063"/>
      <c r="J7520" s="1063"/>
      <c r="K7520" s="1063"/>
      <c r="L7520" s="1063"/>
    </row>
    <row r="7521" spans="5:12" x14ac:dyDescent="0.2">
      <c r="E7521" s="1063"/>
      <c r="H7521" s="1066"/>
      <c r="I7521" s="1063"/>
      <c r="J7521" s="1063"/>
      <c r="K7521" s="1063"/>
      <c r="L7521" s="1063"/>
    </row>
    <row r="7522" spans="5:12" x14ac:dyDescent="0.2">
      <c r="E7522" s="1063"/>
      <c r="H7522" s="1066"/>
      <c r="I7522" s="1063"/>
      <c r="J7522" s="1063"/>
      <c r="K7522" s="1063"/>
      <c r="L7522" s="1063"/>
    </row>
    <row r="7523" spans="5:12" x14ac:dyDescent="0.2">
      <c r="E7523" s="1063"/>
      <c r="H7523" s="1066"/>
      <c r="I7523" s="1063"/>
      <c r="J7523" s="1063"/>
      <c r="K7523" s="1063"/>
      <c r="L7523" s="1063"/>
    </row>
    <row r="7524" spans="5:12" x14ac:dyDescent="0.2">
      <c r="E7524" s="1063"/>
      <c r="H7524" s="1066"/>
      <c r="I7524" s="1063"/>
      <c r="J7524" s="1063"/>
      <c r="K7524" s="1063"/>
      <c r="L7524" s="1063"/>
    </row>
    <row r="7525" spans="5:12" x14ac:dyDescent="0.2">
      <c r="E7525" s="1063"/>
      <c r="H7525" s="1066"/>
      <c r="I7525" s="1063"/>
      <c r="J7525" s="1063"/>
      <c r="K7525" s="1063"/>
      <c r="L7525" s="1063"/>
    </row>
    <row r="7526" spans="5:12" x14ac:dyDescent="0.2">
      <c r="E7526" s="1063"/>
      <c r="H7526" s="1066"/>
      <c r="I7526" s="1063"/>
      <c r="J7526" s="1063"/>
      <c r="K7526" s="1063"/>
      <c r="L7526" s="1063"/>
    </row>
    <row r="7527" spans="5:12" x14ac:dyDescent="0.2">
      <c r="E7527" s="1063"/>
      <c r="H7527" s="1066"/>
      <c r="I7527" s="1063"/>
      <c r="J7527" s="1063"/>
      <c r="K7527" s="1063"/>
      <c r="L7527" s="1063"/>
    </row>
    <row r="7528" spans="5:12" x14ac:dyDescent="0.2">
      <c r="E7528" s="1063"/>
      <c r="H7528" s="1066"/>
      <c r="I7528" s="1063"/>
      <c r="J7528" s="1063"/>
      <c r="K7528" s="1063"/>
      <c r="L7528" s="1063"/>
    </row>
    <row r="7529" spans="5:12" x14ac:dyDescent="0.2">
      <c r="E7529" s="1063"/>
      <c r="H7529" s="1066"/>
      <c r="I7529" s="1063"/>
      <c r="J7529" s="1063"/>
      <c r="K7529" s="1063"/>
      <c r="L7529" s="1063"/>
    </row>
    <row r="7530" spans="5:12" x14ac:dyDescent="0.2">
      <c r="E7530" s="1063"/>
      <c r="H7530" s="1066"/>
      <c r="I7530" s="1063"/>
      <c r="J7530" s="1063"/>
      <c r="K7530" s="1063"/>
      <c r="L7530" s="1063"/>
    </row>
    <row r="7531" spans="5:12" x14ac:dyDescent="0.2">
      <c r="E7531" s="1063"/>
      <c r="H7531" s="1066"/>
      <c r="I7531" s="1063"/>
      <c r="J7531" s="1063"/>
      <c r="K7531" s="1063"/>
      <c r="L7531" s="1063"/>
    </row>
    <row r="7532" spans="5:12" x14ac:dyDescent="0.2">
      <c r="E7532" s="1063"/>
      <c r="H7532" s="1066"/>
      <c r="I7532" s="1063"/>
      <c r="J7532" s="1063"/>
      <c r="K7532" s="1063"/>
      <c r="L7532" s="1063"/>
    </row>
    <row r="7533" spans="5:12" x14ac:dyDescent="0.2">
      <c r="E7533" s="1063"/>
      <c r="H7533" s="1066"/>
      <c r="I7533" s="1063"/>
      <c r="J7533" s="1063"/>
      <c r="K7533" s="1063"/>
      <c r="L7533" s="1063"/>
    </row>
    <row r="7534" spans="5:12" x14ac:dyDescent="0.2">
      <c r="E7534" s="1063"/>
      <c r="H7534" s="1066"/>
      <c r="I7534" s="1063"/>
      <c r="J7534" s="1063"/>
      <c r="K7534" s="1063"/>
      <c r="L7534" s="1063"/>
    </row>
    <row r="7535" spans="5:12" x14ac:dyDescent="0.2">
      <c r="E7535" s="1063"/>
      <c r="H7535" s="1066"/>
      <c r="I7535" s="1063"/>
      <c r="J7535" s="1063"/>
      <c r="K7535" s="1063"/>
      <c r="L7535" s="1063"/>
    </row>
    <row r="7536" spans="5:12" x14ac:dyDescent="0.2">
      <c r="E7536" s="1063"/>
      <c r="H7536" s="1066"/>
      <c r="I7536" s="1063"/>
      <c r="J7536" s="1063"/>
      <c r="K7536" s="1063"/>
      <c r="L7536" s="1063"/>
    </row>
    <row r="7537" spans="5:12" x14ac:dyDescent="0.2">
      <c r="E7537" s="1063"/>
      <c r="H7537" s="1066"/>
      <c r="I7537" s="1063"/>
      <c r="J7537" s="1063"/>
      <c r="K7537" s="1063"/>
      <c r="L7537" s="1063"/>
    </row>
    <row r="7538" spans="5:12" x14ac:dyDescent="0.2">
      <c r="E7538" s="1063"/>
      <c r="H7538" s="1066"/>
      <c r="I7538" s="1063"/>
      <c r="J7538" s="1063"/>
      <c r="K7538" s="1063"/>
      <c r="L7538" s="1063"/>
    </row>
    <row r="7539" spans="5:12" x14ac:dyDescent="0.2">
      <c r="E7539" s="1063"/>
      <c r="H7539" s="1066"/>
      <c r="I7539" s="1063"/>
      <c r="J7539" s="1063"/>
      <c r="K7539" s="1063"/>
      <c r="L7539" s="1063"/>
    </row>
    <row r="7540" spans="5:12" x14ac:dyDescent="0.2">
      <c r="E7540" s="1063"/>
      <c r="H7540" s="1066"/>
      <c r="I7540" s="1063"/>
      <c r="J7540" s="1063"/>
      <c r="K7540" s="1063"/>
      <c r="L7540" s="1063"/>
    </row>
    <row r="7541" spans="5:12" x14ac:dyDescent="0.2">
      <c r="E7541" s="1063"/>
      <c r="H7541" s="1066"/>
      <c r="I7541" s="1063"/>
      <c r="J7541" s="1063"/>
      <c r="K7541" s="1063"/>
      <c r="L7541" s="1063"/>
    </row>
    <row r="7542" spans="5:12" x14ac:dyDescent="0.2">
      <c r="E7542" s="1063"/>
      <c r="H7542" s="1066"/>
      <c r="I7542" s="1063"/>
      <c r="J7542" s="1063"/>
      <c r="K7542" s="1063"/>
      <c r="L7542" s="1063"/>
    </row>
    <row r="7543" spans="5:12" x14ac:dyDescent="0.2">
      <c r="E7543" s="1063"/>
      <c r="H7543" s="1066"/>
      <c r="I7543" s="1063"/>
      <c r="J7543" s="1063"/>
      <c r="K7543" s="1063"/>
      <c r="L7543" s="1063"/>
    </row>
    <row r="7544" spans="5:12" x14ac:dyDescent="0.2">
      <c r="E7544" s="1063"/>
      <c r="H7544" s="1066"/>
      <c r="I7544" s="1063"/>
      <c r="J7544" s="1063"/>
      <c r="K7544" s="1063"/>
      <c r="L7544" s="1063"/>
    </row>
    <row r="7545" spans="5:12" x14ac:dyDescent="0.2">
      <c r="E7545" s="1063"/>
      <c r="H7545" s="1066"/>
      <c r="I7545" s="1063"/>
      <c r="J7545" s="1063"/>
      <c r="K7545" s="1063"/>
      <c r="L7545" s="1063"/>
    </row>
    <row r="7546" spans="5:12" x14ac:dyDescent="0.2">
      <c r="E7546" s="1063"/>
      <c r="H7546" s="1066"/>
      <c r="I7546" s="1063"/>
      <c r="J7546" s="1063"/>
      <c r="K7546" s="1063"/>
      <c r="L7546" s="1063"/>
    </row>
    <row r="7547" spans="5:12" x14ac:dyDescent="0.2">
      <c r="E7547" s="1063"/>
      <c r="H7547" s="1066"/>
      <c r="I7547" s="1063"/>
      <c r="J7547" s="1063"/>
      <c r="K7547" s="1063"/>
      <c r="L7547" s="1063"/>
    </row>
    <row r="7548" spans="5:12" x14ac:dyDescent="0.2">
      <c r="E7548" s="1063"/>
      <c r="H7548" s="1066"/>
      <c r="I7548" s="1063"/>
      <c r="J7548" s="1063"/>
      <c r="K7548" s="1063"/>
      <c r="L7548" s="1063"/>
    </row>
    <row r="7549" spans="5:12" x14ac:dyDescent="0.2">
      <c r="E7549" s="1063"/>
      <c r="H7549" s="1066"/>
      <c r="I7549" s="1063"/>
      <c r="J7549" s="1063"/>
      <c r="K7549" s="1063"/>
      <c r="L7549" s="1063"/>
    </row>
    <row r="7550" spans="5:12" x14ac:dyDescent="0.2">
      <c r="E7550" s="1063"/>
      <c r="H7550" s="1066"/>
      <c r="I7550" s="1063"/>
      <c r="J7550" s="1063"/>
      <c r="K7550" s="1063"/>
      <c r="L7550" s="1063"/>
    </row>
    <row r="7551" spans="5:12" x14ac:dyDescent="0.2">
      <c r="E7551" s="1063"/>
      <c r="H7551" s="1066"/>
      <c r="I7551" s="1063"/>
      <c r="J7551" s="1063"/>
      <c r="K7551" s="1063"/>
      <c r="L7551" s="1063"/>
    </row>
    <row r="7552" spans="5:12" x14ac:dyDescent="0.2">
      <c r="E7552" s="1063"/>
      <c r="H7552" s="1066"/>
      <c r="I7552" s="1063"/>
      <c r="J7552" s="1063"/>
      <c r="K7552" s="1063"/>
      <c r="L7552" s="1063"/>
    </row>
    <row r="7553" spans="5:12" x14ac:dyDescent="0.2">
      <c r="E7553" s="1063"/>
      <c r="H7553" s="1066"/>
      <c r="I7553" s="1063"/>
      <c r="J7553" s="1063"/>
      <c r="K7553" s="1063"/>
      <c r="L7553" s="1063"/>
    </row>
    <row r="7554" spans="5:12" x14ac:dyDescent="0.2">
      <c r="E7554" s="1063"/>
      <c r="H7554" s="1066"/>
      <c r="I7554" s="1063"/>
      <c r="J7554" s="1063"/>
      <c r="K7554" s="1063"/>
      <c r="L7554" s="1063"/>
    </row>
    <row r="7555" spans="5:12" x14ac:dyDescent="0.2">
      <c r="E7555" s="1063"/>
      <c r="H7555" s="1066"/>
      <c r="I7555" s="1063"/>
      <c r="J7555" s="1063"/>
      <c r="K7555" s="1063"/>
      <c r="L7555" s="1063"/>
    </row>
    <row r="7556" spans="5:12" x14ac:dyDescent="0.2">
      <c r="E7556" s="1063"/>
      <c r="H7556" s="1066"/>
      <c r="I7556" s="1063"/>
      <c r="J7556" s="1063"/>
      <c r="K7556" s="1063"/>
      <c r="L7556" s="1063"/>
    </row>
    <row r="7557" spans="5:12" x14ac:dyDescent="0.2">
      <c r="E7557" s="1063"/>
      <c r="H7557" s="1066"/>
      <c r="I7557" s="1063"/>
      <c r="J7557" s="1063"/>
      <c r="K7557" s="1063"/>
      <c r="L7557" s="1063"/>
    </row>
    <row r="7558" spans="5:12" x14ac:dyDescent="0.2">
      <c r="E7558" s="1063"/>
      <c r="H7558" s="1066"/>
      <c r="I7558" s="1063"/>
      <c r="J7558" s="1063"/>
      <c r="K7558" s="1063"/>
      <c r="L7558" s="1063"/>
    </row>
    <row r="7559" spans="5:12" x14ac:dyDescent="0.2">
      <c r="E7559" s="1063"/>
      <c r="H7559" s="1066"/>
      <c r="I7559" s="1063"/>
      <c r="J7559" s="1063"/>
      <c r="K7559" s="1063"/>
      <c r="L7559" s="1063"/>
    </row>
    <row r="7560" spans="5:12" x14ac:dyDescent="0.2">
      <c r="E7560" s="1063"/>
      <c r="H7560" s="1066"/>
      <c r="I7560" s="1063"/>
      <c r="J7560" s="1063"/>
      <c r="K7560" s="1063"/>
      <c r="L7560" s="1063"/>
    </row>
    <row r="7561" spans="5:12" x14ac:dyDescent="0.2">
      <c r="E7561" s="1063"/>
      <c r="H7561" s="1066"/>
      <c r="I7561" s="1063"/>
      <c r="J7561" s="1063"/>
      <c r="K7561" s="1063"/>
      <c r="L7561" s="1063"/>
    </row>
    <row r="7562" spans="5:12" x14ac:dyDescent="0.2">
      <c r="E7562" s="1063"/>
      <c r="H7562" s="1066"/>
      <c r="I7562" s="1063"/>
      <c r="J7562" s="1063"/>
      <c r="K7562" s="1063"/>
      <c r="L7562" s="1063"/>
    </row>
    <row r="7563" spans="5:12" x14ac:dyDescent="0.2">
      <c r="E7563" s="1063"/>
      <c r="H7563" s="1066"/>
      <c r="I7563" s="1063"/>
      <c r="J7563" s="1063"/>
      <c r="K7563" s="1063"/>
      <c r="L7563" s="1063"/>
    </row>
    <row r="7564" spans="5:12" x14ac:dyDescent="0.2">
      <c r="E7564" s="1063"/>
      <c r="H7564" s="1066"/>
      <c r="I7564" s="1063"/>
      <c r="J7564" s="1063"/>
      <c r="K7564" s="1063"/>
      <c r="L7564" s="1063"/>
    </row>
    <row r="7565" spans="5:12" x14ac:dyDescent="0.2">
      <c r="E7565" s="1063"/>
      <c r="H7565" s="1066"/>
      <c r="I7565" s="1063"/>
      <c r="J7565" s="1063"/>
      <c r="K7565" s="1063"/>
      <c r="L7565" s="1063"/>
    </row>
    <row r="7566" spans="5:12" x14ac:dyDescent="0.2">
      <c r="E7566" s="1063"/>
      <c r="H7566" s="1066"/>
      <c r="I7566" s="1063"/>
      <c r="J7566" s="1063"/>
      <c r="K7566" s="1063"/>
      <c r="L7566" s="1063"/>
    </row>
    <row r="7567" spans="5:12" x14ac:dyDescent="0.2">
      <c r="E7567" s="1063"/>
      <c r="H7567" s="1066"/>
      <c r="I7567" s="1063"/>
      <c r="J7567" s="1063"/>
      <c r="K7567" s="1063"/>
      <c r="L7567" s="1063"/>
    </row>
    <row r="7568" spans="5:12" x14ac:dyDescent="0.2">
      <c r="E7568" s="1063"/>
      <c r="H7568" s="1066"/>
      <c r="I7568" s="1063"/>
      <c r="J7568" s="1063"/>
      <c r="K7568" s="1063"/>
      <c r="L7568" s="1063"/>
    </row>
    <row r="7569" spans="5:12" x14ac:dyDescent="0.2">
      <c r="E7569" s="1063"/>
      <c r="H7569" s="1066"/>
      <c r="I7569" s="1063"/>
      <c r="J7569" s="1063"/>
      <c r="K7569" s="1063"/>
      <c r="L7569" s="1063"/>
    </row>
    <row r="7570" spans="5:12" x14ac:dyDescent="0.2">
      <c r="E7570" s="1063"/>
      <c r="H7570" s="1066"/>
      <c r="I7570" s="1063"/>
      <c r="J7570" s="1063"/>
      <c r="K7570" s="1063"/>
      <c r="L7570" s="1063"/>
    </row>
    <row r="7571" spans="5:12" x14ac:dyDescent="0.2">
      <c r="E7571" s="1063"/>
      <c r="H7571" s="1066"/>
      <c r="I7571" s="1063"/>
      <c r="J7571" s="1063"/>
      <c r="K7571" s="1063"/>
      <c r="L7571" s="1063"/>
    </row>
    <row r="7572" spans="5:12" x14ac:dyDescent="0.2">
      <c r="E7572" s="1063"/>
      <c r="H7572" s="1066"/>
      <c r="I7572" s="1063"/>
      <c r="J7572" s="1063"/>
      <c r="K7572" s="1063"/>
      <c r="L7572" s="1063"/>
    </row>
    <row r="7573" spans="5:12" x14ac:dyDescent="0.2">
      <c r="E7573" s="1063"/>
      <c r="H7573" s="1066"/>
      <c r="I7573" s="1063"/>
      <c r="J7573" s="1063"/>
      <c r="K7573" s="1063"/>
      <c r="L7573" s="1063"/>
    </row>
    <row r="7574" spans="5:12" x14ac:dyDescent="0.2">
      <c r="E7574" s="1063"/>
      <c r="H7574" s="1066"/>
      <c r="I7574" s="1063"/>
      <c r="J7574" s="1063"/>
      <c r="K7574" s="1063"/>
      <c r="L7574" s="1063"/>
    </row>
    <row r="7575" spans="5:12" x14ac:dyDescent="0.2">
      <c r="E7575" s="1063"/>
      <c r="H7575" s="1066"/>
      <c r="I7575" s="1063"/>
      <c r="J7575" s="1063"/>
      <c r="K7575" s="1063"/>
      <c r="L7575" s="1063"/>
    </row>
    <row r="7576" spans="5:12" x14ac:dyDescent="0.2">
      <c r="E7576" s="1063"/>
      <c r="H7576" s="1066"/>
      <c r="I7576" s="1063"/>
      <c r="J7576" s="1063"/>
      <c r="K7576" s="1063"/>
      <c r="L7576" s="1063"/>
    </row>
    <row r="7577" spans="5:12" x14ac:dyDescent="0.2">
      <c r="E7577" s="1063"/>
      <c r="H7577" s="1066"/>
      <c r="I7577" s="1063"/>
      <c r="J7577" s="1063"/>
      <c r="K7577" s="1063"/>
      <c r="L7577" s="1063"/>
    </row>
    <row r="7578" spans="5:12" x14ac:dyDescent="0.2">
      <c r="E7578" s="1063"/>
      <c r="H7578" s="1066"/>
      <c r="I7578" s="1063"/>
      <c r="J7578" s="1063"/>
      <c r="K7578" s="1063"/>
      <c r="L7578" s="1063"/>
    </row>
    <row r="7579" spans="5:12" x14ac:dyDescent="0.2">
      <c r="E7579" s="1063"/>
      <c r="H7579" s="1066"/>
      <c r="I7579" s="1063"/>
      <c r="J7579" s="1063"/>
      <c r="K7579" s="1063"/>
      <c r="L7579" s="1063"/>
    </row>
    <row r="7580" spans="5:12" x14ac:dyDescent="0.2">
      <c r="E7580" s="1063"/>
      <c r="H7580" s="1066"/>
      <c r="I7580" s="1063"/>
      <c r="J7580" s="1063"/>
      <c r="K7580" s="1063"/>
      <c r="L7580" s="1063"/>
    </row>
    <row r="7581" spans="5:12" x14ac:dyDescent="0.2">
      <c r="E7581" s="1063"/>
      <c r="H7581" s="1066"/>
      <c r="I7581" s="1063"/>
      <c r="J7581" s="1063"/>
      <c r="K7581" s="1063"/>
      <c r="L7581" s="1063"/>
    </row>
    <row r="7582" spans="5:12" x14ac:dyDescent="0.2">
      <c r="E7582" s="1063"/>
      <c r="H7582" s="1066"/>
      <c r="I7582" s="1063"/>
      <c r="J7582" s="1063"/>
      <c r="K7582" s="1063"/>
      <c r="L7582" s="1063"/>
    </row>
    <row r="7583" spans="5:12" x14ac:dyDescent="0.2">
      <c r="E7583" s="1063"/>
      <c r="H7583" s="1066"/>
      <c r="I7583" s="1063"/>
      <c r="J7583" s="1063"/>
      <c r="K7583" s="1063"/>
      <c r="L7583" s="1063"/>
    </row>
    <row r="7584" spans="5:12" x14ac:dyDescent="0.2">
      <c r="E7584" s="1063"/>
      <c r="H7584" s="1066"/>
      <c r="I7584" s="1063"/>
      <c r="J7584" s="1063"/>
      <c r="K7584" s="1063"/>
      <c r="L7584" s="1063"/>
    </row>
    <row r="7585" spans="5:12" x14ac:dyDescent="0.2">
      <c r="E7585" s="1063"/>
      <c r="H7585" s="1066"/>
      <c r="I7585" s="1063"/>
      <c r="J7585" s="1063"/>
      <c r="K7585" s="1063"/>
      <c r="L7585" s="1063"/>
    </row>
    <row r="7586" spans="5:12" x14ac:dyDescent="0.2">
      <c r="E7586" s="1063"/>
      <c r="H7586" s="1066"/>
      <c r="I7586" s="1063"/>
      <c r="J7586" s="1063"/>
      <c r="K7586" s="1063"/>
      <c r="L7586" s="1063"/>
    </row>
    <row r="7587" spans="5:12" x14ac:dyDescent="0.2">
      <c r="E7587" s="1063"/>
      <c r="H7587" s="1066"/>
      <c r="I7587" s="1063"/>
      <c r="J7587" s="1063"/>
      <c r="K7587" s="1063"/>
      <c r="L7587" s="1063"/>
    </row>
    <row r="7588" spans="5:12" x14ac:dyDescent="0.2">
      <c r="E7588" s="1063"/>
      <c r="H7588" s="1066"/>
      <c r="I7588" s="1063"/>
      <c r="J7588" s="1063"/>
      <c r="K7588" s="1063"/>
      <c r="L7588" s="1063"/>
    </row>
    <row r="7589" spans="5:12" x14ac:dyDescent="0.2">
      <c r="E7589" s="1063"/>
      <c r="H7589" s="1066"/>
      <c r="I7589" s="1063"/>
      <c r="J7589" s="1063"/>
      <c r="K7589" s="1063"/>
      <c r="L7589" s="1063"/>
    </row>
    <row r="7590" spans="5:12" x14ac:dyDescent="0.2">
      <c r="E7590" s="1063"/>
      <c r="H7590" s="1066"/>
      <c r="I7590" s="1063"/>
      <c r="J7590" s="1063"/>
      <c r="K7590" s="1063"/>
      <c r="L7590" s="1063"/>
    </row>
    <row r="7591" spans="5:12" x14ac:dyDescent="0.2">
      <c r="E7591" s="1063"/>
      <c r="H7591" s="1066"/>
      <c r="I7591" s="1063"/>
      <c r="J7591" s="1063"/>
      <c r="K7591" s="1063"/>
      <c r="L7591" s="1063"/>
    </row>
    <row r="7592" spans="5:12" x14ac:dyDescent="0.2">
      <c r="E7592" s="1063"/>
      <c r="H7592" s="1066"/>
      <c r="I7592" s="1063"/>
      <c r="J7592" s="1063"/>
      <c r="K7592" s="1063"/>
      <c r="L7592" s="1063"/>
    </row>
    <row r="7593" spans="5:12" x14ac:dyDescent="0.2">
      <c r="E7593" s="1063"/>
      <c r="H7593" s="1066"/>
      <c r="I7593" s="1063"/>
      <c r="J7593" s="1063"/>
      <c r="K7593" s="1063"/>
      <c r="L7593" s="1063"/>
    </row>
    <row r="7594" spans="5:12" x14ac:dyDescent="0.2">
      <c r="E7594" s="1063"/>
      <c r="H7594" s="1066"/>
      <c r="I7594" s="1063"/>
      <c r="J7594" s="1063"/>
      <c r="K7594" s="1063"/>
      <c r="L7594" s="1063"/>
    </row>
    <row r="7595" spans="5:12" x14ac:dyDescent="0.2">
      <c r="E7595" s="1063"/>
      <c r="H7595" s="1066"/>
      <c r="I7595" s="1063"/>
      <c r="J7595" s="1063"/>
      <c r="K7595" s="1063"/>
      <c r="L7595" s="1063"/>
    </row>
    <row r="7596" spans="5:12" x14ac:dyDescent="0.2">
      <c r="E7596" s="1063"/>
      <c r="H7596" s="1066"/>
      <c r="I7596" s="1063"/>
      <c r="J7596" s="1063"/>
      <c r="K7596" s="1063"/>
      <c r="L7596" s="1063"/>
    </row>
    <row r="7597" spans="5:12" x14ac:dyDescent="0.2">
      <c r="E7597" s="1063"/>
      <c r="H7597" s="1066"/>
      <c r="I7597" s="1063"/>
      <c r="J7597" s="1063"/>
      <c r="K7597" s="1063"/>
      <c r="L7597" s="1063"/>
    </row>
    <row r="7598" spans="5:12" x14ac:dyDescent="0.2">
      <c r="E7598" s="1063"/>
      <c r="H7598" s="1066"/>
      <c r="I7598" s="1063"/>
      <c r="J7598" s="1063"/>
      <c r="K7598" s="1063"/>
      <c r="L7598" s="1063"/>
    </row>
    <row r="7599" spans="5:12" x14ac:dyDescent="0.2">
      <c r="E7599" s="1063"/>
      <c r="H7599" s="1066"/>
      <c r="I7599" s="1063"/>
      <c r="J7599" s="1063"/>
      <c r="K7599" s="1063"/>
      <c r="L7599" s="1063"/>
    </row>
    <row r="7600" spans="5:12" x14ac:dyDescent="0.2">
      <c r="E7600" s="1063"/>
      <c r="H7600" s="1066"/>
      <c r="I7600" s="1063"/>
      <c r="J7600" s="1063"/>
      <c r="K7600" s="1063"/>
      <c r="L7600" s="1063"/>
    </row>
    <row r="7601" spans="5:12" x14ac:dyDescent="0.2">
      <c r="E7601" s="1063"/>
      <c r="H7601" s="1066"/>
      <c r="I7601" s="1063"/>
      <c r="J7601" s="1063"/>
      <c r="K7601" s="1063"/>
      <c r="L7601" s="1063"/>
    </row>
    <row r="7602" spans="5:12" x14ac:dyDescent="0.2">
      <c r="E7602" s="1063"/>
      <c r="H7602" s="1066"/>
      <c r="I7602" s="1063"/>
      <c r="J7602" s="1063"/>
      <c r="K7602" s="1063"/>
      <c r="L7602" s="1063"/>
    </row>
    <row r="7603" spans="5:12" x14ac:dyDescent="0.2">
      <c r="E7603" s="1063"/>
      <c r="H7603" s="1066"/>
      <c r="I7603" s="1063"/>
      <c r="J7603" s="1063"/>
      <c r="K7603" s="1063"/>
      <c r="L7603" s="1063"/>
    </row>
    <row r="7604" spans="5:12" x14ac:dyDescent="0.2">
      <c r="E7604" s="1063"/>
      <c r="H7604" s="1066"/>
      <c r="I7604" s="1063"/>
      <c r="J7604" s="1063"/>
      <c r="K7604" s="1063"/>
      <c r="L7604" s="1063"/>
    </row>
    <row r="7605" spans="5:12" x14ac:dyDescent="0.2">
      <c r="E7605" s="1063"/>
      <c r="H7605" s="1066"/>
      <c r="I7605" s="1063"/>
      <c r="J7605" s="1063"/>
      <c r="K7605" s="1063"/>
      <c r="L7605" s="1063"/>
    </row>
    <row r="7606" spans="5:12" x14ac:dyDescent="0.2">
      <c r="E7606" s="1063"/>
      <c r="H7606" s="1066"/>
      <c r="I7606" s="1063"/>
      <c r="J7606" s="1063"/>
      <c r="K7606" s="1063"/>
      <c r="L7606" s="1063"/>
    </row>
    <row r="7607" spans="5:12" x14ac:dyDescent="0.2">
      <c r="E7607" s="1063"/>
      <c r="H7607" s="1066"/>
      <c r="I7607" s="1063"/>
      <c r="J7607" s="1063"/>
      <c r="K7607" s="1063"/>
      <c r="L7607" s="1063"/>
    </row>
    <row r="7608" spans="5:12" x14ac:dyDescent="0.2">
      <c r="E7608" s="1063"/>
      <c r="H7608" s="1066"/>
      <c r="I7608" s="1063"/>
      <c r="J7608" s="1063"/>
      <c r="K7608" s="1063"/>
      <c r="L7608" s="1063"/>
    </row>
    <row r="7609" spans="5:12" x14ac:dyDescent="0.2">
      <c r="E7609" s="1063"/>
      <c r="H7609" s="1066"/>
      <c r="I7609" s="1063"/>
      <c r="J7609" s="1063"/>
      <c r="K7609" s="1063"/>
      <c r="L7609" s="1063"/>
    </row>
    <row r="7610" spans="5:12" x14ac:dyDescent="0.2">
      <c r="E7610" s="1063"/>
      <c r="H7610" s="1066"/>
      <c r="I7610" s="1063"/>
      <c r="J7610" s="1063"/>
      <c r="K7610" s="1063"/>
      <c r="L7610" s="1063"/>
    </row>
    <row r="7611" spans="5:12" x14ac:dyDescent="0.2">
      <c r="E7611" s="1063"/>
      <c r="H7611" s="1066"/>
      <c r="I7611" s="1063"/>
      <c r="J7611" s="1063"/>
      <c r="K7611" s="1063"/>
      <c r="L7611" s="1063"/>
    </row>
    <row r="7612" spans="5:12" x14ac:dyDescent="0.2">
      <c r="E7612" s="1063"/>
      <c r="H7612" s="1066"/>
      <c r="I7612" s="1063"/>
      <c r="J7612" s="1063"/>
      <c r="K7612" s="1063"/>
      <c r="L7612" s="1063"/>
    </row>
    <row r="7613" spans="5:12" x14ac:dyDescent="0.2">
      <c r="E7613" s="1063"/>
      <c r="H7613" s="1066"/>
      <c r="I7613" s="1063"/>
      <c r="J7613" s="1063"/>
      <c r="K7613" s="1063"/>
      <c r="L7613" s="1063"/>
    </row>
    <row r="7614" spans="5:12" x14ac:dyDescent="0.2">
      <c r="E7614" s="1063"/>
      <c r="H7614" s="1066"/>
      <c r="I7614" s="1063"/>
      <c r="J7614" s="1063"/>
      <c r="K7614" s="1063"/>
      <c r="L7614" s="1063"/>
    </row>
    <row r="7615" spans="5:12" x14ac:dyDescent="0.2">
      <c r="E7615" s="1063"/>
      <c r="H7615" s="1066"/>
      <c r="I7615" s="1063"/>
      <c r="J7615" s="1063"/>
      <c r="K7615" s="1063"/>
      <c r="L7615" s="1063"/>
    </row>
    <row r="7616" spans="5:12" x14ac:dyDescent="0.2">
      <c r="E7616" s="1063"/>
      <c r="H7616" s="1066"/>
      <c r="I7616" s="1063"/>
      <c r="J7616" s="1063"/>
      <c r="K7616" s="1063"/>
      <c r="L7616" s="1063"/>
    </row>
    <row r="7617" spans="5:12" x14ac:dyDescent="0.2">
      <c r="E7617" s="1063"/>
      <c r="H7617" s="1066"/>
      <c r="I7617" s="1063"/>
      <c r="J7617" s="1063"/>
      <c r="K7617" s="1063"/>
      <c r="L7617" s="1063"/>
    </row>
    <row r="7618" spans="5:12" x14ac:dyDescent="0.2">
      <c r="E7618" s="1063"/>
      <c r="H7618" s="1066"/>
      <c r="I7618" s="1063"/>
      <c r="J7618" s="1063"/>
      <c r="K7618" s="1063"/>
      <c r="L7618" s="1063"/>
    </row>
    <row r="7619" spans="5:12" x14ac:dyDescent="0.2">
      <c r="E7619" s="1063"/>
      <c r="H7619" s="1066"/>
      <c r="I7619" s="1063"/>
      <c r="J7619" s="1063"/>
      <c r="K7619" s="1063"/>
      <c r="L7619" s="1063"/>
    </row>
    <row r="7620" spans="5:12" x14ac:dyDescent="0.2">
      <c r="E7620" s="1063"/>
      <c r="H7620" s="1066"/>
      <c r="I7620" s="1063"/>
      <c r="J7620" s="1063"/>
      <c r="K7620" s="1063"/>
      <c r="L7620" s="1063"/>
    </row>
    <row r="7621" spans="5:12" x14ac:dyDescent="0.2">
      <c r="E7621" s="1063"/>
      <c r="H7621" s="1066"/>
      <c r="I7621" s="1063"/>
      <c r="J7621" s="1063"/>
      <c r="K7621" s="1063"/>
      <c r="L7621" s="1063"/>
    </row>
    <row r="7622" spans="5:12" x14ac:dyDescent="0.2">
      <c r="E7622" s="1063"/>
      <c r="H7622" s="1066"/>
      <c r="I7622" s="1063"/>
      <c r="J7622" s="1063"/>
      <c r="K7622" s="1063"/>
      <c r="L7622" s="1063"/>
    </row>
    <row r="7623" spans="5:12" x14ac:dyDescent="0.2">
      <c r="E7623" s="1063"/>
      <c r="H7623" s="1066"/>
      <c r="I7623" s="1063"/>
      <c r="J7623" s="1063"/>
      <c r="K7623" s="1063"/>
      <c r="L7623" s="1063"/>
    </row>
    <row r="7624" spans="5:12" x14ac:dyDescent="0.2">
      <c r="E7624" s="1063"/>
      <c r="H7624" s="1066"/>
      <c r="I7624" s="1063"/>
      <c r="J7624" s="1063"/>
      <c r="K7624" s="1063"/>
      <c r="L7624" s="1063"/>
    </row>
    <row r="7625" spans="5:12" x14ac:dyDescent="0.2">
      <c r="E7625" s="1063"/>
      <c r="H7625" s="1066"/>
      <c r="I7625" s="1063"/>
      <c r="J7625" s="1063"/>
      <c r="K7625" s="1063"/>
      <c r="L7625" s="1063"/>
    </row>
    <row r="7626" spans="5:12" x14ac:dyDescent="0.2">
      <c r="E7626" s="1063"/>
      <c r="H7626" s="1066"/>
      <c r="I7626" s="1063"/>
      <c r="J7626" s="1063"/>
      <c r="K7626" s="1063"/>
      <c r="L7626" s="1063"/>
    </row>
    <row r="7627" spans="5:12" x14ac:dyDescent="0.2">
      <c r="E7627" s="1063"/>
      <c r="H7627" s="1066"/>
      <c r="I7627" s="1063"/>
      <c r="J7627" s="1063"/>
      <c r="K7627" s="1063"/>
      <c r="L7627" s="1063"/>
    </row>
    <row r="7628" spans="5:12" x14ac:dyDescent="0.2">
      <c r="E7628" s="1063"/>
      <c r="H7628" s="1066"/>
      <c r="I7628" s="1063"/>
      <c r="J7628" s="1063"/>
      <c r="K7628" s="1063"/>
      <c r="L7628" s="1063"/>
    </row>
    <row r="7629" spans="5:12" x14ac:dyDescent="0.2">
      <c r="E7629" s="1063"/>
      <c r="H7629" s="1066"/>
      <c r="I7629" s="1063"/>
      <c r="J7629" s="1063"/>
      <c r="K7629" s="1063"/>
      <c r="L7629" s="1063"/>
    </row>
    <row r="7630" spans="5:12" x14ac:dyDescent="0.2">
      <c r="E7630" s="1063"/>
      <c r="H7630" s="1066"/>
      <c r="I7630" s="1063"/>
      <c r="J7630" s="1063"/>
      <c r="K7630" s="1063"/>
      <c r="L7630" s="1063"/>
    </row>
    <row r="7631" spans="5:12" x14ac:dyDescent="0.2">
      <c r="E7631" s="1063"/>
      <c r="H7631" s="1066"/>
      <c r="I7631" s="1063"/>
      <c r="J7631" s="1063"/>
      <c r="K7631" s="1063"/>
      <c r="L7631" s="1063"/>
    </row>
    <row r="7632" spans="5:12" x14ac:dyDescent="0.2">
      <c r="E7632" s="1063"/>
      <c r="H7632" s="1066"/>
      <c r="I7632" s="1063"/>
      <c r="J7632" s="1063"/>
      <c r="K7632" s="1063"/>
      <c r="L7632" s="1063"/>
    </row>
    <row r="7633" spans="5:12" x14ac:dyDescent="0.2">
      <c r="E7633" s="1063"/>
      <c r="H7633" s="1066"/>
      <c r="I7633" s="1063"/>
      <c r="J7633" s="1063"/>
      <c r="K7633" s="1063"/>
      <c r="L7633" s="1063"/>
    </row>
    <row r="7634" spans="5:12" x14ac:dyDescent="0.2">
      <c r="E7634" s="1063"/>
      <c r="H7634" s="1066"/>
      <c r="I7634" s="1063"/>
      <c r="J7634" s="1063"/>
      <c r="K7634" s="1063"/>
      <c r="L7634" s="1063"/>
    </row>
    <row r="7635" spans="5:12" x14ac:dyDescent="0.2">
      <c r="E7635" s="1063"/>
      <c r="H7635" s="1066"/>
      <c r="I7635" s="1063"/>
      <c r="J7635" s="1063"/>
      <c r="K7635" s="1063"/>
      <c r="L7635" s="1063"/>
    </row>
    <row r="7636" spans="5:12" x14ac:dyDescent="0.2">
      <c r="E7636" s="1063"/>
      <c r="H7636" s="1066"/>
      <c r="I7636" s="1063"/>
      <c r="J7636" s="1063"/>
      <c r="K7636" s="1063"/>
      <c r="L7636" s="1063"/>
    </row>
    <row r="7637" spans="5:12" x14ac:dyDescent="0.2">
      <c r="E7637" s="1063"/>
      <c r="H7637" s="1066"/>
      <c r="I7637" s="1063"/>
      <c r="J7637" s="1063"/>
      <c r="K7637" s="1063"/>
      <c r="L7637" s="1063"/>
    </row>
    <row r="7638" spans="5:12" x14ac:dyDescent="0.2">
      <c r="E7638" s="1063"/>
      <c r="H7638" s="1066"/>
      <c r="I7638" s="1063"/>
      <c r="J7638" s="1063"/>
      <c r="K7638" s="1063"/>
      <c r="L7638" s="1063"/>
    </row>
    <row r="7639" spans="5:12" x14ac:dyDescent="0.2">
      <c r="E7639" s="1063"/>
      <c r="H7639" s="1066"/>
      <c r="I7639" s="1063"/>
      <c r="J7639" s="1063"/>
      <c r="K7639" s="1063"/>
      <c r="L7639" s="1063"/>
    </row>
    <row r="7640" spans="5:12" x14ac:dyDescent="0.2">
      <c r="E7640" s="1063"/>
      <c r="H7640" s="1066"/>
      <c r="I7640" s="1063"/>
      <c r="J7640" s="1063"/>
      <c r="K7640" s="1063"/>
      <c r="L7640" s="1063"/>
    </row>
    <row r="7641" spans="5:12" x14ac:dyDescent="0.2">
      <c r="E7641" s="1063"/>
      <c r="H7641" s="1066"/>
      <c r="I7641" s="1063"/>
      <c r="J7641" s="1063"/>
      <c r="K7641" s="1063"/>
      <c r="L7641" s="1063"/>
    </row>
    <row r="7642" spans="5:12" x14ac:dyDescent="0.2">
      <c r="E7642" s="1063"/>
      <c r="H7642" s="1066"/>
      <c r="I7642" s="1063"/>
      <c r="J7642" s="1063"/>
      <c r="K7642" s="1063"/>
      <c r="L7642" s="1063"/>
    </row>
    <row r="7643" spans="5:12" x14ac:dyDescent="0.2">
      <c r="E7643" s="1063"/>
      <c r="H7643" s="1066"/>
      <c r="I7643" s="1063"/>
      <c r="J7643" s="1063"/>
      <c r="K7643" s="1063"/>
      <c r="L7643" s="1063"/>
    </row>
    <row r="7644" spans="5:12" x14ac:dyDescent="0.2">
      <c r="E7644" s="1063"/>
      <c r="H7644" s="1066"/>
      <c r="I7644" s="1063"/>
      <c r="J7644" s="1063"/>
      <c r="K7644" s="1063"/>
      <c r="L7644" s="1063"/>
    </row>
    <row r="7645" spans="5:12" x14ac:dyDescent="0.2">
      <c r="E7645" s="1063"/>
      <c r="H7645" s="1066"/>
      <c r="I7645" s="1063"/>
      <c r="J7645" s="1063"/>
      <c r="K7645" s="1063"/>
      <c r="L7645" s="1063"/>
    </row>
    <row r="7646" spans="5:12" x14ac:dyDescent="0.2">
      <c r="E7646" s="1063"/>
      <c r="H7646" s="1066"/>
      <c r="I7646" s="1063"/>
      <c r="J7646" s="1063"/>
      <c r="K7646" s="1063"/>
      <c r="L7646" s="1063"/>
    </row>
    <row r="7647" spans="5:12" x14ac:dyDescent="0.2">
      <c r="E7647" s="1063"/>
      <c r="H7647" s="1066"/>
      <c r="I7647" s="1063"/>
      <c r="J7647" s="1063"/>
      <c r="K7647" s="1063"/>
      <c r="L7647" s="1063"/>
    </row>
    <row r="7648" spans="5:12" x14ac:dyDescent="0.2">
      <c r="E7648" s="1063"/>
      <c r="H7648" s="1066"/>
      <c r="I7648" s="1063"/>
      <c r="J7648" s="1063"/>
      <c r="K7648" s="1063"/>
      <c r="L7648" s="1063"/>
    </row>
    <row r="7649" spans="5:12" x14ac:dyDescent="0.2">
      <c r="E7649" s="1063"/>
      <c r="H7649" s="1066"/>
      <c r="I7649" s="1063"/>
      <c r="J7649" s="1063"/>
      <c r="K7649" s="1063"/>
      <c r="L7649" s="1063"/>
    </row>
    <row r="7650" spans="5:12" x14ac:dyDescent="0.2">
      <c r="E7650" s="1063"/>
      <c r="H7650" s="1066"/>
      <c r="I7650" s="1063"/>
      <c r="J7650" s="1063"/>
      <c r="K7650" s="1063"/>
      <c r="L7650" s="1063"/>
    </row>
    <row r="7651" spans="5:12" x14ac:dyDescent="0.2">
      <c r="E7651" s="1063"/>
      <c r="H7651" s="1066"/>
      <c r="I7651" s="1063"/>
      <c r="J7651" s="1063"/>
      <c r="K7651" s="1063"/>
      <c r="L7651" s="1063"/>
    </row>
    <row r="7652" spans="5:12" x14ac:dyDescent="0.2">
      <c r="E7652" s="1063"/>
      <c r="H7652" s="1066"/>
      <c r="I7652" s="1063"/>
      <c r="J7652" s="1063"/>
      <c r="K7652" s="1063"/>
      <c r="L7652" s="1063"/>
    </row>
    <row r="7653" spans="5:12" x14ac:dyDescent="0.2">
      <c r="E7653" s="1063"/>
      <c r="H7653" s="1066"/>
      <c r="I7653" s="1063"/>
      <c r="J7653" s="1063"/>
      <c r="K7653" s="1063"/>
      <c r="L7653" s="1063"/>
    </row>
    <row r="7654" spans="5:12" x14ac:dyDescent="0.2">
      <c r="E7654" s="1063"/>
      <c r="H7654" s="1066"/>
      <c r="I7654" s="1063"/>
      <c r="J7654" s="1063"/>
      <c r="K7654" s="1063"/>
      <c r="L7654" s="1063"/>
    </row>
    <row r="7655" spans="5:12" x14ac:dyDescent="0.2">
      <c r="E7655" s="1063"/>
      <c r="H7655" s="1066"/>
      <c r="I7655" s="1063"/>
      <c r="J7655" s="1063"/>
      <c r="K7655" s="1063"/>
      <c r="L7655" s="1063"/>
    </row>
    <row r="7656" spans="5:12" x14ac:dyDescent="0.2">
      <c r="E7656" s="1063"/>
      <c r="H7656" s="1066"/>
      <c r="I7656" s="1063"/>
      <c r="J7656" s="1063"/>
      <c r="K7656" s="1063"/>
      <c r="L7656" s="1063"/>
    </row>
    <row r="7657" spans="5:12" x14ac:dyDescent="0.2">
      <c r="E7657" s="1063"/>
      <c r="H7657" s="1066"/>
      <c r="I7657" s="1063"/>
      <c r="J7657" s="1063"/>
      <c r="K7657" s="1063"/>
      <c r="L7657" s="1063"/>
    </row>
    <row r="7658" spans="5:12" x14ac:dyDescent="0.2">
      <c r="E7658" s="1063"/>
      <c r="H7658" s="1066"/>
      <c r="I7658" s="1063"/>
      <c r="J7658" s="1063"/>
      <c r="K7658" s="1063"/>
      <c r="L7658" s="1063"/>
    </row>
    <row r="7659" spans="5:12" x14ac:dyDescent="0.2">
      <c r="E7659" s="1063"/>
      <c r="H7659" s="1066"/>
      <c r="I7659" s="1063"/>
      <c r="J7659" s="1063"/>
      <c r="K7659" s="1063"/>
      <c r="L7659" s="1063"/>
    </row>
    <row r="7660" spans="5:12" x14ac:dyDescent="0.2">
      <c r="E7660" s="1063"/>
      <c r="H7660" s="1066"/>
      <c r="I7660" s="1063"/>
      <c r="J7660" s="1063"/>
      <c r="K7660" s="1063"/>
      <c r="L7660" s="1063"/>
    </row>
    <row r="7661" spans="5:12" x14ac:dyDescent="0.2">
      <c r="E7661" s="1063"/>
      <c r="H7661" s="1066"/>
      <c r="I7661" s="1063"/>
      <c r="J7661" s="1063"/>
      <c r="K7661" s="1063"/>
      <c r="L7661" s="1063"/>
    </row>
    <row r="7662" spans="5:12" x14ac:dyDescent="0.2">
      <c r="E7662" s="1063"/>
      <c r="H7662" s="1066"/>
      <c r="I7662" s="1063"/>
      <c r="J7662" s="1063"/>
      <c r="K7662" s="1063"/>
      <c r="L7662" s="1063"/>
    </row>
    <row r="7663" spans="5:12" x14ac:dyDescent="0.2">
      <c r="E7663" s="1063"/>
      <c r="H7663" s="1066"/>
      <c r="I7663" s="1063"/>
      <c r="J7663" s="1063"/>
      <c r="K7663" s="1063"/>
      <c r="L7663" s="1063"/>
    </row>
    <row r="7664" spans="5:12" x14ac:dyDescent="0.2">
      <c r="E7664" s="1063"/>
      <c r="H7664" s="1066"/>
      <c r="I7664" s="1063"/>
      <c r="J7664" s="1063"/>
      <c r="K7664" s="1063"/>
      <c r="L7664" s="1063"/>
    </row>
    <row r="7665" spans="5:12" x14ac:dyDescent="0.2">
      <c r="E7665" s="1063"/>
      <c r="H7665" s="1066"/>
      <c r="I7665" s="1063"/>
      <c r="J7665" s="1063"/>
      <c r="K7665" s="1063"/>
      <c r="L7665" s="1063"/>
    </row>
    <row r="7666" spans="5:12" x14ac:dyDescent="0.2">
      <c r="E7666" s="1063"/>
      <c r="H7666" s="1066"/>
      <c r="I7666" s="1063"/>
      <c r="J7666" s="1063"/>
      <c r="K7666" s="1063"/>
      <c r="L7666" s="1063"/>
    </row>
    <row r="7667" spans="5:12" x14ac:dyDescent="0.2">
      <c r="E7667" s="1063"/>
      <c r="H7667" s="1066"/>
      <c r="I7667" s="1063"/>
      <c r="J7667" s="1063"/>
      <c r="K7667" s="1063"/>
      <c r="L7667" s="1063"/>
    </row>
    <row r="7668" spans="5:12" x14ac:dyDescent="0.2">
      <c r="E7668" s="1063"/>
      <c r="H7668" s="1066"/>
      <c r="I7668" s="1063"/>
      <c r="J7668" s="1063"/>
      <c r="K7668" s="1063"/>
      <c r="L7668" s="1063"/>
    </row>
    <row r="7669" spans="5:12" x14ac:dyDescent="0.2">
      <c r="E7669" s="1063"/>
      <c r="H7669" s="1066"/>
      <c r="I7669" s="1063"/>
      <c r="J7669" s="1063"/>
      <c r="K7669" s="1063"/>
      <c r="L7669" s="1063"/>
    </row>
    <row r="7670" spans="5:12" x14ac:dyDescent="0.2">
      <c r="E7670" s="1063"/>
      <c r="H7670" s="1066"/>
      <c r="I7670" s="1063"/>
      <c r="J7670" s="1063"/>
      <c r="K7670" s="1063"/>
      <c r="L7670" s="1063"/>
    </row>
    <row r="7671" spans="5:12" x14ac:dyDescent="0.2">
      <c r="E7671" s="1063"/>
      <c r="H7671" s="1066"/>
      <c r="I7671" s="1063"/>
      <c r="J7671" s="1063"/>
      <c r="K7671" s="1063"/>
      <c r="L7671" s="1063"/>
    </row>
    <row r="7672" spans="5:12" x14ac:dyDescent="0.2">
      <c r="E7672" s="1063"/>
      <c r="H7672" s="1066"/>
      <c r="I7672" s="1063"/>
      <c r="J7672" s="1063"/>
      <c r="K7672" s="1063"/>
      <c r="L7672" s="1063"/>
    </row>
    <row r="7673" spans="5:12" x14ac:dyDescent="0.2">
      <c r="E7673" s="1063"/>
      <c r="H7673" s="1066"/>
      <c r="I7673" s="1063"/>
      <c r="J7673" s="1063"/>
      <c r="K7673" s="1063"/>
      <c r="L7673" s="1063"/>
    </row>
    <row r="7674" spans="5:12" x14ac:dyDescent="0.2">
      <c r="E7674" s="1063"/>
      <c r="H7674" s="1066"/>
      <c r="I7674" s="1063"/>
      <c r="J7674" s="1063"/>
      <c r="K7674" s="1063"/>
      <c r="L7674" s="1063"/>
    </row>
    <row r="7675" spans="5:12" x14ac:dyDescent="0.2">
      <c r="E7675" s="1063"/>
      <c r="H7675" s="1066"/>
      <c r="I7675" s="1063"/>
      <c r="J7675" s="1063"/>
      <c r="K7675" s="1063"/>
      <c r="L7675" s="1063"/>
    </row>
    <row r="7676" spans="5:12" x14ac:dyDescent="0.2">
      <c r="E7676" s="1063"/>
      <c r="H7676" s="1066"/>
      <c r="I7676" s="1063"/>
      <c r="J7676" s="1063"/>
      <c r="K7676" s="1063"/>
      <c r="L7676" s="1063"/>
    </row>
    <row r="7677" spans="5:12" x14ac:dyDescent="0.2">
      <c r="E7677" s="1063"/>
      <c r="H7677" s="1066"/>
      <c r="I7677" s="1063"/>
      <c r="J7677" s="1063"/>
      <c r="K7677" s="1063"/>
      <c r="L7677" s="1063"/>
    </row>
    <row r="7678" spans="5:12" x14ac:dyDescent="0.2">
      <c r="E7678" s="1063"/>
      <c r="H7678" s="1066"/>
      <c r="I7678" s="1063"/>
      <c r="J7678" s="1063"/>
      <c r="K7678" s="1063"/>
      <c r="L7678" s="1063"/>
    </row>
    <row r="7679" spans="5:12" x14ac:dyDescent="0.2">
      <c r="E7679" s="1063"/>
      <c r="H7679" s="1066"/>
      <c r="I7679" s="1063"/>
      <c r="J7679" s="1063"/>
      <c r="K7679" s="1063"/>
      <c r="L7679" s="1063"/>
    </row>
    <row r="7680" spans="5:12" x14ac:dyDescent="0.2">
      <c r="E7680" s="1063"/>
      <c r="H7680" s="1066"/>
      <c r="I7680" s="1063"/>
      <c r="J7680" s="1063"/>
      <c r="K7680" s="1063"/>
      <c r="L7680" s="1063"/>
    </row>
    <row r="7681" spans="5:12" x14ac:dyDescent="0.2">
      <c r="E7681" s="1063"/>
      <c r="H7681" s="1066"/>
      <c r="I7681" s="1063"/>
      <c r="J7681" s="1063"/>
      <c r="K7681" s="1063"/>
      <c r="L7681" s="1063"/>
    </row>
    <row r="7682" spans="5:12" x14ac:dyDescent="0.2">
      <c r="E7682" s="1063"/>
      <c r="H7682" s="1066"/>
      <c r="I7682" s="1063"/>
      <c r="J7682" s="1063"/>
      <c r="K7682" s="1063"/>
      <c r="L7682" s="1063"/>
    </row>
    <row r="7683" spans="5:12" x14ac:dyDescent="0.2">
      <c r="E7683" s="1063"/>
      <c r="H7683" s="1066"/>
      <c r="I7683" s="1063"/>
      <c r="J7683" s="1063"/>
      <c r="K7683" s="1063"/>
      <c r="L7683" s="1063"/>
    </row>
    <row r="7684" spans="5:12" x14ac:dyDescent="0.2">
      <c r="E7684" s="1063"/>
      <c r="H7684" s="1066"/>
      <c r="I7684" s="1063"/>
      <c r="J7684" s="1063"/>
      <c r="K7684" s="1063"/>
      <c r="L7684" s="1063"/>
    </row>
    <row r="7685" spans="5:12" x14ac:dyDescent="0.2">
      <c r="E7685" s="1063"/>
      <c r="H7685" s="1066"/>
      <c r="I7685" s="1063"/>
      <c r="J7685" s="1063"/>
      <c r="K7685" s="1063"/>
      <c r="L7685" s="1063"/>
    </row>
    <row r="7686" spans="5:12" x14ac:dyDescent="0.2">
      <c r="E7686" s="1063"/>
      <c r="H7686" s="1066"/>
      <c r="I7686" s="1063"/>
      <c r="J7686" s="1063"/>
      <c r="K7686" s="1063"/>
      <c r="L7686" s="1063"/>
    </row>
    <row r="7687" spans="5:12" x14ac:dyDescent="0.2">
      <c r="E7687" s="1063"/>
      <c r="H7687" s="1066"/>
      <c r="I7687" s="1063"/>
      <c r="J7687" s="1063"/>
      <c r="K7687" s="1063"/>
      <c r="L7687" s="1063"/>
    </row>
    <row r="7688" spans="5:12" x14ac:dyDescent="0.2">
      <c r="E7688" s="1063"/>
      <c r="H7688" s="1066"/>
      <c r="I7688" s="1063"/>
      <c r="J7688" s="1063"/>
      <c r="K7688" s="1063"/>
      <c r="L7688" s="1063"/>
    </row>
    <row r="7689" spans="5:12" x14ac:dyDescent="0.2">
      <c r="E7689" s="1063"/>
      <c r="H7689" s="1066"/>
      <c r="I7689" s="1063"/>
      <c r="J7689" s="1063"/>
      <c r="K7689" s="1063"/>
      <c r="L7689" s="1063"/>
    </row>
    <row r="7690" spans="5:12" x14ac:dyDescent="0.2">
      <c r="E7690" s="1063"/>
      <c r="H7690" s="1066"/>
      <c r="I7690" s="1063"/>
      <c r="J7690" s="1063"/>
      <c r="K7690" s="1063"/>
      <c r="L7690" s="1063"/>
    </row>
    <row r="7691" spans="5:12" x14ac:dyDescent="0.2">
      <c r="E7691" s="1063"/>
      <c r="H7691" s="1066"/>
      <c r="I7691" s="1063"/>
      <c r="J7691" s="1063"/>
      <c r="K7691" s="1063"/>
      <c r="L7691" s="1063"/>
    </row>
    <row r="7692" spans="5:12" x14ac:dyDescent="0.2">
      <c r="E7692" s="1063"/>
      <c r="H7692" s="1066"/>
      <c r="I7692" s="1063"/>
      <c r="J7692" s="1063"/>
      <c r="K7692" s="1063"/>
      <c r="L7692" s="1063"/>
    </row>
    <row r="7693" spans="5:12" x14ac:dyDescent="0.2">
      <c r="E7693" s="1063"/>
      <c r="H7693" s="1066"/>
      <c r="I7693" s="1063"/>
      <c r="J7693" s="1063"/>
      <c r="K7693" s="1063"/>
      <c r="L7693" s="1063"/>
    </row>
    <row r="7694" spans="5:12" x14ac:dyDescent="0.2">
      <c r="E7694" s="1063"/>
      <c r="H7694" s="1066"/>
      <c r="I7694" s="1063"/>
      <c r="J7694" s="1063"/>
      <c r="K7694" s="1063"/>
      <c r="L7694" s="1063"/>
    </row>
    <row r="7695" spans="5:12" x14ac:dyDescent="0.2">
      <c r="E7695" s="1063"/>
      <c r="H7695" s="1066"/>
      <c r="I7695" s="1063"/>
      <c r="J7695" s="1063"/>
      <c r="K7695" s="1063"/>
      <c r="L7695" s="1063"/>
    </row>
    <row r="7696" spans="5:12" x14ac:dyDescent="0.2">
      <c r="E7696" s="1063"/>
      <c r="H7696" s="1066"/>
      <c r="I7696" s="1063"/>
      <c r="J7696" s="1063"/>
      <c r="K7696" s="1063"/>
      <c r="L7696" s="1063"/>
    </row>
    <row r="7697" spans="5:12" x14ac:dyDescent="0.2">
      <c r="E7697" s="1063"/>
      <c r="H7697" s="1066"/>
      <c r="I7697" s="1063"/>
      <c r="J7697" s="1063"/>
      <c r="K7697" s="1063"/>
      <c r="L7697" s="1063"/>
    </row>
    <row r="7698" spans="5:12" x14ac:dyDescent="0.2">
      <c r="E7698" s="1063"/>
      <c r="H7698" s="1066"/>
      <c r="I7698" s="1063"/>
      <c r="J7698" s="1063"/>
      <c r="K7698" s="1063"/>
      <c r="L7698" s="1063"/>
    </row>
    <row r="7699" spans="5:12" x14ac:dyDescent="0.2">
      <c r="E7699" s="1063"/>
      <c r="H7699" s="1066"/>
      <c r="I7699" s="1063"/>
      <c r="J7699" s="1063"/>
      <c r="K7699" s="1063"/>
      <c r="L7699" s="1063"/>
    </row>
    <row r="7700" spans="5:12" x14ac:dyDescent="0.2">
      <c r="E7700" s="1063"/>
      <c r="H7700" s="1066"/>
      <c r="I7700" s="1063"/>
      <c r="J7700" s="1063"/>
      <c r="K7700" s="1063"/>
      <c r="L7700" s="1063"/>
    </row>
    <row r="7701" spans="5:12" x14ac:dyDescent="0.2">
      <c r="E7701" s="1063"/>
      <c r="H7701" s="1066"/>
      <c r="I7701" s="1063"/>
      <c r="J7701" s="1063"/>
      <c r="K7701" s="1063"/>
      <c r="L7701" s="1063"/>
    </row>
    <row r="7702" spans="5:12" x14ac:dyDescent="0.2">
      <c r="E7702" s="1063"/>
      <c r="H7702" s="1066"/>
      <c r="I7702" s="1063"/>
      <c r="J7702" s="1063"/>
      <c r="K7702" s="1063"/>
      <c r="L7702" s="1063"/>
    </row>
    <row r="7703" spans="5:12" x14ac:dyDescent="0.2">
      <c r="E7703" s="1063"/>
      <c r="H7703" s="1066"/>
      <c r="I7703" s="1063"/>
      <c r="J7703" s="1063"/>
      <c r="K7703" s="1063"/>
      <c r="L7703" s="1063"/>
    </row>
    <row r="7704" spans="5:12" x14ac:dyDescent="0.2">
      <c r="E7704" s="1063"/>
      <c r="H7704" s="1066"/>
      <c r="I7704" s="1063"/>
      <c r="J7704" s="1063"/>
      <c r="K7704" s="1063"/>
      <c r="L7704" s="1063"/>
    </row>
    <row r="7705" spans="5:12" x14ac:dyDescent="0.2">
      <c r="E7705" s="1063"/>
      <c r="H7705" s="1066"/>
      <c r="I7705" s="1063"/>
      <c r="J7705" s="1063"/>
      <c r="K7705" s="1063"/>
      <c r="L7705" s="1063"/>
    </row>
    <row r="7706" spans="5:12" x14ac:dyDescent="0.2">
      <c r="E7706" s="1063"/>
      <c r="H7706" s="1066"/>
      <c r="I7706" s="1063"/>
      <c r="J7706" s="1063"/>
      <c r="K7706" s="1063"/>
      <c r="L7706" s="1063"/>
    </row>
    <row r="7707" spans="5:12" x14ac:dyDescent="0.2">
      <c r="E7707" s="1063"/>
      <c r="H7707" s="1066"/>
      <c r="I7707" s="1063"/>
      <c r="J7707" s="1063"/>
      <c r="K7707" s="1063"/>
      <c r="L7707" s="1063"/>
    </row>
    <row r="7708" spans="5:12" x14ac:dyDescent="0.2">
      <c r="E7708" s="1063"/>
      <c r="H7708" s="1066"/>
      <c r="I7708" s="1063"/>
      <c r="J7708" s="1063"/>
      <c r="K7708" s="1063"/>
      <c r="L7708" s="1063"/>
    </row>
    <row r="7709" spans="5:12" x14ac:dyDescent="0.2">
      <c r="E7709" s="1063"/>
      <c r="H7709" s="1066"/>
      <c r="I7709" s="1063"/>
      <c r="J7709" s="1063"/>
      <c r="K7709" s="1063"/>
      <c r="L7709" s="1063"/>
    </row>
    <row r="7710" spans="5:12" x14ac:dyDescent="0.2">
      <c r="E7710" s="1063"/>
      <c r="H7710" s="1066"/>
      <c r="I7710" s="1063"/>
      <c r="J7710" s="1063"/>
      <c r="K7710" s="1063"/>
      <c r="L7710" s="1063"/>
    </row>
    <row r="7711" spans="5:12" x14ac:dyDescent="0.2">
      <c r="E7711" s="1063"/>
      <c r="H7711" s="1066"/>
      <c r="I7711" s="1063"/>
      <c r="J7711" s="1063"/>
      <c r="K7711" s="1063"/>
      <c r="L7711" s="1063"/>
    </row>
    <row r="7712" spans="5:12" x14ac:dyDescent="0.2">
      <c r="E7712" s="1063"/>
      <c r="H7712" s="1066"/>
      <c r="I7712" s="1063"/>
      <c r="J7712" s="1063"/>
      <c r="K7712" s="1063"/>
      <c r="L7712" s="1063"/>
    </row>
    <row r="7713" spans="5:12" x14ac:dyDescent="0.2">
      <c r="E7713" s="1063"/>
      <c r="H7713" s="1066"/>
      <c r="I7713" s="1063"/>
      <c r="J7713" s="1063"/>
      <c r="K7713" s="1063"/>
      <c r="L7713" s="1063"/>
    </row>
    <row r="7714" spans="5:12" x14ac:dyDescent="0.2">
      <c r="E7714" s="1063"/>
      <c r="H7714" s="1066"/>
      <c r="I7714" s="1063"/>
      <c r="J7714" s="1063"/>
      <c r="K7714" s="1063"/>
      <c r="L7714" s="1063"/>
    </row>
    <row r="7715" spans="5:12" x14ac:dyDescent="0.2">
      <c r="E7715" s="1063"/>
      <c r="H7715" s="1066"/>
      <c r="I7715" s="1063"/>
      <c r="J7715" s="1063"/>
      <c r="K7715" s="1063"/>
      <c r="L7715" s="1063"/>
    </row>
    <row r="7716" spans="5:12" x14ac:dyDescent="0.2">
      <c r="E7716" s="1063"/>
      <c r="H7716" s="1066"/>
      <c r="I7716" s="1063"/>
      <c r="J7716" s="1063"/>
      <c r="K7716" s="1063"/>
      <c r="L7716" s="1063"/>
    </row>
    <row r="7717" spans="5:12" x14ac:dyDescent="0.2">
      <c r="E7717" s="1063"/>
      <c r="H7717" s="1066"/>
      <c r="I7717" s="1063"/>
      <c r="J7717" s="1063"/>
      <c r="K7717" s="1063"/>
      <c r="L7717" s="1063"/>
    </row>
    <row r="7718" spans="5:12" x14ac:dyDescent="0.2">
      <c r="E7718" s="1063"/>
      <c r="H7718" s="1066"/>
      <c r="I7718" s="1063"/>
      <c r="J7718" s="1063"/>
      <c r="K7718" s="1063"/>
      <c r="L7718" s="1063"/>
    </row>
    <row r="7719" spans="5:12" x14ac:dyDescent="0.2">
      <c r="E7719" s="1063"/>
      <c r="H7719" s="1066"/>
      <c r="I7719" s="1063"/>
      <c r="J7719" s="1063"/>
      <c r="K7719" s="1063"/>
      <c r="L7719" s="1063"/>
    </row>
    <row r="7720" spans="5:12" x14ac:dyDescent="0.2">
      <c r="E7720" s="1063"/>
      <c r="H7720" s="1066"/>
      <c r="I7720" s="1063"/>
      <c r="J7720" s="1063"/>
      <c r="K7720" s="1063"/>
      <c r="L7720" s="1063"/>
    </row>
    <row r="7721" spans="5:12" x14ac:dyDescent="0.2">
      <c r="E7721" s="1063"/>
      <c r="H7721" s="1066"/>
      <c r="I7721" s="1063"/>
      <c r="J7721" s="1063"/>
      <c r="K7721" s="1063"/>
      <c r="L7721" s="1063"/>
    </row>
    <row r="7722" spans="5:12" x14ac:dyDescent="0.2">
      <c r="E7722" s="1063"/>
      <c r="H7722" s="1066"/>
      <c r="I7722" s="1063"/>
      <c r="J7722" s="1063"/>
      <c r="K7722" s="1063"/>
      <c r="L7722" s="1063"/>
    </row>
    <row r="7723" spans="5:12" x14ac:dyDescent="0.2">
      <c r="E7723" s="1063"/>
      <c r="H7723" s="1066"/>
      <c r="I7723" s="1063"/>
      <c r="J7723" s="1063"/>
      <c r="K7723" s="1063"/>
      <c r="L7723" s="1063"/>
    </row>
    <row r="7724" spans="5:12" x14ac:dyDescent="0.2">
      <c r="E7724" s="1063"/>
      <c r="H7724" s="1066"/>
      <c r="I7724" s="1063"/>
      <c r="J7724" s="1063"/>
      <c r="K7724" s="1063"/>
      <c r="L7724" s="1063"/>
    </row>
    <row r="7725" spans="5:12" x14ac:dyDescent="0.2">
      <c r="E7725" s="1063"/>
      <c r="H7725" s="1066"/>
      <c r="I7725" s="1063"/>
      <c r="J7725" s="1063"/>
      <c r="K7725" s="1063"/>
      <c r="L7725" s="1063"/>
    </row>
    <row r="7726" spans="5:12" x14ac:dyDescent="0.2">
      <c r="E7726" s="1063"/>
      <c r="H7726" s="1066"/>
      <c r="I7726" s="1063"/>
      <c r="J7726" s="1063"/>
      <c r="K7726" s="1063"/>
      <c r="L7726" s="1063"/>
    </row>
    <row r="7727" spans="5:12" x14ac:dyDescent="0.2">
      <c r="E7727" s="1063"/>
      <c r="H7727" s="1066"/>
      <c r="I7727" s="1063"/>
      <c r="J7727" s="1063"/>
      <c r="K7727" s="1063"/>
      <c r="L7727" s="1063"/>
    </row>
    <row r="7728" spans="5:12" x14ac:dyDescent="0.2">
      <c r="E7728" s="1063"/>
      <c r="H7728" s="1066"/>
      <c r="I7728" s="1063"/>
      <c r="J7728" s="1063"/>
      <c r="K7728" s="1063"/>
      <c r="L7728" s="1063"/>
    </row>
    <row r="7729" spans="5:12" x14ac:dyDescent="0.2">
      <c r="E7729" s="1063"/>
      <c r="H7729" s="1066"/>
      <c r="I7729" s="1063"/>
      <c r="J7729" s="1063"/>
      <c r="K7729" s="1063"/>
      <c r="L7729" s="1063"/>
    </row>
    <row r="7730" spans="5:12" x14ac:dyDescent="0.2">
      <c r="E7730" s="1063"/>
      <c r="H7730" s="1066"/>
      <c r="I7730" s="1063"/>
      <c r="J7730" s="1063"/>
      <c r="K7730" s="1063"/>
      <c r="L7730" s="1063"/>
    </row>
    <row r="7731" spans="5:12" x14ac:dyDescent="0.2">
      <c r="E7731" s="1063"/>
      <c r="H7731" s="1066"/>
      <c r="I7731" s="1063"/>
      <c r="J7731" s="1063"/>
      <c r="K7731" s="1063"/>
      <c r="L7731" s="1063"/>
    </row>
    <row r="7732" spans="5:12" x14ac:dyDescent="0.2">
      <c r="E7732" s="1063"/>
      <c r="H7732" s="1066"/>
      <c r="I7732" s="1063"/>
      <c r="J7732" s="1063"/>
      <c r="K7732" s="1063"/>
      <c r="L7732" s="1063"/>
    </row>
    <row r="7733" spans="5:12" x14ac:dyDescent="0.2">
      <c r="E7733" s="1063"/>
      <c r="H7733" s="1066"/>
      <c r="I7733" s="1063"/>
      <c r="J7733" s="1063"/>
      <c r="K7733" s="1063"/>
      <c r="L7733" s="1063"/>
    </row>
    <row r="7734" spans="5:12" x14ac:dyDescent="0.2">
      <c r="E7734" s="1063"/>
      <c r="H7734" s="1066"/>
      <c r="I7734" s="1063"/>
      <c r="J7734" s="1063"/>
      <c r="K7734" s="1063"/>
      <c r="L7734" s="1063"/>
    </row>
    <row r="7735" spans="5:12" x14ac:dyDescent="0.2">
      <c r="E7735" s="1063"/>
      <c r="H7735" s="1066"/>
      <c r="I7735" s="1063"/>
      <c r="J7735" s="1063"/>
      <c r="K7735" s="1063"/>
      <c r="L7735" s="1063"/>
    </row>
    <row r="7736" spans="5:12" x14ac:dyDescent="0.2">
      <c r="E7736" s="1063"/>
      <c r="H7736" s="1066"/>
      <c r="I7736" s="1063"/>
      <c r="J7736" s="1063"/>
      <c r="K7736" s="1063"/>
      <c r="L7736" s="1063"/>
    </row>
    <row r="7737" spans="5:12" x14ac:dyDescent="0.2">
      <c r="E7737" s="1063"/>
      <c r="H7737" s="1066"/>
      <c r="I7737" s="1063"/>
      <c r="J7737" s="1063"/>
      <c r="K7737" s="1063"/>
      <c r="L7737" s="1063"/>
    </row>
    <row r="7738" spans="5:12" x14ac:dyDescent="0.2">
      <c r="E7738" s="1063"/>
      <c r="H7738" s="1066"/>
      <c r="I7738" s="1063"/>
      <c r="J7738" s="1063"/>
      <c r="K7738" s="1063"/>
      <c r="L7738" s="1063"/>
    </row>
    <row r="7739" spans="5:12" x14ac:dyDescent="0.2">
      <c r="E7739" s="1063"/>
      <c r="H7739" s="1066"/>
      <c r="I7739" s="1063"/>
      <c r="J7739" s="1063"/>
      <c r="K7739" s="1063"/>
      <c r="L7739" s="1063"/>
    </row>
    <row r="7740" spans="5:12" x14ac:dyDescent="0.2">
      <c r="E7740" s="1063"/>
      <c r="H7740" s="1066"/>
      <c r="I7740" s="1063"/>
      <c r="J7740" s="1063"/>
      <c r="K7740" s="1063"/>
      <c r="L7740" s="1063"/>
    </row>
    <row r="7741" spans="5:12" x14ac:dyDescent="0.2">
      <c r="E7741" s="1063"/>
      <c r="H7741" s="1066"/>
      <c r="I7741" s="1063"/>
      <c r="J7741" s="1063"/>
      <c r="K7741" s="1063"/>
      <c r="L7741" s="1063"/>
    </row>
    <row r="7742" spans="5:12" x14ac:dyDescent="0.2">
      <c r="E7742" s="1063"/>
      <c r="H7742" s="1066"/>
      <c r="I7742" s="1063"/>
      <c r="J7742" s="1063"/>
      <c r="K7742" s="1063"/>
      <c r="L7742" s="1063"/>
    </row>
    <row r="7743" spans="5:12" x14ac:dyDescent="0.2">
      <c r="E7743" s="1063"/>
      <c r="H7743" s="1066"/>
      <c r="I7743" s="1063"/>
      <c r="J7743" s="1063"/>
      <c r="K7743" s="1063"/>
      <c r="L7743" s="1063"/>
    </row>
    <row r="7744" spans="5:12" x14ac:dyDescent="0.2">
      <c r="E7744" s="1063"/>
      <c r="H7744" s="1066"/>
      <c r="I7744" s="1063"/>
      <c r="J7744" s="1063"/>
      <c r="K7744" s="1063"/>
      <c r="L7744" s="1063"/>
    </row>
    <row r="7745" spans="5:12" x14ac:dyDescent="0.2">
      <c r="E7745" s="1063"/>
      <c r="H7745" s="1066"/>
      <c r="I7745" s="1063"/>
      <c r="J7745" s="1063"/>
      <c r="K7745" s="1063"/>
      <c r="L7745" s="1063"/>
    </row>
    <row r="7746" spans="5:12" x14ac:dyDescent="0.2">
      <c r="E7746" s="1063"/>
      <c r="H7746" s="1066"/>
      <c r="I7746" s="1063"/>
      <c r="J7746" s="1063"/>
      <c r="K7746" s="1063"/>
      <c r="L7746" s="1063"/>
    </row>
    <row r="7747" spans="5:12" x14ac:dyDescent="0.2">
      <c r="E7747" s="1063"/>
      <c r="H7747" s="1066"/>
      <c r="I7747" s="1063"/>
      <c r="J7747" s="1063"/>
      <c r="K7747" s="1063"/>
      <c r="L7747" s="1063"/>
    </row>
    <row r="7748" spans="5:12" x14ac:dyDescent="0.2">
      <c r="E7748" s="1063"/>
      <c r="H7748" s="1066"/>
      <c r="I7748" s="1063"/>
      <c r="J7748" s="1063"/>
      <c r="K7748" s="1063"/>
      <c r="L7748" s="1063"/>
    </row>
    <row r="7749" spans="5:12" x14ac:dyDescent="0.2">
      <c r="E7749" s="1063"/>
      <c r="H7749" s="1066"/>
      <c r="I7749" s="1063"/>
      <c r="J7749" s="1063"/>
      <c r="K7749" s="1063"/>
      <c r="L7749" s="1063"/>
    </row>
    <row r="7750" spans="5:12" x14ac:dyDescent="0.2">
      <c r="E7750" s="1063"/>
      <c r="H7750" s="1066"/>
      <c r="I7750" s="1063"/>
      <c r="J7750" s="1063"/>
      <c r="K7750" s="1063"/>
      <c r="L7750" s="1063"/>
    </row>
    <row r="7751" spans="5:12" x14ac:dyDescent="0.2">
      <c r="E7751" s="1063"/>
      <c r="H7751" s="1066"/>
      <c r="I7751" s="1063"/>
      <c r="J7751" s="1063"/>
      <c r="K7751" s="1063"/>
      <c r="L7751" s="1063"/>
    </row>
    <row r="7752" spans="5:12" x14ac:dyDescent="0.2">
      <c r="E7752" s="1063"/>
      <c r="H7752" s="1066"/>
      <c r="I7752" s="1063"/>
      <c r="J7752" s="1063"/>
      <c r="K7752" s="1063"/>
      <c r="L7752" s="1063"/>
    </row>
    <row r="7753" spans="5:12" x14ac:dyDescent="0.2">
      <c r="E7753" s="1063"/>
      <c r="H7753" s="1066"/>
      <c r="I7753" s="1063"/>
      <c r="J7753" s="1063"/>
      <c r="K7753" s="1063"/>
      <c r="L7753" s="1063"/>
    </row>
    <row r="7754" spans="5:12" x14ac:dyDescent="0.2">
      <c r="E7754" s="1063"/>
      <c r="H7754" s="1066"/>
      <c r="I7754" s="1063"/>
      <c r="J7754" s="1063"/>
      <c r="K7754" s="1063"/>
      <c r="L7754" s="1063"/>
    </row>
    <row r="7755" spans="5:12" x14ac:dyDescent="0.2">
      <c r="E7755" s="1063"/>
      <c r="H7755" s="1066"/>
      <c r="I7755" s="1063"/>
      <c r="J7755" s="1063"/>
      <c r="K7755" s="1063"/>
      <c r="L7755" s="1063"/>
    </row>
    <row r="7756" spans="5:12" x14ac:dyDescent="0.2">
      <c r="E7756" s="1063"/>
      <c r="H7756" s="1066"/>
      <c r="I7756" s="1063"/>
      <c r="J7756" s="1063"/>
      <c r="K7756" s="1063"/>
      <c r="L7756" s="1063"/>
    </row>
    <row r="7757" spans="5:12" x14ac:dyDescent="0.2">
      <c r="E7757" s="1063"/>
      <c r="H7757" s="1066"/>
      <c r="I7757" s="1063"/>
      <c r="J7757" s="1063"/>
      <c r="K7757" s="1063"/>
      <c r="L7757" s="1063"/>
    </row>
    <row r="7758" spans="5:12" x14ac:dyDescent="0.2">
      <c r="E7758" s="1063"/>
      <c r="H7758" s="1066"/>
      <c r="I7758" s="1063"/>
      <c r="J7758" s="1063"/>
      <c r="K7758" s="1063"/>
      <c r="L7758" s="1063"/>
    </row>
    <row r="7759" spans="5:12" x14ac:dyDescent="0.2">
      <c r="E7759" s="1063"/>
      <c r="H7759" s="1066"/>
      <c r="I7759" s="1063"/>
      <c r="J7759" s="1063"/>
      <c r="K7759" s="1063"/>
      <c r="L7759" s="1063"/>
    </row>
    <row r="7760" spans="5:12" x14ac:dyDescent="0.2">
      <c r="E7760" s="1063"/>
      <c r="H7760" s="1066"/>
      <c r="I7760" s="1063"/>
      <c r="J7760" s="1063"/>
      <c r="K7760" s="1063"/>
      <c r="L7760" s="1063"/>
    </row>
    <row r="7761" spans="5:12" x14ac:dyDescent="0.2">
      <c r="E7761" s="1063"/>
      <c r="H7761" s="1066"/>
      <c r="I7761" s="1063"/>
      <c r="J7761" s="1063"/>
      <c r="K7761" s="1063"/>
      <c r="L7761" s="1063"/>
    </row>
    <row r="7762" spans="5:12" x14ac:dyDescent="0.2">
      <c r="E7762" s="1063"/>
      <c r="H7762" s="1066"/>
      <c r="I7762" s="1063"/>
      <c r="J7762" s="1063"/>
      <c r="K7762" s="1063"/>
      <c r="L7762" s="1063"/>
    </row>
    <row r="7763" spans="5:12" x14ac:dyDescent="0.2">
      <c r="E7763" s="1063"/>
      <c r="H7763" s="1066"/>
      <c r="I7763" s="1063"/>
      <c r="J7763" s="1063"/>
      <c r="K7763" s="1063"/>
      <c r="L7763" s="1063"/>
    </row>
    <row r="7764" spans="5:12" x14ac:dyDescent="0.2">
      <c r="E7764" s="1063"/>
      <c r="H7764" s="1066"/>
      <c r="I7764" s="1063"/>
      <c r="J7764" s="1063"/>
      <c r="K7764" s="1063"/>
      <c r="L7764" s="1063"/>
    </row>
    <row r="7765" spans="5:12" x14ac:dyDescent="0.2">
      <c r="E7765" s="1063"/>
      <c r="H7765" s="1066"/>
      <c r="I7765" s="1063"/>
      <c r="J7765" s="1063"/>
      <c r="K7765" s="1063"/>
      <c r="L7765" s="1063"/>
    </row>
    <row r="7766" spans="5:12" x14ac:dyDescent="0.2">
      <c r="E7766" s="1063"/>
      <c r="H7766" s="1066"/>
      <c r="I7766" s="1063"/>
      <c r="J7766" s="1063"/>
      <c r="K7766" s="1063"/>
      <c r="L7766" s="1063"/>
    </row>
    <row r="7767" spans="5:12" x14ac:dyDescent="0.2">
      <c r="E7767" s="1063"/>
      <c r="H7767" s="1066"/>
      <c r="I7767" s="1063"/>
      <c r="J7767" s="1063"/>
      <c r="K7767" s="1063"/>
      <c r="L7767" s="1063"/>
    </row>
    <row r="7768" spans="5:12" x14ac:dyDescent="0.2">
      <c r="E7768" s="1063"/>
      <c r="H7768" s="1066"/>
      <c r="I7768" s="1063"/>
      <c r="J7768" s="1063"/>
      <c r="K7768" s="1063"/>
      <c r="L7768" s="1063"/>
    </row>
    <row r="7769" spans="5:12" x14ac:dyDescent="0.2">
      <c r="E7769" s="1063"/>
      <c r="H7769" s="1066"/>
      <c r="I7769" s="1063"/>
      <c r="J7769" s="1063"/>
      <c r="K7769" s="1063"/>
      <c r="L7769" s="1063"/>
    </row>
    <row r="7770" spans="5:12" x14ac:dyDescent="0.2">
      <c r="E7770" s="1063"/>
      <c r="H7770" s="1066"/>
      <c r="I7770" s="1063"/>
      <c r="J7770" s="1063"/>
      <c r="K7770" s="1063"/>
      <c r="L7770" s="1063"/>
    </row>
    <row r="7771" spans="5:12" x14ac:dyDescent="0.2">
      <c r="E7771" s="1063"/>
      <c r="H7771" s="1066"/>
      <c r="I7771" s="1063"/>
      <c r="J7771" s="1063"/>
      <c r="K7771" s="1063"/>
      <c r="L7771" s="1063"/>
    </row>
    <row r="7772" spans="5:12" x14ac:dyDescent="0.2">
      <c r="E7772" s="1063"/>
      <c r="H7772" s="1066"/>
      <c r="I7772" s="1063"/>
      <c r="J7772" s="1063"/>
      <c r="K7772" s="1063"/>
      <c r="L7772" s="1063"/>
    </row>
    <row r="7773" spans="5:12" x14ac:dyDescent="0.2">
      <c r="E7773" s="1063"/>
      <c r="H7773" s="1066"/>
      <c r="I7773" s="1063"/>
      <c r="J7773" s="1063"/>
      <c r="K7773" s="1063"/>
      <c r="L7773" s="1063"/>
    </row>
    <row r="7774" spans="5:12" x14ac:dyDescent="0.2">
      <c r="E7774" s="1063"/>
      <c r="H7774" s="1066"/>
      <c r="I7774" s="1063"/>
      <c r="J7774" s="1063"/>
      <c r="K7774" s="1063"/>
      <c r="L7774" s="1063"/>
    </row>
    <row r="7775" spans="5:12" x14ac:dyDescent="0.2">
      <c r="E7775" s="1063"/>
      <c r="H7775" s="1066"/>
      <c r="I7775" s="1063"/>
      <c r="J7775" s="1063"/>
      <c r="K7775" s="1063"/>
      <c r="L7775" s="1063"/>
    </row>
    <row r="7776" spans="5:12" x14ac:dyDescent="0.2">
      <c r="E7776" s="1063"/>
      <c r="H7776" s="1066"/>
      <c r="I7776" s="1063"/>
      <c r="J7776" s="1063"/>
      <c r="K7776" s="1063"/>
      <c r="L7776" s="1063"/>
    </row>
    <row r="7777" spans="5:12" x14ac:dyDescent="0.2">
      <c r="E7777" s="1063"/>
      <c r="H7777" s="1066"/>
      <c r="I7777" s="1063"/>
      <c r="J7777" s="1063"/>
      <c r="K7777" s="1063"/>
      <c r="L7777" s="1063"/>
    </row>
    <row r="7778" spans="5:12" x14ac:dyDescent="0.2">
      <c r="E7778" s="1063"/>
      <c r="H7778" s="1066"/>
      <c r="I7778" s="1063"/>
      <c r="J7778" s="1063"/>
      <c r="K7778" s="1063"/>
      <c r="L7778" s="1063"/>
    </row>
    <row r="7779" spans="5:12" x14ac:dyDescent="0.2">
      <c r="E7779" s="1063"/>
      <c r="H7779" s="1066"/>
      <c r="I7779" s="1063"/>
      <c r="J7779" s="1063"/>
      <c r="K7779" s="1063"/>
      <c r="L7779" s="1063"/>
    </row>
    <row r="7780" spans="5:12" x14ac:dyDescent="0.2">
      <c r="E7780" s="1063"/>
      <c r="H7780" s="1066"/>
      <c r="I7780" s="1063"/>
      <c r="J7780" s="1063"/>
      <c r="K7780" s="1063"/>
      <c r="L7780" s="1063"/>
    </row>
    <row r="7781" spans="5:12" x14ac:dyDescent="0.2">
      <c r="E7781" s="1063"/>
      <c r="H7781" s="1066"/>
      <c r="I7781" s="1063"/>
      <c r="J7781" s="1063"/>
      <c r="K7781" s="1063"/>
      <c r="L7781" s="1063"/>
    </row>
    <row r="7782" spans="5:12" x14ac:dyDescent="0.2">
      <c r="E7782" s="1063"/>
      <c r="H7782" s="1066"/>
      <c r="I7782" s="1063"/>
      <c r="J7782" s="1063"/>
      <c r="K7782" s="1063"/>
      <c r="L7782" s="1063"/>
    </row>
    <row r="7783" spans="5:12" x14ac:dyDescent="0.2">
      <c r="E7783" s="1063"/>
      <c r="H7783" s="1066"/>
      <c r="I7783" s="1063"/>
      <c r="J7783" s="1063"/>
      <c r="K7783" s="1063"/>
      <c r="L7783" s="1063"/>
    </row>
    <row r="7784" spans="5:12" x14ac:dyDescent="0.2">
      <c r="E7784" s="1063"/>
      <c r="H7784" s="1066"/>
      <c r="I7784" s="1063"/>
      <c r="J7784" s="1063"/>
      <c r="K7784" s="1063"/>
      <c r="L7784" s="1063"/>
    </row>
    <row r="7785" spans="5:12" x14ac:dyDescent="0.2">
      <c r="E7785" s="1063"/>
      <c r="H7785" s="1066"/>
      <c r="I7785" s="1063"/>
      <c r="J7785" s="1063"/>
      <c r="K7785" s="1063"/>
      <c r="L7785" s="1063"/>
    </row>
    <row r="7786" spans="5:12" x14ac:dyDescent="0.2">
      <c r="E7786" s="1063"/>
      <c r="H7786" s="1066"/>
      <c r="I7786" s="1063"/>
      <c r="J7786" s="1063"/>
      <c r="K7786" s="1063"/>
      <c r="L7786" s="1063"/>
    </row>
    <row r="7787" spans="5:12" x14ac:dyDescent="0.2">
      <c r="E7787" s="1063"/>
      <c r="H7787" s="1066"/>
      <c r="I7787" s="1063"/>
      <c r="J7787" s="1063"/>
      <c r="K7787" s="1063"/>
      <c r="L7787" s="1063"/>
    </row>
    <row r="7788" spans="5:12" x14ac:dyDescent="0.2">
      <c r="E7788" s="1063"/>
      <c r="H7788" s="1066"/>
      <c r="I7788" s="1063"/>
      <c r="J7788" s="1063"/>
      <c r="K7788" s="1063"/>
      <c r="L7788" s="1063"/>
    </row>
    <row r="7789" spans="5:12" x14ac:dyDescent="0.2">
      <c r="E7789" s="1063"/>
      <c r="H7789" s="1066"/>
      <c r="I7789" s="1063"/>
      <c r="J7789" s="1063"/>
      <c r="K7789" s="1063"/>
      <c r="L7789" s="1063"/>
    </row>
    <row r="7790" spans="5:12" x14ac:dyDescent="0.2">
      <c r="E7790" s="1063"/>
      <c r="H7790" s="1066"/>
      <c r="I7790" s="1063"/>
      <c r="J7790" s="1063"/>
      <c r="K7790" s="1063"/>
      <c r="L7790" s="1063"/>
    </row>
    <row r="7791" spans="5:12" x14ac:dyDescent="0.2">
      <c r="E7791" s="1063"/>
      <c r="H7791" s="1066"/>
      <c r="I7791" s="1063"/>
      <c r="J7791" s="1063"/>
      <c r="K7791" s="1063"/>
      <c r="L7791" s="1063"/>
    </row>
    <row r="7792" spans="5:12" x14ac:dyDescent="0.2">
      <c r="E7792" s="1063"/>
      <c r="H7792" s="1066"/>
      <c r="I7792" s="1063"/>
      <c r="J7792" s="1063"/>
      <c r="K7792" s="1063"/>
      <c r="L7792" s="1063"/>
    </row>
    <row r="7793" spans="5:12" x14ac:dyDescent="0.2">
      <c r="E7793" s="1063"/>
      <c r="H7793" s="1066"/>
      <c r="I7793" s="1063"/>
      <c r="J7793" s="1063"/>
      <c r="K7793" s="1063"/>
      <c r="L7793" s="1063"/>
    </row>
    <row r="7794" spans="5:12" x14ac:dyDescent="0.2">
      <c r="E7794" s="1063"/>
      <c r="H7794" s="1066"/>
      <c r="I7794" s="1063"/>
      <c r="J7794" s="1063"/>
      <c r="K7794" s="1063"/>
      <c r="L7794" s="1063"/>
    </row>
    <row r="7795" spans="5:12" x14ac:dyDescent="0.2">
      <c r="E7795" s="1063"/>
      <c r="H7795" s="1066"/>
      <c r="I7795" s="1063"/>
      <c r="J7795" s="1063"/>
      <c r="K7795" s="1063"/>
      <c r="L7795" s="1063"/>
    </row>
    <row r="7796" spans="5:12" x14ac:dyDescent="0.2">
      <c r="E7796" s="1063"/>
      <c r="H7796" s="1066"/>
      <c r="I7796" s="1063"/>
      <c r="J7796" s="1063"/>
      <c r="K7796" s="1063"/>
      <c r="L7796" s="1063"/>
    </row>
    <row r="7797" spans="5:12" x14ac:dyDescent="0.2">
      <c r="E7797" s="1063"/>
      <c r="H7797" s="1066"/>
      <c r="I7797" s="1063"/>
      <c r="J7797" s="1063"/>
      <c r="K7797" s="1063"/>
      <c r="L7797" s="1063"/>
    </row>
    <row r="7798" spans="5:12" x14ac:dyDescent="0.2">
      <c r="E7798" s="1063"/>
      <c r="H7798" s="1066"/>
      <c r="I7798" s="1063"/>
      <c r="J7798" s="1063"/>
      <c r="K7798" s="1063"/>
      <c r="L7798" s="1063"/>
    </row>
    <row r="7799" spans="5:12" x14ac:dyDescent="0.2">
      <c r="E7799" s="1063"/>
      <c r="H7799" s="1066"/>
      <c r="I7799" s="1063"/>
      <c r="J7799" s="1063"/>
      <c r="K7799" s="1063"/>
      <c r="L7799" s="1063"/>
    </row>
    <row r="7800" spans="5:12" x14ac:dyDescent="0.2">
      <c r="E7800" s="1063"/>
      <c r="H7800" s="1066"/>
      <c r="I7800" s="1063"/>
      <c r="J7800" s="1063"/>
      <c r="K7800" s="1063"/>
      <c r="L7800" s="1063"/>
    </row>
    <row r="7801" spans="5:12" x14ac:dyDescent="0.2">
      <c r="E7801" s="1063"/>
      <c r="H7801" s="1066"/>
      <c r="I7801" s="1063"/>
      <c r="J7801" s="1063"/>
      <c r="K7801" s="1063"/>
      <c r="L7801" s="1063"/>
    </row>
    <row r="7802" spans="5:12" x14ac:dyDescent="0.2">
      <c r="E7802" s="1063"/>
      <c r="H7802" s="1066"/>
      <c r="I7802" s="1063"/>
      <c r="J7802" s="1063"/>
      <c r="K7802" s="1063"/>
      <c r="L7802" s="1063"/>
    </row>
    <row r="7803" spans="5:12" x14ac:dyDescent="0.2">
      <c r="E7803" s="1063"/>
      <c r="H7803" s="1066"/>
      <c r="I7803" s="1063"/>
      <c r="J7803" s="1063"/>
      <c r="K7803" s="1063"/>
      <c r="L7803" s="1063"/>
    </row>
    <row r="7804" spans="5:12" x14ac:dyDescent="0.2">
      <c r="E7804" s="1063"/>
      <c r="H7804" s="1066"/>
      <c r="I7804" s="1063"/>
      <c r="J7804" s="1063"/>
      <c r="K7804" s="1063"/>
      <c r="L7804" s="1063"/>
    </row>
    <row r="7805" spans="5:12" x14ac:dyDescent="0.2">
      <c r="E7805" s="1063"/>
      <c r="H7805" s="1066"/>
      <c r="I7805" s="1063"/>
      <c r="J7805" s="1063"/>
      <c r="K7805" s="1063"/>
      <c r="L7805" s="1063"/>
    </row>
    <row r="7806" spans="5:12" x14ac:dyDescent="0.2">
      <c r="E7806" s="1063"/>
      <c r="H7806" s="1066"/>
      <c r="I7806" s="1063"/>
      <c r="J7806" s="1063"/>
      <c r="K7806" s="1063"/>
      <c r="L7806" s="1063"/>
    </row>
    <row r="7807" spans="5:12" x14ac:dyDescent="0.2">
      <c r="E7807" s="1063"/>
      <c r="H7807" s="1066"/>
      <c r="I7807" s="1063"/>
      <c r="J7807" s="1063"/>
      <c r="K7807" s="1063"/>
      <c r="L7807" s="1063"/>
    </row>
    <row r="7808" spans="5:12" x14ac:dyDescent="0.2">
      <c r="E7808" s="1063"/>
      <c r="H7808" s="1066"/>
      <c r="I7808" s="1063"/>
      <c r="J7808" s="1063"/>
      <c r="K7808" s="1063"/>
      <c r="L7808" s="1063"/>
    </row>
    <row r="7809" spans="5:12" x14ac:dyDescent="0.2">
      <c r="E7809" s="1063"/>
      <c r="H7809" s="1066"/>
      <c r="I7809" s="1063"/>
      <c r="J7809" s="1063"/>
      <c r="K7809" s="1063"/>
      <c r="L7809" s="1063"/>
    </row>
    <row r="7810" spans="5:12" x14ac:dyDescent="0.2">
      <c r="E7810" s="1063"/>
      <c r="H7810" s="1066"/>
      <c r="I7810" s="1063"/>
      <c r="J7810" s="1063"/>
      <c r="K7810" s="1063"/>
      <c r="L7810" s="1063"/>
    </row>
    <row r="7811" spans="5:12" x14ac:dyDescent="0.2">
      <c r="E7811" s="1063"/>
      <c r="H7811" s="1066"/>
      <c r="I7811" s="1063"/>
      <c r="J7811" s="1063"/>
      <c r="K7811" s="1063"/>
      <c r="L7811" s="1063"/>
    </row>
    <row r="7812" spans="5:12" x14ac:dyDescent="0.2">
      <c r="E7812" s="1063"/>
      <c r="H7812" s="1066"/>
      <c r="I7812" s="1063"/>
      <c r="J7812" s="1063"/>
      <c r="K7812" s="1063"/>
      <c r="L7812" s="1063"/>
    </row>
    <row r="7813" spans="5:12" x14ac:dyDescent="0.2">
      <c r="E7813" s="1063"/>
      <c r="H7813" s="1066"/>
      <c r="I7813" s="1063"/>
      <c r="J7813" s="1063"/>
      <c r="K7813" s="1063"/>
      <c r="L7813" s="1063"/>
    </row>
    <row r="7814" spans="5:12" x14ac:dyDescent="0.2">
      <c r="E7814" s="1063"/>
      <c r="H7814" s="1066"/>
      <c r="I7814" s="1063"/>
      <c r="J7814" s="1063"/>
      <c r="K7814" s="1063"/>
      <c r="L7814" s="1063"/>
    </row>
    <row r="7815" spans="5:12" x14ac:dyDescent="0.2">
      <c r="E7815" s="1063"/>
      <c r="H7815" s="1066"/>
      <c r="I7815" s="1063"/>
      <c r="J7815" s="1063"/>
      <c r="K7815" s="1063"/>
      <c r="L7815" s="1063"/>
    </row>
    <row r="7816" spans="5:12" x14ac:dyDescent="0.2">
      <c r="E7816" s="1063"/>
      <c r="H7816" s="1066"/>
      <c r="I7816" s="1063"/>
      <c r="J7816" s="1063"/>
      <c r="K7816" s="1063"/>
      <c r="L7816" s="1063"/>
    </row>
    <row r="7817" spans="5:12" x14ac:dyDescent="0.2">
      <c r="E7817" s="1063"/>
      <c r="H7817" s="1066"/>
      <c r="I7817" s="1063"/>
      <c r="J7817" s="1063"/>
      <c r="K7817" s="1063"/>
      <c r="L7817" s="1063"/>
    </row>
    <row r="7818" spans="5:12" x14ac:dyDescent="0.2">
      <c r="E7818" s="1063"/>
      <c r="H7818" s="1066"/>
      <c r="I7818" s="1063"/>
      <c r="J7818" s="1063"/>
      <c r="K7818" s="1063"/>
      <c r="L7818" s="1063"/>
    </row>
    <row r="7819" spans="5:12" x14ac:dyDescent="0.2">
      <c r="E7819" s="1063"/>
      <c r="H7819" s="1066"/>
      <c r="I7819" s="1063"/>
      <c r="J7819" s="1063"/>
      <c r="K7819" s="1063"/>
      <c r="L7819" s="1063"/>
    </row>
    <row r="7820" spans="5:12" x14ac:dyDescent="0.2">
      <c r="E7820" s="1063"/>
      <c r="H7820" s="1066"/>
      <c r="I7820" s="1063"/>
      <c r="J7820" s="1063"/>
      <c r="K7820" s="1063"/>
      <c r="L7820" s="1063"/>
    </row>
    <row r="7821" spans="5:12" x14ac:dyDescent="0.2">
      <c r="E7821" s="1063"/>
      <c r="H7821" s="1066"/>
      <c r="I7821" s="1063"/>
      <c r="J7821" s="1063"/>
      <c r="K7821" s="1063"/>
      <c r="L7821" s="1063"/>
    </row>
    <row r="7822" spans="5:12" x14ac:dyDescent="0.2">
      <c r="E7822" s="1063"/>
      <c r="H7822" s="1066"/>
      <c r="I7822" s="1063"/>
      <c r="J7822" s="1063"/>
      <c r="K7822" s="1063"/>
      <c r="L7822" s="1063"/>
    </row>
    <row r="7823" spans="5:12" x14ac:dyDescent="0.2">
      <c r="E7823" s="1063"/>
      <c r="H7823" s="1066"/>
      <c r="I7823" s="1063"/>
      <c r="J7823" s="1063"/>
      <c r="K7823" s="1063"/>
      <c r="L7823" s="1063"/>
    </row>
    <row r="7824" spans="5:12" x14ac:dyDescent="0.2">
      <c r="E7824" s="1063"/>
      <c r="H7824" s="1066"/>
      <c r="I7824" s="1063"/>
      <c r="J7824" s="1063"/>
      <c r="K7824" s="1063"/>
      <c r="L7824" s="1063"/>
    </row>
    <row r="7825" spans="5:12" x14ac:dyDescent="0.2">
      <c r="E7825" s="1063"/>
      <c r="H7825" s="1066"/>
      <c r="I7825" s="1063"/>
      <c r="J7825" s="1063"/>
      <c r="K7825" s="1063"/>
      <c r="L7825" s="1063"/>
    </row>
    <row r="7826" spans="5:12" x14ac:dyDescent="0.2">
      <c r="E7826" s="1063"/>
      <c r="H7826" s="1066"/>
      <c r="I7826" s="1063"/>
      <c r="J7826" s="1063"/>
      <c r="K7826" s="1063"/>
      <c r="L7826" s="1063"/>
    </row>
    <row r="7827" spans="5:12" x14ac:dyDescent="0.2">
      <c r="E7827" s="1063"/>
      <c r="H7827" s="1066"/>
      <c r="I7827" s="1063"/>
      <c r="J7827" s="1063"/>
      <c r="K7827" s="1063"/>
      <c r="L7827" s="1063"/>
    </row>
    <row r="7828" spans="5:12" x14ac:dyDescent="0.2">
      <c r="E7828" s="1063"/>
      <c r="H7828" s="1066"/>
      <c r="I7828" s="1063"/>
      <c r="J7828" s="1063"/>
      <c r="K7828" s="1063"/>
      <c r="L7828" s="1063"/>
    </row>
    <row r="7829" spans="5:12" x14ac:dyDescent="0.2">
      <c r="E7829" s="1063"/>
      <c r="H7829" s="1066"/>
      <c r="I7829" s="1063"/>
      <c r="J7829" s="1063"/>
      <c r="K7829" s="1063"/>
      <c r="L7829" s="1063"/>
    </row>
    <row r="7830" spans="5:12" x14ac:dyDescent="0.2">
      <c r="E7830" s="1063"/>
      <c r="H7830" s="1066"/>
      <c r="I7830" s="1063"/>
      <c r="J7830" s="1063"/>
      <c r="K7830" s="1063"/>
      <c r="L7830" s="1063"/>
    </row>
    <row r="7831" spans="5:12" x14ac:dyDescent="0.2">
      <c r="E7831" s="1063"/>
      <c r="H7831" s="1066"/>
      <c r="I7831" s="1063"/>
      <c r="J7831" s="1063"/>
      <c r="K7831" s="1063"/>
      <c r="L7831" s="1063"/>
    </row>
    <row r="7832" spans="5:12" x14ac:dyDescent="0.2">
      <c r="E7832" s="1063"/>
      <c r="H7832" s="1066"/>
      <c r="I7832" s="1063"/>
      <c r="J7832" s="1063"/>
      <c r="K7832" s="1063"/>
      <c r="L7832" s="1063"/>
    </row>
    <row r="7833" spans="5:12" x14ac:dyDescent="0.2">
      <c r="E7833" s="1063"/>
      <c r="H7833" s="1066"/>
      <c r="I7833" s="1063"/>
      <c r="J7833" s="1063"/>
      <c r="K7833" s="1063"/>
      <c r="L7833" s="1063"/>
    </row>
    <row r="7834" spans="5:12" x14ac:dyDescent="0.2">
      <c r="E7834" s="1063"/>
      <c r="H7834" s="1066"/>
      <c r="I7834" s="1063"/>
      <c r="J7834" s="1063"/>
      <c r="K7834" s="1063"/>
      <c r="L7834" s="1063"/>
    </row>
    <row r="7835" spans="5:12" x14ac:dyDescent="0.2">
      <c r="E7835" s="1063"/>
      <c r="H7835" s="1066"/>
      <c r="I7835" s="1063"/>
      <c r="J7835" s="1063"/>
      <c r="K7835" s="1063"/>
      <c r="L7835" s="1063"/>
    </row>
    <row r="7836" spans="5:12" x14ac:dyDescent="0.2">
      <c r="E7836" s="1063"/>
      <c r="H7836" s="1066"/>
      <c r="I7836" s="1063"/>
      <c r="J7836" s="1063"/>
      <c r="K7836" s="1063"/>
      <c r="L7836" s="1063"/>
    </row>
    <row r="7837" spans="5:12" x14ac:dyDescent="0.2">
      <c r="E7837" s="1063"/>
      <c r="H7837" s="1066"/>
      <c r="I7837" s="1063"/>
      <c r="J7837" s="1063"/>
      <c r="K7837" s="1063"/>
      <c r="L7837" s="1063"/>
    </row>
    <row r="7838" spans="5:12" x14ac:dyDescent="0.2">
      <c r="E7838" s="1063"/>
      <c r="H7838" s="1066"/>
      <c r="I7838" s="1063"/>
      <c r="J7838" s="1063"/>
      <c r="K7838" s="1063"/>
      <c r="L7838" s="1063"/>
    </row>
    <row r="7839" spans="5:12" x14ac:dyDescent="0.2">
      <c r="E7839" s="1063"/>
      <c r="H7839" s="1066"/>
      <c r="I7839" s="1063"/>
      <c r="J7839" s="1063"/>
      <c r="K7839" s="1063"/>
      <c r="L7839" s="1063"/>
    </row>
    <row r="7840" spans="5:12" x14ac:dyDescent="0.2">
      <c r="E7840" s="1063"/>
      <c r="H7840" s="1066"/>
      <c r="I7840" s="1063"/>
      <c r="J7840" s="1063"/>
      <c r="K7840" s="1063"/>
      <c r="L7840" s="1063"/>
    </row>
    <row r="7841" spans="5:12" x14ac:dyDescent="0.2">
      <c r="E7841" s="1063"/>
      <c r="H7841" s="1066"/>
      <c r="I7841" s="1063"/>
      <c r="J7841" s="1063"/>
      <c r="K7841" s="1063"/>
      <c r="L7841" s="1063"/>
    </row>
    <row r="7842" spans="5:12" x14ac:dyDescent="0.2">
      <c r="E7842" s="1063"/>
      <c r="H7842" s="1066"/>
      <c r="I7842" s="1063"/>
      <c r="J7842" s="1063"/>
      <c r="K7842" s="1063"/>
      <c r="L7842" s="1063"/>
    </row>
    <row r="7843" spans="5:12" x14ac:dyDescent="0.2">
      <c r="E7843" s="1063"/>
      <c r="H7843" s="1066"/>
      <c r="I7843" s="1063"/>
      <c r="J7843" s="1063"/>
      <c r="K7843" s="1063"/>
      <c r="L7843" s="1063"/>
    </row>
    <row r="7844" spans="5:12" x14ac:dyDescent="0.2">
      <c r="E7844" s="1063"/>
      <c r="H7844" s="1066"/>
      <c r="I7844" s="1063"/>
      <c r="J7844" s="1063"/>
      <c r="K7844" s="1063"/>
      <c r="L7844" s="1063"/>
    </row>
    <row r="7845" spans="5:12" x14ac:dyDescent="0.2">
      <c r="E7845" s="1063"/>
      <c r="H7845" s="1066"/>
      <c r="I7845" s="1063"/>
      <c r="J7845" s="1063"/>
      <c r="K7845" s="1063"/>
      <c r="L7845" s="1063"/>
    </row>
    <row r="7846" spans="5:12" x14ac:dyDescent="0.2">
      <c r="E7846" s="1063"/>
      <c r="H7846" s="1066"/>
      <c r="I7846" s="1063"/>
      <c r="J7846" s="1063"/>
      <c r="K7846" s="1063"/>
      <c r="L7846" s="1063"/>
    </row>
    <row r="7847" spans="5:12" x14ac:dyDescent="0.2">
      <c r="E7847" s="1063"/>
      <c r="H7847" s="1066"/>
      <c r="I7847" s="1063"/>
      <c r="J7847" s="1063"/>
      <c r="K7847" s="1063"/>
      <c r="L7847" s="1063"/>
    </row>
    <row r="7848" spans="5:12" x14ac:dyDescent="0.2">
      <c r="E7848" s="1063"/>
      <c r="H7848" s="1066"/>
      <c r="I7848" s="1063"/>
      <c r="J7848" s="1063"/>
      <c r="K7848" s="1063"/>
      <c r="L7848" s="1063"/>
    </row>
    <row r="7849" spans="5:12" x14ac:dyDescent="0.2">
      <c r="E7849" s="1063"/>
      <c r="H7849" s="1066"/>
      <c r="I7849" s="1063"/>
      <c r="J7849" s="1063"/>
      <c r="K7849" s="1063"/>
      <c r="L7849" s="1063"/>
    </row>
    <row r="7850" spans="5:12" x14ac:dyDescent="0.2">
      <c r="E7850" s="1063"/>
      <c r="H7850" s="1066"/>
      <c r="I7850" s="1063"/>
      <c r="J7850" s="1063"/>
      <c r="K7850" s="1063"/>
      <c r="L7850" s="1063"/>
    </row>
    <row r="7851" spans="5:12" x14ac:dyDescent="0.2">
      <c r="E7851" s="1063"/>
      <c r="H7851" s="1066"/>
      <c r="I7851" s="1063"/>
      <c r="J7851" s="1063"/>
      <c r="K7851" s="1063"/>
      <c r="L7851" s="1063"/>
    </row>
    <row r="7852" spans="5:12" x14ac:dyDescent="0.2">
      <c r="E7852" s="1063"/>
      <c r="H7852" s="1066"/>
      <c r="I7852" s="1063"/>
      <c r="J7852" s="1063"/>
      <c r="K7852" s="1063"/>
      <c r="L7852" s="1063"/>
    </row>
    <row r="7853" spans="5:12" x14ac:dyDescent="0.2">
      <c r="E7853" s="1063"/>
      <c r="H7853" s="1066"/>
      <c r="I7853" s="1063"/>
      <c r="J7853" s="1063"/>
      <c r="K7853" s="1063"/>
      <c r="L7853" s="1063"/>
    </row>
    <row r="7854" spans="5:12" x14ac:dyDescent="0.2">
      <c r="E7854" s="1063"/>
      <c r="H7854" s="1066"/>
      <c r="I7854" s="1063"/>
      <c r="J7854" s="1063"/>
      <c r="K7854" s="1063"/>
      <c r="L7854" s="1063"/>
    </row>
    <row r="7855" spans="5:12" x14ac:dyDescent="0.2">
      <c r="E7855" s="1063"/>
      <c r="H7855" s="1066"/>
      <c r="I7855" s="1063"/>
      <c r="J7855" s="1063"/>
      <c r="K7855" s="1063"/>
      <c r="L7855" s="1063"/>
    </row>
    <row r="7856" spans="5:12" x14ac:dyDescent="0.2">
      <c r="E7856" s="1063"/>
      <c r="H7856" s="1066"/>
      <c r="I7856" s="1063"/>
      <c r="J7856" s="1063"/>
      <c r="K7856" s="1063"/>
      <c r="L7856" s="1063"/>
    </row>
    <row r="7857" spans="5:12" x14ac:dyDescent="0.2">
      <c r="E7857" s="1063"/>
      <c r="H7857" s="1066"/>
      <c r="I7857" s="1063"/>
      <c r="J7857" s="1063"/>
      <c r="K7857" s="1063"/>
      <c r="L7857" s="1063"/>
    </row>
    <row r="7858" spans="5:12" x14ac:dyDescent="0.2">
      <c r="E7858" s="1063"/>
      <c r="H7858" s="1066"/>
      <c r="I7858" s="1063"/>
      <c r="J7858" s="1063"/>
      <c r="K7858" s="1063"/>
      <c r="L7858" s="1063"/>
    </row>
    <row r="7859" spans="5:12" x14ac:dyDescent="0.2">
      <c r="E7859" s="1063"/>
      <c r="H7859" s="1066"/>
      <c r="I7859" s="1063"/>
      <c r="J7859" s="1063"/>
      <c r="K7859" s="1063"/>
      <c r="L7859" s="1063"/>
    </row>
    <row r="7860" spans="5:12" x14ac:dyDescent="0.2">
      <c r="E7860" s="1063"/>
      <c r="H7860" s="1066"/>
      <c r="I7860" s="1063"/>
      <c r="J7860" s="1063"/>
      <c r="K7860" s="1063"/>
      <c r="L7860" s="1063"/>
    </row>
    <row r="7861" spans="5:12" x14ac:dyDescent="0.2">
      <c r="E7861" s="1063"/>
      <c r="H7861" s="1066"/>
      <c r="I7861" s="1063"/>
      <c r="J7861" s="1063"/>
      <c r="K7861" s="1063"/>
      <c r="L7861" s="1063"/>
    </row>
    <row r="7862" spans="5:12" x14ac:dyDescent="0.2">
      <c r="E7862" s="1063"/>
      <c r="H7862" s="1066"/>
      <c r="I7862" s="1063"/>
      <c r="J7862" s="1063"/>
      <c r="K7862" s="1063"/>
      <c r="L7862" s="1063"/>
    </row>
    <row r="7863" spans="5:12" x14ac:dyDescent="0.2">
      <c r="E7863" s="1063"/>
      <c r="H7863" s="1066"/>
      <c r="I7863" s="1063"/>
      <c r="J7863" s="1063"/>
      <c r="K7863" s="1063"/>
      <c r="L7863" s="1063"/>
    </row>
    <row r="7864" spans="5:12" x14ac:dyDescent="0.2">
      <c r="E7864" s="1063"/>
      <c r="H7864" s="1066"/>
      <c r="I7864" s="1063"/>
      <c r="J7864" s="1063"/>
      <c r="K7864" s="1063"/>
      <c r="L7864" s="1063"/>
    </row>
    <row r="7865" spans="5:12" x14ac:dyDescent="0.2">
      <c r="E7865" s="1063"/>
      <c r="H7865" s="1066"/>
      <c r="I7865" s="1063"/>
      <c r="J7865" s="1063"/>
      <c r="K7865" s="1063"/>
      <c r="L7865" s="1063"/>
    </row>
    <row r="7866" spans="5:12" x14ac:dyDescent="0.2">
      <c r="E7866" s="1063"/>
      <c r="H7866" s="1066"/>
      <c r="I7866" s="1063"/>
      <c r="J7866" s="1063"/>
      <c r="K7866" s="1063"/>
      <c r="L7866" s="1063"/>
    </row>
    <row r="7867" spans="5:12" x14ac:dyDescent="0.2">
      <c r="E7867" s="1063"/>
      <c r="H7867" s="1066"/>
      <c r="I7867" s="1063"/>
      <c r="J7867" s="1063"/>
      <c r="K7867" s="1063"/>
      <c r="L7867" s="1063"/>
    </row>
    <row r="7868" spans="5:12" x14ac:dyDescent="0.2">
      <c r="E7868" s="1063"/>
      <c r="H7868" s="1066"/>
      <c r="I7868" s="1063"/>
      <c r="J7868" s="1063"/>
      <c r="K7868" s="1063"/>
      <c r="L7868" s="1063"/>
    </row>
    <row r="7869" spans="5:12" x14ac:dyDescent="0.2">
      <c r="E7869" s="1063"/>
      <c r="H7869" s="1066"/>
      <c r="I7869" s="1063"/>
      <c r="J7869" s="1063"/>
      <c r="K7869" s="1063"/>
      <c r="L7869" s="1063"/>
    </row>
    <row r="7870" spans="5:12" x14ac:dyDescent="0.2">
      <c r="E7870" s="1063"/>
      <c r="H7870" s="1066"/>
      <c r="I7870" s="1063"/>
      <c r="J7870" s="1063"/>
      <c r="K7870" s="1063"/>
      <c r="L7870" s="1063"/>
    </row>
    <row r="7871" spans="5:12" x14ac:dyDescent="0.2">
      <c r="E7871" s="1063"/>
      <c r="H7871" s="1066"/>
      <c r="I7871" s="1063"/>
      <c r="J7871" s="1063"/>
      <c r="K7871" s="1063"/>
      <c r="L7871" s="1063"/>
    </row>
    <row r="7872" spans="5:12" x14ac:dyDescent="0.2">
      <c r="E7872" s="1063"/>
      <c r="H7872" s="1066"/>
      <c r="I7872" s="1063"/>
      <c r="J7872" s="1063"/>
      <c r="K7872" s="1063"/>
      <c r="L7872" s="1063"/>
    </row>
    <row r="7873" spans="5:12" x14ac:dyDescent="0.2">
      <c r="E7873" s="1063"/>
      <c r="H7873" s="1066"/>
      <c r="I7873" s="1063"/>
      <c r="J7873" s="1063"/>
      <c r="K7873" s="1063"/>
      <c r="L7873" s="1063"/>
    </row>
    <row r="7874" spans="5:12" x14ac:dyDescent="0.2">
      <c r="E7874" s="1063"/>
      <c r="H7874" s="1066"/>
      <c r="I7874" s="1063"/>
      <c r="J7874" s="1063"/>
      <c r="K7874" s="1063"/>
      <c r="L7874" s="1063"/>
    </row>
    <row r="7875" spans="5:12" x14ac:dyDescent="0.2">
      <c r="E7875" s="1063"/>
      <c r="H7875" s="1066"/>
      <c r="I7875" s="1063"/>
      <c r="J7875" s="1063"/>
      <c r="K7875" s="1063"/>
      <c r="L7875" s="1063"/>
    </row>
    <row r="7876" spans="5:12" x14ac:dyDescent="0.2">
      <c r="E7876" s="1063"/>
      <c r="H7876" s="1066"/>
      <c r="I7876" s="1063"/>
      <c r="J7876" s="1063"/>
      <c r="K7876" s="1063"/>
      <c r="L7876" s="1063"/>
    </row>
    <row r="7877" spans="5:12" x14ac:dyDescent="0.2">
      <c r="E7877" s="1063"/>
      <c r="H7877" s="1066"/>
      <c r="I7877" s="1063"/>
      <c r="J7877" s="1063"/>
      <c r="K7877" s="1063"/>
      <c r="L7877" s="1063"/>
    </row>
    <row r="7878" spans="5:12" x14ac:dyDescent="0.2">
      <c r="E7878" s="1063"/>
      <c r="H7878" s="1066"/>
      <c r="I7878" s="1063"/>
      <c r="J7878" s="1063"/>
      <c r="K7878" s="1063"/>
      <c r="L7878" s="1063"/>
    </row>
    <row r="7879" spans="5:12" x14ac:dyDescent="0.2">
      <c r="E7879" s="1063"/>
      <c r="H7879" s="1066"/>
      <c r="I7879" s="1063"/>
      <c r="J7879" s="1063"/>
      <c r="K7879" s="1063"/>
      <c r="L7879" s="1063"/>
    </row>
    <row r="7880" spans="5:12" x14ac:dyDescent="0.2">
      <c r="E7880" s="1063"/>
      <c r="H7880" s="1066"/>
      <c r="I7880" s="1063"/>
      <c r="J7880" s="1063"/>
      <c r="K7880" s="1063"/>
      <c r="L7880" s="1063"/>
    </row>
    <row r="7881" spans="5:12" x14ac:dyDescent="0.2">
      <c r="E7881" s="1063"/>
      <c r="H7881" s="1066"/>
      <c r="I7881" s="1063"/>
      <c r="J7881" s="1063"/>
      <c r="K7881" s="1063"/>
      <c r="L7881" s="1063"/>
    </row>
    <row r="7882" spans="5:12" x14ac:dyDescent="0.2">
      <c r="E7882" s="1063"/>
      <c r="H7882" s="1066"/>
      <c r="I7882" s="1063"/>
      <c r="J7882" s="1063"/>
      <c r="K7882" s="1063"/>
      <c r="L7882" s="1063"/>
    </row>
    <row r="7883" spans="5:12" x14ac:dyDescent="0.2">
      <c r="E7883" s="1063"/>
      <c r="H7883" s="1066"/>
      <c r="I7883" s="1063"/>
      <c r="J7883" s="1063"/>
      <c r="K7883" s="1063"/>
      <c r="L7883" s="1063"/>
    </row>
    <row r="7884" spans="5:12" x14ac:dyDescent="0.2">
      <c r="E7884" s="1063"/>
      <c r="H7884" s="1066"/>
      <c r="I7884" s="1063"/>
      <c r="J7884" s="1063"/>
      <c r="K7884" s="1063"/>
      <c r="L7884" s="1063"/>
    </row>
    <row r="7885" spans="5:12" x14ac:dyDescent="0.2">
      <c r="E7885" s="1063"/>
      <c r="H7885" s="1066"/>
      <c r="I7885" s="1063"/>
      <c r="J7885" s="1063"/>
      <c r="K7885" s="1063"/>
      <c r="L7885" s="1063"/>
    </row>
    <row r="7886" spans="5:12" x14ac:dyDescent="0.2">
      <c r="E7886" s="1063"/>
      <c r="H7886" s="1066"/>
      <c r="I7886" s="1063"/>
      <c r="J7886" s="1063"/>
      <c r="K7886" s="1063"/>
      <c r="L7886" s="1063"/>
    </row>
    <row r="7887" spans="5:12" x14ac:dyDescent="0.2">
      <c r="E7887" s="1063"/>
      <c r="H7887" s="1066"/>
      <c r="I7887" s="1063"/>
      <c r="J7887" s="1063"/>
      <c r="K7887" s="1063"/>
      <c r="L7887" s="1063"/>
    </row>
    <row r="7888" spans="5:12" x14ac:dyDescent="0.2">
      <c r="E7888" s="1063"/>
      <c r="H7888" s="1066"/>
      <c r="I7888" s="1063"/>
      <c r="J7888" s="1063"/>
      <c r="K7888" s="1063"/>
      <c r="L7888" s="1063"/>
    </row>
    <row r="7889" spans="5:12" x14ac:dyDescent="0.2">
      <c r="E7889" s="1063"/>
      <c r="H7889" s="1066"/>
      <c r="I7889" s="1063"/>
      <c r="J7889" s="1063"/>
      <c r="K7889" s="1063"/>
      <c r="L7889" s="1063"/>
    </row>
    <row r="7890" spans="5:12" x14ac:dyDescent="0.2">
      <c r="E7890" s="1063"/>
      <c r="H7890" s="1066"/>
      <c r="I7890" s="1063"/>
      <c r="J7890" s="1063"/>
      <c r="K7890" s="1063"/>
      <c r="L7890" s="1063"/>
    </row>
    <row r="7891" spans="5:12" x14ac:dyDescent="0.2">
      <c r="E7891" s="1063"/>
      <c r="H7891" s="1066"/>
      <c r="I7891" s="1063"/>
      <c r="J7891" s="1063"/>
      <c r="K7891" s="1063"/>
      <c r="L7891" s="1063"/>
    </row>
    <row r="7892" spans="5:12" x14ac:dyDescent="0.2">
      <c r="E7892" s="1063"/>
      <c r="H7892" s="1066"/>
      <c r="I7892" s="1063"/>
      <c r="J7892" s="1063"/>
      <c r="K7892" s="1063"/>
      <c r="L7892" s="1063"/>
    </row>
    <row r="7893" spans="5:12" x14ac:dyDescent="0.2">
      <c r="E7893" s="1063"/>
      <c r="H7893" s="1066"/>
      <c r="I7893" s="1063"/>
      <c r="J7893" s="1063"/>
      <c r="K7893" s="1063"/>
      <c r="L7893" s="1063"/>
    </row>
    <row r="7894" spans="5:12" x14ac:dyDescent="0.2">
      <c r="E7894" s="1063"/>
      <c r="H7894" s="1066"/>
      <c r="I7894" s="1063"/>
      <c r="J7894" s="1063"/>
      <c r="K7894" s="1063"/>
      <c r="L7894" s="1063"/>
    </row>
    <row r="7895" spans="5:12" x14ac:dyDescent="0.2">
      <c r="E7895" s="1063"/>
      <c r="H7895" s="1066"/>
      <c r="I7895" s="1063"/>
      <c r="J7895" s="1063"/>
      <c r="K7895" s="1063"/>
      <c r="L7895" s="1063"/>
    </row>
    <row r="7896" spans="5:12" x14ac:dyDescent="0.2">
      <c r="E7896" s="1063"/>
      <c r="H7896" s="1066"/>
      <c r="I7896" s="1063"/>
      <c r="J7896" s="1063"/>
      <c r="K7896" s="1063"/>
      <c r="L7896" s="1063"/>
    </row>
    <row r="7897" spans="5:12" x14ac:dyDescent="0.2">
      <c r="E7897" s="1063"/>
      <c r="H7897" s="1066"/>
      <c r="I7897" s="1063"/>
      <c r="J7897" s="1063"/>
      <c r="K7897" s="1063"/>
      <c r="L7897" s="1063"/>
    </row>
    <row r="7898" spans="5:12" x14ac:dyDescent="0.2">
      <c r="E7898" s="1063"/>
      <c r="H7898" s="1066"/>
      <c r="I7898" s="1063"/>
      <c r="J7898" s="1063"/>
      <c r="K7898" s="1063"/>
      <c r="L7898" s="1063"/>
    </row>
    <row r="7899" spans="5:12" x14ac:dyDescent="0.2">
      <c r="E7899" s="1063"/>
      <c r="H7899" s="1066"/>
      <c r="I7899" s="1063"/>
      <c r="J7899" s="1063"/>
      <c r="K7899" s="1063"/>
      <c r="L7899" s="1063"/>
    </row>
    <row r="7900" spans="5:12" x14ac:dyDescent="0.2">
      <c r="E7900" s="1063"/>
      <c r="H7900" s="1066"/>
      <c r="I7900" s="1063"/>
      <c r="J7900" s="1063"/>
      <c r="K7900" s="1063"/>
      <c r="L7900" s="1063"/>
    </row>
    <row r="7901" spans="5:12" x14ac:dyDescent="0.2">
      <c r="E7901" s="1063"/>
      <c r="H7901" s="1066"/>
      <c r="I7901" s="1063"/>
      <c r="J7901" s="1063"/>
      <c r="K7901" s="1063"/>
      <c r="L7901" s="1063"/>
    </row>
    <row r="7902" spans="5:12" x14ac:dyDescent="0.2">
      <c r="E7902" s="1063"/>
      <c r="H7902" s="1066"/>
      <c r="I7902" s="1063"/>
      <c r="J7902" s="1063"/>
      <c r="K7902" s="1063"/>
      <c r="L7902" s="1063"/>
    </row>
    <row r="7903" spans="5:12" x14ac:dyDescent="0.2">
      <c r="E7903" s="1063"/>
      <c r="H7903" s="1066"/>
      <c r="I7903" s="1063"/>
      <c r="J7903" s="1063"/>
      <c r="K7903" s="1063"/>
      <c r="L7903" s="1063"/>
    </row>
    <row r="7904" spans="5:12" x14ac:dyDescent="0.2">
      <c r="E7904" s="1063"/>
      <c r="H7904" s="1066"/>
      <c r="I7904" s="1063"/>
      <c r="J7904" s="1063"/>
      <c r="K7904" s="1063"/>
      <c r="L7904" s="1063"/>
    </row>
    <row r="7905" spans="5:12" x14ac:dyDescent="0.2">
      <c r="E7905" s="1063"/>
      <c r="H7905" s="1066"/>
      <c r="I7905" s="1063"/>
      <c r="J7905" s="1063"/>
      <c r="K7905" s="1063"/>
      <c r="L7905" s="1063"/>
    </row>
    <row r="7906" spans="5:12" x14ac:dyDescent="0.2">
      <c r="E7906" s="1063"/>
      <c r="H7906" s="1066"/>
      <c r="I7906" s="1063"/>
      <c r="J7906" s="1063"/>
      <c r="K7906" s="1063"/>
      <c r="L7906" s="1063"/>
    </row>
    <row r="7907" spans="5:12" x14ac:dyDescent="0.2">
      <c r="E7907" s="1063"/>
      <c r="H7907" s="1066"/>
      <c r="I7907" s="1063"/>
      <c r="J7907" s="1063"/>
      <c r="K7907" s="1063"/>
      <c r="L7907" s="1063"/>
    </row>
    <row r="7908" spans="5:12" x14ac:dyDescent="0.2">
      <c r="E7908" s="1063"/>
      <c r="H7908" s="1066"/>
      <c r="I7908" s="1063"/>
      <c r="J7908" s="1063"/>
      <c r="K7908" s="1063"/>
      <c r="L7908" s="1063"/>
    </row>
    <row r="7909" spans="5:12" x14ac:dyDescent="0.2">
      <c r="E7909" s="1063"/>
      <c r="H7909" s="1066"/>
      <c r="I7909" s="1063"/>
      <c r="J7909" s="1063"/>
      <c r="K7909" s="1063"/>
      <c r="L7909" s="1063"/>
    </row>
    <row r="7910" spans="5:12" x14ac:dyDescent="0.2">
      <c r="E7910" s="1063"/>
      <c r="H7910" s="1066"/>
      <c r="I7910" s="1063"/>
      <c r="J7910" s="1063"/>
      <c r="K7910" s="1063"/>
      <c r="L7910" s="1063"/>
    </row>
    <row r="7911" spans="5:12" x14ac:dyDescent="0.2">
      <c r="E7911" s="1063"/>
      <c r="H7911" s="1066"/>
      <c r="I7911" s="1063"/>
      <c r="J7911" s="1063"/>
      <c r="K7911" s="1063"/>
      <c r="L7911" s="1063"/>
    </row>
    <row r="7912" spans="5:12" x14ac:dyDescent="0.2">
      <c r="E7912" s="1063"/>
      <c r="H7912" s="1066"/>
      <c r="I7912" s="1063"/>
      <c r="J7912" s="1063"/>
      <c r="K7912" s="1063"/>
      <c r="L7912" s="1063"/>
    </row>
    <row r="7913" spans="5:12" x14ac:dyDescent="0.2">
      <c r="E7913" s="1063"/>
      <c r="H7913" s="1066"/>
      <c r="I7913" s="1063"/>
      <c r="J7913" s="1063"/>
      <c r="K7913" s="1063"/>
      <c r="L7913" s="1063"/>
    </row>
    <row r="7914" spans="5:12" x14ac:dyDescent="0.2">
      <c r="E7914" s="1063"/>
      <c r="H7914" s="1066"/>
      <c r="I7914" s="1063"/>
      <c r="J7914" s="1063"/>
      <c r="K7914" s="1063"/>
      <c r="L7914" s="1063"/>
    </row>
    <row r="7915" spans="5:12" x14ac:dyDescent="0.2">
      <c r="E7915" s="1063"/>
      <c r="H7915" s="1066"/>
      <c r="I7915" s="1063"/>
      <c r="J7915" s="1063"/>
      <c r="K7915" s="1063"/>
      <c r="L7915" s="1063"/>
    </row>
    <row r="7916" spans="5:12" x14ac:dyDescent="0.2">
      <c r="E7916" s="1063"/>
      <c r="H7916" s="1066"/>
      <c r="I7916" s="1063"/>
      <c r="J7916" s="1063"/>
      <c r="K7916" s="1063"/>
      <c r="L7916" s="1063"/>
    </row>
    <row r="7917" spans="5:12" x14ac:dyDescent="0.2">
      <c r="E7917" s="1063"/>
      <c r="H7917" s="1066"/>
      <c r="I7917" s="1063"/>
      <c r="J7917" s="1063"/>
      <c r="K7917" s="1063"/>
      <c r="L7917" s="1063"/>
    </row>
    <row r="7918" spans="5:12" x14ac:dyDescent="0.2">
      <c r="E7918" s="1063"/>
      <c r="H7918" s="1066"/>
      <c r="I7918" s="1063"/>
      <c r="J7918" s="1063"/>
      <c r="K7918" s="1063"/>
      <c r="L7918" s="1063"/>
    </row>
    <row r="7919" spans="5:12" x14ac:dyDescent="0.2">
      <c r="E7919" s="1063"/>
      <c r="H7919" s="1066"/>
      <c r="I7919" s="1063"/>
      <c r="J7919" s="1063"/>
      <c r="K7919" s="1063"/>
      <c r="L7919" s="1063"/>
    </row>
    <row r="7920" spans="5:12" x14ac:dyDescent="0.2">
      <c r="E7920" s="1063"/>
      <c r="H7920" s="1066"/>
      <c r="I7920" s="1063"/>
      <c r="J7920" s="1063"/>
      <c r="K7920" s="1063"/>
      <c r="L7920" s="1063"/>
    </row>
    <row r="7921" spans="5:12" x14ac:dyDescent="0.2">
      <c r="E7921" s="1063"/>
      <c r="H7921" s="1066"/>
      <c r="I7921" s="1063"/>
      <c r="J7921" s="1063"/>
      <c r="K7921" s="1063"/>
      <c r="L7921" s="1063"/>
    </row>
    <row r="7922" spans="5:12" x14ac:dyDescent="0.2">
      <c r="E7922" s="1063"/>
      <c r="H7922" s="1066"/>
      <c r="I7922" s="1063"/>
      <c r="J7922" s="1063"/>
      <c r="K7922" s="1063"/>
      <c r="L7922" s="1063"/>
    </row>
    <row r="7923" spans="5:12" x14ac:dyDescent="0.2">
      <c r="E7923" s="1063"/>
      <c r="H7923" s="1066"/>
      <c r="I7923" s="1063"/>
      <c r="J7923" s="1063"/>
      <c r="K7923" s="1063"/>
      <c r="L7923" s="1063"/>
    </row>
    <row r="7924" spans="5:12" x14ac:dyDescent="0.2">
      <c r="E7924" s="1063"/>
      <c r="H7924" s="1066"/>
      <c r="I7924" s="1063"/>
      <c r="J7924" s="1063"/>
      <c r="K7924" s="1063"/>
      <c r="L7924" s="1063"/>
    </row>
    <row r="7925" spans="5:12" x14ac:dyDescent="0.2">
      <c r="E7925" s="1063"/>
      <c r="H7925" s="1066"/>
      <c r="I7925" s="1063"/>
      <c r="J7925" s="1063"/>
      <c r="K7925" s="1063"/>
      <c r="L7925" s="1063"/>
    </row>
    <row r="7926" spans="5:12" x14ac:dyDescent="0.2">
      <c r="E7926" s="1063"/>
      <c r="H7926" s="1066"/>
      <c r="I7926" s="1063"/>
      <c r="J7926" s="1063"/>
      <c r="K7926" s="1063"/>
      <c r="L7926" s="1063"/>
    </row>
    <row r="7927" spans="5:12" x14ac:dyDescent="0.2">
      <c r="E7927" s="1063"/>
      <c r="H7927" s="1066"/>
      <c r="I7927" s="1063"/>
      <c r="J7927" s="1063"/>
      <c r="K7927" s="1063"/>
      <c r="L7927" s="1063"/>
    </row>
    <row r="7928" spans="5:12" x14ac:dyDescent="0.2">
      <c r="E7928" s="1063"/>
      <c r="H7928" s="1066"/>
      <c r="I7928" s="1063"/>
      <c r="J7928" s="1063"/>
      <c r="K7928" s="1063"/>
      <c r="L7928" s="1063"/>
    </row>
    <row r="7929" spans="5:12" x14ac:dyDescent="0.2">
      <c r="E7929" s="1063"/>
      <c r="H7929" s="1066"/>
      <c r="I7929" s="1063"/>
      <c r="J7929" s="1063"/>
      <c r="K7929" s="1063"/>
      <c r="L7929" s="1063"/>
    </row>
    <row r="7930" spans="5:12" x14ac:dyDescent="0.2">
      <c r="E7930" s="1063"/>
      <c r="H7930" s="1066"/>
      <c r="I7930" s="1063"/>
      <c r="J7930" s="1063"/>
      <c r="K7930" s="1063"/>
      <c r="L7930" s="1063"/>
    </row>
    <row r="7931" spans="5:12" x14ac:dyDescent="0.2">
      <c r="E7931" s="1063"/>
      <c r="H7931" s="1066"/>
      <c r="I7931" s="1063"/>
      <c r="J7931" s="1063"/>
      <c r="K7931" s="1063"/>
      <c r="L7931" s="1063"/>
    </row>
    <row r="7932" spans="5:12" x14ac:dyDescent="0.2">
      <c r="E7932" s="1063"/>
      <c r="H7932" s="1066"/>
      <c r="I7932" s="1063"/>
      <c r="J7932" s="1063"/>
      <c r="K7932" s="1063"/>
      <c r="L7932" s="1063"/>
    </row>
    <row r="7933" spans="5:12" x14ac:dyDescent="0.2">
      <c r="E7933" s="1063"/>
      <c r="H7933" s="1066"/>
      <c r="I7933" s="1063"/>
      <c r="J7933" s="1063"/>
      <c r="K7933" s="1063"/>
      <c r="L7933" s="1063"/>
    </row>
    <row r="7934" spans="5:12" x14ac:dyDescent="0.2">
      <c r="E7934" s="1063"/>
      <c r="H7934" s="1066"/>
      <c r="I7934" s="1063"/>
      <c r="J7934" s="1063"/>
      <c r="K7934" s="1063"/>
      <c r="L7934" s="1063"/>
    </row>
    <row r="7935" spans="5:12" x14ac:dyDescent="0.2">
      <c r="E7935" s="1063"/>
      <c r="H7935" s="1066"/>
      <c r="I7935" s="1063"/>
      <c r="J7935" s="1063"/>
      <c r="K7935" s="1063"/>
      <c r="L7935" s="1063"/>
    </row>
    <row r="7936" spans="5:12" x14ac:dyDescent="0.2">
      <c r="E7936" s="1063"/>
      <c r="H7936" s="1066"/>
      <c r="I7936" s="1063"/>
      <c r="J7936" s="1063"/>
      <c r="K7936" s="1063"/>
      <c r="L7936" s="1063"/>
    </row>
    <row r="7937" spans="5:12" x14ac:dyDescent="0.2">
      <c r="E7937" s="1063"/>
      <c r="H7937" s="1066"/>
      <c r="I7937" s="1063"/>
      <c r="J7937" s="1063"/>
      <c r="K7937" s="1063"/>
      <c r="L7937" s="1063"/>
    </row>
    <row r="7938" spans="5:12" x14ac:dyDescent="0.2">
      <c r="E7938" s="1063"/>
      <c r="H7938" s="1066"/>
      <c r="I7938" s="1063"/>
      <c r="J7938" s="1063"/>
      <c r="K7938" s="1063"/>
      <c r="L7938" s="1063"/>
    </row>
    <row r="7939" spans="5:12" x14ac:dyDescent="0.2">
      <c r="E7939" s="1063"/>
      <c r="H7939" s="1066"/>
      <c r="I7939" s="1063"/>
      <c r="J7939" s="1063"/>
      <c r="K7939" s="1063"/>
      <c r="L7939" s="1063"/>
    </row>
    <row r="7940" spans="5:12" x14ac:dyDescent="0.2">
      <c r="E7940" s="1063"/>
      <c r="H7940" s="1066"/>
      <c r="I7940" s="1063"/>
      <c r="J7940" s="1063"/>
      <c r="K7940" s="1063"/>
      <c r="L7940" s="1063"/>
    </row>
    <row r="7941" spans="5:12" x14ac:dyDescent="0.2">
      <c r="E7941" s="1063"/>
      <c r="H7941" s="1066"/>
      <c r="I7941" s="1063"/>
      <c r="J7941" s="1063"/>
      <c r="K7941" s="1063"/>
      <c r="L7941" s="1063"/>
    </row>
    <row r="7942" spans="5:12" x14ac:dyDescent="0.2">
      <c r="E7942" s="1063"/>
      <c r="H7942" s="1066"/>
      <c r="I7942" s="1063"/>
      <c r="J7942" s="1063"/>
      <c r="K7942" s="1063"/>
      <c r="L7942" s="1063"/>
    </row>
    <row r="7943" spans="5:12" x14ac:dyDescent="0.2">
      <c r="E7943" s="1063"/>
      <c r="H7943" s="1066"/>
      <c r="I7943" s="1063"/>
      <c r="J7943" s="1063"/>
      <c r="K7943" s="1063"/>
      <c r="L7943" s="1063"/>
    </row>
    <row r="7944" spans="5:12" x14ac:dyDescent="0.2">
      <c r="E7944" s="1063"/>
      <c r="H7944" s="1066"/>
      <c r="I7944" s="1063"/>
      <c r="J7944" s="1063"/>
      <c r="K7944" s="1063"/>
      <c r="L7944" s="1063"/>
    </row>
    <row r="7945" spans="5:12" x14ac:dyDescent="0.2">
      <c r="E7945" s="1063"/>
      <c r="H7945" s="1066"/>
      <c r="I7945" s="1063"/>
      <c r="J7945" s="1063"/>
      <c r="K7945" s="1063"/>
      <c r="L7945" s="1063"/>
    </row>
    <row r="7946" spans="5:12" x14ac:dyDescent="0.2">
      <c r="E7946" s="1063"/>
      <c r="H7946" s="1066"/>
      <c r="I7946" s="1063"/>
      <c r="J7946" s="1063"/>
      <c r="K7946" s="1063"/>
      <c r="L7946" s="1063"/>
    </row>
    <row r="7947" spans="5:12" x14ac:dyDescent="0.2">
      <c r="E7947" s="1063"/>
      <c r="H7947" s="1066"/>
      <c r="I7947" s="1063"/>
      <c r="J7947" s="1063"/>
      <c r="K7947" s="1063"/>
      <c r="L7947" s="1063"/>
    </row>
    <row r="7948" spans="5:12" x14ac:dyDescent="0.2">
      <c r="E7948" s="1063"/>
      <c r="H7948" s="1066"/>
      <c r="I7948" s="1063"/>
      <c r="J7948" s="1063"/>
      <c r="K7948" s="1063"/>
      <c r="L7948" s="1063"/>
    </row>
    <row r="7949" spans="5:12" x14ac:dyDescent="0.2">
      <c r="E7949" s="1063"/>
      <c r="H7949" s="1066"/>
      <c r="I7949" s="1063"/>
      <c r="J7949" s="1063"/>
      <c r="K7949" s="1063"/>
      <c r="L7949" s="1063"/>
    </row>
    <row r="7950" spans="5:12" x14ac:dyDescent="0.2">
      <c r="E7950" s="1063"/>
      <c r="H7950" s="1066"/>
      <c r="I7950" s="1063"/>
      <c r="J7950" s="1063"/>
      <c r="K7950" s="1063"/>
      <c r="L7950" s="1063"/>
    </row>
    <row r="7951" spans="5:12" x14ac:dyDescent="0.2">
      <c r="E7951" s="1063"/>
      <c r="H7951" s="1066"/>
      <c r="I7951" s="1063"/>
      <c r="J7951" s="1063"/>
      <c r="K7951" s="1063"/>
      <c r="L7951" s="1063"/>
    </row>
    <row r="7952" spans="5:12" x14ac:dyDescent="0.2">
      <c r="E7952" s="1063"/>
      <c r="H7952" s="1066"/>
      <c r="I7952" s="1063"/>
      <c r="J7952" s="1063"/>
      <c r="K7952" s="1063"/>
      <c r="L7952" s="1063"/>
    </row>
    <row r="7953" spans="5:12" x14ac:dyDescent="0.2">
      <c r="E7953" s="1063"/>
      <c r="H7953" s="1066"/>
      <c r="I7953" s="1063"/>
      <c r="J7953" s="1063"/>
      <c r="K7953" s="1063"/>
      <c r="L7953" s="1063"/>
    </row>
    <row r="7954" spans="5:12" x14ac:dyDescent="0.2">
      <c r="E7954" s="1063"/>
      <c r="H7954" s="1066"/>
      <c r="I7954" s="1063"/>
      <c r="J7954" s="1063"/>
      <c r="K7954" s="1063"/>
      <c r="L7954" s="1063"/>
    </row>
    <row r="7955" spans="5:12" x14ac:dyDescent="0.2">
      <c r="E7955" s="1063"/>
      <c r="H7955" s="1066"/>
      <c r="I7955" s="1063"/>
      <c r="J7955" s="1063"/>
      <c r="K7955" s="1063"/>
      <c r="L7955" s="1063"/>
    </row>
    <row r="7956" spans="5:12" x14ac:dyDescent="0.2">
      <c r="E7956" s="1063"/>
      <c r="H7956" s="1066"/>
      <c r="I7956" s="1063"/>
      <c r="J7956" s="1063"/>
      <c r="K7956" s="1063"/>
      <c r="L7956" s="1063"/>
    </row>
    <row r="7957" spans="5:12" x14ac:dyDescent="0.2">
      <c r="E7957" s="1063"/>
      <c r="H7957" s="1066"/>
      <c r="I7957" s="1063"/>
      <c r="J7957" s="1063"/>
      <c r="K7957" s="1063"/>
      <c r="L7957" s="1063"/>
    </row>
    <row r="7958" spans="5:12" x14ac:dyDescent="0.2">
      <c r="E7958" s="1063"/>
      <c r="H7958" s="1066"/>
      <c r="I7958" s="1063"/>
      <c r="J7958" s="1063"/>
      <c r="K7958" s="1063"/>
      <c r="L7958" s="1063"/>
    </row>
    <row r="7959" spans="5:12" x14ac:dyDescent="0.2">
      <c r="E7959" s="1063"/>
      <c r="H7959" s="1066"/>
      <c r="I7959" s="1063"/>
      <c r="J7959" s="1063"/>
      <c r="K7959" s="1063"/>
      <c r="L7959" s="1063"/>
    </row>
    <row r="7960" spans="5:12" x14ac:dyDescent="0.2">
      <c r="E7960" s="1063"/>
      <c r="H7960" s="1066"/>
      <c r="I7960" s="1063"/>
      <c r="J7960" s="1063"/>
      <c r="K7960" s="1063"/>
      <c r="L7960" s="1063"/>
    </row>
    <row r="7961" spans="5:12" x14ac:dyDescent="0.2">
      <c r="E7961" s="1063"/>
      <c r="H7961" s="1066"/>
      <c r="I7961" s="1063"/>
      <c r="J7961" s="1063"/>
      <c r="K7961" s="1063"/>
      <c r="L7961" s="1063"/>
    </row>
    <row r="7962" spans="5:12" x14ac:dyDescent="0.2">
      <c r="E7962" s="1063"/>
      <c r="H7962" s="1066"/>
      <c r="I7962" s="1063"/>
      <c r="J7962" s="1063"/>
      <c r="K7962" s="1063"/>
      <c r="L7962" s="1063"/>
    </row>
    <row r="7963" spans="5:12" x14ac:dyDescent="0.2">
      <c r="E7963" s="1063"/>
      <c r="H7963" s="1066"/>
      <c r="I7963" s="1063"/>
      <c r="J7963" s="1063"/>
      <c r="K7963" s="1063"/>
      <c r="L7963" s="1063"/>
    </row>
    <row r="7964" spans="5:12" x14ac:dyDescent="0.2">
      <c r="E7964" s="1063"/>
      <c r="H7964" s="1066"/>
      <c r="I7964" s="1063"/>
      <c r="J7964" s="1063"/>
      <c r="K7964" s="1063"/>
      <c r="L7964" s="1063"/>
    </row>
    <row r="7965" spans="5:12" x14ac:dyDescent="0.2">
      <c r="E7965" s="1063"/>
      <c r="H7965" s="1066"/>
      <c r="I7965" s="1063"/>
      <c r="J7965" s="1063"/>
      <c r="K7965" s="1063"/>
      <c r="L7965" s="1063"/>
    </row>
    <row r="7966" spans="5:12" x14ac:dyDescent="0.2">
      <c r="E7966" s="1063"/>
      <c r="H7966" s="1066"/>
      <c r="I7966" s="1063"/>
      <c r="J7966" s="1063"/>
      <c r="K7966" s="1063"/>
      <c r="L7966" s="1063"/>
    </row>
    <row r="7967" spans="5:12" x14ac:dyDescent="0.2">
      <c r="E7967" s="1063"/>
      <c r="H7967" s="1066"/>
      <c r="I7967" s="1063"/>
      <c r="J7967" s="1063"/>
      <c r="K7967" s="1063"/>
      <c r="L7967" s="1063"/>
    </row>
    <row r="7968" spans="5:12" x14ac:dyDescent="0.2">
      <c r="E7968" s="1063"/>
      <c r="H7968" s="1066"/>
      <c r="I7968" s="1063"/>
      <c r="J7968" s="1063"/>
      <c r="K7968" s="1063"/>
      <c r="L7968" s="1063"/>
    </row>
    <row r="7969" spans="5:12" x14ac:dyDescent="0.2">
      <c r="E7969" s="1063"/>
      <c r="H7969" s="1066"/>
      <c r="I7969" s="1063"/>
      <c r="J7969" s="1063"/>
      <c r="K7969" s="1063"/>
      <c r="L7969" s="1063"/>
    </row>
    <row r="7970" spans="5:12" x14ac:dyDescent="0.2">
      <c r="E7970" s="1063"/>
      <c r="H7970" s="1066"/>
      <c r="I7970" s="1063"/>
      <c r="J7970" s="1063"/>
      <c r="K7970" s="1063"/>
      <c r="L7970" s="1063"/>
    </row>
    <row r="7971" spans="5:12" x14ac:dyDescent="0.2">
      <c r="E7971" s="1063"/>
      <c r="H7971" s="1066"/>
      <c r="I7971" s="1063"/>
      <c r="J7971" s="1063"/>
      <c r="K7971" s="1063"/>
      <c r="L7971" s="1063"/>
    </row>
    <row r="7972" spans="5:12" x14ac:dyDescent="0.2">
      <c r="E7972" s="1063"/>
      <c r="H7972" s="1066"/>
      <c r="I7972" s="1063"/>
      <c r="J7972" s="1063"/>
      <c r="K7972" s="1063"/>
      <c r="L7972" s="1063"/>
    </row>
    <row r="7973" spans="5:12" x14ac:dyDescent="0.2">
      <c r="E7973" s="1063"/>
      <c r="H7973" s="1066"/>
      <c r="I7973" s="1063"/>
      <c r="J7973" s="1063"/>
      <c r="K7973" s="1063"/>
      <c r="L7973" s="1063"/>
    </row>
    <row r="7974" spans="5:12" x14ac:dyDescent="0.2">
      <c r="E7974" s="1063"/>
      <c r="H7974" s="1066"/>
      <c r="I7974" s="1063"/>
      <c r="J7974" s="1063"/>
      <c r="K7974" s="1063"/>
      <c r="L7974" s="1063"/>
    </row>
    <row r="7975" spans="5:12" x14ac:dyDescent="0.2">
      <c r="E7975" s="1063"/>
      <c r="H7975" s="1066"/>
      <c r="I7975" s="1063"/>
      <c r="J7975" s="1063"/>
      <c r="K7975" s="1063"/>
      <c r="L7975" s="1063"/>
    </row>
    <row r="7976" spans="5:12" x14ac:dyDescent="0.2">
      <c r="E7976" s="1063"/>
      <c r="H7976" s="1066"/>
      <c r="I7976" s="1063"/>
      <c r="J7976" s="1063"/>
      <c r="K7976" s="1063"/>
      <c r="L7976" s="1063"/>
    </row>
    <row r="7977" spans="5:12" x14ac:dyDescent="0.2">
      <c r="E7977" s="1063"/>
      <c r="H7977" s="1066"/>
      <c r="I7977" s="1063"/>
      <c r="J7977" s="1063"/>
      <c r="K7977" s="1063"/>
      <c r="L7977" s="1063"/>
    </row>
    <row r="7978" spans="5:12" x14ac:dyDescent="0.2">
      <c r="E7978" s="1063"/>
      <c r="H7978" s="1066"/>
      <c r="I7978" s="1063"/>
      <c r="J7978" s="1063"/>
      <c r="K7978" s="1063"/>
      <c r="L7978" s="1063"/>
    </row>
    <row r="7979" spans="5:12" x14ac:dyDescent="0.2">
      <c r="E7979" s="1063"/>
      <c r="H7979" s="1066"/>
      <c r="I7979" s="1063"/>
      <c r="J7979" s="1063"/>
      <c r="K7979" s="1063"/>
      <c r="L7979" s="1063"/>
    </row>
    <row r="7980" spans="5:12" x14ac:dyDescent="0.2">
      <c r="E7980" s="1063"/>
      <c r="H7980" s="1066"/>
      <c r="I7980" s="1063"/>
      <c r="J7980" s="1063"/>
      <c r="K7980" s="1063"/>
      <c r="L7980" s="1063"/>
    </row>
    <row r="7981" spans="5:12" x14ac:dyDescent="0.2">
      <c r="E7981" s="1063"/>
      <c r="H7981" s="1066"/>
      <c r="I7981" s="1063"/>
      <c r="J7981" s="1063"/>
      <c r="K7981" s="1063"/>
      <c r="L7981" s="1063"/>
    </row>
    <row r="7982" spans="5:12" x14ac:dyDescent="0.2">
      <c r="E7982" s="1063"/>
      <c r="H7982" s="1066"/>
      <c r="I7982" s="1063"/>
      <c r="J7982" s="1063"/>
      <c r="K7982" s="1063"/>
      <c r="L7982" s="1063"/>
    </row>
    <row r="7983" spans="5:12" x14ac:dyDescent="0.2">
      <c r="E7983" s="1063"/>
      <c r="H7983" s="1066"/>
      <c r="I7983" s="1063"/>
      <c r="J7983" s="1063"/>
      <c r="K7983" s="1063"/>
      <c r="L7983" s="1063"/>
    </row>
    <row r="7984" spans="5:12" x14ac:dyDescent="0.2">
      <c r="E7984" s="1063"/>
      <c r="H7984" s="1066"/>
      <c r="I7984" s="1063"/>
      <c r="J7984" s="1063"/>
      <c r="K7984" s="1063"/>
      <c r="L7984" s="1063"/>
    </row>
    <row r="7985" spans="5:12" x14ac:dyDescent="0.2">
      <c r="E7985" s="1063"/>
      <c r="H7985" s="1066"/>
      <c r="I7985" s="1063"/>
      <c r="J7985" s="1063"/>
      <c r="K7985" s="1063"/>
      <c r="L7985" s="1063"/>
    </row>
    <row r="7986" spans="5:12" x14ac:dyDescent="0.2">
      <c r="E7986" s="1063"/>
      <c r="H7986" s="1066"/>
      <c r="I7986" s="1063"/>
      <c r="J7986" s="1063"/>
      <c r="K7986" s="1063"/>
      <c r="L7986" s="1063"/>
    </row>
    <row r="7987" spans="5:12" x14ac:dyDescent="0.2">
      <c r="E7987" s="1063"/>
      <c r="H7987" s="1066"/>
      <c r="I7987" s="1063"/>
      <c r="J7987" s="1063"/>
      <c r="K7987" s="1063"/>
      <c r="L7987" s="1063"/>
    </row>
    <row r="7988" spans="5:12" x14ac:dyDescent="0.2">
      <c r="E7988" s="1063"/>
      <c r="H7988" s="1066"/>
      <c r="I7988" s="1063"/>
      <c r="J7988" s="1063"/>
      <c r="K7988" s="1063"/>
      <c r="L7988" s="1063"/>
    </row>
    <row r="7989" spans="5:12" x14ac:dyDescent="0.2">
      <c r="E7989" s="1063"/>
      <c r="H7989" s="1066"/>
      <c r="I7989" s="1063"/>
      <c r="J7989" s="1063"/>
      <c r="K7989" s="1063"/>
      <c r="L7989" s="1063"/>
    </row>
    <row r="7990" spans="5:12" x14ac:dyDescent="0.2">
      <c r="E7990" s="1063"/>
      <c r="H7990" s="1066"/>
      <c r="I7990" s="1063"/>
      <c r="J7990" s="1063"/>
      <c r="K7990" s="1063"/>
      <c r="L7990" s="1063"/>
    </row>
    <row r="7991" spans="5:12" x14ac:dyDescent="0.2">
      <c r="E7991" s="1063"/>
      <c r="H7991" s="1066"/>
      <c r="I7991" s="1063"/>
      <c r="J7991" s="1063"/>
      <c r="K7991" s="1063"/>
      <c r="L7991" s="1063"/>
    </row>
    <row r="7992" spans="5:12" x14ac:dyDescent="0.2">
      <c r="E7992" s="1063"/>
      <c r="H7992" s="1066"/>
      <c r="I7992" s="1063"/>
      <c r="J7992" s="1063"/>
      <c r="K7992" s="1063"/>
      <c r="L7992" s="1063"/>
    </row>
    <row r="7993" spans="5:12" x14ac:dyDescent="0.2">
      <c r="E7993" s="1063"/>
      <c r="H7993" s="1066"/>
      <c r="I7993" s="1063"/>
      <c r="J7993" s="1063"/>
      <c r="K7993" s="1063"/>
      <c r="L7993" s="1063"/>
    </row>
    <row r="7994" spans="5:12" x14ac:dyDescent="0.2">
      <c r="E7994" s="1063"/>
      <c r="H7994" s="1066"/>
      <c r="I7994" s="1063"/>
      <c r="J7994" s="1063"/>
      <c r="K7994" s="1063"/>
      <c r="L7994" s="1063"/>
    </row>
    <row r="7995" spans="5:12" x14ac:dyDescent="0.2">
      <c r="E7995" s="1063"/>
      <c r="H7995" s="1066"/>
      <c r="I7995" s="1063"/>
      <c r="J7995" s="1063"/>
      <c r="K7995" s="1063"/>
      <c r="L7995" s="1063"/>
    </row>
    <row r="7996" spans="5:12" x14ac:dyDescent="0.2">
      <c r="E7996" s="1063"/>
      <c r="H7996" s="1066"/>
      <c r="I7996" s="1063"/>
      <c r="J7996" s="1063"/>
      <c r="K7996" s="1063"/>
      <c r="L7996" s="1063"/>
    </row>
    <row r="7997" spans="5:12" x14ac:dyDescent="0.2">
      <c r="E7997" s="1063"/>
      <c r="H7997" s="1066"/>
      <c r="I7997" s="1063"/>
      <c r="J7997" s="1063"/>
      <c r="K7997" s="1063"/>
      <c r="L7997" s="1063"/>
    </row>
    <row r="7998" spans="5:12" x14ac:dyDescent="0.2">
      <c r="E7998" s="1063"/>
      <c r="H7998" s="1066"/>
      <c r="I7998" s="1063"/>
      <c r="J7998" s="1063"/>
      <c r="K7998" s="1063"/>
      <c r="L7998" s="1063"/>
    </row>
    <row r="7999" spans="5:12" x14ac:dyDescent="0.2">
      <c r="E7999" s="1063"/>
      <c r="H7999" s="1066"/>
      <c r="I7999" s="1063"/>
      <c r="J7999" s="1063"/>
      <c r="K7999" s="1063"/>
      <c r="L7999" s="1063"/>
    </row>
    <row r="8000" spans="5:12" x14ac:dyDescent="0.2">
      <c r="E8000" s="1063"/>
      <c r="H8000" s="1066"/>
      <c r="I8000" s="1063"/>
      <c r="J8000" s="1063"/>
      <c r="K8000" s="1063"/>
      <c r="L8000" s="1063"/>
    </row>
    <row r="8001" spans="5:12" x14ac:dyDescent="0.2">
      <c r="E8001" s="1063"/>
      <c r="H8001" s="1066"/>
      <c r="I8001" s="1063"/>
      <c r="J8001" s="1063"/>
      <c r="K8001" s="1063"/>
      <c r="L8001" s="1063"/>
    </row>
    <row r="8002" spans="5:12" x14ac:dyDescent="0.2">
      <c r="E8002" s="1063"/>
      <c r="H8002" s="1066"/>
      <c r="I8002" s="1063"/>
      <c r="J8002" s="1063"/>
      <c r="K8002" s="1063"/>
      <c r="L8002" s="1063"/>
    </row>
    <row r="8003" spans="5:12" x14ac:dyDescent="0.2">
      <c r="E8003" s="1063"/>
      <c r="H8003" s="1066"/>
      <c r="I8003" s="1063"/>
      <c r="J8003" s="1063"/>
      <c r="K8003" s="1063"/>
      <c r="L8003" s="1063"/>
    </row>
    <row r="8004" spans="5:12" x14ac:dyDescent="0.2">
      <c r="E8004" s="1063"/>
      <c r="H8004" s="1066"/>
      <c r="I8004" s="1063"/>
      <c r="J8004" s="1063"/>
      <c r="K8004" s="1063"/>
      <c r="L8004" s="1063"/>
    </row>
    <row r="8005" spans="5:12" x14ac:dyDescent="0.2">
      <c r="E8005" s="1063"/>
      <c r="H8005" s="1066"/>
      <c r="I8005" s="1063"/>
      <c r="J8005" s="1063"/>
      <c r="K8005" s="1063"/>
      <c r="L8005" s="1063"/>
    </row>
    <row r="8006" spans="5:12" x14ac:dyDescent="0.2">
      <c r="E8006" s="1063"/>
      <c r="H8006" s="1066"/>
      <c r="I8006" s="1063"/>
      <c r="J8006" s="1063"/>
      <c r="K8006" s="1063"/>
      <c r="L8006" s="1063"/>
    </row>
    <row r="8007" spans="5:12" x14ac:dyDescent="0.2">
      <c r="E8007" s="1063"/>
      <c r="H8007" s="1066"/>
      <c r="I8007" s="1063"/>
      <c r="J8007" s="1063"/>
      <c r="K8007" s="1063"/>
      <c r="L8007" s="1063"/>
    </row>
    <row r="8008" spans="5:12" x14ac:dyDescent="0.2">
      <c r="E8008" s="1063"/>
      <c r="H8008" s="1066"/>
      <c r="I8008" s="1063"/>
      <c r="J8008" s="1063"/>
      <c r="K8008" s="1063"/>
      <c r="L8008" s="1063"/>
    </row>
    <row r="8009" spans="5:12" x14ac:dyDescent="0.2">
      <c r="E8009" s="1063"/>
      <c r="H8009" s="1066"/>
      <c r="I8009" s="1063"/>
      <c r="J8009" s="1063"/>
      <c r="K8009" s="1063"/>
      <c r="L8009" s="1063"/>
    </row>
    <row r="8010" spans="5:12" x14ac:dyDescent="0.2">
      <c r="E8010" s="1063"/>
      <c r="H8010" s="1066"/>
      <c r="I8010" s="1063"/>
      <c r="J8010" s="1063"/>
      <c r="K8010" s="1063"/>
      <c r="L8010" s="1063"/>
    </row>
    <row r="8011" spans="5:12" x14ac:dyDescent="0.2">
      <c r="E8011" s="1063"/>
      <c r="H8011" s="1066"/>
      <c r="I8011" s="1063"/>
      <c r="J8011" s="1063"/>
      <c r="K8011" s="1063"/>
      <c r="L8011" s="1063"/>
    </row>
    <row r="8012" spans="5:12" x14ac:dyDescent="0.2">
      <c r="E8012" s="1063"/>
      <c r="H8012" s="1066"/>
      <c r="I8012" s="1063"/>
      <c r="J8012" s="1063"/>
      <c r="K8012" s="1063"/>
      <c r="L8012" s="1063"/>
    </row>
    <row r="8013" spans="5:12" x14ac:dyDescent="0.2">
      <c r="E8013" s="1063"/>
      <c r="H8013" s="1066"/>
      <c r="I8013" s="1063"/>
      <c r="J8013" s="1063"/>
      <c r="K8013" s="1063"/>
      <c r="L8013" s="1063"/>
    </row>
    <row r="8014" spans="5:12" x14ac:dyDescent="0.2">
      <c r="E8014" s="1063"/>
      <c r="H8014" s="1066"/>
      <c r="I8014" s="1063"/>
      <c r="J8014" s="1063"/>
      <c r="K8014" s="1063"/>
      <c r="L8014" s="1063"/>
    </row>
    <row r="8015" spans="5:12" x14ac:dyDescent="0.2">
      <c r="E8015" s="1063"/>
      <c r="H8015" s="1066"/>
      <c r="I8015" s="1063"/>
      <c r="J8015" s="1063"/>
      <c r="K8015" s="1063"/>
      <c r="L8015" s="1063"/>
    </row>
    <row r="8016" spans="5:12" x14ac:dyDescent="0.2">
      <c r="E8016" s="1063"/>
      <c r="H8016" s="1066"/>
      <c r="I8016" s="1063"/>
      <c r="J8016" s="1063"/>
      <c r="K8016" s="1063"/>
      <c r="L8016" s="1063"/>
    </row>
    <row r="8017" spans="5:12" x14ac:dyDescent="0.2">
      <c r="E8017" s="1063"/>
      <c r="H8017" s="1066"/>
      <c r="I8017" s="1063"/>
      <c r="J8017" s="1063"/>
      <c r="K8017" s="1063"/>
      <c r="L8017" s="1063"/>
    </row>
    <row r="8018" spans="5:12" x14ac:dyDescent="0.2">
      <c r="E8018" s="1063"/>
      <c r="H8018" s="1066"/>
      <c r="I8018" s="1063"/>
      <c r="J8018" s="1063"/>
      <c r="K8018" s="1063"/>
      <c r="L8018" s="1063"/>
    </row>
    <row r="8019" spans="5:12" x14ac:dyDescent="0.2">
      <c r="E8019" s="1063"/>
      <c r="H8019" s="1066"/>
      <c r="I8019" s="1063"/>
      <c r="J8019" s="1063"/>
      <c r="K8019" s="1063"/>
      <c r="L8019" s="1063"/>
    </row>
    <row r="8020" spans="5:12" x14ac:dyDescent="0.2">
      <c r="E8020" s="1063"/>
      <c r="H8020" s="1066"/>
      <c r="I8020" s="1063"/>
      <c r="J8020" s="1063"/>
      <c r="K8020" s="1063"/>
      <c r="L8020" s="1063"/>
    </row>
    <row r="8021" spans="5:12" x14ac:dyDescent="0.2">
      <c r="E8021" s="1063"/>
      <c r="H8021" s="1066"/>
      <c r="I8021" s="1063"/>
      <c r="J8021" s="1063"/>
      <c r="K8021" s="1063"/>
      <c r="L8021" s="1063"/>
    </row>
    <row r="8022" spans="5:12" x14ac:dyDescent="0.2">
      <c r="E8022" s="1063"/>
      <c r="H8022" s="1066"/>
      <c r="I8022" s="1063"/>
      <c r="J8022" s="1063"/>
      <c r="K8022" s="1063"/>
      <c r="L8022" s="1063"/>
    </row>
    <row r="8023" spans="5:12" x14ac:dyDescent="0.2">
      <c r="E8023" s="1063"/>
      <c r="H8023" s="1066"/>
      <c r="I8023" s="1063"/>
      <c r="J8023" s="1063"/>
      <c r="K8023" s="1063"/>
      <c r="L8023" s="1063"/>
    </row>
    <row r="8024" spans="5:12" x14ac:dyDescent="0.2">
      <c r="E8024" s="1063"/>
      <c r="H8024" s="1066"/>
      <c r="I8024" s="1063"/>
      <c r="J8024" s="1063"/>
      <c r="K8024" s="1063"/>
      <c r="L8024" s="1063"/>
    </row>
    <row r="8025" spans="5:12" x14ac:dyDescent="0.2">
      <c r="E8025" s="1063"/>
      <c r="H8025" s="1066"/>
      <c r="I8025" s="1063"/>
      <c r="J8025" s="1063"/>
      <c r="K8025" s="1063"/>
      <c r="L8025" s="1063"/>
    </row>
    <row r="8026" spans="5:12" x14ac:dyDescent="0.2">
      <c r="E8026" s="1063"/>
      <c r="H8026" s="1066"/>
      <c r="I8026" s="1063"/>
      <c r="J8026" s="1063"/>
      <c r="K8026" s="1063"/>
      <c r="L8026" s="1063"/>
    </row>
    <row r="8027" spans="5:12" x14ac:dyDescent="0.2">
      <c r="E8027" s="1063"/>
      <c r="H8027" s="1066"/>
      <c r="I8027" s="1063"/>
      <c r="J8027" s="1063"/>
      <c r="K8027" s="1063"/>
      <c r="L8027" s="1063"/>
    </row>
    <row r="8028" spans="5:12" x14ac:dyDescent="0.2">
      <c r="E8028" s="1063"/>
      <c r="H8028" s="1066"/>
      <c r="I8028" s="1063"/>
      <c r="J8028" s="1063"/>
      <c r="K8028" s="1063"/>
      <c r="L8028" s="1063"/>
    </row>
    <row r="8029" spans="5:12" x14ac:dyDescent="0.2">
      <c r="E8029" s="1063"/>
      <c r="H8029" s="1066"/>
      <c r="I8029" s="1063"/>
      <c r="J8029" s="1063"/>
      <c r="K8029" s="1063"/>
      <c r="L8029" s="1063"/>
    </row>
    <row r="8030" spans="5:12" x14ac:dyDescent="0.2">
      <c r="E8030" s="1063"/>
      <c r="H8030" s="1066"/>
      <c r="I8030" s="1063"/>
      <c r="J8030" s="1063"/>
      <c r="K8030" s="1063"/>
      <c r="L8030" s="1063"/>
    </row>
    <row r="8031" spans="5:12" x14ac:dyDescent="0.2">
      <c r="E8031" s="1063"/>
      <c r="H8031" s="1066"/>
      <c r="I8031" s="1063"/>
      <c r="J8031" s="1063"/>
      <c r="K8031" s="1063"/>
      <c r="L8031" s="1063"/>
    </row>
    <row r="8032" spans="5:12" x14ac:dyDescent="0.2">
      <c r="E8032" s="1063"/>
      <c r="H8032" s="1066"/>
      <c r="I8032" s="1063"/>
      <c r="J8032" s="1063"/>
      <c r="K8032" s="1063"/>
      <c r="L8032" s="1063"/>
    </row>
    <row r="8033" spans="5:12" x14ac:dyDescent="0.2">
      <c r="E8033" s="1063"/>
      <c r="H8033" s="1066"/>
      <c r="I8033" s="1063"/>
      <c r="J8033" s="1063"/>
      <c r="K8033" s="1063"/>
      <c r="L8033" s="1063"/>
    </row>
    <row r="8034" spans="5:12" x14ac:dyDescent="0.2">
      <c r="E8034" s="1063"/>
      <c r="H8034" s="1066"/>
      <c r="I8034" s="1063"/>
      <c r="J8034" s="1063"/>
      <c r="K8034" s="1063"/>
      <c r="L8034" s="1063"/>
    </row>
    <row r="8035" spans="5:12" x14ac:dyDescent="0.2">
      <c r="E8035" s="1063"/>
      <c r="H8035" s="1066"/>
      <c r="I8035" s="1063"/>
      <c r="J8035" s="1063"/>
      <c r="K8035" s="1063"/>
      <c r="L8035" s="1063"/>
    </row>
    <row r="8036" spans="5:12" x14ac:dyDescent="0.2">
      <c r="E8036" s="1063"/>
      <c r="H8036" s="1066"/>
      <c r="I8036" s="1063"/>
      <c r="J8036" s="1063"/>
      <c r="K8036" s="1063"/>
      <c r="L8036" s="1063"/>
    </row>
    <row r="8037" spans="5:12" x14ac:dyDescent="0.2">
      <c r="E8037" s="1063"/>
      <c r="H8037" s="1066"/>
      <c r="I8037" s="1063"/>
      <c r="J8037" s="1063"/>
      <c r="K8037" s="1063"/>
      <c r="L8037" s="1063"/>
    </row>
    <row r="8038" spans="5:12" x14ac:dyDescent="0.2">
      <c r="E8038" s="1063"/>
      <c r="H8038" s="1066"/>
      <c r="I8038" s="1063"/>
      <c r="J8038" s="1063"/>
      <c r="K8038" s="1063"/>
      <c r="L8038" s="1063"/>
    </row>
    <row r="8039" spans="5:12" x14ac:dyDescent="0.2">
      <c r="E8039" s="1063"/>
      <c r="H8039" s="1066"/>
      <c r="I8039" s="1063"/>
      <c r="J8039" s="1063"/>
      <c r="K8039" s="1063"/>
      <c r="L8039" s="1063"/>
    </row>
    <row r="8040" spans="5:12" x14ac:dyDescent="0.2">
      <c r="E8040" s="1063"/>
      <c r="H8040" s="1066"/>
      <c r="I8040" s="1063"/>
      <c r="J8040" s="1063"/>
      <c r="K8040" s="1063"/>
      <c r="L8040" s="1063"/>
    </row>
    <row r="8041" spans="5:12" x14ac:dyDescent="0.2">
      <c r="E8041" s="1063"/>
      <c r="H8041" s="1066"/>
      <c r="I8041" s="1063"/>
      <c r="J8041" s="1063"/>
      <c r="K8041" s="1063"/>
      <c r="L8041" s="1063"/>
    </row>
    <row r="8042" spans="5:12" x14ac:dyDescent="0.2">
      <c r="E8042" s="1063"/>
      <c r="H8042" s="1066"/>
      <c r="I8042" s="1063"/>
      <c r="J8042" s="1063"/>
      <c r="K8042" s="1063"/>
      <c r="L8042" s="1063"/>
    </row>
    <row r="8043" spans="5:12" x14ac:dyDescent="0.2">
      <c r="E8043" s="1063"/>
      <c r="H8043" s="1066"/>
      <c r="I8043" s="1063"/>
      <c r="J8043" s="1063"/>
      <c r="K8043" s="1063"/>
      <c r="L8043" s="1063"/>
    </row>
    <row r="8044" spans="5:12" x14ac:dyDescent="0.2">
      <c r="E8044" s="1063"/>
      <c r="H8044" s="1066"/>
      <c r="I8044" s="1063"/>
      <c r="J8044" s="1063"/>
      <c r="K8044" s="1063"/>
      <c r="L8044" s="1063"/>
    </row>
    <row r="8045" spans="5:12" x14ac:dyDescent="0.2">
      <c r="E8045" s="1063"/>
      <c r="H8045" s="1066"/>
      <c r="I8045" s="1063"/>
      <c r="J8045" s="1063"/>
      <c r="K8045" s="1063"/>
      <c r="L8045" s="1063"/>
    </row>
    <row r="8046" spans="5:12" x14ac:dyDescent="0.2">
      <c r="E8046" s="1063"/>
      <c r="H8046" s="1066"/>
      <c r="I8046" s="1063"/>
      <c r="J8046" s="1063"/>
      <c r="K8046" s="1063"/>
      <c r="L8046" s="1063"/>
    </row>
    <row r="8047" spans="5:12" x14ac:dyDescent="0.2">
      <c r="E8047" s="1063"/>
      <c r="H8047" s="1066"/>
      <c r="I8047" s="1063"/>
      <c r="J8047" s="1063"/>
      <c r="K8047" s="1063"/>
      <c r="L8047" s="1063"/>
    </row>
    <row r="8048" spans="5:12" x14ac:dyDescent="0.2">
      <c r="E8048" s="1063"/>
      <c r="H8048" s="1066"/>
      <c r="I8048" s="1063"/>
      <c r="J8048" s="1063"/>
      <c r="K8048" s="1063"/>
      <c r="L8048" s="1063"/>
    </row>
    <row r="8049" spans="5:12" x14ac:dyDescent="0.2">
      <c r="E8049" s="1063"/>
      <c r="H8049" s="1066"/>
      <c r="I8049" s="1063"/>
      <c r="J8049" s="1063"/>
      <c r="K8049" s="1063"/>
      <c r="L8049" s="1063"/>
    </row>
    <row r="8050" spans="5:12" x14ac:dyDescent="0.2">
      <c r="E8050" s="1063"/>
      <c r="H8050" s="1066"/>
      <c r="I8050" s="1063"/>
      <c r="J8050" s="1063"/>
      <c r="K8050" s="1063"/>
      <c r="L8050" s="1063"/>
    </row>
    <row r="8051" spans="5:12" x14ac:dyDescent="0.2">
      <c r="E8051" s="1063"/>
      <c r="H8051" s="1066"/>
      <c r="I8051" s="1063"/>
      <c r="J8051" s="1063"/>
      <c r="K8051" s="1063"/>
      <c r="L8051" s="1063"/>
    </row>
    <row r="8052" spans="5:12" x14ac:dyDescent="0.2">
      <c r="E8052" s="1063"/>
      <c r="H8052" s="1066"/>
      <c r="I8052" s="1063"/>
      <c r="J8052" s="1063"/>
      <c r="K8052" s="1063"/>
      <c r="L8052" s="1063"/>
    </row>
    <row r="8053" spans="5:12" x14ac:dyDescent="0.2">
      <c r="E8053" s="1063"/>
      <c r="H8053" s="1066"/>
      <c r="I8053" s="1063"/>
      <c r="J8053" s="1063"/>
      <c r="K8053" s="1063"/>
      <c r="L8053" s="1063"/>
    </row>
    <row r="8054" spans="5:12" x14ac:dyDescent="0.2">
      <c r="E8054" s="1063"/>
      <c r="H8054" s="1066"/>
      <c r="I8054" s="1063"/>
      <c r="J8054" s="1063"/>
      <c r="K8054" s="1063"/>
      <c r="L8054" s="1063"/>
    </row>
    <row r="8055" spans="5:12" x14ac:dyDescent="0.2">
      <c r="E8055" s="1063"/>
      <c r="H8055" s="1066"/>
      <c r="I8055" s="1063"/>
      <c r="J8055" s="1063"/>
      <c r="K8055" s="1063"/>
      <c r="L8055" s="1063"/>
    </row>
    <row r="8056" spans="5:12" x14ac:dyDescent="0.2">
      <c r="E8056" s="1063"/>
      <c r="H8056" s="1066"/>
      <c r="I8056" s="1063"/>
      <c r="J8056" s="1063"/>
      <c r="K8056" s="1063"/>
      <c r="L8056" s="1063"/>
    </row>
    <row r="8057" spans="5:12" x14ac:dyDescent="0.2">
      <c r="E8057" s="1063"/>
      <c r="H8057" s="1066"/>
      <c r="I8057" s="1063"/>
      <c r="J8057" s="1063"/>
      <c r="K8057" s="1063"/>
      <c r="L8057" s="1063"/>
    </row>
    <row r="8058" spans="5:12" x14ac:dyDescent="0.2">
      <c r="E8058" s="1063"/>
      <c r="H8058" s="1066"/>
      <c r="I8058" s="1063"/>
      <c r="J8058" s="1063"/>
      <c r="K8058" s="1063"/>
      <c r="L8058" s="1063"/>
    </row>
    <row r="8059" spans="5:12" x14ac:dyDescent="0.2">
      <c r="E8059" s="1063"/>
      <c r="H8059" s="1066"/>
      <c r="I8059" s="1063"/>
      <c r="J8059" s="1063"/>
      <c r="K8059" s="1063"/>
      <c r="L8059" s="1063"/>
    </row>
    <row r="8060" spans="5:12" x14ac:dyDescent="0.2">
      <c r="E8060" s="1063"/>
      <c r="H8060" s="1066"/>
      <c r="I8060" s="1063"/>
      <c r="J8060" s="1063"/>
      <c r="K8060" s="1063"/>
      <c r="L8060" s="1063"/>
    </row>
    <row r="8061" spans="5:12" x14ac:dyDescent="0.2">
      <c r="E8061" s="1063"/>
      <c r="H8061" s="1066"/>
      <c r="I8061" s="1063"/>
      <c r="J8061" s="1063"/>
      <c r="K8061" s="1063"/>
      <c r="L8061" s="1063"/>
    </row>
    <row r="8062" spans="5:12" x14ac:dyDescent="0.2">
      <c r="E8062" s="1063"/>
      <c r="H8062" s="1066"/>
      <c r="I8062" s="1063"/>
      <c r="J8062" s="1063"/>
      <c r="K8062" s="1063"/>
      <c r="L8062" s="1063"/>
    </row>
    <row r="8063" spans="5:12" x14ac:dyDescent="0.2">
      <c r="E8063" s="1063"/>
      <c r="H8063" s="1066"/>
      <c r="I8063" s="1063"/>
      <c r="J8063" s="1063"/>
      <c r="K8063" s="1063"/>
      <c r="L8063" s="1063"/>
    </row>
    <row r="8064" spans="5:12" x14ac:dyDescent="0.2">
      <c r="E8064" s="1063"/>
      <c r="H8064" s="1066"/>
      <c r="I8064" s="1063"/>
      <c r="J8064" s="1063"/>
      <c r="K8064" s="1063"/>
      <c r="L8064" s="1063"/>
    </row>
    <row r="8065" spans="5:12" x14ac:dyDescent="0.2">
      <c r="E8065" s="1063"/>
      <c r="H8065" s="1066"/>
      <c r="I8065" s="1063"/>
      <c r="J8065" s="1063"/>
      <c r="K8065" s="1063"/>
      <c r="L8065" s="1063"/>
    </row>
    <row r="8066" spans="5:12" x14ac:dyDescent="0.2">
      <c r="E8066" s="1063"/>
      <c r="H8066" s="1066"/>
      <c r="I8066" s="1063"/>
      <c r="J8066" s="1063"/>
      <c r="K8066" s="1063"/>
      <c r="L8066" s="1063"/>
    </row>
    <row r="8067" spans="5:12" x14ac:dyDescent="0.2">
      <c r="E8067" s="1063"/>
      <c r="H8067" s="1066"/>
      <c r="I8067" s="1063"/>
      <c r="J8067" s="1063"/>
      <c r="K8067" s="1063"/>
      <c r="L8067" s="1063"/>
    </row>
    <row r="8068" spans="5:12" x14ac:dyDescent="0.2">
      <c r="E8068" s="1063"/>
      <c r="H8068" s="1066"/>
      <c r="I8068" s="1063"/>
      <c r="J8068" s="1063"/>
      <c r="K8068" s="1063"/>
      <c r="L8068" s="1063"/>
    </row>
    <row r="8069" spans="5:12" x14ac:dyDescent="0.2">
      <c r="E8069" s="1063"/>
      <c r="H8069" s="1066"/>
      <c r="I8069" s="1063"/>
      <c r="J8069" s="1063"/>
      <c r="K8069" s="1063"/>
      <c r="L8069" s="1063"/>
    </row>
    <row r="8070" spans="5:12" x14ac:dyDescent="0.2">
      <c r="E8070" s="1063"/>
      <c r="H8070" s="1066"/>
      <c r="I8070" s="1063"/>
      <c r="J8070" s="1063"/>
      <c r="K8070" s="1063"/>
      <c r="L8070" s="1063"/>
    </row>
    <row r="8071" spans="5:12" x14ac:dyDescent="0.2">
      <c r="E8071" s="1063"/>
      <c r="H8071" s="1066"/>
      <c r="I8071" s="1063"/>
      <c r="J8071" s="1063"/>
      <c r="K8071" s="1063"/>
      <c r="L8071" s="1063"/>
    </row>
    <row r="8072" spans="5:12" x14ac:dyDescent="0.2">
      <c r="E8072" s="1063"/>
      <c r="H8072" s="1066"/>
      <c r="I8072" s="1063"/>
      <c r="J8072" s="1063"/>
      <c r="K8072" s="1063"/>
      <c r="L8072" s="1063"/>
    </row>
    <row r="8073" spans="5:12" x14ac:dyDescent="0.2">
      <c r="E8073" s="1063"/>
      <c r="H8073" s="1066"/>
      <c r="I8073" s="1063"/>
      <c r="J8073" s="1063"/>
      <c r="K8073" s="1063"/>
      <c r="L8073" s="1063"/>
    </row>
    <row r="8074" spans="5:12" x14ac:dyDescent="0.2">
      <c r="E8074" s="1063"/>
      <c r="H8074" s="1066"/>
      <c r="I8074" s="1063"/>
      <c r="J8074" s="1063"/>
      <c r="K8074" s="1063"/>
      <c r="L8074" s="1063"/>
    </row>
    <row r="8075" spans="5:12" x14ac:dyDescent="0.2">
      <c r="E8075" s="1063"/>
      <c r="H8075" s="1066"/>
      <c r="I8075" s="1063"/>
      <c r="J8075" s="1063"/>
      <c r="K8075" s="1063"/>
      <c r="L8075" s="1063"/>
    </row>
    <row r="8076" spans="5:12" x14ac:dyDescent="0.2">
      <c r="E8076" s="1063"/>
      <c r="H8076" s="1066"/>
      <c r="I8076" s="1063"/>
      <c r="J8076" s="1063"/>
      <c r="K8076" s="1063"/>
      <c r="L8076" s="1063"/>
    </row>
    <row r="8077" spans="5:12" x14ac:dyDescent="0.2">
      <c r="E8077" s="1063"/>
      <c r="H8077" s="1066"/>
      <c r="I8077" s="1063"/>
      <c r="J8077" s="1063"/>
      <c r="K8077" s="1063"/>
      <c r="L8077" s="1063"/>
    </row>
    <row r="8078" spans="5:12" x14ac:dyDescent="0.2">
      <c r="E8078" s="1063"/>
      <c r="H8078" s="1066"/>
      <c r="I8078" s="1063"/>
      <c r="J8078" s="1063"/>
      <c r="K8078" s="1063"/>
      <c r="L8078" s="1063"/>
    </row>
    <row r="8079" spans="5:12" x14ac:dyDescent="0.2">
      <c r="E8079" s="1063"/>
      <c r="H8079" s="1066"/>
      <c r="I8079" s="1063"/>
      <c r="J8079" s="1063"/>
      <c r="K8079" s="1063"/>
      <c r="L8079" s="1063"/>
    </row>
    <row r="8080" spans="5:12" x14ac:dyDescent="0.2">
      <c r="E8080" s="1063"/>
      <c r="H8080" s="1066"/>
      <c r="I8080" s="1063"/>
      <c r="J8080" s="1063"/>
      <c r="K8080" s="1063"/>
      <c r="L8080" s="1063"/>
    </row>
    <row r="8081" spans="5:12" x14ac:dyDescent="0.2">
      <c r="E8081" s="1063"/>
      <c r="H8081" s="1066"/>
      <c r="I8081" s="1063"/>
      <c r="J8081" s="1063"/>
      <c r="K8081" s="1063"/>
      <c r="L8081" s="1063"/>
    </row>
    <row r="8082" spans="5:12" x14ac:dyDescent="0.2">
      <c r="E8082" s="1063"/>
      <c r="H8082" s="1066"/>
      <c r="I8082" s="1063"/>
      <c r="J8082" s="1063"/>
      <c r="K8082" s="1063"/>
      <c r="L8082" s="1063"/>
    </row>
    <row r="8083" spans="5:12" x14ac:dyDescent="0.2">
      <c r="E8083" s="1063"/>
      <c r="H8083" s="1066"/>
      <c r="I8083" s="1063"/>
      <c r="J8083" s="1063"/>
      <c r="K8083" s="1063"/>
      <c r="L8083" s="1063"/>
    </row>
    <row r="8084" spans="5:12" x14ac:dyDescent="0.2">
      <c r="E8084" s="1063"/>
      <c r="H8084" s="1066"/>
      <c r="I8084" s="1063"/>
      <c r="J8084" s="1063"/>
      <c r="K8084" s="1063"/>
      <c r="L8084" s="1063"/>
    </row>
    <row r="8085" spans="5:12" x14ac:dyDescent="0.2">
      <c r="E8085" s="1063"/>
      <c r="H8085" s="1066"/>
      <c r="I8085" s="1063"/>
      <c r="J8085" s="1063"/>
      <c r="K8085" s="1063"/>
      <c r="L8085" s="1063"/>
    </row>
    <row r="8086" spans="5:12" x14ac:dyDescent="0.2">
      <c r="E8086" s="1063"/>
      <c r="H8086" s="1066"/>
      <c r="I8086" s="1063"/>
      <c r="J8086" s="1063"/>
      <c r="K8086" s="1063"/>
      <c r="L8086" s="1063"/>
    </row>
    <row r="8087" spans="5:12" x14ac:dyDescent="0.2">
      <c r="E8087" s="1063"/>
      <c r="H8087" s="1066"/>
      <c r="I8087" s="1063"/>
      <c r="J8087" s="1063"/>
      <c r="K8087" s="1063"/>
      <c r="L8087" s="1063"/>
    </row>
    <row r="8088" spans="5:12" x14ac:dyDescent="0.2">
      <c r="E8088" s="1063"/>
      <c r="H8088" s="1066"/>
      <c r="I8088" s="1063"/>
      <c r="J8088" s="1063"/>
      <c r="K8088" s="1063"/>
      <c r="L8088" s="1063"/>
    </row>
    <row r="8089" spans="5:12" x14ac:dyDescent="0.2">
      <c r="E8089" s="1063"/>
      <c r="H8089" s="1066"/>
      <c r="I8089" s="1063"/>
      <c r="J8089" s="1063"/>
      <c r="K8089" s="1063"/>
      <c r="L8089" s="1063"/>
    </row>
    <row r="8090" spans="5:12" x14ac:dyDescent="0.2">
      <c r="E8090" s="1063"/>
      <c r="H8090" s="1066"/>
      <c r="I8090" s="1063"/>
      <c r="J8090" s="1063"/>
      <c r="K8090" s="1063"/>
      <c r="L8090" s="1063"/>
    </row>
    <row r="8091" spans="5:12" x14ac:dyDescent="0.2">
      <c r="E8091" s="1063"/>
      <c r="H8091" s="1066"/>
      <c r="I8091" s="1063"/>
      <c r="J8091" s="1063"/>
      <c r="K8091" s="1063"/>
      <c r="L8091" s="1063"/>
    </row>
    <row r="8092" spans="5:12" x14ac:dyDescent="0.2">
      <c r="E8092" s="1063"/>
      <c r="H8092" s="1066"/>
      <c r="I8092" s="1063"/>
      <c r="J8092" s="1063"/>
      <c r="K8092" s="1063"/>
      <c r="L8092" s="1063"/>
    </row>
    <row r="8093" spans="5:12" x14ac:dyDescent="0.2">
      <c r="E8093" s="1063"/>
      <c r="H8093" s="1066"/>
      <c r="I8093" s="1063"/>
      <c r="J8093" s="1063"/>
      <c r="K8093" s="1063"/>
      <c r="L8093" s="1063"/>
    </row>
    <row r="8094" spans="5:12" x14ac:dyDescent="0.2">
      <c r="E8094" s="1063"/>
      <c r="H8094" s="1066"/>
      <c r="I8094" s="1063"/>
      <c r="J8094" s="1063"/>
      <c r="K8094" s="1063"/>
      <c r="L8094" s="1063"/>
    </row>
    <row r="8095" spans="5:12" x14ac:dyDescent="0.2">
      <c r="E8095" s="1063"/>
      <c r="H8095" s="1066"/>
      <c r="I8095" s="1063"/>
      <c r="J8095" s="1063"/>
      <c r="K8095" s="1063"/>
      <c r="L8095" s="1063"/>
    </row>
    <row r="8096" spans="5:12" x14ac:dyDescent="0.2">
      <c r="E8096" s="1063"/>
      <c r="H8096" s="1066"/>
      <c r="I8096" s="1063"/>
      <c r="J8096" s="1063"/>
      <c r="K8096" s="1063"/>
      <c r="L8096" s="1063"/>
    </row>
    <row r="8097" spans="5:12" x14ac:dyDescent="0.2">
      <c r="E8097" s="1063"/>
      <c r="H8097" s="1066"/>
      <c r="I8097" s="1063"/>
      <c r="J8097" s="1063"/>
      <c r="K8097" s="1063"/>
      <c r="L8097" s="1063"/>
    </row>
    <row r="8098" spans="5:12" x14ac:dyDescent="0.2">
      <c r="E8098" s="1063"/>
      <c r="H8098" s="1066"/>
      <c r="I8098" s="1063"/>
      <c r="J8098" s="1063"/>
      <c r="K8098" s="1063"/>
      <c r="L8098" s="1063"/>
    </row>
    <row r="8099" spans="5:12" x14ac:dyDescent="0.2">
      <c r="E8099" s="1063"/>
      <c r="H8099" s="1066"/>
      <c r="I8099" s="1063"/>
      <c r="J8099" s="1063"/>
      <c r="K8099" s="1063"/>
      <c r="L8099" s="1063"/>
    </row>
    <row r="8100" spans="5:12" x14ac:dyDescent="0.2">
      <c r="E8100" s="1063"/>
      <c r="H8100" s="1066"/>
      <c r="I8100" s="1063"/>
      <c r="J8100" s="1063"/>
      <c r="K8100" s="1063"/>
      <c r="L8100" s="1063"/>
    </row>
    <row r="8101" spans="5:12" x14ac:dyDescent="0.2">
      <c r="E8101" s="1063"/>
      <c r="H8101" s="1066"/>
      <c r="I8101" s="1063"/>
      <c r="J8101" s="1063"/>
      <c r="K8101" s="1063"/>
      <c r="L8101" s="1063"/>
    </row>
    <row r="8102" spans="5:12" x14ac:dyDescent="0.2">
      <c r="E8102" s="1063"/>
      <c r="H8102" s="1066"/>
      <c r="I8102" s="1063"/>
      <c r="J8102" s="1063"/>
      <c r="K8102" s="1063"/>
      <c r="L8102" s="1063"/>
    </row>
    <row r="8103" spans="5:12" x14ac:dyDescent="0.2">
      <c r="E8103" s="1063"/>
      <c r="H8103" s="1066"/>
      <c r="I8103" s="1063"/>
      <c r="J8103" s="1063"/>
      <c r="K8103" s="1063"/>
      <c r="L8103" s="1063"/>
    </row>
    <row r="8104" spans="5:12" x14ac:dyDescent="0.2">
      <c r="E8104" s="1063"/>
      <c r="H8104" s="1066"/>
      <c r="I8104" s="1063"/>
      <c r="J8104" s="1063"/>
      <c r="K8104" s="1063"/>
      <c r="L8104" s="1063"/>
    </row>
    <row r="8105" spans="5:12" x14ac:dyDescent="0.2">
      <c r="E8105" s="1063"/>
      <c r="H8105" s="1066"/>
      <c r="I8105" s="1063"/>
      <c r="J8105" s="1063"/>
      <c r="K8105" s="1063"/>
      <c r="L8105" s="1063"/>
    </row>
    <row r="8106" spans="5:12" x14ac:dyDescent="0.2">
      <c r="E8106" s="1063"/>
      <c r="H8106" s="1066"/>
      <c r="I8106" s="1063"/>
      <c r="J8106" s="1063"/>
      <c r="K8106" s="1063"/>
      <c r="L8106" s="1063"/>
    </row>
    <row r="8107" spans="5:12" x14ac:dyDescent="0.2">
      <c r="E8107" s="1063"/>
      <c r="H8107" s="1066"/>
      <c r="I8107" s="1063"/>
      <c r="J8107" s="1063"/>
      <c r="K8107" s="1063"/>
      <c r="L8107" s="1063"/>
    </row>
    <row r="8108" spans="5:12" x14ac:dyDescent="0.2">
      <c r="E8108" s="1063"/>
      <c r="H8108" s="1066"/>
      <c r="I8108" s="1063"/>
      <c r="J8108" s="1063"/>
      <c r="K8108" s="1063"/>
      <c r="L8108" s="1063"/>
    </row>
    <row r="8109" spans="5:12" x14ac:dyDescent="0.2">
      <c r="E8109" s="1063"/>
      <c r="H8109" s="1066"/>
      <c r="I8109" s="1063"/>
      <c r="J8109" s="1063"/>
      <c r="K8109" s="1063"/>
      <c r="L8109" s="1063"/>
    </row>
    <row r="8110" spans="5:12" x14ac:dyDescent="0.2">
      <c r="E8110" s="1063"/>
      <c r="H8110" s="1066"/>
      <c r="I8110" s="1063"/>
      <c r="J8110" s="1063"/>
      <c r="K8110" s="1063"/>
      <c r="L8110" s="1063"/>
    </row>
    <row r="8111" spans="5:12" x14ac:dyDescent="0.2">
      <c r="E8111" s="1063"/>
      <c r="H8111" s="1066"/>
      <c r="I8111" s="1063"/>
      <c r="J8111" s="1063"/>
      <c r="K8111" s="1063"/>
      <c r="L8111" s="1063"/>
    </row>
    <row r="8112" spans="5:12" x14ac:dyDescent="0.2">
      <c r="E8112" s="1063"/>
      <c r="H8112" s="1066"/>
      <c r="I8112" s="1063"/>
      <c r="J8112" s="1063"/>
      <c r="K8112" s="1063"/>
      <c r="L8112" s="1063"/>
    </row>
    <row r="8113" spans="5:12" x14ac:dyDescent="0.2">
      <c r="E8113" s="1063"/>
      <c r="H8113" s="1066"/>
      <c r="I8113" s="1063"/>
      <c r="J8113" s="1063"/>
      <c r="K8113" s="1063"/>
      <c r="L8113" s="1063"/>
    </row>
    <row r="8114" spans="5:12" x14ac:dyDescent="0.2">
      <c r="E8114" s="1063"/>
      <c r="H8114" s="1066"/>
      <c r="I8114" s="1063"/>
      <c r="J8114" s="1063"/>
      <c r="K8114" s="1063"/>
      <c r="L8114" s="1063"/>
    </row>
    <row r="8115" spans="5:12" x14ac:dyDescent="0.2">
      <c r="E8115" s="1063"/>
      <c r="H8115" s="1066"/>
      <c r="I8115" s="1063"/>
      <c r="J8115" s="1063"/>
      <c r="K8115" s="1063"/>
      <c r="L8115" s="1063"/>
    </row>
    <row r="8116" spans="5:12" x14ac:dyDescent="0.2">
      <c r="E8116" s="1063"/>
      <c r="H8116" s="1066"/>
      <c r="I8116" s="1063"/>
      <c r="J8116" s="1063"/>
      <c r="K8116" s="1063"/>
      <c r="L8116" s="1063"/>
    </row>
    <row r="8117" spans="5:12" x14ac:dyDescent="0.2">
      <c r="E8117" s="1063"/>
      <c r="H8117" s="1066"/>
      <c r="I8117" s="1063"/>
      <c r="J8117" s="1063"/>
      <c r="K8117" s="1063"/>
      <c r="L8117" s="1063"/>
    </row>
    <row r="8118" spans="5:12" x14ac:dyDescent="0.2">
      <c r="E8118" s="1063"/>
      <c r="H8118" s="1066"/>
      <c r="I8118" s="1063"/>
      <c r="J8118" s="1063"/>
      <c r="K8118" s="1063"/>
      <c r="L8118" s="1063"/>
    </row>
    <row r="8119" spans="5:12" x14ac:dyDescent="0.2">
      <c r="E8119" s="1063"/>
      <c r="H8119" s="1066"/>
      <c r="I8119" s="1063"/>
      <c r="J8119" s="1063"/>
      <c r="K8119" s="1063"/>
      <c r="L8119" s="1063"/>
    </row>
    <row r="8120" spans="5:12" x14ac:dyDescent="0.2">
      <c r="E8120" s="1063"/>
      <c r="H8120" s="1066"/>
      <c r="I8120" s="1063"/>
      <c r="J8120" s="1063"/>
      <c r="K8120" s="1063"/>
      <c r="L8120" s="1063"/>
    </row>
    <row r="8121" spans="5:12" x14ac:dyDescent="0.2">
      <c r="E8121" s="1063"/>
      <c r="H8121" s="1066"/>
      <c r="I8121" s="1063"/>
      <c r="J8121" s="1063"/>
      <c r="K8121" s="1063"/>
      <c r="L8121" s="1063"/>
    </row>
    <row r="8122" spans="5:12" x14ac:dyDescent="0.2">
      <c r="E8122" s="1063"/>
      <c r="H8122" s="1066"/>
      <c r="I8122" s="1063"/>
      <c r="J8122" s="1063"/>
      <c r="K8122" s="1063"/>
      <c r="L8122" s="1063"/>
    </row>
    <row r="8123" spans="5:12" x14ac:dyDescent="0.2">
      <c r="E8123" s="1063"/>
      <c r="H8123" s="1066"/>
      <c r="I8123" s="1063"/>
      <c r="J8123" s="1063"/>
      <c r="K8123" s="1063"/>
      <c r="L8123" s="1063"/>
    </row>
    <row r="8124" spans="5:12" x14ac:dyDescent="0.2">
      <c r="E8124" s="1063"/>
      <c r="H8124" s="1066"/>
      <c r="I8124" s="1063"/>
      <c r="J8124" s="1063"/>
      <c r="K8124" s="1063"/>
      <c r="L8124" s="1063"/>
    </row>
    <row r="8125" spans="5:12" x14ac:dyDescent="0.2">
      <c r="E8125" s="1063"/>
      <c r="H8125" s="1066"/>
      <c r="I8125" s="1063"/>
      <c r="J8125" s="1063"/>
      <c r="K8125" s="1063"/>
      <c r="L8125" s="1063"/>
    </row>
    <row r="8126" spans="5:12" x14ac:dyDescent="0.2">
      <c r="E8126" s="1063"/>
      <c r="H8126" s="1066"/>
      <c r="I8126" s="1063"/>
      <c r="J8126" s="1063"/>
      <c r="K8126" s="1063"/>
      <c r="L8126" s="1063"/>
    </row>
    <row r="8127" spans="5:12" x14ac:dyDescent="0.2">
      <c r="E8127" s="1063"/>
      <c r="H8127" s="1066"/>
      <c r="I8127" s="1063"/>
      <c r="J8127" s="1063"/>
      <c r="K8127" s="1063"/>
      <c r="L8127" s="1063"/>
    </row>
    <row r="8128" spans="5:12" x14ac:dyDescent="0.2">
      <c r="E8128" s="1063"/>
      <c r="H8128" s="1066"/>
      <c r="I8128" s="1063"/>
      <c r="J8128" s="1063"/>
      <c r="K8128" s="1063"/>
      <c r="L8128" s="1063"/>
    </row>
    <row r="8129" spans="5:12" x14ac:dyDescent="0.2">
      <c r="E8129" s="1063"/>
      <c r="H8129" s="1066"/>
      <c r="I8129" s="1063"/>
      <c r="J8129" s="1063"/>
      <c r="K8129" s="1063"/>
      <c r="L8129" s="1063"/>
    </row>
    <row r="8130" spans="5:12" x14ac:dyDescent="0.2">
      <c r="E8130" s="1063"/>
      <c r="H8130" s="1066"/>
      <c r="I8130" s="1063"/>
      <c r="J8130" s="1063"/>
      <c r="K8130" s="1063"/>
      <c r="L8130" s="1063"/>
    </row>
    <row r="8131" spans="5:12" x14ac:dyDescent="0.2">
      <c r="E8131" s="1063"/>
      <c r="H8131" s="1066"/>
      <c r="I8131" s="1063"/>
      <c r="J8131" s="1063"/>
      <c r="K8131" s="1063"/>
      <c r="L8131" s="1063"/>
    </row>
    <row r="8132" spans="5:12" x14ac:dyDescent="0.2">
      <c r="E8132" s="1063"/>
      <c r="H8132" s="1066"/>
      <c r="I8132" s="1063"/>
      <c r="J8132" s="1063"/>
      <c r="K8132" s="1063"/>
      <c r="L8132" s="1063"/>
    </row>
    <row r="8133" spans="5:12" x14ac:dyDescent="0.2">
      <c r="E8133" s="1063"/>
      <c r="H8133" s="1066"/>
      <c r="I8133" s="1063"/>
      <c r="J8133" s="1063"/>
      <c r="K8133" s="1063"/>
      <c r="L8133" s="1063"/>
    </row>
    <row r="8134" spans="5:12" x14ac:dyDescent="0.2">
      <c r="E8134" s="1063"/>
      <c r="H8134" s="1066"/>
      <c r="I8134" s="1063"/>
      <c r="J8134" s="1063"/>
      <c r="K8134" s="1063"/>
      <c r="L8134" s="1063"/>
    </row>
    <row r="8135" spans="5:12" x14ac:dyDescent="0.2">
      <c r="E8135" s="1063"/>
      <c r="H8135" s="1066"/>
      <c r="I8135" s="1063"/>
      <c r="J8135" s="1063"/>
      <c r="K8135" s="1063"/>
      <c r="L8135" s="1063"/>
    </row>
    <row r="8136" spans="5:12" x14ac:dyDescent="0.2">
      <c r="E8136" s="1063"/>
      <c r="H8136" s="1066"/>
      <c r="I8136" s="1063"/>
      <c r="J8136" s="1063"/>
      <c r="K8136" s="1063"/>
      <c r="L8136" s="1063"/>
    </row>
    <row r="8137" spans="5:12" x14ac:dyDescent="0.2">
      <c r="E8137" s="1063"/>
      <c r="H8137" s="1066"/>
      <c r="I8137" s="1063"/>
      <c r="J8137" s="1063"/>
      <c r="K8137" s="1063"/>
      <c r="L8137" s="1063"/>
    </row>
    <row r="8138" spans="5:12" x14ac:dyDescent="0.2">
      <c r="E8138" s="1063"/>
      <c r="H8138" s="1066"/>
      <c r="I8138" s="1063"/>
      <c r="J8138" s="1063"/>
      <c r="K8138" s="1063"/>
      <c r="L8138" s="1063"/>
    </row>
    <row r="8139" spans="5:12" x14ac:dyDescent="0.2">
      <c r="E8139" s="1063"/>
      <c r="H8139" s="1066"/>
      <c r="I8139" s="1063"/>
      <c r="J8139" s="1063"/>
      <c r="K8139" s="1063"/>
      <c r="L8139" s="1063"/>
    </row>
    <row r="8140" spans="5:12" x14ac:dyDescent="0.2">
      <c r="E8140" s="1063"/>
      <c r="H8140" s="1066"/>
      <c r="I8140" s="1063"/>
      <c r="J8140" s="1063"/>
      <c r="K8140" s="1063"/>
      <c r="L8140" s="1063"/>
    </row>
    <row r="8141" spans="5:12" x14ac:dyDescent="0.2">
      <c r="E8141" s="1063"/>
      <c r="H8141" s="1066"/>
      <c r="I8141" s="1063"/>
      <c r="J8141" s="1063"/>
      <c r="K8141" s="1063"/>
      <c r="L8141" s="1063"/>
    </row>
    <row r="8142" spans="5:12" x14ac:dyDescent="0.2">
      <c r="E8142" s="1063"/>
      <c r="H8142" s="1066"/>
      <c r="I8142" s="1063"/>
      <c r="J8142" s="1063"/>
      <c r="K8142" s="1063"/>
      <c r="L8142" s="1063"/>
    </row>
    <row r="8143" spans="5:12" x14ac:dyDescent="0.2">
      <c r="E8143" s="1063"/>
      <c r="H8143" s="1066"/>
      <c r="I8143" s="1063"/>
      <c r="J8143" s="1063"/>
      <c r="K8143" s="1063"/>
      <c r="L8143" s="1063"/>
    </row>
    <row r="8144" spans="5:12" x14ac:dyDescent="0.2">
      <c r="E8144" s="1063"/>
      <c r="H8144" s="1066"/>
      <c r="I8144" s="1063"/>
      <c r="J8144" s="1063"/>
      <c r="K8144" s="1063"/>
      <c r="L8144" s="1063"/>
    </row>
    <row r="8145" spans="5:12" x14ac:dyDescent="0.2">
      <c r="E8145" s="1063"/>
      <c r="H8145" s="1066"/>
      <c r="I8145" s="1063"/>
      <c r="J8145" s="1063"/>
      <c r="K8145" s="1063"/>
      <c r="L8145" s="1063"/>
    </row>
    <row r="8146" spans="5:12" x14ac:dyDescent="0.2">
      <c r="E8146" s="1063"/>
      <c r="H8146" s="1066"/>
      <c r="I8146" s="1063"/>
      <c r="J8146" s="1063"/>
      <c r="K8146" s="1063"/>
      <c r="L8146" s="1063"/>
    </row>
    <row r="8147" spans="5:12" x14ac:dyDescent="0.2">
      <c r="E8147" s="1063"/>
      <c r="H8147" s="1066"/>
      <c r="I8147" s="1063"/>
      <c r="J8147" s="1063"/>
      <c r="K8147" s="1063"/>
      <c r="L8147" s="1063"/>
    </row>
    <row r="8148" spans="5:12" x14ac:dyDescent="0.2">
      <c r="E8148" s="1063"/>
      <c r="H8148" s="1066"/>
      <c r="I8148" s="1063"/>
      <c r="J8148" s="1063"/>
      <c r="K8148" s="1063"/>
      <c r="L8148" s="1063"/>
    </row>
    <row r="8149" spans="5:12" x14ac:dyDescent="0.2">
      <c r="E8149" s="1063"/>
      <c r="H8149" s="1066"/>
      <c r="I8149" s="1063"/>
      <c r="J8149" s="1063"/>
      <c r="K8149" s="1063"/>
      <c r="L8149" s="1063"/>
    </row>
    <row r="8150" spans="5:12" x14ac:dyDescent="0.2">
      <c r="E8150" s="1063"/>
      <c r="H8150" s="1066"/>
      <c r="I8150" s="1063"/>
      <c r="J8150" s="1063"/>
      <c r="K8150" s="1063"/>
      <c r="L8150" s="1063"/>
    </row>
    <row r="8151" spans="5:12" x14ac:dyDescent="0.2">
      <c r="E8151" s="1063"/>
      <c r="H8151" s="1066"/>
      <c r="I8151" s="1063"/>
      <c r="J8151" s="1063"/>
      <c r="K8151" s="1063"/>
      <c r="L8151" s="1063"/>
    </row>
    <row r="8152" spans="5:12" x14ac:dyDescent="0.2">
      <c r="E8152" s="1063"/>
      <c r="H8152" s="1066"/>
      <c r="I8152" s="1063"/>
      <c r="J8152" s="1063"/>
      <c r="K8152" s="1063"/>
      <c r="L8152" s="1063"/>
    </row>
    <row r="8153" spans="5:12" x14ac:dyDescent="0.2">
      <c r="E8153" s="1063"/>
      <c r="H8153" s="1066"/>
      <c r="I8153" s="1063"/>
      <c r="J8153" s="1063"/>
      <c r="K8153" s="1063"/>
      <c r="L8153" s="1063"/>
    </row>
    <row r="8154" spans="5:12" x14ac:dyDescent="0.2">
      <c r="E8154" s="1063"/>
      <c r="H8154" s="1066"/>
      <c r="I8154" s="1063"/>
      <c r="J8154" s="1063"/>
      <c r="K8154" s="1063"/>
      <c r="L8154" s="1063"/>
    </row>
    <row r="8155" spans="5:12" x14ac:dyDescent="0.2">
      <c r="E8155" s="1063"/>
      <c r="H8155" s="1066"/>
      <c r="I8155" s="1063"/>
      <c r="J8155" s="1063"/>
      <c r="K8155" s="1063"/>
      <c r="L8155" s="1063"/>
    </row>
    <row r="8156" spans="5:12" x14ac:dyDescent="0.2">
      <c r="E8156" s="1063"/>
      <c r="H8156" s="1066"/>
      <c r="I8156" s="1063"/>
      <c r="J8156" s="1063"/>
      <c r="K8156" s="1063"/>
      <c r="L8156" s="1063"/>
    </row>
    <row r="8157" spans="5:12" x14ac:dyDescent="0.2">
      <c r="E8157" s="1063"/>
      <c r="H8157" s="1066"/>
      <c r="I8157" s="1063"/>
      <c r="J8157" s="1063"/>
      <c r="K8157" s="1063"/>
      <c r="L8157" s="1063"/>
    </row>
    <row r="8158" spans="5:12" x14ac:dyDescent="0.2">
      <c r="E8158" s="1063"/>
      <c r="H8158" s="1066"/>
      <c r="I8158" s="1063"/>
      <c r="J8158" s="1063"/>
      <c r="K8158" s="1063"/>
      <c r="L8158" s="1063"/>
    </row>
    <row r="8159" spans="5:12" x14ac:dyDescent="0.2">
      <c r="E8159" s="1063"/>
      <c r="H8159" s="1066"/>
      <c r="I8159" s="1063"/>
      <c r="J8159" s="1063"/>
      <c r="K8159" s="1063"/>
      <c r="L8159" s="1063"/>
    </row>
    <row r="8160" spans="5:12" x14ac:dyDescent="0.2">
      <c r="E8160" s="1063"/>
      <c r="H8160" s="1066"/>
      <c r="I8160" s="1063"/>
      <c r="J8160" s="1063"/>
      <c r="K8160" s="1063"/>
      <c r="L8160" s="1063"/>
    </row>
    <row r="8161" spans="5:12" x14ac:dyDescent="0.2">
      <c r="E8161" s="1063"/>
      <c r="H8161" s="1066"/>
      <c r="I8161" s="1063"/>
      <c r="J8161" s="1063"/>
      <c r="K8161" s="1063"/>
      <c r="L8161" s="1063"/>
    </row>
    <row r="8162" spans="5:12" x14ac:dyDescent="0.2">
      <c r="E8162" s="1063"/>
      <c r="H8162" s="1066"/>
      <c r="I8162" s="1063"/>
      <c r="J8162" s="1063"/>
      <c r="K8162" s="1063"/>
      <c r="L8162" s="1063"/>
    </row>
    <row r="8163" spans="5:12" x14ac:dyDescent="0.2">
      <c r="E8163" s="1063"/>
      <c r="H8163" s="1066"/>
      <c r="I8163" s="1063"/>
      <c r="J8163" s="1063"/>
      <c r="K8163" s="1063"/>
      <c r="L8163" s="1063"/>
    </row>
    <row r="8164" spans="5:12" x14ac:dyDescent="0.2">
      <c r="E8164" s="1063"/>
      <c r="H8164" s="1066"/>
      <c r="I8164" s="1063"/>
      <c r="J8164" s="1063"/>
      <c r="K8164" s="1063"/>
      <c r="L8164" s="1063"/>
    </row>
    <row r="8165" spans="5:12" x14ac:dyDescent="0.2">
      <c r="E8165" s="1063"/>
      <c r="H8165" s="1066"/>
      <c r="I8165" s="1063"/>
      <c r="J8165" s="1063"/>
      <c r="K8165" s="1063"/>
      <c r="L8165" s="1063"/>
    </row>
    <row r="8166" spans="5:12" x14ac:dyDescent="0.2">
      <c r="E8166" s="1063"/>
      <c r="H8166" s="1066"/>
      <c r="I8166" s="1063"/>
      <c r="J8166" s="1063"/>
      <c r="K8166" s="1063"/>
      <c r="L8166" s="1063"/>
    </row>
    <row r="8167" spans="5:12" x14ac:dyDescent="0.2">
      <c r="E8167" s="1063"/>
      <c r="H8167" s="1066"/>
      <c r="I8167" s="1063"/>
      <c r="J8167" s="1063"/>
      <c r="K8167" s="1063"/>
      <c r="L8167" s="1063"/>
    </row>
    <row r="8168" spans="5:12" x14ac:dyDescent="0.2">
      <c r="E8168" s="1063"/>
      <c r="H8168" s="1066"/>
      <c r="I8168" s="1063"/>
      <c r="J8168" s="1063"/>
      <c r="K8168" s="1063"/>
      <c r="L8168" s="1063"/>
    </row>
    <row r="8169" spans="5:12" x14ac:dyDescent="0.2">
      <c r="E8169" s="1063"/>
      <c r="H8169" s="1066"/>
      <c r="I8169" s="1063"/>
      <c r="J8169" s="1063"/>
      <c r="K8169" s="1063"/>
      <c r="L8169" s="1063"/>
    </row>
    <row r="8170" spans="5:12" x14ac:dyDescent="0.2">
      <c r="E8170" s="1063"/>
      <c r="H8170" s="1066"/>
      <c r="I8170" s="1063"/>
      <c r="J8170" s="1063"/>
      <c r="K8170" s="1063"/>
      <c r="L8170" s="1063"/>
    </row>
    <row r="8171" spans="5:12" x14ac:dyDescent="0.2">
      <c r="E8171" s="1063"/>
      <c r="H8171" s="1066"/>
      <c r="I8171" s="1063"/>
      <c r="J8171" s="1063"/>
      <c r="K8171" s="1063"/>
      <c r="L8171" s="1063"/>
    </row>
    <row r="8172" spans="5:12" x14ac:dyDescent="0.2">
      <c r="E8172" s="1063"/>
      <c r="H8172" s="1066"/>
      <c r="I8172" s="1063"/>
      <c r="J8172" s="1063"/>
      <c r="K8172" s="1063"/>
      <c r="L8172" s="1063"/>
    </row>
    <row r="8173" spans="5:12" x14ac:dyDescent="0.2">
      <c r="E8173" s="1063"/>
      <c r="H8173" s="1066"/>
      <c r="I8173" s="1063"/>
      <c r="J8173" s="1063"/>
      <c r="K8173" s="1063"/>
      <c r="L8173" s="1063"/>
    </row>
    <row r="8174" spans="5:12" x14ac:dyDescent="0.2">
      <c r="E8174" s="1063"/>
      <c r="H8174" s="1066"/>
      <c r="I8174" s="1063"/>
      <c r="J8174" s="1063"/>
      <c r="K8174" s="1063"/>
      <c r="L8174" s="1063"/>
    </row>
    <row r="8175" spans="5:12" x14ac:dyDescent="0.2">
      <c r="E8175" s="1063"/>
      <c r="H8175" s="1066"/>
      <c r="I8175" s="1063"/>
      <c r="J8175" s="1063"/>
      <c r="K8175" s="1063"/>
      <c r="L8175" s="1063"/>
    </row>
    <row r="8176" spans="5:12" x14ac:dyDescent="0.2">
      <c r="E8176" s="1063"/>
      <c r="H8176" s="1066"/>
      <c r="I8176" s="1063"/>
      <c r="J8176" s="1063"/>
      <c r="K8176" s="1063"/>
      <c r="L8176" s="1063"/>
    </row>
    <row r="8177" spans="5:12" x14ac:dyDescent="0.2">
      <c r="E8177" s="1063"/>
      <c r="H8177" s="1066"/>
      <c r="I8177" s="1063"/>
      <c r="J8177" s="1063"/>
      <c r="K8177" s="1063"/>
      <c r="L8177" s="1063"/>
    </row>
    <row r="8178" spans="5:12" x14ac:dyDescent="0.2">
      <c r="E8178" s="1063"/>
      <c r="H8178" s="1066"/>
      <c r="I8178" s="1063"/>
      <c r="J8178" s="1063"/>
      <c r="K8178" s="1063"/>
      <c r="L8178" s="1063"/>
    </row>
    <row r="8179" spans="5:12" x14ac:dyDescent="0.2">
      <c r="E8179" s="1063"/>
      <c r="H8179" s="1066"/>
      <c r="I8179" s="1063"/>
      <c r="J8179" s="1063"/>
      <c r="K8179" s="1063"/>
      <c r="L8179" s="1063"/>
    </row>
    <row r="8180" spans="5:12" x14ac:dyDescent="0.2">
      <c r="E8180" s="1063"/>
      <c r="H8180" s="1066"/>
      <c r="I8180" s="1063"/>
      <c r="J8180" s="1063"/>
      <c r="K8180" s="1063"/>
      <c r="L8180" s="1063"/>
    </row>
    <row r="8181" spans="5:12" x14ac:dyDescent="0.2">
      <c r="E8181" s="1063"/>
      <c r="H8181" s="1066"/>
      <c r="I8181" s="1063"/>
      <c r="J8181" s="1063"/>
      <c r="K8181" s="1063"/>
      <c r="L8181" s="1063"/>
    </row>
    <row r="8182" spans="5:12" x14ac:dyDescent="0.2">
      <c r="E8182" s="1063"/>
      <c r="H8182" s="1066"/>
      <c r="I8182" s="1063"/>
      <c r="J8182" s="1063"/>
      <c r="K8182" s="1063"/>
      <c r="L8182" s="1063"/>
    </row>
    <row r="8183" spans="5:12" x14ac:dyDescent="0.2">
      <c r="E8183" s="1063"/>
      <c r="H8183" s="1066"/>
      <c r="I8183" s="1063"/>
      <c r="J8183" s="1063"/>
      <c r="K8183" s="1063"/>
      <c r="L8183" s="1063"/>
    </row>
    <row r="8184" spans="5:12" x14ac:dyDescent="0.2">
      <c r="E8184" s="1063"/>
      <c r="H8184" s="1066"/>
      <c r="I8184" s="1063"/>
      <c r="J8184" s="1063"/>
      <c r="K8184" s="1063"/>
      <c r="L8184" s="1063"/>
    </row>
    <row r="8185" spans="5:12" x14ac:dyDescent="0.2">
      <c r="E8185" s="1063"/>
      <c r="H8185" s="1066"/>
      <c r="I8185" s="1063"/>
      <c r="J8185" s="1063"/>
      <c r="K8185" s="1063"/>
      <c r="L8185" s="1063"/>
    </row>
    <row r="8186" spans="5:12" x14ac:dyDescent="0.2">
      <c r="E8186" s="1063"/>
      <c r="H8186" s="1066"/>
      <c r="I8186" s="1063"/>
      <c r="J8186" s="1063"/>
      <c r="K8186" s="1063"/>
      <c r="L8186" s="1063"/>
    </row>
    <row r="8187" spans="5:12" x14ac:dyDescent="0.2">
      <c r="E8187" s="1063"/>
      <c r="H8187" s="1066"/>
      <c r="I8187" s="1063"/>
      <c r="J8187" s="1063"/>
      <c r="K8187" s="1063"/>
      <c r="L8187" s="1063"/>
    </row>
    <row r="8188" spans="5:12" x14ac:dyDescent="0.2">
      <c r="E8188" s="1063"/>
      <c r="H8188" s="1066"/>
      <c r="I8188" s="1063"/>
      <c r="J8188" s="1063"/>
      <c r="K8188" s="1063"/>
      <c r="L8188" s="1063"/>
    </row>
    <row r="8189" spans="5:12" x14ac:dyDescent="0.2">
      <c r="E8189" s="1063"/>
      <c r="H8189" s="1066"/>
      <c r="I8189" s="1063"/>
      <c r="J8189" s="1063"/>
      <c r="K8189" s="1063"/>
      <c r="L8189" s="1063"/>
    </row>
    <row r="8190" spans="5:12" x14ac:dyDescent="0.2">
      <c r="E8190" s="1063"/>
      <c r="H8190" s="1066"/>
      <c r="I8190" s="1063"/>
      <c r="J8190" s="1063"/>
      <c r="K8190" s="1063"/>
      <c r="L8190" s="1063"/>
    </row>
    <row r="8191" spans="5:12" x14ac:dyDescent="0.2">
      <c r="E8191" s="1063"/>
      <c r="H8191" s="1066"/>
      <c r="I8191" s="1063"/>
      <c r="J8191" s="1063"/>
      <c r="K8191" s="1063"/>
      <c r="L8191" s="1063"/>
    </row>
    <row r="8192" spans="5:12" x14ac:dyDescent="0.2">
      <c r="E8192" s="1063"/>
      <c r="H8192" s="1066"/>
      <c r="I8192" s="1063"/>
      <c r="J8192" s="1063"/>
      <c r="K8192" s="1063"/>
      <c r="L8192" s="1063"/>
    </row>
    <row r="8193" spans="5:12" x14ac:dyDescent="0.2">
      <c r="E8193" s="1063"/>
      <c r="H8193" s="1066"/>
      <c r="I8193" s="1063"/>
      <c r="J8193" s="1063"/>
      <c r="K8193" s="1063"/>
      <c r="L8193" s="1063"/>
    </row>
    <row r="8194" spans="5:12" x14ac:dyDescent="0.2">
      <c r="E8194" s="1063"/>
      <c r="H8194" s="1066"/>
      <c r="I8194" s="1063"/>
      <c r="J8194" s="1063"/>
      <c r="K8194" s="1063"/>
      <c r="L8194" s="1063"/>
    </row>
    <row r="8195" spans="5:12" x14ac:dyDescent="0.2">
      <c r="E8195" s="1063"/>
      <c r="H8195" s="1066"/>
      <c r="I8195" s="1063"/>
      <c r="J8195" s="1063"/>
      <c r="K8195" s="1063"/>
      <c r="L8195" s="1063"/>
    </row>
    <row r="8196" spans="5:12" x14ac:dyDescent="0.2">
      <c r="E8196" s="1063"/>
      <c r="H8196" s="1066"/>
      <c r="I8196" s="1063"/>
      <c r="J8196" s="1063"/>
      <c r="K8196" s="1063"/>
      <c r="L8196" s="1063"/>
    </row>
    <row r="8197" spans="5:12" x14ac:dyDescent="0.2">
      <c r="E8197" s="1063"/>
      <c r="H8197" s="1066"/>
      <c r="I8197" s="1063"/>
      <c r="J8197" s="1063"/>
      <c r="K8197" s="1063"/>
      <c r="L8197" s="1063"/>
    </row>
    <row r="8198" spans="5:12" x14ac:dyDescent="0.2">
      <c r="E8198" s="1063"/>
      <c r="H8198" s="1066"/>
      <c r="I8198" s="1063"/>
      <c r="J8198" s="1063"/>
      <c r="K8198" s="1063"/>
      <c r="L8198" s="1063"/>
    </row>
    <row r="8199" spans="5:12" x14ac:dyDescent="0.2">
      <c r="E8199" s="1063"/>
      <c r="H8199" s="1066"/>
      <c r="I8199" s="1063"/>
      <c r="J8199" s="1063"/>
      <c r="K8199" s="1063"/>
      <c r="L8199" s="1063"/>
    </row>
    <row r="8200" spans="5:12" x14ac:dyDescent="0.2">
      <c r="E8200" s="1063"/>
      <c r="H8200" s="1066"/>
      <c r="I8200" s="1063"/>
      <c r="J8200" s="1063"/>
      <c r="K8200" s="1063"/>
      <c r="L8200" s="1063"/>
    </row>
    <row r="8201" spans="5:12" x14ac:dyDescent="0.2">
      <c r="E8201" s="1063"/>
      <c r="H8201" s="1066"/>
      <c r="I8201" s="1063"/>
      <c r="J8201" s="1063"/>
      <c r="K8201" s="1063"/>
      <c r="L8201" s="1063"/>
    </row>
    <row r="8202" spans="5:12" x14ac:dyDescent="0.2">
      <c r="E8202" s="1063"/>
      <c r="H8202" s="1066"/>
      <c r="I8202" s="1063"/>
      <c r="J8202" s="1063"/>
      <c r="K8202" s="1063"/>
      <c r="L8202" s="1063"/>
    </row>
    <row r="8203" spans="5:12" x14ac:dyDescent="0.2">
      <c r="E8203" s="1063"/>
      <c r="H8203" s="1066"/>
      <c r="I8203" s="1063"/>
      <c r="J8203" s="1063"/>
      <c r="K8203" s="1063"/>
      <c r="L8203" s="1063"/>
    </row>
    <row r="8204" spans="5:12" x14ac:dyDescent="0.2">
      <c r="E8204" s="1063"/>
      <c r="H8204" s="1066"/>
      <c r="I8204" s="1063"/>
      <c r="J8204" s="1063"/>
      <c r="K8204" s="1063"/>
      <c r="L8204" s="1063"/>
    </row>
    <row r="8205" spans="5:12" x14ac:dyDescent="0.2">
      <c r="E8205" s="1063"/>
      <c r="H8205" s="1066"/>
      <c r="I8205" s="1063"/>
      <c r="J8205" s="1063"/>
      <c r="K8205" s="1063"/>
      <c r="L8205" s="1063"/>
    </row>
    <row r="8206" spans="5:12" x14ac:dyDescent="0.2">
      <c r="E8206" s="1063"/>
      <c r="H8206" s="1066"/>
      <c r="I8206" s="1063"/>
      <c r="J8206" s="1063"/>
      <c r="K8206" s="1063"/>
      <c r="L8206" s="1063"/>
    </row>
    <row r="8207" spans="5:12" x14ac:dyDescent="0.2">
      <c r="E8207" s="1063"/>
      <c r="H8207" s="1066"/>
      <c r="I8207" s="1063"/>
      <c r="J8207" s="1063"/>
      <c r="K8207" s="1063"/>
      <c r="L8207" s="1063"/>
    </row>
    <row r="8208" spans="5:12" x14ac:dyDescent="0.2">
      <c r="E8208" s="1063"/>
      <c r="H8208" s="1066"/>
      <c r="I8208" s="1063"/>
      <c r="J8208" s="1063"/>
      <c r="K8208" s="1063"/>
      <c r="L8208" s="1063"/>
    </row>
    <row r="8209" spans="5:12" x14ac:dyDescent="0.2">
      <c r="E8209" s="1063"/>
      <c r="H8209" s="1066"/>
      <c r="I8209" s="1063"/>
      <c r="J8209" s="1063"/>
      <c r="K8209" s="1063"/>
      <c r="L8209" s="1063"/>
    </row>
    <row r="8210" spans="5:12" x14ac:dyDescent="0.2">
      <c r="E8210" s="1063"/>
      <c r="H8210" s="1066"/>
      <c r="I8210" s="1063"/>
      <c r="J8210" s="1063"/>
      <c r="K8210" s="1063"/>
      <c r="L8210" s="1063"/>
    </row>
    <row r="8211" spans="5:12" x14ac:dyDescent="0.2">
      <c r="E8211" s="1063"/>
      <c r="H8211" s="1066"/>
      <c r="I8211" s="1063"/>
      <c r="J8211" s="1063"/>
      <c r="K8211" s="1063"/>
      <c r="L8211" s="1063"/>
    </row>
    <row r="8212" spans="5:12" x14ac:dyDescent="0.2">
      <c r="E8212" s="1063"/>
      <c r="H8212" s="1066"/>
      <c r="I8212" s="1063"/>
      <c r="J8212" s="1063"/>
      <c r="K8212" s="1063"/>
      <c r="L8212" s="1063"/>
    </row>
    <row r="8213" spans="5:12" x14ac:dyDescent="0.2">
      <c r="E8213" s="1063"/>
      <c r="H8213" s="1066"/>
      <c r="I8213" s="1063"/>
      <c r="J8213" s="1063"/>
      <c r="K8213" s="1063"/>
      <c r="L8213" s="1063"/>
    </row>
    <row r="8214" spans="5:12" x14ac:dyDescent="0.2">
      <c r="E8214" s="1063"/>
      <c r="H8214" s="1066"/>
      <c r="I8214" s="1063"/>
      <c r="J8214" s="1063"/>
      <c r="K8214" s="1063"/>
      <c r="L8214" s="1063"/>
    </row>
    <row r="8215" spans="5:12" x14ac:dyDescent="0.2">
      <c r="E8215" s="1063"/>
      <c r="H8215" s="1066"/>
      <c r="I8215" s="1063"/>
      <c r="J8215" s="1063"/>
      <c r="K8215" s="1063"/>
      <c r="L8215" s="1063"/>
    </row>
    <row r="8216" spans="5:12" x14ac:dyDescent="0.2">
      <c r="E8216" s="1063"/>
      <c r="H8216" s="1066"/>
      <c r="I8216" s="1063"/>
      <c r="J8216" s="1063"/>
      <c r="K8216" s="1063"/>
      <c r="L8216" s="1063"/>
    </row>
    <row r="8217" spans="5:12" x14ac:dyDescent="0.2">
      <c r="E8217" s="1063"/>
      <c r="H8217" s="1066"/>
      <c r="I8217" s="1063"/>
      <c r="J8217" s="1063"/>
      <c r="K8217" s="1063"/>
      <c r="L8217" s="1063"/>
    </row>
    <row r="8218" spans="5:12" x14ac:dyDescent="0.2">
      <c r="E8218" s="1063"/>
      <c r="H8218" s="1066"/>
      <c r="I8218" s="1063"/>
      <c r="J8218" s="1063"/>
      <c r="K8218" s="1063"/>
      <c r="L8218" s="1063"/>
    </row>
    <row r="8219" spans="5:12" x14ac:dyDescent="0.2">
      <c r="E8219" s="1063"/>
      <c r="H8219" s="1066"/>
      <c r="I8219" s="1063"/>
      <c r="J8219" s="1063"/>
      <c r="K8219" s="1063"/>
      <c r="L8219" s="1063"/>
    </row>
    <row r="8220" spans="5:12" x14ac:dyDescent="0.2">
      <c r="E8220" s="1063"/>
      <c r="H8220" s="1066"/>
      <c r="I8220" s="1063"/>
      <c r="J8220" s="1063"/>
      <c r="K8220" s="1063"/>
      <c r="L8220" s="1063"/>
    </row>
    <row r="8221" spans="5:12" x14ac:dyDescent="0.2">
      <c r="E8221" s="1063"/>
      <c r="H8221" s="1066"/>
      <c r="I8221" s="1063"/>
      <c r="J8221" s="1063"/>
      <c r="K8221" s="1063"/>
      <c r="L8221" s="1063"/>
    </row>
    <row r="8222" spans="5:12" x14ac:dyDescent="0.2">
      <c r="E8222" s="1063"/>
      <c r="H8222" s="1066"/>
      <c r="I8222" s="1063"/>
      <c r="J8222" s="1063"/>
      <c r="K8222" s="1063"/>
      <c r="L8222" s="1063"/>
    </row>
    <row r="8223" spans="5:12" x14ac:dyDescent="0.2">
      <c r="E8223" s="1063"/>
      <c r="H8223" s="1066"/>
      <c r="I8223" s="1063"/>
      <c r="J8223" s="1063"/>
      <c r="K8223" s="1063"/>
      <c r="L8223" s="1063"/>
    </row>
    <row r="8224" spans="5:12" x14ac:dyDescent="0.2">
      <c r="E8224" s="1063"/>
      <c r="H8224" s="1066"/>
      <c r="I8224" s="1063"/>
      <c r="J8224" s="1063"/>
      <c r="K8224" s="1063"/>
      <c r="L8224" s="1063"/>
    </row>
    <row r="8225" spans="5:12" x14ac:dyDescent="0.2">
      <c r="E8225" s="1063"/>
      <c r="H8225" s="1066"/>
      <c r="I8225" s="1063"/>
      <c r="J8225" s="1063"/>
      <c r="K8225" s="1063"/>
      <c r="L8225" s="1063"/>
    </row>
    <row r="8226" spans="5:12" x14ac:dyDescent="0.2">
      <c r="E8226" s="1063"/>
      <c r="H8226" s="1066"/>
      <c r="I8226" s="1063"/>
      <c r="J8226" s="1063"/>
      <c r="K8226" s="1063"/>
      <c r="L8226" s="1063"/>
    </row>
    <row r="8227" spans="5:12" x14ac:dyDescent="0.2">
      <c r="E8227" s="1063"/>
      <c r="H8227" s="1066"/>
      <c r="I8227" s="1063"/>
      <c r="J8227" s="1063"/>
      <c r="K8227" s="1063"/>
      <c r="L8227" s="1063"/>
    </row>
    <row r="8228" spans="5:12" x14ac:dyDescent="0.2">
      <c r="E8228" s="1063"/>
      <c r="H8228" s="1066"/>
      <c r="I8228" s="1063"/>
      <c r="J8228" s="1063"/>
      <c r="K8228" s="1063"/>
      <c r="L8228" s="1063"/>
    </row>
    <row r="8229" spans="5:12" x14ac:dyDescent="0.2">
      <c r="E8229" s="1063"/>
      <c r="H8229" s="1066"/>
      <c r="I8229" s="1063"/>
      <c r="J8229" s="1063"/>
      <c r="K8229" s="1063"/>
      <c r="L8229" s="1063"/>
    </row>
    <row r="8230" spans="5:12" x14ac:dyDescent="0.2">
      <c r="E8230" s="1063"/>
      <c r="H8230" s="1066"/>
      <c r="I8230" s="1063"/>
      <c r="J8230" s="1063"/>
      <c r="K8230" s="1063"/>
      <c r="L8230" s="1063"/>
    </row>
    <row r="8231" spans="5:12" x14ac:dyDescent="0.2">
      <c r="E8231" s="1063"/>
      <c r="H8231" s="1066"/>
      <c r="I8231" s="1063"/>
      <c r="J8231" s="1063"/>
      <c r="K8231" s="1063"/>
      <c r="L8231" s="1063"/>
    </row>
    <row r="8232" spans="5:12" x14ac:dyDescent="0.2">
      <c r="E8232" s="1063"/>
      <c r="H8232" s="1066"/>
      <c r="I8232" s="1063"/>
      <c r="J8232" s="1063"/>
      <c r="K8232" s="1063"/>
      <c r="L8232" s="1063"/>
    </row>
    <row r="8233" spans="5:12" x14ac:dyDescent="0.2">
      <c r="E8233" s="1063"/>
      <c r="H8233" s="1066"/>
      <c r="I8233" s="1063"/>
      <c r="J8233" s="1063"/>
      <c r="K8233" s="1063"/>
      <c r="L8233" s="1063"/>
    </row>
    <row r="8234" spans="5:12" x14ac:dyDescent="0.2">
      <c r="E8234" s="1063"/>
      <c r="H8234" s="1066"/>
      <c r="I8234" s="1063"/>
      <c r="J8234" s="1063"/>
      <c r="K8234" s="1063"/>
      <c r="L8234" s="1063"/>
    </row>
    <row r="8235" spans="5:12" x14ac:dyDescent="0.2">
      <c r="E8235" s="1063"/>
      <c r="H8235" s="1066"/>
      <c r="I8235" s="1063"/>
      <c r="J8235" s="1063"/>
      <c r="K8235" s="1063"/>
      <c r="L8235" s="1063"/>
    </row>
    <row r="8236" spans="5:12" x14ac:dyDescent="0.2">
      <c r="E8236" s="1063"/>
      <c r="H8236" s="1066"/>
      <c r="I8236" s="1063"/>
      <c r="J8236" s="1063"/>
      <c r="K8236" s="1063"/>
      <c r="L8236" s="1063"/>
    </row>
    <row r="8237" spans="5:12" x14ac:dyDescent="0.2">
      <c r="E8237" s="1063"/>
      <c r="H8237" s="1066"/>
      <c r="I8237" s="1063"/>
      <c r="J8237" s="1063"/>
      <c r="K8237" s="1063"/>
      <c r="L8237" s="1063"/>
    </row>
    <row r="8238" spans="5:12" x14ac:dyDescent="0.2">
      <c r="E8238" s="1063"/>
      <c r="H8238" s="1066"/>
      <c r="I8238" s="1063"/>
      <c r="J8238" s="1063"/>
      <c r="K8238" s="1063"/>
      <c r="L8238" s="1063"/>
    </row>
    <row r="8239" spans="5:12" x14ac:dyDescent="0.2">
      <c r="E8239" s="1063"/>
      <c r="H8239" s="1066"/>
      <c r="I8239" s="1063"/>
      <c r="J8239" s="1063"/>
      <c r="K8239" s="1063"/>
      <c r="L8239" s="1063"/>
    </row>
    <row r="8240" spans="5:12" x14ac:dyDescent="0.2">
      <c r="E8240" s="1063"/>
      <c r="H8240" s="1066"/>
      <c r="I8240" s="1063"/>
      <c r="J8240" s="1063"/>
      <c r="K8240" s="1063"/>
      <c r="L8240" s="1063"/>
    </row>
    <row r="8241" spans="5:12" x14ac:dyDescent="0.2">
      <c r="E8241" s="1063"/>
      <c r="H8241" s="1066"/>
      <c r="I8241" s="1063"/>
      <c r="J8241" s="1063"/>
      <c r="K8241" s="1063"/>
      <c r="L8241" s="1063"/>
    </row>
    <row r="8242" spans="5:12" x14ac:dyDescent="0.2">
      <c r="E8242" s="1063"/>
      <c r="H8242" s="1066"/>
      <c r="I8242" s="1063"/>
      <c r="J8242" s="1063"/>
      <c r="K8242" s="1063"/>
      <c r="L8242" s="1063"/>
    </row>
    <row r="8243" spans="5:12" x14ac:dyDescent="0.2">
      <c r="E8243" s="1063"/>
      <c r="H8243" s="1066"/>
      <c r="I8243" s="1063"/>
      <c r="J8243" s="1063"/>
      <c r="K8243" s="1063"/>
      <c r="L8243" s="1063"/>
    </row>
    <row r="8244" spans="5:12" x14ac:dyDescent="0.2">
      <c r="E8244" s="1063"/>
      <c r="H8244" s="1066"/>
      <c r="I8244" s="1063"/>
      <c r="J8244" s="1063"/>
      <c r="K8244" s="1063"/>
      <c r="L8244" s="1063"/>
    </row>
    <row r="8245" spans="5:12" x14ac:dyDescent="0.2">
      <c r="E8245" s="1063"/>
      <c r="H8245" s="1066"/>
      <c r="I8245" s="1063"/>
      <c r="J8245" s="1063"/>
      <c r="K8245" s="1063"/>
      <c r="L8245" s="1063"/>
    </row>
    <row r="8246" spans="5:12" x14ac:dyDescent="0.2">
      <c r="E8246" s="1063"/>
      <c r="H8246" s="1066"/>
      <c r="I8246" s="1063"/>
      <c r="J8246" s="1063"/>
      <c r="K8246" s="1063"/>
      <c r="L8246" s="1063"/>
    </row>
    <row r="8247" spans="5:12" x14ac:dyDescent="0.2">
      <c r="E8247" s="1063"/>
      <c r="H8247" s="1066"/>
      <c r="I8247" s="1063"/>
      <c r="J8247" s="1063"/>
      <c r="K8247" s="1063"/>
      <c r="L8247" s="1063"/>
    </row>
    <row r="8248" spans="5:12" x14ac:dyDescent="0.2">
      <c r="E8248" s="1063"/>
      <c r="H8248" s="1066"/>
      <c r="I8248" s="1063"/>
      <c r="J8248" s="1063"/>
      <c r="K8248" s="1063"/>
      <c r="L8248" s="1063"/>
    </row>
    <row r="8249" spans="5:12" x14ac:dyDescent="0.2">
      <c r="E8249" s="1063"/>
      <c r="H8249" s="1066"/>
      <c r="I8249" s="1063"/>
      <c r="J8249" s="1063"/>
      <c r="K8249" s="1063"/>
      <c r="L8249" s="1063"/>
    </row>
    <row r="8250" spans="5:12" x14ac:dyDescent="0.2">
      <c r="E8250" s="1063"/>
      <c r="H8250" s="1066"/>
      <c r="I8250" s="1063"/>
      <c r="J8250" s="1063"/>
      <c r="K8250" s="1063"/>
      <c r="L8250" s="1063"/>
    </row>
    <row r="8251" spans="5:12" x14ac:dyDescent="0.2">
      <c r="E8251" s="1063"/>
      <c r="H8251" s="1066"/>
      <c r="I8251" s="1063"/>
      <c r="J8251" s="1063"/>
      <c r="K8251" s="1063"/>
      <c r="L8251" s="1063"/>
    </row>
    <row r="8252" spans="5:12" x14ac:dyDescent="0.2">
      <c r="E8252" s="1063"/>
      <c r="H8252" s="1066"/>
      <c r="I8252" s="1063"/>
      <c r="J8252" s="1063"/>
      <c r="K8252" s="1063"/>
      <c r="L8252" s="1063"/>
    </row>
    <row r="8253" spans="5:12" x14ac:dyDescent="0.2">
      <c r="E8253" s="1063"/>
      <c r="H8253" s="1066"/>
      <c r="I8253" s="1063"/>
      <c r="J8253" s="1063"/>
      <c r="K8253" s="1063"/>
      <c r="L8253" s="1063"/>
    </row>
    <row r="8254" spans="5:12" x14ac:dyDescent="0.2">
      <c r="E8254" s="1063"/>
      <c r="H8254" s="1066"/>
      <c r="I8254" s="1063"/>
      <c r="J8254" s="1063"/>
      <c r="K8254" s="1063"/>
      <c r="L8254" s="1063"/>
    </row>
    <row r="8255" spans="5:12" x14ac:dyDescent="0.2">
      <c r="E8255" s="1063"/>
      <c r="H8255" s="1066"/>
      <c r="I8255" s="1063"/>
      <c r="J8255" s="1063"/>
      <c r="K8255" s="1063"/>
      <c r="L8255" s="1063"/>
    </row>
    <row r="8256" spans="5:12" x14ac:dyDescent="0.2">
      <c r="E8256" s="1063"/>
      <c r="H8256" s="1066"/>
      <c r="I8256" s="1063"/>
      <c r="J8256" s="1063"/>
      <c r="K8256" s="1063"/>
      <c r="L8256" s="1063"/>
    </row>
    <row r="8257" spans="5:12" x14ac:dyDescent="0.2">
      <c r="E8257" s="1063"/>
      <c r="H8257" s="1066"/>
      <c r="I8257" s="1063"/>
      <c r="J8257" s="1063"/>
      <c r="K8257" s="1063"/>
      <c r="L8257" s="1063"/>
    </row>
    <row r="8258" spans="5:12" x14ac:dyDescent="0.2">
      <c r="E8258" s="1063"/>
      <c r="H8258" s="1066"/>
      <c r="I8258" s="1063"/>
      <c r="J8258" s="1063"/>
      <c r="K8258" s="1063"/>
      <c r="L8258" s="1063"/>
    </row>
    <row r="8259" spans="5:12" x14ac:dyDescent="0.2">
      <c r="E8259" s="1063"/>
      <c r="H8259" s="1066"/>
      <c r="I8259" s="1063"/>
      <c r="J8259" s="1063"/>
      <c r="K8259" s="1063"/>
      <c r="L8259" s="1063"/>
    </row>
    <row r="8260" spans="5:12" x14ac:dyDescent="0.2">
      <c r="E8260" s="1063"/>
      <c r="H8260" s="1066"/>
      <c r="I8260" s="1063"/>
      <c r="J8260" s="1063"/>
      <c r="K8260" s="1063"/>
      <c r="L8260" s="1063"/>
    </row>
    <row r="8261" spans="5:12" x14ac:dyDescent="0.2">
      <c r="E8261" s="1063"/>
      <c r="H8261" s="1066"/>
      <c r="I8261" s="1063"/>
      <c r="J8261" s="1063"/>
      <c r="K8261" s="1063"/>
      <c r="L8261" s="1063"/>
    </row>
    <row r="8262" spans="5:12" x14ac:dyDescent="0.2">
      <c r="E8262" s="1063"/>
      <c r="H8262" s="1066"/>
      <c r="I8262" s="1063"/>
      <c r="J8262" s="1063"/>
      <c r="K8262" s="1063"/>
      <c r="L8262" s="1063"/>
    </row>
    <row r="8263" spans="5:12" x14ac:dyDescent="0.2">
      <c r="E8263" s="1063"/>
      <c r="H8263" s="1066"/>
      <c r="I8263" s="1063"/>
      <c r="J8263" s="1063"/>
      <c r="K8263" s="1063"/>
      <c r="L8263" s="1063"/>
    </row>
    <row r="8264" spans="5:12" x14ac:dyDescent="0.2">
      <c r="E8264" s="1063"/>
      <c r="H8264" s="1066"/>
      <c r="I8264" s="1063"/>
      <c r="J8264" s="1063"/>
      <c r="K8264" s="1063"/>
      <c r="L8264" s="1063"/>
    </row>
    <row r="8265" spans="5:12" x14ac:dyDescent="0.2">
      <c r="E8265" s="1063"/>
      <c r="H8265" s="1066"/>
      <c r="I8265" s="1063"/>
      <c r="J8265" s="1063"/>
      <c r="K8265" s="1063"/>
      <c r="L8265" s="1063"/>
    </row>
    <row r="8266" spans="5:12" x14ac:dyDescent="0.2">
      <c r="E8266" s="1063"/>
      <c r="H8266" s="1066"/>
      <c r="I8266" s="1063"/>
      <c r="J8266" s="1063"/>
      <c r="K8266" s="1063"/>
      <c r="L8266" s="1063"/>
    </row>
    <row r="8267" spans="5:12" x14ac:dyDescent="0.2">
      <c r="E8267" s="1063"/>
      <c r="H8267" s="1066"/>
      <c r="I8267" s="1063"/>
      <c r="J8267" s="1063"/>
      <c r="K8267" s="1063"/>
      <c r="L8267" s="1063"/>
    </row>
    <row r="8268" spans="5:12" x14ac:dyDescent="0.2">
      <c r="E8268" s="1063"/>
      <c r="H8268" s="1066"/>
      <c r="I8268" s="1063"/>
      <c r="J8268" s="1063"/>
      <c r="K8268" s="1063"/>
      <c r="L8268" s="1063"/>
    </row>
    <row r="8269" spans="5:12" x14ac:dyDescent="0.2">
      <c r="E8269" s="1063"/>
      <c r="H8269" s="1066"/>
      <c r="I8269" s="1063"/>
      <c r="J8269" s="1063"/>
      <c r="K8269" s="1063"/>
      <c r="L8269" s="1063"/>
    </row>
    <row r="8270" spans="5:12" x14ac:dyDescent="0.2">
      <c r="E8270" s="1063"/>
      <c r="H8270" s="1066"/>
      <c r="I8270" s="1063"/>
      <c r="J8270" s="1063"/>
      <c r="K8270" s="1063"/>
      <c r="L8270" s="1063"/>
    </row>
    <row r="8271" spans="5:12" x14ac:dyDescent="0.2">
      <c r="E8271" s="1063"/>
      <c r="H8271" s="1066"/>
      <c r="I8271" s="1063"/>
      <c r="J8271" s="1063"/>
      <c r="K8271" s="1063"/>
      <c r="L8271" s="1063"/>
    </row>
    <row r="8272" spans="5:12" x14ac:dyDescent="0.2">
      <c r="E8272" s="1063"/>
      <c r="H8272" s="1066"/>
      <c r="I8272" s="1063"/>
      <c r="J8272" s="1063"/>
      <c r="K8272" s="1063"/>
      <c r="L8272" s="1063"/>
    </row>
    <row r="8273" spans="5:12" x14ac:dyDescent="0.2">
      <c r="E8273" s="1063"/>
      <c r="H8273" s="1066"/>
      <c r="I8273" s="1063"/>
      <c r="J8273" s="1063"/>
      <c r="K8273" s="1063"/>
      <c r="L8273" s="1063"/>
    </row>
    <row r="8274" spans="5:12" x14ac:dyDescent="0.2">
      <c r="E8274" s="1063"/>
      <c r="H8274" s="1066"/>
      <c r="I8274" s="1063"/>
      <c r="J8274" s="1063"/>
      <c r="K8274" s="1063"/>
      <c r="L8274" s="1063"/>
    </row>
    <row r="8275" spans="5:12" x14ac:dyDescent="0.2">
      <c r="E8275" s="1063"/>
      <c r="H8275" s="1066"/>
      <c r="I8275" s="1063"/>
      <c r="J8275" s="1063"/>
      <c r="K8275" s="1063"/>
      <c r="L8275" s="1063"/>
    </row>
    <row r="8276" spans="5:12" x14ac:dyDescent="0.2">
      <c r="E8276" s="1063"/>
      <c r="H8276" s="1066"/>
      <c r="I8276" s="1063"/>
      <c r="J8276" s="1063"/>
      <c r="K8276" s="1063"/>
      <c r="L8276" s="1063"/>
    </row>
    <row r="8277" spans="5:12" x14ac:dyDescent="0.2">
      <c r="E8277" s="1063"/>
      <c r="H8277" s="1066"/>
      <c r="I8277" s="1063"/>
      <c r="J8277" s="1063"/>
      <c r="K8277" s="1063"/>
      <c r="L8277" s="1063"/>
    </row>
    <row r="8278" spans="5:12" x14ac:dyDescent="0.2">
      <c r="E8278" s="1063"/>
      <c r="H8278" s="1066"/>
      <c r="I8278" s="1063"/>
      <c r="J8278" s="1063"/>
      <c r="K8278" s="1063"/>
      <c r="L8278" s="1063"/>
    </row>
    <row r="8279" spans="5:12" x14ac:dyDescent="0.2">
      <c r="E8279" s="1063"/>
      <c r="H8279" s="1066"/>
      <c r="I8279" s="1063"/>
      <c r="J8279" s="1063"/>
      <c r="K8279" s="1063"/>
      <c r="L8279" s="1063"/>
    </row>
    <row r="8280" spans="5:12" x14ac:dyDescent="0.2">
      <c r="E8280" s="1063"/>
      <c r="H8280" s="1066"/>
      <c r="I8280" s="1063"/>
      <c r="J8280" s="1063"/>
      <c r="K8280" s="1063"/>
      <c r="L8280" s="1063"/>
    </row>
    <row r="8281" spans="5:12" x14ac:dyDescent="0.2">
      <c r="E8281" s="1063"/>
      <c r="H8281" s="1066"/>
      <c r="I8281" s="1063"/>
      <c r="J8281" s="1063"/>
      <c r="K8281" s="1063"/>
      <c r="L8281" s="1063"/>
    </row>
    <row r="8282" spans="5:12" x14ac:dyDescent="0.2">
      <c r="E8282" s="1063"/>
      <c r="H8282" s="1066"/>
      <c r="I8282" s="1063"/>
      <c r="J8282" s="1063"/>
      <c r="K8282" s="1063"/>
      <c r="L8282" s="1063"/>
    </row>
    <row r="8283" spans="5:12" x14ac:dyDescent="0.2">
      <c r="E8283" s="1063"/>
      <c r="H8283" s="1066"/>
      <c r="I8283" s="1063"/>
      <c r="J8283" s="1063"/>
      <c r="K8283" s="1063"/>
      <c r="L8283" s="1063"/>
    </row>
    <row r="8284" spans="5:12" x14ac:dyDescent="0.2">
      <c r="E8284" s="1063"/>
      <c r="H8284" s="1066"/>
      <c r="I8284" s="1063"/>
      <c r="J8284" s="1063"/>
      <c r="K8284" s="1063"/>
      <c r="L8284" s="1063"/>
    </row>
    <row r="8285" spans="5:12" x14ac:dyDescent="0.2">
      <c r="E8285" s="1063"/>
      <c r="H8285" s="1066"/>
      <c r="I8285" s="1063"/>
      <c r="J8285" s="1063"/>
      <c r="K8285" s="1063"/>
      <c r="L8285" s="1063"/>
    </row>
    <row r="8286" spans="5:12" x14ac:dyDescent="0.2">
      <c r="E8286" s="1063"/>
      <c r="H8286" s="1066"/>
      <c r="I8286" s="1063"/>
      <c r="J8286" s="1063"/>
      <c r="K8286" s="1063"/>
      <c r="L8286" s="1063"/>
    </row>
    <row r="8287" spans="5:12" x14ac:dyDescent="0.2">
      <c r="E8287" s="1063"/>
      <c r="H8287" s="1066"/>
      <c r="I8287" s="1063"/>
      <c r="J8287" s="1063"/>
      <c r="K8287" s="1063"/>
      <c r="L8287" s="1063"/>
    </row>
    <row r="8288" spans="5:12" x14ac:dyDescent="0.2">
      <c r="E8288" s="1063"/>
      <c r="H8288" s="1066"/>
      <c r="I8288" s="1063"/>
      <c r="J8288" s="1063"/>
      <c r="K8288" s="1063"/>
      <c r="L8288" s="1063"/>
    </row>
    <row r="8289" spans="5:12" x14ac:dyDescent="0.2">
      <c r="E8289" s="1063"/>
      <c r="H8289" s="1066"/>
      <c r="I8289" s="1063"/>
      <c r="J8289" s="1063"/>
      <c r="K8289" s="1063"/>
      <c r="L8289" s="1063"/>
    </row>
    <row r="8290" spans="5:12" x14ac:dyDescent="0.2">
      <c r="E8290" s="1063"/>
      <c r="H8290" s="1066"/>
      <c r="I8290" s="1063"/>
      <c r="J8290" s="1063"/>
      <c r="K8290" s="1063"/>
      <c r="L8290" s="1063"/>
    </row>
    <row r="8291" spans="5:12" x14ac:dyDescent="0.2">
      <c r="E8291" s="1063"/>
      <c r="H8291" s="1066"/>
      <c r="I8291" s="1063"/>
      <c r="J8291" s="1063"/>
      <c r="K8291" s="1063"/>
      <c r="L8291" s="1063"/>
    </row>
    <row r="8292" spans="5:12" x14ac:dyDescent="0.2">
      <c r="E8292" s="1063"/>
      <c r="H8292" s="1066"/>
      <c r="I8292" s="1063"/>
      <c r="J8292" s="1063"/>
      <c r="K8292" s="1063"/>
      <c r="L8292" s="1063"/>
    </row>
    <row r="8293" spans="5:12" x14ac:dyDescent="0.2">
      <c r="E8293" s="1063"/>
      <c r="H8293" s="1066"/>
      <c r="I8293" s="1063"/>
      <c r="J8293" s="1063"/>
      <c r="K8293" s="1063"/>
      <c r="L8293" s="1063"/>
    </row>
    <row r="8294" spans="5:12" x14ac:dyDescent="0.2">
      <c r="E8294" s="1063"/>
      <c r="H8294" s="1066"/>
      <c r="I8294" s="1063"/>
      <c r="J8294" s="1063"/>
      <c r="K8294" s="1063"/>
      <c r="L8294" s="1063"/>
    </row>
    <row r="8295" spans="5:12" x14ac:dyDescent="0.2">
      <c r="E8295" s="1063"/>
      <c r="H8295" s="1066"/>
      <c r="I8295" s="1063"/>
      <c r="J8295" s="1063"/>
      <c r="K8295" s="1063"/>
      <c r="L8295" s="1063"/>
    </row>
    <row r="8296" spans="5:12" x14ac:dyDescent="0.2">
      <c r="E8296" s="1063"/>
      <c r="H8296" s="1066"/>
      <c r="I8296" s="1063"/>
      <c r="J8296" s="1063"/>
      <c r="K8296" s="1063"/>
      <c r="L8296" s="1063"/>
    </row>
    <row r="8297" spans="5:12" x14ac:dyDescent="0.2">
      <c r="E8297" s="1063"/>
      <c r="H8297" s="1066"/>
      <c r="I8297" s="1063"/>
      <c r="J8297" s="1063"/>
      <c r="K8297" s="1063"/>
      <c r="L8297" s="1063"/>
    </row>
    <row r="8298" spans="5:12" x14ac:dyDescent="0.2">
      <c r="E8298" s="1063"/>
      <c r="H8298" s="1066"/>
      <c r="I8298" s="1063"/>
      <c r="J8298" s="1063"/>
      <c r="K8298" s="1063"/>
      <c r="L8298" s="1063"/>
    </row>
    <row r="8299" spans="5:12" x14ac:dyDescent="0.2">
      <c r="E8299" s="1063"/>
      <c r="H8299" s="1066"/>
      <c r="I8299" s="1063"/>
      <c r="J8299" s="1063"/>
      <c r="K8299" s="1063"/>
      <c r="L8299" s="1063"/>
    </row>
    <row r="8300" spans="5:12" x14ac:dyDescent="0.2">
      <c r="E8300" s="1063"/>
      <c r="H8300" s="1066"/>
      <c r="I8300" s="1063"/>
      <c r="J8300" s="1063"/>
      <c r="K8300" s="1063"/>
      <c r="L8300" s="1063"/>
    </row>
    <row r="8301" spans="5:12" x14ac:dyDescent="0.2">
      <c r="E8301" s="1063"/>
      <c r="H8301" s="1066"/>
      <c r="I8301" s="1063"/>
      <c r="J8301" s="1063"/>
      <c r="K8301" s="1063"/>
      <c r="L8301" s="1063"/>
    </row>
    <row r="8302" spans="5:12" x14ac:dyDescent="0.2">
      <c r="E8302" s="1063"/>
      <c r="H8302" s="1066"/>
      <c r="I8302" s="1063"/>
      <c r="J8302" s="1063"/>
      <c r="K8302" s="1063"/>
      <c r="L8302" s="1063"/>
    </row>
    <row r="8303" spans="5:12" x14ac:dyDescent="0.2">
      <c r="E8303" s="1063"/>
      <c r="H8303" s="1066"/>
      <c r="I8303" s="1063"/>
      <c r="J8303" s="1063"/>
      <c r="K8303" s="1063"/>
      <c r="L8303" s="1063"/>
    </row>
    <row r="8304" spans="5:12" x14ac:dyDescent="0.2">
      <c r="E8304" s="1063"/>
      <c r="H8304" s="1066"/>
      <c r="I8304" s="1063"/>
      <c r="J8304" s="1063"/>
      <c r="K8304" s="1063"/>
      <c r="L8304" s="1063"/>
    </row>
    <row r="8305" spans="5:12" x14ac:dyDescent="0.2">
      <c r="E8305" s="1063"/>
      <c r="H8305" s="1066"/>
      <c r="I8305" s="1063"/>
      <c r="J8305" s="1063"/>
      <c r="K8305" s="1063"/>
      <c r="L8305" s="1063"/>
    </row>
    <row r="8306" spans="5:12" x14ac:dyDescent="0.2">
      <c r="E8306" s="1063"/>
      <c r="H8306" s="1066"/>
      <c r="I8306" s="1063"/>
      <c r="J8306" s="1063"/>
      <c r="K8306" s="1063"/>
      <c r="L8306" s="1063"/>
    </row>
    <row r="8307" spans="5:12" x14ac:dyDescent="0.2">
      <c r="E8307" s="1063"/>
      <c r="H8307" s="1066"/>
      <c r="I8307" s="1063"/>
      <c r="J8307" s="1063"/>
      <c r="K8307" s="1063"/>
      <c r="L8307" s="1063"/>
    </row>
    <row r="8308" spans="5:12" x14ac:dyDescent="0.2">
      <c r="E8308" s="1063"/>
      <c r="H8308" s="1066"/>
      <c r="I8308" s="1063"/>
      <c r="J8308" s="1063"/>
      <c r="K8308" s="1063"/>
      <c r="L8308" s="1063"/>
    </row>
    <row r="8309" spans="5:12" x14ac:dyDescent="0.2">
      <c r="E8309" s="1063"/>
      <c r="H8309" s="1066"/>
      <c r="I8309" s="1063"/>
      <c r="J8309" s="1063"/>
      <c r="K8309" s="1063"/>
      <c r="L8309" s="1063"/>
    </row>
    <row r="8310" spans="5:12" x14ac:dyDescent="0.2">
      <c r="E8310" s="1063"/>
      <c r="H8310" s="1066"/>
      <c r="I8310" s="1063"/>
      <c r="J8310" s="1063"/>
      <c r="K8310" s="1063"/>
      <c r="L8310" s="1063"/>
    </row>
    <row r="8311" spans="5:12" x14ac:dyDescent="0.2">
      <c r="E8311" s="1063"/>
      <c r="H8311" s="1066"/>
      <c r="I8311" s="1063"/>
      <c r="J8311" s="1063"/>
      <c r="K8311" s="1063"/>
      <c r="L8311" s="1063"/>
    </row>
    <row r="8312" spans="5:12" x14ac:dyDescent="0.2">
      <c r="E8312" s="1063"/>
      <c r="H8312" s="1066"/>
      <c r="I8312" s="1063"/>
      <c r="J8312" s="1063"/>
      <c r="K8312" s="1063"/>
      <c r="L8312" s="1063"/>
    </row>
    <row r="8313" spans="5:12" x14ac:dyDescent="0.2">
      <c r="E8313" s="1063"/>
      <c r="H8313" s="1066"/>
      <c r="I8313" s="1063"/>
      <c r="J8313" s="1063"/>
      <c r="K8313" s="1063"/>
      <c r="L8313" s="1063"/>
    </row>
    <row r="8314" spans="5:12" x14ac:dyDescent="0.2">
      <c r="E8314" s="1063"/>
      <c r="H8314" s="1066"/>
      <c r="I8314" s="1063"/>
      <c r="J8314" s="1063"/>
      <c r="K8314" s="1063"/>
      <c r="L8314" s="1063"/>
    </row>
    <row r="8315" spans="5:12" x14ac:dyDescent="0.2">
      <c r="E8315" s="1063"/>
      <c r="H8315" s="1066"/>
      <c r="I8315" s="1063"/>
      <c r="J8315" s="1063"/>
      <c r="K8315" s="1063"/>
      <c r="L8315" s="1063"/>
    </row>
    <row r="8316" spans="5:12" x14ac:dyDescent="0.2">
      <c r="E8316" s="1063"/>
      <c r="H8316" s="1066"/>
      <c r="I8316" s="1063"/>
      <c r="J8316" s="1063"/>
      <c r="K8316" s="1063"/>
      <c r="L8316" s="1063"/>
    </row>
    <row r="8317" spans="5:12" x14ac:dyDescent="0.2">
      <c r="E8317" s="1063"/>
      <c r="H8317" s="1066"/>
      <c r="I8317" s="1063"/>
      <c r="J8317" s="1063"/>
      <c r="K8317" s="1063"/>
      <c r="L8317" s="1063"/>
    </row>
    <row r="8318" spans="5:12" x14ac:dyDescent="0.2">
      <c r="E8318" s="1063"/>
      <c r="H8318" s="1066"/>
      <c r="I8318" s="1063"/>
      <c r="J8318" s="1063"/>
      <c r="K8318" s="1063"/>
      <c r="L8318" s="1063"/>
    </row>
    <row r="8319" spans="5:12" x14ac:dyDescent="0.2">
      <c r="E8319" s="1063"/>
      <c r="H8319" s="1066"/>
      <c r="I8319" s="1063"/>
      <c r="J8319" s="1063"/>
      <c r="K8319" s="1063"/>
      <c r="L8319" s="1063"/>
    </row>
    <row r="8320" spans="5:12" x14ac:dyDescent="0.2">
      <c r="E8320" s="1063"/>
      <c r="H8320" s="1066"/>
      <c r="I8320" s="1063"/>
      <c r="J8320" s="1063"/>
      <c r="K8320" s="1063"/>
      <c r="L8320" s="1063"/>
    </row>
    <row r="8321" spans="5:12" x14ac:dyDescent="0.2">
      <c r="E8321" s="1063"/>
      <c r="H8321" s="1066"/>
      <c r="I8321" s="1063"/>
      <c r="J8321" s="1063"/>
      <c r="K8321" s="1063"/>
      <c r="L8321" s="1063"/>
    </row>
    <row r="8322" spans="5:12" x14ac:dyDescent="0.2">
      <c r="E8322" s="1063"/>
      <c r="H8322" s="1066"/>
      <c r="I8322" s="1063"/>
      <c r="J8322" s="1063"/>
      <c r="K8322" s="1063"/>
      <c r="L8322" s="1063"/>
    </row>
    <row r="8323" spans="5:12" x14ac:dyDescent="0.2">
      <c r="E8323" s="1063"/>
      <c r="H8323" s="1066"/>
      <c r="I8323" s="1063"/>
      <c r="J8323" s="1063"/>
      <c r="K8323" s="1063"/>
      <c r="L8323" s="1063"/>
    </row>
    <row r="8324" spans="5:12" x14ac:dyDescent="0.2">
      <c r="E8324" s="1063"/>
      <c r="H8324" s="1066"/>
      <c r="I8324" s="1063"/>
      <c r="J8324" s="1063"/>
      <c r="K8324" s="1063"/>
      <c r="L8324" s="1063"/>
    </row>
    <row r="8325" spans="5:12" x14ac:dyDescent="0.2">
      <c r="E8325" s="1063"/>
      <c r="H8325" s="1066"/>
      <c r="I8325" s="1063"/>
      <c r="J8325" s="1063"/>
      <c r="K8325" s="1063"/>
      <c r="L8325" s="1063"/>
    </row>
    <row r="8326" spans="5:12" x14ac:dyDescent="0.2">
      <c r="E8326" s="1063"/>
      <c r="H8326" s="1066"/>
      <c r="I8326" s="1063"/>
      <c r="J8326" s="1063"/>
      <c r="K8326" s="1063"/>
      <c r="L8326" s="1063"/>
    </row>
    <row r="8327" spans="5:12" x14ac:dyDescent="0.2">
      <c r="E8327" s="1063"/>
      <c r="H8327" s="1066"/>
      <c r="I8327" s="1063"/>
      <c r="J8327" s="1063"/>
      <c r="K8327" s="1063"/>
      <c r="L8327" s="1063"/>
    </row>
    <row r="8328" spans="5:12" x14ac:dyDescent="0.2">
      <c r="E8328" s="1063"/>
      <c r="H8328" s="1066"/>
      <c r="I8328" s="1063"/>
      <c r="J8328" s="1063"/>
      <c r="K8328" s="1063"/>
      <c r="L8328" s="1063"/>
    </row>
    <row r="8329" spans="5:12" x14ac:dyDescent="0.2">
      <c r="E8329" s="1063"/>
      <c r="H8329" s="1066"/>
      <c r="I8329" s="1063"/>
      <c r="J8329" s="1063"/>
      <c r="K8329" s="1063"/>
      <c r="L8329" s="1063"/>
    </row>
    <row r="8330" spans="5:12" x14ac:dyDescent="0.2">
      <c r="E8330" s="1063"/>
      <c r="H8330" s="1066"/>
      <c r="I8330" s="1063"/>
      <c r="J8330" s="1063"/>
      <c r="K8330" s="1063"/>
      <c r="L8330" s="1063"/>
    </row>
    <row r="8331" spans="5:12" x14ac:dyDescent="0.2">
      <c r="E8331" s="1063"/>
      <c r="H8331" s="1066"/>
      <c r="I8331" s="1063"/>
      <c r="J8331" s="1063"/>
      <c r="K8331" s="1063"/>
      <c r="L8331" s="1063"/>
    </row>
    <row r="8332" spans="5:12" x14ac:dyDescent="0.2">
      <c r="E8332" s="1063"/>
      <c r="H8332" s="1066"/>
      <c r="I8332" s="1063"/>
      <c r="J8332" s="1063"/>
      <c r="K8332" s="1063"/>
      <c r="L8332" s="1063"/>
    </row>
    <row r="8333" spans="5:12" x14ac:dyDescent="0.2">
      <c r="E8333" s="1063"/>
      <c r="H8333" s="1066"/>
      <c r="I8333" s="1063"/>
      <c r="J8333" s="1063"/>
      <c r="K8333" s="1063"/>
      <c r="L8333" s="1063"/>
    </row>
    <row r="8334" spans="5:12" x14ac:dyDescent="0.2">
      <c r="E8334" s="1063"/>
      <c r="H8334" s="1066"/>
      <c r="I8334" s="1063"/>
      <c r="J8334" s="1063"/>
      <c r="K8334" s="1063"/>
      <c r="L8334" s="1063"/>
    </row>
    <row r="8335" spans="5:12" x14ac:dyDescent="0.2">
      <c r="E8335" s="1063"/>
      <c r="H8335" s="1066"/>
      <c r="I8335" s="1063"/>
      <c r="J8335" s="1063"/>
      <c r="K8335" s="1063"/>
      <c r="L8335" s="1063"/>
    </row>
    <row r="8336" spans="5:12" x14ac:dyDescent="0.2">
      <c r="E8336" s="1063"/>
      <c r="H8336" s="1066"/>
      <c r="I8336" s="1063"/>
      <c r="J8336" s="1063"/>
      <c r="K8336" s="1063"/>
      <c r="L8336" s="1063"/>
    </row>
    <row r="8337" spans="5:12" x14ac:dyDescent="0.2">
      <c r="E8337" s="1063"/>
      <c r="H8337" s="1066"/>
      <c r="I8337" s="1063"/>
      <c r="J8337" s="1063"/>
      <c r="K8337" s="1063"/>
      <c r="L8337" s="1063"/>
    </row>
    <row r="8338" spans="5:12" x14ac:dyDescent="0.2">
      <c r="E8338" s="1063"/>
      <c r="H8338" s="1066"/>
      <c r="I8338" s="1063"/>
      <c r="J8338" s="1063"/>
      <c r="K8338" s="1063"/>
      <c r="L8338" s="1063"/>
    </row>
    <row r="8339" spans="5:12" x14ac:dyDescent="0.2">
      <c r="E8339" s="1063"/>
      <c r="H8339" s="1066"/>
      <c r="I8339" s="1063"/>
      <c r="J8339" s="1063"/>
      <c r="K8339" s="1063"/>
      <c r="L8339" s="1063"/>
    </row>
    <row r="8340" spans="5:12" x14ac:dyDescent="0.2">
      <c r="E8340" s="1063"/>
      <c r="H8340" s="1066"/>
      <c r="I8340" s="1063"/>
      <c r="J8340" s="1063"/>
      <c r="K8340" s="1063"/>
      <c r="L8340" s="1063"/>
    </row>
    <row r="8341" spans="5:12" x14ac:dyDescent="0.2">
      <c r="E8341" s="1063"/>
      <c r="H8341" s="1066"/>
      <c r="I8341" s="1063"/>
      <c r="J8341" s="1063"/>
      <c r="K8341" s="1063"/>
      <c r="L8341" s="1063"/>
    </row>
    <row r="8342" spans="5:12" x14ac:dyDescent="0.2">
      <c r="E8342" s="1063"/>
      <c r="H8342" s="1066"/>
      <c r="I8342" s="1063"/>
      <c r="J8342" s="1063"/>
      <c r="K8342" s="1063"/>
      <c r="L8342" s="1063"/>
    </row>
    <row r="8343" spans="5:12" x14ac:dyDescent="0.2">
      <c r="E8343" s="1063"/>
      <c r="H8343" s="1066"/>
      <c r="I8343" s="1063"/>
      <c r="J8343" s="1063"/>
      <c r="K8343" s="1063"/>
      <c r="L8343" s="1063"/>
    </row>
    <row r="8344" spans="5:12" x14ac:dyDescent="0.2">
      <c r="E8344" s="1063"/>
      <c r="H8344" s="1066"/>
      <c r="I8344" s="1063"/>
      <c r="J8344" s="1063"/>
      <c r="K8344" s="1063"/>
      <c r="L8344" s="1063"/>
    </row>
    <row r="8345" spans="5:12" x14ac:dyDescent="0.2">
      <c r="E8345" s="1063"/>
      <c r="H8345" s="1066"/>
      <c r="I8345" s="1063"/>
      <c r="J8345" s="1063"/>
      <c r="K8345" s="1063"/>
      <c r="L8345" s="1063"/>
    </row>
    <row r="8346" spans="5:12" x14ac:dyDescent="0.2">
      <c r="E8346" s="1063"/>
      <c r="H8346" s="1066"/>
      <c r="I8346" s="1063"/>
      <c r="J8346" s="1063"/>
      <c r="K8346" s="1063"/>
      <c r="L8346" s="1063"/>
    </row>
    <row r="8347" spans="5:12" x14ac:dyDescent="0.2">
      <c r="E8347" s="1063"/>
      <c r="H8347" s="1066"/>
      <c r="I8347" s="1063"/>
      <c r="J8347" s="1063"/>
      <c r="K8347" s="1063"/>
      <c r="L8347" s="1063"/>
    </row>
    <row r="8348" spans="5:12" x14ac:dyDescent="0.2">
      <c r="E8348" s="1063"/>
      <c r="H8348" s="1066"/>
      <c r="I8348" s="1063"/>
      <c r="J8348" s="1063"/>
      <c r="K8348" s="1063"/>
      <c r="L8348" s="1063"/>
    </row>
    <row r="8349" spans="5:12" x14ac:dyDescent="0.2">
      <c r="E8349" s="1063"/>
      <c r="H8349" s="1066"/>
      <c r="I8349" s="1063"/>
      <c r="J8349" s="1063"/>
      <c r="K8349" s="1063"/>
      <c r="L8349" s="1063"/>
    </row>
    <row r="8350" spans="5:12" x14ac:dyDescent="0.2">
      <c r="E8350" s="1063"/>
      <c r="H8350" s="1066"/>
      <c r="I8350" s="1063"/>
      <c r="J8350" s="1063"/>
      <c r="K8350" s="1063"/>
      <c r="L8350" s="1063"/>
    </row>
    <row r="8351" spans="5:12" x14ac:dyDescent="0.2">
      <c r="E8351" s="1063"/>
      <c r="H8351" s="1066"/>
      <c r="I8351" s="1063"/>
      <c r="J8351" s="1063"/>
      <c r="K8351" s="1063"/>
      <c r="L8351" s="1063"/>
    </row>
    <row r="8352" spans="5:12" x14ac:dyDescent="0.2">
      <c r="E8352" s="1063"/>
      <c r="H8352" s="1066"/>
      <c r="I8352" s="1063"/>
      <c r="J8352" s="1063"/>
      <c r="K8352" s="1063"/>
      <c r="L8352" s="1063"/>
    </row>
    <row r="8353" spans="5:12" x14ac:dyDescent="0.2">
      <c r="E8353" s="1063"/>
      <c r="H8353" s="1066"/>
      <c r="I8353" s="1063"/>
      <c r="J8353" s="1063"/>
      <c r="K8353" s="1063"/>
      <c r="L8353" s="1063"/>
    </row>
    <row r="8354" spans="5:12" x14ac:dyDescent="0.2">
      <c r="E8354" s="1063"/>
      <c r="H8354" s="1066"/>
      <c r="I8354" s="1063"/>
      <c r="J8354" s="1063"/>
      <c r="K8354" s="1063"/>
      <c r="L8354" s="1063"/>
    </row>
    <row r="8355" spans="5:12" x14ac:dyDescent="0.2">
      <c r="E8355" s="1063"/>
      <c r="H8355" s="1066"/>
      <c r="I8355" s="1063"/>
      <c r="J8355" s="1063"/>
      <c r="K8355" s="1063"/>
      <c r="L8355" s="1063"/>
    </row>
    <row r="8356" spans="5:12" x14ac:dyDescent="0.2">
      <c r="E8356" s="1063"/>
      <c r="H8356" s="1066"/>
      <c r="I8356" s="1063"/>
      <c r="J8356" s="1063"/>
      <c r="K8356" s="1063"/>
      <c r="L8356" s="1063"/>
    </row>
    <row r="8357" spans="5:12" x14ac:dyDescent="0.2">
      <c r="E8357" s="1063"/>
      <c r="H8357" s="1066"/>
      <c r="I8357" s="1063"/>
      <c r="J8357" s="1063"/>
      <c r="K8357" s="1063"/>
      <c r="L8357" s="1063"/>
    </row>
    <row r="8358" spans="5:12" x14ac:dyDescent="0.2">
      <c r="E8358" s="1063"/>
      <c r="H8358" s="1066"/>
      <c r="I8358" s="1063"/>
      <c r="J8358" s="1063"/>
      <c r="K8358" s="1063"/>
      <c r="L8358" s="1063"/>
    </row>
    <row r="8359" spans="5:12" x14ac:dyDescent="0.2">
      <c r="E8359" s="1063"/>
      <c r="H8359" s="1066"/>
      <c r="I8359" s="1063"/>
      <c r="J8359" s="1063"/>
      <c r="K8359" s="1063"/>
      <c r="L8359" s="1063"/>
    </row>
    <row r="8360" spans="5:12" x14ac:dyDescent="0.2">
      <c r="E8360" s="1063"/>
      <c r="H8360" s="1066"/>
      <c r="I8360" s="1063"/>
      <c r="J8360" s="1063"/>
      <c r="K8360" s="1063"/>
      <c r="L8360" s="1063"/>
    </row>
    <row r="8361" spans="5:12" x14ac:dyDescent="0.2">
      <c r="E8361" s="1063"/>
      <c r="H8361" s="1066"/>
      <c r="I8361" s="1063"/>
      <c r="J8361" s="1063"/>
      <c r="K8361" s="1063"/>
      <c r="L8361" s="1063"/>
    </row>
    <row r="8362" spans="5:12" x14ac:dyDescent="0.2">
      <c r="E8362" s="1063"/>
      <c r="H8362" s="1066"/>
      <c r="I8362" s="1063"/>
      <c r="J8362" s="1063"/>
      <c r="K8362" s="1063"/>
      <c r="L8362" s="1063"/>
    </row>
    <row r="8363" spans="5:12" x14ac:dyDescent="0.2">
      <c r="E8363" s="1063"/>
      <c r="H8363" s="1066"/>
      <c r="I8363" s="1063"/>
      <c r="J8363" s="1063"/>
      <c r="K8363" s="1063"/>
      <c r="L8363" s="1063"/>
    </row>
    <row r="8364" spans="5:12" x14ac:dyDescent="0.2">
      <c r="E8364" s="1063"/>
      <c r="H8364" s="1066"/>
      <c r="I8364" s="1063"/>
      <c r="J8364" s="1063"/>
      <c r="K8364" s="1063"/>
      <c r="L8364" s="1063"/>
    </row>
    <row r="8365" spans="5:12" x14ac:dyDescent="0.2">
      <c r="E8365" s="1063"/>
      <c r="H8365" s="1066"/>
      <c r="I8365" s="1063"/>
      <c r="J8365" s="1063"/>
      <c r="K8365" s="1063"/>
      <c r="L8365" s="1063"/>
    </row>
    <row r="8366" spans="5:12" x14ac:dyDescent="0.2">
      <c r="E8366" s="1063"/>
      <c r="H8366" s="1066"/>
      <c r="I8366" s="1063"/>
      <c r="J8366" s="1063"/>
      <c r="K8366" s="1063"/>
      <c r="L8366" s="1063"/>
    </row>
    <row r="8367" spans="5:12" x14ac:dyDescent="0.2">
      <c r="E8367" s="1063"/>
      <c r="H8367" s="1066"/>
      <c r="I8367" s="1063"/>
      <c r="J8367" s="1063"/>
      <c r="K8367" s="1063"/>
      <c r="L8367" s="1063"/>
    </row>
    <row r="8368" spans="5:12" x14ac:dyDescent="0.2">
      <c r="E8368" s="1063"/>
      <c r="H8368" s="1066"/>
      <c r="I8368" s="1063"/>
      <c r="J8368" s="1063"/>
      <c r="K8368" s="1063"/>
      <c r="L8368" s="1063"/>
    </row>
    <row r="8369" spans="5:12" x14ac:dyDescent="0.2">
      <c r="E8369" s="1063"/>
      <c r="H8369" s="1066"/>
      <c r="I8369" s="1063"/>
      <c r="J8369" s="1063"/>
      <c r="K8369" s="1063"/>
      <c r="L8369" s="1063"/>
    </row>
    <row r="8370" spans="5:12" x14ac:dyDescent="0.2">
      <c r="E8370" s="1063"/>
      <c r="H8370" s="1066"/>
      <c r="I8370" s="1063"/>
      <c r="J8370" s="1063"/>
      <c r="K8370" s="1063"/>
      <c r="L8370" s="1063"/>
    </row>
    <row r="8371" spans="5:12" x14ac:dyDescent="0.2">
      <c r="E8371" s="1063"/>
      <c r="H8371" s="1066"/>
      <c r="I8371" s="1063"/>
      <c r="J8371" s="1063"/>
      <c r="K8371" s="1063"/>
      <c r="L8371" s="1063"/>
    </row>
    <row r="8372" spans="5:12" x14ac:dyDescent="0.2">
      <c r="E8372" s="1063"/>
      <c r="H8372" s="1066"/>
      <c r="I8372" s="1063"/>
      <c r="J8372" s="1063"/>
      <c r="K8372" s="1063"/>
      <c r="L8372" s="1063"/>
    </row>
    <row r="8373" spans="5:12" x14ac:dyDescent="0.2">
      <c r="E8373" s="1063"/>
      <c r="H8373" s="1066"/>
      <c r="I8373" s="1063"/>
      <c r="J8373" s="1063"/>
      <c r="K8373" s="1063"/>
      <c r="L8373" s="1063"/>
    </row>
    <row r="8374" spans="5:12" x14ac:dyDescent="0.2">
      <c r="E8374" s="1063"/>
      <c r="H8374" s="1066"/>
      <c r="I8374" s="1063"/>
      <c r="J8374" s="1063"/>
      <c r="K8374" s="1063"/>
      <c r="L8374" s="1063"/>
    </row>
    <row r="8375" spans="5:12" x14ac:dyDescent="0.2">
      <c r="E8375" s="1063"/>
      <c r="H8375" s="1066"/>
      <c r="I8375" s="1063"/>
      <c r="J8375" s="1063"/>
      <c r="K8375" s="1063"/>
      <c r="L8375" s="1063"/>
    </row>
    <row r="8376" spans="5:12" x14ac:dyDescent="0.2">
      <c r="E8376" s="1063"/>
      <c r="H8376" s="1066"/>
      <c r="I8376" s="1063"/>
      <c r="J8376" s="1063"/>
      <c r="K8376" s="1063"/>
      <c r="L8376" s="1063"/>
    </row>
    <row r="8377" spans="5:12" x14ac:dyDescent="0.2">
      <c r="E8377" s="1063"/>
      <c r="H8377" s="1066"/>
      <c r="I8377" s="1063"/>
      <c r="J8377" s="1063"/>
      <c r="K8377" s="1063"/>
      <c r="L8377" s="1063"/>
    </row>
    <row r="8378" spans="5:12" x14ac:dyDescent="0.2">
      <c r="E8378" s="1063"/>
      <c r="H8378" s="1066"/>
      <c r="I8378" s="1063"/>
      <c r="J8378" s="1063"/>
      <c r="K8378" s="1063"/>
      <c r="L8378" s="1063"/>
    </row>
    <row r="8379" spans="5:12" x14ac:dyDescent="0.2">
      <c r="E8379" s="1063"/>
      <c r="H8379" s="1066"/>
      <c r="I8379" s="1063"/>
      <c r="J8379" s="1063"/>
      <c r="K8379" s="1063"/>
      <c r="L8379" s="1063"/>
    </row>
    <row r="8380" spans="5:12" x14ac:dyDescent="0.2">
      <c r="E8380" s="1063"/>
      <c r="H8380" s="1066"/>
      <c r="I8380" s="1063"/>
      <c r="J8380" s="1063"/>
      <c r="K8380" s="1063"/>
      <c r="L8380" s="1063"/>
    </row>
    <row r="8381" spans="5:12" x14ac:dyDescent="0.2">
      <c r="E8381" s="1063"/>
      <c r="H8381" s="1066"/>
      <c r="I8381" s="1063"/>
      <c r="J8381" s="1063"/>
      <c r="K8381" s="1063"/>
      <c r="L8381" s="1063"/>
    </row>
    <row r="8382" spans="5:12" x14ac:dyDescent="0.2">
      <c r="E8382" s="1063"/>
      <c r="H8382" s="1066"/>
      <c r="I8382" s="1063"/>
      <c r="J8382" s="1063"/>
      <c r="K8382" s="1063"/>
      <c r="L8382" s="1063"/>
    </row>
    <row r="8383" spans="5:12" x14ac:dyDescent="0.2">
      <c r="E8383" s="1063"/>
      <c r="H8383" s="1066"/>
      <c r="I8383" s="1063"/>
      <c r="J8383" s="1063"/>
      <c r="K8383" s="1063"/>
      <c r="L8383" s="1063"/>
    </row>
    <row r="8384" spans="5:12" x14ac:dyDescent="0.2">
      <c r="E8384" s="1063"/>
      <c r="H8384" s="1066"/>
      <c r="I8384" s="1063"/>
      <c r="J8384" s="1063"/>
      <c r="K8384" s="1063"/>
      <c r="L8384" s="1063"/>
    </row>
    <row r="8385" spans="5:12" x14ac:dyDescent="0.2">
      <c r="E8385" s="1063"/>
      <c r="H8385" s="1066"/>
      <c r="I8385" s="1063"/>
      <c r="J8385" s="1063"/>
      <c r="K8385" s="1063"/>
      <c r="L8385" s="1063"/>
    </row>
    <row r="8386" spans="5:12" x14ac:dyDescent="0.2">
      <c r="E8386" s="1063"/>
      <c r="H8386" s="1066"/>
      <c r="I8386" s="1063"/>
      <c r="J8386" s="1063"/>
      <c r="K8386" s="1063"/>
      <c r="L8386" s="1063"/>
    </row>
    <row r="8387" spans="5:12" x14ac:dyDescent="0.2">
      <c r="E8387" s="1063"/>
      <c r="H8387" s="1066"/>
      <c r="I8387" s="1063"/>
      <c r="J8387" s="1063"/>
      <c r="K8387" s="1063"/>
      <c r="L8387" s="1063"/>
    </row>
    <row r="8388" spans="5:12" x14ac:dyDescent="0.2">
      <c r="E8388" s="1063"/>
      <c r="H8388" s="1066"/>
      <c r="I8388" s="1063"/>
      <c r="J8388" s="1063"/>
      <c r="K8388" s="1063"/>
      <c r="L8388" s="1063"/>
    </row>
    <row r="8389" spans="5:12" x14ac:dyDescent="0.2">
      <c r="E8389" s="1063"/>
      <c r="H8389" s="1066"/>
      <c r="I8389" s="1063"/>
      <c r="J8389" s="1063"/>
      <c r="K8389" s="1063"/>
      <c r="L8389" s="1063"/>
    </row>
    <row r="8390" spans="5:12" x14ac:dyDescent="0.2">
      <c r="E8390" s="1063"/>
      <c r="H8390" s="1066"/>
      <c r="I8390" s="1063"/>
      <c r="J8390" s="1063"/>
      <c r="K8390" s="1063"/>
      <c r="L8390" s="1063"/>
    </row>
    <row r="8391" spans="5:12" x14ac:dyDescent="0.2">
      <c r="E8391" s="1063"/>
      <c r="H8391" s="1066"/>
      <c r="I8391" s="1063"/>
      <c r="J8391" s="1063"/>
      <c r="K8391" s="1063"/>
      <c r="L8391" s="1063"/>
    </row>
    <row r="8392" spans="5:12" x14ac:dyDescent="0.2">
      <c r="E8392" s="1063"/>
      <c r="H8392" s="1066"/>
      <c r="I8392" s="1063"/>
      <c r="J8392" s="1063"/>
      <c r="K8392" s="1063"/>
      <c r="L8392" s="1063"/>
    </row>
    <row r="8393" spans="5:12" x14ac:dyDescent="0.2">
      <c r="E8393" s="1063"/>
      <c r="H8393" s="1066"/>
      <c r="I8393" s="1063"/>
      <c r="J8393" s="1063"/>
      <c r="K8393" s="1063"/>
      <c r="L8393" s="1063"/>
    </row>
    <row r="8394" spans="5:12" x14ac:dyDescent="0.2">
      <c r="E8394" s="1063"/>
      <c r="H8394" s="1066"/>
      <c r="I8394" s="1063"/>
      <c r="J8394" s="1063"/>
      <c r="K8394" s="1063"/>
      <c r="L8394" s="1063"/>
    </row>
    <row r="8395" spans="5:12" x14ac:dyDescent="0.2">
      <c r="E8395" s="1063"/>
      <c r="H8395" s="1066"/>
      <c r="I8395" s="1063"/>
      <c r="J8395" s="1063"/>
      <c r="K8395" s="1063"/>
      <c r="L8395" s="1063"/>
    </row>
    <row r="8396" spans="5:12" x14ac:dyDescent="0.2">
      <c r="E8396" s="1063"/>
      <c r="H8396" s="1066"/>
      <c r="I8396" s="1063"/>
      <c r="J8396" s="1063"/>
      <c r="K8396" s="1063"/>
      <c r="L8396" s="1063"/>
    </row>
    <row r="8397" spans="5:12" x14ac:dyDescent="0.2">
      <c r="E8397" s="1063"/>
      <c r="H8397" s="1066"/>
      <c r="I8397" s="1063"/>
      <c r="J8397" s="1063"/>
      <c r="K8397" s="1063"/>
      <c r="L8397" s="1063"/>
    </row>
    <row r="8398" spans="5:12" x14ac:dyDescent="0.2">
      <c r="E8398" s="1063"/>
      <c r="H8398" s="1066"/>
      <c r="I8398" s="1063"/>
      <c r="J8398" s="1063"/>
      <c r="K8398" s="1063"/>
      <c r="L8398" s="1063"/>
    </row>
    <row r="8399" spans="5:12" x14ac:dyDescent="0.2">
      <c r="E8399" s="1063"/>
      <c r="H8399" s="1066"/>
      <c r="I8399" s="1063"/>
      <c r="J8399" s="1063"/>
      <c r="K8399" s="1063"/>
      <c r="L8399" s="1063"/>
    </row>
    <row r="8400" spans="5:12" x14ac:dyDescent="0.2">
      <c r="E8400" s="1063"/>
      <c r="H8400" s="1066"/>
      <c r="I8400" s="1063"/>
      <c r="J8400" s="1063"/>
      <c r="K8400" s="1063"/>
      <c r="L8400" s="1063"/>
    </row>
    <row r="8401" spans="5:12" x14ac:dyDescent="0.2">
      <c r="E8401" s="1063"/>
      <c r="H8401" s="1066"/>
      <c r="I8401" s="1063"/>
      <c r="J8401" s="1063"/>
      <c r="K8401" s="1063"/>
      <c r="L8401" s="1063"/>
    </row>
    <row r="8402" spans="5:12" x14ac:dyDescent="0.2">
      <c r="E8402" s="1063"/>
      <c r="H8402" s="1066"/>
      <c r="I8402" s="1063"/>
      <c r="J8402" s="1063"/>
      <c r="K8402" s="1063"/>
      <c r="L8402" s="1063"/>
    </row>
    <row r="8403" spans="5:12" x14ac:dyDescent="0.2">
      <c r="E8403" s="1063"/>
      <c r="H8403" s="1066"/>
      <c r="I8403" s="1063"/>
      <c r="J8403" s="1063"/>
      <c r="K8403" s="1063"/>
      <c r="L8403" s="1063"/>
    </row>
    <row r="8404" spans="5:12" x14ac:dyDescent="0.2">
      <c r="E8404" s="1063"/>
      <c r="H8404" s="1066"/>
      <c r="I8404" s="1063"/>
      <c r="J8404" s="1063"/>
      <c r="K8404" s="1063"/>
      <c r="L8404" s="1063"/>
    </row>
    <row r="8405" spans="5:12" x14ac:dyDescent="0.2">
      <c r="E8405" s="1063"/>
      <c r="H8405" s="1066"/>
      <c r="I8405" s="1063"/>
      <c r="J8405" s="1063"/>
      <c r="K8405" s="1063"/>
      <c r="L8405" s="1063"/>
    </row>
    <row r="8406" spans="5:12" x14ac:dyDescent="0.2">
      <c r="E8406" s="1063"/>
      <c r="H8406" s="1066"/>
      <c r="I8406" s="1063"/>
      <c r="J8406" s="1063"/>
      <c r="K8406" s="1063"/>
      <c r="L8406" s="1063"/>
    </row>
    <row r="8407" spans="5:12" x14ac:dyDescent="0.2">
      <c r="E8407" s="1063"/>
      <c r="H8407" s="1066"/>
      <c r="I8407" s="1063"/>
      <c r="J8407" s="1063"/>
      <c r="K8407" s="1063"/>
      <c r="L8407" s="1063"/>
    </row>
    <row r="8408" spans="5:12" x14ac:dyDescent="0.2">
      <c r="E8408" s="1063"/>
      <c r="H8408" s="1066"/>
      <c r="I8408" s="1063"/>
      <c r="J8408" s="1063"/>
      <c r="K8408" s="1063"/>
      <c r="L8408" s="1063"/>
    </row>
    <row r="8409" spans="5:12" x14ac:dyDescent="0.2">
      <c r="E8409" s="1063"/>
      <c r="H8409" s="1066"/>
      <c r="I8409" s="1063"/>
      <c r="J8409" s="1063"/>
      <c r="K8409" s="1063"/>
      <c r="L8409" s="1063"/>
    </row>
    <row r="8410" spans="5:12" x14ac:dyDescent="0.2">
      <c r="E8410" s="1063"/>
      <c r="H8410" s="1066"/>
      <c r="I8410" s="1063"/>
      <c r="J8410" s="1063"/>
      <c r="K8410" s="1063"/>
      <c r="L8410" s="1063"/>
    </row>
    <row r="8411" spans="5:12" x14ac:dyDescent="0.2">
      <c r="E8411" s="1063"/>
      <c r="H8411" s="1066"/>
      <c r="I8411" s="1063"/>
      <c r="J8411" s="1063"/>
      <c r="K8411" s="1063"/>
      <c r="L8411" s="1063"/>
    </row>
    <row r="8412" spans="5:12" x14ac:dyDescent="0.2">
      <c r="E8412" s="1063"/>
      <c r="H8412" s="1066"/>
      <c r="I8412" s="1063"/>
      <c r="J8412" s="1063"/>
      <c r="K8412" s="1063"/>
      <c r="L8412" s="1063"/>
    </row>
    <row r="8413" spans="5:12" x14ac:dyDescent="0.2">
      <c r="E8413" s="1063"/>
      <c r="H8413" s="1066"/>
      <c r="I8413" s="1063"/>
      <c r="J8413" s="1063"/>
      <c r="K8413" s="1063"/>
      <c r="L8413" s="1063"/>
    </row>
    <row r="8414" spans="5:12" x14ac:dyDescent="0.2">
      <c r="E8414" s="1063"/>
      <c r="H8414" s="1066"/>
      <c r="I8414" s="1063"/>
      <c r="J8414" s="1063"/>
      <c r="K8414" s="1063"/>
      <c r="L8414" s="1063"/>
    </row>
    <row r="8415" spans="5:12" x14ac:dyDescent="0.2">
      <c r="E8415" s="1063"/>
      <c r="H8415" s="1066"/>
      <c r="I8415" s="1063"/>
      <c r="J8415" s="1063"/>
      <c r="K8415" s="1063"/>
      <c r="L8415" s="1063"/>
    </row>
    <row r="8416" spans="5:12" x14ac:dyDescent="0.2">
      <c r="E8416" s="1063"/>
      <c r="H8416" s="1066"/>
      <c r="I8416" s="1063"/>
      <c r="J8416" s="1063"/>
      <c r="K8416" s="1063"/>
      <c r="L8416" s="1063"/>
    </row>
    <row r="8417" spans="5:12" x14ac:dyDescent="0.2">
      <c r="E8417" s="1063"/>
      <c r="H8417" s="1066"/>
      <c r="I8417" s="1063"/>
      <c r="J8417" s="1063"/>
      <c r="K8417" s="1063"/>
      <c r="L8417" s="1063"/>
    </row>
    <row r="8418" spans="5:12" x14ac:dyDescent="0.2">
      <c r="E8418" s="1063"/>
      <c r="H8418" s="1066"/>
      <c r="I8418" s="1063"/>
      <c r="J8418" s="1063"/>
      <c r="K8418" s="1063"/>
      <c r="L8418" s="1063"/>
    </row>
    <row r="8419" spans="5:12" x14ac:dyDescent="0.2">
      <c r="E8419" s="1063"/>
      <c r="H8419" s="1066"/>
      <c r="I8419" s="1063"/>
      <c r="J8419" s="1063"/>
      <c r="K8419" s="1063"/>
      <c r="L8419" s="1063"/>
    </row>
    <row r="8420" spans="5:12" x14ac:dyDescent="0.2">
      <c r="E8420" s="1063"/>
      <c r="H8420" s="1066"/>
      <c r="I8420" s="1063"/>
      <c r="J8420" s="1063"/>
      <c r="K8420" s="1063"/>
      <c r="L8420" s="1063"/>
    </row>
    <row r="8421" spans="5:12" x14ac:dyDescent="0.2">
      <c r="E8421" s="1063"/>
      <c r="H8421" s="1066"/>
      <c r="I8421" s="1063"/>
      <c r="J8421" s="1063"/>
      <c r="K8421" s="1063"/>
      <c r="L8421" s="1063"/>
    </row>
    <row r="8422" spans="5:12" x14ac:dyDescent="0.2">
      <c r="E8422" s="1063"/>
      <c r="H8422" s="1066"/>
      <c r="I8422" s="1063"/>
      <c r="J8422" s="1063"/>
      <c r="K8422" s="1063"/>
      <c r="L8422" s="1063"/>
    </row>
    <row r="8423" spans="5:12" x14ac:dyDescent="0.2">
      <c r="E8423" s="1063"/>
      <c r="H8423" s="1066"/>
      <c r="I8423" s="1063"/>
      <c r="J8423" s="1063"/>
      <c r="K8423" s="1063"/>
      <c r="L8423" s="1063"/>
    </row>
    <row r="8424" spans="5:12" x14ac:dyDescent="0.2">
      <c r="E8424" s="1063"/>
      <c r="H8424" s="1066"/>
      <c r="I8424" s="1063"/>
      <c r="J8424" s="1063"/>
      <c r="K8424" s="1063"/>
      <c r="L8424" s="1063"/>
    </row>
    <row r="8425" spans="5:12" x14ac:dyDescent="0.2">
      <c r="E8425" s="1063"/>
      <c r="H8425" s="1066"/>
      <c r="I8425" s="1063"/>
      <c r="J8425" s="1063"/>
      <c r="K8425" s="1063"/>
      <c r="L8425" s="1063"/>
    </row>
    <row r="8426" spans="5:12" x14ac:dyDescent="0.2">
      <c r="E8426" s="1063"/>
      <c r="H8426" s="1066"/>
      <c r="I8426" s="1063"/>
      <c r="J8426" s="1063"/>
      <c r="K8426" s="1063"/>
      <c r="L8426" s="1063"/>
    </row>
    <row r="8427" spans="5:12" x14ac:dyDescent="0.2">
      <c r="E8427" s="1063"/>
      <c r="H8427" s="1066"/>
      <c r="I8427" s="1063"/>
      <c r="J8427" s="1063"/>
      <c r="K8427" s="1063"/>
      <c r="L8427" s="1063"/>
    </row>
    <row r="8428" spans="5:12" x14ac:dyDescent="0.2">
      <c r="E8428" s="1063"/>
      <c r="H8428" s="1066"/>
      <c r="I8428" s="1063"/>
      <c r="J8428" s="1063"/>
      <c r="K8428" s="1063"/>
      <c r="L8428" s="1063"/>
    </row>
    <row r="8429" spans="5:12" x14ac:dyDescent="0.2">
      <c r="E8429" s="1063"/>
      <c r="H8429" s="1066"/>
      <c r="I8429" s="1063"/>
      <c r="J8429" s="1063"/>
      <c r="K8429" s="1063"/>
      <c r="L8429" s="1063"/>
    </row>
    <row r="8430" spans="5:12" x14ac:dyDescent="0.2">
      <c r="E8430" s="1063"/>
      <c r="H8430" s="1066"/>
      <c r="I8430" s="1063"/>
      <c r="J8430" s="1063"/>
      <c r="K8430" s="1063"/>
      <c r="L8430" s="1063"/>
    </row>
    <row r="8431" spans="5:12" x14ac:dyDescent="0.2">
      <c r="E8431" s="1063"/>
      <c r="H8431" s="1066"/>
      <c r="I8431" s="1063"/>
      <c r="J8431" s="1063"/>
      <c r="K8431" s="1063"/>
      <c r="L8431" s="1063"/>
    </row>
    <row r="8432" spans="5:12" x14ac:dyDescent="0.2">
      <c r="E8432" s="1063"/>
      <c r="H8432" s="1066"/>
      <c r="I8432" s="1063"/>
      <c r="J8432" s="1063"/>
      <c r="K8432" s="1063"/>
      <c r="L8432" s="1063"/>
    </row>
    <row r="8433" spans="5:12" x14ac:dyDescent="0.2">
      <c r="E8433" s="1063"/>
      <c r="H8433" s="1066"/>
      <c r="I8433" s="1063"/>
      <c r="J8433" s="1063"/>
      <c r="K8433" s="1063"/>
      <c r="L8433" s="1063"/>
    </row>
    <row r="8434" spans="5:12" x14ac:dyDescent="0.2">
      <c r="E8434" s="1063"/>
      <c r="H8434" s="1066"/>
      <c r="I8434" s="1063"/>
      <c r="J8434" s="1063"/>
      <c r="K8434" s="1063"/>
      <c r="L8434" s="1063"/>
    </row>
    <row r="8435" spans="5:12" x14ac:dyDescent="0.2">
      <c r="E8435" s="1063"/>
      <c r="H8435" s="1066"/>
      <c r="I8435" s="1063"/>
      <c r="J8435" s="1063"/>
      <c r="K8435" s="1063"/>
      <c r="L8435" s="1063"/>
    </row>
    <row r="8436" spans="5:12" x14ac:dyDescent="0.2">
      <c r="E8436" s="1063"/>
      <c r="H8436" s="1066"/>
      <c r="I8436" s="1063"/>
      <c r="J8436" s="1063"/>
      <c r="K8436" s="1063"/>
      <c r="L8436" s="1063"/>
    </row>
    <row r="8437" spans="5:12" x14ac:dyDescent="0.2">
      <c r="E8437" s="1063"/>
      <c r="H8437" s="1066"/>
      <c r="I8437" s="1063"/>
      <c r="J8437" s="1063"/>
      <c r="K8437" s="1063"/>
      <c r="L8437" s="1063"/>
    </row>
    <row r="8438" spans="5:12" x14ac:dyDescent="0.2">
      <c r="E8438" s="1063"/>
      <c r="H8438" s="1066"/>
      <c r="I8438" s="1063"/>
      <c r="J8438" s="1063"/>
      <c r="K8438" s="1063"/>
      <c r="L8438" s="1063"/>
    </row>
    <row r="8439" spans="5:12" x14ac:dyDescent="0.2">
      <c r="E8439" s="1063"/>
      <c r="H8439" s="1066"/>
      <c r="I8439" s="1063"/>
      <c r="J8439" s="1063"/>
      <c r="K8439" s="1063"/>
      <c r="L8439" s="1063"/>
    </row>
    <row r="8440" spans="5:12" x14ac:dyDescent="0.2">
      <c r="E8440" s="1063"/>
      <c r="H8440" s="1066"/>
      <c r="I8440" s="1063"/>
      <c r="J8440" s="1063"/>
      <c r="K8440" s="1063"/>
      <c r="L8440" s="1063"/>
    </row>
    <row r="8441" spans="5:12" x14ac:dyDescent="0.2">
      <c r="E8441" s="1063"/>
      <c r="H8441" s="1066"/>
      <c r="I8441" s="1063"/>
      <c r="J8441" s="1063"/>
      <c r="K8441" s="1063"/>
      <c r="L8441" s="1063"/>
    </row>
    <row r="8442" spans="5:12" x14ac:dyDescent="0.2">
      <c r="E8442" s="1063"/>
      <c r="H8442" s="1066"/>
      <c r="I8442" s="1063"/>
      <c r="J8442" s="1063"/>
      <c r="K8442" s="1063"/>
      <c r="L8442" s="1063"/>
    </row>
    <row r="8443" spans="5:12" x14ac:dyDescent="0.2">
      <c r="E8443" s="1063"/>
      <c r="H8443" s="1066"/>
      <c r="I8443" s="1063"/>
      <c r="J8443" s="1063"/>
      <c r="K8443" s="1063"/>
      <c r="L8443" s="1063"/>
    </row>
    <row r="8444" spans="5:12" x14ac:dyDescent="0.2">
      <c r="E8444" s="1063"/>
      <c r="H8444" s="1066"/>
      <c r="I8444" s="1063"/>
      <c r="J8444" s="1063"/>
      <c r="K8444" s="1063"/>
      <c r="L8444" s="1063"/>
    </row>
    <row r="8445" spans="5:12" x14ac:dyDescent="0.2">
      <c r="E8445" s="1063"/>
      <c r="H8445" s="1066"/>
      <c r="I8445" s="1063"/>
      <c r="J8445" s="1063"/>
      <c r="K8445" s="1063"/>
      <c r="L8445" s="1063"/>
    </row>
    <row r="8446" spans="5:12" x14ac:dyDescent="0.2">
      <c r="E8446" s="1063"/>
      <c r="H8446" s="1066"/>
      <c r="I8446" s="1063"/>
      <c r="J8446" s="1063"/>
      <c r="K8446" s="1063"/>
      <c r="L8446" s="1063"/>
    </row>
    <row r="8447" spans="5:12" x14ac:dyDescent="0.2">
      <c r="E8447" s="1063"/>
      <c r="H8447" s="1066"/>
      <c r="I8447" s="1063"/>
      <c r="J8447" s="1063"/>
      <c r="K8447" s="1063"/>
      <c r="L8447" s="1063"/>
    </row>
    <row r="8448" spans="5:12" x14ac:dyDescent="0.2">
      <c r="E8448" s="1063"/>
      <c r="H8448" s="1066"/>
      <c r="I8448" s="1063"/>
      <c r="J8448" s="1063"/>
      <c r="K8448" s="1063"/>
      <c r="L8448" s="1063"/>
    </row>
    <row r="8449" spans="5:12" x14ac:dyDescent="0.2">
      <c r="E8449" s="1063"/>
      <c r="H8449" s="1066"/>
      <c r="I8449" s="1063"/>
      <c r="J8449" s="1063"/>
      <c r="K8449" s="1063"/>
      <c r="L8449" s="1063"/>
    </row>
    <row r="8450" spans="5:12" x14ac:dyDescent="0.2">
      <c r="E8450" s="1063"/>
      <c r="H8450" s="1066"/>
      <c r="I8450" s="1063"/>
      <c r="J8450" s="1063"/>
      <c r="K8450" s="1063"/>
      <c r="L8450" s="1063"/>
    </row>
    <row r="8451" spans="5:12" x14ac:dyDescent="0.2">
      <c r="E8451" s="1063"/>
      <c r="H8451" s="1066"/>
      <c r="I8451" s="1063"/>
      <c r="J8451" s="1063"/>
      <c r="K8451" s="1063"/>
      <c r="L8451" s="1063"/>
    </row>
    <row r="8452" spans="5:12" x14ac:dyDescent="0.2">
      <c r="E8452" s="1063"/>
      <c r="H8452" s="1066"/>
      <c r="I8452" s="1063"/>
      <c r="J8452" s="1063"/>
      <c r="K8452" s="1063"/>
      <c r="L8452" s="1063"/>
    </row>
    <row r="8453" spans="5:12" x14ac:dyDescent="0.2">
      <c r="E8453" s="1063"/>
      <c r="H8453" s="1066"/>
      <c r="I8453" s="1063"/>
      <c r="J8453" s="1063"/>
      <c r="K8453" s="1063"/>
      <c r="L8453" s="1063"/>
    </row>
    <row r="8454" spans="5:12" x14ac:dyDescent="0.2">
      <c r="E8454" s="1063"/>
      <c r="H8454" s="1066"/>
      <c r="I8454" s="1063"/>
      <c r="J8454" s="1063"/>
      <c r="K8454" s="1063"/>
      <c r="L8454" s="1063"/>
    </row>
    <row r="8455" spans="5:12" x14ac:dyDescent="0.2">
      <c r="E8455" s="1063"/>
      <c r="H8455" s="1066"/>
      <c r="I8455" s="1063"/>
      <c r="J8455" s="1063"/>
      <c r="K8455" s="1063"/>
      <c r="L8455" s="1063"/>
    </row>
    <row r="8456" spans="5:12" x14ac:dyDescent="0.2">
      <c r="E8456" s="1063"/>
      <c r="H8456" s="1066"/>
      <c r="I8456" s="1063"/>
      <c r="J8456" s="1063"/>
      <c r="K8456" s="1063"/>
      <c r="L8456" s="1063"/>
    </row>
    <row r="8457" spans="5:12" x14ac:dyDescent="0.2">
      <c r="E8457" s="1063"/>
      <c r="H8457" s="1066"/>
      <c r="I8457" s="1063"/>
      <c r="J8457" s="1063"/>
      <c r="K8457" s="1063"/>
      <c r="L8457" s="1063"/>
    </row>
    <row r="8458" spans="5:12" x14ac:dyDescent="0.2">
      <c r="E8458" s="1063"/>
      <c r="H8458" s="1066"/>
      <c r="I8458" s="1063"/>
      <c r="J8458" s="1063"/>
      <c r="K8458" s="1063"/>
      <c r="L8458" s="1063"/>
    </row>
    <row r="8459" spans="5:12" x14ac:dyDescent="0.2">
      <c r="E8459" s="1063"/>
      <c r="H8459" s="1066"/>
      <c r="I8459" s="1063"/>
      <c r="J8459" s="1063"/>
      <c r="K8459" s="1063"/>
      <c r="L8459" s="1063"/>
    </row>
    <row r="8460" spans="5:12" x14ac:dyDescent="0.2">
      <c r="E8460" s="1063"/>
      <c r="H8460" s="1066"/>
      <c r="I8460" s="1063"/>
      <c r="J8460" s="1063"/>
      <c r="K8460" s="1063"/>
      <c r="L8460" s="1063"/>
    </row>
    <row r="8461" spans="5:12" x14ac:dyDescent="0.2">
      <c r="E8461" s="1063"/>
      <c r="H8461" s="1066"/>
      <c r="I8461" s="1063"/>
      <c r="J8461" s="1063"/>
      <c r="K8461" s="1063"/>
      <c r="L8461" s="1063"/>
    </row>
    <row r="8462" spans="5:12" x14ac:dyDescent="0.2">
      <c r="E8462" s="1063"/>
      <c r="H8462" s="1066"/>
      <c r="I8462" s="1063"/>
      <c r="J8462" s="1063"/>
      <c r="K8462" s="1063"/>
      <c r="L8462" s="1063"/>
    </row>
    <row r="8463" spans="5:12" x14ac:dyDescent="0.2">
      <c r="E8463" s="1063"/>
      <c r="H8463" s="1066"/>
      <c r="I8463" s="1063"/>
      <c r="J8463" s="1063"/>
      <c r="K8463" s="1063"/>
      <c r="L8463" s="1063"/>
    </row>
    <row r="8464" spans="5:12" x14ac:dyDescent="0.2">
      <c r="E8464" s="1063"/>
      <c r="H8464" s="1066"/>
      <c r="I8464" s="1063"/>
      <c r="J8464" s="1063"/>
      <c r="K8464" s="1063"/>
      <c r="L8464" s="1063"/>
    </row>
    <row r="8465" spans="5:12" x14ac:dyDescent="0.2">
      <c r="E8465" s="1063"/>
      <c r="H8465" s="1066"/>
      <c r="I8465" s="1063"/>
      <c r="J8465" s="1063"/>
      <c r="K8465" s="1063"/>
      <c r="L8465" s="1063"/>
    </row>
    <row r="8466" spans="5:12" x14ac:dyDescent="0.2">
      <c r="E8466" s="1063"/>
      <c r="H8466" s="1066"/>
      <c r="I8466" s="1063"/>
      <c r="J8466" s="1063"/>
      <c r="K8466" s="1063"/>
      <c r="L8466" s="1063"/>
    </row>
    <row r="8467" spans="5:12" x14ac:dyDescent="0.2">
      <c r="E8467" s="1063"/>
      <c r="H8467" s="1066"/>
      <c r="I8467" s="1063"/>
      <c r="J8467" s="1063"/>
      <c r="K8467" s="1063"/>
      <c r="L8467" s="1063"/>
    </row>
    <row r="8468" spans="5:12" x14ac:dyDescent="0.2">
      <c r="E8468" s="1063"/>
      <c r="H8468" s="1066"/>
      <c r="I8468" s="1063"/>
      <c r="J8468" s="1063"/>
      <c r="K8468" s="1063"/>
      <c r="L8468" s="1063"/>
    </row>
    <row r="8469" spans="5:12" x14ac:dyDescent="0.2">
      <c r="E8469" s="1063"/>
      <c r="H8469" s="1066"/>
      <c r="I8469" s="1063"/>
      <c r="J8469" s="1063"/>
      <c r="K8469" s="1063"/>
      <c r="L8469" s="1063"/>
    </row>
    <row r="8470" spans="5:12" x14ac:dyDescent="0.2">
      <c r="E8470" s="1063"/>
      <c r="H8470" s="1066"/>
      <c r="I8470" s="1063"/>
      <c r="J8470" s="1063"/>
      <c r="K8470" s="1063"/>
      <c r="L8470" s="1063"/>
    </row>
    <row r="8471" spans="5:12" x14ac:dyDescent="0.2">
      <c r="E8471" s="1063"/>
      <c r="H8471" s="1066"/>
      <c r="I8471" s="1063"/>
      <c r="J8471" s="1063"/>
      <c r="K8471" s="1063"/>
      <c r="L8471" s="1063"/>
    </row>
    <row r="8472" spans="5:12" x14ac:dyDescent="0.2">
      <c r="E8472" s="1063"/>
      <c r="H8472" s="1066"/>
      <c r="I8472" s="1063"/>
      <c r="J8472" s="1063"/>
      <c r="K8472" s="1063"/>
      <c r="L8472" s="1063"/>
    </row>
    <row r="8473" spans="5:12" x14ac:dyDescent="0.2">
      <c r="E8473" s="1063"/>
      <c r="H8473" s="1066"/>
      <c r="I8473" s="1063"/>
      <c r="J8473" s="1063"/>
      <c r="K8473" s="1063"/>
      <c r="L8473" s="1063"/>
    </row>
    <row r="8474" spans="5:12" x14ac:dyDescent="0.2">
      <c r="E8474" s="1063"/>
      <c r="H8474" s="1066"/>
      <c r="I8474" s="1063"/>
      <c r="J8474" s="1063"/>
      <c r="K8474" s="1063"/>
      <c r="L8474" s="1063"/>
    </row>
    <row r="8475" spans="5:12" x14ac:dyDescent="0.2">
      <c r="E8475" s="1063"/>
      <c r="H8475" s="1066"/>
      <c r="I8475" s="1063"/>
      <c r="J8475" s="1063"/>
      <c r="K8475" s="1063"/>
      <c r="L8475" s="1063"/>
    </row>
    <row r="8476" spans="5:12" x14ac:dyDescent="0.2">
      <c r="E8476" s="1063"/>
      <c r="H8476" s="1066"/>
      <c r="I8476" s="1063"/>
      <c r="J8476" s="1063"/>
      <c r="K8476" s="1063"/>
      <c r="L8476" s="1063"/>
    </row>
    <row r="8477" spans="5:12" x14ac:dyDescent="0.2">
      <c r="E8477" s="1063"/>
      <c r="H8477" s="1066"/>
      <c r="I8477" s="1063"/>
      <c r="J8477" s="1063"/>
      <c r="K8477" s="1063"/>
      <c r="L8477" s="1063"/>
    </row>
    <row r="8478" spans="5:12" x14ac:dyDescent="0.2">
      <c r="E8478" s="1063"/>
      <c r="H8478" s="1066"/>
      <c r="I8478" s="1063"/>
      <c r="J8478" s="1063"/>
      <c r="K8478" s="1063"/>
      <c r="L8478" s="1063"/>
    </row>
    <row r="8479" spans="5:12" x14ac:dyDescent="0.2">
      <c r="E8479" s="1063"/>
      <c r="H8479" s="1066"/>
      <c r="I8479" s="1063"/>
      <c r="J8479" s="1063"/>
      <c r="K8479" s="1063"/>
      <c r="L8479" s="1063"/>
    </row>
    <row r="8480" spans="5:12" x14ac:dyDescent="0.2">
      <c r="E8480" s="1063"/>
      <c r="H8480" s="1066"/>
      <c r="I8480" s="1063"/>
      <c r="J8480" s="1063"/>
      <c r="K8480" s="1063"/>
      <c r="L8480" s="1063"/>
    </row>
    <row r="8481" spans="5:12" x14ac:dyDescent="0.2">
      <c r="E8481" s="1063"/>
      <c r="H8481" s="1066"/>
      <c r="I8481" s="1063"/>
      <c r="J8481" s="1063"/>
      <c r="K8481" s="1063"/>
      <c r="L8481" s="1063"/>
    </row>
    <row r="8482" spans="5:12" x14ac:dyDescent="0.2">
      <c r="E8482" s="1063"/>
      <c r="H8482" s="1066"/>
      <c r="I8482" s="1063"/>
      <c r="J8482" s="1063"/>
      <c r="K8482" s="1063"/>
      <c r="L8482" s="1063"/>
    </row>
    <row r="8483" spans="5:12" x14ac:dyDescent="0.2">
      <c r="E8483" s="1063"/>
      <c r="H8483" s="1066"/>
      <c r="I8483" s="1063"/>
      <c r="J8483" s="1063"/>
      <c r="K8483" s="1063"/>
      <c r="L8483" s="1063"/>
    </row>
    <row r="8484" spans="5:12" x14ac:dyDescent="0.2">
      <c r="E8484" s="1063"/>
      <c r="H8484" s="1066"/>
      <c r="I8484" s="1063"/>
      <c r="J8484" s="1063"/>
      <c r="K8484" s="1063"/>
      <c r="L8484" s="1063"/>
    </row>
    <row r="8485" spans="5:12" x14ac:dyDescent="0.2">
      <c r="E8485" s="1063"/>
      <c r="H8485" s="1066"/>
      <c r="I8485" s="1063"/>
      <c r="J8485" s="1063"/>
      <c r="K8485" s="1063"/>
      <c r="L8485" s="1063"/>
    </row>
    <row r="8486" spans="5:12" x14ac:dyDescent="0.2">
      <c r="E8486" s="1063"/>
      <c r="H8486" s="1066"/>
      <c r="I8486" s="1063"/>
      <c r="J8486" s="1063"/>
      <c r="K8486" s="1063"/>
      <c r="L8486" s="1063"/>
    </row>
    <row r="8487" spans="5:12" x14ac:dyDescent="0.2">
      <c r="E8487" s="1063"/>
      <c r="H8487" s="1066"/>
      <c r="I8487" s="1063"/>
      <c r="J8487" s="1063"/>
      <c r="K8487" s="1063"/>
      <c r="L8487" s="1063"/>
    </row>
    <row r="8488" spans="5:12" x14ac:dyDescent="0.2">
      <c r="E8488" s="1063"/>
      <c r="H8488" s="1066"/>
      <c r="I8488" s="1063"/>
      <c r="J8488" s="1063"/>
      <c r="K8488" s="1063"/>
      <c r="L8488" s="1063"/>
    </row>
    <row r="8489" spans="5:12" x14ac:dyDescent="0.2">
      <c r="E8489" s="1063"/>
      <c r="H8489" s="1066"/>
      <c r="I8489" s="1063"/>
      <c r="J8489" s="1063"/>
      <c r="K8489" s="1063"/>
      <c r="L8489" s="1063"/>
    </row>
    <row r="8490" spans="5:12" x14ac:dyDescent="0.2">
      <c r="E8490" s="1063"/>
      <c r="H8490" s="1066"/>
      <c r="I8490" s="1063"/>
      <c r="J8490" s="1063"/>
      <c r="K8490" s="1063"/>
      <c r="L8490" s="1063"/>
    </row>
    <row r="8491" spans="5:12" x14ac:dyDescent="0.2">
      <c r="E8491" s="1063"/>
      <c r="H8491" s="1066"/>
      <c r="I8491" s="1063"/>
      <c r="J8491" s="1063"/>
      <c r="K8491" s="1063"/>
      <c r="L8491" s="1063"/>
    </row>
    <row r="8492" spans="5:12" x14ac:dyDescent="0.2">
      <c r="E8492" s="1063"/>
      <c r="H8492" s="1066"/>
      <c r="I8492" s="1063"/>
      <c r="J8492" s="1063"/>
      <c r="K8492" s="1063"/>
      <c r="L8492" s="1063"/>
    </row>
    <row r="8493" spans="5:12" x14ac:dyDescent="0.2">
      <c r="E8493" s="1063"/>
      <c r="H8493" s="1066"/>
      <c r="I8493" s="1063"/>
      <c r="J8493" s="1063"/>
      <c r="K8493" s="1063"/>
      <c r="L8493" s="1063"/>
    </row>
    <row r="8494" spans="5:12" x14ac:dyDescent="0.2">
      <c r="E8494" s="1063"/>
      <c r="H8494" s="1066"/>
      <c r="I8494" s="1063"/>
      <c r="J8494" s="1063"/>
      <c r="K8494" s="1063"/>
      <c r="L8494" s="1063"/>
    </row>
    <row r="8495" spans="5:12" x14ac:dyDescent="0.2">
      <c r="E8495" s="1063"/>
      <c r="H8495" s="1066"/>
      <c r="I8495" s="1063"/>
      <c r="J8495" s="1063"/>
      <c r="K8495" s="1063"/>
      <c r="L8495" s="1063"/>
    </row>
    <row r="8496" spans="5:12" x14ac:dyDescent="0.2">
      <c r="E8496" s="1063"/>
      <c r="H8496" s="1066"/>
      <c r="I8496" s="1063"/>
      <c r="J8496" s="1063"/>
      <c r="K8496" s="1063"/>
      <c r="L8496" s="1063"/>
    </row>
    <row r="8497" spans="5:12" x14ac:dyDescent="0.2">
      <c r="E8497" s="1063"/>
      <c r="H8497" s="1066"/>
      <c r="I8497" s="1063"/>
      <c r="J8497" s="1063"/>
      <c r="K8497" s="1063"/>
      <c r="L8497" s="1063"/>
    </row>
    <row r="8498" spans="5:12" x14ac:dyDescent="0.2">
      <c r="E8498" s="1063"/>
      <c r="H8498" s="1066"/>
      <c r="I8498" s="1063"/>
      <c r="J8498" s="1063"/>
      <c r="K8498" s="1063"/>
      <c r="L8498" s="1063"/>
    </row>
    <row r="8499" spans="5:12" x14ac:dyDescent="0.2">
      <c r="E8499" s="1063"/>
      <c r="H8499" s="1066"/>
      <c r="I8499" s="1063"/>
      <c r="J8499" s="1063"/>
      <c r="K8499" s="1063"/>
      <c r="L8499" s="1063"/>
    </row>
    <row r="8500" spans="5:12" x14ac:dyDescent="0.2">
      <c r="E8500" s="1063"/>
      <c r="H8500" s="1066"/>
      <c r="I8500" s="1063"/>
      <c r="J8500" s="1063"/>
      <c r="K8500" s="1063"/>
      <c r="L8500" s="1063"/>
    </row>
    <row r="8501" spans="5:12" x14ac:dyDescent="0.2">
      <c r="E8501" s="1063"/>
      <c r="H8501" s="1066"/>
      <c r="I8501" s="1063"/>
      <c r="J8501" s="1063"/>
      <c r="K8501" s="1063"/>
      <c r="L8501" s="1063"/>
    </row>
    <row r="8502" spans="5:12" x14ac:dyDescent="0.2">
      <c r="E8502" s="1063"/>
      <c r="H8502" s="1066"/>
      <c r="I8502" s="1063"/>
      <c r="J8502" s="1063"/>
      <c r="K8502" s="1063"/>
      <c r="L8502" s="1063"/>
    </row>
    <row r="8503" spans="5:12" x14ac:dyDescent="0.2">
      <c r="E8503" s="1063"/>
      <c r="H8503" s="1066"/>
      <c r="I8503" s="1063"/>
      <c r="J8503" s="1063"/>
      <c r="K8503" s="1063"/>
      <c r="L8503" s="1063"/>
    </row>
    <row r="8504" spans="5:12" x14ac:dyDescent="0.2">
      <c r="E8504" s="1063"/>
      <c r="H8504" s="1066"/>
      <c r="I8504" s="1063"/>
      <c r="J8504" s="1063"/>
      <c r="K8504" s="1063"/>
      <c r="L8504" s="1063"/>
    </row>
    <row r="8505" spans="5:12" x14ac:dyDescent="0.2">
      <c r="E8505" s="1063"/>
      <c r="H8505" s="1066"/>
      <c r="I8505" s="1063"/>
      <c r="J8505" s="1063"/>
      <c r="K8505" s="1063"/>
      <c r="L8505" s="1063"/>
    </row>
    <row r="8506" spans="5:12" x14ac:dyDescent="0.2">
      <c r="E8506" s="1063"/>
      <c r="H8506" s="1066"/>
      <c r="I8506" s="1063"/>
      <c r="J8506" s="1063"/>
      <c r="K8506" s="1063"/>
      <c r="L8506" s="1063"/>
    </row>
    <row r="8507" spans="5:12" x14ac:dyDescent="0.2">
      <c r="E8507" s="1063"/>
      <c r="H8507" s="1066"/>
      <c r="I8507" s="1063"/>
      <c r="J8507" s="1063"/>
      <c r="K8507" s="1063"/>
      <c r="L8507" s="1063"/>
    </row>
    <row r="8508" spans="5:12" x14ac:dyDescent="0.2">
      <c r="E8508" s="1063"/>
      <c r="H8508" s="1066"/>
      <c r="I8508" s="1063"/>
      <c r="J8508" s="1063"/>
      <c r="K8508" s="1063"/>
      <c r="L8508" s="1063"/>
    </row>
    <row r="8509" spans="5:12" x14ac:dyDescent="0.2">
      <c r="E8509" s="1063"/>
      <c r="H8509" s="1066"/>
      <c r="I8509" s="1063"/>
      <c r="J8509" s="1063"/>
      <c r="K8509" s="1063"/>
      <c r="L8509" s="1063"/>
    </row>
    <row r="8510" spans="5:12" x14ac:dyDescent="0.2">
      <c r="E8510" s="1063"/>
      <c r="H8510" s="1066"/>
      <c r="I8510" s="1063"/>
      <c r="J8510" s="1063"/>
      <c r="K8510" s="1063"/>
      <c r="L8510" s="1063"/>
    </row>
    <row r="8511" spans="5:12" x14ac:dyDescent="0.2">
      <c r="E8511" s="1063"/>
      <c r="H8511" s="1066"/>
      <c r="I8511" s="1063"/>
      <c r="J8511" s="1063"/>
      <c r="K8511" s="1063"/>
      <c r="L8511" s="1063"/>
    </row>
    <row r="8512" spans="5:12" x14ac:dyDescent="0.2">
      <c r="E8512" s="1063"/>
      <c r="H8512" s="1066"/>
      <c r="I8512" s="1063"/>
      <c r="J8512" s="1063"/>
      <c r="K8512" s="1063"/>
      <c r="L8512" s="1063"/>
    </row>
    <row r="8513" spans="5:12" x14ac:dyDescent="0.2">
      <c r="E8513" s="1063"/>
      <c r="H8513" s="1066"/>
      <c r="I8513" s="1063"/>
      <c r="J8513" s="1063"/>
      <c r="K8513" s="1063"/>
      <c r="L8513" s="1063"/>
    </row>
    <row r="8514" spans="5:12" x14ac:dyDescent="0.2">
      <c r="E8514" s="1063"/>
      <c r="H8514" s="1066"/>
      <c r="I8514" s="1063"/>
      <c r="J8514" s="1063"/>
      <c r="K8514" s="1063"/>
      <c r="L8514" s="1063"/>
    </row>
    <row r="8515" spans="5:12" x14ac:dyDescent="0.2">
      <c r="E8515" s="1063"/>
      <c r="H8515" s="1066"/>
      <c r="I8515" s="1063"/>
      <c r="J8515" s="1063"/>
      <c r="K8515" s="1063"/>
      <c r="L8515" s="1063"/>
    </row>
    <row r="8516" spans="5:12" x14ac:dyDescent="0.2">
      <c r="E8516" s="1063"/>
      <c r="H8516" s="1066"/>
      <c r="I8516" s="1063"/>
      <c r="J8516" s="1063"/>
      <c r="K8516" s="1063"/>
      <c r="L8516" s="1063"/>
    </row>
    <row r="8517" spans="5:12" x14ac:dyDescent="0.2">
      <c r="E8517" s="1063"/>
      <c r="H8517" s="1066"/>
      <c r="I8517" s="1063"/>
      <c r="J8517" s="1063"/>
      <c r="K8517" s="1063"/>
      <c r="L8517" s="1063"/>
    </row>
    <row r="8518" spans="5:12" x14ac:dyDescent="0.2">
      <c r="E8518" s="1063"/>
      <c r="H8518" s="1066"/>
      <c r="I8518" s="1063"/>
      <c r="J8518" s="1063"/>
      <c r="K8518" s="1063"/>
      <c r="L8518" s="1063"/>
    </row>
    <row r="8519" spans="5:12" x14ac:dyDescent="0.2">
      <c r="E8519" s="1063"/>
      <c r="H8519" s="1066"/>
      <c r="I8519" s="1063"/>
      <c r="J8519" s="1063"/>
      <c r="K8519" s="1063"/>
      <c r="L8519" s="1063"/>
    </row>
    <row r="8520" spans="5:12" x14ac:dyDescent="0.2">
      <c r="E8520" s="1063"/>
      <c r="H8520" s="1066"/>
      <c r="I8520" s="1063"/>
      <c r="J8520" s="1063"/>
      <c r="K8520" s="1063"/>
      <c r="L8520" s="1063"/>
    </row>
    <row r="8521" spans="5:12" x14ac:dyDescent="0.2">
      <c r="E8521" s="1063"/>
      <c r="H8521" s="1066"/>
      <c r="I8521" s="1063"/>
      <c r="J8521" s="1063"/>
      <c r="K8521" s="1063"/>
      <c r="L8521" s="1063"/>
    </row>
    <row r="8522" spans="5:12" x14ac:dyDescent="0.2">
      <c r="E8522" s="1063"/>
      <c r="H8522" s="1066"/>
      <c r="I8522" s="1063"/>
      <c r="J8522" s="1063"/>
      <c r="K8522" s="1063"/>
      <c r="L8522" s="1063"/>
    </row>
    <row r="8523" spans="5:12" x14ac:dyDescent="0.2">
      <c r="E8523" s="1063"/>
      <c r="H8523" s="1066"/>
      <c r="I8523" s="1063"/>
      <c r="J8523" s="1063"/>
      <c r="K8523" s="1063"/>
      <c r="L8523" s="1063"/>
    </row>
    <row r="8524" spans="5:12" x14ac:dyDescent="0.2">
      <c r="E8524" s="1063"/>
      <c r="H8524" s="1066"/>
      <c r="I8524" s="1063"/>
      <c r="J8524" s="1063"/>
      <c r="K8524" s="1063"/>
      <c r="L8524" s="1063"/>
    </row>
    <row r="8525" spans="5:12" x14ac:dyDescent="0.2">
      <c r="E8525" s="1063"/>
      <c r="H8525" s="1066"/>
      <c r="I8525" s="1063"/>
      <c r="J8525" s="1063"/>
      <c r="K8525" s="1063"/>
      <c r="L8525" s="1063"/>
    </row>
    <row r="8526" spans="5:12" x14ac:dyDescent="0.2">
      <c r="E8526" s="1063"/>
      <c r="H8526" s="1066"/>
      <c r="I8526" s="1063"/>
      <c r="J8526" s="1063"/>
      <c r="K8526" s="1063"/>
      <c r="L8526" s="1063"/>
    </row>
    <row r="8527" spans="5:12" x14ac:dyDescent="0.2">
      <c r="E8527" s="1063"/>
      <c r="H8527" s="1066"/>
      <c r="I8527" s="1063"/>
      <c r="J8527" s="1063"/>
      <c r="K8527" s="1063"/>
      <c r="L8527" s="1063"/>
    </row>
    <row r="8528" spans="5:12" x14ac:dyDescent="0.2">
      <c r="E8528" s="1063"/>
      <c r="H8528" s="1066"/>
      <c r="I8528" s="1063"/>
      <c r="J8528" s="1063"/>
      <c r="K8528" s="1063"/>
      <c r="L8528" s="1063"/>
    </row>
    <row r="8529" spans="5:12" x14ac:dyDescent="0.2">
      <c r="E8529" s="1063"/>
      <c r="H8529" s="1066"/>
      <c r="I8529" s="1063"/>
      <c r="J8529" s="1063"/>
      <c r="K8529" s="1063"/>
      <c r="L8529" s="1063"/>
    </row>
    <row r="8530" spans="5:12" x14ac:dyDescent="0.2">
      <c r="E8530" s="1063"/>
      <c r="H8530" s="1066"/>
      <c r="I8530" s="1063"/>
      <c r="J8530" s="1063"/>
      <c r="K8530" s="1063"/>
      <c r="L8530" s="1063"/>
    </row>
    <row r="8531" spans="5:12" x14ac:dyDescent="0.2">
      <c r="E8531" s="1063"/>
      <c r="H8531" s="1066"/>
      <c r="I8531" s="1063"/>
      <c r="J8531" s="1063"/>
      <c r="K8531" s="1063"/>
      <c r="L8531" s="1063"/>
    </row>
    <row r="8532" spans="5:12" x14ac:dyDescent="0.2">
      <c r="E8532" s="1063"/>
      <c r="H8532" s="1066"/>
      <c r="I8532" s="1063"/>
      <c r="J8532" s="1063"/>
      <c r="K8532" s="1063"/>
      <c r="L8532" s="1063"/>
    </row>
    <row r="8533" spans="5:12" x14ac:dyDescent="0.2">
      <c r="E8533" s="1063"/>
      <c r="H8533" s="1066"/>
      <c r="I8533" s="1063"/>
      <c r="J8533" s="1063"/>
      <c r="K8533" s="1063"/>
      <c r="L8533" s="1063"/>
    </row>
    <row r="8534" spans="5:12" x14ac:dyDescent="0.2">
      <c r="E8534" s="1063"/>
      <c r="H8534" s="1066"/>
      <c r="I8534" s="1063"/>
      <c r="J8534" s="1063"/>
      <c r="K8534" s="1063"/>
      <c r="L8534" s="1063"/>
    </row>
    <row r="8535" spans="5:12" x14ac:dyDescent="0.2">
      <c r="E8535" s="1063"/>
      <c r="H8535" s="1066"/>
      <c r="I8535" s="1063"/>
      <c r="J8535" s="1063"/>
      <c r="K8535" s="1063"/>
      <c r="L8535" s="1063"/>
    </row>
    <row r="8536" spans="5:12" x14ac:dyDescent="0.2">
      <c r="E8536" s="1063"/>
      <c r="H8536" s="1066"/>
      <c r="I8536" s="1063"/>
      <c r="J8536" s="1063"/>
      <c r="K8536" s="1063"/>
      <c r="L8536" s="1063"/>
    </row>
    <row r="8537" spans="5:12" x14ac:dyDescent="0.2">
      <c r="E8537" s="1063"/>
      <c r="H8537" s="1066"/>
      <c r="I8537" s="1063"/>
      <c r="J8537" s="1063"/>
      <c r="K8537" s="1063"/>
      <c r="L8537" s="1063"/>
    </row>
    <row r="8538" spans="5:12" x14ac:dyDescent="0.2">
      <c r="E8538" s="1063"/>
      <c r="H8538" s="1066"/>
      <c r="I8538" s="1063"/>
      <c r="J8538" s="1063"/>
      <c r="K8538" s="1063"/>
      <c r="L8538" s="1063"/>
    </row>
    <row r="8539" spans="5:12" x14ac:dyDescent="0.2">
      <c r="E8539" s="1063"/>
      <c r="H8539" s="1066"/>
      <c r="I8539" s="1063"/>
      <c r="J8539" s="1063"/>
      <c r="K8539" s="1063"/>
      <c r="L8539" s="1063"/>
    </row>
    <row r="8540" spans="5:12" x14ac:dyDescent="0.2">
      <c r="E8540" s="1063"/>
      <c r="H8540" s="1066"/>
      <c r="I8540" s="1063"/>
      <c r="J8540" s="1063"/>
      <c r="K8540" s="1063"/>
      <c r="L8540" s="1063"/>
    </row>
    <row r="8541" spans="5:12" x14ac:dyDescent="0.2">
      <c r="E8541" s="1063"/>
      <c r="H8541" s="1066"/>
      <c r="I8541" s="1063"/>
      <c r="J8541" s="1063"/>
      <c r="K8541" s="1063"/>
      <c r="L8541" s="1063"/>
    </row>
    <row r="8542" spans="5:12" x14ac:dyDescent="0.2">
      <c r="E8542" s="1063"/>
      <c r="H8542" s="1066"/>
      <c r="I8542" s="1063"/>
      <c r="J8542" s="1063"/>
      <c r="K8542" s="1063"/>
      <c r="L8542" s="1063"/>
    </row>
    <row r="8543" spans="5:12" x14ac:dyDescent="0.2">
      <c r="E8543" s="1063"/>
      <c r="H8543" s="1066"/>
      <c r="I8543" s="1063"/>
      <c r="J8543" s="1063"/>
      <c r="K8543" s="1063"/>
      <c r="L8543" s="1063"/>
    </row>
    <row r="8544" spans="5:12" x14ac:dyDescent="0.2">
      <c r="E8544" s="1063"/>
      <c r="H8544" s="1066"/>
      <c r="I8544" s="1063"/>
      <c r="J8544" s="1063"/>
      <c r="K8544" s="1063"/>
      <c r="L8544" s="1063"/>
    </row>
    <row r="8545" spans="5:12" x14ac:dyDescent="0.2">
      <c r="E8545" s="1063"/>
      <c r="H8545" s="1066"/>
      <c r="I8545" s="1063"/>
      <c r="J8545" s="1063"/>
      <c r="K8545" s="1063"/>
      <c r="L8545" s="1063"/>
    </row>
    <row r="8546" spans="5:12" x14ac:dyDescent="0.2">
      <c r="E8546" s="1063"/>
      <c r="H8546" s="1066"/>
      <c r="I8546" s="1063"/>
      <c r="J8546" s="1063"/>
      <c r="K8546" s="1063"/>
      <c r="L8546" s="1063"/>
    </row>
    <row r="8547" spans="5:12" x14ac:dyDescent="0.2">
      <c r="E8547" s="1063"/>
      <c r="H8547" s="1066"/>
      <c r="I8547" s="1063"/>
      <c r="J8547" s="1063"/>
      <c r="K8547" s="1063"/>
      <c r="L8547" s="1063"/>
    </row>
    <row r="8548" spans="5:12" x14ac:dyDescent="0.2">
      <c r="E8548" s="1063"/>
      <c r="H8548" s="1066"/>
      <c r="I8548" s="1063"/>
      <c r="J8548" s="1063"/>
      <c r="K8548" s="1063"/>
      <c r="L8548" s="1063"/>
    </row>
    <row r="8549" spans="5:12" x14ac:dyDescent="0.2">
      <c r="E8549" s="1063"/>
      <c r="H8549" s="1066"/>
      <c r="I8549" s="1063"/>
      <c r="J8549" s="1063"/>
      <c r="K8549" s="1063"/>
      <c r="L8549" s="1063"/>
    </row>
    <row r="8550" spans="5:12" x14ac:dyDescent="0.2">
      <c r="E8550" s="1063"/>
      <c r="H8550" s="1066"/>
      <c r="I8550" s="1063"/>
      <c r="J8550" s="1063"/>
      <c r="K8550" s="1063"/>
      <c r="L8550" s="1063"/>
    </row>
    <row r="8551" spans="5:12" x14ac:dyDescent="0.2">
      <c r="E8551" s="1063"/>
      <c r="H8551" s="1066"/>
      <c r="I8551" s="1063"/>
      <c r="J8551" s="1063"/>
      <c r="K8551" s="1063"/>
      <c r="L8551" s="1063"/>
    </row>
    <row r="8552" spans="5:12" x14ac:dyDescent="0.2">
      <c r="E8552" s="1063"/>
      <c r="H8552" s="1066"/>
      <c r="I8552" s="1063"/>
      <c r="J8552" s="1063"/>
      <c r="K8552" s="1063"/>
      <c r="L8552" s="1063"/>
    </row>
    <row r="8553" spans="5:12" x14ac:dyDescent="0.2">
      <c r="E8553" s="1063"/>
      <c r="H8553" s="1066"/>
      <c r="I8553" s="1063"/>
      <c r="J8553" s="1063"/>
      <c r="K8553" s="1063"/>
      <c r="L8553" s="1063"/>
    </row>
    <row r="8554" spans="5:12" x14ac:dyDescent="0.2">
      <c r="E8554" s="1063"/>
      <c r="H8554" s="1066"/>
      <c r="I8554" s="1063"/>
      <c r="J8554" s="1063"/>
      <c r="K8554" s="1063"/>
      <c r="L8554" s="1063"/>
    </row>
    <row r="8555" spans="5:12" x14ac:dyDescent="0.2">
      <c r="E8555" s="1063"/>
      <c r="H8555" s="1066"/>
      <c r="I8555" s="1063"/>
      <c r="J8555" s="1063"/>
      <c r="K8555" s="1063"/>
      <c r="L8555" s="1063"/>
    </row>
    <row r="8556" spans="5:12" x14ac:dyDescent="0.2">
      <c r="E8556" s="1063"/>
      <c r="H8556" s="1066"/>
      <c r="I8556" s="1063"/>
      <c r="J8556" s="1063"/>
      <c r="K8556" s="1063"/>
      <c r="L8556" s="1063"/>
    </row>
    <row r="8557" spans="5:12" x14ac:dyDescent="0.2">
      <c r="E8557" s="1063"/>
      <c r="H8557" s="1066"/>
      <c r="I8557" s="1063"/>
      <c r="J8557" s="1063"/>
      <c r="K8557" s="1063"/>
      <c r="L8557" s="1063"/>
    </row>
    <row r="8558" spans="5:12" x14ac:dyDescent="0.2">
      <c r="E8558" s="1063"/>
      <c r="H8558" s="1066"/>
      <c r="I8558" s="1063"/>
      <c r="J8558" s="1063"/>
      <c r="K8558" s="1063"/>
      <c r="L8558" s="1063"/>
    </row>
    <row r="8559" spans="5:12" x14ac:dyDescent="0.2">
      <c r="E8559" s="1063"/>
      <c r="H8559" s="1066"/>
      <c r="I8559" s="1063"/>
      <c r="J8559" s="1063"/>
      <c r="K8559" s="1063"/>
      <c r="L8559" s="1063"/>
    </row>
    <row r="8560" spans="5:12" x14ac:dyDescent="0.2">
      <c r="E8560" s="1063"/>
      <c r="H8560" s="1066"/>
      <c r="I8560" s="1063"/>
      <c r="J8560" s="1063"/>
      <c r="K8560" s="1063"/>
      <c r="L8560" s="1063"/>
    </row>
    <row r="8561" spans="5:12" x14ac:dyDescent="0.2">
      <c r="E8561" s="1063"/>
      <c r="H8561" s="1066"/>
      <c r="I8561" s="1063"/>
      <c r="J8561" s="1063"/>
      <c r="K8561" s="1063"/>
      <c r="L8561" s="1063"/>
    </row>
    <row r="8562" spans="5:12" x14ac:dyDescent="0.2">
      <c r="E8562" s="1063"/>
      <c r="H8562" s="1066"/>
      <c r="I8562" s="1063"/>
      <c r="J8562" s="1063"/>
      <c r="K8562" s="1063"/>
      <c r="L8562" s="1063"/>
    </row>
    <row r="8563" spans="5:12" x14ac:dyDescent="0.2">
      <c r="E8563" s="1063"/>
      <c r="H8563" s="1066"/>
      <c r="I8563" s="1063"/>
      <c r="J8563" s="1063"/>
      <c r="K8563" s="1063"/>
      <c r="L8563" s="1063"/>
    </row>
    <row r="8564" spans="5:12" x14ac:dyDescent="0.2">
      <c r="E8564" s="1063"/>
      <c r="H8564" s="1066"/>
      <c r="I8564" s="1063"/>
      <c r="J8564" s="1063"/>
      <c r="K8564" s="1063"/>
      <c r="L8564" s="1063"/>
    </row>
    <row r="8565" spans="5:12" x14ac:dyDescent="0.2">
      <c r="E8565" s="1063"/>
      <c r="H8565" s="1066"/>
      <c r="I8565" s="1063"/>
      <c r="J8565" s="1063"/>
      <c r="K8565" s="1063"/>
      <c r="L8565" s="1063"/>
    </row>
    <row r="8566" spans="5:12" x14ac:dyDescent="0.2">
      <c r="E8566" s="1063"/>
      <c r="H8566" s="1066"/>
      <c r="I8566" s="1063"/>
      <c r="J8566" s="1063"/>
      <c r="K8566" s="1063"/>
      <c r="L8566" s="1063"/>
    </row>
    <row r="8567" spans="5:12" x14ac:dyDescent="0.2">
      <c r="E8567" s="1063"/>
      <c r="H8567" s="1066"/>
      <c r="I8567" s="1063"/>
      <c r="J8567" s="1063"/>
      <c r="K8567" s="1063"/>
      <c r="L8567" s="1063"/>
    </row>
    <row r="8568" spans="5:12" x14ac:dyDescent="0.2">
      <c r="E8568" s="1063"/>
      <c r="H8568" s="1066"/>
      <c r="I8568" s="1063"/>
      <c r="J8568" s="1063"/>
      <c r="K8568" s="1063"/>
      <c r="L8568" s="1063"/>
    </row>
    <row r="8569" spans="5:12" x14ac:dyDescent="0.2">
      <c r="E8569" s="1063"/>
      <c r="H8569" s="1066"/>
      <c r="I8569" s="1063"/>
      <c r="J8569" s="1063"/>
      <c r="K8569" s="1063"/>
      <c r="L8569" s="1063"/>
    </row>
    <row r="8570" spans="5:12" x14ac:dyDescent="0.2">
      <c r="E8570" s="1063"/>
      <c r="H8570" s="1066"/>
      <c r="I8570" s="1063"/>
      <c r="J8570" s="1063"/>
      <c r="K8570" s="1063"/>
      <c r="L8570" s="1063"/>
    </row>
    <row r="8571" spans="5:12" x14ac:dyDescent="0.2">
      <c r="E8571" s="1063"/>
      <c r="H8571" s="1066"/>
      <c r="I8571" s="1063"/>
      <c r="J8571" s="1063"/>
      <c r="K8571" s="1063"/>
      <c r="L8571" s="1063"/>
    </row>
    <row r="8572" spans="5:12" x14ac:dyDescent="0.2">
      <c r="E8572" s="1063"/>
      <c r="H8572" s="1066"/>
      <c r="I8572" s="1063"/>
      <c r="J8572" s="1063"/>
      <c r="K8572" s="1063"/>
      <c r="L8572" s="1063"/>
    </row>
    <row r="8573" spans="5:12" x14ac:dyDescent="0.2">
      <c r="E8573" s="1063"/>
      <c r="H8573" s="1066"/>
      <c r="I8573" s="1063"/>
      <c r="J8573" s="1063"/>
      <c r="K8573" s="1063"/>
      <c r="L8573" s="1063"/>
    </row>
    <row r="8574" spans="5:12" x14ac:dyDescent="0.2">
      <c r="E8574" s="1063"/>
      <c r="H8574" s="1066"/>
      <c r="I8574" s="1063"/>
      <c r="J8574" s="1063"/>
      <c r="K8574" s="1063"/>
      <c r="L8574" s="1063"/>
    </row>
    <row r="8575" spans="5:12" x14ac:dyDescent="0.2">
      <c r="E8575" s="1063"/>
      <c r="H8575" s="1066"/>
      <c r="I8575" s="1063"/>
      <c r="J8575" s="1063"/>
      <c r="K8575" s="1063"/>
      <c r="L8575" s="1063"/>
    </row>
    <row r="8576" spans="5:12" x14ac:dyDescent="0.2">
      <c r="E8576" s="1063"/>
      <c r="H8576" s="1066"/>
      <c r="I8576" s="1063"/>
      <c r="J8576" s="1063"/>
      <c r="K8576" s="1063"/>
      <c r="L8576" s="1063"/>
    </row>
    <row r="8577" spans="5:12" x14ac:dyDescent="0.2">
      <c r="E8577" s="1063"/>
      <c r="H8577" s="1066"/>
      <c r="I8577" s="1063"/>
      <c r="J8577" s="1063"/>
      <c r="K8577" s="1063"/>
      <c r="L8577" s="1063"/>
    </row>
    <row r="8578" spans="5:12" x14ac:dyDescent="0.2">
      <c r="E8578" s="1063"/>
      <c r="H8578" s="1066"/>
      <c r="I8578" s="1063"/>
      <c r="J8578" s="1063"/>
      <c r="K8578" s="1063"/>
      <c r="L8578" s="1063"/>
    </row>
    <row r="8579" spans="5:12" x14ac:dyDescent="0.2">
      <c r="E8579" s="1063"/>
      <c r="H8579" s="1066"/>
      <c r="I8579" s="1063"/>
      <c r="J8579" s="1063"/>
      <c r="K8579" s="1063"/>
      <c r="L8579" s="1063"/>
    </row>
    <row r="8580" spans="5:12" x14ac:dyDescent="0.2">
      <c r="E8580" s="1063"/>
      <c r="H8580" s="1066"/>
      <c r="I8580" s="1063"/>
      <c r="J8580" s="1063"/>
      <c r="K8580" s="1063"/>
      <c r="L8580" s="1063"/>
    </row>
    <row r="8581" spans="5:12" x14ac:dyDescent="0.2">
      <c r="E8581" s="1063"/>
      <c r="H8581" s="1066"/>
      <c r="I8581" s="1063"/>
      <c r="J8581" s="1063"/>
      <c r="K8581" s="1063"/>
      <c r="L8581" s="1063"/>
    </row>
    <row r="8582" spans="5:12" x14ac:dyDescent="0.2">
      <c r="E8582" s="1063"/>
      <c r="H8582" s="1066"/>
      <c r="I8582" s="1063"/>
      <c r="J8582" s="1063"/>
      <c r="K8582" s="1063"/>
      <c r="L8582" s="1063"/>
    </row>
    <row r="8583" spans="5:12" x14ac:dyDescent="0.2">
      <c r="E8583" s="1063"/>
      <c r="H8583" s="1066"/>
      <c r="I8583" s="1063"/>
      <c r="J8583" s="1063"/>
      <c r="K8583" s="1063"/>
      <c r="L8583" s="1063"/>
    </row>
    <row r="8584" spans="5:12" x14ac:dyDescent="0.2">
      <c r="E8584" s="1063"/>
      <c r="H8584" s="1066"/>
      <c r="I8584" s="1063"/>
      <c r="J8584" s="1063"/>
      <c r="K8584" s="1063"/>
      <c r="L8584" s="1063"/>
    </row>
    <row r="8585" spans="5:12" x14ac:dyDescent="0.2">
      <c r="E8585" s="1063"/>
      <c r="H8585" s="1066"/>
      <c r="I8585" s="1063"/>
      <c r="J8585" s="1063"/>
      <c r="K8585" s="1063"/>
      <c r="L8585" s="1063"/>
    </row>
    <row r="8586" spans="5:12" x14ac:dyDescent="0.2">
      <c r="E8586" s="1063"/>
      <c r="H8586" s="1066"/>
      <c r="I8586" s="1063"/>
      <c r="J8586" s="1063"/>
      <c r="K8586" s="1063"/>
      <c r="L8586" s="1063"/>
    </row>
    <row r="8587" spans="5:12" x14ac:dyDescent="0.2">
      <c r="E8587" s="1063"/>
      <c r="H8587" s="1066"/>
      <c r="I8587" s="1063"/>
      <c r="J8587" s="1063"/>
      <c r="K8587" s="1063"/>
      <c r="L8587" s="1063"/>
    </row>
    <row r="8588" spans="5:12" x14ac:dyDescent="0.2">
      <c r="E8588" s="1063"/>
      <c r="H8588" s="1066"/>
      <c r="I8588" s="1063"/>
      <c r="J8588" s="1063"/>
      <c r="K8588" s="1063"/>
      <c r="L8588" s="1063"/>
    </row>
    <row r="8589" spans="5:12" x14ac:dyDescent="0.2">
      <c r="E8589" s="1063"/>
      <c r="H8589" s="1066"/>
      <c r="I8589" s="1063"/>
      <c r="J8589" s="1063"/>
      <c r="K8589" s="1063"/>
      <c r="L8589" s="1063"/>
    </row>
    <row r="8590" spans="5:12" x14ac:dyDescent="0.2">
      <c r="E8590" s="1063"/>
      <c r="H8590" s="1066"/>
      <c r="I8590" s="1063"/>
      <c r="J8590" s="1063"/>
      <c r="K8590" s="1063"/>
      <c r="L8590" s="1063"/>
    </row>
    <row r="8591" spans="5:12" x14ac:dyDescent="0.2">
      <c r="E8591" s="1063"/>
      <c r="H8591" s="1066"/>
      <c r="I8591" s="1063"/>
      <c r="J8591" s="1063"/>
      <c r="K8591" s="1063"/>
      <c r="L8591" s="1063"/>
    </row>
    <row r="8592" spans="5:12" x14ac:dyDescent="0.2">
      <c r="E8592" s="1063"/>
      <c r="H8592" s="1066"/>
      <c r="I8592" s="1063"/>
      <c r="J8592" s="1063"/>
      <c r="K8592" s="1063"/>
      <c r="L8592" s="1063"/>
    </row>
    <row r="8593" spans="5:12" x14ac:dyDescent="0.2">
      <c r="E8593" s="1063"/>
      <c r="H8593" s="1066"/>
      <c r="I8593" s="1063"/>
      <c r="J8593" s="1063"/>
      <c r="K8593" s="1063"/>
      <c r="L8593" s="1063"/>
    </row>
    <row r="8594" spans="5:12" x14ac:dyDescent="0.2">
      <c r="E8594" s="1063"/>
      <c r="H8594" s="1066"/>
      <c r="I8594" s="1063"/>
      <c r="J8594" s="1063"/>
      <c r="K8594" s="1063"/>
      <c r="L8594" s="1063"/>
    </row>
    <row r="8595" spans="5:12" x14ac:dyDescent="0.2">
      <c r="E8595" s="1063"/>
      <c r="H8595" s="1066"/>
      <c r="I8595" s="1063"/>
      <c r="J8595" s="1063"/>
      <c r="K8595" s="1063"/>
      <c r="L8595" s="1063"/>
    </row>
    <row r="8596" spans="5:12" x14ac:dyDescent="0.2">
      <c r="E8596" s="1063"/>
      <c r="H8596" s="1066"/>
      <c r="I8596" s="1063"/>
      <c r="J8596" s="1063"/>
      <c r="K8596" s="1063"/>
      <c r="L8596" s="1063"/>
    </row>
    <row r="8597" spans="5:12" x14ac:dyDescent="0.2">
      <c r="E8597" s="1063"/>
      <c r="H8597" s="1066"/>
      <c r="I8597" s="1063"/>
      <c r="J8597" s="1063"/>
      <c r="K8597" s="1063"/>
      <c r="L8597" s="1063"/>
    </row>
    <row r="8598" spans="5:12" x14ac:dyDescent="0.2">
      <c r="E8598" s="1063"/>
      <c r="H8598" s="1066"/>
      <c r="I8598" s="1063"/>
      <c r="J8598" s="1063"/>
      <c r="K8598" s="1063"/>
      <c r="L8598" s="1063"/>
    </row>
    <row r="8599" spans="5:12" x14ac:dyDescent="0.2">
      <c r="E8599" s="1063"/>
      <c r="H8599" s="1066"/>
      <c r="I8599" s="1063"/>
      <c r="J8599" s="1063"/>
      <c r="K8599" s="1063"/>
      <c r="L8599" s="1063"/>
    </row>
    <row r="8600" spans="5:12" x14ac:dyDescent="0.2">
      <c r="E8600" s="1063"/>
      <c r="H8600" s="1066"/>
      <c r="I8600" s="1063"/>
      <c r="J8600" s="1063"/>
      <c r="K8600" s="1063"/>
      <c r="L8600" s="1063"/>
    </row>
    <row r="8601" spans="5:12" x14ac:dyDescent="0.2">
      <c r="E8601" s="1063"/>
      <c r="H8601" s="1066"/>
      <c r="I8601" s="1063"/>
      <c r="J8601" s="1063"/>
      <c r="K8601" s="1063"/>
      <c r="L8601" s="1063"/>
    </row>
    <row r="8602" spans="5:12" x14ac:dyDescent="0.2">
      <c r="E8602" s="1063"/>
      <c r="H8602" s="1066"/>
      <c r="I8602" s="1063"/>
      <c r="J8602" s="1063"/>
      <c r="K8602" s="1063"/>
      <c r="L8602" s="1063"/>
    </row>
    <row r="8603" spans="5:12" x14ac:dyDescent="0.2">
      <c r="E8603" s="1063"/>
      <c r="H8603" s="1066"/>
      <c r="I8603" s="1063"/>
      <c r="J8603" s="1063"/>
      <c r="K8603" s="1063"/>
      <c r="L8603" s="1063"/>
    </row>
    <row r="8604" spans="5:12" x14ac:dyDescent="0.2">
      <c r="E8604" s="1063"/>
      <c r="H8604" s="1066"/>
      <c r="I8604" s="1063"/>
      <c r="J8604" s="1063"/>
      <c r="K8604" s="1063"/>
      <c r="L8604" s="1063"/>
    </row>
    <row r="8605" spans="5:12" x14ac:dyDescent="0.2">
      <c r="E8605" s="1063"/>
      <c r="H8605" s="1066"/>
      <c r="I8605" s="1063"/>
      <c r="J8605" s="1063"/>
      <c r="K8605" s="1063"/>
      <c r="L8605" s="1063"/>
    </row>
    <row r="8606" spans="5:12" x14ac:dyDescent="0.2">
      <c r="E8606" s="1063"/>
      <c r="H8606" s="1066"/>
      <c r="I8606" s="1063"/>
      <c r="J8606" s="1063"/>
      <c r="K8606" s="1063"/>
      <c r="L8606" s="1063"/>
    </row>
    <row r="8607" spans="5:12" x14ac:dyDescent="0.2">
      <c r="E8607" s="1063"/>
      <c r="H8607" s="1066"/>
      <c r="I8607" s="1063"/>
      <c r="J8607" s="1063"/>
      <c r="K8607" s="1063"/>
      <c r="L8607" s="1063"/>
    </row>
    <row r="8608" spans="5:12" x14ac:dyDescent="0.2">
      <c r="E8608" s="1063"/>
      <c r="H8608" s="1066"/>
      <c r="I8608" s="1063"/>
      <c r="J8608" s="1063"/>
      <c r="K8608" s="1063"/>
      <c r="L8608" s="1063"/>
    </row>
    <row r="8609" spans="5:12" x14ac:dyDescent="0.2">
      <c r="E8609" s="1063"/>
      <c r="H8609" s="1066"/>
      <c r="I8609" s="1063"/>
      <c r="J8609" s="1063"/>
      <c r="K8609" s="1063"/>
      <c r="L8609" s="1063"/>
    </row>
    <row r="8610" spans="5:12" x14ac:dyDescent="0.2">
      <c r="E8610" s="1063"/>
      <c r="H8610" s="1066"/>
      <c r="I8610" s="1063"/>
      <c r="J8610" s="1063"/>
      <c r="K8610" s="1063"/>
      <c r="L8610" s="1063"/>
    </row>
    <row r="8611" spans="5:12" x14ac:dyDescent="0.2">
      <c r="E8611" s="1063"/>
      <c r="H8611" s="1066"/>
      <c r="I8611" s="1063"/>
      <c r="J8611" s="1063"/>
      <c r="K8611" s="1063"/>
      <c r="L8611" s="1063"/>
    </row>
    <row r="8612" spans="5:12" x14ac:dyDescent="0.2">
      <c r="E8612" s="1063"/>
      <c r="H8612" s="1066"/>
      <c r="I8612" s="1063"/>
      <c r="J8612" s="1063"/>
      <c r="K8612" s="1063"/>
      <c r="L8612" s="1063"/>
    </row>
    <row r="8613" spans="5:12" x14ac:dyDescent="0.2">
      <c r="E8613" s="1063"/>
      <c r="H8613" s="1066"/>
      <c r="I8613" s="1063"/>
      <c r="J8613" s="1063"/>
      <c r="K8613" s="1063"/>
      <c r="L8613" s="1063"/>
    </row>
    <row r="8614" spans="5:12" x14ac:dyDescent="0.2">
      <c r="E8614" s="1063"/>
      <c r="H8614" s="1066"/>
      <c r="I8614" s="1063"/>
      <c r="J8614" s="1063"/>
      <c r="K8614" s="1063"/>
      <c r="L8614" s="1063"/>
    </row>
    <row r="8615" spans="5:12" x14ac:dyDescent="0.2">
      <c r="E8615" s="1063"/>
      <c r="H8615" s="1066"/>
      <c r="I8615" s="1063"/>
      <c r="J8615" s="1063"/>
      <c r="K8615" s="1063"/>
      <c r="L8615" s="1063"/>
    </row>
    <row r="8616" spans="5:12" x14ac:dyDescent="0.2">
      <c r="E8616" s="1063"/>
      <c r="H8616" s="1066"/>
      <c r="I8616" s="1063"/>
      <c r="J8616" s="1063"/>
      <c r="K8616" s="1063"/>
      <c r="L8616" s="1063"/>
    </row>
    <row r="8617" spans="5:12" x14ac:dyDescent="0.2">
      <c r="E8617" s="1063"/>
      <c r="H8617" s="1066"/>
      <c r="I8617" s="1063"/>
      <c r="J8617" s="1063"/>
      <c r="K8617" s="1063"/>
      <c r="L8617" s="1063"/>
    </row>
    <row r="8618" spans="5:12" x14ac:dyDescent="0.2">
      <c r="E8618" s="1063"/>
      <c r="H8618" s="1066"/>
      <c r="I8618" s="1063"/>
      <c r="J8618" s="1063"/>
      <c r="K8618" s="1063"/>
      <c r="L8618" s="1063"/>
    </row>
    <row r="8619" spans="5:12" x14ac:dyDescent="0.2">
      <c r="E8619" s="1063"/>
      <c r="H8619" s="1066"/>
      <c r="I8619" s="1063"/>
      <c r="J8619" s="1063"/>
      <c r="K8619" s="1063"/>
      <c r="L8619" s="1063"/>
    </row>
    <row r="8620" spans="5:12" x14ac:dyDescent="0.2">
      <c r="E8620" s="1063"/>
      <c r="H8620" s="1066"/>
      <c r="I8620" s="1063"/>
      <c r="J8620" s="1063"/>
      <c r="K8620" s="1063"/>
      <c r="L8620" s="1063"/>
    </row>
    <row r="8621" spans="5:12" x14ac:dyDescent="0.2">
      <c r="E8621" s="1063"/>
      <c r="H8621" s="1066"/>
      <c r="I8621" s="1063"/>
      <c r="J8621" s="1063"/>
      <c r="K8621" s="1063"/>
      <c r="L8621" s="1063"/>
    </row>
    <row r="8622" spans="5:12" x14ac:dyDescent="0.2">
      <c r="E8622" s="1063"/>
      <c r="H8622" s="1066"/>
      <c r="I8622" s="1063"/>
      <c r="J8622" s="1063"/>
      <c r="K8622" s="1063"/>
      <c r="L8622" s="1063"/>
    </row>
    <row r="8623" spans="5:12" x14ac:dyDescent="0.2">
      <c r="E8623" s="1063"/>
      <c r="H8623" s="1066"/>
      <c r="I8623" s="1063"/>
      <c r="J8623" s="1063"/>
      <c r="K8623" s="1063"/>
      <c r="L8623" s="1063"/>
    </row>
    <row r="8624" spans="5:12" x14ac:dyDescent="0.2">
      <c r="E8624" s="1063"/>
      <c r="H8624" s="1066"/>
      <c r="I8624" s="1063"/>
      <c r="J8624" s="1063"/>
      <c r="K8624" s="1063"/>
      <c r="L8624" s="1063"/>
    </row>
    <row r="8625" spans="5:12" x14ac:dyDescent="0.2">
      <c r="E8625" s="1063"/>
      <c r="H8625" s="1066"/>
      <c r="I8625" s="1063"/>
      <c r="J8625" s="1063"/>
      <c r="K8625" s="1063"/>
      <c r="L8625" s="1063"/>
    </row>
    <row r="8626" spans="5:12" x14ac:dyDescent="0.2">
      <c r="E8626" s="1063"/>
      <c r="H8626" s="1066"/>
      <c r="I8626" s="1063"/>
      <c r="J8626" s="1063"/>
      <c r="K8626" s="1063"/>
      <c r="L8626" s="1063"/>
    </row>
    <row r="8627" spans="5:12" x14ac:dyDescent="0.2">
      <c r="E8627" s="1063"/>
      <c r="H8627" s="1066"/>
      <c r="I8627" s="1063"/>
      <c r="J8627" s="1063"/>
      <c r="K8627" s="1063"/>
      <c r="L8627" s="1063"/>
    </row>
    <row r="8628" spans="5:12" x14ac:dyDescent="0.2">
      <c r="E8628" s="1063"/>
      <c r="H8628" s="1066"/>
      <c r="I8628" s="1063"/>
      <c r="J8628" s="1063"/>
      <c r="K8628" s="1063"/>
      <c r="L8628" s="1063"/>
    </row>
    <row r="8629" spans="5:12" x14ac:dyDescent="0.2">
      <c r="E8629" s="1063"/>
      <c r="H8629" s="1066"/>
      <c r="I8629" s="1063"/>
      <c r="J8629" s="1063"/>
      <c r="K8629" s="1063"/>
      <c r="L8629" s="1063"/>
    </row>
    <row r="8630" spans="5:12" x14ac:dyDescent="0.2">
      <c r="E8630" s="1063"/>
      <c r="H8630" s="1066"/>
      <c r="I8630" s="1063"/>
      <c r="J8630" s="1063"/>
      <c r="K8630" s="1063"/>
      <c r="L8630" s="1063"/>
    </row>
    <row r="8631" spans="5:12" x14ac:dyDescent="0.2">
      <c r="E8631" s="1063"/>
      <c r="H8631" s="1066"/>
      <c r="I8631" s="1063"/>
      <c r="J8631" s="1063"/>
      <c r="K8631" s="1063"/>
      <c r="L8631" s="1063"/>
    </row>
    <row r="8632" spans="5:12" x14ac:dyDescent="0.2">
      <c r="E8632" s="1063"/>
      <c r="H8632" s="1066"/>
      <c r="I8632" s="1063"/>
      <c r="J8632" s="1063"/>
      <c r="K8632" s="1063"/>
      <c r="L8632" s="1063"/>
    </row>
    <row r="8633" spans="5:12" x14ac:dyDescent="0.2">
      <c r="E8633" s="1063"/>
      <c r="H8633" s="1066"/>
      <c r="I8633" s="1063"/>
      <c r="J8633" s="1063"/>
      <c r="K8633" s="1063"/>
      <c r="L8633" s="1063"/>
    </row>
    <row r="8634" spans="5:12" x14ac:dyDescent="0.2">
      <c r="E8634" s="1063"/>
      <c r="H8634" s="1066"/>
      <c r="I8634" s="1063"/>
      <c r="J8634" s="1063"/>
      <c r="K8634" s="1063"/>
      <c r="L8634" s="1063"/>
    </row>
    <row r="8635" spans="5:12" x14ac:dyDescent="0.2">
      <c r="E8635" s="1063"/>
      <c r="H8635" s="1066"/>
      <c r="I8635" s="1063"/>
      <c r="J8635" s="1063"/>
      <c r="K8635" s="1063"/>
      <c r="L8635" s="1063"/>
    </row>
    <row r="8636" spans="5:12" x14ac:dyDescent="0.2">
      <c r="E8636" s="1063"/>
      <c r="H8636" s="1066"/>
      <c r="I8636" s="1063"/>
      <c r="J8636" s="1063"/>
      <c r="K8636" s="1063"/>
      <c r="L8636" s="1063"/>
    </row>
    <row r="8637" spans="5:12" x14ac:dyDescent="0.2">
      <c r="E8637" s="1063"/>
      <c r="H8637" s="1066"/>
      <c r="I8637" s="1063"/>
      <c r="J8637" s="1063"/>
      <c r="K8637" s="1063"/>
      <c r="L8637" s="1063"/>
    </row>
    <row r="8638" spans="5:12" x14ac:dyDescent="0.2">
      <c r="E8638" s="1063"/>
      <c r="H8638" s="1066"/>
      <c r="I8638" s="1063"/>
      <c r="J8638" s="1063"/>
      <c r="K8638" s="1063"/>
      <c r="L8638" s="1063"/>
    </row>
    <row r="8639" spans="5:12" x14ac:dyDescent="0.2">
      <c r="E8639" s="1063"/>
      <c r="H8639" s="1066"/>
      <c r="I8639" s="1063"/>
      <c r="J8639" s="1063"/>
      <c r="K8639" s="1063"/>
      <c r="L8639" s="1063"/>
    </row>
    <row r="8640" spans="5:12" x14ac:dyDescent="0.2">
      <c r="E8640" s="1063"/>
      <c r="H8640" s="1066"/>
      <c r="I8640" s="1063"/>
      <c r="J8640" s="1063"/>
      <c r="K8640" s="1063"/>
      <c r="L8640" s="1063"/>
    </row>
    <row r="8641" spans="5:12" x14ac:dyDescent="0.2">
      <c r="E8641" s="1063"/>
      <c r="H8641" s="1066"/>
      <c r="I8641" s="1063"/>
      <c r="J8641" s="1063"/>
      <c r="K8641" s="1063"/>
      <c r="L8641" s="1063"/>
    </row>
    <row r="8642" spans="5:12" x14ac:dyDescent="0.2">
      <c r="E8642" s="1063"/>
      <c r="H8642" s="1066"/>
      <c r="I8642" s="1063"/>
      <c r="J8642" s="1063"/>
      <c r="K8642" s="1063"/>
      <c r="L8642" s="1063"/>
    </row>
    <row r="8643" spans="5:12" x14ac:dyDescent="0.2">
      <c r="E8643" s="1063"/>
      <c r="H8643" s="1066"/>
      <c r="I8643" s="1063"/>
      <c r="J8643" s="1063"/>
      <c r="K8643" s="1063"/>
      <c r="L8643" s="1063"/>
    </row>
    <row r="8644" spans="5:12" x14ac:dyDescent="0.2">
      <c r="E8644" s="1063"/>
      <c r="H8644" s="1066"/>
      <c r="I8644" s="1063"/>
      <c r="J8644" s="1063"/>
      <c r="K8644" s="1063"/>
      <c r="L8644" s="1063"/>
    </row>
    <row r="8645" spans="5:12" x14ac:dyDescent="0.2">
      <c r="E8645" s="1063"/>
      <c r="H8645" s="1066"/>
      <c r="I8645" s="1063"/>
      <c r="J8645" s="1063"/>
      <c r="K8645" s="1063"/>
      <c r="L8645" s="1063"/>
    </row>
    <row r="8646" spans="5:12" x14ac:dyDescent="0.2">
      <c r="E8646" s="1063"/>
      <c r="H8646" s="1066"/>
      <c r="I8646" s="1063"/>
      <c r="J8646" s="1063"/>
      <c r="K8646" s="1063"/>
      <c r="L8646" s="1063"/>
    </row>
    <row r="8647" spans="5:12" x14ac:dyDescent="0.2">
      <c r="E8647" s="1063"/>
      <c r="H8647" s="1066"/>
      <c r="I8647" s="1063"/>
      <c r="J8647" s="1063"/>
      <c r="K8647" s="1063"/>
      <c r="L8647" s="1063"/>
    </row>
    <row r="8648" spans="5:12" x14ac:dyDescent="0.2">
      <c r="E8648" s="1063"/>
      <c r="H8648" s="1066"/>
      <c r="I8648" s="1063"/>
      <c r="J8648" s="1063"/>
      <c r="K8648" s="1063"/>
      <c r="L8648" s="1063"/>
    </row>
    <row r="8649" spans="5:12" x14ac:dyDescent="0.2">
      <c r="E8649" s="1063"/>
      <c r="H8649" s="1066"/>
      <c r="I8649" s="1063"/>
      <c r="J8649" s="1063"/>
      <c r="K8649" s="1063"/>
      <c r="L8649" s="1063"/>
    </row>
    <row r="8650" spans="5:12" x14ac:dyDescent="0.2">
      <c r="E8650" s="1063"/>
      <c r="H8650" s="1066"/>
      <c r="I8650" s="1063"/>
      <c r="J8650" s="1063"/>
      <c r="K8650" s="1063"/>
      <c r="L8650" s="1063"/>
    </row>
    <row r="8651" spans="5:12" x14ac:dyDescent="0.2">
      <c r="E8651" s="1063"/>
      <c r="H8651" s="1066"/>
      <c r="I8651" s="1063"/>
      <c r="J8651" s="1063"/>
      <c r="K8651" s="1063"/>
      <c r="L8651" s="1063"/>
    </row>
    <row r="8652" spans="5:12" x14ac:dyDescent="0.2">
      <c r="E8652" s="1063"/>
      <c r="H8652" s="1066"/>
      <c r="I8652" s="1063"/>
      <c r="J8652" s="1063"/>
      <c r="K8652" s="1063"/>
      <c r="L8652" s="1063"/>
    </row>
    <row r="8653" spans="5:12" x14ac:dyDescent="0.2">
      <c r="E8653" s="1063"/>
      <c r="H8653" s="1066"/>
      <c r="I8653" s="1063"/>
      <c r="J8653" s="1063"/>
      <c r="K8653" s="1063"/>
      <c r="L8653" s="1063"/>
    </row>
    <row r="8654" spans="5:12" x14ac:dyDescent="0.2">
      <c r="E8654" s="1063"/>
      <c r="H8654" s="1066"/>
      <c r="I8654" s="1063"/>
      <c r="J8654" s="1063"/>
      <c r="K8654" s="1063"/>
      <c r="L8654" s="1063"/>
    </row>
    <row r="8655" spans="5:12" x14ac:dyDescent="0.2">
      <c r="E8655" s="1063"/>
      <c r="H8655" s="1066"/>
      <c r="I8655" s="1063"/>
      <c r="J8655" s="1063"/>
      <c r="K8655" s="1063"/>
      <c r="L8655" s="1063"/>
    </row>
    <row r="8656" spans="5:12" x14ac:dyDescent="0.2">
      <c r="E8656" s="1063"/>
      <c r="H8656" s="1066"/>
      <c r="I8656" s="1063"/>
      <c r="J8656" s="1063"/>
      <c r="K8656" s="1063"/>
      <c r="L8656" s="1063"/>
    </row>
    <row r="8657" spans="5:12" x14ac:dyDescent="0.2">
      <c r="E8657" s="1063"/>
      <c r="H8657" s="1066"/>
      <c r="I8657" s="1063"/>
      <c r="J8657" s="1063"/>
      <c r="K8657" s="1063"/>
      <c r="L8657" s="1063"/>
    </row>
    <row r="8658" spans="5:12" x14ac:dyDescent="0.2">
      <c r="E8658" s="1063"/>
      <c r="H8658" s="1066"/>
      <c r="I8658" s="1063"/>
      <c r="J8658" s="1063"/>
      <c r="K8658" s="1063"/>
      <c r="L8658" s="1063"/>
    </row>
    <row r="8659" spans="5:12" x14ac:dyDescent="0.2">
      <c r="E8659" s="1063"/>
      <c r="H8659" s="1066"/>
      <c r="I8659" s="1063"/>
      <c r="J8659" s="1063"/>
      <c r="K8659" s="1063"/>
      <c r="L8659" s="1063"/>
    </row>
    <row r="8660" spans="5:12" x14ac:dyDescent="0.2">
      <c r="E8660" s="1063"/>
      <c r="H8660" s="1066"/>
      <c r="I8660" s="1063"/>
      <c r="J8660" s="1063"/>
      <c r="K8660" s="1063"/>
      <c r="L8660" s="1063"/>
    </row>
    <row r="8661" spans="5:12" x14ac:dyDescent="0.2">
      <c r="E8661" s="1063"/>
      <c r="H8661" s="1066"/>
      <c r="I8661" s="1063"/>
      <c r="J8661" s="1063"/>
      <c r="K8661" s="1063"/>
      <c r="L8661" s="1063"/>
    </row>
    <row r="8662" spans="5:12" x14ac:dyDescent="0.2">
      <c r="E8662" s="1063"/>
      <c r="H8662" s="1066"/>
      <c r="I8662" s="1063"/>
      <c r="J8662" s="1063"/>
      <c r="K8662" s="1063"/>
      <c r="L8662" s="1063"/>
    </row>
    <row r="8663" spans="5:12" x14ac:dyDescent="0.2">
      <c r="E8663" s="1063"/>
      <c r="H8663" s="1066"/>
      <c r="I8663" s="1063"/>
      <c r="J8663" s="1063"/>
      <c r="K8663" s="1063"/>
      <c r="L8663" s="1063"/>
    </row>
    <row r="8664" spans="5:12" x14ac:dyDescent="0.2">
      <c r="E8664" s="1063"/>
      <c r="H8664" s="1066"/>
      <c r="I8664" s="1063"/>
      <c r="J8664" s="1063"/>
      <c r="K8664" s="1063"/>
      <c r="L8664" s="1063"/>
    </row>
    <row r="8665" spans="5:12" x14ac:dyDescent="0.2">
      <c r="E8665" s="1063"/>
      <c r="H8665" s="1066"/>
      <c r="I8665" s="1063"/>
      <c r="J8665" s="1063"/>
      <c r="K8665" s="1063"/>
      <c r="L8665" s="1063"/>
    </row>
    <row r="8666" spans="5:12" x14ac:dyDescent="0.2">
      <c r="E8666" s="1063"/>
      <c r="H8666" s="1066"/>
      <c r="I8666" s="1063"/>
      <c r="J8666" s="1063"/>
      <c r="K8666" s="1063"/>
      <c r="L8666" s="1063"/>
    </row>
    <row r="8667" spans="5:12" x14ac:dyDescent="0.2">
      <c r="E8667" s="1063"/>
      <c r="H8667" s="1066"/>
      <c r="I8667" s="1063"/>
      <c r="J8667" s="1063"/>
      <c r="K8667" s="1063"/>
      <c r="L8667" s="1063"/>
    </row>
    <row r="8668" spans="5:12" x14ac:dyDescent="0.2">
      <c r="E8668" s="1063"/>
      <c r="H8668" s="1066"/>
      <c r="I8668" s="1063"/>
      <c r="J8668" s="1063"/>
      <c r="K8668" s="1063"/>
      <c r="L8668" s="1063"/>
    </row>
    <row r="8669" spans="5:12" x14ac:dyDescent="0.2">
      <c r="E8669" s="1063"/>
      <c r="H8669" s="1066"/>
      <c r="I8669" s="1063"/>
      <c r="J8669" s="1063"/>
      <c r="K8669" s="1063"/>
      <c r="L8669" s="1063"/>
    </row>
    <row r="8670" spans="5:12" x14ac:dyDescent="0.2">
      <c r="E8670" s="1063"/>
      <c r="H8670" s="1066"/>
      <c r="I8670" s="1063"/>
      <c r="J8670" s="1063"/>
      <c r="K8670" s="1063"/>
      <c r="L8670" s="1063"/>
    </row>
    <row r="8671" spans="5:12" x14ac:dyDescent="0.2">
      <c r="E8671" s="1063"/>
      <c r="H8671" s="1066"/>
      <c r="I8671" s="1063"/>
      <c r="J8671" s="1063"/>
      <c r="K8671" s="1063"/>
      <c r="L8671" s="1063"/>
    </row>
    <row r="8672" spans="5:12" x14ac:dyDescent="0.2">
      <c r="E8672" s="1063"/>
      <c r="H8672" s="1066"/>
      <c r="I8672" s="1063"/>
      <c r="J8672" s="1063"/>
      <c r="K8672" s="1063"/>
      <c r="L8672" s="1063"/>
    </row>
    <row r="8673" spans="5:12" x14ac:dyDescent="0.2">
      <c r="E8673" s="1063"/>
      <c r="H8673" s="1066"/>
      <c r="I8673" s="1063"/>
      <c r="J8673" s="1063"/>
      <c r="K8673" s="1063"/>
      <c r="L8673" s="1063"/>
    </row>
    <row r="8674" spans="5:12" x14ac:dyDescent="0.2">
      <c r="E8674" s="1063"/>
      <c r="H8674" s="1066"/>
      <c r="I8674" s="1063"/>
      <c r="J8674" s="1063"/>
      <c r="K8674" s="1063"/>
      <c r="L8674" s="1063"/>
    </row>
    <row r="8675" spans="5:12" x14ac:dyDescent="0.2">
      <c r="E8675" s="1063"/>
      <c r="H8675" s="1066"/>
      <c r="I8675" s="1063"/>
      <c r="J8675" s="1063"/>
      <c r="K8675" s="1063"/>
      <c r="L8675" s="1063"/>
    </row>
    <row r="8676" spans="5:12" x14ac:dyDescent="0.2">
      <c r="E8676" s="1063"/>
      <c r="H8676" s="1066"/>
      <c r="I8676" s="1063"/>
      <c r="J8676" s="1063"/>
      <c r="K8676" s="1063"/>
      <c r="L8676" s="1063"/>
    </row>
    <row r="8677" spans="5:12" x14ac:dyDescent="0.2">
      <c r="E8677" s="1063"/>
      <c r="H8677" s="1066"/>
      <c r="I8677" s="1063"/>
      <c r="J8677" s="1063"/>
      <c r="K8677" s="1063"/>
      <c r="L8677" s="1063"/>
    </row>
    <row r="8678" spans="5:12" x14ac:dyDescent="0.2">
      <c r="E8678" s="1063"/>
      <c r="H8678" s="1066"/>
      <c r="I8678" s="1063"/>
      <c r="J8678" s="1063"/>
      <c r="K8678" s="1063"/>
      <c r="L8678" s="1063"/>
    </row>
    <row r="8679" spans="5:12" x14ac:dyDescent="0.2">
      <c r="E8679" s="1063"/>
      <c r="H8679" s="1066"/>
      <c r="I8679" s="1063"/>
      <c r="J8679" s="1063"/>
      <c r="K8679" s="1063"/>
      <c r="L8679" s="1063"/>
    </row>
    <row r="8680" spans="5:12" x14ac:dyDescent="0.2">
      <c r="E8680" s="1063"/>
      <c r="H8680" s="1066"/>
      <c r="I8680" s="1063"/>
      <c r="J8680" s="1063"/>
      <c r="K8680" s="1063"/>
      <c r="L8680" s="1063"/>
    </row>
    <row r="8681" spans="5:12" x14ac:dyDescent="0.2">
      <c r="E8681" s="1063"/>
      <c r="H8681" s="1066"/>
      <c r="I8681" s="1063"/>
      <c r="J8681" s="1063"/>
      <c r="K8681" s="1063"/>
      <c r="L8681" s="1063"/>
    </row>
    <row r="8682" spans="5:12" x14ac:dyDescent="0.2">
      <c r="E8682" s="1063"/>
      <c r="H8682" s="1066"/>
      <c r="I8682" s="1063"/>
      <c r="J8682" s="1063"/>
      <c r="K8682" s="1063"/>
      <c r="L8682" s="1063"/>
    </row>
    <row r="8683" spans="5:12" x14ac:dyDescent="0.2">
      <c r="E8683" s="1063"/>
      <c r="H8683" s="1066"/>
      <c r="I8683" s="1063"/>
      <c r="J8683" s="1063"/>
      <c r="K8683" s="1063"/>
      <c r="L8683" s="1063"/>
    </row>
    <row r="8684" spans="5:12" x14ac:dyDescent="0.2">
      <c r="E8684" s="1063"/>
      <c r="H8684" s="1066"/>
      <c r="I8684" s="1063"/>
      <c r="J8684" s="1063"/>
      <c r="K8684" s="1063"/>
      <c r="L8684" s="1063"/>
    </row>
    <row r="8685" spans="5:12" x14ac:dyDescent="0.2">
      <c r="E8685" s="1063"/>
      <c r="H8685" s="1066"/>
      <c r="I8685" s="1063"/>
      <c r="J8685" s="1063"/>
      <c r="K8685" s="1063"/>
      <c r="L8685" s="1063"/>
    </row>
    <row r="8686" spans="5:12" x14ac:dyDescent="0.2">
      <c r="E8686" s="1063"/>
      <c r="H8686" s="1066"/>
      <c r="I8686" s="1063"/>
      <c r="J8686" s="1063"/>
      <c r="K8686" s="1063"/>
      <c r="L8686" s="1063"/>
    </row>
    <row r="8687" spans="5:12" x14ac:dyDescent="0.2">
      <c r="E8687" s="1063"/>
      <c r="H8687" s="1066"/>
      <c r="I8687" s="1063"/>
      <c r="J8687" s="1063"/>
      <c r="K8687" s="1063"/>
      <c r="L8687" s="1063"/>
    </row>
    <row r="8688" spans="5:12" x14ac:dyDescent="0.2">
      <c r="E8688" s="1063"/>
      <c r="H8688" s="1066"/>
      <c r="I8688" s="1063"/>
      <c r="J8688" s="1063"/>
      <c r="K8688" s="1063"/>
      <c r="L8688" s="1063"/>
    </row>
    <row r="8689" spans="5:12" x14ac:dyDescent="0.2">
      <c r="E8689" s="1063"/>
      <c r="H8689" s="1066"/>
      <c r="I8689" s="1063"/>
      <c r="J8689" s="1063"/>
      <c r="K8689" s="1063"/>
      <c r="L8689" s="1063"/>
    </row>
    <row r="8690" spans="5:12" x14ac:dyDescent="0.2">
      <c r="E8690" s="1063"/>
      <c r="H8690" s="1066"/>
      <c r="I8690" s="1063"/>
      <c r="J8690" s="1063"/>
      <c r="K8690" s="1063"/>
      <c r="L8690" s="1063"/>
    </row>
    <row r="8691" spans="5:12" x14ac:dyDescent="0.2">
      <c r="E8691" s="1063"/>
      <c r="H8691" s="1066"/>
      <c r="I8691" s="1063"/>
      <c r="J8691" s="1063"/>
      <c r="K8691" s="1063"/>
      <c r="L8691" s="1063"/>
    </row>
    <row r="8692" spans="5:12" x14ac:dyDescent="0.2">
      <c r="E8692" s="1063"/>
      <c r="H8692" s="1066"/>
      <c r="I8692" s="1063"/>
      <c r="J8692" s="1063"/>
      <c r="K8692" s="1063"/>
      <c r="L8692" s="1063"/>
    </row>
    <row r="8693" spans="5:12" x14ac:dyDescent="0.2">
      <c r="E8693" s="1063"/>
      <c r="H8693" s="1066"/>
      <c r="I8693" s="1063"/>
      <c r="J8693" s="1063"/>
      <c r="K8693" s="1063"/>
      <c r="L8693" s="1063"/>
    </row>
    <row r="8694" spans="5:12" x14ac:dyDescent="0.2">
      <c r="E8694" s="1063"/>
      <c r="H8694" s="1066"/>
      <c r="I8694" s="1063"/>
      <c r="J8694" s="1063"/>
      <c r="K8694" s="1063"/>
      <c r="L8694" s="1063"/>
    </row>
    <row r="8695" spans="5:12" x14ac:dyDescent="0.2">
      <c r="E8695" s="1063"/>
      <c r="H8695" s="1066"/>
      <c r="I8695" s="1063"/>
      <c r="J8695" s="1063"/>
      <c r="K8695" s="1063"/>
      <c r="L8695" s="1063"/>
    </row>
    <row r="8696" spans="5:12" x14ac:dyDescent="0.2">
      <c r="E8696" s="1063"/>
      <c r="H8696" s="1066"/>
      <c r="I8696" s="1063"/>
      <c r="J8696" s="1063"/>
      <c r="K8696" s="1063"/>
      <c r="L8696" s="1063"/>
    </row>
    <row r="8697" spans="5:12" x14ac:dyDescent="0.2">
      <c r="E8697" s="1063"/>
      <c r="H8697" s="1066"/>
      <c r="I8697" s="1063"/>
      <c r="J8697" s="1063"/>
      <c r="K8697" s="1063"/>
      <c r="L8697" s="1063"/>
    </row>
    <row r="8698" spans="5:12" x14ac:dyDescent="0.2">
      <c r="E8698" s="1063"/>
      <c r="H8698" s="1066"/>
      <c r="I8698" s="1063"/>
      <c r="J8698" s="1063"/>
      <c r="K8698" s="1063"/>
      <c r="L8698" s="1063"/>
    </row>
    <row r="8699" spans="5:12" x14ac:dyDescent="0.2">
      <c r="E8699" s="1063"/>
      <c r="H8699" s="1066"/>
      <c r="I8699" s="1063"/>
      <c r="J8699" s="1063"/>
      <c r="K8699" s="1063"/>
      <c r="L8699" s="1063"/>
    </row>
    <row r="8700" spans="5:12" x14ac:dyDescent="0.2">
      <c r="E8700" s="1063"/>
      <c r="H8700" s="1066"/>
      <c r="I8700" s="1063"/>
      <c r="J8700" s="1063"/>
      <c r="K8700" s="1063"/>
      <c r="L8700" s="1063"/>
    </row>
    <row r="8701" spans="5:12" x14ac:dyDescent="0.2">
      <c r="E8701" s="1063"/>
      <c r="H8701" s="1066"/>
      <c r="I8701" s="1063"/>
      <c r="J8701" s="1063"/>
      <c r="K8701" s="1063"/>
      <c r="L8701" s="1063"/>
    </row>
    <row r="8702" spans="5:12" x14ac:dyDescent="0.2">
      <c r="E8702" s="1063"/>
      <c r="H8702" s="1066"/>
      <c r="I8702" s="1063"/>
      <c r="J8702" s="1063"/>
      <c r="K8702" s="1063"/>
      <c r="L8702" s="1063"/>
    </row>
    <row r="8703" spans="5:12" x14ac:dyDescent="0.2">
      <c r="E8703" s="1063"/>
      <c r="H8703" s="1066"/>
      <c r="I8703" s="1063"/>
      <c r="J8703" s="1063"/>
      <c r="K8703" s="1063"/>
      <c r="L8703" s="1063"/>
    </row>
    <row r="8704" spans="5:12" x14ac:dyDescent="0.2">
      <c r="E8704" s="1063"/>
      <c r="H8704" s="1066"/>
      <c r="I8704" s="1063"/>
      <c r="J8704" s="1063"/>
      <c r="K8704" s="1063"/>
      <c r="L8704" s="1063"/>
    </row>
    <row r="8705" spans="5:12" x14ac:dyDescent="0.2">
      <c r="E8705" s="1063"/>
      <c r="H8705" s="1066"/>
      <c r="I8705" s="1063"/>
      <c r="J8705" s="1063"/>
      <c r="K8705" s="1063"/>
      <c r="L8705" s="1063"/>
    </row>
    <row r="8706" spans="5:12" x14ac:dyDescent="0.2">
      <c r="E8706" s="1063"/>
      <c r="H8706" s="1066"/>
      <c r="I8706" s="1063"/>
      <c r="J8706" s="1063"/>
      <c r="K8706" s="1063"/>
      <c r="L8706" s="1063"/>
    </row>
    <row r="8707" spans="5:12" x14ac:dyDescent="0.2">
      <c r="E8707" s="1063"/>
      <c r="H8707" s="1066"/>
      <c r="I8707" s="1063"/>
      <c r="J8707" s="1063"/>
      <c r="K8707" s="1063"/>
      <c r="L8707" s="1063"/>
    </row>
    <row r="8708" spans="5:12" x14ac:dyDescent="0.2">
      <c r="E8708" s="1063"/>
      <c r="H8708" s="1066"/>
      <c r="I8708" s="1063"/>
      <c r="J8708" s="1063"/>
      <c r="K8708" s="1063"/>
      <c r="L8708" s="1063"/>
    </row>
    <row r="8709" spans="5:12" x14ac:dyDescent="0.2">
      <c r="E8709" s="1063"/>
      <c r="H8709" s="1066"/>
      <c r="I8709" s="1063"/>
      <c r="J8709" s="1063"/>
      <c r="K8709" s="1063"/>
      <c r="L8709" s="1063"/>
    </row>
    <row r="8710" spans="5:12" x14ac:dyDescent="0.2">
      <c r="E8710" s="1063"/>
      <c r="H8710" s="1066"/>
      <c r="I8710" s="1063"/>
      <c r="J8710" s="1063"/>
      <c r="K8710" s="1063"/>
      <c r="L8710" s="1063"/>
    </row>
    <row r="8711" spans="5:12" x14ac:dyDescent="0.2">
      <c r="E8711" s="1063"/>
      <c r="H8711" s="1066"/>
      <c r="I8711" s="1063"/>
      <c r="J8711" s="1063"/>
      <c r="K8711" s="1063"/>
      <c r="L8711" s="1063"/>
    </row>
    <row r="8712" spans="5:12" x14ac:dyDescent="0.2">
      <c r="E8712" s="1063"/>
      <c r="H8712" s="1066"/>
      <c r="I8712" s="1063"/>
      <c r="J8712" s="1063"/>
      <c r="K8712" s="1063"/>
      <c r="L8712" s="1063"/>
    </row>
    <row r="8713" spans="5:12" x14ac:dyDescent="0.2">
      <c r="E8713" s="1063"/>
      <c r="H8713" s="1066"/>
      <c r="I8713" s="1063"/>
      <c r="J8713" s="1063"/>
      <c r="K8713" s="1063"/>
      <c r="L8713" s="1063"/>
    </row>
    <row r="8714" spans="5:12" x14ac:dyDescent="0.2">
      <c r="E8714" s="1063"/>
      <c r="H8714" s="1066"/>
      <c r="I8714" s="1063"/>
      <c r="J8714" s="1063"/>
      <c r="K8714" s="1063"/>
      <c r="L8714" s="1063"/>
    </row>
    <row r="8715" spans="5:12" x14ac:dyDescent="0.2">
      <c r="E8715" s="1063"/>
      <c r="H8715" s="1066"/>
      <c r="I8715" s="1063"/>
      <c r="J8715" s="1063"/>
      <c r="K8715" s="1063"/>
      <c r="L8715" s="1063"/>
    </row>
    <row r="8716" spans="5:12" x14ac:dyDescent="0.2">
      <c r="E8716" s="1063"/>
      <c r="H8716" s="1066"/>
      <c r="I8716" s="1063"/>
      <c r="J8716" s="1063"/>
      <c r="K8716" s="1063"/>
      <c r="L8716" s="1063"/>
    </row>
    <row r="8717" spans="5:12" x14ac:dyDescent="0.2">
      <c r="E8717" s="1063"/>
      <c r="H8717" s="1066"/>
      <c r="I8717" s="1063"/>
      <c r="J8717" s="1063"/>
      <c r="K8717" s="1063"/>
      <c r="L8717" s="1063"/>
    </row>
    <row r="8718" spans="5:12" x14ac:dyDescent="0.2">
      <c r="E8718" s="1063"/>
      <c r="H8718" s="1066"/>
      <c r="I8718" s="1063"/>
      <c r="J8718" s="1063"/>
      <c r="K8718" s="1063"/>
      <c r="L8718" s="1063"/>
    </row>
    <row r="8719" spans="5:12" x14ac:dyDescent="0.2">
      <c r="E8719" s="1063"/>
      <c r="H8719" s="1066"/>
      <c r="I8719" s="1063"/>
      <c r="J8719" s="1063"/>
      <c r="K8719" s="1063"/>
      <c r="L8719" s="1063"/>
    </row>
    <row r="8720" spans="5:12" x14ac:dyDescent="0.2">
      <c r="E8720" s="1063"/>
      <c r="H8720" s="1066"/>
      <c r="I8720" s="1063"/>
      <c r="J8720" s="1063"/>
      <c r="K8720" s="1063"/>
      <c r="L8720" s="1063"/>
    </row>
    <row r="8721" spans="5:12" x14ac:dyDescent="0.2">
      <c r="E8721" s="1063"/>
      <c r="H8721" s="1066"/>
      <c r="I8721" s="1063"/>
      <c r="J8721" s="1063"/>
      <c r="K8721" s="1063"/>
      <c r="L8721" s="1063"/>
    </row>
    <row r="8722" spans="5:12" x14ac:dyDescent="0.2">
      <c r="E8722" s="1063"/>
      <c r="H8722" s="1066"/>
      <c r="I8722" s="1063"/>
      <c r="J8722" s="1063"/>
      <c r="K8722" s="1063"/>
      <c r="L8722" s="1063"/>
    </row>
    <row r="8723" spans="5:12" x14ac:dyDescent="0.2">
      <c r="E8723" s="1063"/>
      <c r="H8723" s="1066"/>
      <c r="I8723" s="1063"/>
      <c r="J8723" s="1063"/>
      <c r="K8723" s="1063"/>
      <c r="L8723" s="1063"/>
    </row>
    <row r="8724" spans="5:12" x14ac:dyDescent="0.2">
      <c r="E8724" s="1063"/>
      <c r="H8724" s="1066"/>
      <c r="I8724" s="1063"/>
      <c r="J8724" s="1063"/>
      <c r="K8724" s="1063"/>
      <c r="L8724" s="1063"/>
    </row>
    <row r="8725" spans="5:12" x14ac:dyDescent="0.2">
      <c r="E8725" s="1063"/>
      <c r="H8725" s="1066"/>
      <c r="I8725" s="1063"/>
      <c r="J8725" s="1063"/>
      <c r="K8725" s="1063"/>
      <c r="L8725" s="1063"/>
    </row>
    <row r="8726" spans="5:12" x14ac:dyDescent="0.2">
      <c r="E8726" s="1063"/>
      <c r="H8726" s="1066"/>
      <c r="I8726" s="1063"/>
      <c r="J8726" s="1063"/>
      <c r="K8726" s="1063"/>
      <c r="L8726" s="1063"/>
    </row>
    <row r="8727" spans="5:12" x14ac:dyDescent="0.2">
      <c r="E8727" s="1063"/>
      <c r="H8727" s="1066"/>
      <c r="I8727" s="1063"/>
      <c r="J8727" s="1063"/>
      <c r="K8727" s="1063"/>
      <c r="L8727" s="1063"/>
    </row>
    <row r="8728" spans="5:12" x14ac:dyDescent="0.2">
      <c r="E8728" s="1063"/>
      <c r="H8728" s="1066"/>
      <c r="I8728" s="1063"/>
      <c r="J8728" s="1063"/>
      <c r="K8728" s="1063"/>
      <c r="L8728" s="1063"/>
    </row>
    <row r="8729" spans="5:12" x14ac:dyDescent="0.2">
      <c r="E8729" s="1063"/>
      <c r="H8729" s="1066"/>
      <c r="I8729" s="1063"/>
      <c r="J8729" s="1063"/>
      <c r="K8729" s="1063"/>
      <c r="L8729" s="1063"/>
    </row>
    <row r="8730" spans="5:12" x14ac:dyDescent="0.2">
      <c r="E8730" s="1063"/>
      <c r="H8730" s="1066"/>
      <c r="I8730" s="1063"/>
      <c r="J8730" s="1063"/>
      <c r="K8730" s="1063"/>
      <c r="L8730" s="1063"/>
    </row>
    <row r="8731" spans="5:12" x14ac:dyDescent="0.2">
      <c r="E8731" s="1063"/>
      <c r="H8731" s="1066"/>
      <c r="I8731" s="1063"/>
      <c r="J8731" s="1063"/>
      <c r="K8731" s="1063"/>
      <c r="L8731" s="1063"/>
    </row>
    <row r="8732" spans="5:12" x14ac:dyDescent="0.2">
      <c r="E8732" s="1063"/>
      <c r="H8732" s="1066"/>
      <c r="I8732" s="1063"/>
      <c r="J8732" s="1063"/>
      <c r="K8732" s="1063"/>
      <c r="L8732" s="1063"/>
    </row>
    <row r="8733" spans="5:12" x14ac:dyDescent="0.2">
      <c r="E8733" s="1063"/>
      <c r="H8733" s="1066"/>
      <c r="I8733" s="1063"/>
      <c r="J8733" s="1063"/>
      <c r="K8733" s="1063"/>
      <c r="L8733" s="1063"/>
    </row>
    <row r="8734" spans="5:12" x14ac:dyDescent="0.2">
      <c r="E8734" s="1063"/>
      <c r="H8734" s="1066"/>
      <c r="I8734" s="1063"/>
      <c r="J8734" s="1063"/>
      <c r="K8734" s="1063"/>
      <c r="L8734" s="1063"/>
    </row>
    <row r="8735" spans="5:12" x14ac:dyDescent="0.2">
      <c r="E8735" s="1063"/>
      <c r="H8735" s="1066"/>
      <c r="I8735" s="1063"/>
      <c r="J8735" s="1063"/>
      <c r="K8735" s="1063"/>
      <c r="L8735" s="1063"/>
    </row>
    <row r="8736" spans="5:12" x14ac:dyDescent="0.2">
      <c r="E8736" s="1063"/>
      <c r="H8736" s="1066"/>
      <c r="I8736" s="1063"/>
      <c r="J8736" s="1063"/>
      <c r="K8736" s="1063"/>
      <c r="L8736" s="1063"/>
    </row>
    <row r="8737" spans="5:12" x14ac:dyDescent="0.2">
      <c r="E8737" s="1063"/>
      <c r="H8737" s="1066"/>
      <c r="I8737" s="1063"/>
      <c r="J8737" s="1063"/>
      <c r="K8737" s="1063"/>
      <c r="L8737" s="1063"/>
    </row>
    <row r="8738" spans="5:12" x14ac:dyDescent="0.2">
      <c r="E8738" s="1063"/>
      <c r="H8738" s="1066"/>
      <c r="I8738" s="1063"/>
      <c r="J8738" s="1063"/>
      <c r="K8738" s="1063"/>
      <c r="L8738" s="1063"/>
    </row>
    <row r="8739" spans="5:12" x14ac:dyDescent="0.2">
      <c r="E8739" s="1063"/>
      <c r="H8739" s="1066"/>
      <c r="I8739" s="1063"/>
      <c r="J8739" s="1063"/>
      <c r="K8739" s="1063"/>
      <c r="L8739" s="1063"/>
    </row>
    <row r="8740" spans="5:12" x14ac:dyDescent="0.2">
      <c r="E8740" s="1063"/>
      <c r="H8740" s="1066"/>
      <c r="I8740" s="1063"/>
      <c r="J8740" s="1063"/>
      <c r="K8740" s="1063"/>
      <c r="L8740" s="1063"/>
    </row>
    <row r="8741" spans="5:12" x14ac:dyDescent="0.2">
      <c r="E8741" s="1063"/>
      <c r="H8741" s="1066"/>
      <c r="I8741" s="1063"/>
      <c r="J8741" s="1063"/>
      <c r="K8741" s="1063"/>
      <c r="L8741" s="1063"/>
    </row>
    <row r="8742" spans="5:12" x14ac:dyDescent="0.2">
      <c r="E8742" s="1063"/>
      <c r="H8742" s="1066"/>
      <c r="I8742" s="1063"/>
      <c r="J8742" s="1063"/>
      <c r="K8742" s="1063"/>
      <c r="L8742" s="1063"/>
    </row>
    <row r="8743" spans="5:12" x14ac:dyDescent="0.2">
      <c r="E8743" s="1063"/>
      <c r="H8743" s="1066"/>
      <c r="I8743" s="1063"/>
      <c r="J8743" s="1063"/>
      <c r="K8743" s="1063"/>
      <c r="L8743" s="1063"/>
    </row>
    <row r="8744" spans="5:12" x14ac:dyDescent="0.2">
      <c r="E8744" s="1063"/>
      <c r="H8744" s="1066"/>
      <c r="I8744" s="1063"/>
      <c r="J8744" s="1063"/>
      <c r="K8744" s="1063"/>
      <c r="L8744" s="1063"/>
    </row>
    <row r="8745" spans="5:12" x14ac:dyDescent="0.2">
      <c r="E8745" s="1063"/>
      <c r="H8745" s="1066"/>
      <c r="I8745" s="1063"/>
      <c r="J8745" s="1063"/>
      <c r="K8745" s="1063"/>
      <c r="L8745" s="1063"/>
    </row>
    <row r="8746" spans="5:12" x14ac:dyDescent="0.2">
      <c r="E8746" s="1063"/>
      <c r="H8746" s="1066"/>
      <c r="I8746" s="1063"/>
      <c r="J8746" s="1063"/>
      <c r="K8746" s="1063"/>
      <c r="L8746" s="1063"/>
    </row>
    <row r="8747" spans="5:12" x14ac:dyDescent="0.2">
      <c r="E8747" s="1063"/>
      <c r="H8747" s="1066"/>
      <c r="I8747" s="1063"/>
      <c r="J8747" s="1063"/>
      <c r="K8747" s="1063"/>
      <c r="L8747" s="1063"/>
    </row>
    <row r="8748" spans="5:12" x14ac:dyDescent="0.2">
      <c r="E8748" s="1063"/>
      <c r="H8748" s="1066"/>
      <c r="I8748" s="1063"/>
      <c r="J8748" s="1063"/>
      <c r="K8748" s="1063"/>
      <c r="L8748" s="1063"/>
    </row>
    <row r="8749" spans="5:12" x14ac:dyDescent="0.2">
      <c r="E8749" s="1063"/>
      <c r="H8749" s="1066"/>
      <c r="I8749" s="1063"/>
      <c r="J8749" s="1063"/>
      <c r="K8749" s="1063"/>
      <c r="L8749" s="1063"/>
    </row>
    <row r="8750" spans="5:12" x14ac:dyDescent="0.2">
      <c r="E8750" s="1063"/>
      <c r="H8750" s="1066"/>
      <c r="I8750" s="1063"/>
      <c r="J8750" s="1063"/>
      <c r="K8750" s="1063"/>
      <c r="L8750" s="1063"/>
    </row>
    <row r="8751" spans="5:12" x14ac:dyDescent="0.2">
      <c r="E8751" s="1063"/>
      <c r="H8751" s="1066"/>
      <c r="I8751" s="1063"/>
      <c r="J8751" s="1063"/>
      <c r="K8751" s="1063"/>
      <c r="L8751" s="1063"/>
    </row>
    <row r="8752" spans="5:12" x14ac:dyDescent="0.2">
      <c r="E8752" s="1063"/>
      <c r="H8752" s="1066"/>
      <c r="I8752" s="1063"/>
      <c r="J8752" s="1063"/>
      <c r="K8752" s="1063"/>
      <c r="L8752" s="1063"/>
    </row>
    <row r="8753" spans="5:12" x14ac:dyDescent="0.2">
      <c r="E8753" s="1063"/>
      <c r="H8753" s="1066"/>
      <c r="I8753" s="1063"/>
      <c r="J8753" s="1063"/>
      <c r="K8753" s="1063"/>
      <c r="L8753" s="1063"/>
    </row>
    <row r="8754" spans="5:12" x14ac:dyDescent="0.2">
      <c r="E8754" s="1063"/>
      <c r="H8754" s="1066"/>
      <c r="I8754" s="1063"/>
      <c r="J8754" s="1063"/>
      <c r="K8754" s="1063"/>
      <c r="L8754" s="1063"/>
    </row>
    <row r="8755" spans="5:12" x14ac:dyDescent="0.2">
      <c r="E8755" s="1063"/>
      <c r="H8755" s="1066"/>
      <c r="I8755" s="1063"/>
      <c r="J8755" s="1063"/>
      <c r="K8755" s="1063"/>
      <c r="L8755" s="1063"/>
    </row>
    <row r="8756" spans="5:12" x14ac:dyDescent="0.2">
      <c r="E8756" s="1063"/>
      <c r="H8756" s="1066"/>
      <c r="I8756" s="1063"/>
      <c r="J8756" s="1063"/>
      <c r="K8756" s="1063"/>
      <c r="L8756" s="1063"/>
    </row>
    <row r="8757" spans="5:12" x14ac:dyDescent="0.2">
      <c r="E8757" s="1063"/>
      <c r="H8757" s="1066"/>
      <c r="I8757" s="1063"/>
      <c r="J8757" s="1063"/>
      <c r="K8757" s="1063"/>
      <c r="L8757" s="1063"/>
    </row>
    <row r="8758" spans="5:12" x14ac:dyDescent="0.2">
      <c r="E8758" s="1063"/>
      <c r="H8758" s="1066"/>
      <c r="I8758" s="1063"/>
      <c r="J8758" s="1063"/>
      <c r="K8758" s="1063"/>
      <c r="L8758" s="1063"/>
    </row>
    <row r="8759" spans="5:12" x14ac:dyDescent="0.2">
      <c r="E8759" s="1063"/>
      <c r="H8759" s="1066"/>
      <c r="I8759" s="1063"/>
      <c r="J8759" s="1063"/>
      <c r="K8759" s="1063"/>
      <c r="L8759" s="1063"/>
    </row>
    <row r="8760" spans="5:12" x14ac:dyDescent="0.2">
      <c r="E8760" s="1063"/>
      <c r="H8760" s="1066"/>
      <c r="I8760" s="1063"/>
      <c r="J8760" s="1063"/>
      <c r="K8760" s="1063"/>
      <c r="L8760" s="1063"/>
    </row>
    <row r="8761" spans="5:12" x14ac:dyDescent="0.2">
      <c r="E8761" s="1063"/>
      <c r="H8761" s="1066"/>
      <c r="I8761" s="1063"/>
      <c r="J8761" s="1063"/>
      <c r="K8761" s="1063"/>
      <c r="L8761" s="1063"/>
    </row>
    <row r="8762" spans="5:12" x14ac:dyDescent="0.2">
      <c r="E8762" s="1063"/>
      <c r="H8762" s="1066"/>
      <c r="I8762" s="1063"/>
      <c r="J8762" s="1063"/>
      <c r="K8762" s="1063"/>
      <c r="L8762" s="1063"/>
    </row>
    <row r="8763" spans="5:12" x14ac:dyDescent="0.2">
      <c r="E8763" s="1063"/>
      <c r="H8763" s="1066"/>
      <c r="I8763" s="1063"/>
      <c r="J8763" s="1063"/>
      <c r="K8763" s="1063"/>
      <c r="L8763" s="1063"/>
    </row>
    <row r="8764" spans="5:12" x14ac:dyDescent="0.2">
      <c r="E8764" s="1063"/>
      <c r="H8764" s="1066"/>
      <c r="I8764" s="1063"/>
      <c r="J8764" s="1063"/>
      <c r="K8764" s="1063"/>
      <c r="L8764" s="1063"/>
    </row>
    <row r="8765" spans="5:12" x14ac:dyDescent="0.2">
      <c r="E8765" s="1063"/>
      <c r="H8765" s="1066"/>
      <c r="I8765" s="1063"/>
      <c r="J8765" s="1063"/>
      <c r="K8765" s="1063"/>
      <c r="L8765" s="1063"/>
    </row>
    <row r="8766" spans="5:12" x14ac:dyDescent="0.2">
      <c r="E8766" s="1063"/>
      <c r="H8766" s="1066"/>
      <c r="I8766" s="1063"/>
      <c r="J8766" s="1063"/>
      <c r="K8766" s="1063"/>
      <c r="L8766" s="1063"/>
    </row>
    <row r="8767" spans="5:12" x14ac:dyDescent="0.2">
      <c r="E8767" s="1063"/>
      <c r="H8767" s="1066"/>
      <c r="I8767" s="1063"/>
      <c r="J8767" s="1063"/>
      <c r="K8767" s="1063"/>
      <c r="L8767" s="1063"/>
    </row>
    <row r="8768" spans="5:12" x14ac:dyDescent="0.2">
      <c r="E8768" s="1063"/>
      <c r="H8768" s="1066"/>
      <c r="I8768" s="1063"/>
      <c r="J8768" s="1063"/>
      <c r="K8768" s="1063"/>
      <c r="L8768" s="1063"/>
    </row>
    <row r="8769" spans="5:12" x14ac:dyDescent="0.2">
      <c r="E8769" s="1063"/>
      <c r="H8769" s="1066"/>
      <c r="I8769" s="1063"/>
      <c r="J8769" s="1063"/>
      <c r="K8769" s="1063"/>
      <c r="L8769" s="1063"/>
    </row>
    <row r="8770" spans="5:12" x14ac:dyDescent="0.2">
      <c r="E8770" s="1063"/>
      <c r="H8770" s="1066"/>
      <c r="I8770" s="1063"/>
      <c r="J8770" s="1063"/>
      <c r="K8770" s="1063"/>
      <c r="L8770" s="1063"/>
    </row>
    <row r="8771" spans="5:12" x14ac:dyDescent="0.2">
      <c r="E8771" s="1063"/>
      <c r="H8771" s="1066"/>
      <c r="I8771" s="1063"/>
      <c r="J8771" s="1063"/>
      <c r="K8771" s="1063"/>
      <c r="L8771" s="1063"/>
    </row>
    <row r="8772" spans="5:12" x14ac:dyDescent="0.2">
      <c r="E8772" s="1063"/>
      <c r="H8772" s="1066"/>
      <c r="I8772" s="1063"/>
      <c r="J8772" s="1063"/>
      <c r="K8772" s="1063"/>
      <c r="L8772" s="1063"/>
    </row>
    <row r="8773" spans="5:12" x14ac:dyDescent="0.2">
      <c r="E8773" s="1063"/>
      <c r="H8773" s="1066"/>
      <c r="I8773" s="1063"/>
      <c r="J8773" s="1063"/>
      <c r="K8773" s="1063"/>
      <c r="L8773" s="1063"/>
    </row>
    <row r="8774" spans="5:12" x14ac:dyDescent="0.2">
      <c r="E8774" s="1063"/>
      <c r="H8774" s="1066"/>
      <c r="I8774" s="1063"/>
      <c r="J8774" s="1063"/>
      <c r="K8774" s="1063"/>
      <c r="L8774" s="1063"/>
    </row>
    <row r="8775" spans="5:12" x14ac:dyDescent="0.2">
      <c r="E8775" s="1063"/>
      <c r="H8775" s="1066"/>
      <c r="I8775" s="1063"/>
      <c r="J8775" s="1063"/>
      <c r="K8775" s="1063"/>
      <c r="L8775" s="1063"/>
    </row>
    <row r="8776" spans="5:12" x14ac:dyDescent="0.2">
      <c r="E8776" s="1063"/>
      <c r="H8776" s="1066"/>
      <c r="I8776" s="1063"/>
      <c r="J8776" s="1063"/>
      <c r="K8776" s="1063"/>
      <c r="L8776" s="1063"/>
    </row>
    <row r="8777" spans="5:12" x14ac:dyDescent="0.2">
      <c r="E8777" s="1063"/>
      <c r="H8777" s="1066"/>
      <c r="I8777" s="1063"/>
      <c r="J8777" s="1063"/>
      <c r="K8777" s="1063"/>
      <c r="L8777" s="1063"/>
    </row>
    <row r="8778" spans="5:12" x14ac:dyDescent="0.2">
      <c r="E8778" s="1063"/>
      <c r="H8778" s="1066"/>
      <c r="I8778" s="1063"/>
      <c r="J8778" s="1063"/>
      <c r="K8778" s="1063"/>
      <c r="L8778" s="1063"/>
    </row>
    <row r="8779" spans="5:12" x14ac:dyDescent="0.2">
      <c r="E8779" s="1063"/>
      <c r="H8779" s="1066"/>
      <c r="I8779" s="1063"/>
      <c r="J8779" s="1063"/>
      <c r="K8779" s="1063"/>
      <c r="L8779" s="1063"/>
    </row>
    <row r="8780" spans="5:12" x14ac:dyDescent="0.2">
      <c r="E8780" s="1063"/>
      <c r="H8780" s="1066"/>
      <c r="I8780" s="1063"/>
      <c r="J8780" s="1063"/>
      <c r="K8780" s="1063"/>
      <c r="L8780" s="1063"/>
    </row>
    <row r="8781" spans="5:12" x14ac:dyDescent="0.2">
      <c r="E8781" s="1063"/>
      <c r="H8781" s="1066"/>
      <c r="I8781" s="1063"/>
      <c r="J8781" s="1063"/>
      <c r="K8781" s="1063"/>
      <c r="L8781" s="1063"/>
    </row>
    <row r="8782" spans="5:12" x14ac:dyDescent="0.2">
      <c r="E8782" s="1063"/>
      <c r="H8782" s="1066"/>
      <c r="I8782" s="1063"/>
      <c r="J8782" s="1063"/>
      <c r="K8782" s="1063"/>
      <c r="L8782" s="1063"/>
    </row>
    <row r="8783" spans="5:12" x14ac:dyDescent="0.2">
      <c r="E8783" s="1063"/>
      <c r="H8783" s="1066"/>
      <c r="I8783" s="1063"/>
      <c r="J8783" s="1063"/>
      <c r="K8783" s="1063"/>
      <c r="L8783" s="1063"/>
    </row>
    <row r="8784" spans="5:12" x14ac:dyDescent="0.2">
      <c r="E8784" s="1063"/>
      <c r="H8784" s="1066"/>
      <c r="I8784" s="1063"/>
      <c r="J8784" s="1063"/>
      <c r="K8784" s="1063"/>
      <c r="L8784" s="1063"/>
    </row>
    <row r="8785" spans="5:12" x14ac:dyDescent="0.2">
      <c r="E8785" s="1063"/>
      <c r="H8785" s="1066"/>
      <c r="I8785" s="1063"/>
      <c r="J8785" s="1063"/>
      <c r="K8785" s="1063"/>
      <c r="L8785" s="1063"/>
    </row>
    <row r="8786" spans="5:12" x14ac:dyDescent="0.2">
      <c r="E8786" s="1063"/>
      <c r="H8786" s="1066"/>
      <c r="I8786" s="1063"/>
      <c r="J8786" s="1063"/>
      <c r="K8786" s="1063"/>
      <c r="L8786" s="1063"/>
    </row>
    <row r="8787" spans="5:12" x14ac:dyDescent="0.2">
      <c r="E8787" s="1063"/>
      <c r="H8787" s="1066"/>
      <c r="I8787" s="1063"/>
      <c r="J8787" s="1063"/>
      <c r="K8787" s="1063"/>
      <c r="L8787" s="1063"/>
    </row>
    <row r="8788" spans="5:12" x14ac:dyDescent="0.2">
      <c r="E8788" s="1063"/>
      <c r="H8788" s="1066"/>
      <c r="I8788" s="1063"/>
      <c r="J8788" s="1063"/>
      <c r="K8788" s="1063"/>
      <c r="L8788" s="1063"/>
    </row>
    <row r="8789" spans="5:12" x14ac:dyDescent="0.2">
      <c r="E8789" s="1063"/>
      <c r="H8789" s="1066"/>
      <c r="I8789" s="1063"/>
      <c r="J8789" s="1063"/>
      <c r="K8789" s="1063"/>
      <c r="L8789" s="1063"/>
    </row>
    <row r="8790" spans="5:12" x14ac:dyDescent="0.2">
      <c r="E8790" s="1063"/>
      <c r="H8790" s="1066"/>
      <c r="I8790" s="1063"/>
      <c r="J8790" s="1063"/>
      <c r="K8790" s="1063"/>
      <c r="L8790" s="1063"/>
    </row>
    <row r="8791" spans="5:12" x14ac:dyDescent="0.2">
      <c r="E8791" s="1063"/>
      <c r="H8791" s="1066"/>
      <c r="I8791" s="1063"/>
      <c r="J8791" s="1063"/>
      <c r="K8791" s="1063"/>
      <c r="L8791" s="1063"/>
    </row>
    <row r="8792" spans="5:12" x14ac:dyDescent="0.2">
      <c r="E8792" s="1063"/>
      <c r="H8792" s="1066"/>
      <c r="I8792" s="1063"/>
      <c r="J8792" s="1063"/>
      <c r="K8792" s="1063"/>
      <c r="L8792" s="1063"/>
    </row>
    <row r="8793" spans="5:12" x14ac:dyDescent="0.2">
      <c r="E8793" s="1063"/>
      <c r="H8793" s="1066"/>
      <c r="I8793" s="1063"/>
      <c r="J8793" s="1063"/>
      <c r="K8793" s="1063"/>
      <c r="L8793" s="1063"/>
    </row>
    <row r="8794" spans="5:12" x14ac:dyDescent="0.2">
      <c r="E8794" s="1063"/>
      <c r="H8794" s="1066"/>
      <c r="I8794" s="1063"/>
      <c r="J8794" s="1063"/>
      <c r="K8794" s="1063"/>
      <c r="L8794" s="1063"/>
    </row>
    <row r="8795" spans="5:12" x14ac:dyDescent="0.2">
      <c r="E8795" s="1063"/>
      <c r="H8795" s="1066"/>
      <c r="I8795" s="1063"/>
      <c r="J8795" s="1063"/>
      <c r="K8795" s="1063"/>
      <c r="L8795" s="1063"/>
    </row>
    <row r="8796" spans="5:12" x14ac:dyDescent="0.2">
      <c r="E8796" s="1063"/>
      <c r="H8796" s="1066"/>
      <c r="I8796" s="1063"/>
      <c r="J8796" s="1063"/>
      <c r="K8796" s="1063"/>
      <c r="L8796" s="1063"/>
    </row>
    <row r="8797" spans="5:12" x14ac:dyDescent="0.2">
      <c r="E8797" s="1063"/>
      <c r="H8797" s="1066"/>
      <c r="I8797" s="1063"/>
      <c r="J8797" s="1063"/>
      <c r="K8797" s="1063"/>
      <c r="L8797" s="1063"/>
    </row>
    <row r="8798" spans="5:12" x14ac:dyDescent="0.2">
      <c r="E8798" s="1063"/>
      <c r="H8798" s="1066"/>
      <c r="I8798" s="1063"/>
      <c r="J8798" s="1063"/>
      <c r="K8798" s="1063"/>
      <c r="L8798" s="1063"/>
    </row>
    <row r="8799" spans="5:12" x14ac:dyDescent="0.2">
      <c r="E8799" s="1063"/>
      <c r="H8799" s="1066"/>
      <c r="I8799" s="1063"/>
      <c r="J8799" s="1063"/>
      <c r="K8799" s="1063"/>
      <c r="L8799" s="1063"/>
    </row>
    <row r="8800" spans="5:12" x14ac:dyDescent="0.2">
      <c r="E8800" s="1063"/>
      <c r="H8800" s="1066"/>
      <c r="I8800" s="1063"/>
      <c r="J8800" s="1063"/>
      <c r="K8800" s="1063"/>
      <c r="L8800" s="1063"/>
    </row>
    <row r="8801" spans="5:12" x14ac:dyDescent="0.2">
      <c r="E8801" s="1063"/>
      <c r="H8801" s="1066"/>
      <c r="I8801" s="1063"/>
      <c r="J8801" s="1063"/>
      <c r="K8801" s="1063"/>
      <c r="L8801" s="1063"/>
    </row>
    <row r="8802" spans="5:12" x14ac:dyDescent="0.2">
      <c r="E8802" s="1063"/>
      <c r="H8802" s="1066"/>
      <c r="I8802" s="1063"/>
      <c r="J8802" s="1063"/>
      <c r="K8802" s="1063"/>
      <c r="L8802" s="1063"/>
    </row>
    <row r="8803" spans="5:12" x14ac:dyDescent="0.2">
      <c r="E8803" s="1063"/>
      <c r="H8803" s="1066"/>
      <c r="I8803" s="1063"/>
      <c r="J8803" s="1063"/>
      <c r="K8803" s="1063"/>
      <c r="L8803" s="1063"/>
    </row>
    <row r="8804" spans="5:12" x14ac:dyDescent="0.2">
      <c r="E8804" s="1063"/>
      <c r="H8804" s="1066"/>
      <c r="I8804" s="1063"/>
      <c r="J8804" s="1063"/>
      <c r="K8804" s="1063"/>
      <c r="L8804" s="1063"/>
    </row>
    <row r="8805" spans="5:12" x14ac:dyDescent="0.2">
      <c r="E8805" s="1063"/>
      <c r="H8805" s="1066"/>
      <c r="I8805" s="1063"/>
      <c r="J8805" s="1063"/>
      <c r="K8805" s="1063"/>
      <c r="L8805" s="1063"/>
    </row>
    <row r="8806" spans="5:12" x14ac:dyDescent="0.2">
      <c r="E8806" s="1063"/>
      <c r="H8806" s="1066"/>
      <c r="I8806" s="1063"/>
      <c r="J8806" s="1063"/>
      <c r="K8806" s="1063"/>
      <c r="L8806" s="1063"/>
    </row>
    <row r="8807" spans="5:12" x14ac:dyDescent="0.2">
      <c r="E8807" s="1063"/>
      <c r="H8807" s="1066"/>
      <c r="I8807" s="1063"/>
      <c r="J8807" s="1063"/>
      <c r="K8807" s="1063"/>
      <c r="L8807" s="1063"/>
    </row>
    <row r="8808" spans="5:12" x14ac:dyDescent="0.2">
      <c r="E8808" s="1063"/>
      <c r="H8808" s="1066"/>
      <c r="I8808" s="1063"/>
      <c r="J8808" s="1063"/>
      <c r="K8808" s="1063"/>
      <c r="L8808" s="1063"/>
    </row>
    <row r="8809" spans="5:12" x14ac:dyDescent="0.2">
      <c r="E8809" s="1063"/>
      <c r="H8809" s="1066"/>
      <c r="I8809" s="1063"/>
      <c r="J8809" s="1063"/>
      <c r="K8809" s="1063"/>
      <c r="L8809" s="1063"/>
    </row>
    <row r="8810" spans="5:12" x14ac:dyDescent="0.2">
      <c r="E8810" s="1063"/>
      <c r="H8810" s="1066"/>
      <c r="I8810" s="1063"/>
      <c r="J8810" s="1063"/>
      <c r="K8810" s="1063"/>
      <c r="L8810" s="1063"/>
    </row>
    <row r="8811" spans="5:12" x14ac:dyDescent="0.2">
      <c r="E8811" s="1063"/>
      <c r="H8811" s="1066"/>
      <c r="I8811" s="1063"/>
      <c r="J8811" s="1063"/>
      <c r="K8811" s="1063"/>
      <c r="L8811" s="1063"/>
    </row>
    <row r="8812" spans="5:12" x14ac:dyDescent="0.2">
      <c r="E8812" s="1063"/>
      <c r="H8812" s="1066"/>
      <c r="I8812" s="1063"/>
      <c r="J8812" s="1063"/>
      <c r="K8812" s="1063"/>
      <c r="L8812" s="1063"/>
    </row>
    <row r="8813" spans="5:12" x14ac:dyDescent="0.2">
      <c r="E8813" s="1063"/>
      <c r="H8813" s="1066"/>
      <c r="I8813" s="1063"/>
      <c r="J8813" s="1063"/>
      <c r="K8813" s="1063"/>
      <c r="L8813" s="1063"/>
    </row>
    <row r="8814" spans="5:12" x14ac:dyDescent="0.2">
      <c r="E8814" s="1063"/>
      <c r="H8814" s="1066"/>
      <c r="I8814" s="1063"/>
      <c r="J8814" s="1063"/>
      <c r="K8814" s="1063"/>
      <c r="L8814" s="1063"/>
    </row>
    <row r="8815" spans="5:12" x14ac:dyDescent="0.2">
      <c r="E8815" s="1063"/>
      <c r="H8815" s="1066"/>
      <c r="I8815" s="1063"/>
      <c r="J8815" s="1063"/>
      <c r="K8815" s="1063"/>
      <c r="L8815" s="1063"/>
    </row>
    <row r="8816" spans="5:12" x14ac:dyDescent="0.2">
      <c r="E8816" s="1063"/>
      <c r="H8816" s="1066"/>
      <c r="I8816" s="1063"/>
      <c r="J8816" s="1063"/>
      <c r="K8816" s="1063"/>
      <c r="L8816" s="1063"/>
    </row>
    <row r="8817" spans="5:12" x14ac:dyDescent="0.2">
      <c r="E8817" s="1063"/>
      <c r="H8817" s="1066"/>
      <c r="I8817" s="1063"/>
      <c r="J8817" s="1063"/>
      <c r="K8817" s="1063"/>
      <c r="L8817" s="1063"/>
    </row>
    <row r="8818" spans="5:12" x14ac:dyDescent="0.2">
      <c r="E8818" s="1063"/>
      <c r="H8818" s="1066"/>
      <c r="I8818" s="1063"/>
      <c r="J8818" s="1063"/>
      <c r="K8818" s="1063"/>
      <c r="L8818" s="1063"/>
    </row>
    <row r="8819" spans="5:12" x14ac:dyDescent="0.2">
      <c r="E8819" s="1063"/>
      <c r="H8819" s="1066"/>
      <c r="I8819" s="1063"/>
      <c r="J8819" s="1063"/>
      <c r="K8819" s="1063"/>
      <c r="L8819" s="1063"/>
    </row>
    <row r="8820" spans="5:12" x14ac:dyDescent="0.2">
      <c r="E8820" s="1063"/>
      <c r="H8820" s="1066"/>
      <c r="I8820" s="1063"/>
      <c r="J8820" s="1063"/>
      <c r="K8820" s="1063"/>
      <c r="L8820" s="1063"/>
    </row>
    <row r="8821" spans="5:12" x14ac:dyDescent="0.2">
      <c r="E8821" s="1063"/>
      <c r="H8821" s="1066"/>
      <c r="I8821" s="1063"/>
      <c r="J8821" s="1063"/>
      <c r="K8821" s="1063"/>
      <c r="L8821" s="1063"/>
    </row>
    <row r="8822" spans="5:12" x14ac:dyDescent="0.2">
      <c r="E8822" s="1063"/>
      <c r="H8822" s="1066"/>
      <c r="I8822" s="1063"/>
      <c r="J8822" s="1063"/>
      <c r="K8822" s="1063"/>
      <c r="L8822" s="1063"/>
    </row>
    <row r="8823" spans="5:12" x14ac:dyDescent="0.2">
      <c r="E8823" s="1063"/>
      <c r="H8823" s="1066"/>
      <c r="I8823" s="1063"/>
      <c r="J8823" s="1063"/>
      <c r="K8823" s="1063"/>
      <c r="L8823" s="1063"/>
    </row>
    <row r="8824" spans="5:12" x14ac:dyDescent="0.2">
      <c r="E8824" s="1063"/>
      <c r="H8824" s="1066"/>
      <c r="I8824" s="1063"/>
      <c r="J8824" s="1063"/>
      <c r="K8824" s="1063"/>
      <c r="L8824" s="1063"/>
    </row>
    <row r="8825" spans="5:12" x14ac:dyDescent="0.2">
      <c r="E8825" s="1063"/>
      <c r="H8825" s="1066"/>
      <c r="I8825" s="1063"/>
      <c r="J8825" s="1063"/>
      <c r="K8825" s="1063"/>
      <c r="L8825" s="1063"/>
    </row>
    <row r="8826" spans="5:12" x14ac:dyDescent="0.2">
      <c r="E8826" s="1063"/>
      <c r="H8826" s="1066"/>
      <c r="I8826" s="1063"/>
      <c r="J8826" s="1063"/>
      <c r="K8826" s="1063"/>
      <c r="L8826" s="1063"/>
    </row>
    <row r="8827" spans="5:12" x14ac:dyDescent="0.2">
      <c r="E8827" s="1063"/>
      <c r="H8827" s="1066"/>
      <c r="I8827" s="1063"/>
      <c r="J8827" s="1063"/>
      <c r="K8827" s="1063"/>
      <c r="L8827" s="1063"/>
    </row>
    <row r="8828" spans="5:12" x14ac:dyDescent="0.2">
      <c r="E8828" s="1063"/>
      <c r="H8828" s="1066"/>
      <c r="I8828" s="1063"/>
      <c r="J8828" s="1063"/>
      <c r="K8828" s="1063"/>
      <c r="L8828" s="1063"/>
    </row>
    <row r="8829" spans="5:12" x14ac:dyDescent="0.2">
      <c r="E8829" s="1063"/>
      <c r="H8829" s="1066"/>
      <c r="I8829" s="1063"/>
      <c r="J8829" s="1063"/>
      <c r="K8829" s="1063"/>
      <c r="L8829" s="1063"/>
    </row>
    <row r="8830" spans="5:12" x14ac:dyDescent="0.2">
      <c r="E8830" s="1063"/>
      <c r="H8830" s="1066"/>
      <c r="I8830" s="1063"/>
      <c r="J8830" s="1063"/>
      <c r="K8830" s="1063"/>
      <c r="L8830" s="1063"/>
    </row>
    <row r="8831" spans="5:12" x14ac:dyDescent="0.2">
      <c r="E8831" s="1063"/>
      <c r="H8831" s="1066"/>
      <c r="I8831" s="1063"/>
      <c r="J8831" s="1063"/>
      <c r="K8831" s="1063"/>
      <c r="L8831" s="1063"/>
    </row>
    <row r="8832" spans="5:12" x14ac:dyDescent="0.2">
      <c r="E8832" s="1063"/>
      <c r="H8832" s="1066"/>
      <c r="I8832" s="1063"/>
      <c r="J8832" s="1063"/>
      <c r="K8832" s="1063"/>
      <c r="L8832" s="1063"/>
    </row>
    <row r="8833" spans="5:12" x14ac:dyDescent="0.2">
      <c r="E8833" s="1063"/>
      <c r="H8833" s="1066"/>
      <c r="I8833" s="1063"/>
      <c r="J8833" s="1063"/>
      <c r="K8833" s="1063"/>
      <c r="L8833" s="1063"/>
    </row>
    <row r="8834" spans="5:12" x14ac:dyDescent="0.2">
      <c r="E8834" s="1063"/>
      <c r="H8834" s="1066"/>
      <c r="I8834" s="1063"/>
      <c r="J8834" s="1063"/>
      <c r="K8834" s="1063"/>
      <c r="L8834" s="1063"/>
    </row>
    <row r="8835" spans="5:12" x14ac:dyDescent="0.2">
      <c r="E8835" s="1063"/>
      <c r="H8835" s="1066"/>
      <c r="I8835" s="1063"/>
      <c r="J8835" s="1063"/>
      <c r="K8835" s="1063"/>
      <c r="L8835" s="1063"/>
    </row>
    <row r="8836" spans="5:12" x14ac:dyDescent="0.2">
      <c r="E8836" s="1063"/>
      <c r="H8836" s="1066"/>
      <c r="I8836" s="1063"/>
      <c r="J8836" s="1063"/>
      <c r="K8836" s="1063"/>
      <c r="L8836" s="1063"/>
    </row>
    <row r="8837" spans="5:12" x14ac:dyDescent="0.2">
      <c r="E8837" s="1063"/>
      <c r="H8837" s="1066"/>
      <c r="I8837" s="1063"/>
      <c r="J8837" s="1063"/>
      <c r="K8837" s="1063"/>
      <c r="L8837" s="1063"/>
    </row>
    <row r="8838" spans="5:12" x14ac:dyDescent="0.2">
      <c r="E8838" s="1063"/>
      <c r="H8838" s="1066"/>
      <c r="I8838" s="1063"/>
      <c r="J8838" s="1063"/>
      <c r="K8838" s="1063"/>
      <c r="L8838" s="1063"/>
    </row>
    <row r="8839" spans="5:12" x14ac:dyDescent="0.2">
      <c r="E8839" s="1063"/>
      <c r="H8839" s="1066"/>
      <c r="I8839" s="1063"/>
      <c r="J8839" s="1063"/>
      <c r="K8839" s="1063"/>
      <c r="L8839" s="1063"/>
    </row>
    <row r="8840" spans="5:12" x14ac:dyDescent="0.2">
      <c r="E8840" s="1063"/>
      <c r="H8840" s="1066"/>
      <c r="I8840" s="1063"/>
      <c r="J8840" s="1063"/>
      <c r="K8840" s="1063"/>
      <c r="L8840" s="1063"/>
    </row>
    <row r="8841" spans="5:12" x14ac:dyDescent="0.2">
      <c r="E8841" s="1063"/>
      <c r="H8841" s="1066"/>
      <c r="I8841" s="1063"/>
      <c r="J8841" s="1063"/>
      <c r="K8841" s="1063"/>
      <c r="L8841" s="1063"/>
    </row>
    <row r="8842" spans="5:12" x14ac:dyDescent="0.2">
      <c r="E8842" s="1063"/>
      <c r="H8842" s="1066"/>
      <c r="I8842" s="1063"/>
      <c r="J8842" s="1063"/>
      <c r="K8842" s="1063"/>
      <c r="L8842" s="1063"/>
    </row>
    <row r="8843" spans="5:12" x14ac:dyDescent="0.2">
      <c r="E8843" s="1063"/>
      <c r="H8843" s="1066"/>
      <c r="I8843" s="1063"/>
      <c r="J8843" s="1063"/>
      <c r="K8843" s="1063"/>
      <c r="L8843" s="1063"/>
    </row>
    <row r="8844" spans="5:12" x14ac:dyDescent="0.2">
      <c r="E8844" s="1063"/>
      <c r="H8844" s="1066"/>
      <c r="I8844" s="1063"/>
      <c r="J8844" s="1063"/>
      <c r="K8844" s="1063"/>
      <c r="L8844" s="1063"/>
    </row>
    <row r="8845" spans="5:12" x14ac:dyDescent="0.2">
      <c r="E8845" s="1063"/>
      <c r="H8845" s="1066"/>
      <c r="I8845" s="1063"/>
      <c r="J8845" s="1063"/>
      <c r="K8845" s="1063"/>
      <c r="L8845" s="1063"/>
    </row>
    <row r="8846" spans="5:12" x14ac:dyDescent="0.2">
      <c r="E8846" s="1063"/>
      <c r="H8846" s="1066"/>
      <c r="I8846" s="1063"/>
      <c r="J8846" s="1063"/>
      <c r="K8846" s="1063"/>
      <c r="L8846" s="1063"/>
    </row>
    <row r="8847" spans="5:12" x14ac:dyDescent="0.2">
      <c r="E8847" s="1063"/>
      <c r="H8847" s="1066"/>
      <c r="I8847" s="1063"/>
      <c r="J8847" s="1063"/>
      <c r="K8847" s="1063"/>
      <c r="L8847" s="1063"/>
    </row>
    <row r="8848" spans="5:12" x14ac:dyDescent="0.2">
      <c r="E8848" s="1063"/>
      <c r="H8848" s="1066"/>
      <c r="I8848" s="1063"/>
      <c r="J8848" s="1063"/>
      <c r="K8848" s="1063"/>
      <c r="L8848" s="1063"/>
    </row>
    <row r="8849" spans="5:12" x14ac:dyDescent="0.2">
      <c r="E8849" s="1063"/>
      <c r="H8849" s="1066"/>
      <c r="I8849" s="1063"/>
      <c r="J8849" s="1063"/>
      <c r="K8849" s="1063"/>
      <c r="L8849" s="1063"/>
    </row>
    <row r="8850" spans="5:12" x14ac:dyDescent="0.2">
      <c r="E8850" s="1063"/>
      <c r="H8850" s="1066"/>
      <c r="I8850" s="1063"/>
      <c r="J8850" s="1063"/>
      <c r="K8850" s="1063"/>
      <c r="L8850" s="1063"/>
    </row>
    <row r="8851" spans="5:12" x14ac:dyDescent="0.2">
      <c r="E8851" s="1063"/>
      <c r="H8851" s="1066"/>
      <c r="I8851" s="1063"/>
      <c r="J8851" s="1063"/>
      <c r="K8851" s="1063"/>
      <c r="L8851" s="1063"/>
    </row>
    <row r="8852" spans="5:12" x14ac:dyDescent="0.2">
      <c r="E8852" s="1063"/>
      <c r="H8852" s="1066"/>
      <c r="I8852" s="1063"/>
      <c r="J8852" s="1063"/>
      <c r="K8852" s="1063"/>
      <c r="L8852" s="1063"/>
    </row>
    <row r="8853" spans="5:12" x14ac:dyDescent="0.2">
      <c r="E8853" s="1063"/>
      <c r="H8853" s="1066"/>
      <c r="I8853" s="1063"/>
      <c r="J8853" s="1063"/>
      <c r="K8853" s="1063"/>
      <c r="L8853" s="1063"/>
    </row>
    <row r="8854" spans="5:12" x14ac:dyDescent="0.2">
      <c r="E8854" s="1063"/>
      <c r="H8854" s="1066"/>
      <c r="I8854" s="1063"/>
      <c r="J8854" s="1063"/>
      <c r="K8854" s="1063"/>
      <c r="L8854" s="1063"/>
    </row>
    <row r="8855" spans="5:12" x14ac:dyDescent="0.2">
      <c r="E8855" s="1063"/>
      <c r="H8855" s="1066"/>
      <c r="I8855" s="1063"/>
      <c r="J8855" s="1063"/>
      <c r="K8855" s="1063"/>
      <c r="L8855" s="1063"/>
    </row>
    <row r="8856" spans="5:12" x14ac:dyDescent="0.2">
      <c r="E8856" s="1063"/>
      <c r="H8856" s="1066"/>
      <c r="I8856" s="1063"/>
      <c r="J8856" s="1063"/>
      <c r="K8856" s="1063"/>
      <c r="L8856" s="1063"/>
    </row>
    <row r="8857" spans="5:12" x14ac:dyDescent="0.2">
      <c r="E8857" s="1063"/>
      <c r="H8857" s="1066"/>
      <c r="I8857" s="1063"/>
      <c r="J8857" s="1063"/>
      <c r="K8857" s="1063"/>
      <c r="L8857" s="1063"/>
    </row>
    <row r="8858" spans="5:12" x14ac:dyDescent="0.2">
      <c r="E8858" s="1063"/>
      <c r="H8858" s="1066"/>
      <c r="I8858" s="1063"/>
      <c r="J8858" s="1063"/>
      <c r="K8858" s="1063"/>
      <c r="L8858" s="1063"/>
    </row>
    <row r="8859" spans="5:12" x14ac:dyDescent="0.2">
      <c r="E8859" s="1063"/>
      <c r="H8859" s="1066"/>
      <c r="I8859" s="1063"/>
      <c r="J8859" s="1063"/>
      <c r="K8859" s="1063"/>
      <c r="L8859" s="1063"/>
    </row>
    <row r="8860" spans="5:12" x14ac:dyDescent="0.2">
      <c r="E8860" s="1063"/>
      <c r="H8860" s="1066"/>
      <c r="I8860" s="1063"/>
      <c r="J8860" s="1063"/>
      <c r="K8860" s="1063"/>
      <c r="L8860" s="1063"/>
    </row>
    <row r="8861" spans="5:12" x14ac:dyDescent="0.2">
      <c r="E8861" s="1063"/>
      <c r="H8861" s="1066"/>
      <c r="I8861" s="1063"/>
      <c r="J8861" s="1063"/>
      <c r="K8861" s="1063"/>
      <c r="L8861" s="1063"/>
    </row>
    <row r="8862" spans="5:12" x14ac:dyDescent="0.2">
      <c r="E8862" s="1063"/>
      <c r="H8862" s="1066"/>
      <c r="I8862" s="1063"/>
      <c r="J8862" s="1063"/>
      <c r="K8862" s="1063"/>
      <c r="L8862" s="1063"/>
    </row>
    <row r="8863" spans="5:12" x14ac:dyDescent="0.2">
      <c r="E8863" s="1063"/>
      <c r="H8863" s="1066"/>
      <c r="I8863" s="1063"/>
      <c r="J8863" s="1063"/>
      <c r="K8863" s="1063"/>
      <c r="L8863" s="1063"/>
    </row>
    <row r="8864" spans="5:12" x14ac:dyDescent="0.2">
      <c r="E8864" s="1063"/>
      <c r="H8864" s="1066"/>
      <c r="I8864" s="1063"/>
      <c r="J8864" s="1063"/>
      <c r="K8864" s="1063"/>
      <c r="L8864" s="1063"/>
    </row>
    <row r="8865" spans="5:12" x14ac:dyDescent="0.2">
      <c r="E8865" s="1063"/>
      <c r="H8865" s="1066"/>
      <c r="I8865" s="1063"/>
      <c r="J8865" s="1063"/>
      <c r="K8865" s="1063"/>
      <c r="L8865" s="1063"/>
    </row>
    <row r="8866" spans="5:12" x14ac:dyDescent="0.2">
      <c r="E8866" s="1063"/>
      <c r="H8866" s="1066"/>
      <c r="I8866" s="1063"/>
      <c r="J8866" s="1063"/>
      <c r="K8866" s="1063"/>
      <c r="L8866" s="1063"/>
    </row>
    <row r="8867" spans="5:12" x14ac:dyDescent="0.2">
      <c r="E8867" s="1063"/>
      <c r="H8867" s="1066"/>
      <c r="I8867" s="1063"/>
      <c r="J8867" s="1063"/>
      <c r="K8867" s="1063"/>
      <c r="L8867" s="1063"/>
    </row>
    <row r="8868" spans="5:12" x14ac:dyDescent="0.2">
      <c r="E8868" s="1063"/>
      <c r="H8868" s="1066"/>
      <c r="I8868" s="1063"/>
      <c r="J8868" s="1063"/>
      <c r="K8868" s="1063"/>
      <c r="L8868" s="1063"/>
    </row>
    <row r="8869" spans="5:12" x14ac:dyDescent="0.2">
      <c r="E8869" s="1063"/>
      <c r="H8869" s="1066"/>
      <c r="I8869" s="1063"/>
      <c r="J8869" s="1063"/>
      <c r="K8869" s="1063"/>
      <c r="L8869" s="1063"/>
    </row>
    <row r="8870" spans="5:12" x14ac:dyDescent="0.2">
      <c r="E8870" s="1063"/>
      <c r="H8870" s="1066"/>
      <c r="I8870" s="1063"/>
      <c r="J8870" s="1063"/>
      <c r="K8870" s="1063"/>
      <c r="L8870" s="1063"/>
    </row>
    <row r="8871" spans="5:12" x14ac:dyDescent="0.2">
      <c r="E8871" s="1063"/>
      <c r="H8871" s="1066"/>
      <c r="I8871" s="1063"/>
      <c r="J8871" s="1063"/>
      <c r="K8871" s="1063"/>
      <c r="L8871" s="1063"/>
    </row>
    <row r="8872" spans="5:12" x14ac:dyDescent="0.2">
      <c r="E8872" s="1063"/>
      <c r="H8872" s="1066"/>
      <c r="I8872" s="1063"/>
      <c r="J8872" s="1063"/>
      <c r="K8872" s="1063"/>
      <c r="L8872" s="1063"/>
    </row>
    <row r="8873" spans="5:12" x14ac:dyDescent="0.2">
      <c r="E8873" s="1063"/>
      <c r="H8873" s="1066"/>
      <c r="I8873" s="1063"/>
      <c r="J8873" s="1063"/>
      <c r="K8873" s="1063"/>
      <c r="L8873" s="1063"/>
    </row>
    <row r="8874" spans="5:12" x14ac:dyDescent="0.2">
      <c r="E8874" s="1063"/>
      <c r="H8874" s="1066"/>
      <c r="I8874" s="1063"/>
      <c r="J8874" s="1063"/>
      <c r="K8874" s="1063"/>
      <c r="L8874" s="1063"/>
    </row>
    <row r="8875" spans="5:12" x14ac:dyDescent="0.2">
      <c r="E8875" s="1063"/>
      <c r="H8875" s="1066"/>
      <c r="I8875" s="1063"/>
      <c r="J8875" s="1063"/>
      <c r="K8875" s="1063"/>
      <c r="L8875" s="1063"/>
    </row>
    <row r="8876" spans="5:12" x14ac:dyDescent="0.2">
      <c r="E8876" s="1063"/>
      <c r="H8876" s="1066"/>
      <c r="I8876" s="1063"/>
      <c r="J8876" s="1063"/>
      <c r="K8876" s="1063"/>
      <c r="L8876" s="1063"/>
    </row>
    <row r="8877" spans="5:12" x14ac:dyDescent="0.2">
      <c r="E8877" s="1063"/>
      <c r="H8877" s="1066"/>
      <c r="I8877" s="1063"/>
      <c r="J8877" s="1063"/>
      <c r="K8877" s="1063"/>
      <c r="L8877" s="1063"/>
    </row>
    <row r="8878" spans="5:12" x14ac:dyDescent="0.2">
      <c r="E8878" s="1063"/>
      <c r="H8878" s="1066"/>
      <c r="I8878" s="1063"/>
      <c r="J8878" s="1063"/>
      <c r="K8878" s="1063"/>
      <c r="L8878" s="1063"/>
    </row>
    <row r="8879" spans="5:12" x14ac:dyDescent="0.2">
      <c r="E8879" s="1063"/>
      <c r="H8879" s="1066"/>
      <c r="I8879" s="1063"/>
      <c r="J8879" s="1063"/>
      <c r="K8879" s="1063"/>
      <c r="L8879" s="1063"/>
    </row>
    <row r="8880" spans="5:12" x14ac:dyDescent="0.2">
      <c r="E8880" s="1063"/>
      <c r="H8880" s="1066"/>
      <c r="I8880" s="1063"/>
      <c r="J8880" s="1063"/>
      <c r="K8880" s="1063"/>
      <c r="L8880" s="1063"/>
    </row>
    <row r="8881" spans="5:12" x14ac:dyDescent="0.2">
      <c r="E8881" s="1063"/>
      <c r="H8881" s="1066"/>
      <c r="I8881" s="1063"/>
      <c r="J8881" s="1063"/>
      <c r="K8881" s="1063"/>
      <c r="L8881" s="1063"/>
    </row>
    <row r="8882" spans="5:12" x14ac:dyDescent="0.2">
      <c r="E8882" s="1063"/>
      <c r="H8882" s="1066"/>
      <c r="I8882" s="1063"/>
      <c r="J8882" s="1063"/>
      <c r="K8882" s="1063"/>
      <c r="L8882" s="1063"/>
    </row>
    <row r="8883" spans="5:12" x14ac:dyDescent="0.2">
      <c r="E8883" s="1063"/>
      <c r="H8883" s="1066"/>
      <c r="I8883" s="1063"/>
      <c r="J8883" s="1063"/>
      <c r="K8883" s="1063"/>
      <c r="L8883" s="1063"/>
    </row>
    <row r="8884" spans="5:12" x14ac:dyDescent="0.2">
      <c r="E8884" s="1063"/>
      <c r="H8884" s="1066"/>
      <c r="I8884" s="1063"/>
      <c r="J8884" s="1063"/>
      <c r="K8884" s="1063"/>
      <c r="L8884" s="1063"/>
    </row>
    <row r="8885" spans="5:12" x14ac:dyDescent="0.2">
      <c r="E8885" s="1063"/>
      <c r="H8885" s="1066"/>
      <c r="I8885" s="1063"/>
      <c r="J8885" s="1063"/>
      <c r="K8885" s="1063"/>
      <c r="L8885" s="1063"/>
    </row>
    <row r="8886" spans="5:12" x14ac:dyDescent="0.2">
      <c r="E8886" s="1063"/>
      <c r="H8886" s="1066"/>
      <c r="I8886" s="1063"/>
      <c r="J8886" s="1063"/>
      <c r="K8886" s="1063"/>
      <c r="L8886" s="1063"/>
    </row>
    <row r="8887" spans="5:12" x14ac:dyDescent="0.2">
      <c r="E8887" s="1063"/>
      <c r="H8887" s="1066"/>
      <c r="I8887" s="1063"/>
      <c r="J8887" s="1063"/>
      <c r="K8887" s="1063"/>
      <c r="L8887" s="1063"/>
    </row>
    <row r="8888" spans="5:12" x14ac:dyDescent="0.2">
      <c r="E8888" s="1063"/>
      <c r="H8888" s="1066"/>
      <c r="I8888" s="1063"/>
      <c r="J8888" s="1063"/>
      <c r="K8888" s="1063"/>
      <c r="L8888" s="1063"/>
    </row>
    <row r="8889" spans="5:12" x14ac:dyDescent="0.2">
      <c r="E8889" s="1063"/>
      <c r="H8889" s="1066"/>
      <c r="I8889" s="1063"/>
      <c r="J8889" s="1063"/>
      <c r="K8889" s="1063"/>
      <c r="L8889" s="1063"/>
    </row>
    <row r="8890" spans="5:12" x14ac:dyDescent="0.2">
      <c r="E8890" s="1063"/>
      <c r="H8890" s="1066"/>
      <c r="I8890" s="1063"/>
      <c r="J8890" s="1063"/>
      <c r="K8890" s="1063"/>
      <c r="L8890" s="1063"/>
    </row>
    <row r="8891" spans="5:12" x14ac:dyDescent="0.2">
      <c r="E8891" s="1063"/>
      <c r="H8891" s="1066"/>
      <c r="I8891" s="1063"/>
      <c r="J8891" s="1063"/>
      <c r="K8891" s="1063"/>
      <c r="L8891" s="1063"/>
    </row>
    <row r="8892" spans="5:12" x14ac:dyDescent="0.2">
      <c r="E8892" s="1063"/>
      <c r="H8892" s="1066"/>
      <c r="I8892" s="1063"/>
      <c r="J8892" s="1063"/>
      <c r="K8892" s="1063"/>
      <c r="L8892" s="1063"/>
    </row>
    <row r="8893" spans="5:12" x14ac:dyDescent="0.2">
      <c r="E8893" s="1063"/>
      <c r="H8893" s="1066"/>
      <c r="I8893" s="1063"/>
      <c r="J8893" s="1063"/>
      <c r="K8893" s="1063"/>
      <c r="L8893" s="1063"/>
    </row>
    <row r="8894" spans="5:12" x14ac:dyDescent="0.2">
      <c r="E8894" s="1063"/>
      <c r="H8894" s="1066"/>
      <c r="I8894" s="1063"/>
      <c r="J8894" s="1063"/>
      <c r="K8894" s="1063"/>
      <c r="L8894" s="1063"/>
    </row>
    <row r="8895" spans="5:12" x14ac:dyDescent="0.2">
      <c r="E8895" s="1063"/>
      <c r="H8895" s="1066"/>
      <c r="I8895" s="1063"/>
      <c r="J8895" s="1063"/>
      <c r="K8895" s="1063"/>
      <c r="L8895" s="1063"/>
    </row>
    <row r="8896" spans="5:12" x14ac:dyDescent="0.2">
      <c r="E8896" s="1063"/>
      <c r="H8896" s="1066"/>
      <c r="I8896" s="1063"/>
      <c r="J8896" s="1063"/>
      <c r="K8896" s="1063"/>
      <c r="L8896" s="1063"/>
    </row>
    <row r="8897" spans="5:12" x14ac:dyDescent="0.2">
      <c r="E8897" s="1063"/>
      <c r="H8897" s="1066"/>
      <c r="I8897" s="1063"/>
      <c r="J8897" s="1063"/>
      <c r="K8897" s="1063"/>
      <c r="L8897" s="1063"/>
    </row>
    <row r="8898" spans="5:12" x14ac:dyDescent="0.2">
      <c r="E8898" s="1063"/>
      <c r="H8898" s="1066"/>
      <c r="I8898" s="1063"/>
      <c r="J8898" s="1063"/>
      <c r="K8898" s="1063"/>
      <c r="L8898" s="1063"/>
    </row>
    <row r="8899" spans="5:12" x14ac:dyDescent="0.2">
      <c r="E8899" s="1063"/>
      <c r="H8899" s="1066"/>
      <c r="I8899" s="1063"/>
      <c r="J8899" s="1063"/>
      <c r="K8899" s="1063"/>
      <c r="L8899" s="1063"/>
    </row>
    <row r="8900" spans="5:12" x14ac:dyDescent="0.2">
      <c r="E8900" s="1063"/>
      <c r="H8900" s="1066"/>
      <c r="I8900" s="1063"/>
      <c r="J8900" s="1063"/>
      <c r="K8900" s="1063"/>
      <c r="L8900" s="1063"/>
    </row>
    <row r="8901" spans="5:12" x14ac:dyDescent="0.2">
      <c r="E8901" s="1063"/>
      <c r="H8901" s="1066"/>
      <c r="I8901" s="1063"/>
      <c r="J8901" s="1063"/>
      <c r="K8901" s="1063"/>
      <c r="L8901" s="1063"/>
    </row>
    <row r="8902" spans="5:12" x14ac:dyDescent="0.2">
      <c r="E8902" s="1063"/>
      <c r="H8902" s="1066"/>
      <c r="I8902" s="1063"/>
      <c r="J8902" s="1063"/>
      <c r="K8902" s="1063"/>
      <c r="L8902" s="1063"/>
    </row>
    <row r="8903" spans="5:12" x14ac:dyDescent="0.2">
      <c r="E8903" s="1063"/>
      <c r="H8903" s="1066"/>
      <c r="I8903" s="1063"/>
      <c r="J8903" s="1063"/>
      <c r="K8903" s="1063"/>
      <c r="L8903" s="1063"/>
    </row>
    <row r="8904" spans="5:12" x14ac:dyDescent="0.2">
      <c r="E8904" s="1063"/>
      <c r="H8904" s="1066"/>
      <c r="I8904" s="1063"/>
      <c r="J8904" s="1063"/>
      <c r="K8904" s="1063"/>
      <c r="L8904" s="1063"/>
    </row>
    <row r="8905" spans="5:12" x14ac:dyDescent="0.2">
      <c r="E8905" s="1063"/>
      <c r="H8905" s="1066"/>
      <c r="I8905" s="1063"/>
      <c r="J8905" s="1063"/>
      <c r="K8905" s="1063"/>
      <c r="L8905" s="1063"/>
    </row>
    <row r="8906" spans="5:12" x14ac:dyDescent="0.2">
      <c r="E8906" s="1063"/>
      <c r="H8906" s="1066"/>
      <c r="I8906" s="1063"/>
      <c r="J8906" s="1063"/>
      <c r="K8906" s="1063"/>
      <c r="L8906" s="1063"/>
    </row>
    <row r="8907" spans="5:12" x14ac:dyDescent="0.2">
      <c r="E8907" s="1063"/>
      <c r="H8907" s="1066"/>
      <c r="I8907" s="1063"/>
      <c r="J8907" s="1063"/>
      <c r="K8907" s="1063"/>
      <c r="L8907" s="1063"/>
    </row>
    <row r="8908" spans="5:12" x14ac:dyDescent="0.2">
      <c r="E8908" s="1063"/>
      <c r="H8908" s="1066"/>
      <c r="I8908" s="1063"/>
      <c r="J8908" s="1063"/>
      <c r="K8908" s="1063"/>
      <c r="L8908" s="1063"/>
    </row>
    <row r="8909" spans="5:12" x14ac:dyDescent="0.2">
      <c r="E8909" s="1063"/>
      <c r="H8909" s="1066"/>
      <c r="I8909" s="1063"/>
      <c r="J8909" s="1063"/>
      <c r="K8909" s="1063"/>
      <c r="L8909" s="1063"/>
    </row>
    <row r="8910" spans="5:12" x14ac:dyDescent="0.2">
      <c r="E8910" s="1063"/>
      <c r="H8910" s="1066"/>
      <c r="I8910" s="1063"/>
      <c r="J8910" s="1063"/>
      <c r="K8910" s="1063"/>
      <c r="L8910" s="1063"/>
    </row>
    <row r="8911" spans="5:12" x14ac:dyDescent="0.2">
      <c r="E8911" s="1063"/>
      <c r="H8911" s="1066"/>
      <c r="I8911" s="1063"/>
      <c r="J8911" s="1063"/>
      <c r="K8911" s="1063"/>
      <c r="L8911" s="1063"/>
    </row>
    <row r="8912" spans="5:12" x14ac:dyDescent="0.2">
      <c r="E8912" s="1063"/>
      <c r="H8912" s="1066"/>
      <c r="I8912" s="1063"/>
      <c r="J8912" s="1063"/>
      <c r="K8912" s="1063"/>
      <c r="L8912" s="1063"/>
    </row>
    <row r="8913" spans="5:12" x14ac:dyDescent="0.2">
      <c r="E8913" s="1063"/>
      <c r="H8913" s="1066"/>
      <c r="I8913" s="1063"/>
      <c r="J8913" s="1063"/>
      <c r="K8913" s="1063"/>
      <c r="L8913" s="1063"/>
    </row>
    <row r="8914" spans="5:12" x14ac:dyDescent="0.2">
      <c r="E8914" s="1063"/>
      <c r="H8914" s="1066"/>
      <c r="I8914" s="1063"/>
      <c r="J8914" s="1063"/>
      <c r="K8914" s="1063"/>
      <c r="L8914" s="1063"/>
    </row>
    <row r="8915" spans="5:12" x14ac:dyDescent="0.2">
      <c r="E8915" s="1063"/>
      <c r="H8915" s="1066"/>
      <c r="I8915" s="1063"/>
      <c r="J8915" s="1063"/>
      <c r="K8915" s="1063"/>
      <c r="L8915" s="1063"/>
    </row>
    <row r="8916" spans="5:12" x14ac:dyDescent="0.2">
      <c r="E8916" s="1063"/>
      <c r="H8916" s="1066"/>
      <c r="I8916" s="1063"/>
      <c r="J8916" s="1063"/>
      <c r="K8916" s="1063"/>
      <c r="L8916" s="1063"/>
    </row>
    <row r="8917" spans="5:12" x14ac:dyDescent="0.2">
      <c r="E8917" s="1063"/>
      <c r="H8917" s="1066"/>
      <c r="I8917" s="1063"/>
      <c r="J8917" s="1063"/>
      <c r="K8917" s="1063"/>
      <c r="L8917" s="1063"/>
    </row>
    <row r="8918" spans="5:12" x14ac:dyDescent="0.2">
      <c r="E8918" s="1063"/>
      <c r="H8918" s="1066"/>
      <c r="I8918" s="1063"/>
      <c r="J8918" s="1063"/>
      <c r="K8918" s="1063"/>
      <c r="L8918" s="1063"/>
    </row>
    <row r="8919" spans="5:12" x14ac:dyDescent="0.2">
      <c r="E8919" s="1063"/>
      <c r="H8919" s="1066"/>
      <c r="I8919" s="1063"/>
      <c r="J8919" s="1063"/>
      <c r="K8919" s="1063"/>
      <c r="L8919" s="1063"/>
    </row>
    <row r="8920" spans="5:12" x14ac:dyDescent="0.2">
      <c r="E8920" s="1063"/>
      <c r="H8920" s="1066"/>
      <c r="I8920" s="1063"/>
      <c r="J8920" s="1063"/>
      <c r="K8920" s="1063"/>
      <c r="L8920" s="1063"/>
    </row>
    <row r="8921" spans="5:12" x14ac:dyDescent="0.2">
      <c r="E8921" s="1063"/>
      <c r="H8921" s="1066"/>
      <c r="I8921" s="1063"/>
      <c r="J8921" s="1063"/>
      <c r="K8921" s="1063"/>
      <c r="L8921" s="1063"/>
    </row>
    <row r="8922" spans="5:12" x14ac:dyDescent="0.2">
      <c r="E8922" s="1063"/>
      <c r="H8922" s="1066"/>
      <c r="I8922" s="1063"/>
      <c r="J8922" s="1063"/>
      <c r="K8922" s="1063"/>
      <c r="L8922" s="1063"/>
    </row>
    <row r="8923" spans="5:12" x14ac:dyDescent="0.2">
      <c r="E8923" s="1063"/>
      <c r="H8923" s="1066"/>
      <c r="I8923" s="1063"/>
      <c r="J8923" s="1063"/>
      <c r="K8923" s="1063"/>
      <c r="L8923" s="1063"/>
    </row>
    <row r="8924" spans="5:12" x14ac:dyDescent="0.2">
      <c r="E8924" s="1063"/>
      <c r="H8924" s="1066"/>
      <c r="I8924" s="1063"/>
      <c r="J8924" s="1063"/>
      <c r="K8924" s="1063"/>
      <c r="L8924" s="1063"/>
    </row>
    <row r="8925" spans="5:12" x14ac:dyDescent="0.2">
      <c r="E8925" s="1063"/>
      <c r="H8925" s="1066"/>
      <c r="I8925" s="1063"/>
      <c r="J8925" s="1063"/>
      <c r="K8925" s="1063"/>
      <c r="L8925" s="1063"/>
    </row>
    <row r="8926" spans="5:12" x14ac:dyDescent="0.2">
      <c r="E8926" s="1063"/>
      <c r="H8926" s="1066"/>
      <c r="I8926" s="1063"/>
      <c r="J8926" s="1063"/>
      <c r="K8926" s="1063"/>
      <c r="L8926" s="1063"/>
    </row>
    <row r="8927" spans="5:12" x14ac:dyDescent="0.2">
      <c r="E8927" s="1063"/>
      <c r="H8927" s="1066"/>
      <c r="I8927" s="1063"/>
      <c r="J8927" s="1063"/>
      <c r="K8927" s="1063"/>
      <c r="L8927" s="1063"/>
    </row>
    <row r="8928" spans="5:12" x14ac:dyDescent="0.2">
      <c r="E8928" s="1063"/>
      <c r="H8928" s="1066"/>
      <c r="I8928" s="1063"/>
      <c r="J8928" s="1063"/>
      <c r="K8928" s="1063"/>
      <c r="L8928" s="1063"/>
    </row>
    <row r="8929" spans="5:12" x14ac:dyDescent="0.2">
      <c r="E8929" s="1063"/>
      <c r="H8929" s="1066"/>
      <c r="I8929" s="1063"/>
      <c r="J8929" s="1063"/>
      <c r="K8929" s="1063"/>
      <c r="L8929" s="1063"/>
    </row>
    <row r="8930" spans="5:12" x14ac:dyDescent="0.2">
      <c r="E8930" s="1063"/>
      <c r="H8930" s="1066"/>
      <c r="I8930" s="1063"/>
      <c r="J8930" s="1063"/>
      <c r="K8930" s="1063"/>
      <c r="L8930" s="1063"/>
    </row>
    <row r="8931" spans="5:12" x14ac:dyDescent="0.2">
      <c r="E8931" s="1063"/>
      <c r="H8931" s="1066"/>
      <c r="I8931" s="1063"/>
      <c r="J8931" s="1063"/>
      <c r="K8931" s="1063"/>
      <c r="L8931" s="1063"/>
    </row>
    <row r="8932" spans="5:12" x14ac:dyDescent="0.2">
      <c r="E8932" s="1063"/>
      <c r="H8932" s="1066"/>
      <c r="I8932" s="1063"/>
      <c r="J8932" s="1063"/>
      <c r="K8932" s="1063"/>
      <c r="L8932" s="1063"/>
    </row>
    <row r="8933" spans="5:12" x14ac:dyDescent="0.2">
      <c r="E8933" s="1063"/>
      <c r="H8933" s="1066"/>
      <c r="I8933" s="1063"/>
      <c r="J8933" s="1063"/>
      <c r="K8933" s="1063"/>
      <c r="L8933" s="1063"/>
    </row>
    <row r="8934" spans="5:12" x14ac:dyDescent="0.2">
      <c r="E8934" s="1063"/>
      <c r="H8934" s="1066"/>
      <c r="I8934" s="1063"/>
      <c r="J8934" s="1063"/>
      <c r="K8934" s="1063"/>
      <c r="L8934" s="1063"/>
    </row>
    <row r="8935" spans="5:12" x14ac:dyDescent="0.2">
      <c r="E8935" s="1063"/>
      <c r="H8935" s="1066"/>
      <c r="I8935" s="1063"/>
      <c r="J8935" s="1063"/>
      <c r="K8935" s="1063"/>
      <c r="L8935" s="1063"/>
    </row>
    <row r="8936" spans="5:12" x14ac:dyDescent="0.2">
      <c r="E8936" s="1063"/>
      <c r="H8936" s="1066"/>
      <c r="I8936" s="1063"/>
      <c r="J8936" s="1063"/>
      <c r="K8936" s="1063"/>
      <c r="L8936" s="1063"/>
    </row>
    <row r="8937" spans="5:12" x14ac:dyDescent="0.2">
      <c r="E8937" s="1063"/>
      <c r="H8937" s="1066"/>
      <c r="I8937" s="1063"/>
      <c r="J8937" s="1063"/>
      <c r="K8937" s="1063"/>
      <c r="L8937" s="1063"/>
    </row>
    <row r="8938" spans="5:12" x14ac:dyDescent="0.2">
      <c r="E8938" s="1063"/>
      <c r="H8938" s="1066"/>
      <c r="I8938" s="1063"/>
      <c r="J8938" s="1063"/>
      <c r="K8938" s="1063"/>
      <c r="L8938" s="1063"/>
    </row>
    <row r="8939" spans="5:12" x14ac:dyDescent="0.2">
      <c r="E8939" s="1063"/>
      <c r="H8939" s="1066"/>
      <c r="I8939" s="1063"/>
      <c r="J8939" s="1063"/>
      <c r="K8939" s="1063"/>
      <c r="L8939" s="1063"/>
    </row>
    <row r="8940" spans="5:12" x14ac:dyDescent="0.2">
      <c r="E8940" s="1063"/>
      <c r="H8940" s="1066"/>
      <c r="I8940" s="1063"/>
      <c r="J8940" s="1063"/>
      <c r="K8940" s="1063"/>
      <c r="L8940" s="1063"/>
    </row>
    <row r="8941" spans="5:12" x14ac:dyDescent="0.2">
      <c r="E8941" s="1063"/>
      <c r="H8941" s="1066"/>
      <c r="I8941" s="1063"/>
      <c r="J8941" s="1063"/>
      <c r="K8941" s="1063"/>
      <c r="L8941" s="1063"/>
    </row>
    <row r="8942" spans="5:12" x14ac:dyDescent="0.2">
      <c r="E8942" s="1063"/>
      <c r="H8942" s="1066"/>
      <c r="I8942" s="1063"/>
      <c r="J8942" s="1063"/>
      <c r="K8942" s="1063"/>
      <c r="L8942" s="1063"/>
    </row>
    <row r="8943" spans="5:12" x14ac:dyDescent="0.2">
      <c r="E8943" s="1063"/>
      <c r="H8943" s="1066"/>
      <c r="I8943" s="1063"/>
      <c r="J8943" s="1063"/>
      <c r="K8943" s="1063"/>
      <c r="L8943" s="1063"/>
    </row>
    <row r="8944" spans="5:12" x14ac:dyDescent="0.2">
      <c r="E8944" s="1063"/>
      <c r="H8944" s="1066"/>
      <c r="I8944" s="1063"/>
      <c r="J8944" s="1063"/>
      <c r="K8944" s="1063"/>
      <c r="L8944" s="1063"/>
    </row>
    <row r="8945" spans="5:12" x14ac:dyDescent="0.2">
      <c r="E8945" s="1063"/>
      <c r="H8945" s="1066"/>
      <c r="I8945" s="1063"/>
      <c r="J8945" s="1063"/>
      <c r="K8945" s="1063"/>
      <c r="L8945" s="1063"/>
    </row>
    <row r="8946" spans="5:12" x14ac:dyDescent="0.2">
      <c r="E8946" s="1063"/>
      <c r="H8946" s="1066"/>
      <c r="I8946" s="1063"/>
      <c r="J8946" s="1063"/>
      <c r="K8946" s="1063"/>
      <c r="L8946" s="1063"/>
    </row>
    <row r="8947" spans="5:12" x14ac:dyDescent="0.2">
      <c r="E8947" s="1063"/>
      <c r="H8947" s="1066"/>
      <c r="I8947" s="1063"/>
      <c r="J8947" s="1063"/>
      <c r="K8947" s="1063"/>
      <c r="L8947" s="1063"/>
    </row>
    <row r="8948" spans="5:12" x14ac:dyDescent="0.2">
      <c r="E8948" s="1063"/>
      <c r="H8948" s="1066"/>
      <c r="I8948" s="1063"/>
      <c r="J8948" s="1063"/>
      <c r="K8948" s="1063"/>
      <c r="L8948" s="1063"/>
    </row>
    <row r="8949" spans="5:12" x14ac:dyDescent="0.2">
      <c r="E8949" s="1063"/>
      <c r="H8949" s="1066"/>
      <c r="I8949" s="1063"/>
      <c r="J8949" s="1063"/>
      <c r="K8949" s="1063"/>
      <c r="L8949" s="1063"/>
    </row>
    <row r="8950" spans="5:12" x14ac:dyDescent="0.2">
      <c r="E8950" s="1063"/>
      <c r="H8950" s="1066"/>
      <c r="I8950" s="1063"/>
      <c r="J8950" s="1063"/>
      <c r="K8950" s="1063"/>
      <c r="L8950" s="1063"/>
    </row>
    <row r="8951" spans="5:12" x14ac:dyDescent="0.2">
      <c r="E8951" s="1063"/>
      <c r="H8951" s="1066"/>
      <c r="I8951" s="1063"/>
      <c r="J8951" s="1063"/>
      <c r="K8951" s="1063"/>
      <c r="L8951" s="1063"/>
    </row>
    <row r="8952" spans="5:12" x14ac:dyDescent="0.2">
      <c r="E8952" s="1063"/>
      <c r="H8952" s="1066"/>
      <c r="I8952" s="1063"/>
      <c r="J8952" s="1063"/>
      <c r="K8952" s="1063"/>
      <c r="L8952" s="1063"/>
    </row>
    <row r="8953" spans="5:12" x14ac:dyDescent="0.2">
      <c r="E8953" s="1063"/>
      <c r="H8953" s="1066"/>
      <c r="I8953" s="1063"/>
      <c r="J8953" s="1063"/>
      <c r="K8953" s="1063"/>
      <c r="L8953" s="1063"/>
    </row>
    <row r="8954" spans="5:12" x14ac:dyDescent="0.2">
      <c r="E8954" s="1063"/>
      <c r="H8954" s="1066"/>
      <c r="I8954" s="1063"/>
      <c r="J8954" s="1063"/>
      <c r="K8954" s="1063"/>
      <c r="L8954" s="1063"/>
    </row>
    <row r="8955" spans="5:12" x14ac:dyDescent="0.2">
      <c r="E8955" s="1063"/>
      <c r="H8955" s="1066"/>
      <c r="I8955" s="1063"/>
      <c r="J8955" s="1063"/>
      <c r="K8955" s="1063"/>
      <c r="L8955" s="1063"/>
    </row>
    <row r="8956" spans="5:12" x14ac:dyDescent="0.2">
      <c r="E8956" s="1063"/>
      <c r="H8956" s="1066"/>
      <c r="I8956" s="1063"/>
      <c r="J8956" s="1063"/>
      <c r="K8956" s="1063"/>
      <c r="L8956" s="1063"/>
    </row>
    <row r="8957" spans="5:12" x14ac:dyDescent="0.2">
      <c r="E8957" s="1063"/>
      <c r="H8957" s="1066"/>
      <c r="I8957" s="1063"/>
      <c r="J8957" s="1063"/>
      <c r="K8957" s="1063"/>
      <c r="L8957" s="1063"/>
    </row>
    <row r="8958" spans="5:12" x14ac:dyDescent="0.2">
      <c r="E8958" s="1063"/>
      <c r="H8958" s="1066"/>
      <c r="I8958" s="1063"/>
      <c r="J8958" s="1063"/>
      <c r="K8958" s="1063"/>
      <c r="L8958" s="1063"/>
    </row>
    <row r="8959" spans="5:12" x14ac:dyDescent="0.2">
      <c r="E8959" s="1063"/>
      <c r="H8959" s="1066"/>
      <c r="I8959" s="1063"/>
      <c r="J8959" s="1063"/>
      <c r="K8959" s="1063"/>
      <c r="L8959" s="1063"/>
    </row>
    <row r="8960" spans="5:12" x14ac:dyDescent="0.2">
      <c r="E8960" s="1063"/>
      <c r="H8960" s="1066"/>
      <c r="I8960" s="1063"/>
      <c r="J8960" s="1063"/>
      <c r="K8960" s="1063"/>
      <c r="L8960" s="1063"/>
    </row>
    <row r="8961" spans="5:12" x14ac:dyDescent="0.2">
      <c r="E8961" s="1063"/>
      <c r="H8961" s="1066"/>
      <c r="I8961" s="1063"/>
      <c r="J8961" s="1063"/>
      <c r="K8961" s="1063"/>
      <c r="L8961" s="1063"/>
    </row>
    <row r="8962" spans="5:12" x14ac:dyDescent="0.2">
      <c r="E8962" s="1063"/>
      <c r="H8962" s="1066"/>
      <c r="I8962" s="1063"/>
      <c r="J8962" s="1063"/>
      <c r="K8962" s="1063"/>
      <c r="L8962" s="1063"/>
    </row>
    <row r="8963" spans="5:12" x14ac:dyDescent="0.2">
      <c r="E8963" s="1063"/>
      <c r="H8963" s="1066"/>
      <c r="I8963" s="1063"/>
      <c r="J8963" s="1063"/>
      <c r="K8963" s="1063"/>
      <c r="L8963" s="1063"/>
    </row>
    <row r="8964" spans="5:12" x14ac:dyDescent="0.2">
      <c r="E8964" s="1063"/>
      <c r="H8964" s="1066"/>
      <c r="I8964" s="1063"/>
      <c r="J8964" s="1063"/>
      <c r="K8964" s="1063"/>
      <c r="L8964" s="1063"/>
    </row>
    <row r="8965" spans="5:12" x14ac:dyDescent="0.2">
      <c r="E8965" s="1063"/>
      <c r="H8965" s="1066"/>
      <c r="I8965" s="1063"/>
      <c r="J8965" s="1063"/>
      <c r="K8965" s="1063"/>
      <c r="L8965" s="1063"/>
    </row>
    <row r="8966" spans="5:12" x14ac:dyDescent="0.2">
      <c r="E8966" s="1063"/>
      <c r="H8966" s="1066"/>
      <c r="I8966" s="1063"/>
      <c r="J8966" s="1063"/>
      <c r="K8966" s="1063"/>
      <c r="L8966" s="1063"/>
    </row>
    <row r="8967" spans="5:12" x14ac:dyDescent="0.2">
      <c r="E8967" s="1063"/>
      <c r="H8967" s="1066"/>
      <c r="I8967" s="1063"/>
      <c r="J8967" s="1063"/>
      <c r="K8967" s="1063"/>
      <c r="L8967" s="1063"/>
    </row>
    <row r="8968" spans="5:12" x14ac:dyDescent="0.2">
      <c r="E8968" s="1063"/>
      <c r="H8968" s="1066"/>
      <c r="I8968" s="1063"/>
      <c r="J8968" s="1063"/>
      <c r="K8968" s="1063"/>
      <c r="L8968" s="1063"/>
    </row>
    <row r="8969" spans="5:12" x14ac:dyDescent="0.2">
      <c r="E8969" s="1063"/>
      <c r="H8969" s="1066"/>
      <c r="I8969" s="1063"/>
      <c r="J8969" s="1063"/>
      <c r="K8969" s="1063"/>
      <c r="L8969" s="1063"/>
    </row>
    <row r="8970" spans="5:12" x14ac:dyDescent="0.2">
      <c r="E8970" s="1063"/>
      <c r="H8970" s="1066"/>
      <c r="I8970" s="1063"/>
      <c r="J8970" s="1063"/>
      <c r="K8970" s="1063"/>
      <c r="L8970" s="1063"/>
    </row>
    <row r="8971" spans="5:12" x14ac:dyDescent="0.2">
      <c r="E8971" s="1063"/>
      <c r="H8971" s="1066"/>
      <c r="I8971" s="1063"/>
      <c r="J8971" s="1063"/>
      <c r="K8971" s="1063"/>
      <c r="L8971" s="1063"/>
    </row>
    <row r="8972" spans="5:12" x14ac:dyDescent="0.2">
      <c r="E8972" s="1063"/>
      <c r="H8972" s="1066"/>
      <c r="I8972" s="1063"/>
      <c r="J8972" s="1063"/>
      <c r="K8972" s="1063"/>
      <c r="L8972" s="1063"/>
    </row>
    <row r="8973" spans="5:12" x14ac:dyDescent="0.2">
      <c r="E8973" s="1063"/>
      <c r="H8973" s="1066"/>
      <c r="I8973" s="1063"/>
      <c r="J8973" s="1063"/>
      <c r="K8973" s="1063"/>
      <c r="L8973" s="1063"/>
    </row>
    <row r="8974" spans="5:12" x14ac:dyDescent="0.2">
      <c r="E8974" s="1063"/>
      <c r="H8974" s="1066"/>
      <c r="I8974" s="1063"/>
      <c r="J8974" s="1063"/>
      <c r="K8974" s="1063"/>
      <c r="L8974" s="1063"/>
    </row>
    <row r="8975" spans="5:12" x14ac:dyDescent="0.2">
      <c r="E8975" s="1063"/>
      <c r="H8975" s="1066"/>
      <c r="I8975" s="1063"/>
      <c r="J8975" s="1063"/>
      <c r="K8975" s="1063"/>
      <c r="L8975" s="1063"/>
    </row>
    <row r="8976" spans="5:12" x14ac:dyDescent="0.2">
      <c r="E8976" s="1063"/>
      <c r="H8976" s="1066"/>
      <c r="I8976" s="1063"/>
      <c r="J8976" s="1063"/>
      <c r="K8976" s="1063"/>
      <c r="L8976" s="1063"/>
    </row>
    <row r="8977" spans="5:12" x14ac:dyDescent="0.2">
      <c r="E8977" s="1063"/>
      <c r="H8977" s="1066"/>
      <c r="I8977" s="1063"/>
      <c r="J8977" s="1063"/>
      <c r="K8977" s="1063"/>
      <c r="L8977" s="1063"/>
    </row>
    <row r="8978" spans="5:12" x14ac:dyDescent="0.2">
      <c r="E8978" s="1063"/>
      <c r="H8978" s="1066"/>
      <c r="I8978" s="1063"/>
      <c r="J8978" s="1063"/>
      <c r="K8978" s="1063"/>
      <c r="L8978" s="1063"/>
    </row>
    <row r="8979" spans="5:12" x14ac:dyDescent="0.2">
      <c r="E8979" s="1063"/>
      <c r="H8979" s="1066"/>
      <c r="I8979" s="1063"/>
      <c r="J8979" s="1063"/>
      <c r="K8979" s="1063"/>
      <c r="L8979" s="1063"/>
    </row>
    <row r="8980" spans="5:12" x14ac:dyDescent="0.2">
      <c r="E8980" s="1063"/>
      <c r="H8980" s="1066"/>
      <c r="I8980" s="1063"/>
      <c r="J8980" s="1063"/>
      <c r="K8980" s="1063"/>
      <c r="L8980" s="1063"/>
    </row>
    <row r="8981" spans="5:12" x14ac:dyDescent="0.2">
      <c r="E8981" s="1063"/>
      <c r="H8981" s="1066"/>
      <c r="I8981" s="1063"/>
      <c r="J8981" s="1063"/>
      <c r="K8981" s="1063"/>
      <c r="L8981" s="1063"/>
    </row>
    <row r="8982" spans="5:12" x14ac:dyDescent="0.2">
      <c r="E8982" s="1063"/>
      <c r="H8982" s="1066"/>
      <c r="I8982" s="1063"/>
      <c r="J8982" s="1063"/>
      <c r="K8982" s="1063"/>
      <c r="L8982" s="1063"/>
    </row>
    <row r="8983" spans="5:12" x14ac:dyDescent="0.2">
      <c r="E8983" s="1063"/>
      <c r="H8983" s="1066"/>
      <c r="I8983" s="1063"/>
      <c r="J8983" s="1063"/>
      <c r="K8983" s="1063"/>
      <c r="L8983" s="1063"/>
    </row>
    <row r="8984" spans="5:12" x14ac:dyDescent="0.2">
      <c r="E8984" s="1063"/>
      <c r="H8984" s="1066"/>
      <c r="I8984" s="1063"/>
      <c r="J8984" s="1063"/>
      <c r="K8984" s="1063"/>
      <c r="L8984" s="1063"/>
    </row>
    <row r="8985" spans="5:12" x14ac:dyDescent="0.2">
      <c r="E8985" s="1063"/>
      <c r="H8985" s="1066"/>
      <c r="I8985" s="1063"/>
      <c r="J8985" s="1063"/>
      <c r="K8985" s="1063"/>
      <c r="L8985" s="1063"/>
    </row>
    <row r="8986" spans="5:12" x14ac:dyDescent="0.2">
      <c r="E8986" s="1063"/>
      <c r="H8986" s="1066"/>
      <c r="I8986" s="1063"/>
      <c r="J8986" s="1063"/>
      <c r="K8986" s="1063"/>
      <c r="L8986" s="1063"/>
    </row>
    <row r="8987" spans="5:12" x14ac:dyDescent="0.2">
      <c r="E8987" s="1063"/>
      <c r="H8987" s="1066"/>
      <c r="I8987" s="1063"/>
      <c r="J8987" s="1063"/>
      <c r="K8987" s="1063"/>
      <c r="L8987" s="1063"/>
    </row>
    <row r="8988" spans="5:12" x14ac:dyDescent="0.2">
      <c r="E8988" s="1063"/>
      <c r="H8988" s="1066"/>
      <c r="I8988" s="1063"/>
      <c r="J8988" s="1063"/>
      <c r="K8988" s="1063"/>
      <c r="L8988" s="1063"/>
    </row>
    <row r="8989" spans="5:12" x14ac:dyDescent="0.2">
      <c r="E8989" s="1063"/>
      <c r="H8989" s="1066"/>
      <c r="I8989" s="1063"/>
      <c r="J8989" s="1063"/>
      <c r="K8989" s="1063"/>
      <c r="L8989" s="1063"/>
    </row>
    <row r="8990" spans="5:12" x14ac:dyDescent="0.2">
      <c r="E8990" s="1063"/>
      <c r="H8990" s="1066"/>
      <c r="I8990" s="1063"/>
      <c r="J8990" s="1063"/>
      <c r="K8990" s="1063"/>
      <c r="L8990" s="1063"/>
    </row>
    <row r="8991" spans="5:12" x14ac:dyDescent="0.2">
      <c r="E8991" s="1063"/>
      <c r="H8991" s="1066"/>
      <c r="I8991" s="1063"/>
      <c r="J8991" s="1063"/>
      <c r="K8991" s="1063"/>
      <c r="L8991" s="1063"/>
    </row>
    <row r="8992" spans="5:12" x14ac:dyDescent="0.2">
      <c r="E8992" s="1063"/>
      <c r="H8992" s="1066"/>
      <c r="I8992" s="1063"/>
      <c r="J8992" s="1063"/>
      <c r="K8992" s="1063"/>
      <c r="L8992" s="1063"/>
    </row>
    <row r="8993" spans="5:12" x14ac:dyDescent="0.2">
      <c r="E8993" s="1063"/>
      <c r="H8993" s="1066"/>
      <c r="I8993" s="1063"/>
      <c r="J8993" s="1063"/>
      <c r="K8993" s="1063"/>
      <c r="L8993" s="1063"/>
    </row>
    <row r="8994" spans="5:12" x14ac:dyDescent="0.2">
      <c r="E8994" s="1063"/>
      <c r="H8994" s="1066"/>
      <c r="I8994" s="1063"/>
      <c r="J8994" s="1063"/>
      <c r="K8994" s="1063"/>
      <c r="L8994" s="1063"/>
    </row>
    <row r="8995" spans="5:12" x14ac:dyDescent="0.2">
      <c r="E8995" s="1063"/>
      <c r="H8995" s="1066"/>
      <c r="I8995" s="1063"/>
      <c r="J8995" s="1063"/>
      <c r="K8995" s="1063"/>
      <c r="L8995" s="1063"/>
    </row>
    <row r="8996" spans="5:12" x14ac:dyDescent="0.2">
      <c r="E8996" s="1063"/>
      <c r="H8996" s="1066"/>
      <c r="I8996" s="1063"/>
      <c r="J8996" s="1063"/>
      <c r="K8996" s="1063"/>
      <c r="L8996" s="1063"/>
    </row>
    <row r="8997" spans="5:12" x14ac:dyDescent="0.2">
      <c r="E8997" s="1063"/>
      <c r="H8997" s="1066"/>
      <c r="I8997" s="1063"/>
      <c r="J8997" s="1063"/>
      <c r="K8997" s="1063"/>
      <c r="L8997" s="1063"/>
    </row>
    <row r="8998" spans="5:12" x14ac:dyDescent="0.2">
      <c r="E8998" s="1063"/>
      <c r="H8998" s="1066"/>
      <c r="I8998" s="1063"/>
      <c r="J8998" s="1063"/>
      <c r="K8998" s="1063"/>
      <c r="L8998" s="1063"/>
    </row>
    <row r="8999" spans="5:12" x14ac:dyDescent="0.2">
      <c r="E8999" s="1063"/>
      <c r="H8999" s="1066"/>
      <c r="I8999" s="1063"/>
      <c r="J8999" s="1063"/>
      <c r="K8999" s="1063"/>
      <c r="L8999" s="1063"/>
    </row>
    <row r="9000" spans="5:12" x14ac:dyDescent="0.2">
      <c r="E9000" s="1063"/>
      <c r="H9000" s="1066"/>
      <c r="I9000" s="1063"/>
      <c r="J9000" s="1063"/>
      <c r="K9000" s="1063"/>
      <c r="L9000" s="1063"/>
    </row>
    <row r="9001" spans="5:12" x14ac:dyDescent="0.2">
      <c r="E9001" s="1063"/>
      <c r="H9001" s="1066"/>
      <c r="I9001" s="1063"/>
      <c r="J9001" s="1063"/>
      <c r="K9001" s="1063"/>
      <c r="L9001" s="1063"/>
    </row>
    <row r="9002" spans="5:12" x14ac:dyDescent="0.2">
      <c r="E9002" s="1063"/>
      <c r="H9002" s="1066"/>
      <c r="I9002" s="1063"/>
      <c r="J9002" s="1063"/>
      <c r="K9002" s="1063"/>
      <c r="L9002" s="1063"/>
    </row>
    <row r="9003" spans="5:12" x14ac:dyDescent="0.2">
      <c r="E9003" s="1063"/>
      <c r="H9003" s="1066"/>
      <c r="I9003" s="1063"/>
      <c r="J9003" s="1063"/>
      <c r="K9003" s="1063"/>
      <c r="L9003" s="1063"/>
    </row>
    <row r="9004" spans="5:12" x14ac:dyDescent="0.2">
      <c r="E9004" s="1063"/>
      <c r="H9004" s="1066"/>
      <c r="I9004" s="1063"/>
      <c r="J9004" s="1063"/>
      <c r="K9004" s="1063"/>
      <c r="L9004" s="1063"/>
    </row>
    <row r="9005" spans="5:12" x14ac:dyDescent="0.2">
      <c r="E9005" s="1063"/>
      <c r="H9005" s="1066"/>
      <c r="I9005" s="1063"/>
      <c r="J9005" s="1063"/>
      <c r="K9005" s="1063"/>
      <c r="L9005" s="1063"/>
    </row>
    <row r="9006" spans="5:12" x14ac:dyDescent="0.2">
      <c r="E9006" s="1063"/>
      <c r="H9006" s="1066"/>
      <c r="I9006" s="1063"/>
      <c r="J9006" s="1063"/>
      <c r="K9006" s="1063"/>
      <c r="L9006" s="1063"/>
    </row>
    <row r="9007" spans="5:12" x14ac:dyDescent="0.2">
      <c r="E9007" s="1063"/>
      <c r="H9007" s="1066"/>
      <c r="I9007" s="1063"/>
      <c r="J9007" s="1063"/>
      <c r="K9007" s="1063"/>
      <c r="L9007" s="1063"/>
    </row>
    <row r="9008" spans="5:12" x14ac:dyDescent="0.2">
      <c r="E9008" s="1063"/>
      <c r="H9008" s="1066"/>
      <c r="I9008" s="1063"/>
      <c r="J9008" s="1063"/>
      <c r="K9008" s="1063"/>
      <c r="L9008" s="1063"/>
    </row>
    <row r="9009" spans="5:12" x14ac:dyDescent="0.2">
      <c r="E9009" s="1063"/>
      <c r="H9009" s="1066"/>
      <c r="I9009" s="1063"/>
      <c r="J9009" s="1063"/>
      <c r="K9009" s="1063"/>
      <c r="L9009" s="1063"/>
    </row>
    <row r="9010" spans="5:12" x14ac:dyDescent="0.2">
      <c r="E9010" s="1063"/>
      <c r="H9010" s="1066"/>
      <c r="I9010" s="1063"/>
      <c r="J9010" s="1063"/>
      <c r="K9010" s="1063"/>
      <c r="L9010" s="1063"/>
    </row>
    <row r="9011" spans="5:12" x14ac:dyDescent="0.2">
      <c r="E9011" s="1063"/>
      <c r="H9011" s="1066"/>
      <c r="I9011" s="1063"/>
      <c r="J9011" s="1063"/>
      <c r="K9011" s="1063"/>
      <c r="L9011" s="1063"/>
    </row>
    <row r="9012" spans="5:12" x14ac:dyDescent="0.2">
      <c r="E9012" s="1063"/>
      <c r="H9012" s="1066"/>
      <c r="I9012" s="1063"/>
      <c r="J9012" s="1063"/>
      <c r="K9012" s="1063"/>
      <c r="L9012" s="1063"/>
    </row>
    <row r="9013" spans="5:12" x14ac:dyDescent="0.2">
      <c r="E9013" s="1063"/>
      <c r="H9013" s="1066"/>
      <c r="I9013" s="1063"/>
      <c r="J9013" s="1063"/>
      <c r="K9013" s="1063"/>
      <c r="L9013" s="1063"/>
    </row>
    <row r="9014" spans="5:12" x14ac:dyDescent="0.2">
      <c r="E9014" s="1063"/>
      <c r="H9014" s="1066"/>
      <c r="I9014" s="1063"/>
      <c r="J9014" s="1063"/>
      <c r="K9014" s="1063"/>
      <c r="L9014" s="1063"/>
    </row>
    <row r="9015" spans="5:12" x14ac:dyDescent="0.2">
      <c r="E9015" s="1063"/>
      <c r="H9015" s="1066"/>
      <c r="I9015" s="1063"/>
      <c r="J9015" s="1063"/>
      <c r="K9015" s="1063"/>
      <c r="L9015" s="1063"/>
    </row>
    <row r="9016" spans="5:12" x14ac:dyDescent="0.2">
      <c r="E9016" s="1063"/>
      <c r="H9016" s="1066"/>
      <c r="I9016" s="1063"/>
      <c r="J9016" s="1063"/>
      <c r="K9016" s="1063"/>
      <c r="L9016" s="1063"/>
    </row>
    <row r="9017" spans="5:12" x14ac:dyDescent="0.2">
      <c r="E9017" s="1063"/>
      <c r="H9017" s="1066"/>
      <c r="I9017" s="1063"/>
      <c r="J9017" s="1063"/>
      <c r="K9017" s="1063"/>
      <c r="L9017" s="1063"/>
    </row>
    <row r="9018" spans="5:12" x14ac:dyDescent="0.2">
      <c r="E9018" s="1063"/>
      <c r="H9018" s="1066"/>
      <c r="I9018" s="1063"/>
      <c r="J9018" s="1063"/>
      <c r="K9018" s="1063"/>
      <c r="L9018" s="1063"/>
    </row>
    <row r="9019" spans="5:12" x14ac:dyDescent="0.2">
      <c r="E9019" s="1063"/>
      <c r="H9019" s="1066"/>
      <c r="I9019" s="1063"/>
      <c r="J9019" s="1063"/>
      <c r="K9019" s="1063"/>
      <c r="L9019" s="1063"/>
    </row>
    <row r="9020" spans="5:12" x14ac:dyDescent="0.2">
      <c r="E9020" s="1063"/>
      <c r="H9020" s="1066"/>
      <c r="I9020" s="1063"/>
      <c r="J9020" s="1063"/>
      <c r="K9020" s="1063"/>
      <c r="L9020" s="1063"/>
    </row>
    <row r="9021" spans="5:12" x14ac:dyDescent="0.2">
      <c r="E9021" s="1063"/>
      <c r="H9021" s="1066"/>
      <c r="I9021" s="1063"/>
      <c r="J9021" s="1063"/>
      <c r="K9021" s="1063"/>
      <c r="L9021" s="1063"/>
    </row>
    <row r="9022" spans="5:12" x14ac:dyDescent="0.2">
      <c r="E9022" s="1063"/>
      <c r="H9022" s="1066"/>
      <c r="I9022" s="1063"/>
      <c r="J9022" s="1063"/>
      <c r="K9022" s="1063"/>
      <c r="L9022" s="1063"/>
    </row>
    <row r="9023" spans="5:12" x14ac:dyDescent="0.2">
      <c r="E9023" s="1063"/>
      <c r="H9023" s="1066"/>
      <c r="I9023" s="1063"/>
      <c r="J9023" s="1063"/>
      <c r="K9023" s="1063"/>
      <c r="L9023" s="1063"/>
    </row>
    <row r="9024" spans="5:12" x14ac:dyDescent="0.2">
      <c r="E9024" s="1063"/>
      <c r="H9024" s="1066"/>
      <c r="I9024" s="1063"/>
      <c r="J9024" s="1063"/>
      <c r="K9024" s="1063"/>
      <c r="L9024" s="1063"/>
    </row>
    <row r="9025" spans="5:12" x14ac:dyDescent="0.2">
      <c r="E9025" s="1063"/>
      <c r="H9025" s="1066"/>
      <c r="I9025" s="1063"/>
      <c r="J9025" s="1063"/>
      <c r="K9025" s="1063"/>
      <c r="L9025" s="1063"/>
    </row>
    <row r="9026" spans="5:12" x14ac:dyDescent="0.2">
      <c r="E9026" s="1063"/>
      <c r="H9026" s="1066"/>
      <c r="I9026" s="1063"/>
      <c r="J9026" s="1063"/>
      <c r="K9026" s="1063"/>
      <c r="L9026" s="1063"/>
    </row>
    <row r="9027" spans="5:12" x14ac:dyDescent="0.2">
      <c r="E9027" s="1063"/>
      <c r="H9027" s="1066"/>
      <c r="I9027" s="1063"/>
      <c r="J9027" s="1063"/>
      <c r="K9027" s="1063"/>
      <c r="L9027" s="1063"/>
    </row>
    <row r="9028" spans="5:12" x14ac:dyDescent="0.2">
      <c r="E9028" s="1063"/>
      <c r="H9028" s="1066"/>
      <c r="I9028" s="1063"/>
      <c r="J9028" s="1063"/>
      <c r="K9028" s="1063"/>
      <c r="L9028" s="1063"/>
    </row>
    <row r="9029" spans="5:12" x14ac:dyDescent="0.2">
      <c r="E9029" s="1063"/>
      <c r="H9029" s="1066"/>
      <c r="I9029" s="1063"/>
      <c r="J9029" s="1063"/>
      <c r="K9029" s="1063"/>
      <c r="L9029" s="1063"/>
    </row>
    <row r="9030" spans="5:12" x14ac:dyDescent="0.2">
      <c r="E9030" s="1063"/>
      <c r="H9030" s="1066"/>
      <c r="I9030" s="1063"/>
      <c r="J9030" s="1063"/>
      <c r="K9030" s="1063"/>
      <c r="L9030" s="1063"/>
    </row>
    <row r="9031" spans="5:12" x14ac:dyDescent="0.2">
      <c r="E9031" s="1063"/>
      <c r="H9031" s="1066"/>
      <c r="I9031" s="1063"/>
      <c r="J9031" s="1063"/>
      <c r="K9031" s="1063"/>
      <c r="L9031" s="1063"/>
    </row>
    <row r="9032" spans="5:12" x14ac:dyDescent="0.2">
      <c r="E9032" s="1063"/>
      <c r="H9032" s="1066"/>
      <c r="I9032" s="1063"/>
      <c r="J9032" s="1063"/>
      <c r="K9032" s="1063"/>
      <c r="L9032" s="1063"/>
    </row>
    <row r="9033" spans="5:12" x14ac:dyDescent="0.2">
      <c r="E9033" s="1063"/>
      <c r="H9033" s="1066"/>
      <c r="I9033" s="1063"/>
      <c r="J9033" s="1063"/>
      <c r="K9033" s="1063"/>
      <c r="L9033" s="1063"/>
    </row>
    <row r="9034" spans="5:12" x14ac:dyDescent="0.2">
      <c r="E9034" s="1063"/>
      <c r="H9034" s="1066"/>
      <c r="I9034" s="1063"/>
      <c r="J9034" s="1063"/>
      <c r="K9034" s="1063"/>
      <c r="L9034" s="1063"/>
    </row>
    <row r="9035" spans="5:12" x14ac:dyDescent="0.2">
      <c r="E9035" s="1063"/>
      <c r="H9035" s="1066"/>
      <c r="I9035" s="1063"/>
      <c r="J9035" s="1063"/>
      <c r="K9035" s="1063"/>
      <c r="L9035" s="1063"/>
    </row>
    <row r="9036" spans="5:12" x14ac:dyDescent="0.2">
      <c r="E9036" s="1063"/>
      <c r="H9036" s="1066"/>
      <c r="I9036" s="1063"/>
      <c r="J9036" s="1063"/>
      <c r="K9036" s="1063"/>
      <c r="L9036" s="1063"/>
    </row>
    <row r="9037" spans="5:12" x14ac:dyDescent="0.2">
      <c r="E9037" s="1063"/>
      <c r="H9037" s="1066"/>
      <c r="I9037" s="1063"/>
      <c r="J9037" s="1063"/>
      <c r="K9037" s="1063"/>
      <c r="L9037" s="1063"/>
    </row>
    <row r="9038" spans="5:12" x14ac:dyDescent="0.2">
      <c r="E9038" s="1063"/>
      <c r="H9038" s="1066"/>
      <c r="I9038" s="1063"/>
      <c r="J9038" s="1063"/>
      <c r="K9038" s="1063"/>
      <c r="L9038" s="1063"/>
    </row>
    <row r="9039" spans="5:12" x14ac:dyDescent="0.2">
      <c r="E9039" s="1063"/>
      <c r="H9039" s="1066"/>
      <c r="I9039" s="1063"/>
      <c r="J9039" s="1063"/>
      <c r="K9039" s="1063"/>
      <c r="L9039" s="1063"/>
    </row>
    <row r="9040" spans="5:12" x14ac:dyDescent="0.2">
      <c r="E9040" s="1063"/>
      <c r="H9040" s="1066"/>
      <c r="I9040" s="1063"/>
      <c r="J9040" s="1063"/>
      <c r="K9040" s="1063"/>
      <c r="L9040" s="1063"/>
    </row>
    <row r="9041" spans="5:12" x14ac:dyDescent="0.2">
      <c r="E9041" s="1063"/>
      <c r="H9041" s="1066"/>
      <c r="I9041" s="1063"/>
      <c r="J9041" s="1063"/>
      <c r="K9041" s="1063"/>
      <c r="L9041" s="1063"/>
    </row>
    <row r="9042" spans="5:12" x14ac:dyDescent="0.2">
      <c r="E9042" s="1063"/>
      <c r="H9042" s="1066"/>
      <c r="I9042" s="1063"/>
      <c r="J9042" s="1063"/>
      <c r="K9042" s="1063"/>
      <c r="L9042" s="1063"/>
    </row>
    <row r="9043" spans="5:12" x14ac:dyDescent="0.2">
      <c r="E9043" s="1063"/>
      <c r="H9043" s="1066"/>
      <c r="I9043" s="1063"/>
      <c r="J9043" s="1063"/>
      <c r="K9043" s="1063"/>
      <c r="L9043" s="1063"/>
    </row>
    <row r="9044" spans="5:12" x14ac:dyDescent="0.2">
      <c r="E9044" s="1063"/>
      <c r="H9044" s="1066"/>
      <c r="I9044" s="1063"/>
      <c r="J9044" s="1063"/>
      <c r="K9044" s="1063"/>
      <c r="L9044" s="1063"/>
    </row>
    <row r="9045" spans="5:12" x14ac:dyDescent="0.2">
      <c r="E9045" s="1063"/>
      <c r="H9045" s="1066"/>
      <c r="I9045" s="1063"/>
      <c r="J9045" s="1063"/>
      <c r="K9045" s="1063"/>
      <c r="L9045" s="1063"/>
    </row>
    <row r="9046" spans="5:12" x14ac:dyDescent="0.2">
      <c r="E9046" s="1063"/>
      <c r="H9046" s="1066"/>
      <c r="I9046" s="1063"/>
      <c r="J9046" s="1063"/>
      <c r="K9046" s="1063"/>
      <c r="L9046" s="1063"/>
    </row>
    <row r="9047" spans="5:12" x14ac:dyDescent="0.2">
      <c r="E9047" s="1063"/>
      <c r="H9047" s="1066"/>
      <c r="I9047" s="1063"/>
      <c r="J9047" s="1063"/>
      <c r="K9047" s="1063"/>
      <c r="L9047" s="1063"/>
    </row>
    <row r="9048" spans="5:12" x14ac:dyDescent="0.2">
      <c r="E9048" s="1063"/>
      <c r="H9048" s="1066"/>
      <c r="I9048" s="1063"/>
      <c r="J9048" s="1063"/>
      <c r="K9048" s="1063"/>
      <c r="L9048" s="1063"/>
    </row>
    <row r="9049" spans="5:12" x14ac:dyDescent="0.2">
      <c r="E9049" s="1063"/>
      <c r="H9049" s="1066"/>
      <c r="I9049" s="1063"/>
      <c r="J9049" s="1063"/>
      <c r="K9049" s="1063"/>
      <c r="L9049" s="1063"/>
    </row>
    <row r="9050" spans="5:12" x14ac:dyDescent="0.2">
      <c r="E9050" s="1063"/>
      <c r="H9050" s="1066"/>
      <c r="I9050" s="1063"/>
      <c r="J9050" s="1063"/>
      <c r="K9050" s="1063"/>
      <c r="L9050" s="1063"/>
    </row>
    <row r="9051" spans="5:12" x14ac:dyDescent="0.2">
      <c r="E9051" s="1063"/>
      <c r="H9051" s="1066"/>
      <c r="I9051" s="1063"/>
      <c r="J9051" s="1063"/>
      <c r="K9051" s="1063"/>
      <c r="L9051" s="1063"/>
    </row>
    <row r="9052" spans="5:12" x14ac:dyDescent="0.2">
      <c r="E9052" s="1063"/>
      <c r="H9052" s="1066"/>
      <c r="I9052" s="1063"/>
      <c r="J9052" s="1063"/>
      <c r="K9052" s="1063"/>
      <c r="L9052" s="1063"/>
    </row>
    <row r="9053" spans="5:12" x14ac:dyDescent="0.2">
      <c r="E9053" s="1063"/>
      <c r="H9053" s="1066"/>
      <c r="I9053" s="1063"/>
      <c r="J9053" s="1063"/>
      <c r="K9053" s="1063"/>
      <c r="L9053" s="1063"/>
    </row>
    <row r="9054" spans="5:12" x14ac:dyDescent="0.2">
      <c r="E9054" s="1063"/>
      <c r="H9054" s="1066"/>
      <c r="I9054" s="1063"/>
      <c r="J9054" s="1063"/>
      <c r="K9054" s="1063"/>
      <c r="L9054" s="1063"/>
    </row>
    <row r="9055" spans="5:12" x14ac:dyDescent="0.2">
      <c r="E9055" s="1063"/>
      <c r="H9055" s="1066"/>
      <c r="I9055" s="1063"/>
      <c r="J9055" s="1063"/>
      <c r="K9055" s="1063"/>
      <c r="L9055" s="1063"/>
    </row>
    <row r="9056" spans="5:12" x14ac:dyDescent="0.2">
      <c r="E9056" s="1063"/>
      <c r="H9056" s="1066"/>
      <c r="I9056" s="1063"/>
      <c r="J9056" s="1063"/>
      <c r="K9056" s="1063"/>
      <c r="L9056" s="1063"/>
    </row>
    <row r="9057" spans="5:12" x14ac:dyDescent="0.2">
      <c r="E9057" s="1063"/>
      <c r="H9057" s="1066"/>
      <c r="I9057" s="1063"/>
      <c r="J9057" s="1063"/>
      <c r="K9057" s="1063"/>
      <c r="L9057" s="1063"/>
    </row>
    <row r="9058" spans="5:12" x14ac:dyDescent="0.2">
      <c r="E9058" s="1063"/>
      <c r="H9058" s="1066"/>
      <c r="I9058" s="1063"/>
      <c r="J9058" s="1063"/>
      <c r="K9058" s="1063"/>
      <c r="L9058" s="1063"/>
    </row>
    <row r="9059" spans="5:12" x14ac:dyDescent="0.2">
      <c r="E9059" s="1063"/>
      <c r="H9059" s="1066"/>
      <c r="I9059" s="1063"/>
      <c r="J9059" s="1063"/>
      <c r="K9059" s="1063"/>
      <c r="L9059" s="1063"/>
    </row>
    <row r="9060" spans="5:12" x14ac:dyDescent="0.2">
      <c r="E9060" s="1063"/>
      <c r="H9060" s="1066"/>
      <c r="I9060" s="1063"/>
      <c r="J9060" s="1063"/>
      <c r="K9060" s="1063"/>
      <c r="L9060" s="1063"/>
    </row>
    <row r="9061" spans="5:12" x14ac:dyDescent="0.2">
      <c r="E9061" s="1063"/>
      <c r="H9061" s="1066"/>
      <c r="I9061" s="1063"/>
      <c r="J9061" s="1063"/>
      <c r="K9061" s="1063"/>
      <c r="L9061" s="1063"/>
    </row>
    <row r="9062" spans="5:12" x14ac:dyDescent="0.2">
      <c r="E9062" s="1063"/>
      <c r="H9062" s="1066"/>
      <c r="I9062" s="1063"/>
      <c r="J9062" s="1063"/>
      <c r="K9062" s="1063"/>
      <c r="L9062" s="1063"/>
    </row>
    <row r="9063" spans="5:12" x14ac:dyDescent="0.2">
      <c r="E9063" s="1063"/>
      <c r="H9063" s="1066"/>
      <c r="I9063" s="1063"/>
      <c r="J9063" s="1063"/>
      <c r="K9063" s="1063"/>
      <c r="L9063" s="1063"/>
    </row>
    <row r="9064" spans="5:12" x14ac:dyDescent="0.2">
      <c r="E9064" s="1063"/>
      <c r="H9064" s="1066"/>
      <c r="I9064" s="1063"/>
      <c r="J9064" s="1063"/>
      <c r="K9064" s="1063"/>
      <c r="L9064" s="1063"/>
    </row>
    <row r="9065" spans="5:12" x14ac:dyDescent="0.2">
      <c r="E9065" s="1063"/>
      <c r="H9065" s="1066"/>
      <c r="I9065" s="1063"/>
      <c r="J9065" s="1063"/>
      <c r="K9065" s="1063"/>
      <c r="L9065" s="1063"/>
    </row>
    <row r="9066" spans="5:12" x14ac:dyDescent="0.2">
      <c r="E9066" s="1063"/>
      <c r="H9066" s="1066"/>
      <c r="I9066" s="1063"/>
      <c r="J9066" s="1063"/>
      <c r="K9066" s="1063"/>
      <c r="L9066" s="1063"/>
    </row>
    <row r="9067" spans="5:12" x14ac:dyDescent="0.2">
      <c r="E9067" s="1063"/>
      <c r="H9067" s="1066"/>
      <c r="I9067" s="1063"/>
      <c r="J9067" s="1063"/>
      <c r="K9067" s="1063"/>
      <c r="L9067" s="1063"/>
    </row>
    <row r="9068" spans="5:12" x14ac:dyDescent="0.2">
      <c r="E9068" s="1063"/>
      <c r="H9068" s="1066"/>
      <c r="I9068" s="1063"/>
      <c r="J9068" s="1063"/>
      <c r="K9068" s="1063"/>
      <c r="L9068" s="1063"/>
    </row>
    <row r="9069" spans="5:12" x14ac:dyDescent="0.2">
      <c r="E9069" s="1063"/>
      <c r="H9069" s="1066"/>
      <c r="I9069" s="1063"/>
      <c r="J9069" s="1063"/>
      <c r="K9069" s="1063"/>
      <c r="L9069" s="1063"/>
    </row>
    <row r="9070" spans="5:12" x14ac:dyDescent="0.2">
      <c r="E9070" s="1063"/>
      <c r="H9070" s="1066"/>
      <c r="I9070" s="1063"/>
      <c r="J9070" s="1063"/>
      <c r="K9070" s="1063"/>
      <c r="L9070" s="1063"/>
    </row>
    <row r="9071" spans="5:12" x14ac:dyDescent="0.2">
      <c r="E9071" s="1063"/>
      <c r="H9071" s="1066"/>
      <c r="I9071" s="1063"/>
      <c r="J9071" s="1063"/>
      <c r="K9071" s="1063"/>
      <c r="L9071" s="1063"/>
    </row>
    <row r="9072" spans="5:12" x14ac:dyDescent="0.2">
      <c r="E9072" s="1063"/>
      <c r="H9072" s="1066"/>
      <c r="I9072" s="1063"/>
      <c r="J9072" s="1063"/>
      <c r="K9072" s="1063"/>
      <c r="L9072" s="1063"/>
    </row>
    <row r="9073" spans="5:12" x14ac:dyDescent="0.2">
      <c r="E9073" s="1063"/>
      <c r="H9073" s="1066"/>
      <c r="I9073" s="1063"/>
      <c r="J9073" s="1063"/>
      <c r="K9073" s="1063"/>
      <c r="L9073" s="1063"/>
    </row>
    <row r="9074" spans="5:12" x14ac:dyDescent="0.2">
      <c r="E9074" s="1063"/>
      <c r="H9074" s="1066"/>
      <c r="I9074" s="1063"/>
      <c r="J9074" s="1063"/>
      <c r="K9074" s="1063"/>
      <c r="L9074" s="1063"/>
    </row>
    <row r="9075" spans="5:12" x14ac:dyDescent="0.2">
      <c r="E9075" s="1063"/>
      <c r="H9075" s="1066"/>
      <c r="I9075" s="1063"/>
      <c r="J9075" s="1063"/>
      <c r="K9075" s="1063"/>
      <c r="L9075" s="1063"/>
    </row>
    <row r="9076" spans="5:12" x14ac:dyDescent="0.2">
      <c r="E9076" s="1063"/>
      <c r="H9076" s="1066"/>
      <c r="I9076" s="1063"/>
      <c r="J9076" s="1063"/>
      <c r="K9076" s="1063"/>
      <c r="L9076" s="1063"/>
    </row>
    <row r="9077" spans="5:12" x14ac:dyDescent="0.2">
      <c r="E9077" s="1063"/>
      <c r="H9077" s="1066"/>
      <c r="I9077" s="1063"/>
      <c r="J9077" s="1063"/>
      <c r="K9077" s="1063"/>
      <c r="L9077" s="1063"/>
    </row>
    <row r="9078" spans="5:12" x14ac:dyDescent="0.2">
      <c r="E9078" s="1063"/>
      <c r="H9078" s="1066"/>
      <c r="I9078" s="1063"/>
      <c r="J9078" s="1063"/>
      <c r="K9078" s="1063"/>
      <c r="L9078" s="1063"/>
    </row>
    <row r="9079" spans="5:12" x14ac:dyDescent="0.2">
      <c r="E9079" s="1063"/>
      <c r="H9079" s="1066"/>
      <c r="I9079" s="1063"/>
      <c r="J9079" s="1063"/>
      <c r="K9079" s="1063"/>
      <c r="L9079" s="1063"/>
    </row>
    <row r="9080" spans="5:12" x14ac:dyDescent="0.2">
      <c r="E9080" s="1063"/>
      <c r="H9080" s="1066"/>
      <c r="I9080" s="1063"/>
      <c r="J9080" s="1063"/>
      <c r="K9080" s="1063"/>
      <c r="L9080" s="1063"/>
    </row>
    <row r="9081" spans="5:12" x14ac:dyDescent="0.2">
      <c r="E9081" s="1063"/>
      <c r="H9081" s="1066"/>
      <c r="I9081" s="1063"/>
      <c r="J9081" s="1063"/>
      <c r="K9081" s="1063"/>
      <c r="L9081" s="1063"/>
    </row>
    <row r="9082" spans="5:12" x14ac:dyDescent="0.2">
      <c r="E9082" s="1063"/>
      <c r="H9082" s="1066"/>
      <c r="I9082" s="1063"/>
      <c r="J9082" s="1063"/>
      <c r="K9082" s="1063"/>
      <c r="L9082" s="1063"/>
    </row>
    <row r="9083" spans="5:12" x14ac:dyDescent="0.2">
      <c r="E9083" s="1063"/>
      <c r="H9083" s="1066"/>
      <c r="I9083" s="1063"/>
      <c r="J9083" s="1063"/>
      <c r="K9083" s="1063"/>
      <c r="L9083" s="1063"/>
    </row>
    <row r="9084" spans="5:12" x14ac:dyDescent="0.2">
      <c r="E9084" s="1063"/>
      <c r="H9084" s="1066"/>
      <c r="I9084" s="1063"/>
      <c r="J9084" s="1063"/>
      <c r="K9084" s="1063"/>
      <c r="L9084" s="1063"/>
    </row>
    <row r="9085" spans="5:12" x14ac:dyDescent="0.2">
      <c r="E9085" s="1063"/>
      <c r="H9085" s="1066"/>
      <c r="I9085" s="1063"/>
      <c r="J9085" s="1063"/>
      <c r="K9085" s="1063"/>
      <c r="L9085" s="1063"/>
    </row>
    <row r="9086" spans="5:12" x14ac:dyDescent="0.2">
      <c r="E9086" s="1063"/>
      <c r="H9086" s="1066"/>
      <c r="I9086" s="1063"/>
      <c r="J9086" s="1063"/>
      <c r="K9086" s="1063"/>
      <c r="L9086" s="1063"/>
    </row>
    <row r="9087" spans="5:12" x14ac:dyDescent="0.2">
      <c r="E9087" s="1063"/>
      <c r="H9087" s="1066"/>
      <c r="I9087" s="1063"/>
      <c r="J9087" s="1063"/>
      <c r="K9087" s="1063"/>
      <c r="L9087" s="1063"/>
    </row>
    <row r="9088" spans="5:12" x14ac:dyDescent="0.2">
      <c r="E9088" s="1063"/>
      <c r="H9088" s="1066"/>
      <c r="I9088" s="1063"/>
      <c r="J9088" s="1063"/>
      <c r="K9088" s="1063"/>
      <c r="L9088" s="1063"/>
    </row>
    <row r="9089" spans="5:12" x14ac:dyDescent="0.2">
      <c r="E9089" s="1063"/>
      <c r="H9089" s="1066"/>
      <c r="I9089" s="1063"/>
      <c r="J9089" s="1063"/>
      <c r="K9089" s="1063"/>
      <c r="L9089" s="1063"/>
    </row>
    <row r="9090" spans="5:12" x14ac:dyDescent="0.2">
      <c r="E9090" s="1063"/>
      <c r="H9090" s="1066"/>
      <c r="I9090" s="1063"/>
      <c r="J9090" s="1063"/>
      <c r="K9090" s="1063"/>
      <c r="L9090" s="1063"/>
    </row>
    <row r="9091" spans="5:12" x14ac:dyDescent="0.2">
      <c r="E9091" s="1063"/>
      <c r="H9091" s="1066"/>
      <c r="I9091" s="1063"/>
      <c r="J9091" s="1063"/>
      <c r="K9091" s="1063"/>
      <c r="L9091" s="1063"/>
    </row>
    <row r="9092" spans="5:12" x14ac:dyDescent="0.2">
      <c r="E9092" s="1063"/>
      <c r="H9092" s="1066"/>
      <c r="I9092" s="1063"/>
      <c r="J9092" s="1063"/>
      <c r="K9092" s="1063"/>
      <c r="L9092" s="1063"/>
    </row>
    <row r="9093" spans="5:12" x14ac:dyDescent="0.2">
      <c r="E9093" s="1063"/>
      <c r="H9093" s="1066"/>
      <c r="I9093" s="1063"/>
      <c r="J9093" s="1063"/>
      <c r="K9093" s="1063"/>
      <c r="L9093" s="1063"/>
    </row>
    <row r="9094" spans="5:12" x14ac:dyDescent="0.2">
      <c r="E9094" s="1063"/>
      <c r="H9094" s="1066"/>
      <c r="I9094" s="1063"/>
      <c r="J9094" s="1063"/>
      <c r="K9094" s="1063"/>
      <c r="L9094" s="1063"/>
    </row>
    <row r="9095" spans="5:12" x14ac:dyDescent="0.2">
      <c r="E9095" s="1063"/>
      <c r="H9095" s="1066"/>
      <c r="I9095" s="1063"/>
      <c r="J9095" s="1063"/>
      <c r="K9095" s="1063"/>
      <c r="L9095" s="1063"/>
    </row>
    <row r="9096" spans="5:12" x14ac:dyDescent="0.2">
      <c r="E9096" s="1063"/>
      <c r="H9096" s="1066"/>
      <c r="I9096" s="1063"/>
      <c r="J9096" s="1063"/>
      <c r="K9096" s="1063"/>
      <c r="L9096" s="1063"/>
    </row>
    <row r="9097" spans="5:12" x14ac:dyDescent="0.2">
      <c r="E9097" s="1063"/>
      <c r="H9097" s="1066"/>
      <c r="I9097" s="1063"/>
      <c r="J9097" s="1063"/>
      <c r="K9097" s="1063"/>
      <c r="L9097" s="1063"/>
    </row>
    <row r="9098" spans="5:12" x14ac:dyDescent="0.2">
      <c r="E9098" s="1063"/>
      <c r="H9098" s="1066"/>
      <c r="I9098" s="1063"/>
      <c r="J9098" s="1063"/>
      <c r="K9098" s="1063"/>
      <c r="L9098" s="1063"/>
    </row>
    <row r="9099" spans="5:12" x14ac:dyDescent="0.2">
      <c r="E9099" s="1063"/>
      <c r="H9099" s="1066"/>
      <c r="I9099" s="1063"/>
      <c r="J9099" s="1063"/>
      <c r="K9099" s="1063"/>
      <c r="L9099" s="1063"/>
    </row>
    <row r="9100" spans="5:12" x14ac:dyDescent="0.2">
      <c r="E9100" s="1063"/>
      <c r="H9100" s="1066"/>
      <c r="I9100" s="1063"/>
      <c r="J9100" s="1063"/>
      <c r="K9100" s="1063"/>
      <c r="L9100" s="1063"/>
    </row>
    <row r="9101" spans="5:12" x14ac:dyDescent="0.2">
      <c r="E9101" s="1063"/>
      <c r="H9101" s="1066"/>
      <c r="I9101" s="1063"/>
      <c r="J9101" s="1063"/>
      <c r="K9101" s="1063"/>
      <c r="L9101" s="1063"/>
    </row>
    <row r="9102" spans="5:12" x14ac:dyDescent="0.2">
      <c r="E9102" s="1063"/>
      <c r="H9102" s="1066"/>
      <c r="I9102" s="1063"/>
      <c r="J9102" s="1063"/>
      <c r="K9102" s="1063"/>
      <c r="L9102" s="1063"/>
    </row>
    <row r="9103" spans="5:12" x14ac:dyDescent="0.2">
      <c r="E9103" s="1063"/>
      <c r="H9103" s="1066"/>
      <c r="I9103" s="1063"/>
      <c r="J9103" s="1063"/>
      <c r="K9103" s="1063"/>
      <c r="L9103" s="1063"/>
    </row>
    <row r="9104" spans="5:12" x14ac:dyDescent="0.2">
      <c r="E9104" s="1063"/>
      <c r="H9104" s="1066"/>
      <c r="I9104" s="1063"/>
      <c r="J9104" s="1063"/>
      <c r="K9104" s="1063"/>
      <c r="L9104" s="1063"/>
    </row>
    <row r="9105" spans="5:12" x14ac:dyDescent="0.2">
      <c r="E9105" s="1063"/>
      <c r="H9105" s="1066"/>
      <c r="I9105" s="1063"/>
      <c r="J9105" s="1063"/>
      <c r="K9105" s="1063"/>
      <c r="L9105" s="1063"/>
    </row>
    <row r="9106" spans="5:12" x14ac:dyDescent="0.2">
      <c r="E9106" s="1063"/>
      <c r="H9106" s="1066"/>
      <c r="I9106" s="1063"/>
      <c r="J9106" s="1063"/>
      <c r="K9106" s="1063"/>
      <c r="L9106" s="1063"/>
    </row>
    <row r="9107" spans="5:12" x14ac:dyDescent="0.2">
      <c r="E9107" s="1063"/>
      <c r="H9107" s="1066"/>
      <c r="I9107" s="1063"/>
      <c r="J9107" s="1063"/>
      <c r="K9107" s="1063"/>
      <c r="L9107" s="1063"/>
    </row>
    <row r="9108" spans="5:12" x14ac:dyDescent="0.2">
      <c r="E9108" s="1063"/>
      <c r="H9108" s="1066"/>
      <c r="I9108" s="1063"/>
      <c r="J9108" s="1063"/>
      <c r="K9108" s="1063"/>
      <c r="L9108" s="1063"/>
    </row>
    <row r="9109" spans="5:12" x14ac:dyDescent="0.2">
      <c r="E9109" s="1063"/>
      <c r="H9109" s="1066"/>
      <c r="I9109" s="1063"/>
      <c r="J9109" s="1063"/>
      <c r="K9109" s="1063"/>
      <c r="L9109" s="1063"/>
    </row>
    <row r="9110" spans="5:12" x14ac:dyDescent="0.2">
      <c r="E9110" s="1063"/>
      <c r="H9110" s="1066"/>
      <c r="I9110" s="1063"/>
      <c r="J9110" s="1063"/>
      <c r="K9110" s="1063"/>
      <c r="L9110" s="1063"/>
    </row>
    <row r="9111" spans="5:12" x14ac:dyDescent="0.2">
      <c r="E9111" s="1063"/>
      <c r="H9111" s="1066"/>
      <c r="I9111" s="1063"/>
      <c r="J9111" s="1063"/>
      <c r="K9111" s="1063"/>
      <c r="L9111" s="1063"/>
    </row>
    <row r="9112" spans="5:12" x14ac:dyDescent="0.2">
      <c r="E9112" s="1063"/>
      <c r="H9112" s="1066"/>
      <c r="I9112" s="1063"/>
      <c r="J9112" s="1063"/>
      <c r="K9112" s="1063"/>
      <c r="L9112" s="1063"/>
    </row>
    <row r="9113" spans="5:12" x14ac:dyDescent="0.2">
      <c r="E9113" s="1063"/>
      <c r="H9113" s="1066"/>
      <c r="I9113" s="1063"/>
      <c r="J9113" s="1063"/>
      <c r="K9113" s="1063"/>
      <c r="L9113" s="1063"/>
    </row>
    <row r="9114" spans="5:12" x14ac:dyDescent="0.2">
      <c r="E9114" s="1063"/>
      <c r="H9114" s="1066"/>
      <c r="I9114" s="1063"/>
      <c r="J9114" s="1063"/>
      <c r="K9114" s="1063"/>
      <c r="L9114" s="1063"/>
    </row>
    <row r="9115" spans="5:12" x14ac:dyDescent="0.2">
      <c r="E9115" s="1063"/>
      <c r="H9115" s="1066"/>
      <c r="I9115" s="1063"/>
      <c r="J9115" s="1063"/>
      <c r="K9115" s="1063"/>
      <c r="L9115" s="1063"/>
    </row>
    <row r="9116" spans="5:12" x14ac:dyDescent="0.2">
      <c r="E9116" s="1063"/>
      <c r="H9116" s="1066"/>
      <c r="I9116" s="1063"/>
      <c r="J9116" s="1063"/>
      <c r="K9116" s="1063"/>
      <c r="L9116" s="1063"/>
    </row>
    <row r="9117" spans="5:12" x14ac:dyDescent="0.2">
      <c r="E9117" s="1063"/>
      <c r="H9117" s="1066"/>
      <c r="I9117" s="1063"/>
      <c r="J9117" s="1063"/>
      <c r="K9117" s="1063"/>
      <c r="L9117" s="1063"/>
    </row>
    <row r="9118" spans="5:12" x14ac:dyDescent="0.2">
      <c r="E9118" s="1063"/>
      <c r="H9118" s="1066"/>
      <c r="I9118" s="1063"/>
      <c r="J9118" s="1063"/>
      <c r="K9118" s="1063"/>
      <c r="L9118" s="1063"/>
    </row>
    <row r="9119" spans="5:12" x14ac:dyDescent="0.2">
      <c r="E9119" s="1063"/>
      <c r="H9119" s="1066"/>
      <c r="I9119" s="1063"/>
      <c r="J9119" s="1063"/>
      <c r="K9119" s="1063"/>
      <c r="L9119" s="1063"/>
    </row>
    <row r="9120" spans="5:12" x14ac:dyDescent="0.2">
      <c r="E9120" s="1063"/>
      <c r="H9120" s="1066"/>
      <c r="I9120" s="1063"/>
      <c r="J9120" s="1063"/>
      <c r="K9120" s="1063"/>
      <c r="L9120" s="1063"/>
    </row>
    <row r="9121" spans="5:12" x14ac:dyDescent="0.2">
      <c r="E9121" s="1063"/>
      <c r="H9121" s="1066"/>
      <c r="I9121" s="1063"/>
      <c r="J9121" s="1063"/>
      <c r="K9121" s="1063"/>
      <c r="L9121" s="1063"/>
    </row>
    <row r="9122" spans="5:12" x14ac:dyDescent="0.2">
      <c r="E9122" s="1063"/>
      <c r="H9122" s="1066"/>
      <c r="I9122" s="1063"/>
      <c r="J9122" s="1063"/>
      <c r="K9122" s="1063"/>
      <c r="L9122" s="1063"/>
    </row>
    <row r="9123" spans="5:12" x14ac:dyDescent="0.2">
      <c r="E9123" s="1063"/>
      <c r="H9123" s="1066"/>
      <c r="I9123" s="1063"/>
      <c r="J9123" s="1063"/>
      <c r="K9123" s="1063"/>
      <c r="L9123" s="1063"/>
    </row>
    <row r="9124" spans="5:12" x14ac:dyDescent="0.2">
      <c r="E9124" s="1063"/>
      <c r="H9124" s="1066"/>
      <c r="I9124" s="1063"/>
      <c r="J9124" s="1063"/>
      <c r="K9124" s="1063"/>
      <c r="L9124" s="1063"/>
    </row>
    <row r="9125" spans="5:12" x14ac:dyDescent="0.2">
      <c r="E9125" s="1063"/>
      <c r="H9125" s="1066"/>
      <c r="I9125" s="1063"/>
      <c r="J9125" s="1063"/>
      <c r="K9125" s="1063"/>
      <c r="L9125" s="1063"/>
    </row>
    <row r="9126" spans="5:12" x14ac:dyDescent="0.2">
      <c r="E9126" s="1063"/>
      <c r="H9126" s="1066"/>
      <c r="I9126" s="1063"/>
      <c r="J9126" s="1063"/>
      <c r="K9126" s="1063"/>
      <c r="L9126" s="1063"/>
    </row>
    <row r="9127" spans="5:12" x14ac:dyDescent="0.2">
      <c r="E9127" s="1063"/>
      <c r="H9127" s="1066"/>
      <c r="I9127" s="1063"/>
      <c r="J9127" s="1063"/>
      <c r="K9127" s="1063"/>
      <c r="L9127" s="1063"/>
    </row>
    <row r="9128" spans="5:12" x14ac:dyDescent="0.2">
      <c r="E9128" s="1063"/>
      <c r="H9128" s="1066"/>
      <c r="I9128" s="1063"/>
      <c r="J9128" s="1063"/>
      <c r="K9128" s="1063"/>
      <c r="L9128" s="1063"/>
    </row>
    <row r="9129" spans="5:12" x14ac:dyDescent="0.2">
      <c r="E9129" s="1063"/>
      <c r="H9129" s="1066"/>
      <c r="I9129" s="1063"/>
      <c r="J9129" s="1063"/>
      <c r="K9129" s="1063"/>
      <c r="L9129" s="1063"/>
    </row>
    <row r="9130" spans="5:12" x14ac:dyDescent="0.2">
      <c r="E9130" s="1063"/>
      <c r="H9130" s="1066"/>
      <c r="I9130" s="1063"/>
      <c r="J9130" s="1063"/>
      <c r="K9130" s="1063"/>
      <c r="L9130" s="1063"/>
    </row>
    <row r="9131" spans="5:12" x14ac:dyDescent="0.2">
      <c r="E9131" s="1063"/>
      <c r="H9131" s="1066"/>
      <c r="I9131" s="1063"/>
      <c r="J9131" s="1063"/>
      <c r="K9131" s="1063"/>
      <c r="L9131" s="1063"/>
    </row>
    <row r="9132" spans="5:12" x14ac:dyDescent="0.2">
      <c r="E9132" s="1063"/>
      <c r="H9132" s="1066"/>
      <c r="I9132" s="1063"/>
      <c r="J9132" s="1063"/>
      <c r="K9132" s="1063"/>
      <c r="L9132" s="1063"/>
    </row>
    <row r="9133" spans="5:12" x14ac:dyDescent="0.2">
      <c r="E9133" s="1063"/>
      <c r="H9133" s="1066"/>
      <c r="I9133" s="1063"/>
      <c r="J9133" s="1063"/>
      <c r="K9133" s="1063"/>
      <c r="L9133" s="1063"/>
    </row>
    <row r="9134" spans="5:12" x14ac:dyDescent="0.2">
      <c r="E9134" s="1063"/>
      <c r="H9134" s="1066"/>
      <c r="I9134" s="1063"/>
      <c r="J9134" s="1063"/>
      <c r="K9134" s="1063"/>
      <c r="L9134" s="1063"/>
    </row>
    <row r="9135" spans="5:12" x14ac:dyDescent="0.2">
      <c r="E9135" s="1063"/>
      <c r="H9135" s="1066"/>
      <c r="I9135" s="1063"/>
      <c r="J9135" s="1063"/>
      <c r="K9135" s="1063"/>
      <c r="L9135" s="1063"/>
    </row>
    <row r="9136" spans="5:12" x14ac:dyDescent="0.2">
      <c r="E9136" s="1063"/>
      <c r="H9136" s="1066"/>
      <c r="I9136" s="1063"/>
      <c r="J9136" s="1063"/>
      <c r="K9136" s="1063"/>
      <c r="L9136" s="1063"/>
    </row>
    <row r="9137" spans="5:12" x14ac:dyDescent="0.2">
      <c r="E9137" s="1063"/>
      <c r="H9137" s="1066"/>
      <c r="I9137" s="1063"/>
      <c r="J9137" s="1063"/>
      <c r="K9137" s="1063"/>
      <c r="L9137" s="1063"/>
    </row>
    <row r="9138" spans="5:12" x14ac:dyDescent="0.2">
      <c r="E9138" s="1063"/>
      <c r="H9138" s="1066"/>
      <c r="I9138" s="1063"/>
      <c r="J9138" s="1063"/>
      <c r="K9138" s="1063"/>
      <c r="L9138" s="1063"/>
    </row>
    <row r="9139" spans="5:12" x14ac:dyDescent="0.2">
      <c r="E9139" s="1063"/>
      <c r="H9139" s="1066"/>
      <c r="I9139" s="1063"/>
      <c r="J9139" s="1063"/>
      <c r="K9139" s="1063"/>
      <c r="L9139" s="1063"/>
    </row>
    <row r="9140" spans="5:12" x14ac:dyDescent="0.2">
      <c r="E9140" s="1063"/>
      <c r="H9140" s="1066"/>
      <c r="I9140" s="1063"/>
      <c r="J9140" s="1063"/>
      <c r="K9140" s="1063"/>
      <c r="L9140" s="1063"/>
    </row>
    <row r="9141" spans="5:12" x14ac:dyDescent="0.2">
      <c r="E9141" s="1063"/>
      <c r="H9141" s="1066"/>
      <c r="I9141" s="1063"/>
      <c r="J9141" s="1063"/>
      <c r="K9141" s="1063"/>
      <c r="L9141" s="1063"/>
    </row>
    <row r="9142" spans="5:12" x14ac:dyDescent="0.2">
      <c r="E9142" s="1063"/>
      <c r="H9142" s="1066"/>
      <c r="I9142" s="1063"/>
      <c r="J9142" s="1063"/>
      <c r="K9142" s="1063"/>
      <c r="L9142" s="1063"/>
    </row>
    <row r="9143" spans="5:12" x14ac:dyDescent="0.2">
      <c r="E9143" s="1063"/>
      <c r="H9143" s="1066"/>
      <c r="I9143" s="1063"/>
      <c r="J9143" s="1063"/>
      <c r="K9143" s="1063"/>
      <c r="L9143" s="1063"/>
    </row>
    <row r="9144" spans="5:12" x14ac:dyDescent="0.2">
      <c r="E9144" s="1063"/>
      <c r="H9144" s="1066"/>
      <c r="I9144" s="1063"/>
      <c r="J9144" s="1063"/>
      <c r="K9144" s="1063"/>
      <c r="L9144" s="1063"/>
    </row>
    <row r="9145" spans="5:12" x14ac:dyDescent="0.2">
      <c r="E9145" s="1063"/>
      <c r="H9145" s="1066"/>
      <c r="I9145" s="1063"/>
      <c r="J9145" s="1063"/>
      <c r="K9145" s="1063"/>
      <c r="L9145" s="1063"/>
    </row>
    <row r="9146" spans="5:12" x14ac:dyDescent="0.2">
      <c r="E9146" s="1063"/>
      <c r="H9146" s="1066"/>
      <c r="I9146" s="1063"/>
      <c r="J9146" s="1063"/>
      <c r="K9146" s="1063"/>
      <c r="L9146" s="1063"/>
    </row>
    <row r="9147" spans="5:12" x14ac:dyDescent="0.2">
      <c r="E9147" s="1063"/>
      <c r="H9147" s="1066"/>
      <c r="I9147" s="1063"/>
      <c r="J9147" s="1063"/>
      <c r="K9147" s="1063"/>
      <c r="L9147" s="1063"/>
    </row>
    <row r="9148" spans="5:12" x14ac:dyDescent="0.2">
      <c r="E9148" s="1063"/>
      <c r="H9148" s="1066"/>
      <c r="I9148" s="1063"/>
      <c r="J9148" s="1063"/>
      <c r="K9148" s="1063"/>
      <c r="L9148" s="1063"/>
    </row>
    <row r="9149" spans="5:12" x14ac:dyDescent="0.2">
      <c r="E9149" s="1063"/>
      <c r="H9149" s="1066"/>
      <c r="I9149" s="1063"/>
      <c r="J9149" s="1063"/>
      <c r="K9149" s="1063"/>
      <c r="L9149" s="1063"/>
    </row>
    <row r="9150" spans="5:12" x14ac:dyDescent="0.2">
      <c r="E9150" s="1063"/>
      <c r="H9150" s="1066"/>
      <c r="I9150" s="1063"/>
      <c r="J9150" s="1063"/>
      <c r="K9150" s="1063"/>
      <c r="L9150" s="1063"/>
    </row>
    <row r="9151" spans="5:12" x14ac:dyDescent="0.2">
      <c r="E9151" s="1063"/>
      <c r="H9151" s="1066"/>
      <c r="I9151" s="1063"/>
      <c r="J9151" s="1063"/>
      <c r="K9151" s="1063"/>
      <c r="L9151" s="1063"/>
    </row>
    <row r="9152" spans="5:12" x14ac:dyDescent="0.2">
      <c r="E9152" s="1063"/>
      <c r="H9152" s="1066"/>
      <c r="I9152" s="1063"/>
      <c r="J9152" s="1063"/>
      <c r="K9152" s="1063"/>
      <c r="L9152" s="1063"/>
    </row>
    <row r="9153" spans="5:12" x14ac:dyDescent="0.2">
      <c r="E9153" s="1063"/>
      <c r="H9153" s="1066"/>
      <c r="I9153" s="1063"/>
      <c r="J9153" s="1063"/>
      <c r="K9153" s="1063"/>
      <c r="L9153" s="1063"/>
    </row>
    <row r="9154" spans="5:12" x14ac:dyDescent="0.2">
      <c r="E9154" s="1063"/>
      <c r="H9154" s="1066"/>
      <c r="I9154" s="1063"/>
      <c r="J9154" s="1063"/>
      <c r="K9154" s="1063"/>
      <c r="L9154" s="1063"/>
    </row>
    <row r="9155" spans="5:12" x14ac:dyDescent="0.2">
      <c r="E9155" s="1063"/>
      <c r="H9155" s="1066"/>
      <c r="I9155" s="1063"/>
      <c r="J9155" s="1063"/>
      <c r="K9155" s="1063"/>
      <c r="L9155" s="1063"/>
    </row>
    <row r="9156" spans="5:12" x14ac:dyDescent="0.2">
      <c r="E9156" s="1063"/>
      <c r="H9156" s="1066"/>
      <c r="I9156" s="1063"/>
      <c r="J9156" s="1063"/>
      <c r="K9156" s="1063"/>
      <c r="L9156" s="1063"/>
    </row>
    <row r="9157" spans="5:12" x14ac:dyDescent="0.2">
      <c r="E9157" s="1063"/>
      <c r="H9157" s="1066"/>
      <c r="I9157" s="1063"/>
      <c r="J9157" s="1063"/>
      <c r="K9157" s="1063"/>
      <c r="L9157" s="1063"/>
    </row>
    <row r="9158" spans="5:12" x14ac:dyDescent="0.2">
      <c r="E9158" s="1063"/>
      <c r="H9158" s="1066"/>
      <c r="I9158" s="1063"/>
      <c r="J9158" s="1063"/>
      <c r="K9158" s="1063"/>
      <c r="L9158" s="1063"/>
    </row>
    <row r="9159" spans="5:12" x14ac:dyDescent="0.2">
      <c r="E9159" s="1063"/>
      <c r="H9159" s="1066"/>
      <c r="I9159" s="1063"/>
      <c r="J9159" s="1063"/>
      <c r="K9159" s="1063"/>
      <c r="L9159" s="1063"/>
    </row>
    <row r="9160" spans="5:12" x14ac:dyDescent="0.2">
      <c r="E9160" s="1063"/>
      <c r="H9160" s="1066"/>
      <c r="I9160" s="1063"/>
      <c r="J9160" s="1063"/>
      <c r="K9160" s="1063"/>
      <c r="L9160" s="1063"/>
    </row>
    <row r="9161" spans="5:12" x14ac:dyDescent="0.2">
      <c r="E9161" s="1063"/>
      <c r="H9161" s="1066"/>
      <c r="I9161" s="1063"/>
      <c r="J9161" s="1063"/>
      <c r="K9161" s="1063"/>
      <c r="L9161" s="1063"/>
    </row>
    <row r="9162" spans="5:12" x14ac:dyDescent="0.2">
      <c r="E9162" s="1063"/>
      <c r="H9162" s="1066"/>
      <c r="I9162" s="1063"/>
      <c r="J9162" s="1063"/>
      <c r="K9162" s="1063"/>
      <c r="L9162" s="1063"/>
    </row>
    <row r="9163" spans="5:12" x14ac:dyDescent="0.2">
      <c r="E9163" s="1063"/>
      <c r="H9163" s="1066"/>
      <c r="I9163" s="1063"/>
      <c r="J9163" s="1063"/>
      <c r="K9163" s="1063"/>
      <c r="L9163" s="1063"/>
    </row>
    <row r="9164" spans="5:12" x14ac:dyDescent="0.2">
      <c r="E9164" s="1063"/>
      <c r="H9164" s="1066"/>
      <c r="I9164" s="1063"/>
      <c r="J9164" s="1063"/>
      <c r="K9164" s="1063"/>
      <c r="L9164" s="1063"/>
    </row>
    <row r="9165" spans="5:12" x14ac:dyDescent="0.2">
      <c r="E9165" s="1063"/>
      <c r="H9165" s="1066"/>
      <c r="I9165" s="1063"/>
      <c r="J9165" s="1063"/>
      <c r="K9165" s="1063"/>
      <c r="L9165" s="1063"/>
    </row>
    <row r="9166" spans="5:12" x14ac:dyDescent="0.2">
      <c r="E9166" s="1063"/>
      <c r="H9166" s="1066"/>
      <c r="I9166" s="1063"/>
      <c r="J9166" s="1063"/>
      <c r="K9166" s="1063"/>
      <c r="L9166" s="1063"/>
    </row>
    <row r="9167" spans="5:12" x14ac:dyDescent="0.2">
      <c r="E9167" s="1063"/>
      <c r="H9167" s="1066"/>
      <c r="I9167" s="1063"/>
      <c r="J9167" s="1063"/>
      <c r="K9167" s="1063"/>
      <c r="L9167" s="1063"/>
    </row>
    <row r="9168" spans="5:12" x14ac:dyDescent="0.2">
      <c r="E9168" s="1063"/>
      <c r="H9168" s="1066"/>
      <c r="I9168" s="1063"/>
      <c r="J9168" s="1063"/>
      <c r="K9168" s="1063"/>
      <c r="L9168" s="1063"/>
    </row>
    <row r="9169" spans="5:12" x14ac:dyDescent="0.2">
      <c r="E9169" s="1063"/>
      <c r="H9169" s="1066"/>
      <c r="I9169" s="1063"/>
      <c r="J9169" s="1063"/>
      <c r="K9169" s="1063"/>
      <c r="L9169" s="1063"/>
    </row>
    <row r="9170" spans="5:12" x14ac:dyDescent="0.2">
      <c r="E9170" s="1063"/>
      <c r="H9170" s="1066"/>
      <c r="I9170" s="1063"/>
      <c r="J9170" s="1063"/>
      <c r="K9170" s="1063"/>
      <c r="L9170" s="1063"/>
    </row>
    <row r="9171" spans="5:12" x14ac:dyDescent="0.2">
      <c r="E9171" s="1063"/>
      <c r="H9171" s="1066"/>
      <c r="I9171" s="1063"/>
      <c r="J9171" s="1063"/>
      <c r="K9171" s="1063"/>
      <c r="L9171" s="1063"/>
    </row>
    <row r="9172" spans="5:12" x14ac:dyDescent="0.2">
      <c r="E9172" s="1063"/>
      <c r="H9172" s="1066"/>
      <c r="I9172" s="1063"/>
      <c r="J9172" s="1063"/>
      <c r="K9172" s="1063"/>
      <c r="L9172" s="1063"/>
    </row>
    <row r="9173" spans="5:12" x14ac:dyDescent="0.2">
      <c r="E9173" s="1063"/>
      <c r="H9173" s="1066"/>
      <c r="I9173" s="1063"/>
      <c r="J9173" s="1063"/>
      <c r="K9173" s="1063"/>
      <c r="L9173" s="1063"/>
    </row>
    <row r="9174" spans="5:12" x14ac:dyDescent="0.2">
      <c r="E9174" s="1063"/>
      <c r="H9174" s="1066"/>
      <c r="I9174" s="1063"/>
      <c r="J9174" s="1063"/>
      <c r="K9174" s="1063"/>
      <c r="L9174" s="1063"/>
    </row>
    <row r="9175" spans="5:12" x14ac:dyDescent="0.2">
      <c r="E9175" s="1063"/>
      <c r="H9175" s="1066"/>
      <c r="I9175" s="1063"/>
      <c r="J9175" s="1063"/>
      <c r="K9175" s="1063"/>
      <c r="L9175" s="1063"/>
    </row>
    <row r="9176" spans="5:12" x14ac:dyDescent="0.2">
      <c r="E9176" s="1063"/>
      <c r="H9176" s="1066"/>
      <c r="I9176" s="1063"/>
      <c r="J9176" s="1063"/>
      <c r="K9176" s="1063"/>
      <c r="L9176" s="1063"/>
    </row>
    <row r="9177" spans="5:12" x14ac:dyDescent="0.2">
      <c r="E9177" s="1063"/>
      <c r="H9177" s="1066"/>
      <c r="I9177" s="1063"/>
      <c r="J9177" s="1063"/>
      <c r="K9177" s="1063"/>
      <c r="L9177" s="1063"/>
    </row>
    <row r="9178" spans="5:12" x14ac:dyDescent="0.2">
      <c r="E9178" s="1063"/>
      <c r="H9178" s="1066"/>
      <c r="I9178" s="1063"/>
      <c r="J9178" s="1063"/>
      <c r="K9178" s="1063"/>
      <c r="L9178" s="1063"/>
    </row>
    <row r="9179" spans="5:12" x14ac:dyDescent="0.2">
      <c r="E9179" s="1063"/>
      <c r="H9179" s="1066"/>
      <c r="I9179" s="1063"/>
      <c r="J9179" s="1063"/>
      <c r="K9179" s="1063"/>
      <c r="L9179" s="1063"/>
    </row>
    <row r="9180" spans="5:12" x14ac:dyDescent="0.2">
      <c r="E9180" s="1063"/>
      <c r="H9180" s="1066"/>
      <c r="I9180" s="1063"/>
      <c r="J9180" s="1063"/>
      <c r="K9180" s="1063"/>
      <c r="L9180" s="1063"/>
    </row>
    <row r="9181" spans="5:12" x14ac:dyDescent="0.2">
      <c r="E9181" s="1063"/>
      <c r="H9181" s="1066"/>
      <c r="I9181" s="1063"/>
      <c r="J9181" s="1063"/>
      <c r="K9181" s="1063"/>
      <c r="L9181" s="1063"/>
    </row>
    <row r="9182" spans="5:12" x14ac:dyDescent="0.2">
      <c r="E9182" s="1063"/>
      <c r="H9182" s="1066"/>
      <c r="I9182" s="1063"/>
      <c r="J9182" s="1063"/>
      <c r="K9182" s="1063"/>
      <c r="L9182" s="1063"/>
    </row>
    <row r="9183" spans="5:12" x14ac:dyDescent="0.2">
      <c r="E9183" s="1063"/>
      <c r="H9183" s="1066"/>
      <c r="I9183" s="1063"/>
      <c r="J9183" s="1063"/>
      <c r="K9183" s="1063"/>
      <c r="L9183" s="1063"/>
    </row>
    <row r="9184" spans="5:12" x14ac:dyDescent="0.2">
      <c r="E9184" s="1063"/>
      <c r="H9184" s="1066"/>
      <c r="I9184" s="1063"/>
      <c r="J9184" s="1063"/>
      <c r="K9184" s="1063"/>
      <c r="L9184" s="1063"/>
    </row>
    <row r="9185" spans="5:12" x14ac:dyDescent="0.2">
      <c r="E9185" s="1063"/>
      <c r="H9185" s="1066"/>
      <c r="I9185" s="1063"/>
      <c r="J9185" s="1063"/>
      <c r="K9185" s="1063"/>
      <c r="L9185" s="1063"/>
    </row>
    <row r="9186" spans="5:12" x14ac:dyDescent="0.2">
      <c r="E9186" s="1063"/>
      <c r="H9186" s="1066"/>
      <c r="I9186" s="1063"/>
      <c r="J9186" s="1063"/>
      <c r="K9186" s="1063"/>
      <c r="L9186" s="1063"/>
    </row>
    <row r="9187" spans="5:12" x14ac:dyDescent="0.2">
      <c r="E9187" s="1063"/>
      <c r="H9187" s="1066"/>
      <c r="I9187" s="1063"/>
      <c r="J9187" s="1063"/>
      <c r="K9187" s="1063"/>
      <c r="L9187" s="1063"/>
    </row>
    <row r="9188" spans="5:12" x14ac:dyDescent="0.2">
      <c r="E9188" s="1063"/>
      <c r="H9188" s="1066"/>
      <c r="I9188" s="1063"/>
      <c r="J9188" s="1063"/>
      <c r="K9188" s="1063"/>
      <c r="L9188" s="1063"/>
    </row>
    <row r="9189" spans="5:12" x14ac:dyDescent="0.2">
      <c r="E9189" s="1063"/>
      <c r="H9189" s="1066"/>
      <c r="I9189" s="1063"/>
      <c r="J9189" s="1063"/>
      <c r="K9189" s="1063"/>
      <c r="L9189" s="1063"/>
    </row>
    <row r="9190" spans="5:12" x14ac:dyDescent="0.2">
      <c r="E9190" s="1063"/>
      <c r="H9190" s="1066"/>
      <c r="I9190" s="1063"/>
      <c r="J9190" s="1063"/>
      <c r="K9190" s="1063"/>
      <c r="L9190" s="1063"/>
    </row>
    <row r="9191" spans="5:12" x14ac:dyDescent="0.2">
      <c r="E9191" s="1063"/>
      <c r="H9191" s="1066"/>
      <c r="I9191" s="1063"/>
      <c r="J9191" s="1063"/>
      <c r="K9191" s="1063"/>
      <c r="L9191" s="1063"/>
    </row>
    <row r="9192" spans="5:12" x14ac:dyDescent="0.2">
      <c r="E9192" s="1063"/>
      <c r="H9192" s="1066"/>
      <c r="I9192" s="1063"/>
      <c r="J9192" s="1063"/>
      <c r="K9192" s="1063"/>
      <c r="L9192" s="1063"/>
    </row>
    <row r="9193" spans="5:12" x14ac:dyDescent="0.2">
      <c r="E9193" s="1063"/>
      <c r="H9193" s="1066"/>
      <c r="I9193" s="1063"/>
      <c r="J9193" s="1063"/>
      <c r="K9193" s="1063"/>
      <c r="L9193" s="1063"/>
    </row>
    <row r="9194" spans="5:12" x14ac:dyDescent="0.2">
      <c r="E9194" s="1063"/>
      <c r="H9194" s="1066"/>
      <c r="I9194" s="1063"/>
      <c r="J9194" s="1063"/>
      <c r="K9194" s="1063"/>
      <c r="L9194" s="1063"/>
    </row>
    <row r="9195" spans="5:12" x14ac:dyDescent="0.2">
      <c r="E9195" s="1063"/>
      <c r="H9195" s="1066"/>
      <c r="I9195" s="1063"/>
      <c r="J9195" s="1063"/>
      <c r="K9195" s="1063"/>
      <c r="L9195" s="1063"/>
    </row>
    <row r="9196" spans="5:12" x14ac:dyDescent="0.2">
      <c r="E9196" s="1063"/>
      <c r="H9196" s="1066"/>
      <c r="I9196" s="1063"/>
      <c r="J9196" s="1063"/>
      <c r="K9196" s="1063"/>
      <c r="L9196" s="1063"/>
    </row>
    <row r="9197" spans="5:12" x14ac:dyDescent="0.2">
      <c r="E9197" s="1063"/>
      <c r="H9197" s="1066"/>
      <c r="I9197" s="1063"/>
      <c r="J9197" s="1063"/>
      <c r="K9197" s="1063"/>
      <c r="L9197" s="1063"/>
    </row>
    <row r="9198" spans="5:12" x14ac:dyDescent="0.2">
      <c r="E9198" s="1063"/>
      <c r="H9198" s="1066"/>
      <c r="I9198" s="1063"/>
      <c r="J9198" s="1063"/>
      <c r="K9198" s="1063"/>
      <c r="L9198" s="1063"/>
    </row>
    <row r="9199" spans="5:12" x14ac:dyDescent="0.2">
      <c r="E9199" s="1063"/>
      <c r="H9199" s="1066"/>
      <c r="I9199" s="1063"/>
      <c r="J9199" s="1063"/>
      <c r="K9199" s="1063"/>
      <c r="L9199" s="1063"/>
    </row>
    <row r="9200" spans="5:12" x14ac:dyDescent="0.2">
      <c r="E9200" s="1063"/>
      <c r="H9200" s="1066"/>
      <c r="I9200" s="1063"/>
      <c r="J9200" s="1063"/>
      <c r="K9200" s="1063"/>
      <c r="L9200" s="1063"/>
    </row>
    <row r="9201" spans="5:12" x14ac:dyDescent="0.2">
      <c r="E9201" s="1063"/>
      <c r="H9201" s="1066"/>
      <c r="I9201" s="1063"/>
      <c r="J9201" s="1063"/>
      <c r="K9201" s="1063"/>
      <c r="L9201" s="1063"/>
    </row>
    <row r="9202" spans="5:12" x14ac:dyDescent="0.2">
      <c r="E9202" s="1063"/>
      <c r="H9202" s="1066"/>
      <c r="I9202" s="1063"/>
      <c r="J9202" s="1063"/>
      <c r="K9202" s="1063"/>
      <c r="L9202" s="1063"/>
    </row>
    <row r="9203" spans="5:12" x14ac:dyDescent="0.2">
      <c r="E9203" s="1063"/>
      <c r="H9203" s="1066"/>
      <c r="I9203" s="1063"/>
      <c r="J9203" s="1063"/>
      <c r="K9203" s="1063"/>
      <c r="L9203" s="1063"/>
    </row>
    <row r="9204" spans="5:12" x14ac:dyDescent="0.2">
      <c r="E9204" s="1063"/>
      <c r="H9204" s="1066"/>
      <c r="I9204" s="1063"/>
      <c r="J9204" s="1063"/>
      <c r="K9204" s="1063"/>
      <c r="L9204" s="1063"/>
    </row>
    <row r="9205" spans="5:12" x14ac:dyDescent="0.2">
      <c r="E9205" s="1063"/>
      <c r="H9205" s="1066"/>
      <c r="I9205" s="1063"/>
      <c r="J9205" s="1063"/>
      <c r="K9205" s="1063"/>
      <c r="L9205" s="1063"/>
    </row>
    <row r="9206" spans="5:12" x14ac:dyDescent="0.2">
      <c r="E9206" s="1063"/>
      <c r="H9206" s="1066"/>
      <c r="I9206" s="1063"/>
      <c r="J9206" s="1063"/>
      <c r="K9206" s="1063"/>
      <c r="L9206" s="1063"/>
    </row>
    <row r="9207" spans="5:12" x14ac:dyDescent="0.2">
      <c r="E9207" s="1063"/>
      <c r="H9207" s="1066"/>
      <c r="I9207" s="1063"/>
      <c r="J9207" s="1063"/>
      <c r="K9207" s="1063"/>
      <c r="L9207" s="1063"/>
    </row>
    <row r="9208" spans="5:12" x14ac:dyDescent="0.2">
      <c r="E9208" s="1063"/>
      <c r="H9208" s="1066"/>
      <c r="I9208" s="1063"/>
      <c r="J9208" s="1063"/>
      <c r="K9208" s="1063"/>
      <c r="L9208" s="1063"/>
    </row>
    <row r="9209" spans="5:12" x14ac:dyDescent="0.2">
      <c r="E9209" s="1063"/>
      <c r="H9209" s="1066"/>
      <c r="I9209" s="1063"/>
      <c r="J9209" s="1063"/>
      <c r="K9209" s="1063"/>
      <c r="L9209" s="1063"/>
    </row>
    <row r="9210" spans="5:12" x14ac:dyDescent="0.2">
      <c r="E9210" s="1063"/>
      <c r="H9210" s="1066"/>
      <c r="I9210" s="1063"/>
      <c r="J9210" s="1063"/>
      <c r="K9210" s="1063"/>
      <c r="L9210" s="1063"/>
    </row>
    <row r="9211" spans="5:12" x14ac:dyDescent="0.2">
      <c r="E9211" s="1063"/>
      <c r="H9211" s="1066"/>
      <c r="I9211" s="1063"/>
      <c r="J9211" s="1063"/>
      <c r="K9211" s="1063"/>
      <c r="L9211" s="1063"/>
    </row>
    <row r="9212" spans="5:12" x14ac:dyDescent="0.2">
      <c r="E9212" s="1063"/>
      <c r="H9212" s="1066"/>
      <c r="I9212" s="1063"/>
      <c r="J9212" s="1063"/>
      <c r="K9212" s="1063"/>
      <c r="L9212" s="1063"/>
    </row>
    <row r="9213" spans="5:12" x14ac:dyDescent="0.2">
      <c r="E9213" s="1063"/>
      <c r="H9213" s="1066"/>
      <c r="I9213" s="1063"/>
      <c r="J9213" s="1063"/>
      <c r="K9213" s="1063"/>
      <c r="L9213" s="1063"/>
    </row>
    <row r="9214" spans="5:12" x14ac:dyDescent="0.2">
      <c r="E9214" s="1063"/>
      <c r="H9214" s="1066"/>
      <c r="I9214" s="1063"/>
      <c r="J9214" s="1063"/>
      <c r="K9214" s="1063"/>
      <c r="L9214" s="1063"/>
    </row>
    <row r="9215" spans="5:12" x14ac:dyDescent="0.2">
      <c r="E9215" s="1063"/>
      <c r="H9215" s="1066"/>
      <c r="I9215" s="1063"/>
      <c r="J9215" s="1063"/>
      <c r="K9215" s="1063"/>
      <c r="L9215" s="1063"/>
    </row>
    <row r="9216" spans="5:12" x14ac:dyDescent="0.2">
      <c r="E9216" s="1063"/>
      <c r="H9216" s="1066"/>
      <c r="I9216" s="1063"/>
      <c r="J9216" s="1063"/>
      <c r="K9216" s="1063"/>
      <c r="L9216" s="1063"/>
    </row>
    <row r="9217" spans="5:12" x14ac:dyDescent="0.2">
      <c r="E9217" s="1063"/>
      <c r="H9217" s="1066"/>
      <c r="I9217" s="1063"/>
      <c r="J9217" s="1063"/>
      <c r="K9217" s="1063"/>
      <c r="L9217" s="1063"/>
    </row>
    <row r="9218" spans="5:12" x14ac:dyDescent="0.2">
      <c r="E9218" s="1063"/>
      <c r="H9218" s="1066"/>
      <c r="I9218" s="1063"/>
      <c r="J9218" s="1063"/>
      <c r="K9218" s="1063"/>
      <c r="L9218" s="1063"/>
    </row>
    <row r="9219" spans="5:12" x14ac:dyDescent="0.2">
      <c r="E9219" s="1063"/>
      <c r="H9219" s="1066"/>
      <c r="I9219" s="1063"/>
      <c r="J9219" s="1063"/>
      <c r="K9219" s="1063"/>
      <c r="L9219" s="1063"/>
    </row>
    <row r="9220" spans="5:12" x14ac:dyDescent="0.2">
      <c r="E9220" s="1063"/>
      <c r="H9220" s="1066"/>
      <c r="I9220" s="1063"/>
      <c r="J9220" s="1063"/>
      <c r="K9220" s="1063"/>
      <c r="L9220" s="1063"/>
    </row>
    <row r="9221" spans="5:12" x14ac:dyDescent="0.2">
      <c r="E9221" s="1063"/>
      <c r="H9221" s="1066"/>
      <c r="I9221" s="1063"/>
      <c r="J9221" s="1063"/>
      <c r="K9221" s="1063"/>
      <c r="L9221" s="1063"/>
    </row>
    <row r="9222" spans="5:12" x14ac:dyDescent="0.2">
      <c r="E9222" s="1063"/>
      <c r="H9222" s="1066"/>
      <c r="I9222" s="1063"/>
      <c r="J9222" s="1063"/>
      <c r="K9222" s="1063"/>
      <c r="L9222" s="1063"/>
    </row>
    <row r="9223" spans="5:12" x14ac:dyDescent="0.2">
      <c r="E9223" s="1063"/>
      <c r="H9223" s="1066"/>
      <c r="I9223" s="1063"/>
      <c r="J9223" s="1063"/>
      <c r="K9223" s="1063"/>
      <c r="L9223" s="1063"/>
    </row>
    <row r="9224" spans="5:12" x14ac:dyDescent="0.2">
      <c r="E9224" s="1063"/>
      <c r="H9224" s="1066"/>
      <c r="I9224" s="1063"/>
      <c r="J9224" s="1063"/>
      <c r="K9224" s="1063"/>
      <c r="L9224" s="1063"/>
    </row>
    <row r="9225" spans="5:12" x14ac:dyDescent="0.2">
      <c r="E9225" s="1063"/>
      <c r="H9225" s="1066"/>
      <c r="I9225" s="1063"/>
      <c r="J9225" s="1063"/>
      <c r="K9225" s="1063"/>
      <c r="L9225" s="1063"/>
    </row>
    <row r="9226" spans="5:12" x14ac:dyDescent="0.2">
      <c r="E9226" s="1063"/>
      <c r="H9226" s="1066"/>
      <c r="I9226" s="1063"/>
      <c r="J9226" s="1063"/>
      <c r="K9226" s="1063"/>
      <c r="L9226" s="1063"/>
    </row>
    <row r="9227" spans="5:12" x14ac:dyDescent="0.2">
      <c r="E9227" s="1063"/>
      <c r="H9227" s="1066"/>
      <c r="I9227" s="1063"/>
      <c r="J9227" s="1063"/>
      <c r="K9227" s="1063"/>
      <c r="L9227" s="1063"/>
    </row>
    <row r="9228" spans="5:12" x14ac:dyDescent="0.2">
      <c r="E9228" s="1063"/>
      <c r="H9228" s="1066"/>
      <c r="I9228" s="1063"/>
      <c r="J9228" s="1063"/>
      <c r="K9228" s="1063"/>
      <c r="L9228" s="1063"/>
    </row>
    <row r="9229" spans="5:12" x14ac:dyDescent="0.2">
      <c r="E9229" s="1063"/>
      <c r="H9229" s="1066"/>
      <c r="I9229" s="1063"/>
      <c r="J9229" s="1063"/>
      <c r="K9229" s="1063"/>
      <c r="L9229" s="1063"/>
    </row>
    <row r="9230" spans="5:12" x14ac:dyDescent="0.2">
      <c r="E9230" s="1063"/>
      <c r="H9230" s="1066"/>
      <c r="I9230" s="1063"/>
      <c r="J9230" s="1063"/>
      <c r="K9230" s="1063"/>
      <c r="L9230" s="1063"/>
    </row>
    <row r="9231" spans="5:12" x14ac:dyDescent="0.2">
      <c r="E9231" s="1063"/>
      <c r="H9231" s="1066"/>
      <c r="I9231" s="1063"/>
      <c r="J9231" s="1063"/>
      <c r="K9231" s="1063"/>
      <c r="L9231" s="1063"/>
    </row>
    <row r="9232" spans="5:12" x14ac:dyDescent="0.2">
      <c r="E9232" s="1063"/>
      <c r="H9232" s="1066"/>
      <c r="I9232" s="1063"/>
      <c r="J9232" s="1063"/>
      <c r="K9232" s="1063"/>
      <c r="L9232" s="1063"/>
    </row>
    <row r="9233" spans="5:12" x14ac:dyDescent="0.2">
      <c r="E9233" s="1063"/>
      <c r="H9233" s="1066"/>
      <c r="I9233" s="1063"/>
      <c r="J9233" s="1063"/>
      <c r="K9233" s="1063"/>
      <c r="L9233" s="1063"/>
    </row>
    <row r="9234" spans="5:12" x14ac:dyDescent="0.2">
      <c r="E9234" s="1063"/>
      <c r="H9234" s="1066"/>
      <c r="I9234" s="1063"/>
      <c r="J9234" s="1063"/>
      <c r="K9234" s="1063"/>
      <c r="L9234" s="1063"/>
    </row>
    <row r="9235" spans="5:12" x14ac:dyDescent="0.2">
      <c r="E9235" s="1063"/>
      <c r="H9235" s="1066"/>
      <c r="I9235" s="1063"/>
      <c r="J9235" s="1063"/>
      <c r="K9235" s="1063"/>
      <c r="L9235" s="1063"/>
    </row>
    <row r="9236" spans="5:12" x14ac:dyDescent="0.2">
      <c r="E9236" s="1063"/>
      <c r="H9236" s="1066"/>
      <c r="I9236" s="1063"/>
      <c r="J9236" s="1063"/>
      <c r="K9236" s="1063"/>
      <c r="L9236" s="1063"/>
    </row>
    <row r="9237" spans="5:12" x14ac:dyDescent="0.2">
      <c r="E9237" s="1063"/>
      <c r="H9237" s="1066"/>
      <c r="I9237" s="1063"/>
      <c r="J9237" s="1063"/>
      <c r="K9237" s="1063"/>
      <c r="L9237" s="1063"/>
    </row>
    <row r="9238" spans="5:12" x14ac:dyDescent="0.2">
      <c r="E9238" s="1063"/>
      <c r="H9238" s="1066"/>
      <c r="I9238" s="1063"/>
      <c r="J9238" s="1063"/>
      <c r="K9238" s="1063"/>
      <c r="L9238" s="1063"/>
    </row>
    <row r="9239" spans="5:12" x14ac:dyDescent="0.2">
      <c r="E9239" s="1063"/>
      <c r="H9239" s="1066"/>
      <c r="I9239" s="1063"/>
      <c r="J9239" s="1063"/>
      <c r="K9239" s="1063"/>
      <c r="L9239" s="1063"/>
    </row>
    <row r="9240" spans="5:12" x14ac:dyDescent="0.2">
      <c r="E9240" s="1063"/>
      <c r="H9240" s="1066"/>
      <c r="I9240" s="1063"/>
      <c r="J9240" s="1063"/>
      <c r="K9240" s="1063"/>
      <c r="L9240" s="1063"/>
    </row>
    <row r="9241" spans="5:12" x14ac:dyDescent="0.2">
      <c r="E9241" s="1063"/>
      <c r="H9241" s="1066"/>
      <c r="I9241" s="1063"/>
      <c r="J9241" s="1063"/>
      <c r="K9241" s="1063"/>
      <c r="L9241" s="1063"/>
    </row>
    <row r="9242" spans="5:12" x14ac:dyDescent="0.2">
      <c r="E9242" s="1063"/>
      <c r="H9242" s="1066"/>
      <c r="I9242" s="1063"/>
      <c r="J9242" s="1063"/>
      <c r="K9242" s="1063"/>
      <c r="L9242" s="1063"/>
    </row>
    <row r="9243" spans="5:12" x14ac:dyDescent="0.2">
      <c r="E9243" s="1063"/>
      <c r="H9243" s="1066"/>
      <c r="I9243" s="1063"/>
      <c r="J9243" s="1063"/>
      <c r="K9243" s="1063"/>
      <c r="L9243" s="1063"/>
    </row>
    <row r="9244" spans="5:12" x14ac:dyDescent="0.2">
      <c r="E9244" s="1063"/>
      <c r="H9244" s="1066"/>
      <c r="I9244" s="1063"/>
      <c r="J9244" s="1063"/>
      <c r="K9244" s="1063"/>
      <c r="L9244" s="1063"/>
    </row>
    <row r="9245" spans="5:12" x14ac:dyDescent="0.2">
      <c r="E9245" s="1063"/>
      <c r="H9245" s="1066"/>
      <c r="I9245" s="1063"/>
      <c r="J9245" s="1063"/>
      <c r="K9245" s="1063"/>
      <c r="L9245" s="1063"/>
    </row>
    <row r="9246" spans="5:12" x14ac:dyDescent="0.2">
      <c r="E9246" s="1063"/>
      <c r="H9246" s="1066"/>
      <c r="I9246" s="1063"/>
      <c r="J9246" s="1063"/>
      <c r="K9246" s="1063"/>
      <c r="L9246" s="1063"/>
    </row>
    <row r="9247" spans="5:12" x14ac:dyDescent="0.2">
      <c r="E9247" s="1063"/>
      <c r="H9247" s="1066"/>
      <c r="I9247" s="1063"/>
      <c r="J9247" s="1063"/>
      <c r="K9247" s="1063"/>
      <c r="L9247" s="1063"/>
    </row>
    <row r="9248" spans="5:12" x14ac:dyDescent="0.2">
      <c r="E9248" s="1063"/>
      <c r="H9248" s="1066"/>
      <c r="I9248" s="1063"/>
      <c r="J9248" s="1063"/>
      <c r="K9248" s="1063"/>
      <c r="L9248" s="1063"/>
    </row>
    <row r="9249" spans="5:12" x14ac:dyDescent="0.2">
      <c r="E9249" s="1063"/>
      <c r="H9249" s="1066"/>
      <c r="I9249" s="1063"/>
      <c r="J9249" s="1063"/>
      <c r="K9249" s="1063"/>
      <c r="L9249" s="1063"/>
    </row>
    <row r="9250" spans="5:12" x14ac:dyDescent="0.2">
      <c r="E9250" s="1063"/>
      <c r="H9250" s="1066"/>
      <c r="I9250" s="1063"/>
      <c r="J9250" s="1063"/>
      <c r="K9250" s="1063"/>
      <c r="L9250" s="1063"/>
    </row>
    <row r="9251" spans="5:12" x14ac:dyDescent="0.2">
      <c r="E9251" s="1063"/>
      <c r="H9251" s="1066"/>
      <c r="I9251" s="1063"/>
      <c r="J9251" s="1063"/>
      <c r="K9251" s="1063"/>
      <c r="L9251" s="1063"/>
    </row>
    <row r="9252" spans="5:12" x14ac:dyDescent="0.2">
      <c r="E9252" s="1063"/>
      <c r="H9252" s="1066"/>
      <c r="I9252" s="1063"/>
      <c r="J9252" s="1063"/>
      <c r="K9252" s="1063"/>
      <c r="L9252" s="1063"/>
    </row>
    <row r="9253" spans="5:12" x14ac:dyDescent="0.2">
      <c r="E9253" s="1063"/>
      <c r="H9253" s="1066"/>
      <c r="I9253" s="1063"/>
      <c r="J9253" s="1063"/>
      <c r="K9253" s="1063"/>
      <c r="L9253" s="1063"/>
    </row>
    <row r="9254" spans="5:12" x14ac:dyDescent="0.2">
      <c r="E9254" s="1063"/>
      <c r="H9254" s="1066"/>
      <c r="I9254" s="1063"/>
      <c r="J9254" s="1063"/>
      <c r="K9254" s="1063"/>
      <c r="L9254" s="1063"/>
    </row>
    <row r="9255" spans="5:12" x14ac:dyDescent="0.2">
      <c r="E9255" s="1063"/>
      <c r="H9255" s="1066"/>
      <c r="I9255" s="1063"/>
      <c r="J9255" s="1063"/>
      <c r="K9255" s="1063"/>
      <c r="L9255" s="1063"/>
    </row>
    <row r="9256" spans="5:12" x14ac:dyDescent="0.2">
      <c r="E9256" s="1063"/>
      <c r="H9256" s="1066"/>
      <c r="I9256" s="1063"/>
      <c r="J9256" s="1063"/>
      <c r="K9256" s="1063"/>
      <c r="L9256" s="1063"/>
    </row>
    <row r="9257" spans="5:12" x14ac:dyDescent="0.2">
      <c r="E9257" s="1063"/>
      <c r="H9257" s="1066"/>
      <c r="I9257" s="1063"/>
      <c r="J9257" s="1063"/>
      <c r="K9257" s="1063"/>
      <c r="L9257" s="1063"/>
    </row>
    <row r="9258" spans="5:12" x14ac:dyDescent="0.2">
      <c r="E9258" s="1063"/>
      <c r="H9258" s="1066"/>
      <c r="I9258" s="1063"/>
      <c r="J9258" s="1063"/>
      <c r="K9258" s="1063"/>
      <c r="L9258" s="1063"/>
    </row>
    <row r="9259" spans="5:12" x14ac:dyDescent="0.2">
      <c r="E9259" s="1063"/>
      <c r="H9259" s="1066"/>
      <c r="I9259" s="1063"/>
      <c r="J9259" s="1063"/>
      <c r="K9259" s="1063"/>
      <c r="L9259" s="1063"/>
    </row>
    <row r="9260" spans="5:12" x14ac:dyDescent="0.2">
      <c r="E9260" s="1063"/>
      <c r="H9260" s="1066"/>
      <c r="I9260" s="1063"/>
      <c r="J9260" s="1063"/>
      <c r="K9260" s="1063"/>
      <c r="L9260" s="1063"/>
    </row>
    <row r="9261" spans="5:12" x14ac:dyDescent="0.2">
      <c r="E9261" s="1063"/>
      <c r="H9261" s="1066"/>
      <c r="I9261" s="1063"/>
      <c r="J9261" s="1063"/>
      <c r="K9261" s="1063"/>
      <c r="L9261" s="1063"/>
    </row>
    <row r="9262" spans="5:12" x14ac:dyDescent="0.2">
      <c r="E9262" s="1063"/>
      <c r="H9262" s="1066"/>
      <c r="I9262" s="1063"/>
      <c r="J9262" s="1063"/>
      <c r="K9262" s="1063"/>
      <c r="L9262" s="1063"/>
    </row>
    <row r="9263" spans="5:12" x14ac:dyDescent="0.2">
      <c r="E9263" s="1063"/>
      <c r="H9263" s="1066"/>
      <c r="I9263" s="1063"/>
      <c r="J9263" s="1063"/>
      <c r="K9263" s="1063"/>
      <c r="L9263" s="1063"/>
    </row>
    <row r="9264" spans="5:12" x14ac:dyDescent="0.2">
      <c r="E9264" s="1063"/>
      <c r="H9264" s="1066"/>
      <c r="I9264" s="1063"/>
      <c r="J9264" s="1063"/>
      <c r="K9264" s="1063"/>
      <c r="L9264" s="1063"/>
    </row>
    <row r="9265" spans="5:12" x14ac:dyDescent="0.2">
      <c r="E9265" s="1063"/>
      <c r="H9265" s="1066"/>
      <c r="I9265" s="1063"/>
      <c r="J9265" s="1063"/>
      <c r="K9265" s="1063"/>
      <c r="L9265" s="1063"/>
    </row>
    <row r="9266" spans="5:12" x14ac:dyDescent="0.2">
      <c r="E9266" s="1063"/>
      <c r="H9266" s="1066"/>
      <c r="I9266" s="1063"/>
      <c r="J9266" s="1063"/>
      <c r="K9266" s="1063"/>
      <c r="L9266" s="1063"/>
    </row>
    <row r="9267" spans="5:12" x14ac:dyDescent="0.2">
      <c r="E9267" s="1063"/>
      <c r="H9267" s="1066"/>
      <c r="I9267" s="1063"/>
      <c r="J9267" s="1063"/>
      <c r="K9267" s="1063"/>
      <c r="L9267" s="1063"/>
    </row>
    <row r="9268" spans="5:12" x14ac:dyDescent="0.2">
      <c r="E9268" s="1063"/>
      <c r="H9268" s="1066"/>
      <c r="I9268" s="1063"/>
      <c r="J9268" s="1063"/>
      <c r="K9268" s="1063"/>
      <c r="L9268" s="1063"/>
    </row>
    <row r="9269" spans="5:12" x14ac:dyDescent="0.2">
      <c r="E9269" s="1063"/>
      <c r="H9269" s="1066"/>
      <c r="I9269" s="1063"/>
      <c r="J9269" s="1063"/>
      <c r="K9269" s="1063"/>
      <c r="L9269" s="1063"/>
    </row>
    <row r="9270" spans="5:12" x14ac:dyDescent="0.2">
      <c r="E9270" s="1063"/>
      <c r="H9270" s="1066"/>
      <c r="I9270" s="1063"/>
      <c r="J9270" s="1063"/>
      <c r="K9270" s="1063"/>
      <c r="L9270" s="1063"/>
    </row>
    <row r="9271" spans="5:12" x14ac:dyDescent="0.2">
      <c r="E9271" s="1063"/>
      <c r="H9271" s="1066"/>
      <c r="I9271" s="1063"/>
      <c r="J9271" s="1063"/>
      <c r="K9271" s="1063"/>
      <c r="L9271" s="1063"/>
    </row>
    <row r="9272" spans="5:12" x14ac:dyDescent="0.2">
      <c r="E9272" s="1063"/>
      <c r="H9272" s="1066"/>
      <c r="I9272" s="1063"/>
      <c r="J9272" s="1063"/>
      <c r="K9272" s="1063"/>
      <c r="L9272" s="1063"/>
    </row>
    <row r="9273" spans="5:12" x14ac:dyDescent="0.2">
      <c r="E9273" s="1063"/>
      <c r="H9273" s="1066"/>
      <c r="I9273" s="1063"/>
      <c r="J9273" s="1063"/>
      <c r="K9273" s="1063"/>
      <c r="L9273" s="1063"/>
    </row>
    <row r="9274" spans="5:12" x14ac:dyDescent="0.2">
      <c r="E9274" s="1063"/>
      <c r="H9274" s="1066"/>
      <c r="I9274" s="1063"/>
      <c r="J9274" s="1063"/>
      <c r="K9274" s="1063"/>
      <c r="L9274" s="1063"/>
    </row>
    <row r="9275" spans="5:12" x14ac:dyDescent="0.2">
      <c r="E9275" s="1063"/>
      <c r="H9275" s="1066"/>
      <c r="I9275" s="1063"/>
      <c r="J9275" s="1063"/>
      <c r="K9275" s="1063"/>
      <c r="L9275" s="1063"/>
    </row>
    <row r="9276" spans="5:12" x14ac:dyDescent="0.2">
      <c r="E9276" s="1063"/>
      <c r="H9276" s="1066"/>
      <c r="I9276" s="1063"/>
      <c r="J9276" s="1063"/>
      <c r="K9276" s="1063"/>
      <c r="L9276" s="1063"/>
    </row>
    <row r="9277" spans="5:12" x14ac:dyDescent="0.2">
      <c r="E9277" s="1063"/>
      <c r="H9277" s="1066"/>
      <c r="I9277" s="1063"/>
      <c r="J9277" s="1063"/>
      <c r="K9277" s="1063"/>
      <c r="L9277" s="1063"/>
    </row>
    <row r="9278" spans="5:12" x14ac:dyDescent="0.2">
      <c r="E9278" s="1063"/>
      <c r="H9278" s="1066"/>
      <c r="I9278" s="1063"/>
      <c r="J9278" s="1063"/>
      <c r="K9278" s="1063"/>
      <c r="L9278" s="1063"/>
    </row>
    <row r="9279" spans="5:12" x14ac:dyDescent="0.2">
      <c r="E9279" s="1063"/>
      <c r="H9279" s="1066"/>
      <c r="I9279" s="1063"/>
      <c r="J9279" s="1063"/>
      <c r="K9279" s="1063"/>
      <c r="L9279" s="1063"/>
    </row>
    <row r="9280" spans="5:12" x14ac:dyDescent="0.2">
      <c r="E9280" s="1063"/>
      <c r="H9280" s="1066"/>
      <c r="I9280" s="1063"/>
      <c r="J9280" s="1063"/>
      <c r="K9280" s="1063"/>
      <c r="L9280" s="1063"/>
    </row>
    <row r="9281" spans="5:12" x14ac:dyDescent="0.2">
      <c r="E9281" s="1063"/>
      <c r="H9281" s="1066"/>
      <c r="I9281" s="1063"/>
      <c r="J9281" s="1063"/>
      <c r="K9281" s="1063"/>
      <c r="L9281" s="1063"/>
    </row>
    <row r="9282" spans="5:12" x14ac:dyDescent="0.2">
      <c r="E9282" s="1063"/>
      <c r="H9282" s="1066"/>
      <c r="I9282" s="1063"/>
      <c r="J9282" s="1063"/>
      <c r="K9282" s="1063"/>
      <c r="L9282" s="1063"/>
    </row>
    <row r="9283" spans="5:12" x14ac:dyDescent="0.2">
      <c r="E9283" s="1063"/>
      <c r="H9283" s="1066"/>
      <c r="I9283" s="1063"/>
      <c r="J9283" s="1063"/>
      <c r="K9283" s="1063"/>
      <c r="L9283" s="1063"/>
    </row>
    <row r="9284" spans="5:12" x14ac:dyDescent="0.2">
      <c r="E9284" s="1063"/>
      <c r="H9284" s="1066"/>
      <c r="I9284" s="1063"/>
      <c r="J9284" s="1063"/>
      <c r="K9284" s="1063"/>
      <c r="L9284" s="1063"/>
    </row>
    <row r="9285" spans="5:12" x14ac:dyDescent="0.2">
      <c r="E9285" s="1063"/>
      <c r="H9285" s="1066"/>
      <c r="I9285" s="1063"/>
      <c r="J9285" s="1063"/>
      <c r="K9285" s="1063"/>
      <c r="L9285" s="1063"/>
    </row>
    <row r="9286" spans="5:12" x14ac:dyDescent="0.2">
      <c r="E9286" s="1063"/>
      <c r="H9286" s="1066"/>
      <c r="I9286" s="1063"/>
      <c r="J9286" s="1063"/>
      <c r="K9286" s="1063"/>
      <c r="L9286" s="1063"/>
    </row>
    <row r="9287" spans="5:12" x14ac:dyDescent="0.2">
      <c r="E9287" s="1063"/>
      <c r="H9287" s="1066"/>
      <c r="I9287" s="1063"/>
      <c r="J9287" s="1063"/>
      <c r="K9287" s="1063"/>
      <c r="L9287" s="1063"/>
    </row>
    <row r="9288" spans="5:12" x14ac:dyDescent="0.2">
      <c r="E9288" s="1063"/>
      <c r="H9288" s="1066"/>
      <c r="I9288" s="1063"/>
      <c r="J9288" s="1063"/>
      <c r="K9288" s="1063"/>
      <c r="L9288" s="1063"/>
    </row>
    <row r="9289" spans="5:12" x14ac:dyDescent="0.2">
      <c r="E9289" s="1063"/>
      <c r="H9289" s="1066"/>
      <c r="I9289" s="1063"/>
      <c r="J9289" s="1063"/>
      <c r="K9289" s="1063"/>
      <c r="L9289" s="1063"/>
    </row>
    <row r="9290" spans="5:12" x14ac:dyDescent="0.2">
      <c r="E9290" s="1063"/>
      <c r="H9290" s="1066"/>
      <c r="I9290" s="1063"/>
      <c r="J9290" s="1063"/>
      <c r="K9290" s="1063"/>
      <c r="L9290" s="1063"/>
    </row>
    <row r="9291" spans="5:12" x14ac:dyDescent="0.2">
      <c r="E9291" s="1063"/>
      <c r="H9291" s="1066"/>
      <c r="I9291" s="1063"/>
      <c r="J9291" s="1063"/>
      <c r="K9291" s="1063"/>
      <c r="L9291" s="1063"/>
    </row>
    <row r="9292" spans="5:12" x14ac:dyDescent="0.2">
      <c r="E9292" s="1063"/>
      <c r="H9292" s="1066"/>
      <c r="I9292" s="1063"/>
      <c r="J9292" s="1063"/>
      <c r="K9292" s="1063"/>
      <c r="L9292" s="1063"/>
    </row>
    <row r="9293" spans="5:12" x14ac:dyDescent="0.2">
      <c r="E9293" s="1063"/>
      <c r="H9293" s="1066"/>
      <c r="I9293" s="1063"/>
      <c r="J9293" s="1063"/>
      <c r="K9293" s="1063"/>
      <c r="L9293" s="1063"/>
    </row>
    <row r="9294" spans="5:12" x14ac:dyDescent="0.2">
      <c r="E9294" s="1063"/>
      <c r="H9294" s="1066"/>
      <c r="I9294" s="1063"/>
      <c r="J9294" s="1063"/>
      <c r="K9294" s="1063"/>
      <c r="L9294" s="1063"/>
    </row>
    <row r="9295" spans="5:12" x14ac:dyDescent="0.2">
      <c r="E9295" s="1063"/>
      <c r="H9295" s="1066"/>
      <c r="I9295" s="1063"/>
      <c r="J9295" s="1063"/>
      <c r="K9295" s="1063"/>
      <c r="L9295" s="1063"/>
    </row>
    <row r="9296" spans="5:12" x14ac:dyDescent="0.2">
      <c r="E9296" s="1063"/>
      <c r="H9296" s="1066"/>
      <c r="I9296" s="1063"/>
      <c r="J9296" s="1063"/>
      <c r="K9296" s="1063"/>
      <c r="L9296" s="1063"/>
    </row>
    <row r="9297" spans="5:12" x14ac:dyDescent="0.2">
      <c r="E9297" s="1063"/>
      <c r="H9297" s="1066"/>
      <c r="I9297" s="1063"/>
      <c r="J9297" s="1063"/>
      <c r="K9297" s="1063"/>
      <c r="L9297" s="1063"/>
    </row>
    <row r="9298" spans="5:12" x14ac:dyDescent="0.2">
      <c r="E9298" s="1063"/>
      <c r="H9298" s="1066"/>
      <c r="I9298" s="1063"/>
      <c r="J9298" s="1063"/>
      <c r="K9298" s="1063"/>
      <c r="L9298" s="1063"/>
    </row>
    <row r="9299" spans="5:12" x14ac:dyDescent="0.2">
      <c r="E9299" s="1063"/>
      <c r="H9299" s="1066"/>
      <c r="I9299" s="1063"/>
      <c r="J9299" s="1063"/>
      <c r="K9299" s="1063"/>
      <c r="L9299" s="1063"/>
    </row>
    <row r="9300" spans="5:12" x14ac:dyDescent="0.2">
      <c r="E9300" s="1063"/>
      <c r="H9300" s="1066"/>
      <c r="I9300" s="1063"/>
      <c r="J9300" s="1063"/>
      <c r="K9300" s="1063"/>
      <c r="L9300" s="1063"/>
    </row>
    <row r="9301" spans="5:12" x14ac:dyDescent="0.2">
      <c r="E9301" s="1063"/>
      <c r="H9301" s="1066"/>
      <c r="I9301" s="1063"/>
      <c r="J9301" s="1063"/>
      <c r="K9301" s="1063"/>
      <c r="L9301" s="1063"/>
    </row>
    <row r="9302" spans="5:12" x14ac:dyDescent="0.2">
      <c r="E9302" s="1063"/>
      <c r="H9302" s="1066"/>
      <c r="I9302" s="1063"/>
      <c r="J9302" s="1063"/>
      <c r="K9302" s="1063"/>
      <c r="L9302" s="1063"/>
    </row>
    <row r="9303" spans="5:12" x14ac:dyDescent="0.2">
      <c r="E9303" s="1063"/>
      <c r="H9303" s="1066"/>
      <c r="I9303" s="1063"/>
      <c r="J9303" s="1063"/>
      <c r="K9303" s="1063"/>
      <c r="L9303" s="1063"/>
    </row>
    <row r="9304" spans="5:12" x14ac:dyDescent="0.2">
      <c r="E9304" s="1063"/>
      <c r="H9304" s="1066"/>
      <c r="I9304" s="1063"/>
      <c r="J9304" s="1063"/>
      <c r="K9304" s="1063"/>
      <c r="L9304" s="1063"/>
    </row>
    <row r="9305" spans="5:12" x14ac:dyDescent="0.2">
      <c r="E9305" s="1063"/>
      <c r="H9305" s="1066"/>
      <c r="I9305" s="1063"/>
      <c r="J9305" s="1063"/>
      <c r="K9305" s="1063"/>
      <c r="L9305" s="1063"/>
    </row>
    <row r="9306" spans="5:12" x14ac:dyDescent="0.2">
      <c r="E9306" s="1063"/>
      <c r="H9306" s="1066"/>
      <c r="I9306" s="1063"/>
      <c r="J9306" s="1063"/>
      <c r="K9306" s="1063"/>
      <c r="L9306" s="1063"/>
    </row>
    <row r="9307" spans="5:12" x14ac:dyDescent="0.2">
      <c r="E9307" s="1063"/>
      <c r="H9307" s="1066"/>
      <c r="I9307" s="1063"/>
      <c r="J9307" s="1063"/>
      <c r="K9307" s="1063"/>
      <c r="L9307" s="1063"/>
    </row>
    <row r="9308" spans="5:12" x14ac:dyDescent="0.2">
      <c r="E9308" s="1063"/>
      <c r="H9308" s="1066"/>
      <c r="I9308" s="1063"/>
      <c r="J9308" s="1063"/>
      <c r="K9308" s="1063"/>
      <c r="L9308" s="1063"/>
    </row>
    <row r="9309" spans="5:12" x14ac:dyDescent="0.2">
      <c r="E9309" s="1063"/>
      <c r="H9309" s="1066"/>
      <c r="I9309" s="1063"/>
      <c r="J9309" s="1063"/>
      <c r="K9309" s="1063"/>
      <c r="L9309" s="1063"/>
    </row>
    <row r="9310" spans="5:12" x14ac:dyDescent="0.2">
      <c r="E9310" s="1063"/>
      <c r="H9310" s="1066"/>
      <c r="I9310" s="1063"/>
      <c r="J9310" s="1063"/>
      <c r="K9310" s="1063"/>
      <c r="L9310" s="1063"/>
    </row>
    <row r="9311" spans="5:12" x14ac:dyDescent="0.2">
      <c r="E9311" s="1063"/>
      <c r="H9311" s="1066"/>
      <c r="I9311" s="1063"/>
      <c r="J9311" s="1063"/>
      <c r="K9311" s="1063"/>
      <c r="L9311" s="1063"/>
    </row>
    <row r="9312" spans="5:12" x14ac:dyDescent="0.2">
      <c r="E9312" s="1063"/>
      <c r="H9312" s="1066"/>
      <c r="I9312" s="1063"/>
      <c r="J9312" s="1063"/>
      <c r="K9312" s="1063"/>
      <c r="L9312" s="1063"/>
    </row>
    <row r="9313" spans="5:12" x14ac:dyDescent="0.2">
      <c r="E9313" s="1063"/>
      <c r="H9313" s="1066"/>
      <c r="I9313" s="1063"/>
      <c r="J9313" s="1063"/>
      <c r="K9313" s="1063"/>
      <c r="L9313" s="1063"/>
    </row>
    <row r="9314" spans="5:12" x14ac:dyDescent="0.2">
      <c r="E9314" s="1063"/>
      <c r="H9314" s="1066"/>
      <c r="I9314" s="1063"/>
      <c r="J9314" s="1063"/>
      <c r="K9314" s="1063"/>
      <c r="L9314" s="1063"/>
    </row>
    <row r="9315" spans="5:12" x14ac:dyDescent="0.2">
      <c r="E9315" s="1063"/>
      <c r="H9315" s="1066"/>
      <c r="I9315" s="1063"/>
      <c r="J9315" s="1063"/>
      <c r="K9315" s="1063"/>
      <c r="L9315" s="1063"/>
    </row>
    <row r="9316" spans="5:12" x14ac:dyDescent="0.2">
      <c r="E9316" s="1063"/>
      <c r="H9316" s="1066"/>
      <c r="I9316" s="1063"/>
      <c r="J9316" s="1063"/>
      <c r="K9316" s="1063"/>
      <c r="L9316" s="1063"/>
    </row>
    <row r="9317" spans="5:12" x14ac:dyDescent="0.2">
      <c r="E9317" s="1063"/>
      <c r="H9317" s="1066"/>
      <c r="I9317" s="1063"/>
      <c r="J9317" s="1063"/>
      <c r="K9317" s="1063"/>
      <c r="L9317" s="1063"/>
    </row>
    <row r="9318" spans="5:12" x14ac:dyDescent="0.2">
      <c r="E9318" s="1063"/>
      <c r="H9318" s="1066"/>
      <c r="I9318" s="1063"/>
      <c r="J9318" s="1063"/>
      <c r="K9318" s="1063"/>
      <c r="L9318" s="1063"/>
    </row>
    <row r="9319" spans="5:12" x14ac:dyDescent="0.2">
      <c r="E9319" s="1063"/>
      <c r="H9319" s="1066"/>
      <c r="I9319" s="1063"/>
      <c r="J9319" s="1063"/>
      <c r="K9319" s="1063"/>
      <c r="L9319" s="1063"/>
    </row>
    <row r="9320" spans="5:12" x14ac:dyDescent="0.2">
      <c r="E9320" s="1063"/>
      <c r="H9320" s="1066"/>
      <c r="I9320" s="1063"/>
      <c r="J9320" s="1063"/>
      <c r="K9320" s="1063"/>
      <c r="L9320" s="1063"/>
    </row>
    <row r="9321" spans="5:12" x14ac:dyDescent="0.2">
      <c r="E9321" s="1063"/>
      <c r="H9321" s="1066"/>
      <c r="I9321" s="1063"/>
      <c r="J9321" s="1063"/>
      <c r="K9321" s="1063"/>
      <c r="L9321" s="1063"/>
    </row>
    <row r="9322" spans="5:12" x14ac:dyDescent="0.2">
      <c r="E9322" s="1063"/>
      <c r="H9322" s="1066"/>
      <c r="I9322" s="1063"/>
      <c r="J9322" s="1063"/>
      <c r="K9322" s="1063"/>
      <c r="L9322" s="1063"/>
    </row>
    <row r="9323" spans="5:12" x14ac:dyDescent="0.2">
      <c r="E9323" s="1063"/>
      <c r="H9323" s="1066"/>
      <c r="I9323" s="1063"/>
      <c r="J9323" s="1063"/>
      <c r="K9323" s="1063"/>
      <c r="L9323" s="1063"/>
    </row>
    <row r="9324" spans="5:12" x14ac:dyDescent="0.2">
      <c r="E9324" s="1063"/>
      <c r="H9324" s="1066"/>
      <c r="I9324" s="1063"/>
      <c r="J9324" s="1063"/>
      <c r="K9324" s="1063"/>
      <c r="L9324" s="1063"/>
    </row>
    <row r="9325" spans="5:12" x14ac:dyDescent="0.2">
      <c r="E9325" s="1063"/>
      <c r="H9325" s="1066"/>
      <c r="I9325" s="1063"/>
      <c r="J9325" s="1063"/>
      <c r="K9325" s="1063"/>
      <c r="L9325" s="1063"/>
    </row>
    <row r="9326" spans="5:12" x14ac:dyDescent="0.2">
      <c r="E9326" s="1063"/>
      <c r="H9326" s="1066"/>
      <c r="I9326" s="1063"/>
      <c r="J9326" s="1063"/>
      <c r="K9326" s="1063"/>
      <c r="L9326" s="1063"/>
    </row>
    <row r="9327" spans="5:12" x14ac:dyDescent="0.2">
      <c r="E9327" s="1063"/>
      <c r="H9327" s="1066"/>
      <c r="I9327" s="1063"/>
      <c r="J9327" s="1063"/>
      <c r="K9327" s="1063"/>
      <c r="L9327" s="1063"/>
    </row>
    <row r="9328" spans="5:12" x14ac:dyDescent="0.2">
      <c r="E9328" s="1063"/>
      <c r="H9328" s="1066"/>
      <c r="I9328" s="1063"/>
      <c r="J9328" s="1063"/>
      <c r="K9328" s="1063"/>
      <c r="L9328" s="1063"/>
    </row>
    <row r="9329" spans="5:12" x14ac:dyDescent="0.2">
      <c r="E9329" s="1063"/>
      <c r="H9329" s="1066"/>
      <c r="I9329" s="1063"/>
      <c r="J9329" s="1063"/>
      <c r="K9329" s="1063"/>
      <c r="L9329" s="1063"/>
    </row>
    <row r="9330" spans="5:12" x14ac:dyDescent="0.2">
      <c r="E9330" s="1063"/>
      <c r="H9330" s="1066"/>
      <c r="I9330" s="1063"/>
      <c r="J9330" s="1063"/>
      <c r="K9330" s="1063"/>
      <c r="L9330" s="1063"/>
    </row>
    <row r="9331" spans="5:12" x14ac:dyDescent="0.2">
      <c r="E9331" s="1063"/>
      <c r="H9331" s="1066"/>
      <c r="I9331" s="1063"/>
      <c r="J9331" s="1063"/>
      <c r="K9331" s="1063"/>
      <c r="L9331" s="1063"/>
    </row>
    <row r="9332" spans="5:12" x14ac:dyDescent="0.2">
      <c r="E9332" s="1063"/>
      <c r="H9332" s="1066"/>
      <c r="I9332" s="1063"/>
      <c r="J9332" s="1063"/>
      <c r="K9332" s="1063"/>
      <c r="L9332" s="1063"/>
    </row>
    <row r="9333" spans="5:12" x14ac:dyDescent="0.2">
      <c r="E9333" s="1063"/>
      <c r="H9333" s="1066"/>
      <c r="I9333" s="1063"/>
      <c r="J9333" s="1063"/>
      <c r="K9333" s="1063"/>
      <c r="L9333" s="1063"/>
    </row>
    <row r="9334" spans="5:12" x14ac:dyDescent="0.2">
      <c r="E9334" s="1063"/>
      <c r="H9334" s="1066"/>
      <c r="I9334" s="1063"/>
      <c r="J9334" s="1063"/>
      <c r="K9334" s="1063"/>
      <c r="L9334" s="1063"/>
    </row>
    <row r="9335" spans="5:12" x14ac:dyDescent="0.2">
      <c r="E9335" s="1063"/>
      <c r="H9335" s="1066"/>
      <c r="I9335" s="1063"/>
      <c r="J9335" s="1063"/>
      <c r="K9335" s="1063"/>
      <c r="L9335" s="1063"/>
    </row>
    <row r="9336" spans="5:12" x14ac:dyDescent="0.2">
      <c r="E9336" s="1063"/>
      <c r="H9336" s="1066"/>
      <c r="I9336" s="1063"/>
      <c r="J9336" s="1063"/>
      <c r="K9336" s="1063"/>
      <c r="L9336" s="1063"/>
    </row>
    <row r="9337" spans="5:12" x14ac:dyDescent="0.2">
      <c r="E9337" s="1063"/>
      <c r="H9337" s="1066"/>
      <c r="I9337" s="1063"/>
      <c r="J9337" s="1063"/>
      <c r="K9337" s="1063"/>
      <c r="L9337" s="1063"/>
    </row>
    <row r="9338" spans="5:12" x14ac:dyDescent="0.2">
      <c r="E9338" s="1063"/>
      <c r="H9338" s="1066"/>
      <c r="I9338" s="1063"/>
      <c r="J9338" s="1063"/>
      <c r="K9338" s="1063"/>
      <c r="L9338" s="1063"/>
    </row>
    <row r="9339" spans="5:12" x14ac:dyDescent="0.2">
      <c r="E9339" s="1063"/>
      <c r="H9339" s="1066"/>
      <c r="I9339" s="1063"/>
      <c r="J9339" s="1063"/>
      <c r="K9339" s="1063"/>
      <c r="L9339" s="1063"/>
    </row>
    <row r="9340" spans="5:12" x14ac:dyDescent="0.2">
      <c r="E9340" s="1063"/>
      <c r="H9340" s="1066"/>
      <c r="I9340" s="1063"/>
      <c r="J9340" s="1063"/>
      <c r="K9340" s="1063"/>
      <c r="L9340" s="1063"/>
    </row>
    <row r="9341" spans="5:12" x14ac:dyDescent="0.2">
      <c r="E9341" s="1063"/>
      <c r="H9341" s="1066"/>
      <c r="I9341" s="1063"/>
      <c r="J9341" s="1063"/>
      <c r="K9341" s="1063"/>
      <c r="L9341" s="1063"/>
    </row>
    <row r="9342" spans="5:12" x14ac:dyDescent="0.2">
      <c r="E9342" s="1063"/>
      <c r="H9342" s="1066"/>
      <c r="I9342" s="1063"/>
      <c r="J9342" s="1063"/>
      <c r="K9342" s="1063"/>
      <c r="L9342" s="1063"/>
    </row>
    <row r="9343" spans="5:12" x14ac:dyDescent="0.2">
      <c r="E9343" s="1063"/>
      <c r="H9343" s="1066"/>
      <c r="I9343" s="1063"/>
      <c r="J9343" s="1063"/>
      <c r="K9343" s="1063"/>
      <c r="L9343" s="1063"/>
    </row>
    <row r="9344" spans="5:12" x14ac:dyDescent="0.2">
      <c r="E9344" s="1063"/>
      <c r="H9344" s="1066"/>
      <c r="I9344" s="1063"/>
      <c r="J9344" s="1063"/>
      <c r="K9344" s="1063"/>
      <c r="L9344" s="1063"/>
    </row>
    <row r="9345" spans="5:12" x14ac:dyDescent="0.2">
      <c r="E9345" s="1063"/>
      <c r="H9345" s="1066"/>
      <c r="I9345" s="1063"/>
      <c r="J9345" s="1063"/>
      <c r="K9345" s="1063"/>
      <c r="L9345" s="1063"/>
    </row>
    <row r="9346" spans="5:12" x14ac:dyDescent="0.2">
      <c r="E9346" s="1063"/>
      <c r="H9346" s="1066"/>
      <c r="I9346" s="1063"/>
      <c r="J9346" s="1063"/>
      <c r="K9346" s="1063"/>
      <c r="L9346" s="1063"/>
    </row>
    <row r="9347" spans="5:12" x14ac:dyDescent="0.2">
      <c r="E9347" s="1063"/>
      <c r="H9347" s="1066"/>
      <c r="I9347" s="1063"/>
      <c r="J9347" s="1063"/>
      <c r="K9347" s="1063"/>
      <c r="L9347" s="1063"/>
    </row>
    <row r="9348" spans="5:12" x14ac:dyDescent="0.2">
      <c r="E9348" s="1063"/>
      <c r="H9348" s="1066"/>
      <c r="I9348" s="1063"/>
      <c r="J9348" s="1063"/>
      <c r="K9348" s="1063"/>
      <c r="L9348" s="1063"/>
    </row>
    <row r="9349" spans="5:12" x14ac:dyDescent="0.2">
      <c r="E9349" s="1063"/>
      <c r="H9349" s="1066"/>
      <c r="I9349" s="1063"/>
      <c r="J9349" s="1063"/>
      <c r="K9349" s="1063"/>
      <c r="L9349" s="1063"/>
    </row>
    <row r="9350" spans="5:12" x14ac:dyDescent="0.2">
      <c r="E9350" s="1063"/>
      <c r="H9350" s="1066"/>
      <c r="I9350" s="1063"/>
      <c r="J9350" s="1063"/>
      <c r="K9350" s="1063"/>
      <c r="L9350" s="1063"/>
    </row>
    <row r="9351" spans="5:12" x14ac:dyDescent="0.2">
      <c r="E9351" s="1063"/>
      <c r="H9351" s="1066"/>
      <c r="I9351" s="1063"/>
      <c r="J9351" s="1063"/>
      <c r="K9351" s="1063"/>
      <c r="L9351" s="1063"/>
    </row>
    <row r="9352" spans="5:12" x14ac:dyDescent="0.2">
      <c r="E9352" s="1063"/>
      <c r="H9352" s="1066"/>
      <c r="I9352" s="1063"/>
      <c r="J9352" s="1063"/>
      <c r="K9352" s="1063"/>
      <c r="L9352" s="1063"/>
    </row>
    <row r="9353" spans="5:12" x14ac:dyDescent="0.2">
      <c r="E9353" s="1063"/>
      <c r="H9353" s="1066"/>
      <c r="I9353" s="1063"/>
      <c r="J9353" s="1063"/>
      <c r="K9353" s="1063"/>
      <c r="L9353" s="1063"/>
    </row>
    <row r="9354" spans="5:12" x14ac:dyDescent="0.2">
      <c r="E9354" s="1063"/>
      <c r="H9354" s="1066"/>
      <c r="I9354" s="1063"/>
      <c r="J9354" s="1063"/>
      <c r="K9354" s="1063"/>
      <c r="L9354" s="1063"/>
    </row>
    <row r="9355" spans="5:12" x14ac:dyDescent="0.2">
      <c r="E9355" s="1063"/>
      <c r="H9355" s="1066"/>
      <c r="I9355" s="1063"/>
      <c r="J9355" s="1063"/>
      <c r="K9355" s="1063"/>
      <c r="L9355" s="1063"/>
    </row>
    <row r="9356" spans="5:12" x14ac:dyDescent="0.2">
      <c r="E9356" s="1063"/>
      <c r="H9356" s="1066"/>
      <c r="I9356" s="1063"/>
      <c r="J9356" s="1063"/>
      <c r="K9356" s="1063"/>
      <c r="L9356" s="1063"/>
    </row>
    <row r="9357" spans="5:12" x14ac:dyDescent="0.2">
      <c r="E9357" s="1063"/>
      <c r="H9357" s="1066"/>
      <c r="I9357" s="1063"/>
      <c r="J9357" s="1063"/>
      <c r="K9357" s="1063"/>
      <c r="L9357" s="1063"/>
    </row>
    <row r="9358" spans="5:12" x14ac:dyDescent="0.2">
      <c r="E9358" s="1063"/>
      <c r="H9358" s="1066"/>
      <c r="I9358" s="1063"/>
      <c r="J9358" s="1063"/>
      <c r="K9358" s="1063"/>
      <c r="L9358" s="1063"/>
    </row>
    <row r="9359" spans="5:12" x14ac:dyDescent="0.2">
      <c r="E9359" s="1063"/>
      <c r="H9359" s="1066"/>
      <c r="I9359" s="1063"/>
      <c r="J9359" s="1063"/>
      <c r="K9359" s="1063"/>
      <c r="L9359" s="1063"/>
    </row>
    <row r="9360" spans="5:12" x14ac:dyDescent="0.2">
      <c r="E9360" s="1063"/>
      <c r="H9360" s="1066"/>
      <c r="I9360" s="1063"/>
      <c r="J9360" s="1063"/>
      <c r="K9360" s="1063"/>
      <c r="L9360" s="1063"/>
    </row>
    <row r="9361" spans="5:12" x14ac:dyDescent="0.2">
      <c r="E9361" s="1063"/>
      <c r="H9361" s="1066"/>
      <c r="I9361" s="1063"/>
      <c r="J9361" s="1063"/>
      <c r="K9361" s="1063"/>
      <c r="L9361" s="1063"/>
    </row>
    <row r="9362" spans="5:12" x14ac:dyDescent="0.2">
      <c r="E9362" s="1063"/>
      <c r="H9362" s="1066"/>
      <c r="I9362" s="1063"/>
      <c r="J9362" s="1063"/>
      <c r="K9362" s="1063"/>
      <c r="L9362" s="1063"/>
    </row>
    <row r="9363" spans="5:12" x14ac:dyDescent="0.2">
      <c r="E9363" s="1063"/>
      <c r="H9363" s="1066"/>
      <c r="I9363" s="1063"/>
      <c r="J9363" s="1063"/>
      <c r="K9363" s="1063"/>
      <c r="L9363" s="1063"/>
    </row>
    <row r="9364" spans="5:12" x14ac:dyDescent="0.2">
      <c r="E9364" s="1063"/>
      <c r="H9364" s="1066"/>
      <c r="I9364" s="1063"/>
      <c r="J9364" s="1063"/>
      <c r="K9364" s="1063"/>
      <c r="L9364" s="1063"/>
    </row>
    <row r="9365" spans="5:12" x14ac:dyDescent="0.2">
      <c r="E9365" s="1063"/>
      <c r="H9365" s="1066"/>
      <c r="I9365" s="1063"/>
      <c r="J9365" s="1063"/>
      <c r="K9365" s="1063"/>
      <c r="L9365" s="1063"/>
    </row>
    <row r="9366" spans="5:12" x14ac:dyDescent="0.2">
      <c r="E9366" s="1063"/>
      <c r="H9366" s="1066"/>
      <c r="I9366" s="1063"/>
      <c r="J9366" s="1063"/>
      <c r="K9366" s="1063"/>
      <c r="L9366" s="1063"/>
    </row>
    <row r="9367" spans="5:12" x14ac:dyDescent="0.2">
      <c r="E9367" s="1063"/>
      <c r="H9367" s="1066"/>
      <c r="I9367" s="1063"/>
      <c r="J9367" s="1063"/>
      <c r="K9367" s="1063"/>
      <c r="L9367" s="1063"/>
    </row>
    <row r="9368" spans="5:12" x14ac:dyDescent="0.2">
      <c r="E9368" s="1063"/>
      <c r="H9368" s="1066"/>
      <c r="I9368" s="1063"/>
      <c r="J9368" s="1063"/>
      <c r="K9368" s="1063"/>
      <c r="L9368" s="1063"/>
    </row>
    <row r="9369" spans="5:12" x14ac:dyDescent="0.2">
      <c r="E9369" s="1063"/>
      <c r="H9369" s="1066"/>
      <c r="I9369" s="1063"/>
      <c r="J9369" s="1063"/>
      <c r="K9369" s="1063"/>
      <c r="L9369" s="1063"/>
    </row>
    <row r="9370" spans="5:12" x14ac:dyDescent="0.2">
      <c r="E9370" s="1063"/>
      <c r="H9370" s="1066"/>
      <c r="I9370" s="1063"/>
      <c r="J9370" s="1063"/>
      <c r="K9370" s="1063"/>
      <c r="L9370" s="1063"/>
    </row>
    <row r="9371" spans="5:12" x14ac:dyDescent="0.2">
      <c r="E9371" s="1063"/>
      <c r="H9371" s="1066"/>
      <c r="I9371" s="1063"/>
      <c r="J9371" s="1063"/>
      <c r="K9371" s="1063"/>
      <c r="L9371" s="1063"/>
    </row>
    <row r="9372" spans="5:12" x14ac:dyDescent="0.2">
      <c r="E9372" s="1063"/>
      <c r="H9372" s="1066"/>
      <c r="I9372" s="1063"/>
      <c r="J9372" s="1063"/>
      <c r="K9372" s="1063"/>
      <c r="L9372" s="1063"/>
    </row>
    <row r="9373" spans="5:12" x14ac:dyDescent="0.2">
      <c r="E9373" s="1063"/>
      <c r="H9373" s="1066"/>
      <c r="I9373" s="1063"/>
      <c r="J9373" s="1063"/>
      <c r="K9373" s="1063"/>
      <c r="L9373" s="1063"/>
    </row>
    <row r="9374" spans="5:12" x14ac:dyDescent="0.2">
      <c r="E9374" s="1063"/>
      <c r="H9374" s="1066"/>
      <c r="I9374" s="1063"/>
      <c r="J9374" s="1063"/>
      <c r="K9374" s="1063"/>
      <c r="L9374" s="1063"/>
    </row>
    <row r="9375" spans="5:12" x14ac:dyDescent="0.2">
      <c r="E9375" s="1063"/>
      <c r="H9375" s="1066"/>
      <c r="I9375" s="1063"/>
      <c r="J9375" s="1063"/>
      <c r="K9375" s="1063"/>
      <c r="L9375" s="1063"/>
    </row>
    <row r="9376" spans="5:12" x14ac:dyDescent="0.2">
      <c r="E9376" s="1063"/>
      <c r="H9376" s="1066"/>
      <c r="I9376" s="1063"/>
      <c r="J9376" s="1063"/>
      <c r="K9376" s="1063"/>
      <c r="L9376" s="1063"/>
    </row>
    <row r="9377" spans="5:12" x14ac:dyDescent="0.2">
      <c r="E9377" s="1063"/>
      <c r="H9377" s="1066"/>
      <c r="I9377" s="1063"/>
      <c r="J9377" s="1063"/>
      <c r="K9377" s="1063"/>
      <c r="L9377" s="1063"/>
    </row>
    <row r="9378" spans="5:12" x14ac:dyDescent="0.2">
      <c r="E9378" s="1063"/>
      <c r="H9378" s="1066"/>
      <c r="I9378" s="1063"/>
      <c r="J9378" s="1063"/>
      <c r="K9378" s="1063"/>
      <c r="L9378" s="1063"/>
    </row>
    <row r="9379" spans="5:12" x14ac:dyDescent="0.2">
      <c r="E9379" s="1063"/>
      <c r="H9379" s="1066"/>
      <c r="I9379" s="1063"/>
      <c r="J9379" s="1063"/>
      <c r="K9379" s="1063"/>
      <c r="L9379" s="1063"/>
    </row>
    <row r="9380" spans="5:12" x14ac:dyDescent="0.2">
      <c r="E9380" s="1063"/>
      <c r="H9380" s="1066"/>
      <c r="I9380" s="1063"/>
      <c r="J9380" s="1063"/>
      <c r="K9380" s="1063"/>
      <c r="L9380" s="1063"/>
    </row>
    <row r="9381" spans="5:12" x14ac:dyDescent="0.2">
      <c r="E9381" s="1063"/>
      <c r="H9381" s="1066"/>
      <c r="I9381" s="1063"/>
      <c r="J9381" s="1063"/>
      <c r="K9381" s="1063"/>
      <c r="L9381" s="1063"/>
    </row>
    <row r="9382" spans="5:12" x14ac:dyDescent="0.2">
      <c r="E9382" s="1063"/>
      <c r="H9382" s="1066"/>
      <c r="I9382" s="1063"/>
      <c r="J9382" s="1063"/>
      <c r="K9382" s="1063"/>
      <c r="L9382" s="1063"/>
    </row>
    <row r="9383" spans="5:12" x14ac:dyDescent="0.2">
      <c r="E9383" s="1063"/>
      <c r="H9383" s="1066"/>
      <c r="I9383" s="1063"/>
      <c r="J9383" s="1063"/>
      <c r="K9383" s="1063"/>
      <c r="L9383" s="1063"/>
    </row>
    <row r="9384" spans="5:12" x14ac:dyDescent="0.2">
      <c r="E9384" s="1063"/>
      <c r="H9384" s="1066"/>
      <c r="I9384" s="1063"/>
      <c r="J9384" s="1063"/>
      <c r="K9384" s="1063"/>
      <c r="L9384" s="1063"/>
    </row>
    <row r="9385" spans="5:12" x14ac:dyDescent="0.2">
      <c r="E9385" s="1063"/>
      <c r="H9385" s="1066"/>
      <c r="I9385" s="1063"/>
      <c r="J9385" s="1063"/>
      <c r="K9385" s="1063"/>
      <c r="L9385" s="1063"/>
    </row>
    <row r="9386" spans="5:12" x14ac:dyDescent="0.2">
      <c r="E9386" s="1063"/>
      <c r="H9386" s="1066"/>
      <c r="I9386" s="1063"/>
      <c r="J9386" s="1063"/>
      <c r="K9386" s="1063"/>
      <c r="L9386" s="1063"/>
    </row>
    <row r="9387" spans="5:12" x14ac:dyDescent="0.2">
      <c r="E9387" s="1063"/>
      <c r="H9387" s="1066"/>
      <c r="I9387" s="1063"/>
      <c r="J9387" s="1063"/>
      <c r="K9387" s="1063"/>
      <c r="L9387" s="1063"/>
    </row>
    <row r="9388" spans="5:12" x14ac:dyDescent="0.2">
      <c r="E9388" s="1063"/>
      <c r="H9388" s="1066"/>
      <c r="I9388" s="1063"/>
      <c r="J9388" s="1063"/>
      <c r="K9388" s="1063"/>
      <c r="L9388" s="1063"/>
    </row>
    <row r="9389" spans="5:12" x14ac:dyDescent="0.2">
      <c r="E9389" s="1063"/>
      <c r="H9389" s="1066"/>
      <c r="I9389" s="1063"/>
      <c r="J9389" s="1063"/>
      <c r="K9389" s="1063"/>
      <c r="L9389" s="1063"/>
    </row>
    <row r="9390" spans="5:12" x14ac:dyDescent="0.2">
      <c r="E9390" s="1063"/>
      <c r="H9390" s="1066"/>
      <c r="I9390" s="1063"/>
      <c r="J9390" s="1063"/>
      <c r="K9390" s="1063"/>
      <c r="L9390" s="1063"/>
    </row>
    <row r="9391" spans="5:12" x14ac:dyDescent="0.2">
      <c r="E9391" s="1063"/>
      <c r="H9391" s="1066"/>
      <c r="I9391" s="1063"/>
      <c r="J9391" s="1063"/>
      <c r="K9391" s="1063"/>
      <c r="L9391" s="1063"/>
    </row>
    <row r="9392" spans="5:12" x14ac:dyDescent="0.2">
      <c r="E9392" s="1063"/>
      <c r="H9392" s="1066"/>
      <c r="I9392" s="1063"/>
      <c r="J9392" s="1063"/>
      <c r="K9392" s="1063"/>
      <c r="L9392" s="1063"/>
    </row>
    <row r="9393" spans="5:12" x14ac:dyDescent="0.2">
      <c r="E9393" s="1063"/>
      <c r="H9393" s="1066"/>
      <c r="I9393" s="1063"/>
      <c r="J9393" s="1063"/>
      <c r="K9393" s="1063"/>
      <c r="L9393" s="1063"/>
    </row>
    <row r="9394" spans="5:12" x14ac:dyDescent="0.2">
      <c r="E9394" s="1063"/>
      <c r="H9394" s="1066"/>
      <c r="I9394" s="1063"/>
      <c r="J9394" s="1063"/>
      <c r="K9394" s="1063"/>
      <c r="L9394" s="1063"/>
    </row>
    <row r="9395" spans="5:12" x14ac:dyDescent="0.2">
      <c r="E9395" s="1063"/>
      <c r="H9395" s="1066"/>
      <c r="I9395" s="1063"/>
      <c r="J9395" s="1063"/>
      <c r="K9395" s="1063"/>
      <c r="L9395" s="1063"/>
    </row>
    <row r="9396" spans="5:12" x14ac:dyDescent="0.2">
      <c r="E9396" s="1063"/>
      <c r="H9396" s="1066"/>
      <c r="I9396" s="1063"/>
      <c r="J9396" s="1063"/>
      <c r="K9396" s="1063"/>
      <c r="L9396" s="1063"/>
    </row>
    <row r="9397" spans="5:12" x14ac:dyDescent="0.2">
      <c r="E9397" s="1063"/>
      <c r="H9397" s="1066"/>
      <c r="I9397" s="1063"/>
      <c r="J9397" s="1063"/>
      <c r="K9397" s="1063"/>
      <c r="L9397" s="1063"/>
    </row>
    <row r="9398" spans="5:12" x14ac:dyDescent="0.2">
      <c r="E9398" s="1063"/>
      <c r="H9398" s="1066"/>
      <c r="I9398" s="1063"/>
      <c r="J9398" s="1063"/>
      <c r="K9398" s="1063"/>
      <c r="L9398" s="1063"/>
    </row>
    <row r="9399" spans="5:12" x14ac:dyDescent="0.2">
      <c r="E9399" s="1063"/>
      <c r="H9399" s="1066"/>
      <c r="I9399" s="1063"/>
      <c r="J9399" s="1063"/>
      <c r="K9399" s="1063"/>
      <c r="L9399" s="1063"/>
    </row>
    <row r="9400" spans="5:12" x14ac:dyDescent="0.2">
      <c r="E9400" s="1063"/>
      <c r="H9400" s="1066"/>
      <c r="I9400" s="1063"/>
      <c r="J9400" s="1063"/>
      <c r="K9400" s="1063"/>
      <c r="L9400" s="1063"/>
    </row>
    <row r="9401" spans="5:12" x14ac:dyDescent="0.2">
      <c r="E9401" s="1063"/>
      <c r="H9401" s="1066"/>
      <c r="I9401" s="1063"/>
      <c r="J9401" s="1063"/>
      <c r="K9401" s="1063"/>
      <c r="L9401" s="1063"/>
    </row>
    <row r="9402" spans="5:12" x14ac:dyDescent="0.2">
      <c r="E9402" s="1063"/>
      <c r="H9402" s="1066"/>
      <c r="I9402" s="1063"/>
      <c r="J9402" s="1063"/>
      <c r="K9402" s="1063"/>
      <c r="L9402" s="1063"/>
    </row>
    <row r="9403" spans="5:12" x14ac:dyDescent="0.2">
      <c r="E9403" s="1063"/>
      <c r="H9403" s="1066"/>
      <c r="I9403" s="1063"/>
      <c r="J9403" s="1063"/>
      <c r="K9403" s="1063"/>
      <c r="L9403" s="1063"/>
    </row>
    <row r="9404" spans="5:12" x14ac:dyDescent="0.2">
      <c r="E9404" s="1063"/>
      <c r="H9404" s="1066"/>
      <c r="I9404" s="1063"/>
      <c r="J9404" s="1063"/>
      <c r="K9404" s="1063"/>
      <c r="L9404" s="1063"/>
    </row>
    <row r="9405" spans="5:12" x14ac:dyDescent="0.2">
      <c r="E9405" s="1063"/>
      <c r="H9405" s="1066"/>
      <c r="I9405" s="1063"/>
      <c r="J9405" s="1063"/>
      <c r="K9405" s="1063"/>
      <c r="L9405" s="1063"/>
    </row>
    <row r="9406" spans="5:12" x14ac:dyDescent="0.2">
      <c r="E9406" s="1063"/>
      <c r="H9406" s="1066"/>
      <c r="I9406" s="1063"/>
      <c r="J9406" s="1063"/>
      <c r="K9406" s="1063"/>
      <c r="L9406" s="1063"/>
    </row>
    <row r="9407" spans="5:12" x14ac:dyDescent="0.2">
      <c r="E9407" s="1063"/>
      <c r="H9407" s="1066"/>
      <c r="I9407" s="1063"/>
      <c r="J9407" s="1063"/>
      <c r="K9407" s="1063"/>
      <c r="L9407" s="1063"/>
    </row>
    <row r="9408" spans="5:12" x14ac:dyDescent="0.2">
      <c r="E9408" s="1063"/>
      <c r="H9408" s="1066"/>
      <c r="I9408" s="1063"/>
      <c r="J9408" s="1063"/>
      <c r="K9408" s="1063"/>
      <c r="L9408" s="1063"/>
    </row>
    <row r="9409" spans="5:12" x14ac:dyDescent="0.2">
      <c r="E9409" s="1063"/>
      <c r="H9409" s="1066"/>
      <c r="I9409" s="1063"/>
      <c r="J9409" s="1063"/>
      <c r="K9409" s="1063"/>
      <c r="L9409" s="1063"/>
    </row>
    <row r="9410" spans="5:12" x14ac:dyDescent="0.2">
      <c r="E9410" s="1063"/>
      <c r="H9410" s="1066"/>
      <c r="I9410" s="1063"/>
      <c r="J9410" s="1063"/>
      <c r="K9410" s="1063"/>
      <c r="L9410" s="1063"/>
    </row>
    <row r="9411" spans="5:12" x14ac:dyDescent="0.2">
      <c r="E9411" s="1063"/>
      <c r="H9411" s="1066"/>
      <c r="I9411" s="1063"/>
      <c r="J9411" s="1063"/>
      <c r="K9411" s="1063"/>
      <c r="L9411" s="1063"/>
    </row>
    <row r="9412" spans="5:12" x14ac:dyDescent="0.2">
      <c r="E9412" s="1063"/>
      <c r="H9412" s="1066"/>
      <c r="I9412" s="1063"/>
      <c r="J9412" s="1063"/>
      <c r="K9412" s="1063"/>
      <c r="L9412" s="1063"/>
    </row>
    <row r="9413" spans="5:12" x14ac:dyDescent="0.2">
      <c r="E9413" s="1063"/>
      <c r="H9413" s="1066"/>
      <c r="I9413" s="1063"/>
      <c r="J9413" s="1063"/>
      <c r="K9413" s="1063"/>
      <c r="L9413" s="1063"/>
    </row>
    <row r="9414" spans="5:12" x14ac:dyDescent="0.2">
      <c r="E9414" s="1063"/>
      <c r="H9414" s="1066"/>
      <c r="I9414" s="1063"/>
      <c r="J9414" s="1063"/>
      <c r="K9414" s="1063"/>
      <c r="L9414" s="1063"/>
    </row>
    <row r="9415" spans="5:12" x14ac:dyDescent="0.2">
      <c r="E9415" s="1063"/>
      <c r="H9415" s="1066"/>
      <c r="I9415" s="1063"/>
      <c r="J9415" s="1063"/>
      <c r="K9415" s="1063"/>
      <c r="L9415" s="1063"/>
    </row>
    <row r="9416" spans="5:12" x14ac:dyDescent="0.2">
      <c r="E9416" s="1063"/>
      <c r="H9416" s="1066"/>
      <c r="I9416" s="1063"/>
      <c r="J9416" s="1063"/>
      <c r="K9416" s="1063"/>
      <c r="L9416" s="1063"/>
    </row>
    <row r="9417" spans="5:12" x14ac:dyDescent="0.2">
      <c r="E9417" s="1063"/>
      <c r="H9417" s="1066"/>
      <c r="I9417" s="1063"/>
      <c r="J9417" s="1063"/>
      <c r="K9417" s="1063"/>
      <c r="L9417" s="1063"/>
    </row>
    <row r="9418" spans="5:12" x14ac:dyDescent="0.2">
      <c r="E9418" s="1063"/>
      <c r="H9418" s="1066"/>
      <c r="I9418" s="1063"/>
      <c r="J9418" s="1063"/>
      <c r="K9418" s="1063"/>
      <c r="L9418" s="1063"/>
    </row>
    <row r="9419" spans="5:12" x14ac:dyDescent="0.2">
      <c r="E9419" s="1063"/>
      <c r="H9419" s="1066"/>
      <c r="I9419" s="1063"/>
      <c r="J9419" s="1063"/>
      <c r="K9419" s="1063"/>
      <c r="L9419" s="1063"/>
    </row>
    <row r="9420" spans="5:12" x14ac:dyDescent="0.2">
      <c r="E9420" s="1063"/>
      <c r="H9420" s="1066"/>
      <c r="I9420" s="1063"/>
      <c r="J9420" s="1063"/>
      <c r="K9420" s="1063"/>
      <c r="L9420" s="1063"/>
    </row>
    <row r="9421" spans="5:12" x14ac:dyDescent="0.2">
      <c r="E9421" s="1063"/>
      <c r="H9421" s="1066"/>
      <c r="I9421" s="1063"/>
      <c r="J9421" s="1063"/>
      <c r="K9421" s="1063"/>
      <c r="L9421" s="1063"/>
    </row>
    <row r="9422" spans="5:12" x14ac:dyDescent="0.2">
      <c r="E9422" s="1063"/>
      <c r="H9422" s="1066"/>
      <c r="I9422" s="1063"/>
      <c r="J9422" s="1063"/>
      <c r="K9422" s="1063"/>
      <c r="L9422" s="1063"/>
    </row>
    <row r="9423" spans="5:12" x14ac:dyDescent="0.2">
      <c r="E9423" s="1063"/>
      <c r="H9423" s="1066"/>
      <c r="I9423" s="1063"/>
      <c r="J9423" s="1063"/>
      <c r="K9423" s="1063"/>
      <c r="L9423" s="1063"/>
    </row>
    <row r="9424" spans="5:12" x14ac:dyDescent="0.2">
      <c r="E9424" s="1063"/>
      <c r="H9424" s="1066"/>
      <c r="I9424" s="1063"/>
      <c r="J9424" s="1063"/>
      <c r="K9424" s="1063"/>
      <c r="L9424" s="1063"/>
    </row>
    <row r="9425" spans="5:12" x14ac:dyDescent="0.2">
      <c r="E9425" s="1063"/>
      <c r="H9425" s="1066"/>
      <c r="I9425" s="1063"/>
      <c r="J9425" s="1063"/>
      <c r="K9425" s="1063"/>
      <c r="L9425" s="1063"/>
    </row>
    <row r="9426" spans="5:12" x14ac:dyDescent="0.2">
      <c r="E9426" s="1063"/>
      <c r="H9426" s="1066"/>
      <c r="I9426" s="1063"/>
      <c r="J9426" s="1063"/>
      <c r="K9426" s="1063"/>
      <c r="L9426" s="1063"/>
    </row>
    <row r="9427" spans="5:12" x14ac:dyDescent="0.2">
      <c r="E9427" s="1063"/>
      <c r="H9427" s="1066"/>
      <c r="I9427" s="1063"/>
      <c r="J9427" s="1063"/>
      <c r="K9427" s="1063"/>
      <c r="L9427" s="1063"/>
    </row>
    <row r="9428" spans="5:12" x14ac:dyDescent="0.2">
      <c r="E9428" s="1063"/>
      <c r="H9428" s="1066"/>
      <c r="I9428" s="1063"/>
      <c r="J9428" s="1063"/>
      <c r="K9428" s="1063"/>
      <c r="L9428" s="1063"/>
    </row>
    <row r="9429" spans="5:12" x14ac:dyDescent="0.2">
      <c r="E9429" s="1063"/>
      <c r="H9429" s="1066"/>
      <c r="I9429" s="1063"/>
      <c r="J9429" s="1063"/>
      <c r="K9429" s="1063"/>
      <c r="L9429" s="1063"/>
    </row>
    <row r="9430" spans="5:12" x14ac:dyDescent="0.2">
      <c r="E9430" s="1063"/>
      <c r="H9430" s="1066"/>
      <c r="I9430" s="1063"/>
      <c r="J9430" s="1063"/>
      <c r="K9430" s="1063"/>
      <c r="L9430" s="1063"/>
    </row>
    <row r="9431" spans="5:12" x14ac:dyDescent="0.2">
      <c r="E9431" s="1063"/>
      <c r="H9431" s="1066"/>
      <c r="I9431" s="1063"/>
      <c r="J9431" s="1063"/>
      <c r="K9431" s="1063"/>
      <c r="L9431" s="1063"/>
    </row>
    <row r="9432" spans="5:12" x14ac:dyDescent="0.2">
      <c r="E9432" s="1063"/>
      <c r="H9432" s="1066"/>
      <c r="I9432" s="1063"/>
      <c r="J9432" s="1063"/>
      <c r="K9432" s="1063"/>
      <c r="L9432" s="1063"/>
    </row>
    <row r="9433" spans="5:12" x14ac:dyDescent="0.2">
      <c r="E9433" s="1063"/>
      <c r="H9433" s="1066"/>
      <c r="I9433" s="1063"/>
      <c r="J9433" s="1063"/>
      <c r="K9433" s="1063"/>
      <c r="L9433" s="1063"/>
    </row>
    <row r="9434" spans="5:12" x14ac:dyDescent="0.2">
      <c r="E9434" s="1063"/>
      <c r="H9434" s="1066"/>
      <c r="I9434" s="1063"/>
      <c r="J9434" s="1063"/>
      <c r="K9434" s="1063"/>
      <c r="L9434" s="1063"/>
    </row>
    <row r="9435" spans="5:12" x14ac:dyDescent="0.2">
      <c r="E9435" s="1063"/>
      <c r="H9435" s="1066"/>
      <c r="I9435" s="1063"/>
      <c r="J9435" s="1063"/>
      <c r="K9435" s="1063"/>
      <c r="L9435" s="1063"/>
    </row>
    <row r="9436" spans="5:12" x14ac:dyDescent="0.2">
      <c r="E9436" s="1063"/>
      <c r="H9436" s="1066"/>
      <c r="I9436" s="1063"/>
      <c r="J9436" s="1063"/>
      <c r="K9436" s="1063"/>
      <c r="L9436" s="1063"/>
    </row>
    <row r="9437" spans="5:12" x14ac:dyDescent="0.2">
      <c r="E9437" s="1063"/>
      <c r="H9437" s="1066"/>
      <c r="I9437" s="1063"/>
      <c r="J9437" s="1063"/>
      <c r="K9437" s="1063"/>
      <c r="L9437" s="1063"/>
    </row>
    <row r="9438" spans="5:12" x14ac:dyDescent="0.2">
      <c r="E9438" s="1063"/>
      <c r="H9438" s="1066"/>
      <c r="I9438" s="1063"/>
      <c r="J9438" s="1063"/>
      <c r="K9438" s="1063"/>
      <c r="L9438" s="1063"/>
    </row>
    <row r="9439" spans="5:12" x14ac:dyDescent="0.2">
      <c r="E9439" s="1063"/>
      <c r="H9439" s="1066"/>
      <c r="I9439" s="1063"/>
      <c r="J9439" s="1063"/>
      <c r="K9439" s="1063"/>
      <c r="L9439" s="1063"/>
    </row>
    <row r="9440" spans="5:12" x14ac:dyDescent="0.2">
      <c r="E9440" s="1063"/>
      <c r="H9440" s="1066"/>
      <c r="I9440" s="1063"/>
      <c r="J9440" s="1063"/>
      <c r="K9440" s="1063"/>
      <c r="L9440" s="1063"/>
    </row>
    <row r="9441" spans="5:12" x14ac:dyDescent="0.2">
      <c r="E9441" s="1063"/>
      <c r="H9441" s="1066"/>
      <c r="I9441" s="1063"/>
      <c r="J9441" s="1063"/>
      <c r="K9441" s="1063"/>
      <c r="L9441" s="1063"/>
    </row>
    <row r="9442" spans="5:12" x14ac:dyDescent="0.2">
      <c r="E9442" s="1063"/>
      <c r="H9442" s="1066"/>
      <c r="I9442" s="1063"/>
      <c r="J9442" s="1063"/>
      <c r="K9442" s="1063"/>
      <c r="L9442" s="1063"/>
    </row>
    <row r="9443" spans="5:12" x14ac:dyDescent="0.2">
      <c r="E9443" s="1063"/>
      <c r="H9443" s="1066"/>
      <c r="I9443" s="1063"/>
      <c r="J9443" s="1063"/>
      <c r="K9443" s="1063"/>
      <c r="L9443" s="1063"/>
    </row>
    <row r="9444" spans="5:12" x14ac:dyDescent="0.2">
      <c r="E9444" s="1063"/>
      <c r="H9444" s="1066"/>
      <c r="I9444" s="1063"/>
      <c r="J9444" s="1063"/>
      <c r="K9444" s="1063"/>
      <c r="L9444" s="1063"/>
    </row>
    <row r="9445" spans="5:12" x14ac:dyDescent="0.2">
      <c r="E9445" s="1063"/>
      <c r="H9445" s="1066"/>
      <c r="I9445" s="1063"/>
      <c r="J9445" s="1063"/>
      <c r="K9445" s="1063"/>
      <c r="L9445" s="1063"/>
    </row>
    <row r="9446" spans="5:12" x14ac:dyDescent="0.2">
      <c r="E9446" s="1063"/>
      <c r="H9446" s="1066"/>
      <c r="I9446" s="1063"/>
      <c r="J9446" s="1063"/>
      <c r="K9446" s="1063"/>
      <c r="L9446" s="1063"/>
    </row>
    <row r="9447" spans="5:12" x14ac:dyDescent="0.2">
      <c r="E9447" s="1063"/>
      <c r="H9447" s="1066"/>
      <c r="I9447" s="1063"/>
      <c r="J9447" s="1063"/>
      <c r="K9447" s="1063"/>
      <c r="L9447" s="1063"/>
    </row>
    <row r="9448" spans="5:12" x14ac:dyDescent="0.2">
      <c r="E9448" s="1063"/>
      <c r="H9448" s="1066"/>
      <c r="I9448" s="1063"/>
      <c r="J9448" s="1063"/>
      <c r="K9448" s="1063"/>
      <c r="L9448" s="1063"/>
    </row>
    <row r="9449" spans="5:12" x14ac:dyDescent="0.2">
      <c r="E9449" s="1063"/>
      <c r="H9449" s="1066"/>
      <c r="I9449" s="1063"/>
      <c r="J9449" s="1063"/>
      <c r="K9449" s="1063"/>
      <c r="L9449" s="1063"/>
    </row>
    <row r="9450" spans="5:12" x14ac:dyDescent="0.2">
      <c r="E9450" s="1063"/>
      <c r="H9450" s="1066"/>
      <c r="I9450" s="1063"/>
      <c r="J9450" s="1063"/>
      <c r="K9450" s="1063"/>
      <c r="L9450" s="1063"/>
    </row>
    <row r="9451" spans="5:12" x14ac:dyDescent="0.2">
      <c r="E9451" s="1063"/>
      <c r="H9451" s="1066"/>
      <c r="I9451" s="1063"/>
      <c r="J9451" s="1063"/>
      <c r="K9451" s="1063"/>
      <c r="L9451" s="1063"/>
    </row>
    <row r="9452" spans="5:12" x14ac:dyDescent="0.2">
      <c r="E9452" s="1063"/>
      <c r="H9452" s="1066"/>
      <c r="I9452" s="1063"/>
      <c r="J9452" s="1063"/>
      <c r="K9452" s="1063"/>
      <c r="L9452" s="1063"/>
    </row>
    <row r="9453" spans="5:12" x14ac:dyDescent="0.2">
      <c r="E9453" s="1063"/>
      <c r="H9453" s="1066"/>
      <c r="I9453" s="1063"/>
      <c r="J9453" s="1063"/>
      <c r="K9453" s="1063"/>
      <c r="L9453" s="1063"/>
    </row>
    <row r="9454" spans="5:12" x14ac:dyDescent="0.2">
      <c r="E9454" s="1063"/>
      <c r="H9454" s="1066"/>
      <c r="I9454" s="1063"/>
      <c r="J9454" s="1063"/>
      <c r="K9454" s="1063"/>
      <c r="L9454" s="1063"/>
    </row>
    <row r="9455" spans="5:12" x14ac:dyDescent="0.2">
      <c r="E9455" s="1063"/>
      <c r="H9455" s="1066"/>
      <c r="I9455" s="1063"/>
      <c r="J9455" s="1063"/>
      <c r="K9455" s="1063"/>
      <c r="L9455" s="1063"/>
    </row>
    <row r="9456" spans="5:12" x14ac:dyDescent="0.2">
      <c r="E9456" s="1063"/>
      <c r="H9456" s="1066"/>
      <c r="I9456" s="1063"/>
      <c r="J9456" s="1063"/>
      <c r="K9456" s="1063"/>
      <c r="L9456" s="1063"/>
    </row>
    <row r="9457" spans="5:12" x14ac:dyDescent="0.2">
      <c r="E9457" s="1063"/>
      <c r="H9457" s="1066"/>
      <c r="I9457" s="1063"/>
      <c r="J9457" s="1063"/>
      <c r="K9457" s="1063"/>
      <c r="L9457" s="1063"/>
    </row>
    <row r="9458" spans="5:12" x14ac:dyDescent="0.2">
      <c r="E9458" s="1063"/>
      <c r="H9458" s="1066"/>
      <c r="I9458" s="1063"/>
      <c r="J9458" s="1063"/>
      <c r="K9458" s="1063"/>
      <c r="L9458" s="1063"/>
    </row>
    <row r="9459" spans="5:12" x14ac:dyDescent="0.2">
      <c r="E9459" s="1063"/>
      <c r="H9459" s="1066"/>
      <c r="I9459" s="1063"/>
      <c r="J9459" s="1063"/>
      <c r="K9459" s="1063"/>
      <c r="L9459" s="1063"/>
    </row>
    <row r="9460" spans="5:12" x14ac:dyDescent="0.2">
      <c r="E9460" s="1063"/>
      <c r="H9460" s="1066"/>
      <c r="I9460" s="1063"/>
      <c r="J9460" s="1063"/>
      <c r="K9460" s="1063"/>
      <c r="L9460" s="1063"/>
    </row>
    <row r="9461" spans="5:12" x14ac:dyDescent="0.2">
      <c r="E9461" s="1063"/>
      <c r="H9461" s="1066"/>
      <c r="I9461" s="1063"/>
      <c r="J9461" s="1063"/>
      <c r="K9461" s="1063"/>
      <c r="L9461" s="1063"/>
    </row>
    <row r="9462" spans="5:12" x14ac:dyDescent="0.2">
      <c r="E9462" s="1063"/>
      <c r="H9462" s="1066"/>
      <c r="I9462" s="1063"/>
      <c r="J9462" s="1063"/>
      <c r="K9462" s="1063"/>
      <c r="L9462" s="1063"/>
    </row>
    <row r="9463" spans="5:12" x14ac:dyDescent="0.2">
      <c r="E9463" s="1063"/>
      <c r="H9463" s="1066"/>
      <c r="I9463" s="1063"/>
      <c r="J9463" s="1063"/>
      <c r="K9463" s="1063"/>
      <c r="L9463" s="1063"/>
    </row>
    <row r="9464" spans="5:12" x14ac:dyDescent="0.2">
      <c r="E9464" s="1063"/>
      <c r="H9464" s="1066"/>
      <c r="I9464" s="1063"/>
      <c r="J9464" s="1063"/>
      <c r="K9464" s="1063"/>
      <c r="L9464" s="1063"/>
    </row>
    <row r="9465" spans="5:12" x14ac:dyDescent="0.2">
      <c r="E9465" s="1063"/>
      <c r="H9465" s="1066"/>
      <c r="I9465" s="1063"/>
      <c r="J9465" s="1063"/>
      <c r="K9465" s="1063"/>
      <c r="L9465" s="1063"/>
    </row>
    <row r="9466" spans="5:12" x14ac:dyDescent="0.2">
      <c r="E9466" s="1063"/>
      <c r="H9466" s="1066"/>
      <c r="I9466" s="1063"/>
      <c r="J9466" s="1063"/>
      <c r="K9466" s="1063"/>
      <c r="L9466" s="1063"/>
    </row>
    <row r="9467" spans="5:12" x14ac:dyDescent="0.2">
      <c r="E9467" s="1063"/>
      <c r="H9467" s="1066"/>
      <c r="I9467" s="1063"/>
      <c r="J9467" s="1063"/>
      <c r="K9467" s="1063"/>
      <c r="L9467" s="1063"/>
    </row>
    <row r="9468" spans="5:12" x14ac:dyDescent="0.2">
      <c r="E9468" s="1063"/>
      <c r="H9468" s="1066"/>
      <c r="I9468" s="1063"/>
      <c r="J9468" s="1063"/>
      <c r="K9468" s="1063"/>
      <c r="L9468" s="1063"/>
    </row>
    <row r="9469" spans="5:12" x14ac:dyDescent="0.2">
      <c r="E9469" s="1063"/>
      <c r="H9469" s="1066"/>
      <c r="I9469" s="1063"/>
      <c r="J9469" s="1063"/>
      <c r="K9469" s="1063"/>
      <c r="L9469" s="1063"/>
    </row>
    <row r="9470" spans="5:12" x14ac:dyDescent="0.2">
      <c r="E9470" s="1063"/>
      <c r="H9470" s="1066"/>
      <c r="I9470" s="1063"/>
      <c r="J9470" s="1063"/>
      <c r="K9470" s="1063"/>
      <c r="L9470" s="1063"/>
    </row>
    <row r="9471" spans="5:12" x14ac:dyDescent="0.2">
      <c r="E9471" s="1063"/>
      <c r="H9471" s="1066"/>
      <c r="I9471" s="1063"/>
      <c r="J9471" s="1063"/>
      <c r="K9471" s="1063"/>
      <c r="L9471" s="1063"/>
    </row>
    <row r="9472" spans="5:12" x14ac:dyDescent="0.2">
      <c r="E9472" s="1063"/>
      <c r="H9472" s="1066"/>
      <c r="I9472" s="1063"/>
      <c r="J9472" s="1063"/>
      <c r="K9472" s="1063"/>
      <c r="L9472" s="1063"/>
    </row>
    <row r="9473" spans="5:12" x14ac:dyDescent="0.2">
      <c r="E9473" s="1063"/>
      <c r="H9473" s="1066"/>
      <c r="I9473" s="1063"/>
      <c r="J9473" s="1063"/>
      <c r="K9473" s="1063"/>
      <c r="L9473" s="1063"/>
    </row>
    <row r="9474" spans="5:12" x14ac:dyDescent="0.2">
      <c r="E9474" s="1063"/>
      <c r="H9474" s="1066"/>
      <c r="I9474" s="1063"/>
      <c r="J9474" s="1063"/>
      <c r="K9474" s="1063"/>
      <c r="L9474" s="1063"/>
    </row>
    <row r="9475" spans="5:12" x14ac:dyDescent="0.2">
      <c r="E9475" s="1063"/>
      <c r="H9475" s="1066"/>
      <c r="I9475" s="1063"/>
      <c r="J9475" s="1063"/>
      <c r="K9475" s="1063"/>
      <c r="L9475" s="1063"/>
    </row>
    <row r="9476" spans="5:12" x14ac:dyDescent="0.2">
      <c r="E9476" s="1063"/>
      <c r="H9476" s="1066"/>
      <c r="I9476" s="1063"/>
      <c r="J9476" s="1063"/>
      <c r="K9476" s="1063"/>
      <c r="L9476" s="1063"/>
    </row>
    <row r="9477" spans="5:12" x14ac:dyDescent="0.2">
      <c r="E9477" s="1063"/>
      <c r="H9477" s="1066"/>
      <c r="I9477" s="1063"/>
      <c r="J9477" s="1063"/>
      <c r="K9477" s="1063"/>
      <c r="L9477" s="1063"/>
    </row>
    <row r="9478" spans="5:12" x14ac:dyDescent="0.2">
      <c r="E9478" s="1063"/>
      <c r="H9478" s="1066"/>
      <c r="I9478" s="1063"/>
      <c r="J9478" s="1063"/>
      <c r="K9478" s="1063"/>
      <c r="L9478" s="1063"/>
    </row>
    <row r="9479" spans="5:12" x14ac:dyDescent="0.2">
      <c r="E9479" s="1063"/>
      <c r="H9479" s="1066"/>
      <c r="I9479" s="1063"/>
      <c r="J9479" s="1063"/>
      <c r="K9479" s="1063"/>
      <c r="L9479" s="1063"/>
    </row>
    <row r="9480" spans="5:12" x14ac:dyDescent="0.2">
      <c r="E9480" s="1063"/>
      <c r="H9480" s="1066"/>
      <c r="I9480" s="1063"/>
      <c r="J9480" s="1063"/>
      <c r="K9480" s="1063"/>
      <c r="L9480" s="1063"/>
    </row>
    <row r="9481" spans="5:12" x14ac:dyDescent="0.2">
      <c r="E9481" s="1063"/>
      <c r="H9481" s="1066"/>
      <c r="I9481" s="1063"/>
      <c r="J9481" s="1063"/>
      <c r="K9481" s="1063"/>
      <c r="L9481" s="1063"/>
    </row>
    <row r="9482" spans="5:12" x14ac:dyDescent="0.2">
      <c r="E9482" s="1063"/>
      <c r="H9482" s="1066"/>
      <c r="I9482" s="1063"/>
      <c r="J9482" s="1063"/>
      <c r="K9482" s="1063"/>
      <c r="L9482" s="1063"/>
    </row>
    <row r="9483" spans="5:12" x14ac:dyDescent="0.2">
      <c r="E9483" s="1063"/>
      <c r="H9483" s="1066"/>
      <c r="I9483" s="1063"/>
      <c r="J9483" s="1063"/>
      <c r="K9483" s="1063"/>
      <c r="L9483" s="1063"/>
    </row>
    <row r="9484" spans="5:12" x14ac:dyDescent="0.2">
      <c r="E9484" s="1063"/>
      <c r="H9484" s="1066"/>
      <c r="I9484" s="1063"/>
      <c r="J9484" s="1063"/>
      <c r="K9484" s="1063"/>
      <c r="L9484" s="1063"/>
    </row>
    <row r="9485" spans="5:12" x14ac:dyDescent="0.2">
      <c r="E9485" s="1063"/>
      <c r="H9485" s="1066"/>
      <c r="I9485" s="1063"/>
      <c r="J9485" s="1063"/>
      <c r="K9485" s="1063"/>
      <c r="L9485" s="1063"/>
    </row>
    <row r="9486" spans="5:12" x14ac:dyDescent="0.2">
      <c r="E9486" s="1063"/>
      <c r="H9486" s="1066"/>
      <c r="I9486" s="1063"/>
      <c r="J9486" s="1063"/>
      <c r="K9486" s="1063"/>
      <c r="L9486" s="1063"/>
    </row>
    <row r="9487" spans="5:12" x14ac:dyDescent="0.2">
      <c r="E9487" s="1063"/>
      <c r="H9487" s="1066"/>
      <c r="I9487" s="1063"/>
      <c r="J9487" s="1063"/>
      <c r="K9487" s="1063"/>
      <c r="L9487" s="1063"/>
    </row>
    <row r="9488" spans="5:12" x14ac:dyDescent="0.2">
      <c r="E9488" s="1063"/>
      <c r="H9488" s="1066"/>
      <c r="I9488" s="1063"/>
      <c r="J9488" s="1063"/>
      <c r="K9488" s="1063"/>
      <c r="L9488" s="1063"/>
    </row>
    <row r="9489" spans="5:12" x14ac:dyDescent="0.2">
      <c r="E9489" s="1063"/>
      <c r="H9489" s="1066"/>
      <c r="I9489" s="1063"/>
      <c r="J9489" s="1063"/>
      <c r="K9489" s="1063"/>
      <c r="L9489" s="1063"/>
    </row>
    <row r="9490" spans="5:12" x14ac:dyDescent="0.2">
      <c r="E9490" s="1063"/>
      <c r="H9490" s="1066"/>
      <c r="I9490" s="1063"/>
      <c r="J9490" s="1063"/>
      <c r="K9490" s="1063"/>
      <c r="L9490" s="1063"/>
    </row>
    <row r="9491" spans="5:12" x14ac:dyDescent="0.2">
      <c r="E9491" s="1063"/>
      <c r="H9491" s="1066"/>
      <c r="I9491" s="1063"/>
      <c r="J9491" s="1063"/>
      <c r="K9491" s="1063"/>
      <c r="L9491" s="1063"/>
    </row>
    <row r="9492" spans="5:12" x14ac:dyDescent="0.2">
      <c r="E9492" s="1063"/>
      <c r="H9492" s="1066"/>
      <c r="I9492" s="1063"/>
      <c r="J9492" s="1063"/>
      <c r="K9492" s="1063"/>
      <c r="L9492" s="1063"/>
    </row>
    <row r="9493" spans="5:12" x14ac:dyDescent="0.2">
      <c r="E9493" s="1063"/>
      <c r="H9493" s="1066"/>
      <c r="I9493" s="1063"/>
      <c r="J9493" s="1063"/>
      <c r="K9493" s="1063"/>
      <c r="L9493" s="1063"/>
    </row>
    <row r="9494" spans="5:12" x14ac:dyDescent="0.2">
      <c r="E9494" s="1063"/>
      <c r="H9494" s="1066"/>
      <c r="I9494" s="1063"/>
      <c r="J9494" s="1063"/>
      <c r="K9494" s="1063"/>
      <c r="L9494" s="1063"/>
    </row>
    <row r="9495" spans="5:12" x14ac:dyDescent="0.2">
      <c r="E9495" s="1063"/>
      <c r="H9495" s="1066"/>
      <c r="I9495" s="1063"/>
      <c r="J9495" s="1063"/>
      <c r="K9495" s="1063"/>
      <c r="L9495" s="1063"/>
    </row>
    <row r="9496" spans="5:12" x14ac:dyDescent="0.2">
      <c r="E9496" s="1063"/>
      <c r="H9496" s="1066"/>
      <c r="I9496" s="1063"/>
      <c r="J9496" s="1063"/>
      <c r="K9496" s="1063"/>
      <c r="L9496" s="1063"/>
    </row>
    <row r="9497" spans="5:12" x14ac:dyDescent="0.2">
      <c r="E9497" s="1063"/>
      <c r="H9497" s="1066"/>
      <c r="I9497" s="1063"/>
      <c r="J9497" s="1063"/>
      <c r="K9497" s="1063"/>
      <c r="L9497" s="1063"/>
    </row>
    <row r="9498" spans="5:12" x14ac:dyDescent="0.2">
      <c r="E9498" s="1063"/>
      <c r="H9498" s="1066"/>
      <c r="I9498" s="1063"/>
      <c r="J9498" s="1063"/>
      <c r="K9498" s="1063"/>
      <c r="L9498" s="1063"/>
    </row>
    <row r="9499" spans="5:12" x14ac:dyDescent="0.2">
      <c r="E9499" s="1063"/>
      <c r="H9499" s="1066"/>
      <c r="I9499" s="1063"/>
      <c r="J9499" s="1063"/>
      <c r="K9499" s="1063"/>
      <c r="L9499" s="1063"/>
    </row>
    <row r="9500" spans="5:12" x14ac:dyDescent="0.2">
      <c r="E9500" s="1063"/>
      <c r="H9500" s="1066"/>
      <c r="I9500" s="1063"/>
      <c r="J9500" s="1063"/>
      <c r="K9500" s="1063"/>
      <c r="L9500" s="1063"/>
    </row>
    <row r="9501" spans="5:12" x14ac:dyDescent="0.2">
      <c r="E9501" s="1063"/>
      <c r="H9501" s="1066"/>
      <c r="I9501" s="1063"/>
      <c r="J9501" s="1063"/>
      <c r="K9501" s="1063"/>
      <c r="L9501" s="1063"/>
    </row>
    <row r="9502" spans="5:12" x14ac:dyDescent="0.2">
      <c r="E9502" s="1063"/>
      <c r="H9502" s="1066"/>
      <c r="I9502" s="1063"/>
      <c r="J9502" s="1063"/>
      <c r="K9502" s="1063"/>
      <c r="L9502" s="1063"/>
    </row>
    <row r="9503" spans="5:12" x14ac:dyDescent="0.2">
      <c r="E9503" s="1063"/>
      <c r="H9503" s="1066"/>
      <c r="I9503" s="1063"/>
      <c r="J9503" s="1063"/>
      <c r="K9503" s="1063"/>
      <c r="L9503" s="1063"/>
    </row>
    <row r="9504" spans="5:12" x14ac:dyDescent="0.2">
      <c r="E9504" s="1063"/>
      <c r="H9504" s="1066"/>
      <c r="I9504" s="1063"/>
      <c r="J9504" s="1063"/>
      <c r="K9504" s="1063"/>
      <c r="L9504" s="1063"/>
    </row>
    <row r="9505" spans="5:12" x14ac:dyDescent="0.2">
      <c r="E9505" s="1063"/>
      <c r="H9505" s="1066"/>
      <c r="I9505" s="1063"/>
      <c r="J9505" s="1063"/>
      <c r="K9505" s="1063"/>
      <c r="L9505" s="1063"/>
    </row>
    <row r="9506" spans="5:12" x14ac:dyDescent="0.2">
      <c r="E9506" s="1063"/>
      <c r="H9506" s="1066"/>
      <c r="I9506" s="1063"/>
      <c r="J9506" s="1063"/>
      <c r="K9506" s="1063"/>
      <c r="L9506" s="1063"/>
    </row>
    <row r="9507" spans="5:12" x14ac:dyDescent="0.2">
      <c r="E9507" s="1063"/>
      <c r="H9507" s="1066"/>
      <c r="I9507" s="1063"/>
      <c r="J9507" s="1063"/>
      <c r="K9507" s="1063"/>
      <c r="L9507" s="1063"/>
    </row>
    <row r="9508" spans="5:12" x14ac:dyDescent="0.2">
      <c r="E9508" s="1063"/>
      <c r="H9508" s="1066"/>
      <c r="I9508" s="1063"/>
      <c r="J9508" s="1063"/>
      <c r="K9508" s="1063"/>
      <c r="L9508" s="1063"/>
    </row>
    <row r="9509" spans="5:12" x14ac:dyDescent="0.2">
      <c r="E9509" s="1063"/>
      <c r="H9509" s="1066"/>
      <c r="I9509" s="1063"/>
      <c r="J9509" s="1063"/>
      <c r="K9509" s="1063"/>
      <c r="L9509" s="1063"/>
    </row>
    <row r="9510" spans="5:12" x14ac:dyDescent="0.2">
      <c r="E9510" s="1063"/>
      <c r="H9510" s="1066"/>
      <c r="I9510" s="1063"/>
      <c r="J9510" s="1063"/>
      <c r="K9510" s="1063"/>
      <c r="L9510" s="1063"/>
    </row>
    <row r="9511" spans="5:12" x14ac:dyDescent="0.2">
      <c r="E9511" s="1063"/>
      <c r="H9511" s="1066"/>
      <c r="I9511" s="1063"/>
      <c r="J9511" s="1063"/>
      <c r="K9511" s="1063"/>
      <c r="L9511" s="1063"/>
    </row>
    <row r="9512" spans="5:12" x14ac:dyDescent="0.2">
      <c r="E9512" s="1063"/>
      <c r="H9512" s="1066"/>
      <c r="I9512" s="1063"/>
      <c r="J9512" s="1063"/>
      <c r="K9512" s="1063"/>
      <c r="L9512" s="1063"/>
    </row>
    <row r="9513" spans="5:12" x14ac:dyDescent="0.2">
      <c r="E9513" s="1063"/>
      <c r="H9513" s="1066"/>
      <c r="I9513" s="1063"/>
      <c r="J9513" s="1063"/>
      <c r="K9513" s="1063"/>
      <c r="L9513" s="1063"/>
    </row>
    <row r="9514" spans="5:12" x14ac:dyDescent="0.2">
      <c r="E9514" s="1063"/>
      <c r="H9514" s="1066"/>
      <c r="I9514" s="1063"/>
      <c r="J9514" s="1063"/>
      <c r="K9514" s="1063"/>
      <c r="L9514" s="1063"/>
    </row>
    <row r="9515" spans="5:12" x14ac:dyDescent="0.2">
      <c r="E9515" s="1063"/>
      <c r="H9515" s="1066"/>
      <c r="I9515" s="1063"/>
      <c r="J9515" s="1063"/>
      <c r="K9515" s="1063"/>
      <c r="L9515" s="1063"/>
    </row>
    <row r="9516" spans="5:12" x14ac:dyDescent="0.2">
      <c r="E9516" s="1063"/>
      <c r="H9516" s="1066"/>
      <c r="I9516" s="1063"/>
      <c r="J9516" s="1063"/>
      <c r="K9516" s="1063"/>
      <c r="L9516" s="1063"/>
    </row>
    <row r="9517" spans="5:12" x14ac:dyDescent="0.2">
      <c r="E9517" s="1063"/>
      <c r="H9517" s="1066"/>
      <c r="I9517" s="1063"/>
      <c r="J9517" s="1063"/>
      <c r="K9517" s="1063"/>
      <c r="L9517" s="1063"/>
    </row>
    <row r="9518" spans="5:12" x14ac:dyDescent="0.2">
      <c r="E9518" s="1063"/>
      <c r="H9518" s="1066"/>
      <c r="I9518" s="1063"/>
      <c r="J9518" s="1063"/>
      <c r="K9518" s="1063"/>
      <c r="L9518" s="1063"/>
    </row>
    <row r="9519" spans="5:12" x14ac:dyDescent="0.2">
      <c r="E9519" s="1063"/>
      <c r="H9519" s="1066"/>
      <c r="I9519" s="1063"/>
      <c r="J9519" s="1063"/>
      <c r="K9519" s="1063"/>
      <c r="L9519" s="1063"/>
    </row>
    <row r="9520" spans="5:12" x14ac:dyDescent="0.2">
      <c r="E9520" s="1063"/>
      <c r="H9520" s="1066"/>
      <c r="I9520" s="1063"/>
      <c r="J9520" s="1063"/>
      <c r="K9520" s="1063"/>
      <c r="L9520" s="1063"/>
    </row>
    <row r="9521" spans="5:12" x14ac:dyDescent="0.2">
      <c r="E9521" s="1063"/>
      <c r="H9521" s="1066"/>
      <c r="I9521" s="1063"/>
      <c r="J9521" s="1063"/>
      <c r="K9521" s="1063"/>
      <c r="L9521" s="1063"/>
    </row>
    <row r="9522" spans="5:12" x14ac:dyDescent="0.2">
      <c r="E9522" s="1063"/>
      <c r="H9522" s="1066"/>
      <c r="I9522" s="1063"/>
      <c r="J9522" s="1063"/>
      <c r="K9522" s="1063"/>
      <c r="L9522" s="1063"/>
    </row>
    <row r="9523" spans="5:12" x14ac:dyDescent="0.2">
      <c r="E9523" s="1063"/>
      <c r="H9523" s="1066"/>
      <c r="I9523" s="1063"/>
      <c r="J9523" s="1063"/>
      <c r="K9523" s="1063"/>
      <c r="L9523" s="1063"/>
    </row>
    <row r="9524" spans="5:12" x14ac:dyDescent="0.2">
      <c r="E9524" s="1063"/>
      <c r="H9524" s="1066"/>
      <c r="I9524" s="1063"/>
      <c r="J9524" s="1063"/>
      <c r="K9524" s="1063"/>
      <c r="L9524" s="1063"/>
    </row>
    <row r="9525" spans="5:12" x14ac:dyDescent="0.2">
      <c r="E9525" s="1063"/>
      <c r="H9525" s="1066"/>
      <c r="I9525" s="1063"/>
      <c r="J9525" s="1063"/>
      <c r="K9525" s="1063"/>
      <c r="L9525" s="1063"/>
    </row>
    <row r="9526" spans="5:12" x14ac:dyDescent="0.2">
      <c r="E9526" s="1063"/>
      <c r="H9526" s="1066"/>
      <c r="I9526" s="1063"/>
      <c r="J9526" s="1063"/>
      <c r="K9526" s="1063"/>
      <c r="L9526" s="1063"/>
    </row>
    <row r="9527" spans="5:12" x14ac:dyDescent="0.2">
      <c r="E9527" s="1063"/>
      <c r="H9527" s="1066"/>
      <c r="I9527" s="1063"/>
      <c r="J9527" s="1063"/>
      <c r="K9527" s="1063"/>
      <c r="L9527" s="1063"/>
    </row>
    <row r="9528" spans="5:12" x14ac:dyDescent="0.2">
      <c r="E9528" s="1063"/>
      <c r="H9528" s="1066"/>
      <c r="I9528" s="1063"/>
      <c r="J9528" s="1063"/>
      <c r="K9528" s="1063"/>
      <c r="L9528" s="1063"/>
    </row>
    <row r="9529" spans="5:12" x14ac:dyDescent="0.2">
      <c r="E9529" s="1063"/>
      <c r="H9529" s="1066"/>
      <c r="I9529" s="1063"/>
      <c r="J9529" s="1063"/>
      <c r="K9529" s="1063"/>
      <c r="L9529" s="1063"/>
    </row>
    <row r="9530" spans="5:12" x14ac:dyDescent="0.2">
      <c r="E9530" s="1063"/>
      <c r="H9530" s="1066"/>
      <c r="I9530" s="1063"/>
      <c r="J9530" s="1063"/>
      <c r="K9530" s="1063"/>
      <c r="L9530" s="1063"/>
    </row>
    <row r="9531" spans="5:12" x14ac:dyDescent="0.2">
      <c r="E9531" s="1063"/>
      <c r="H9531" s="1066"/>
      <c r="I9531" s="1063"/>
      <c r="J9531" s="1063"/>
      <c r="K9531" s="1063"/>
      <c r="L9531" s="1063"/>
    </row>
    <row r="9532" spans="5:12" x14ac:dyDescent="0.2">
      <c r="E9532" s="1063"/>
      <c r="H9532" s="1066"/>
      <c r="I9532" s="1063"/>
      <c r="J9532" s="1063"/>
      <c r="K9532" s="1063"/>
      <c r="L9532" s="1063"/>
    </row>
    <row r="9533" spans="5:12" x14ac:dyDescent="0.2">
      <c r="E9533" s="1063"/>
      <c r="H9533" s="1066"/>
      <c r="I9533" s="1063"/>
      <c r="J9533" s="1063"/>
      <c r="K9533" s="1063"/>
      <c r="L9533" s="1063"/>
    </row>
    <row r="9534" spans="5:12" x14ac:dyDescent="0.2">
      <c r="E9534" s="1063"/>
      <c r="H9534" s="1066"/>
      <c r="I9534" s="1063"/>
      <c r="J9534" s="1063"/>
      <c r="K9534" s="1063"/>
      <c r="L9534" s="1063"/>
    </row>
    <row r="9535" spans="5:12" x14ac:dyDescent="0.2">
      <c r="E9535" s="1063"/>
      <c r="H9535" s="1066"/>
      <c r="I9535" s="1063"/>
      <c r="J9535" s="1063"/>
      <c r="K9535" s="1063"/>
      <c r="L9535" s="1063"/>
    </row>
    <row r="9536" spans="5:12" x14ac:dyDescent="0.2">
      <c r="E9536" s="1063"/>
      <c r="H9536" s="1066"/>
      <c r="I9536" s="1063"/>
      <c r="J9536" s="1063"/>
      <c r="K9536" s="1063"/>
      <c r="L9536" s="1063"/>
    </row>
    <row r="9537" spans="5:12" x14ac:dyDescent="0.2">
      <c r="E9537" s="1063"/>
      <c r="H9537" s="1066"/>
      <c r="I9537" s="1063"/>
      <c r="J9537" s="1063"/>
      <c r="K9537" s="1063"/>
      <c r="L9537" s="1063"/>
    </row>
    <row r="9538" spans="5:12" x14ac:dyDescent="0.2">
      <c r="E9538" s="1063"/>
      <c r="H9538" s="1066"/>
      <c r="I9538" s="1063"/>
      <c r="J9538" s="1063"/>
      <c r="K9538" s="1063"/>
      <c r="L9538" s="1063"/>
    </row>
    <row r="9539" spans="5:12" x14ac:dyDescent="0.2">
      <c r="E9539" s="1063"/>
      <c r="H9539" s="1066"/>
      <c r="I9539" s="1063"/>
      <c r="J9539" s="1063"/>
      <c r="K9539" s="1063"/>
      <c r="L9539" s="1063"/>
    </row>
    <row r="9540" spans="5:12" x14ac:dyDescent="0.2">
      <c r="E9540" s="1063"/>
      <c r="H9540" s="1066"/>
      <c r="I9540" s="1063"/>
      <c r="J9540" s="1063"/>
      <c r="K9540" s="1063"/>
      <c r="L9540" s="1063"/>
    </row>
    <row r="9541" spans="5:12" x14ac:dyDescent="0.2">
      <c r="E9541" s="1063"/>
      <c r="H9541" s="1066"/>
      <c r="I9541" s="1063"/>
      <c r="J9541" s="1063"/>
      <c r="K9541" s="1063"/>
      <c r="L9541" s="1063"/>
    </row>
    <row r="9542" spans="5:12" x14ac:dyDescent="0.2">
      <c r="E9542" s="1063"/>
      <c r="H9542" s="1066"/>
      <c r="I9542" s="1063"/>
      <c r="J9542" s="1063"/>
      <c r="K9542" s="1063"/>
      <c r="L9542" s="1063"/>
    </row>
    <row r="9543" spans="5:12" x14ac:dyDescent="0.2">
      <c r="E9543" s="1063"/>
      <c r="H9543" s="1066"/>
      <c r="I9543" s="1063"/>
      <c r="J9543" s="1063"/>
      <c r="K9543" s="1063"/>
      <c r="L9543" s="1063"/>
    </row>
    <row r="9544" spans="5:12" x14ac:dyDescent="0.2">
      <c r="E9544" s="1063"/>
      <c r="H9544" s="1066"/>
      <c r="I9544" s="1063"/>
      <c r="J9544" s="1063"/>
      <c r="K9544" s="1063"/>
      <c r="L9544" s="1063"/>
    </row>
    <row r="9545" spans="5:12" x14ac:dyDescent="0.2">
      <c r="E9545" s="1063"/>
      <c r="H9545" s="1066"/>
      <c r="I9545" s="1063"/>
      <c r="J9545" s="1063"/>
      <c r="K9545" s="1063"/>
      <c r="L9545" s="1063"/>
    </row>
    <row r="9546" spans="5:12" x14ac:dyDescent="0.2">
      <c r="E9546" s="1063"/>
      <c r="H9546" s="1066"/>
      <c r="I9546" s="1063"/>
      <c r="J9546" s="1063"/>
      <c r="K9546" s="1063"/>
      <c r="L9546" s="1063"/>
    </row>
    <row r="9547" spans="5:12" x14ac:dyDescent="0.2">
      <c r="E9547" s="1063"/>
      <c r="H9547" s="1066"/>
      <c r="I9547" s="1063"/>
      <c r="J9547" s="1063"/>
      <c r="K9547" s="1063"/>
      <c r="L9547" s="1063"/>
    </row>
    <row r="9548" spans="5:12" x14ac:dyDescent="0.2">
      <c r="E9548" s="1063"/>
      <c r="H9548" s="1066"/>
      <c r="I9548" s="1063"/>
      <c r="J9548" s="1063"/>
      <c r="K9548" s="1063"/>
      <c r="L9548" s="1063"/>
    </row>
    <row r="9549" spans="5:12" x14ac:dyDescent="0.2">
      <c r="E9549" s="1063"/>
      <c r="H9549" s="1066"/>
      <c r="I9549" s="1063"/>
      <c r="J9549" s="1063"/>
      <c r="K9549" s="1063"/>
      <c r="L9549" s="1063"/>
    </row>
    <row r="9550" spans="5:12" x14ac:dyDescent="0.2">
      <c r="E9550" s="1063"/>
      <c r="H9550" s="1066"/>
      <c r="I9550" s="1063"/>
      <c r="J9550" s="1063"/>
      <c r="K9550" s="1063"/>
      <c r="L9550" s="1063"/>
    </row>
    <row r="9551" spans="5:12" x14ac:dyDescent="0.2">
      <c r="E9551" s="1063"/>
      <c r="H9551" s="1066"/>
      <c r="I9551" s="1063"/>
      <c r="J9551" s="1063"/>
      <c r="K9551" s="1063"/>
      <c r="L9551" s="1063"/>
    </row>
    <row r="9552" spans="5:12" x14ac:dyDescent="0.2">
      <c r="E9552" s="1063"/>
      <c r="H9552" s="1066"/>
      <c r="I9552" s="1063"/>
      <c r="J9552" s="1063"/>
      <c r="K9552" s="1063"/>
      <c r="L9552" s="1063"/>
    </row>
    <row r="9553" spans="5:12" x14ac:dyDescent="0.2">
      <c r="E9553" s="1063"/>
      <c r="H9553" s="1066"/>
      <c r="I9553" s="1063"/>
      <c r="J9553" s="1063"/>
      <c r="K9553" s="1063"/>
      <c r="L9553" s="1063"/>
    </row>
    <row r="9554" spans="5:12" x14ac:dyDescent="0.2">
      <c r="E9554" s="1063"/>
      <c r="H9554" s="1066"/>
      <c r="I9554" s="1063"/>
      <c r="J9554" s="1063"/>
      <c r="K9554" s="1063"/>
      <c r="L9554" s="1063"/>
    </row>
    <row r="9555" spans="5:12" x14ac:dyDescent="0.2">
      <c r="E9555" s="1063"/>
      <c r="H9555" s="1066"/>
      <c r="I9555" s="1063"/>
      <c r="J9555" s="1063"/>
      <c r="K9555" s="1063"/>
      <c r="L9555" s="1063"/>
    </row>
    <row r="9556" spans="5:12" x14ac:dyDescent="0.2">
      <c r="E9556" s="1063"/>
      <c r="H9556" s="1066"/>
      <c r="I9556" s="1063"/>
      <c r="J9556" s="1063"/>
      <c r="K9556" s="1063"/>
      <c r="L9556" s="1063"/>
    </row>
    <row r="9557" spans="5:12" x14ac:dyDescent="0.2">
      <c r="E9557" s="1063"/>
      <c r="H9557" s="1066"/>
      <c r="I9557" s="1063"/>
      <c r="J9557" s="1063"/>
      <c r="K9557" s="1063"/>
      <c r="L9557" s="1063"/>
    </row>
    <row r="9558" spans="5:12" x14ac:dyDescent="0.2">
      <c r="E9558" s="1063"/>
      <c r="H9558" s="1066"/>
      <c r="I9558" s="1063"/>
      <c r="J9558" s="1063"/>
      <c r="K9558" s="1063"/>
      <c r="L9558" s="1063"/>
    </row>
    <row r="9559" spans="5:12" x14ac:dyDescent="0.2">
      <c r="E9559" s="1063"/>
      <c r="H9559" s="1066"/>
      <c r="I9559" s="1063"/>
      <c r="J9559" s="1063"/>
      <c r="K9559" s="1063"/>
      <c r="L9559" s="1063"/>
    </row>
    <row r="9560" spans="5:12" x14ac:dyDescent="0.2">
      <c r="E9560" s="1063"/>
      <c r="H9560" s="1066"/>
      <c r="I9560" s="1063"/>
      <c r="J9560" s="1063"/>
      <c r="K9560" s="1063"/>
      <c r="L9560" s="1063"/>
    </row>
    <row r="9561" spans="5:12" x14ac:dyDescent="0.2">
      <c r="E9561" s="1063"/>
      <c r="H9561" s="1066"/>
      <c r="I9561" s="1063"/>
      <c r="J9561" s="1063"/>
      <c r="K9561" s="1063"/>
      <c r="L9561" s="1063"/>
    </row>
    <row r="9562" spans="5:12" x14ac:dyDescent="0.2">
      <c r="E9562" s="1063"/>
      <c r="H9562" s="1066"/>
      <c r="I9562" s="1063"/>
      <c r="J9562" s="1063"/>
      <c r="K9562" s="1063"/>
      <c r="L9562" s="1063"/>
    </row>
    <row r="9563" spans="5:12" x14ac:dyDescent="0.2">
      <c r="E9563" s="1063"/>
      <c r="H9563" s="1066"/>
      <c r="I9563" s="1063"/>
      <c r="J9563" s="1063"/>
      <c r="K9563" s="1063"/>
      <c r="L9563" s="1063"/>
    </row>
    <row r="9564" spans="5:12" x14ac:dyDescent="0.2">
      <c r="E9564" s="1063"/>
      <c r="H9564" s="1066"/>
      <c r="I9564" s="1063"/>
      <c r="J9564" s="1063"/>
      <c r="K9564" s="1063"/>
      <c r="L9564" s="1063"/>
    </row>
    <row r="9565" spans="5:12" x14ac:dyDescent="0.2">
      <c r="E9565" s="1063"/>
      <c r="H9565" s="1066"/>
      <c r="I9565" s="1063"/>
      <c r="J9565" s="1063"/>
      <c r="K9565" s="1063"/>
      <c r="L9565" s="1063"/>
    </row>
    <row r="9566" spans="5:12" x14ac:dyDescent="0.2">
      <c r="E9566" s="1063"/>
      <c r="H9566" s="1066"/>
      <c r="I9566" s="1063"/>
      <c r="J9566" s="1063"/>
      <c r="K9566" s="1063"/>
      <c r="L9566" s="1063"/>
    </row>
    <row r="9567" spans="5:12" x14ac:dyDescent="0.2">
      <c r="E9567" s="1063"/>
      <c r="H9567" s="1066"/>
      <c r="I9567" s="1063"/>
      <c r="J9567" s="1063"/>
      <c r="K9567" s="1063"/>
      <c r="L9567" s="1063"/>
    </row>
    <row r="9568" spans="5:12" x14ac:dyDescent="0.2">
      <c r="E9568" s="1063"/>
      <c r="H9568" s="1066"/>
      <c r="I9568" s="1063"/>
      <c r="J9568" s="1063"/>
      <c r="K9568" s="1063"/>
      <c r="L9568" s="1063"/>
    </row>
    <row r="9569" spans="5:12" x14ac:dyDescent="0.2">
      <c r="E9569" s="1063"/>
      <c r="H9569" s="1066"/>
      <c r="I9569" s="1063"/>
      <c r="J9569" s="1063"/>
      <c r="K9569" s="1063"/>
      <c r="L9569" s="1063"/>
    </row>
    <row r="9570" spans="5:12" x14ac:dyDescent="0.2">
      <c r="E9570" s="1063"/>
      <c r="H9570" s="1066"/>
      <c r="I9570" s="1063"/>
      <c r="J9570" s="1063"/>
      <c r="K9570" s="1063"/>
      <c r="L9570" s="1063"/>
    </row>
    <row r="9571" spans="5:12" x14ac:dyDescent="0.2">
      <c r="E9571" s="1063"/>
      <c r="H9571" s="1066"/>
      <c r="I9571" s="1063"/>
      <c r="J9571" s="1063"/>
      <c r="K9571" s="1063"/>
      <c r="L9571" s="1063"/>
    </row>
    <row r="9572" spans="5:12" x14ac:dyDescent="0.2">
      <c r="E9572" s="1063"/>
      <c r="H9572" s="1066"/>
      <c r="I9572" s="1063"/>
      <c r="J9572" s="1063"/>
      <c r="K9572" s="1063"/>
      <c r="L9572" s="1063"/>
    </row>
    <row r="9573" spans="5:12" x14ac:dyDescent="0.2">
      <c r="E9573" s="1063"/>
      <c r="H9573" s="1066"/>
      <c r="I9573" s="1063"/>
      <c r="J9573" s="1063"/>
      <c r="K9573" s="1063"/>
      <c r="L9573" s="1063"/>
    </row>
    <row r="9574" spans="5:12" x14ac:dyDescent="0.2">
      <c r="E9574" s="1063"/>
      <c r="H9574" s="1066"/>
      <c r="I9574" s="1063"/>
      <c r="J9574" s="1063"/>
      <c r="K9574" s="1063"/>
      <c r="L9574" s="1063"/>
    </row>
    <row r="9575" spans="5:12" x14ac:dyDescent="0.2">
      <c r="E9575" s="1063"/>
      <c r="H9575" s="1066"/>
      <c r="I9575" s="1063"/>
      <c r="J9575" s="1063"/>
      <c r="K9575" s="1063"/>
      <c r="L9575" s="1063"/>
    </row>
    <row r="9576" spans="5:12" x14ac:dyDescent="0.2">
      <c r="E9576" s="1063"/>
      <c r="H9576" s="1066"/>
      <c r="I9576" s="1063"/>
      <c r="J9576" s="1063"/>
      <c r="K9576" s="1063"/>
      <c r="L9576" s="1063"/>
    </row>
    <row r="9577" spans="5:12" x14ac:dyDescent="0.2">
      <c r="E9577" s="1063"/>
      <c r="H9577" s="1066"/>
      <c r="I9577" s="1063"/>
      <c r="J9577" s="1063"/>
      <c r="K9577" s="1063"/>
      <c r="L9577" s="1063"/>
    </row>
    <row r="9578" spans="5:12" x14ac:dyDescent="0.2">
      <c r="E9578" s="1063"/>
      <c r="H9578" s="1066"/>
      <c r="I9578" s="1063"/>
      <c r="J9578" s="1063"/>
      <c r="K9578" s="1063"/>
      <c r="L9578" s="1063"/>
    </row>
    <row r="9579" spans="5:12" x14ac:dyDescent="0.2">
      <c r="E9579" s="1063"/>
      <c r="H9579" s="1066"/>
      <c r="I9579" s="1063"/>
      <c r="J9579" s="1063"/>
      <c r="K9579" s="1063"/>
      <c r="L9579" s="1063"/>
    </row>
    <row r="9580" spans="5:12" x14ac:dyDescent="0.2">
      <c r="E9580" s="1063"/>
      <c r="H9580" s="1066"/>
      <c r="I9580" s="1063"/>
      <c r="J9580" s="1063"/>
      <c r="K9580" s="1063"/>
      <c r="L9580" s="1063"/>
    </row>
    <row r="9581" spans="5:12" x14ac:dyDescent="0.2">
      <c r="E9581" s="1063"/>
      <c r="H9581" s="1066"/>
      <c r="I9581" s="1063"/>
      <c r="J9581" s="1063"/>
      <c r="K9581" s="1063"/>
      <c r="L9581" s="1063"/>
    </row>
    <row r="9582" spans="5:12" x14ac:dyDescent="0.2">
      <c r="E9582" s="1063"/>
      <c r="H9582" s="1066"/>
      <c r="I9582" s="1063"/>
      <c r="J9582" s="1063"/>
      <c r="K9582" s="1063"/>
      <c r="L9582" s="1063"/>
    </row>
    <row r="9583" spans="5:12" x14ac:dyDescent="0.2">
      <c r="E9583" s="1063"/>
      <c r="H9583" s="1066"/>
      <c r="I9583" s="1063"/>
      <c r="J9583" s="1063"/>
      <c r="K9583" s="1063"/>
      <c r="L9583" s="1063"/>
    </row>
    <row r="9584" spans="5:12" x14ac:dyDescent="0.2">
      <c r="E9584" s="1063"/>
      <c r="H9584" s="1066"/>
      <c r="I9584" s="1063"/>
      <c r="J9584" s="1063"/>
      <c r="K9584" s="1063"/>
      <c r="L9584" s="1063"/>
    </row>
    <row r="9585" spans="5:12" x14ac:dyDescent="0.2">
      <c r="E9585" s="1063"/>
      <c r="H9585" s="1066"/>
      <c r="I9585" s="1063"/>
      <c r="J9585" s="1063"/>
      <c r="K9585" s="1063"/>
      <c r="L9585" s="1063"/>
    </row>
    <row r="9586" spans="5:12" x14ac:dyDescent="0.2">
      <c r="E9586" s="1063"/>
      <c r="H9586" s="1066"/>
      <c r="I9586" s="1063"/>
      <c r="J9586" s="1063"/>
      <c r="K9586" s="1063"/>
      <c r="L9586" s="1063"/>
    </row>
    <row r="9587" spans="5:12" x14ac:dyDescent="0.2">
      <c r="E9587" s="1063"/>
      <c r="H9587" s="1066"/>
      <c r="I9587" s="1063"/>
      <c r="J9587" s="1063"/>
      <c r="K9587" s="1063"/>
      <c r="L9587" s="1063"/>
    </row>
    <row r="9588" spans="5:12" x14ac:dyDescent="0.2">
      <c r="E9588" s="1063"/>
      <c r="H9588" s="1066"/>
      <c r="I9588" s="1063"/>
      <c r="J9588" s="1063"/>
      <c r="K9588" s="1063"/>
      <c r="L9588" s="1063"/>
    </row>
    <row r="9589" spans="5:12" x14ac:dyDescent="0.2">
      <c r="E9589" s="1063"/>
      <c r="H9589" s="1066"/>
      <c r="I9589" s="1063"/>
      <c r="J9589" s="1063"/>
      <c r="K9589" s="1063"/>
      <c r="L9589" s="1063"/>
    </row>
    <row r="9590" spans="5:12" x14ac:dyDescent="0.2">
      <c r="E9590" s="1063"/>
      <c r="H9590" s="1066"/>
      <c r="I9590" s="1063"/>
      <c r="J9590" s="1063"/>
      <c r="K9590" s="1063"/>
      <c r="L9590" s="1063"/>
    </row>
    <row r="9591" spans="5:12" x14ac:dyDescent="0.2">
      <c r="E9591" s="1063"/>
      <c r="H9591" s="1066"/>
      <c r="I9591" s="1063"/>
      <c r="J9591" s="1063"/>
      <c r="K9591" s="1063"/>
      <c r="L9591" s="1063"/>
    </row>
    <row r="9592" spans="5:12" x14ac:dyDescent="0.2">
      <c r="E9592" s="1063"/>
      <c r="H9592" s="1066"/>
      <c r="I9592" s="1063"/>
      <c r="J9592" s="1063"/>
      <c r="K9592" s="1063"/>
      <c r="L9592" s="1063"/>
    </row>
    <row r="9593" spans="5:12" x14ac:dyDescent="0.2">
      <c r="E9593" s="1063"/>
      <c r="H9593" s="1066"/>
      <c r="I9593" s="1063"/>
      <c r="J9593" s="1063"/>
      <c r="K9593" s="1063"/>
      <c r="L9593" s="1063"/>
    </row>
    <row r="9594" spans="5:12" x14ac:dyDescent="0.2">
      <c r="E9594" s="1063"/>
      <c r="H9594" s="1066"/>
      <c r="I9594" s="1063"/>
      <c r="J9594" s="1063"/>
      <c r="K9594" s="1063"/>
      <c r="L9594" s="1063"/>
    </row>
    <row r="9595" spans="5:12" x14ac:dyDescent="0.2">
      <c r="E9595" s="1063"/>
      <c r="H9595" s="1066"/>
      <c r="I9595" s="1063"/>
      <c r="J9595" s="1063"/>
      <c r="K9595" s="1063"/>
      <c r="L9595" s="1063"/>
    </row>
    <row r="9596" spans="5:12" x14ac:dyDescent="0.2">
      <c r="E9596" s="1063"/>
      <c r="H9596" s="1066"/>
      <c r="I9596" s="1063"/>
      <c r="J9596" s="1063"/>
      <c r="K9596" s="1063"/>
      <c r="L9596" s="1063"/>
    </row>
    <row r="9597" spans="5:12" x14ac:dyDescent="0.2">
      <c r="E9597" s="1063"/>
      <c r="H9597" s="1066"/>
      <c r="I9597" s="1063"/>
      <c r="J9597" s="1063"/>
      <c r="K9597" s="1063"/>
      <c r="L9597" s="1063"/>
    </row>
    <row r="9598" spans="5:12" x14ac:dyDescent="0.2">
      <c r="E9598" s="1063"/>
      <c r="H9598" s="1066"/>
      <c r="I9598" s="1063"/>
      <c r="J9598" s="1063"/>
      <c r="K9598" s="1063"/>
      <c r="L9598" s="1063"/>
    </row>
    <row r="9599" spans="5:12" x14ac:dyDescent="0.2">
      <c r="E9599" s="1063"/>
      <c r="H9599" s="1066"/>
      <c r="I9599" s="1063"/>
      <c r="J9599" s="1063"/>
      <c r="K9599" s="1063"/>
      <c r="L9599" s="1063"/>
    </row>
    <row r="9600" spans="5:12" x14ac:dyDescent="0.2">
      <c r="E9600" s="1063"/>
      <c r="H9600" s="1066"/>
      <c r="I9600" s="1063"/>
      <c r="J9600" s="1063"/>
      <c r="K9600" s="1063"/>
      <c r="L9600" s="1063"/>
    </row>
    <row r="9601" spans="5:12" x14ac:dyDescent="0.2">
      <c r="E9601" s="1063"/>
      <c r="H9601" s="1066"/>
      <c r="I9601" s="1063"/>
      <c r="J9601" s="1063"/>
      <c r="K9601" s="1063"/>
      <c r="L9601" s="1063"/>
    </row>
    <row r="9602" spans="5:12" x14ac:dyDescent="0.2">
      <c r="E9602" s="1063"/>
      <c r="H9602" s="1066"/>
      <c r="I9602" s="1063"/>
      <c r="J9602" s="1063"/>
      <c r="K9602" s="1063"/>
      <c r="L9602" s="1063"/>
    </row>
    <row r="9603" spans="5:12" x14ac:dyDescent="0.2">
      <c r="E9603" s="1063"/>
      <c r="H9603" s="1066"/>
      <c r="I9603" s="1063"/>
      <c r="J9603" s="1063"/>
      <c r="K9603" s="1063"/>
      <c r="L9603" s="1063"/>
    </row>
    <row r="9604" spans="5:12" x14ac:dyDescent="0.2">
      <c r="E9604" s="1063"/>
      <c r="H9604" s="1066"/>
      <c r="I9604" s="1063"/>
      <c r="J9604" s="1063"/>
      <c r="K9604" s="1063"/>
      <c r="L9604" s="1063"/>
    </row>
    <row r="9605" spans="5:12" x14ac:dyDescent="0.2">
      <c r="E9605" s="1063"/>
      <c r="H9605" s="1066"/>
      <c r="I9605" s="1063"/>
      <c r="J9605" s="1063"/>
      <c r="K9605" s="1063"/>
      <c r="L9605" s="1063"/>
    </row>
    <row r="9606" spans="5:12" x14ac:dyDescent="0.2">
      <c r="E9606" s="1063"/>
      <c r="H9606" s="1066"/>
      <c r="I9606" s="1063"/>
      <c r="J9606" s="1063"/>
      <c r="K9606" s="1063"/>
      <c r="L9606" s="1063"/>
    </row>
    <row r="9607" spans="5:12" x14ac:dyDescent="0.2">
      <c r="E9607" s="1063"/>
      <c r="H9607" s="1066"/>
      <c r="I9607" s="1063"/>
      <c r="J9607" s="1063"/>
      <c r="K9607" s="1063"/>
      <c r="L9607" s="1063"/>
    </row>
    <row r="9608" spans="5:12" x14ac:dyDescent="0.2">
      <c r="E9608" s="1063"/>
      <c r="H9608" s="1066"/>
      <c r="I9608" s="1063"/>
      <c r="J9608" s="1063"/>
      <c r="K9608" s="1063"/>
      <c r="L9608" s="1063"/>
    </row>
    <row r="9609" spans="5:12" x14ac:dyDescent="0.2">
      <c r="E9609" s="1063"/>
      <c r="H9609" s="1066"/>
      <c r="I9609" s="1063"/>
      <c r="J9609" s="1063"/>
      <c r="K9609" s="1063"/>
      <c r="L9609" s="1063"/>
    </row>
    <row r="9610" spans="5:12" x14ac:dyDescent="0.2">
      <c r="E9610" s="1063"/>
      <c r="H9610" s="1066"/>
      <c r="I9610" s="1063"/>
      <c r="J9610" s="1063"/>
      <c r="K9610" s="1063"/>
      <c r="L9610" s="1063"/>
    </row>
    <row r="9611" spans="5:12" x14ac:dyDescent="0.2">
      <c r="E9611" s="1063"/>
      <c r="H9611" s="1066"/>
      <c r="I9611" s="1063"/>
      <c r="J9611" s="1063"/>
      <c r="K9611" s="1063"/>
      <c r="L9611" s="1063"/>
    </row>
    <row r="9612" spans="5:12" x14ac:dyDescent="0.2">
      <c r="E9612" s="1063"/>
      <c r="H9612" s="1066"/>
      <c r="I9612" s="1063"/>
      <c r="J9612" s="1063"/>
      <c r="K9612" s="1063"/>
      <c r="L9612" s="1063"/>
    </row>
    <row r="9613" spans="5:12" x14ac:dyDescent="0.2">
      <c r="E9613" s="1063"/>
      <c r="H9613" s="1066"/>
      <c r="I9613" s="1063"/>
      <c r="J9613" s="1063"/>
      <c r="K9613" s="1063"/>
      <c r="L9613" s="1063"/>
    </row>
    <row r="9614" spans="5:12" x14ac:dyDescent="0.2">
      <c r="E9614" s="1063"/>
      <c r="H9614" s="1066"/>
      <c r="I9614" s="1063"/>
      <c r="J9614" s="1063"/>
      <c r="K9614" s="1063"/>
      <c r="L9614" s="1063"/>
    </row>
    <row r="9615" spans="5:12" x14ac:dyDescent="0.2">
      <c r="E9615" s="1063"/>
      <c r="H9615" s="1066"/>
      <c r="I9615" s="1063"/>
      <c r="J9615" s="1063"/>
      <c r="K9615" s="1063"/>
      <c r="L9615" s="1063"/>
    </row>
    <row r="9616" spans="5:12" x14ac:dyDescent="0.2">
      <c r="E9616" s="1063"/>
      <c r="H9616" s="1066"/>
      <c r="I9616" s="1063"/>
      <c r="J9616" s="1063"/>
      <c r="K9616" s="1063"/>
      <c r="L9616" s="1063"/>
    </row>
    <row r="9617" spans="5:12" x14ac:dyDescent="0.2">
      <c r="E9617" s="1063"/>
      <c r="H9617" s="1066"/>
      <c r="I9617" s="1063"/>
      <c r="J9617" s="1063"/>
      <c r="K9617" s="1063"/>
      <c r="L9617" s="1063"/>
    </row>
    <row r="9618" spans="5:12" x14ac:dyDescent="0.2">
      <c r="E9618" s="1063"/>
      <c r="H9618" s="1066"/>
      <c r="I9618" s="1063"/>
      <c r="J9618" s="1063"/>
      <c r="K9618" s="1063"/>
      <c r="L9618" s="1063"/>
    </row>
    <row r="9619" spans="5:12" x14ac:dyDescent="0.2">
      <c r="E9619" s="1063"/>
      <c r="H9619" s="1066"/>
      <c r="I9619" s="1063"/>
      <c r="J9619" s="1063"/>
      <c r="K9619" s="1063"/>
      <c r="L9619" s="1063"/>
    </row>
    <row r="9620" spans="5:12" x14ac:dyDescent="0.2">
      <c r="E9620" s="1063"/>
      <c r="H9620" s="1066"/>
      <c r="I9620" s="1063"/>
      <c r="J9620" s="1063"/>
      <c r="K9620" s="1063"/>
      <c r="L9620" s="1063"/>
    </row>
    <row r="9621" spans="5:12" x14ac:dyDescent="0.2">
      <c r="E9621" s="1063"/>
      <c r="H9621" s="1066"/>
      <c r="I9621" s="1063"/>
      <c r="J9621" s="1063"/>
      <c r="K9621" s="1063"/>
      <c r="L9621" s="1063"/>
    </row>
    <row r="9622" spans="5:12" x14ac:dyDescent="0.2">
      <c r="E9622" s="1063"/>
      <c r="H9622" s="1066"/>
      <c r="I9622" s="1063"/>
      <c r="J9622" s="1063"/>
      <c r="K9622" s="1063"/>
      <c r="L9622" s="1063"/>
    </row>
    <row r="9623" spans="5:12" x14ac:dyDescent="0.2">
      <c r="E9623" s="1063"/>
      <c r="H9623" s="1066"/>
      <c r="I9623" s="1063"/>
      <c r="J9623" s="1063"/>
      <c r="K9623" s="1063"/>
      <c r="L9623" s="1063"/>
    </row>
    <row r="9624" spans="5:12" x14ac:dyDescent="0.2">
      <c r="E9624" s="1063"/>
      <c r="H9624" s="1066"/>
      <c r="I9624" s="1063"/>
      <c r="J9624" s="1063"/>
      <c r="K9624" s="1063"/>
      <c r="L9624" s="1063"/>
    </row>
    <row r="9625" spans="5:12" x14ac:dyDescent="0.2">
      <c r="E9625" s="1063"/>
      <c r="H9625" s="1066"/>
      <c r="I9625" s="1063"/>
      <c r="J9625" s="1063"/>
      <c r="K9625" s="1063"/>
      <c r="L9625" s="1063"/>
    </row>
    <row r="9626" spans="5:12" x14ac:dyDescent="0.2">
      <c r="E9626" s="1063"/>
      <c r="H9626" s="1066"/>
      <c r="I9626" s="1063"/>
      <c r="J9626" s="1063"/>
      <c r="K9626" s="1063"/>
      <c r="L9626" s="1063"/>
    </row>
    <row r="9627" spans="5:12" x14ac:dyDescent="0.2">
      <c r="E9627" s="1063"/>
      <c r="H9627" s="1066"/>
      <c r="I9627" s="1063"/>
      <c r="J9627" s="1063"/>
      <c r="K9627" s="1063"/>
      <c r="L9627" s="1063"/>
    </row>
    <row r="9628" spans="5:12" x14ac:dyDescent="0.2">
      <c r="E9628" s="1063"/>
      <c r="H9628" s="1066"/>
      <c r="I9628" s="1063"/>
      <c r="J9628" s="1063"/>
      <c r="K9628" s="1063"/>
      <c r="L9628" s="1063"/>
    </row>
    <row r="9629" spans="5:12" x14ac:dyDescent="0.2">
      <c r="E9629" s="1063"/>
      <c r="H9629" s="1066"/>
      <c r="I9629" s="1063"/>
      <c r="J9629" s="1063"/>
      <c r="K9629" s="1063"/>
      <c r="L9629" s="1063"/>
    </row>
    <row r="9630" spans="5:12" x14ac:dyDescent="0.2">
      <c r="E9630" s="1063"/>
      <c r="H9630" s="1066"/>
      <c r="I9630" s="1063"/>
      <c r="J9630" s="1063"/>
      <c r="K9630" s="1063"/>
      <c r="L9630" s="1063"/>
    </row>
    <row r="9631" spans="5:12" x14ac:dyDescent="0.2">
      <c r="E9631" s="1063"/>
      <c r="H9631" s="1066"/>
      <c r="I9631" s="1063"/>
      <c r="J9631" s="1063"/>
      <c r="K9631" s="1063"/>
      <c r="L9631" s="1063"/>
    </row>
    <row r="9632" spans="5:12" x14ac:dyDescent="0.2">
      <c r="E9632" s="1063"/>
      <c r="H9632" s="1066"/>
      <c r="I9632" s="1063"/>
      <c r="J9632" s="1063"/>
      <c r="K9632" s="1063"/>
      <c r="L9632" s="1063"/>
    </row>
    <row r="9633" spans="5:12" x14ac:dyDescent="0.2">
      <c r="E9633" s="1063"/>
      <c r="H9633" s="1066"/>
      <c r="I9633" s="1063"/>
      <c r="J9633" s="1063"/>
      <c r="K9633" s="1063"/>
      <c r="L9633" s="1063"/>
    </row>
    <row r="9634" spans="5:12" x14ac:dyDescent="0.2">
      <c r="E9634" s="1063"/>
      <c r="H9634" s="1066"/>
      <c r="I9634" s="1063"/>
      <c r="J9634" s="1063"/>
      <c r="K9634" s="1063"/>
      <c r="L9634" s="1063"/>
    </row>
    <row r="9635" spans="5:12" x14ac:dyDescent="0.2">
      <c r="E9635" s="1063"/>
      <c r="H9635" s="1066"/>
      <c r="I9635" s="1063"/>
      <c r="J9635" s="1063"/>
      <c r="K9635" s="1063"/>
      <c r="L9635" s="1063"/>
    </row>
    <row r="9636" spans="5:12" x14ac:dyDescent="0.2">
      <c r="E9636" s="1063"/>
      <c r="H9636" s="1066"/>
      <c r="I9636" s="1063"/>
      <c r="J9636" s="1063"/>
      <c r="K9636" s="1063"/>
      <c r="L9636" s="1063"/>
    </row>
    <row r="9637" spans="5:12" x14ac:dyDescent="0.2">
      <c r="E9637" s="1063"/>
      <c r="H9637" s="1066"/>
      <c r="I9637" s="1063"/>
      <c r="J9637" s="1063"/>
      <c r="K9637" s="1063"/>
      <c r="L9637" s="1063"/>
    </row>
    <row r="9638" spans="5:12" x14ac:dyDescent="0.2">
      <c r="E9638" s="1063"/>
      <c r="H9638" s="1066"/>
      <c r="I9638" s="1063"/>
      <c r="J9638" s="1063"/>
      <c r="K9638" s="1063"/>
      <c r="L9638" s="1063"/>
    </row>
    <row r="9639" spans="5:12" x14ac:dyDescent="0.2">
      <c r="E9639" s="1063"/>
      <c r="H9639" s="1066"/>
      <c r="I9639" s="1063"/>
      <c r="J9639" s="1063"/>
      <c r="K9639" s="1063"/>
      <c r="L9639" s="1063"/>
    </row>
    <row r="9640" spans="5:12" x14ac:dyDescent="0.2">
      <c r="E9640" s="1063"/>
      <c r="H9640" s="1066"/>
      <c r="I9640" s="1063"/>
      <c r="J9640" s="1063"/>
      <c r="K9640" s="1063"/>
      <c r="L9640" s="1063"/>
    </row>
    <row r="9641" spans="5:12" x14ac:dyDescent="0.2">
      <c r="E9641" s="1063"/>
      <c r="H9641" s="1066"/>
      <c r="I9641" s="1063"/>
      <c r="J9641" s="1063"/>
      <c r="K9641" s="1063"/>
      <c r="L9641" s="1063"/>
    </row>
    <row r="9642" spans="5:12" x14ac:dyDescent="0.2">
      <c r="E9642" s="1063"/>
      <c r="H9642" s="1066"/>
      <c r="I9642" s="1063"/>
      <c r="J9642" s="1063"/>
      <c r="K9642" s="1063"/>
      <c r="L9642" s="1063"/>
    </row>
    <row r="9643" spans="5:12" x14ac:dyDescent="0.2">
      <c r="E9643" s="1063"/>
      <c r="H9643" s="1066"/>
      <c r="I9643" s="1063"/>
      <c r="J9643" s="1063"/>
      <c r="K9643" s="1063"/>
      <c r="L9643" s="1063"/>
    </row>
    <row r="9644" spans="5:12" x14ac:dyDescent="0.2">
      <c r="E9644" s="1063"/>
      <c r="H9644" s="1066"/>
      <c r="I9644" s="1063"/>
      <c r="J9644" s="1063"/>
      <c r="K9644" s="1063"/>
      <c r="L9644" s="1063"/>
    </row>
    <row r="9645" spans="5:12" x14ac:dyDescent="0.2">
      <c r="E9645" s="1063"/>
      <c r="H9645" s="1066"/>
      <c r="I9645" s="1063"/>
      <c r="J9645" s="1063"/>
      <c r="K9645" s="1063"/>
      <c r="L9645" s="1063"/>
    </row>
    <row r="9646" spans="5:12" x14ac:dyDescent="0.2">
      <c r="E9646" s="1063"/>
      <c r="H9646" s="1066"/>
      <c r="I9646" s="1063"/>
      <c r="J9646" s="1063"/>
      <c r="K9646" s="1063"/>
      <c r="L9646" s="1063"/>
    </row>
    <row r="9647" spans="5:12" x14ac:dyDescent="0.2">
      <c r="E9647" s="1063"/>
      <c r="H9647" s="1066"/>
      <c r="I9647" s="1063"/>
      <c r="J9647" s="1063"/>
      <c r="K9647" s="1063"/>
      <c r="L9647" s="1063"/>
    </row>
    <row r="9648" spans="5:12" x14ac:dyDescent="0.2">
      <c r="E9648" s="1063"/>
      <c r="H9648" s="1066"/>
      <c r="I9648" s="1063"/>
      <c r="J9648" s="1063"/>
      <c r="K9648" s="1063"/>
      <c r="L9648" s="1063"/>
    </row>
    <row r="9649" spans="5:12" x14ac:dyDescent="0.2">
      <c r="E9649" s="1063"/>
      <c r="H9649" s="1066"/>
      <c r="I9649" s="1063"/>
      <c r="J9649" s="1063"/>
      <c r="K9649" s="1063"/>
      <c r="L9649" s="1063"/>
    </row>
    <row r="9650" spans="5:12" x14ac:dyDescent="0.2">
      <c r="E9650" s="1063"/>
      <c r="H9650" s="1066"/>
      <c r="I9650" s="1063"/>
      <c r="J9650" s="1063"/>
      <c r="K9650" s="1063"/>
      <c r="L9650" s="1063"/>
    </row>
    <row r="9651" spans="5:12" x14ac:dyDescent="0.2">
      <c r="E9651" s="1063"/>
      <c r="H9651" s="1066"/>
      <c r="I9651" s="1063"/>
      <c r="J9651" s="1063"/>
      <c r="K9651" s="1063"/>
      <c r="L9651" s="1063"/>
    </row>
    <row r="9652" spans="5:12" x14ac:dyDescent="0.2">
      <c r="E9652" s="1063"/>
      <c r="H9652" s="1066"/>
      <c r="I9652" s="1063"/>
      <c r="J9652" s="1063"/>
      <c r="K9652" s="1063"/>
      <c r="L9652" s="1063"/>
    </row>
    <row r="9653" spans="5:12" x14ac:dyDescent="0.2">
      <c r="E9653" s="1063"/>
      <c r="H9653" s="1066"/>
      <c r="I9653" s="1063"/>
      <c r="J9653" s="1063"/>
      <c r="K9653" s="1063"/>
      <c r="L9653" s="1063"/>
    </row>
    <row r="9654" spans="5:12" x14ac:dyDescent="0.2">
      <c r="E9654" s="1063"/>
      <c r="H9654" s="1066"/>
      <c r="I9654" s="1063"/>
      <c r="J9654" s="1063"/>
      <c r="K9654" s="1063"/>
      <c r="L9654" s="1063"/>
    </row>
    <row r="9655" spans="5:12" x14ac:dyDescent="0.2">
      <c r="E9655" s="1063"/>
      <c r="H9655" s="1066"/>
      <c r="I9655" s="1063"/>
      <c r="J9655" s="1063"/>
      <c r="K9655" s="1063"/>
      <c r="L9655" s="1063"/>
    </row>
    <row r="9656" spans="5:12" x14ac:dyDescent="0.2">
      <c r="E9656" s="1063"/>
      <c r="H9656" s="1066"/>
      <c r="I9656" s="1063"/>
      <c r="J9656" s="1063"/>
      <c r="K9656" s="1063"/>
      <c r="L9656" s="1063"/>
    </row>
    <row r="9657" spans="5:12" x14ac:dyDescent="0.2">
      <c r="E9657" s="1063"/>
      <c r="H9657" s="1066"/>
      <c r="I9657" s="1063"/>
      <c r="J9657" s="1063"/>
      <c r="K9657" s="1063"/>
      <c r="L9657" s="1063"/>
    </row>
    <row r="9658" spans="5:12" x14ac:dyDescent="0.2">
      <c r="E9658" s="1063"/>
      <c r="H9658" s="1066"/>
      <c r="I9658" s="1063"/>
      <c r="J9658" s="1063"/>
      <c r="K9658" s="1063"/>
      <c r="L9658" s="1063"/>
    </row>
    <row r="9659" spans="5:12" x14ac:dyDescent="0.2">
      <c r="E9659" s="1063"/>
      <c r="H9659" s="1066"/>
      <c r="I9659" s="1063"/>
      <c r="J9659" s="1063"/>
      <c r="K9659" s="1063"/>
      <c r="L9659" s="1063"/>
    </row>
    <row r="9660" spans="5:12" x14ac:dyDescent="0.2">
      <c r="E9660" s="1063"/>
      <c r="H9660" s="1066"/>
      <c r="I9660" s="1063"/>
      <c r="J9660" s="1063"/>
      <c r="K9660" s="1063"/>
      <c r="L9660" s="1063"/>
    </row>
    <row r="9661" spans="5:12" x14ac:dyDescent="0.2">
      <c r="E9661" s="1063"/>
      <c r="H9661" s="1066"/>
      <c r="I9661" s="1063"/>
      <c r="J9661" s="1063"/>
      <c r="K9661" s="1063"/>
      <c r="L9661" s="1063"/>
    </row>
    <row r="9662" spans="5:12" x14ac:dyDescent="0.2">
      <c r="E9662" s="1063"/>
      <c r="H9662" s="1066"/>
      <c r="I9662" s="1063"/>
      <c r="J9662" s="1063"/>
      <c r="K9662" s="1063"/>
      <c r="L9662" s="1063"/>
    </row>
    <row r="9663" spans="5:12" x14ac:dyDescent="0.2">
      <c r="E9663" s="1063"/>
      <c r="H9663" s="1066"/>
      <c r="I9663" s="1063"/>
      <c r="J9663" s="1063"/>
      <c r="K9663" s="1063"/>
      <c r="L9663" s="1063"/>
    </row>
    <row r="9664" spans="5:12" x14ac:dyDescent="0.2">
      <c r="E9664" s="1063"/>
      <c r="H9664" s="1066"/>
      <c r="I9664" s="1063"/>
      <c r="J9664" s="1063"/>
      <c r="K9664" s="1063"/>
      <c r="L9664" s="1063"/>
    </row>
    <row r="9665" spans="5:12" x14ac:dyDescent="0.2">
      <c r="E9665" s="1063"/>
      <c r="H9665" s="1066"/>
      <c r="I9665" s="1063"/>
      <c r="J9665" s="1063"/>
      <c r="K9665" s="1063"/>
      <c r="L9665" s="1063"/>
    </row>
    <row r="9666" spans="5:12" x14ac:dyDescent="0.2">
      <c r="E9666" s="1063"/>
      <c r="H9666" s="1066"/>
      <c r="I9666" s="1063"/>
      <c r="J9666" s="1063"/>
      <c r="K9666" s="1063"/>
      <c r="L9666" s="1063"/>
    </row>
    <row r="9667" spans="5:12" x14ac:dyDescent="0.2">
      <c r="E9667" s="1063"/>
      <c r="H9667" s="1066"/>
      <c r="I9667" s="1063"/>
      <c r="J9667" s="1063"/>
      <c r="K9667" s="1063"/>
      <c r="L9667" s="1063"/>
    </row>
    <row r="9668" spans="5:12" x14ac:dyDescent="0.2">
      <c r="E9668" s="1063"/>
      <c r="H9668" s="1066"/>
      <c r="I9668" s="1063"/>
      <c r="J9668" s="1063"/>
      <c r="K9668" s="1063"/>
      <c r="L9668" s="1063"/>
    </row>
    <row r="9669" spans="5:12" x14ac:dyDescent="0.2">
      <c r="E9669" s="1063"/>
      <c r="H9669" s="1066"/>
      <c r="I9669" s="1063"/>
      <c r="J9669" s="1063"/>
      <c r="K9669" s="1063"/>
      <c r="L9669" s="1063"/>
    </row>
    <row r="9670" spans="5:12" x14ac:dyDescent="0.2">
      <c r="E9670" s="1063"/>
      <c r="H9670" s="1066"/>
      <c r="I9670" s="1063"/>
      <c r="J9670" s="1063"/>
      <c r="K9670" s="1063"/>
      <c r="L9670" s="1063"/>
    </row>
    <row r="9671" spans="5:12" x14ac:dyDescent="0.2">
      <c r="E9671" s="1063"/>
      <c r="H9671" s="1066"/>
      <c r="I9671" s="1063"/>
      <c r="J9671" s="1063"/>
      <c r="K9671" s="1063"/>
      <c r="L9671" s="1063"/>
    </row>
    <row r="9672" spans="5:12" x14ac:dyDescent="0.2">
      <c r="E9672" s="1063"/>
      <c r="H9672" s="1066"/>
      <c r="I9672" s="1063"/>
      <c r="J9672" s="1063"/>
      <c r="K9672" s="1063"/>
      <c r="L9672" s="1063"/>
    </row>
    <row r="9673" spans="5:12" x14ac:dyDescent="0.2">
      <c r="E9673" s="1063"/>
      <c r="H9673" s="1066"/>
      <c r="I9673" s="1063"/>
      <c r="J9673" s="1063"/>
      <c r="K9673" s="1063"/>
      <c r="L9673" s="1063"/>
    </row>
    <row r="9674" spans="5:12" x14ac:dyDescent="0.2">
      <c r="E9674" s="1063"/>
      <c r="H9674" s="1066"/>
      <c r="I9674" s="1063"/>
      <c r="J9674" s="1063"/>
      <c r="K9674" s="1063"/>
      <c r="L9674" s="1063"/>
    </row>
    <row r="9675" spans="5:12" x14ac:dyDescent="0.2">
      <c r="E9675" s="1063"/>
      <c r="H9675" s="1066"/>
      <c r="I9675" s="1063"/>
      <c r="J9675" s="1063"/>
      <c r="K9675" s="1063"/>
      <c r="L9675" s="1063"/>
    </row>
    <row r="9676" spans="5:12" x14ac:dyDescent="0.2">
      <c r="E9676" s="1063"/>
      <c r="H9676" s="1066"/>
      <c r="I9676" s="1063"/>
      <c r="J9676" s="1063"/>
      <c r="K9676" s="1063"/>
      <c r="L9676" s="1063"/>
    </row>
    <row r="9677" spans="5:12" x14ac:dyDescent="0.2">
      <c r="E9677" s="1063"/>
      <c r="H9677" s="1066"/>
      <c r="I9677" s="1063"/>
      <c r="J9677" s="1063"/>
      <c r="K9677" s="1063"/>
      <c r="L9677" s="1063"/>
    </row>
    <row r="9678" spans="5:12" x14ac:dyDescent="0.2">
      <c r="E9678" s="1063"/>
      <c r="H9678" s="1066"/>
      <c r="I9678" s="1063"/>
      <c r="J9678" s="1063"/>
      <c r="K9678" s="1063"/>
      <c r="L9678" s="1063"/>
    </row>
    <row r="9679" spans="5:12" x14ac:dyDescent="0.2">
      <c r="E9679" s="1063"/>
      <c r="H9679" s="1066"/>
      <c r="I9679" s="1063"/>
      <c r="J9679" s="1063"/>
      <c r="K9679" s="1063"/>
      <c r="L9679" s="1063"/>
    </row>
    <row r="9680" spans="5:12" x14ac:dyDescent="0.2">
      <c r="E9680" s="1063"/>
      <c r="H9680" s="1066"/>
      <c r="I9680" s="1063"/>
      <c r="J9680" s="1063"/>
      <c r="K9680" s="1063"/>
      <c r="L9680" s="1063"/>
    </row>
    <row r="9681" spans="5:12" x14ac:dyDescent="0.2">
      <c r="E9681" s="1063"/>
      <c r="H9681" s="1066"/>
      <c r="I9681" s="1063"/>
      <c r="J9681" s="1063"/>
      <c r="K9681" s="1063"/>
      <c r="L9681" s="1063"/>
    </row>
    <row r="9682" spans="5:12" x14ac:dyDescent="0.2">
      <c r="E9682" s="1063"/>
      <c r="H9682" s="1066"/>
      <c r="I9682" s="1063"/>
      <c r="J9682" s="1063"/>
      <c r="K9682" s="1063"/>
      <c r="L9682" s="1063"/>
    </row>
    <row r="9683" spans="5:12" x14ac:dyDescent="0.2">
      <c r="E9683" s="1063"/>
      <c r="H9683" s="1066"/>
      <c r="I9683" s="1063"/>
      <c r="J9683" s="1063"/>
      <c r="K9683" s="1063"/>
      <c r="L9683" s="1063"/>
    </row>
    <row r="9684" spans="5:12" x14ac:dyDescent="0.2">
      <c r="E9684" s="1063"/>
      <c r="H9684" s="1066"/>
      <c r="I9684" s="1063"/>
      <c r="J9684" s="1063"/>
      <c r="K9684" s="1063"/>
      <c r="L9684" s="1063"/>
    </row>
    <row r="9685" spans="5:12" x14ac:dyDescent="0.2">
      <c r="E9685" s="1063"/>
      <c r="H9685" s="1066"/>
      <c r="I9685" s="1063"/>
      <c r="J9685" s="1063"/>
      <c r="K9685" s="1063"/>
      <c r="L9685" s="1063"/>
    </row>
    <row r="9686" spans="5:12" x14ac:dyDescent="0.2">
      <c r="E9686" s="1063"/>
      <c r="H9686" s="1066"/>
      <c r="I9686" s="1063"/>
      <c r="J9686" s="1063"/>
      <c r="K9686" s="1063"/>
      <c r="L9686" s="1063"/>
    </row>
    <row r="9687" spans="5:12" x14ac:dyDescent="0.2">
      <c r="E9687" s="1063"/>
      <c r="H9687" s="1066"/>
      <c r="I9687" s="1063"/>
      <c r="J9687" s="1063"/>
      <c r="K9687" s="1063"/>
      <c r="L9687" s="1063"/>
    </row>
    <row r="9688" spans="5:12" x14ac:dyDescent="0.2">
      <c r="E9688" s="1063"/>
      <c r="H9688" s="1066"/>
      <c r="I9688" s="1063"/>
      <c r="J9688" s="1063"/>
      <c r="K9688" s="1063"/>
      <c r="L9688" s="1063"/>
    </row>
    <row r="9689" spans="5:12" x14ac:dyDescent="0.2">
      <c r="E9689" s="1063"/>
      <c r="H9689" s="1066"/>
      <c r="I9689" s="1063"/>
      <c r="J9689" s="1063"/>
      <c r="K9689" s="1063"/>
      <c r="L9689" s="1063"/>
    </row>
    <row r="9690" spans="5:12" x14ac:dyDescent="0.2">
      <c r="E9690" s="1063"/>
      <c r="H9690" s="1066"/>
      <c r="I9690" s="1063"/>
      <c r="J9690" s="1063"/>
      <c r="K9690" s="1063"/>
      <c r="L9690" s="1063"/>
    </row>
    <row r="9691" spans="5:12" x14ac:dyDescent="0.2">
      <c r="E9691" s="1063"/>
      <c r="H9691" s="1066"/>
      <c r="I9691" s="1063"/>
      <c r="J9691" s="1063"/>
      <c r="K9691" s="1063"/>
      <c r="L9691" s="1063"/>
    </row>
    <row r="9692" spans="5:12" x14ac:dyDescent="0.2">
      <c r="E9692" s="1063"/>
      <c r="H9692" s="1066"/>
      <c r="I9692" s="1063"/>
      <c r="J9692" s="1063"/>
      <c r="K9692" s="1063"/>
      <c r="L9692" s="1063"/>
    </row>
    <row r="9693" spans="5:12" x14ac:dyDescent="0.2">
      <c r="E9693" s="1063"/>
      <c r="H9693" s="1066"/>
      <c r="I9693" s="1063"/>
      <c r="J9693" s="1063"/>
      <c r="K9693" s="1063"/>
      <c r="L9693" s="1063"/>
    </row>
    <row r="9694" spans="5:12" x14ac:dyDescent="0.2">
      <c r="E9694" s="1063"/>
      <c r="H9694" s="1066"/>
      <c r="I9694" s="1063"/>
      <c r="J9694" s="1063"/>
      <c r="K9694" s="1063"/>
      <c r="L9694" s="1063"/>
    </row>
    <row r="9695" spans="5:12" x14ac:dyDescent="0.2">
      <c r="E9695" s="1063"/>
      <c r="H9695" s="1066"/>
      <c r="I9695" s="1063"/>
      <c r="J9695" s="1063"/>
      <c r="K9695" s="1063"/>
      <c r="L9695" s="1063"/>
    </row>
    <row r="9696" spans="5:12" x14ac:dyDescent="0.2">
      <c r="E9696" s="1063"/>
      <c r="H9696" s="1066"/>
      <c r="I9696" s="1063"/>
      <c r="J9696" s="1063"/>
      <c r="K9696" s="1063"/>
      <c r="L9696" s="1063"/>
    </row>
    <row r="9697" spans="5:12" x14ac:dyDescent="0.2">
      <c r="E9697" s="1063"/>
      <c r="H9697" s="1066"/>
      <c r="I9697" s="1063"/>
      <c r="J9697" s="1063"/>
      <c r="K9697" s="1063"/>
      <c r="L9697" s="1063"/>
    </row>
    <row r="9698" spans="5:12" x14ac:dyDescent="0.2">
      <c r="E9698" s="1063"/>
      <c r="H9698" s="1066"/>
      <c r="I9698" s="1063"/>
      <c r="J9698" s="1063"/>
      <c r="K9698" s="1063"/>
      <c r="L9698" s="1063"/>
    </row>
    <row r="9699" spans="5:12" x14ac:dyDescent="0.2">
      <c r="E9699" s="1063"/>
      <c r="H9699" s="1066"/>
      <c r="I9699" s="1063"/>
      <c r="J9699" s="1063"/>
      <c r="K9699" s="1063"/>
      <c r="L9699" s="1063"/>
    </row>
    <row r="9700" spans="5:12" x14ac:dyDescent="0.2">
      <c r="E9700" s="1063"/>
      <c r="H9700" s="1066"/>
      <c r="I9700" s="1063"/>
      <c r="J9700" s="1063"/>
      <c r="K9700" s="1063"/>
      <c r="L9700" s="1063"/>
    </row>
    <row r="9701" spans="5:12" x14ac:dyDescent="0.2">
      <c r="E9701" s="1063"/>
      <c r="H9701" s="1066"/>
      <c r="I9701" s="1063"/>
      <c r="J9701" s="1063"/>
      <c r="K9701" s="1063"/>
      <c r="L9701" s="1063"/>
    </row>
    <row r="9702" spans="5:12" x14ac:dyDescent="0.2">
      <c r="E9702" s="1063"/>
      <c r="H9702" s="1066"/>
      <c r="I9702" s="1063"/>
      <c r="J9702" s="1063"/>
      <c r="K9702" s="1063"/>
      <c r="L9702" s="1063"/>
    </row>
    <row r="9703" spans="5:12" x14ac:dyDescent="0.2">
      <c r="E9703" s="1063"/>
      <c r="H9703" s="1066"/>
      <c r="I9703" s="1063"/>
      <c r="J9703" s="1063"/>
      <c r="K9703" s="1063"/>
      <c r="L9703" s="1063"/>
    </row>
    <row r="9704" spans="5:12" x14ac:dyDescent="0.2">
      <c r="E9704" s="1063"/>
      <c r="H9704" s="1066"/>
      <c r="I9704" s="1063"/>
      <c r="J9704" s="1063"/>
      <c r="K9704" s="1063"/>
      <c r="L9704" s="1063"/>
    </row>
    <row r="9705" spans="5:12" x14ac:dyDescent="0.2">
      <c r="E9705" s="1063"/>
      <c r="H9705" s="1066"/>
      <c r="I9705" s="1063"/>
      <c r="J9705" s="1063"/>
      <c r="K9705" s="1063"/>
      <c r="L9705" s="1063"/>
    </row>
    <row r="9706" spans="5:12" x14ac:dyDescent="0.2">
      <c r="E9706" s="1063"/>
      <c r="H9706" s="1066"/>
      <c r="I9706" s="1063"/>
      <c r="J9706" s="1063"/>
      <c r="K9706" s="1063"/>
      <c r="L9706" s="1063"/>
    </row>
    <row r="9707" spans="5:12" x14ac:dyDescent="0.2">
      <c r="E9707" s="1063"/>
      <c r="H9707" s="1066"/>
      <c r="I9707" s="1063"/>
      <c r="J9707" s="1063"/>
      <c r="K9707" s="1063"/>
      <c r="L9707" s="1063"/>
    </row>
    <row r="9708" spans="5:12" x14ac:dyDescent="0.2">
      <c r="E9708" s="1063"/>
      <c r="H9708" s="1066"/>
      <c r="I9708" s="1063"/>
      <c r="J9708" s="1063"/>
      <c r="K9708" s="1063"/>
      <c r="L9708" s="1063"/>
    </row>
    <row r="9709" spans="5:12" x14ac:dyDescent="0.2">
      <c r="E9709" s="1063"/>
      <c r="H9709" s="1066"/>
      <c r="I9709" s="1063"/>
      <c r="J9709" s="1063"/>
      <c r="K9709" s="1063"/>
      <c r="L9709" s="1063"/>
    </row>
    <row r="9710" spans="5:12" x14ac:dyDescent="0.2">
      <c r="E9710" s="1063"/>
      <c r="H9710" s="1066"/>
      <c r="I9710" s="1063"/>
      <c r="J9710" s="1063"/>
      <c r="K9710" s="1063"/>
      <c r="L9710" s="1063"/>
    </row>
    <row r="9711" spans="5:12" x14ac:dyDescent="0.2">
      <c r="E9711" s="1063"/>
      <c r="H9711" s="1066"/>
      <c r="I9711" s="1063"/>
      <c r="J9711" s="1063"/>
      <c r="K9711" s="1063"/>
      <c r="L9711" s="1063"/>
    </row>
    <row r="9712" spans="5:12" x14ac:dyDescent="0.2">
      <c r="E9712" s="1063"/>
      <c r="H9712" s="1066"/>
      <c r="I9712" s="1063"/>
      <c r="J9712" s="1063"/>
      <c r="K9712" s="1063"/>
      <c r="L9712" s="1063"/>
    </row>
    <row r="9713" spans="5:12" x14ac:dyDescent="0.2">
      <c r="E9713" s="1063"/>
      <c r="H9713" s="1066"/>
      <c r="I9713" s="1063"/>
      <c r="J9713" s="1063"/>
      <c r="K9713" s="1063"/>
      <c r="L9713" s="1063"/>
    </row>
    <row r="9714" spans="5:12" x14ac:dyDescent="0.2">
      <c r="E9714" s="1063"/>
      <c r="H9714" s="1066"/>
      <c r="I9714" s="1063"/>
      <c r="J9714" s="1063"/>
      <c r="K9714" s="1063"/>
      <c r="L9714" s="1063"/>
    </row>
    <row r="9715" spans="5:12" x14ac:dyDescent="0.2">
      <c r="E9715" s="1063"/>
      <c r="H9715" s="1066"/>
      <c r="I9715" s="1063"/>
      <c r="J9715" s="1063"/>
      <c r="K9715" s="1063"/>
      <c r="L9715" s="1063"/>
    </row>
    <row r="9716" spans="5:12" x14ac:dyDescent="0.2">
      <c r="E9716" s="1063"/>
      <c r="H9716" s="1066"/>
      <c r="I9716" s="1063"/>
      <c r="J9716" s="1063"/>
      <c r="K9716" s="1063"/>
      <c r="L9716" s="1063"/>
    </row>
    <row r="9717" spans="5:12" x14ac:dyDescent="0.2">
      <c r="E9717" s="1063"/>
      <c r="H9717" s="1066"/>
      <c r="I9717" s="1063"/>
      <c r="J9717" s="1063"/>
      <c r="K9717" s="1063"/>
      <c r="L9717" s="1063"/>
    </row>
    <row r="9718" spans="5:12" x14ac:dyDescent="0.2">
      <c r="E9718" s="1063"/>
      <c r="H9718" s="1066"/>
      <c r="I9718" s="1063"/>
      <c r="J9718" s="1063"/>
      <c r="K9718" s="1063"/>
      <c r="L9718" s="1063"/>
    </row>
    <row r="9719" spans="5:12" x14ac:dyDescent="0.2">
      <c r="E9719" s="1063"/>
      <c r="H9719" s="1066"/>
      <c r="I9719" s="1063"/>
      <c r="J9719" s="1063"/>
      <c r="K9719" s="1063"/>
      <c r="L9719" s="1063"/>
    </row>
    <row r="9720" spans="5:12" x14ac:dyDescent="0.2">
      <c r="E9720" s="1063"/>
      <c r="H9720" s="1066"/>
      <c r="I9720" s="1063"/>
      <c r="J9720" s="1063"/>
      <c r="K9720" s="1063"/>
      <c r="L9720" s="1063"/>
    </row>
    <row r="9721" spans="5:12" x14ac:dyDescent="0.2">
      <c r="E9721" s="1063"/>
      <c r="H9721" s="1066"/>
      <c r="I9721" s="1063"/>
      <c r="J9721" s="1063"/>
      <c r="K9721" s="1063"/>
      <c r="L9721" s="1063"/>
    </row>
    <row r="9722" spans="5:12" x14ac:dyDescent="0.2">
      <c r="E9722" s="1063"/>
      <c r="H9722" s="1066"/>
      <c r="I9722" s="1063"/>
      <c r="J9722" s="1063"/>
      <c r="K9722" s="1063"/>
      <c r="L9722" s="1063"/>
    </row>
    <row r="9723" spans="5:12" x14ac:dyDescent="0.2">
      <c r="E9723" s="1063"/>
      <c r="H9723" s="1066"/>
      <c r="I9723" s="1063"/>
      <c r="J9723" s="1063"/>
      <c r="K9723" s="1063"/>
      <c r="L9723" s="1063"/>
    </row>
    <row r="9724" spans="5:12" x14ac:dyDescent="0.2">
      <c r="E9724" s="1063"/>
      <c r="H9724" s="1066"/>
      <c r="I9724" s="1063"/>
      <c r="J9724" s="1063"/>
      <c r="K9724" s="1063"/>
      <c r="L9724" s="1063"/>
    </row>
    <row r="9725" spans="5:12" x14ac:dyDescent="0.2">
      <c r="E9725" s="1063"/>
      <c r="H9725" s="1066"/>
      <c r="I9725" s="1063"/>
      <c r="J9725" s="1063"/>
      <c r="K9725" s="1063"/>
      <c r="L9725" s="1063"/>
    </row>
    <row r="9726" spans="5:12" x14ac:dyDescent="0.2">
      <c r="E9726" s="1063"/>
      <c r="H9726" s="1066"/>
      <c r="I9726" s="1063"/>
      <c r="J9726" s="1063"/>
      <c r="K9726" s="1063"/>
      <c r="L9726" s="1063"/>
    </row>
    <row r="9727" spans="5:12" x14ac:dyDescent="0.2">
      <c r="E9727" s="1063"/>
      <c r="H9727" s="1066"/>
      <c r="I9727" s="1063"/>
      <c r="J9727" s="1063"/>
      <c r="K9727" s="1063"/>
      <c r="L9727" s="1063"/>
    </row>
    <row r="9728" spans="5:12" x14ac:dyDescent="0.2">
      <c r="E9728" s="1063"/>
      <c r="H9728" s="1066"/>
      <c r="I9728" s="1063"/>
      <c r="J9728" s="1063"/>
      <c r="K9728" s="1063"/>
      <c r="L9728" s="1063"/>
    </row>
    <row r="9729" spans="5:12" x14ac:dyDescent="0.2">
      <c r="E9729" s="1063"/>
      <c r="H9729" s="1066"/>
      <c r="I9729" s="1063"/>
      <c r="J9729" s="1063"/>
      <c r="K9729" s="1063"/>
      <c r="L9729" s="1063"/>
    </row>
    <row r="9730" spans="5:12" x14ac:dyDescent="0.2">
      <c r="E9730" s="1063"/>
      <c r="H9730" s="1066"/>
      <c r="I9730" s="1063"/>
      <c r="J9730" s="1063"/>
      <c r="K9730" s="1063"/>
      <c r="L9730" s="1063"/>
    </row>
    <row r="9731" spans="5:12" x14ac:dyDescent="0.2">
      <c r="E9731" s="1063"/>
      <c r="H9731" s="1066"/>
      <c r="I9731" s="1063"/>
      <c r="J9731" s="1063"/>
      <c r="K9731" s="1063"/>
      <c r="L9731" s="1063"/>
    </row>
    <row r="9732" spans="5:12" x14ac:dyDescent="0.2">
      <c r="E9732" s="1063"/>
      <c r="H9732" s="1066"/>
      <c r="I9732" s="1063"/>
      <c r="J9732" s="1063"/>
      <c r="K9732" s="1063"/>
      <c r="L9732" s="1063"/>
    </row>
    <row r="9733" spans="5:12" x14ac:dyDescent="0.2">
      <c r="E9733" s="1063"/>
      <c r="H9733" s="1066"/>
      <c r="I9733" s="1063"/>
      <c r="J9733" s="1063"/>
      <c r="K9733" s="1063"/>
      <c r="L9733" s="1063"/>
    </row>
    <row r="9734" spans="5:12" x14ac:dyDescent="0.2">
      <c r="E9734" s="1063"/>
      <c r="H9734" s="1066"/>
      <c r="I9734" s="1063"/>
      <c r="J9734" s="1063"/>
      <c r="K9734" s="1063"/>
      <c r="L9734" s="1063"/>
    </row>
    <row r="9735" spans="5:12" x14ac:dyDescent="0.2">
      <c r="E9735" s="1063"/>
      <c r="H9735" s="1066"/>
      <c r="I9735" s="1063"/>
      <c r="J9735" s="1063"/>
      <c r="K9735" s="1063"/>
      <c r="L9735" s="1063"/>
    </row>
    <row r="9736" spans="5:12" x14ac:dyDescent="0.2">
      <c r="E9736" s="1063"/>
      <c r="H9736" s="1066"/>
      <c r="I9736" s="1063"/>
      <c r="J9736" s="1063"/>
      <c r="K9736" s="1063"/>
      <c r="L9736" s="1063"/>
    </row>
    <row r="9737" spans="5:12" x14ac:dyDescent="0.2">
      <c r="E9737" s="1063"/>
      <c r="H9737" s="1066"/>
      <c r="I9737" s="1063"/>
      <c r="J9737" s="1063"/>
      <c r="K9737" s="1063"/>
      <c r="L9737" s="1063"/>
    </row>
    <row r="9738" spans="5:12" x14ac:dyDescent="0.2">
      <c r="E9738" s="1063"/>
      <c r="H9738" s="1066"/>
      <c r="I9738" s="1063"/>
      <c r="J9738" s="1063"/>
      <c r="K9738" s="1063"/>
      <c r="L9738" s="1063"/>
    </row>
    <row r="9739" spans="5:12" x14ac:dyDescent="0.2">
      <c r="E9739" s="1063"/>
      <c r="H9739" s="1066"/>
      <c r="I9739" s="1063"/>
      <c r="J9739" s="1063"/>
      <c r="K9739" s="1063"/>
      <c r="L9739" s="1063"/>
    </row>
    <row r="9740" spans="5:12" x14ac:dyDescent="0.2">
      <c r="E9740" s="1063"/>
      <c r="H9740" s="1066"/>
      <c r="I9740" s="1063"/>
      <c r="J9740" s="1063"/>
      <c r="K9740" s="1063"/>
      <c r="L9740" s="1063"/>
    </row>
    <row r="9741" spans="5:12" x14ac:dyDescent="0.2">
      <c r="E9741" s="1063"/>
      <c r="H9741" s="1066"/>
      <c r="I9741" s="1063"/>
      <c r="J9741" s="1063"/>
      <c r="K9741" s="1063"/>
      <c r="L9741" s="1063"/>
    </row>
    <row r="9742" spans="5:12" x14ac:dyDescent="0.2">
      <c r="E9742" s="1063"/>
      <c r="H9742" s="1066"/>
      <c r="I9742" s="1063"/>
      <c r="J9742" s="1063"/>
      <c r="K9742" s="1063"/>
      <c r="L9742" s="1063"/>
    </row>
    <row r="9743" spans="5:12" x14ac:dyDescent="0.2">
      <c r="E9743" s="1063"/>
      <c r="H9743" s="1066"/>
      <c r="I9743" s="1063"/>
      <c r="J9743" s="1063"/>
      <c r="K9743" s="1063"/>
      <c r="L9743" s="1063"/>
    </row>
    <row r="9744" spans="5:12" x14ac:dyDescent="0.2">
      <c r="E9744" s="1063"/>
      <c r="H9744" s="1066"/>
      <c r="I9744" s="1063"/>
      <c r="J9744" s="1063"/>
      <c r="K9744" s="1063"/>
      <c r="L9744" s="1063"/>
    </row>
    <row r="9745" spans="5:12" x14ac:dyDescent="0.2">
      <c r="E9745" s="1063"/>
      <c r="H9745" s="1066"/>
      <c r="I9745" s="1063"/>
      <c r="J9745" s="1063"/>
      <c r="K9745" s="1063"/>
      <c r="L9745" s="1063"/>
    </row>
    <row r="9746" spans="5:12" x14ac:dyDescent="0.2">
      <c r="E9746" s="1063"/>
      <c r="H9746" s="1066"/>
      <c r="I9746" s="1063"/>
      <c r="J9746" s="1063"/>
      <c r="K9746" s="1063"/>
      <c r="L9746" s="1063"/>
    </row>
    <row r="9747" spans="5:12" x14ac:dyDescent="0.2">
      <c r="E9747" s="1063"/>
      <c r="H9747" s="1066"/>
      <c r="I9747" s="1063"/>
      <c r="J9747" s="1063"/>
      <c r="K9747" s="1063"/>
      <c r="L9747" s="1063"/>
    </row>
    <row r="9748" spans="5:12" x14ac:dyDescent="0.2">
      <c r="E9748" s="1063"/>
      <c r="H9748" s="1066"/>
      <c r="I9748" s="1063"/>
      <c r="J9748" s="1063"/>
      <c r="K9748" s="1063"/>
      <c r="L9748" s="1063"/>
    </row>
    <row r="9749" spans="5:12" x14ac:dyDescent="0.2">
      <c r="E9749" s="1063"/>
      <c r="H9749" s="1066"/>
      <c r="I9749" s="1063"/>
      <c r="J9749" s="1063"/>
      <c r="K9749" s="1063"/>
      <c r="L9749" s="1063"/>
    </row>
    <row r="9750" spans="5:12" x14ac:dyDescent="0.2">
      <c r="E9750" s="1063"/>
      <c r="H9750" s="1066"/>
      <c r="I9750" s="1063"/>
      <c r="J9750" s="1063"/>
      <c r="K9750" s="1063"/>
      <c r="L9750" s="1063"/>
    </row>
    <row r="9751" spans="5:12" x14ac:dyDescent="0.2">
      <c r="E9751" s="1063"/>
      <c r="H9751" s="1066"/>
      <c r="I9751" s="1063"/>
      <c r="J9751" s="1063"/>
      <c r="K9751" s="1063"/>
      <c r="L9751" s="1063"/>
    </row>
    <row r="9752" spans="5:12" x14ac:dyDescent="0.2">
      <c r="E9752" s="1063"/>
      <c r="H9752" s="1066"/>
      <c r="I9752" s="1063"/>
      <c r="J9752" s="1063"/>
      <c r="K9752" s="1063"/>
      <c r="L9752" s="1063"/>
    </row>
    <row r="9753" spans="5:12" x14ac:dyDescent="0.2">
      <c r="E9753" s="1063"/>
      <c r="H9753" s="1066"/>
      <c r="I9753" s="1063"/>
      <c r="J9753" s="1063"/>
      <c r="K9753" s="1063"/>
      <c r="L9753" s="1063"/>
    </row>
    <row r="9754" spans="5:12" x14ac:dyDescent="0.2">
      <c r="E9754" s="1063"/>
      <c r="H9754" s="1066"/>
      <c r="I9754" s="1063"/>
      <c r="J9754" s="1063"/>
      <c r="K9754" s="1063"/>
      <c r="L9754" s="1063"/>
    </row>
    <row r="9755" spans="5:12" x14ac:dyDescent="0.2">
      <c r="E9755" s="1063"/>
      <c r="H9755" s="1066"/>
      <c r="I9755" s="1063"/>
      <c r="J9755" s="1063"/>
      <c r="K9755" s="1063"/>
      <c r="L9755" s="1063"/>
    </row>
    <row r="9756" spans="5:12" x14ac:dyDescent="0.2">
      <c r="E9756" s="1063"/>
      <c r="H9756" s="1066"/>
      <c r="I9756" s="1063"/>
      <c r="J9756" s="1063"/>
      <c r="K9756" s="1063"/>
      <c r="L9756" s="1063"/>
    </row>
    <row r="9757" spans="5:12" x14ac:dyDescent="0.2">
      <c r="E9757" s="1063"/>
      <c r="H9757" s="1066"/>
      <c r="I9757" s="1063"/>
      <c r="J9757" s="1063"/>
      <c r="K9757" s="1063"/>
      <c r="L9757" s="1063"/>
    </row>
    <row r="9758" spans="5:12" x14ac:dyDescent="0.2">
      <c r="E9758" s="1063"/>
      <c r="H9758" s="1066"/>
      <c r="I9758" s="1063"/>
      <c r="J9758" s="1063"/>
      <c r="K9758" s="1063"/>
      <c r="L9758" s="1063"/>
    </row>
    <row r="9759" spans="5:12" x14ac:dyDescent="0.2">
      <c r="E9759" s="1063"/>
      <c r="H9759" s="1066"/>
      <c r="I9759" s="1063"/>
      <c r="J9759" s="1063"/>
      <c r="K9759" s="1063"/>
      <c r="L9759" s="1063"/>
    </row>
    <row r="9760" spans="5:12" x14ac:dyDescent="0.2">
      <c r="E9760" s="1063"/>
      <c r="H9760" s="1066"/>
      <c r="I9760" s="1063"/>
      <c r="J9760" s="1063"/>
      <c r="K9760" s="1063"/>
      <c r="L9760" s="1063"/>
    </row>
    <row r="9761" spans="5:12" x14ac:dyDescent="0.2">
      <c r="E9761" s="1063"/>
      <c r="H9761" s="1066"/>
      <c r="I9761" s="1063"/>
      <c r="J9761" s="1063"/>
      <c r="K9761" s="1063"/>
      <c r="L9761" s="1063"/>
    </row>
    <row r="9762" spans="5:12" x14ac:dyDescent="0.2">
      <c r="E9762" s="1063"/>
      <c r="H9762" s="1066"/>
      <c r="I9762" s="1063"/>
      <c r="J9762" s="1063"/>
      <c r="K9762" s="1063"/>
      <c r="L9762" s="1063"/>
    </row>
    <row r="9763" spans="5:12" x14ac:dyDescent="0.2">
      <c r="E9763" s="1063"/>
      <c r="H9763" s="1066"/>
      <c r="I9763" s="1063"/>
      <c r="J9763" s="1063"/>
      <c r="K9763" s="1063"/>
      <c r="L9763" s="1063"/>
    </row>
    <row r="9764" spans="5:12" x14ac:dyDescent="0.2">
      <c r="E9764" s="1063"/>
      <c r="H9764" s="1066"/>
      <c r="I9764" s="1063"/>
      <c r="J9764" s="1063"/>
      <c r="K9764" s="1063"/>
      <c r="L9764" s="1063"/>
    </row>
    <row r="9765" spans="5:12" x14ac:dyDescent="0.2">
      <c r="E9765" s="1063"/>
      <c r="H9765" s="1066"/>
      <c r="I9765" s="1063"/>
      <c r="J9765" s="1063"/>
      <c r="K9765" s="1063"/>
      <c r="L9765" s="1063"/>
    </row>
    <row r="9766" spans="5:12" x14ac:dyDescent="0.2">
      <c r="E9766" s="1063"/>
      <c r="H9766" s="1066"/>
      <c r="I9766" s="1063"/>
      <c r="J9766" s="1063"/>
      <c r="K9766" s="1063"/>
      <c r="L9766" s="1063"/>
    </row>
    <row r="9767" spans="5:12" x14ac:dyDescent="0.2">
      <c r="E9767" s="1063"/>
      <c r="H9767" s="1066"/>
      <c r="I9767" s="1063"/>
      <c r="J9767" s="1063"/>
      <c r="K9767" s="1063"/>
      <c r="L9767" s="1063"/>
    </row>
    <row r="9768" spans="5:12" x14ac:dyDescent="0.2">
      <c r="E9768" s="1063"/>
      <c r="H9768" s="1066"/>
      <c r="I9768" s="1063"/>
      <c r="J9768" s="1063"/>
      <c r="K9768" s="1063"/>
      <c r="L9768" s="1063"/>
    </row>
    <row r="9769" spans="5:12" x14ac:dyDescent="0.2">
      <c r="E9769" s="1063"/>
      <c r="H9769" s="1066"/>
      <c r="I9769" s="1063"/>
      <c r="J9769" s="1063"/>
      <c r="K9769" s="1063"/>
      <c r="L9769" s="1063"/>
    </row>
    <row r="9770" spans="5:12" x14ac:dyDescent="0.2">
      <c r="E9770" s="1063"/>
      <c r="H9770" s="1066"/>
      <c r="I9770" s="1063"/>
      <c r="J9770" s="1063"/>
      <c r="K9770" s="1063"/>
      <c r="L9770" s="1063"/>
    </row>
    <row r="9771" spans="5:12" x14ac:dyDescent="0.2">
      <c r="E9771" s="1063"/>
      <c r="H9771" s="1066"/>
      <c r="I9771" s="1063"/>
      <c r="J9771" s="1063"/>
      <c r="K9771" s="1063"/>
      <c r="L9771" s="1063"/>
    </row>
    <row r="9772" spans="5:12" x14ac:dyDescent="0.2">
      <c r="E9772" s="1063"/>
      <c r="H9772" s="1066"/>
      <c r="I9772" s="1063"/>
      <c r="J9772" s="1063"/>
      <c r="K9772" s="1063"/>
      <c r="L9772" s="1063"/>
    </row>
    <row r="9773" spans="5:12" x14ac:dyDescent="0.2">
      <c r="E9773" s="1063"/>
      <c r="H9773" s="1066"/>
      <c r="I9773" s="1063"/>
      <c r="J9773" s="1063"/>
      <c r="K9773" s="1063"/>
      <c r="L9773" s="1063"/>
    </row>
    <row r="9774" spans="5:12" x14ac:dyDescent="0.2">
      <c r="E9774" s="1063"/>
      <c r="H9774" s="1066"/>
      <c r="I9774" s="1063"/>
      <c r="J9774" s="1063"/>
      <c r="K9774" s="1063"/>
      <c r="L9774" s="1063"/>
    </row>
    <row r="9775" spans="5:12" x14ac:dyDescent="0.2">
      <c r="E9775" s="1063"/>
      <c r="H9775" s="1066"/>
      <c r="I9775" s="1063"/>
      <c r="J9775" s="1063"/>
      <c r="K9775" s="1063"/>
      <c r="L9775" s="1063"/>
    </row>
    <row r="9776" spans="5:12" x14ac:dyDescent="0.2">
      <c r="E9776" s="1063"/>
      <c r="H9776" s="1066"/>
      <c r="I9776" s="1063"/>
      <c r="J9776" s="1063"/>
      <c r="K9776" s="1063"/>
      <c r="L9776" s="1063"/>
    </row>
    <row r="9777" spans="5:12" x14ac:dyDescent="0.2">
      <c r="E9777" s="1063"/>
      <c r="H9777" s="1066"/>
      <c r="I9777" s="1063"/>
      <c r="J9777" s="1063"/>
      <c r="K9777" s="1063"/>
      <c r="L9777" s="1063"/>
    </row>
    <row r="9778" spans="5:12" x14ac:dyDescent="0.2">
      <c r="E9778" s="1063"/>
      <c r="H9778" s="1066"/>
      <c r="I9778" s="1063"/>
      <c r="J9778" s="1063"/>
      <c r="K9778" s="1063"/>
      <c r="L9778" s="1063"/>
    </row>
    <row r="9779" spans="5:12" x14ac:dyDescent="0.2">
      <c r="E9779" s="1063"/>
      <c r="H9779" s="1066"/>
      <c r="I9779" s="1063"/>
      <c r="J9779" s="1063"/>
      <c r="K9779" s="1063"/>
      <c r="L9779" s="1063"/>
    </row>
    <row r="9780" spans="5:12" x14ac:dyDescent="0.2">
      <c r="E9780" s="1063"/>
      <c r="H9780" s="1066"/>
      <c r="I9780" s="1063"/>
      <c r="J9780" s="1063"/>
      <c r="K9780" s="1063"/>
      <c r="L9780" s="1063"/>
    </row>
    <row r="9781" spans="5:12" x14ac:dyDescent="0.2">
      <c r="E9781" s="1063"/>
      <c r="H9781" s="1066"/>
      <c r="I9781" s="1063"/>
      <c r="J9781" s="1063"/>
      <c r="K9781" s="1063"/>
      <c r="L9781" s="1063"/>
    </row>
    <row r="9782" spans="5:12" x14ac:dyDescent="0.2">
      <c r="E9782" s="1063"/>
      <c r="H9782" s="1066"/>
      <c r="I9782" s="1063"/>
      <c r="J9782" s="1063"/>
      <c r="K9782" s="1063"/>
      <c r="L9782" s="1063"/>
    </row>
    <row r="9783" spans="5:12" x14ac:dyDescent="0.2">
      <c r="E9783" s="1063"/>
      <c r="H9783" s="1066"/>
      <c r="I9783" s="1063"/>
      <c r="J9783" s="1063"/>
      <c r="K9783" s="1063"/>
      <c r="L9783" s="1063"/>
    </row>
    <row r="9784" spans="5:12" x14ac:dyDescent="0.2">
      <c r="E9784" s="1063"/>
      <c r="H9784" s="1066"/>
      <c r="I9784" s="1063"/>
      <c r="J9784" s="1063"/>
      <c r="K9784" s="1063"/>
      <c r="L9784" s="1063"/>
    </row>
    <row r="9785" spans="5:12" x14ac:dyDescent="0.2">
      <c r="E9785" s="1063"/>
      <c r="H9785" s="1066"/>
      <c r="I9785" s="1063"/>
      <c r="J9785" s="1063"/>
      <c r="K9785" s="1063"/>
      <c r="L9785" s="1063"/>
    </row>
    <row r="9786" spans="5:12" x14ac:dyDescent="0.2">
      <c r="E9786" s="1063"/>
      <c r="H9786" s="1066"/>
      <c r="I9786" s="1063"/>
      <c r="J9786" s="1063"/>
      <c r="K9786" s="1063"/>
      <c r="L9786" s="1063"/>
    </row>
    <row r="9787" spans="5:12" x14ac:dyDescent="0.2">
      <c r="E9787" s="1063"/>
      <c r="H9787" s="1066"/>
      <c r="I9787" s="1063"/>
      <c r="J9787" s="1063"/>
      <c r="K9787" s="1063"/>
      <c r="L9787" s="1063"/>
    </row>
    <row r="9788" spans="5:12" x14ac:dyDescent="0.2">
      <c r="E9788" s="1063"/>
      <c r="H9788" s="1066"/>
      <c r="I9788" s="1063"/>
      <c r="J9788" s="1063"/>
      <c r="K9788" s="1063"/>
      <c r="L9788" s="1063"/>
    </row>
    <row r="9789" spans="5:12" x14ac:dyDescent="0.2">
      <c r="E9789" s="1063"/>
      <c r="H9789" s="1066"/>
      <c r="I9789" s="1063"/>
      <c r="J9789" s="1063"/>
      <c r="K9789" s="1063"/>
      <c r="L9789" s="1063"/>
    </row>
    <row r="9790" spans="5:12" x14ac:dyDescent="0.2">
      <c r="E9790" s="1063"/>
      <c r="H9790" s="1066"/>
      <c r="I9790" s="1063"/>
      <c r="J9790" s="1063"/>
      <c r="K9790" s="1063"/>
      <c r="L9790" s="1063"/>
    </row>
    <row r="9791" spans="5:12" x14ac:dyDescent="0.2">
      <c r="E9791" s="1063"/>
      <c r="H9791" s="1066"/>
      <c r="I9791" s="1063"/>
      <c r="J9791" s="1063"/>
      <c r="K9791" s="1063"/>
      <c r="L9791" s="1063"/>
    </row>
    <row r="9792" spans="5:12" x14ac:dyDescent="0.2">
      <c r="E9792" s="1063"/>
      <c r="H9792" s="1066"/>
      <c r="I9792" s="1063"/>
      <c r="J9792" s="1063"/>
      <c r="K9792" s="1063"/>
      <c r="L9792" s="1063"/>
    </row>
    <row r="9793" spans="5:12" x14ac:dyDescent="0.2">
      <c r="E9793" s="1063"/>
      <c r="H9793" s="1066"/>
      <c r="I9793" s="1063"/>
      <c r="J9793" s="1063"/>
      <c r="K9793" s="1063"/>
      <c r="L9793" s="1063"/>
    </row>
    <row r="9794" spans="5:12" x14ac:dyDescent="0.2">
      <c r="E9794" s="1063"/>
      <c r="H9794" s="1066"/>
      <c r="I9794" s="1063"/>
      <c r="J9794" s="1063"/>
      <c r="K9794" s="1063"/>
      <c r="L9794" s="1063"/>
    </row>
    <row r="9795" spans="5:12" x14ac:dyDescent="0.2">
      <c r="E9795" s="1063"/>
      <c r="H9795" s="1066"/>
      <c r="I9795" s="1063"/>
      <c r="J9795" s="1063"/>
      <c r="K9795" s="1063"/>
      <c r="L9795" s="1063"/>
    </row>
    <row r="9796" spans="5:12" x14ac:dyDescent="0.2">
      <c r="E9796" s="1063"/>
      <c r="H9796" s="1066"/>
      <c r="I9796" s="1063"/>
      <c r="J9796" s="1063"/>
      <c r="K9796" s="1063"/>
      <c r="L9796" s="1063"/>
    </row>
    <row r="9797" spans="5:12" x14ac:dyDescent="0.2">
      <c r="E9797" s="1063"/>
      <c r="H9797" s="1066"/>
      <c r="I9797" s="1063"/>
      <c r="J9797" s="1063"/>
      <c r="K9797" s="1063"/>
      <c r="L9797" s="1063"/>
    </row>
    <row r="9798" spans="5:12" x14ac:dyDescent="0.2">
      <c r="E9798" s="1063"/>
      <c r="H9798" s="1066"/>
      <c r="I9798" s="1063"/>
      <c r="J9798" s="1063"/>
      <c r="K9798" s="1063"/>
      <c r="L9798" s="1063"/>
    </row>
    <row r="9799" spans="5:12" x14ac:dyDescent="0.2">
      <c r="E9799" s="1063"/>
      <c r="H9799" s="1066"/>
      <c r="I9799" s="1063"/>
      <c r="J9799" s="1063"/>
      <c r="K9799" s="1063"/>
      <c r="L9799" s="1063"/>
    </row>
    <row r="9800" spans="5:12" x14ac:dyDescent="0.2">
      <c r="E9800" s="1063"/>
      <c r="H9800" s="1066"/>
      <c r="I9800" s="1063"/>
      <c r="J9800" s="1063"/>
      <c r="K9800" s="1063"/>
      <c r="L9800" s="1063"/>
    </row>
    <row r="9801" spans="5:12" x14ac:dyDescent="0.2">
      <c r="E9801" s="1063"/>
      <c r="H9801" s="1066"/>
      <c r="I9801" s="1063"/>
      <c r="J9801" s="1063"/>
      <c r="K9801" s="1063"/>
      <c r="L9801" s="1063"/>
    </row>
    <row r="9802" spans="5:12" x14ac:dyDescent="0.2">
      <c r="E9802" s="1063"/>
      <c r="H9802" s="1066"/>
      <c r="I9802" s="1063"/>
      <c r="J9802" s="1063"/>
      <c r="K9802" s="1063"/>
      <c r="L9802" s="1063"/>
    </row>
    <row r="9803" spans="5:12" x14ac:dyDescent="0.2">
      <c r="E9803" s="1063"/>
      <c r="H9803" s="1066"/>
      <c r="I9803" s="1063"/>
      <c r="J9803" s="1063"/>
      <c r="K9803" s="1063"/>
      <c r="L9803" s="1063"/>
    </row>
    <row r="9804" spans="5:12" x14ac:dyDescent="0.2">
      <c r="E9804" s="1063"/>
      <c r="H9804" s="1066"/>
      <c r="I9804" s="1063"/>
      <c r="J9804" s="1063"/>
      <c r="K9804" s="1063"/>
      <c r="L9804" s="1063"/>
    </row>
    <row r="9805" spans="5:12" x14ac:dyDescent="0.2">
      <c r="E9805" s="1063"/>
      <c r="H9805" s="1066"/>
      <c r="I9805" s="1063"/>
      <c r="J9805" s="1063"/>
      <c r="K9805" s="1063"/>
      <c r="L9805" s="1063"/>
    </row>
    <row r="9806" spans="5:12" x14ac:dyDescent="0.2">
      <c r="E9806" s="1063"/>
      <c r="H9806" s="1066"/>
      <c r="I9806" s="1063"/>
      <c r="J9806" s="1063"/>
      <c r="K9806" s="1063"/>
      <c r="L9806" s="1063"/>
    </row>
    <row r="9807" spans="5:12" x14ac:dyDescent="0.2">
      <c r="E9807" s="1063"/>
      <c r="H9807" s="1066"/>
      <c r="I9807" s="1063"/>
      <c r="J9807" s="1063"/>
      <c r="K9807" s="1063"/>
      <c r="L9807" s="1063"/>
    </row>
    <row r="9808" spans="5:12" x14ac:dyDescent="0.2">
      <c r="E9808" s="1063"/>
      <c r="H9808" s="1066"/>
      <c r="I9808" s="1063"/>
      <c r="J9808" s="1063"/>
      <c r="K9808" s="1063"/>
      <c r="L9808" s="1063"/>
    </row>
    <row r="9809" spans="5:12" x14ac:dyDescent="0.2">
      <c r="E9809" s="1063"/>
      <c r="H9809" s="1066"/>
      <c r="I9809" s="1063"/>
      <c r="J9809" s="1063"/>
      <c r="K9809" s="1063"/>
      <c r="L9809" s="1063"/>
    </row>
    <row r="9810" spans="5:12" x14ac:dyDescent="0.2">
      <c r="E9810" s="1063"/>
      <c r="H9810" s="1066"/>
      <c r="I9810" s="1063"/>
      <c r="J9810" s="1063"/>
      <c r="K9810" s="1063"/>
      <c r="L9810" s="1063"/>
    </row>
    <row r="9811" spans="5:12" x14ac:dyDescent="0.2">
      <c r="E9811" s="1063"/>
      <c r="H9811" s="1066"/>
      <c r="I9811" s="1063"/>
      <c r="J9811" s="1063"/>
      <c r="K9811" s="1063"/>
      <c r="L9811" s="1063"/>
    </row>
    <row r="9812" spans="5:12" x14ac:dyDescent="0.2">
      <c r="E9812" s="1063"/>
      <c r="H9812" s="1066"/>
      <c r="I9812" s="1063"/>
      <c r="J9812" s="1063"/>
      <c r="K9812" s="1063"/>
      <c r="L9812" s="1063"/>
    </row>
    <row r="9813" spans="5:12" x14ac:dyDescent="0.2">
      <c r="E9813" s="1063"/>
      <c r="H9813" s="1066"/>
      <c r="I9813" s="1063"/>
      <c r="J9813" s="1063"/>
      <c r="K9813" s="1063"/>
      <c r="L9813" s="1063"/>
    </row>
    <row r="9814" spans="5:12" x14ac:dyDescent="0.2">
      <c r="E9814" s="1063"/>
      <c r="H9814" s="1066"/>
      <c r="I9814" s="1063"/>
      <c r="J9814" s="1063"/>
      <c r="K9814" s="1063"/>
      <c r="L9814" s="1063"/>
    </row>
    <row r="9815" spans="5:12" x14ac:dyDescent="0.2">
      <c r="E9815" s="1063"/>
      <c r="H9815" s="1066"/>
      <c r="I9815" s="1063"/>
      <c r="J9815" s="1063"/>
      <c r="K9815" s="1063"/>
      <c r="L9815" s="1063"/>
    </row>
    <row r="9816" spans="5:12" x14ac:dyDescent="0.2">
      <c r="E9816" s="1063"/>
      <c r="H9816" s="1066"/>
      <c r="I9816" s="1063"/>
      <c r="J9816" s="1063"/>
      <c r="K9816" s="1063"/>
      <c r="L9816" s="1063"/>
    </row>
    <row r="9817" spans="5:12" x14ac:dyDescent="0.2">
      <c r="E9817" s="1063"/>
      <c r="H9817" s="1066"/>
      <c r="I9817" s="1063"/>
      <c r="J9817" s="1063"/>
      <c r="K9817" s="1063"/>
      <c r="L9817" s="1063"/>
    </row>
    <row r="9818" spans="5:12" x14ac:dyDescent="0.2">
      <c r="E9818" s="1063"/>
      <c r="H9818" s="1066"/>
      <c r="I9818" s="1063"/>
      <c r="J9818" s="1063"/>
      <c r="K9818" s="1063"/>
      <c r="L9818" s="1063"/>
    </row>
    <row r="9819" spans="5:12" x14ac:dyDescent="0.2">
      <c r="E9819" s="1063"/>
      <c r="H9819" s="1066"/>
      <c r="I9819" s="1063"/>
      <c r="J9819" s="1063"/>
      <c r="K9819" s="1063"/>
      <c r="L9819" s="1063"/>
    </row>
    <row r="9820" spans="5:12" x14ac:dyDescent="0.2">
      <c r="E9820" s="1063"/>
      <c r="H9820" s="1066"/>
      <c r="I9820" s="1063"/>
      <c r="J9820" s="1063"/>
      <c r="K9820" s="1063"/>
      <c r="L9820" s="1063"/>
    </row>
    <row r="9821" spans="5:12" x14ac:dyDescent="0.2">
      <c r="E9821" s="1063"/>
      <c r="H9821" s="1066"/>
      <c r="I9821" s="1063"/>
      <c r="J9821" s="1063"/>
      <c r="K9821" s="1063"/>
      <c r="L9821" s="1063"/>
    </row>
    <row r="9822" spans="5:12" x14ac:dyDescent="0.2">
      <c r="E9822" s="1063"/>
      <c r="H9822" s="1066"/>
      <c r="I9822" s="1063"/>
      <c r="J9822" s="1063"/>
      <c r="K9822" s="1063"/>
      <c r="L9822" s="1063"/>
    </row>
    <row r="9823" spans="5:12" x14ac:dyDescent="0.2">
      <c r="E9823" s="1063"/>
      <c r="H9823" s="1066"/>
      <c r="I9823" s="1063"/>
      <c r="J9823" s="1063"/>
      <c r="K9823" s="1063"/>
      <c r="L9823" s="1063"/>
    </row>
    <row r="9824" spans="5:12" x14ac:dyDescent="0.2">
      <c r="E9824" s="1063"/>
      <c r="H9824" s="1066"/>
      <c r="I9824" s="1063"/>
      <c r="J9824" s="1063"/>
      <c r="K9824" s="1063"/>
      <c r="L9824" s="1063"/>
    </row>
    <row r="9825" spans="5:12" x14ac:dyDescent="0.2">
      <c r="E9825" s="1063"/>
      <c r="H9825" s="1066"/>
      <c r="I9825" s="1063"/>
      <c r="J9825" s="1063"/>
      <c r="K9825" s="1063"/>
      <c r="L9825" s="1063"/>
    </row>
    <row r="9826" spans="5:12" x14ac:dyDescent="0.2">
      <c r="E9826" s="1063"/>
      <c r="H9826" s="1066"/>
      <c r="I9826" s="1063"/>
      <c r="J9826" s="1063"/>
      <c r="K9826" s="1063"/>
      <c r="L9826" s="1063"/>
    </row>
    <row r="9827" spans="5:12" x14ac:dyDescent="0.2">
      <c r="E9827" s="1063"/>
      <c r="H9827" s="1066"/>
      <c r="I9827" s="1063"/>
      <c r="J9827" s="1063"/>
      <c r="K9827" s="1063"/>
      <c r="L9827" s="1063"/>
    </row>
    <row r="9828" spans="5:12" x14ac:dyDescent="0.2">
      <c r="E9828" s="1063"/>
      <c r="H9828" s="1066"/>
      <c r="I9828" s="1063"/>
      <c r="J9828" s="1063"/>
      <c r="K9828" s="1063"/>
      <c r="L9828" s="1063"/>
    </row>
    <row r="9829" spans="5:12" x14ac:dyDescent="0.2">
      <c r="E9829" s="1063"/>
      <c r="H9829" s="1066"/>
      <c r="I9829" s="1063"/>
      <c r="J9829" s="1063"/>
      <c r="K9829" s="1063"/>
      <c r="L9829" s="1063"/>
    </row>
    <row r="9830" spans="5:12" x14ac:dyDescent="0.2">
      <c r="E9830" s="1063"/>
      <c r="H9830" s="1066"/>
      <c r="I9830" s="1063"/>
      <c r="J9830" s="1063"/>
      <c r="K9830" s="1063"/>
      <c r="L9830" s="1063"/>
    </row>
    <row r="9831" spans="5:12" x14ac:dyDescent="0.2">
      <c r="E9831" s="1063"/>
      <c r="H9831" s="1066"/>
      <c r="I9831" s="1063"/>
      <c r="J9831" s="1063"/>
      <c r="K9831" s="1063"/>
      <c r="L9831" s="1063"/>
    </row>
    <row r="9832" spans="5:12" x14ac:dyDescent="0.2">
      <c r="E9832" s="1063"/>
      <c r="H9832" s="1066"/>
      <c r="I9832" s="1063"/>
      <c r="J9832" s="1063"/>
      <c r="K9832" s="1063"/>
      <c r="L9832" s="1063"/>
    </row>
    <row r="9833" spans="5:12" x14ac:dyDescent="0.2">
      <c r="E9833" s="1063"/>
      <c r="H9833" s="1066"/>
      <c r="I9833" s="1063"/>
      <c r="J9833" s="1063"/>
      <c r="K9833" s="1063"/>
      <c r="L9833" s="1063"/>
    </row>
    <row r="9834" spans="5:12" x14ac:dyDescent="0.2">
      <c r="E9834" s="1063"/>
      <c r="H9834" s="1066"/>
      <c r="I9834" s="1063"/>
      <c r="J9834" s="1063"/>
      <c r="K9834" s="1063"/>
      <c r="L9834" s="1063"/>
    </row>
    <row r="9835" spans="5:12" x14ac:dyDescent="0.2">
      <c r="E9835" s="1063"/>
      <c r="H9835" s="1066"/>
      <c r="I9835" s="1063"/>
      <c r="J9835" s="1063"/>
      <c r="K9835" s="1063"/>
      <c r="L9835" s="1063"/>
    </row>
    <row r="9836" spans="5:12" x14ac:dyDescent="0.2">
      <c r="E9836" s="1063"/>
      <c r="H9836" s="1066"/>
      <c r="I9836" s="1063"/>
      <c r="J9836" s="1063"/>
      <c r="K9836" s="1063"/>
      <c r="L9836" s="1063"/>
    </row>
    <row r="9837" spans="5:12" x14ac:dyDescent="0.2">
      <c r="E9837" s="1063"/>
      <c r="H9837" s="1066"/>
      <c r="I9837" s="1063"/>
      <c r="J9837" s="1063"/>
      <c r="K9837" s="1063"/>
      <c r="L9837" s="1063"/>
    </row>
    <row r="9838" spans="5:12" x14ac:dyDescent="0.2">
      <c r="E9838" s="1063"/>
      <c r="H9838" s="1066"/>
      <c r="I9838" s="1063"/>
      <c r="J9838" s="1063"/>
      <c r="K9838" s="1063"/>
      <c r="L9838" s="1063"/>
    </row>
    <row r="9839" spans="5:12" x14ac:dyDescent="0.2">
      <c r="E9839" s="1063"/>
      <c r="H9839" s="1066"/>
      <c r="I9839" s="1063"/>
      <c r="J9839" s="1063"/>
      <c r="K9839" s="1063"/>
      <c r="L9839" s="1063"/>
    </row>
    <row r="9840" spans="5:12" x14ac:dyDescent="0.2">
      <c r="E9840" s="1063"/>
      <c r="H9840" s="1066"/>
      <c r="I9840" s="1063"/>
      <c r="J9840" s="1063"/>
      <c r="K9840" s="1063"/>
      <c r="L9840" s="1063"/>
    </row>
    <row r="9841" spans="5:12" x14ac:dyDescent="0.2">
      <c r="E9841" s="1063"/>
      <c r="H9841" s="1066"/>
      <c r="I9841" s="1063"/>
      <c r="J9841" s="1063"/>
      <c r="K9841" s="1063"/>
      <c r="L9841" s="1063"/>
    </row>
    <row r="9842" spans="5:12" x14ac:dyDescent="0.2">
      <c r="E9842" s="1063"/>
      <c r="H9842" s="1066"/>
      <c r="I9842" s="1063"/>
      <c r="J9842" s="1063"/>
      <c r="K9842" s="1063"/>
      <c r="L9842" s="1063"/>
    </row>
    <row r="9843" spans="5:12" x14ac:dyDescent="0.2">
      <c r="E9843" s="1063"/>
      <c r="H9843" s="1066"/>
      <c r="I9843" s="1063"/>
      <c r="J9843" s="1063"/>
      <c r="K9843" s="1063"/>
      <c r="L9843" s="1063"/>
    </row>
    <row r="9844" spans="5:12" x14ac:dyDescent="0.2">
      <c r="E9844" s="1063"/>
      <c r="H9844" s="1066"/>
      <c r="I9844" s="1063"/>
      <c r="J9844" s="1063"/>
      <c r="K9844" s="1063"/>
      <c r="L9844" s="1063"/>
    </row>
    <row r="9845" spans="5:12" x14ac:dyDescent="0.2">
      <c r="E9845" s="1063"/>
      <c r="H9845" s="1066"/>
      <c r="I9845" s="1063"/>
      <c r="J9845" s="1063"/>
      <c r="K9845" s="1063"/>
      <c r="L9845" s="1063"/>
    </row>
    <row r="9846" spans="5:12" x14ac:dyDescent="0.2">
      <c r="E9846" s="1063"/>
      <c r="H9846" s="1066"/>
      <c r="I9846" s="1063"/>
      <c r="J9846" s="1063"/>
      <c r="K9846" s="1063"/>
      <c r="L9846" s="1063"/>
    </row>
    <row r="9847" spans="5:12" x14ac:dyDescent="0.2">
      <c r="E9847" s="1063"/>
      <c r="H9847" s="1066"/>
      <c r="I9847" s="1063"/>
      <c r="J9847" s="1063"/>
      <c r="K9847" s="1063"/>
      <c r="L9847" s="1063"/>
    </row>
    <row r="9848" spans="5:12" x14ac:dyDescent="0.2">
      <c r="E9848" s="1063"/>
      <c r="H9848" s="1066"/>
      <c r="I9848" s="1063"/>
      <c r="J9848" s="1063"/>
      <c r="K9848" s="1063"/>
      <c r="L9848" s="1063"/>
    </row>
    <row r="9849" spans="5:12" x14ac:dyDescent="0.2">
      <c r="E9849" s="1063"/>
      <c r="H9849" s="1066"/>
      <c r="I9849" s="1063"/>
      <c r="J9849" s="1063"/>
      <c r="K9849" s="1063"/>
      <c r="L9849" s="1063"/>
    </row>
    <row r="9850" spans="5:12" x14ac:dyDescent="0.2">
      <c r="E9850" s="1063"/>
      <c r="H9850" s="1066"/>
      <c r="I9850" s="1063"/>
      <c r="J9850" s="1063"/>
      <c r="K9850" s="1063"/>
      <c r="L9850" s="1063"/>
    </row>
    <row r="9851" spans="5:12" x14ac:dyDescent="0.2">
      <c r="E9851" s="1063"/>
      <c r="H9851" s="1066"/>
      <c r="I9851" s="1063"/>
      <c r="J9851" s="1063"/>
      <c r="K9851" s="1063"/>
      <c r="L9851" s="1063"/>
    </row>
    <row r="9852" spans="5:12" x14ac:dyDescent="0.2">
      <c r="E9852" s="1063"/>
      <c r="H9852" s="1066"/>
      <c r="I9852" s="1063"/>
      <c r="J9852" s="1063"/>
      <c r="K9852" s="1063"/>
      <c r="L9852" s="1063"/>
    </row>
    <row r="9853" spans="5:12" x14ac:dyDescent="0.2">
      <c r="E9853" s="1063"/>
      <c r="H9853" s="1066"/>
      <c r="I9853" s="1063"/>
      <c r="J9853" s="1063"/>
      <c r="K9853" s="1063"/>
      <c r="L9853" s="1063"/>
    </row>
    <row r="9854" spans="5:12" x14ac:dyDescent="0.2">
      <c r="E9854" s="1063"/>
      <c r="H9854" s="1066"/>
      <c r="I9854" s="1063"/>
      <c r="J9854" s="1063"/>
      <c r="K9854" s="1063"/>
      <c r="L9854" s="1063"/>
    </row>
    <row r="9855" spans="5:12" x14ac:dyDescent="0.2">
      <c r="E9855" s="1063"/>
      <c r="H9855" s="1066"/>
      <c r="I9855" s="1063"/>
      <c r="J9855" s="1063"/>
      <c r="K9855" s="1063"/>
      <c r="L9855" s="1063"/>
    </row>
    <row r="9856" spans="5:12" x14ac:dyDescent="0.2">
      <c r="E9856" s="1063"/>
      <c r="H9856" s="1066"/>
      <c r="I9856" s="1063"/>
      <c r="J9856" s="1063"/>
      <c r="K9856" s="1063"/>
      <c r="L9856" s="1063"/>
    </row>
    <row r="9857" spans="5:12" x14ac:dyDescent="0.2">
      <c r="E9857" s="1063"/>
      <c r="H9857" s="1066"/>
      <c r="I9857" s="1063"/>
      <c r="J9857" s="1063"/>
      <c r="K9857" s="1063"/>
      <c r="L9857" s="1063"/>
    </row>
    <row r="9858" spans="5:12" x14ac:dyDescent="0.2">
      <c r="E9858" s="1063"/>
      <c r="H9858" s="1066"/>
      <c r="I9858" s="1063"/>
      <c r="J9858" s="1063"/>
      <c r="K9858" s="1063"/>
      <c r="L9858" s="1063"/>
    </row>
    <row r="9859" spans="5:12" x14ac:dyDescent="0.2">
      <c r="E9859" s="1063"/>
      <c r="H9859" s="1066"/>
      <c r="I9859" s="1063"/>
      <c r="J9859" s="1063"/>
      <c r="K9859" s="1063"/>
      <c r="L9859" s="1063"/>
    </row>
    <row r="9860" spans="5:12" x14ac:dyDescent="0.2">
      <c r="E9860" s="1063"/>
      <c r="H9860" s="1066"/>
      <c r="I9860" s="1063"/>
      <c r="J9860" s="1063"/>
      <c r="K9860" s="1063"/>
      <c r="L9860" s="1063"/>
    </row>
    <row r="9861" spans="5:12" x14ac:dyDescent="0.2">
      <c r="E9861" s="1063"/>
      <c r="H9861" s="1066"/>
      <c r="I9861" s="1063"/>
      <c r="J9861" s="1063"/>
      <c r="K9861" s="1063"/>
      <c r="L9861" s="1063"/>
    </row>
    <row r="9862" spans="5:12" x14ac:dyDescent="0.2">
      <c r="E9862" s="1063"/>
      <c r="H9862" s="1066"/>
      <c r="I9862" s="1063"/>
      <c r="J9862" s="1063"/>
      <c r="K9862" s="1063"/>
      <c r="L9862" s="1063"/>
    </row>
    <row r="9863" spans="5:12" x14ac:dyDescent="0.2">
      <c r="E9863" s="1063"/>
      <c r="H9863" s="1066"/>
      <c r="I9863" s="1063"/>
      <c r="J9863" s="1063"/>
      <c r="K9863" s="1063"/>
      <c r="L9863" s="1063"/>
    </row>
    <row r="9864" spans="5:12" x14ac:dyDescent="0.2">
      <c r="E9864" s="1063"/>
      <c r="H9864" s="1066"/>
      <c r="I9864" s="1063"/>
      <c r="J9864" s="1063"/>
      <c r="K9864" s="1063"/>
      <c r="L9864" s="1063"/>
    </row>
    <row r="9865" spans="5:12" x14ac:dyDescent="0.2">
      <c r="E9865" s="1063"/>
      <c r="H9865" s="1066"/>
      <c r="I9865" s="1063"/>
      <c r="J9865" s="1063"/>
      <c r="K9865" s="1063"/>
      <c r="L9865" s="1063"/>
    </row>
    <row r="9866" spans="5:12" x14ac:dyDescent="0.2">
      <c r="E9866" s="1063"/>
      <c r="H9866" s="1066"/>
      <c r="I9866" s="1063"/>
      <c r="J9866" s="1063"/>
      <c r="K9866" s="1063"/>
      <c r="L9866" s="1063"/>
    </row>
    <row r="9867" spans="5:12" x14ac:dyDescent="0.2">
      <c r="E9867" s="1063"/>
      <c r="H9867" s="1066"/>
      <c r="I9867" s="1063"/>
      <c r="J9867" s="1063"/>
      <c r="K9867" s="1063"/>
      <c r="L9867" s="1063"/>
    </row>
    <row r="9868" spans="5:12" x14ac:dyDescent="0.2">
      <c r="E9868" s="1063"/>
      <c r="H9868" s="1066"/>
      <c r="I9868" s="1063"/>
      <c r="J9868" s="1063"/>
      <c r="K9868" s="1063"/>
      <c r="L9868" s="1063"/>
    </row>
    <row r="9869" spans="5:12" x14ac:dyDescent="0.2">
      <c r="E9869" s="1063"/>
      <c r="H9869" s="1066"/>
      <c r="I9869" s="1063"/>
      <c r="J9869" s="1063"/>
      <c r="K9869" s="1063"/>
      <c r="L9869" s="1063"/>
    </row>
    <row r="9870" spans="5:12" x14ac:dyDescent="0.2">
      <c r="E9870" s="1063"/>
      <c r="H9870" s="1066"/>
      <c r="I9870" s="1063"/>
      <c r="J9870" s="1063"/>
      <c r="K9870" s="1063"/>
      <c r="L9870" s="1063"/>
    </row>
    <row r="9871" spans="5:12" x14ac:dyDescent="0.2">
      <c r="E9871" s="1063"/>
      <c r="H9871" s="1066"/>
      <c r="I9871" s="1063"/>
      <c r="J9871" s="1063"/>
      <c r="K9871" s="1063"/>
      <c r="L9871" s="1063"/>
    </row>
    <row r="9872" spans="5:12" x14ac:dyDescent="0.2">
      <c r="E9872" s="1063"/>
      <c r="H9872" s="1066"/>
      <c r="I9872" s="1063"/>
      <c r="J9872" s="1063"/>
      <c r="K9872" s="1063"/>
      <c r="L9872" s="1063"/>
    </row>
    <row r="9873" spans="5:12" x14ac:dyDescent="0.2">
      <c r="E9873" s="1063"/>
      <c r="H9873" s="1066"/>
      <c r="I9873" s="1063"/>
      <c r="J9873" s="1063"/>
      <c r="K9873" s="1063"/>
      <c r="L9873" s="1063"/>
    </row>
    <row r="9874" spans="5:12" x14ac:dyDescent="0.2">
      <c r="E9874" s="1063"/>
      <c r="H9874" s="1066"/>
      <c r="I9874" s="1063"/>
      <c r="J9874" s="1063"/>
      <c r="K9874" s="1063"/>
      <c r="L9874" s="1063"/>
    </row>
    <row r="9875" spans="5:12" x14ac:dyDescent="0.2">
      <c r="E9875" s="1063"/>
      <c r="H9875" s="1066"/>
      <c r="I9875" s="1063"/>
      <c r="J9875" s="1063"/>
      <c r="K9875" s="1063"/>
      <c r="L9875" s="1063"/>
    </row>
    <row r="9876" spans="5:12" x14ac:dyDescent="0.2">
      <c r="E9876" s="1063"/>
      <c r="H9876" s="1066"/>
      <c r="I9876" s="1063"/>
      <c r="J9876" s="1063"/>
      <c r="K9876" s="1063"/>
      <c r="L9876" s="1063"/>
    </row>
    <row r="9877" spans="5:12" x14ac:dyDescent="0.2">
      <c r="E9877" s="1063"/>
      <c r="H9877" s="1066"/>
      <c r="I9877" s="1063"/>
      <c r="J9877" s="1063"/>
      <c r="K9877" s="1063"/>
      <c r="L9877" s="1063"/>
    </row>
    <row r="9878" spans="5:12" x14ac:dyDescent="0.2">
      <c r="E9878" s="1063"/>
      <c r="H9878" s="1066"/>
      <c r="I9878" s="1063"/>
      <c r="J9878" s="1063"/>
      <c r="K9878" s="1063"/>
      <c r="L9878" s="1063"/>
    </row>
    <row r="9879" spans="5:12" x14ac:dyDescent="0.2">
      <c r="E9879" s="1063"/>
      <c r="H9879" s="1066"/>
      <c r="I9879" s="1063"/>
      <c r="J9879" s="1063"/>
      <c r="K9879" s="1063"/>
      <c r="L9879" s="1063"/>
    </row>
    <row r="9880" spans="5:12" x14ac:dyDescent="0.2">
      <c r="E9880" s="1063"/>
      <c r="H9880" s="1066"/>
      <c r="I9880" s="1063"/>
      <c r="J9880" s="1063"/>
      <c r="K9880" s="1063"/>
      <c r="L9880" s="1063"/>
    </row>
    <row r="9881" spans="5:12" x14ac:dyDescent="0.2">
      <c r="E9881" s="1063"/>
      <c r="H9881" s="1066"/>
      <c r="I9881" s="1063"/>
      <c r="J9881" s="1063"/>
      <c r="K9881" s="1063"/>
      <c r="L9881" s="1063"/>
    </row>
    <row r="9882" spans="5:12" x14ac:dyDescent="0.2">
      <c r="E9882" s="1063"/>
      <c r="H9882" s="1066"/>
      <c r="I9882" s="1063"/>
      <c r="J9882" s="1063"/>
      <c r="K9882" s="1063"/>
      <c r="L9882" s="1063"/>
    </row>
    <row r="9883" spans="5:12" x14ac:dyDescent="0.2">
      <c r="E9883" s="1063"/>
      <c r="H9883" s="1066"/>
      <c r="I9883" s="1063"/>
      <c r="J9883" s="1063"/>
      <c r="K9883" s="1063"/>
      <c r="L9883" s="1063"/>
    </row>
    <row r="9884" spans="5:12" x14ac:dyDescent="0.2">
      <c r="E9884" s="1063"/>
      <c r="H9884" s="1066"/>
      <c r="I9884" s="1063"/>
      <c r="J9884" s="1063"/>
      <c r="K9884" s="1063"/>
      <c r="L9884" s="1063"/>
    </row>
    <row r="9885" spans="5:12" x14ac:dyDescent="0.2">
      <c r="E9885" s="1063"/>
      <c r="H9885" s="1066"/>
      <c r="I9885" s="1063"/>
      <c r="J9885" s="1063"/>
      <c r="K9885" s="1063"/>
      <c r="L9885" s="1063"/>
    </row>
    <row r="9886" spans="5:12" x14ac:dyDescent="0.2">
      <c r="E9886" s="1063"/>
      <c r="H9886" s="1066"/>
      <c r="I9886" s="1063"/>
      <c r="J9886" s="1063"/>
      <c r="K9886" s="1063"/>
      <c r="L9886" s="1063"/>
    </row>
    <row r="9887" spans="5:12" x14ac:dyDescent="0.2">
      <c r="E9887" s="1063"/>
      <c r="H9887" s="1066"/>
      <c r="I9887" s="1063"/>
      <c r="J9887" s="1063"/>
      <c r="K9887" s="1063"/>
      <c r="L9887" s="1063"/>
    </row>
    <row r="9888" spans="5:12" x14ac:dyDescent="0.2">
      <c r="E9888" s="1063"/>
      <c r="H9888" s="1066"/>
      <c r="I9888" s="1063"/>
      <c r="J9888" s="1063"/>
      <c r="K9888" s="1063"/>
      <c r="L9888" s="1063"/>
    </row>
    <row r="9889" spans="5:12" x14ac:dyDescent="0.2">
      <c r="E9889" s="1063"/>
      <c r="H9889" s="1066"/>
      <c r="I9889" s="1063"/>
      <c r="J9889" s="1063"/>
      <c r="K9889" s="1063"/>
      <c r="L9889" s="1063"/>
    </row>
    <row r="9890" spans="5:12" x14ac:dyDescent="0.2">
      <c r="E9890" s="1063"/>
      <c r="H9890" s="1066"/>
      <c r="I9890" s="1063"/>
      <c r="J9890" s="1063"/>
      <c r="K9890" s="1063"/>
      <c r="L9890" s="1063"/>
    </row>
    <row r="9891" spans="5:12" x14ac:dyDescent="0.2">
      <c r="E9891" s="1063"/>
      <c r="H9891" s="1066"/>
      <c r="I9891" s="1063"/>
      <c r="J9891" s="1063"/>
      <c r="K9891" s="1063"/>
      <c r="L9891" s="1063"/>
    </row>
    <row r="9892" spans="5:12" x14ac:dyDescent="0.2">
      <c r="E9892" s="1063"/>
      <c r="H9892" s="1066"/>
      <c r="I9892" s="1063"/>
      <c r="J9892" s="1063"/>
      <c r="K9892" s="1063"/>
      <c r="L9892" s="1063"/>
    </row>
    <row r="9893" spans="5:12" x14ac:dyDescent="0.2">
      <c r="E9893" s="1063"/>
      <c r="H9893" s="1066"/>
      <c r="I9893" s="1063"/>
      <c r="J9893" s="1063"/>
      <c r="K9893" s="1063"/>
      <c r="L9893" s="1063"/>
    </row>
    <row r="9894" spans="5:12" x14ac:dyDescent="0.2">
      <c r="E9894" s="1063"/>
      <c r="H9894" s="1066"/>
      <c r="I9894" s="1063"/>
      <c r="J9894" s="1063"/>
      <c r="K9894" s="1063"/>
      <c r="L9894" s="1063"/>
    </row>
    <row r="9895" spans="5:12" x14ac:dyDescent="0.2">
      <c r="E9895" s="1063"/>
      <c r="H9895" s="1066"/>
      <c r="I9895" s="1063"/>
      <c r="J9895" s="1063"/>
      <c r="K9895" s="1063"/>
      <c r="L9895" s="1063"/>
    </row>
    <row r="9896" spans="5:12" x14ac:dyDescent="0.2">
      <c r="E9896" s="1063"/>
      <c r="H9896" s="1066"/>
      <c r="I9896" s="1063"/>
      <c r="J9896" s="1063"/>
      <c r="K9896" s="1063"/>
      <c r="L9896" s="1063"/>
    </row>
    <row r="9897" spans="5:12" x14ac:dyDescent="0.2">
      <c r="E9897" s="1063"/>
      <c r="H9897" s="1066"/>
      <c r="I9897" s="1063"/>
      <c r="J9897" s="1063"/>
      <c r="K9897" s="1063"/>
      <c r="L9897" s="1063"/>
    </row>
    <row r="9898" spans="5:12" x14ac:dyDescent="0.2">
      <c r="E9898" s="1063"/>
      <c r="H9898" s="1066"/>
      <c r="I9898" s="1063"/>
      <c r="J9898" s="1063"/>
      <c r="K9898" s="1063"/>
      <c r="L9898" s="1063"/>
    </row>
    <row r="9899" spans="5:12" x14ac:dyDescent="0.2">
      <c r="E9899" s="1063"/>
      <c r="H9899" s="1066"/>
      <c r="I9899" s="1063"/>
      <c r="J9899" s="1063"/>
      <c r="K9899" s="1063"/>
      <c r="L9899" s="1063"/>
    </row>
    <row r="9900" spans="5:12" x14ac:dyDescent="0.2">
      <c r="E9900" s="1063"/>
      <c r="H9900" s="1066"/>
      <c r="I9900" s="1063"/>
      <c r="J9900" s="1063"/>
      <c r="K9900" s="1063"/>
      <c r="L9900" s="1063"/>
    </row>
    <row r="9901" spans="5:12" x14ac:dyDescent="0.2">
      <c r="E9901" s="1063"/>
      <c r="H9901" s="1066"/>
      <c r="I9901" s="1063"/>
      <c r="J9901" s="1063"/>
      <c r="K9901" s="1063"/>
      <c r="L9901" s="1063"/>
    </row>
    <row r="9902" spans="5:12" x14ac:dyDescent="0.2">
      <c r="E9902" s="1063"/>
      <c r="H9902" s="1066"/>
      <c r="I9902" s="1063"/>
      <c r="J9902" s="1063"/>
      <c r="K9902" s="1063"/>
      <c r="L9902" s="1063"/>
    </row>
    <row r="9903" spans="5:12" x14ac:dyDescent="0.2">
      <c r="E9903" s="1063"/>
      <c r="H9903" s="1066"/>
      <c r="I9903" s="1063"/>
      <c r="J9903" s="1063"/>
      <c r="K9903" s="1063"/>
      <c r="L9903" s="1063"/>
    </row>
    <row r="9904" spans="5:12" x14ac:dyDescent="0.2">
      <c r="E9904" s="1063"/>
      <c r="H9904" s="1066"/>
      <c r="I9904" s="1063"/>
      <c r="J9904" s="1063"/>
      <c r="K9904" s="1063"/>
      <c r="L9904" s="1063"/>
    </row>
    <row r="9905" spans="5:12" x14ac:dyDescent="0.2">
      <c r="E9905" s="1063"/>
      <c r="H9905" s="1066"/>
      <c r="I9905" s="1063"/>
      <c r="J9905" s="1063"/>
      <c r="K9905" s="1063"/>
      <c r="L9905" s="1063"/>
    </row>
    <row r="9906" spans="5:12" x14ac:dyDescent="0.2">
      <c r="E9906" s="1063"/>
      <c r="H9906" s="1066"/>
      <c r="I9906" s="1063"/>
      <c r="J9906" s="1063"/>
      <c r="K9906" s="1063"/>
      <c r="L9906" s="1063"/>
    </row>
    <row r="9907" spans="5:12" x14ac:dyDescent="0.2">
      <c r="E9907" s="1063"/>
      <c r="H9907" s="1066"/>
      <c r="I9907" s="1063"/>
      <c r="J9907" s="1063"/>
      <c r="K9907" s="1063"/>
      <c r="L9907" s="1063"/>
    </row>
    <row r="9908" spans="5:12" x14ac:dyDescent="0.2">
      <c r="E9908" s="1063"/>
      <c r="H9908" s="1066"/>
      <c r="I9908" s="1063"/>
      <c r="J9908" s="1063"/>
      <c r="K9908" s="1063"/>
      <c r="L9908" s="1063"/>
    </row>
    <row r="9909" spans="5:12" x14ac:dyDescent="0.2">
      <c r="E9909" s="1063"/>
      <c r="H9909" s="1066"/>
      <c r="I9909" s="1063"/>
      <c r="J9909" s="1063"/>
      <c r="K9909" s="1063"/>
      <c r="L9909" s="1063"/>
    </row>
    <row r="9910" spans="5:12" x14ac:dyDescent="0.2">
      <c r="E9910" s="1063"/>
      <c r="H9910" s="1066"/>
      <c r="I9910" s="1063"/>
      <c r="J9910" s="1063"/>
      <c r="K9910" s="1063"/>
      <c r="L9910" s="1063"/>
    </row>
    <row r="9911" spans="5:12" x14ac:dyDescent="0.2">
      <c r="E9911" s="1063"/>
      <c r="H9911" s="1066"/>
      <c r="I9911" s="1063"/>
      <c r="J9911" s="1063"/>
      <c r="K9911" s="1063"/>
      <c r="L9911" s="1063"/>
    </row>
    <row r="9912" spans="5:12" x14ac:dyDescent="0.2">
      <c r="E9912" s="1063"/>
      <c r="H9912" s="1066"/>
      <c r="I9912" s="1063"/>
      <c r="J9912" s="1063"/>
      <c r="K9912" s="1063"/>
      <c r="L9912" s="1063"/>
    </row>
    <row r="9913" spans="5:12" x14ac:dyDescent="0.2">
      <c r="E9913" s="1063"/>
      <c r="H9913" s="1066"/>
      <c r="I9913" s="1063"/>
      <c r="J9913" s="1063"/>
      <c r="K9913" s="1063"/>
      <c r="L9913" s="1063"/>
    </row>
    <row r="9914" spans="5:12" x14ac:dyDescent="0.2">
      <c r="E9914" s="1063"/>
      <c r="H9914" s="1066"/>
      <c r="I9914" s="1063"/>
      <c r="J9914" s="1063"/>
      <c r="K9914" s="1063"/>
      <c r="L9914" s="1063"/>
    </row>
    <row r="9915" spans="5:12" x14ac:dyDescent="0.2">
      <c r="E9915" s="1063"/>
      <c r="H9915" s="1066"/>
      <c r="I9915" s="1063"/>
      <c r="J9915" s="1063"/>
      <c r="K9915" s="1063"/>
      <c r="L9915" s="1063"/>
    </row>
    <row r="9916" spans="5:12" x14ac:dyDescent="0.2">
      <c r="E9916" s="1063"/>
      <c r="H9916" s="1066"/>
      <c r="I9916" s="1063"/>
      <c r="J9916" s="1063"/>
      <c r="K9916" s="1063"/>
      <c r="L9916" s="1063"/>
    </row>
    <row r="9917" spans="5:12" x14ac:dyDescent="0.2">
      <c r="E9917" s="1063"/>
      <c r="H9917" s="1066"/>
      <c r="I9917" s="1063"/>
      <c r="J9917" s="1063"/>
      <c r="K9917" s="1063"/>
      <c r="L9917" s="1063"/>
    </row>
    <row r="9918" spans="5:12" x14ac:dyDescent="0.2">
      <c r="E9918" s="1063"/>
      <c r="H9918" s="1066"/>
      <c r="I9918" s="1063"/>
      <c r="J9918" s="1063"/>
      <c r="K9918" s="1063"/>
      <c r="L9918" s="1063"/>
    </row>
    <row r="9919" spans="5:12" x14ac:dyDescent="0.2">
      <c r="E9919" s="1063"/>
      <c r="H9919" s="1066"/>
      <c r="I9919" s="1063"/>
      <c r="J9919" s="1063"/>
      <c r="K9919" s="1063"/>
      <c r="L9919" s="1063"/>
    </row>
    <row r="9920" spans="5:12" x14ac:dyDescent="0.2">
      <c r="E9920" s="1063"/>
      <c r="H9920" s="1066"/>
      <c r="I9920" s="1063"/>
      <c r="J9920" s="1063"/>
      <c r="K9920" s="1063"/>
      <c r="L9920" s="1063"/>
    </row>
    <row r="9921" spans="5:12" x14ac:dyDescent="0.2">
      <c r="E9921" s="1063"/>
      <c r="H9921" s="1066"/>
      <c r="I9921" s="1063"/>
      <c r="J9921" s="1063"/>
      <c r="K9921" s="1063"/>
      <c r="L9921" s="1063"/>
    </row>
    <row r="9922" spans="5:12" x14ac:dyDescent="0.2">
      <c r="E9922" s="1063"/>
      <c r="H9922" s="1066"/>
      <c r="I9922" s="1063"/>
      <c r="J9922" s="1063"/>
      <c r="K9922" s="1063"/>
      <c r="L9922" s="1063"/>
    </row>
    <row r="9923" spans="5:12" x14ac:dyDescent="0.2">
      <c r="E9923" s="1063"/>
      <c r="H9923" s="1066"/>
      <c r="I9923" s="1063"/>
      <c r="J9923" s="1063"/>
      <c r="K9923" s="1063"/>
      <c r="L9923" s="1063"/>
    </row>
    <row r="9924" spans="5:12" x14ac:dyDescent="0.2">
      <c r="E9924" s="1063"/>
      <c r="H9924" s="1066"/>
      <c r="I9924" s="1063"/>
      <c r="J9924" s="1063"/>
      <c r="K9924" s="1063"/>
      <c r="L9924" s="1063"/>
    </row>
    <row r="9925" spans="5:12" x14ac:dyDescent="0.2">
      <c r="E9925" s="1063"/>
      <c r="H9925" s="1066"/>
      <c r="I9925" s="1063"/>
      <c r="J9925" s="1063"/>
      <c r="K9925" s="1063"/>
      <c r="L9925" s="1063"/>
    </row>
    <row r="9926" spans="5:12" x14ac:dyDescent="0.2">
      <c r="E9926" s="1063"/>
      <c r="H9926" s="1066"/>
      <c r="I9926" s="1063"/>
      <c r="J9926" s="1063"/>
      <c r="K9926" s="1063"/>
      <c r="L9926" s="1063"/>
    </row>
    <row r="9927" spans="5:12" x14ac:dyDescent="0.2">
      <c r="E9927" s="1063"/>
      <c r="H9927" s="1066"/>
      <c r="I9927" s="1063"/>
      <c r="J9927" s="1063"/>
      <c r="K9927" s="1063"/>
      <c r="L9927" s="1063"/>
    </row>
    <row r="9928" spans="5:12" x14ac:dyDescent="0.2">
      <c r="E9928" s="1063"/>
      <c r="H9928" s="1066"/>
      <c r="I9928" s="1063"/>
      <c r="J9928" s="1063"/>
      <c r="K9928" s="1063"/>
      <c r="L9928" s="1063"/>
    </row>
    <row r="9929" spans="5:12" x14ac:dyDescent="0.2">
      <c r="E9929" s="1063"/>
      <c r="H9929" s="1066"/>
      <c r="I9929" s="1063"/>
      <c r="J9929" s="1063"/>
      <c r="K9929" s="1063"/>
      <c r="L9929" s="1063"/>
    </row>
    <row r="9930" spans="5:12" x14ac:dyDescent="0.2">
      <c r="E9930" s="1063"/>
      <c r="H9930" s="1066"/>
      <c r="I9930" s="1063"/>
      <c r="J9930" s="1063"/>
      <c r="K9930" s="1063"/>
      <c r="L9930" s="1063"/>
    </row>
    <row r="9931" spans="5:12" x14ac:dyDescent="0.2">
      <c r="E9931" s="1063"/>
      <c r="H9931" s="1066"/>
      <c r="I9931" s="1063"/>
      <c r="J9931" s="1063"/>
      <c r="K9931" s="1063"/>
      <c r="L9931" s="1063"/>
    </row>
    <row r="9932" spans="5:12" x14ac:dyDescent="0.2">
      <c r="E9932" s="1063"/>
      <c r="H9932" s="1066"/>
      <c r="I9932" s="1063"/>
      <c r="J9932" s="1063"/>
      <c r="K9932" s="1063"/>
      <c r="L9932" s="1063"/>
    </row>
    <row r="9933" spans="5:12" x14ac:dyDescent="0.2">
      <c r="E9933" s="1063"/>
      <c r="H9933" s="1066"/>
      <c r="I9933" s="1063"/>
      <c r="J9933" s="1063"/>
      <c r="K9933" s="1063"/>
      <c r="L9933" s="1063"/>
    </row>
    <row r="9934" spans="5:12" x14ac:dyDescent="0.2">
      <c r="E9934" s="1063"/>
      <c r="H9934" s="1066"/>
      <c r="I9934" s="1063"/>
      <c r="J9934" s="1063"/>
      <c r="K9934" s="1063"/>
      <c r="L9934" s="1063"/>
    </row>
    <row r="9935" spans="5:12" x14ac:dyDescent="0.2">
      <c r="E9935" s="1063"/>
      <c r="H9935" s="1066"/>
      <c r="I9935" s="1063"/>
      <c r="J9935" s="1063"/>
      <c r="K9935" s="1063"/>
      <c r="L9935" s="1063"/>
    </row>
    <row r="9936" spans="5:12" x14ac:dyDescent="0.2">
      <c r="E9936" s="1063"/>
      <c r="H9936" s="1066"/>
      <c r="I9936" s="1063"/>
      <c r="J9936" s="1063"/>
      <c r="K9936" s="1063"/>
      <c r="L9936" s="1063"/>
    </row>
    <row r="9937" spans="5:12" x14ac:dyDescent="0.2">
      <c r="E9937" s="1063"/>
      <c r="H9937" s="1066"/>
      <c r="I9937" s="1063"/>
      <c r="J9937" s="1063"/>
      <c r="K9937" s="1063"/>
      <c r="L9937" s="1063"/>
    </row>
    <row r="9938" spans="5:12" x14ac:dyDescent="0.2">
      <c r="E9938" s="1063"/>
      <c r="H9938" s="1066"/>
      <c r="I9938" s="1063"/>
      <c r="J9938" s="1063"/>
      <c r="K9938" s="1063"/>
      <c r="L9938" s="1063"/>
    </row>
    <row r="9939" spans="5:12" x14ac:dyDescent="0.2">
      <c r="E9939" s="1063"/>
      <c r="H9939" s="1066"/>
      <c r="I9939" s="1063"/>
      <c r="J9939" s="1063"/>
      <c r="K9939" s="1063"/>
      <c r="L9939" s="1063"/>
    </row>
    <row r="9940" spans="5:12" x14ac:dyDescent="0.2">
      <c r="E9940" s="1063"/>
      <c r="H9940" s="1066"/>
      <c r="I9940" s="1063"/>
      <c r="J9940" s="1063"/>
      <c r="K9940" s="1063"/>
      <c r="L9940" s="1063"/>
    </row>
    <row r="9941" spans="5:12" x14ac:dyDescent="0.2">
      <c r="E9941" s="1063"/>
      <c r="H9941" s="1066"/>
      <c r="I9941" s="1063"/>
      <c r="J9941" s="1063"/>
      <c r="K9941" s="1063"/>
      <c r="L9941" s="1063"/>
    </row>
    <row r="9942" spans="5:12" x14ac:dyDescent="0.2">
      <c r="E9942" s="1063"/>
      <c r="H9942" s="1066"/>
      <c r="I9942" s="1063"/>
      <c r="J9942" s="1063"/>
      <c r="K9942" s="1063"/>
      <c r="L9942" s="1063"/>
    </row>
    <row r="9943" spans="5:12" x14ac:dyDescent="0.2">
      <c r="E9943" s="1063"/>
      <c r="H9943" s="1066"/>
      <c r="I9943" s="1063"/>
      <c r="J9943" s="1063"/>
      <c r="K9943" s="1063"/>
      <c r="L9943" s="1063"/>
    </row>
    <row r="9944" spans="5:12" x14ac:dyDescent="0.2">
      <c r="E9944" s="1063"/>
      <c r="H9944" s="1066"/>
      <c r="I9944" s="1063"/>
      <c r="J9944" s="1063"/>
      <c r="K9944" s="1063"/>
      <c r="L9944" s="1063"/>
    </row>
    <row r="9945" spans="5:12" x14ac:dyDescent="0.2">
      <c r="E9945" s="1063"/>
      <c r="H9945" s="1066"/>
      <c r="I9945" s="1063"/>
      <c r="J9945" s="1063"/>
      <c r="K9945" s="1063"/>
      <c r="L9945" s="1063"/>
    </row>
    <row r="9946" spans="5:12" x14ac:dyDescent="0.2">
      <c r="E9946" s="1063"/>
      <c r="H9946" s="1066"/>
      <c r="I9946" s="1063"/>
      <c r="J9946" s="1063"/>
      <c r="K9946" s="1063"/>
      <c r="L9946" s="1063"/>
    </row>
    <row r="9947" spans="5:12" x14ac:dyDescent="0.2">
      <c r="E9947" s="1063"/>
      <c r="H9947" s="1066"/>
      <c r="I9947" s="1063"/>
      <c r="J9947" s="1063"/>
      <c r="K9947" s="1063"/>
      <c r="L9947" s="1063"/>
    </row>
    <row r="9948" spans="5:12" x14ac:dyDescent="0.2">
      <c r="E9948" s="1063"/>
      <c r="H9948" s="1066"/>
      <c r="I9948" s="1063"/>
      <c r="J9948" s="1063"/>
      <c r="K9948" s="1063"/>
      <c r="L9948" s="1063"/>
    </row>
    <row r="9949" spans="5:12" x14ac:dyDescent="0.2">
      <c r="E9949" s="1063"/>
      <c r="H9949" s="1066"/>
      <c r="I9949" s="1063"/>
      <c r="J9949" s="1063"/>
      <c r="K9949" s="1063"/>
      <c r="L9949" s="1063"/>
    </row>
    <row r="9950" spans="5:12" x14ac:dyDescent="0.2">
      <c r="E9950" s="1063"/>
      <c r="H9950" s="1066"/>
      <c r="I9950" s="1063"/>
      <c r="J9950" s="1063"/>
      <c r="K9950" s="1063"/>
      <c r="L9950" s="1063"/>
    </row>
    <row r="9951" spans="5:12" x14ac:dyDescent="0.2">
      <c r="E9951" s="1063"/>
      <c r="H9951" s="1066"/>
      <c r="I9951" s="1063"/>
      <c r="J9951" s="1063"/>
      <c r="K9951" s="1063"/>
      <c r="L9951" s="1063"/>
    </row>
    <row r="9952" spans="5:12" x14ac:dyDescent="0.2">
      <c r="E9952" s="1063"/>
      <c r="H9952" s="1066"/>
      <c r="I9952" s="1063"/>
      <c r="J9952" s="1063"/>
      <c r="K9952" s="1063"/>
      <c r="L9952" s="1063"/>
    </row>
    <row r="9953" spans="5:12" x14ac:dyDescent="0.2">
      <c r="E9953" s="1063"/>
      <c r="H9953" s="1066"/>
      <c r="I9953" s="1063"/>
      <c r="J9953" s="1063"/>
      <c r="K9953" s="1063"/>
      <c r="L9953" s="1063"/>
    </row>
    <row r="9954" spans="5:12" x14ac:dyDescent="0.2">
      <c r="E9954" s="1063"/>
      <c r="H9954" s="1066"/>
      <c r="I9954" s="1063"/>
      <c r="J9954" s="1063"/>
      <c r="K9954" s="1063"/>
      <c r="L9954" s="1063"/>
    </row>
    <row r="9955" spans="5:12" x14ac:dyDescent="0.2">
      <c r="E9955" s="1063"/>
      <c r="H9955" s="1066"/>
      <c r="I9955" s="1063"/>
      <c r="J9955" s="1063"/>
      <c r="K9955" s="1063"/>
      <c r="L9955" s="1063"/>
    </row>
    <row r="9956" spans="5:12" x14ac:dyDescent="0.2">
      <c r="E9956" s="1063"/>
      <c r="H9956" s="1066"/>
      <c r="I9956" s="1063"/>
      <c r="J9956" s="1063"/>
      <c r="K9956" s="1063"/>
      <c r="L9956" s="1063"/>
    </row>
    <row r="9957" spans="5:12" x14ac:dyDescent="0.2">
      <c r="E9957" s="1063"/>
      <c r="H9957" s="1066"/>
      <c r="I9957" s="1063"/>
      <c r="J9957" s="1063"/>
      <c r="K9957" s="1063"/>
      <c r="L9957" s="1063"/>
    </row>
    <row r="9958" spans="5:12" x14ac:dyDescent="0.2">
      <c r="E9958" s="1063"/>
      <c r="H9958" s="1066"/>
      <c r="I9958" s="1063"/>
      <c r="J9958" s="1063"/>
      <c r="K9958" s="1063"/>
      <c r="L9958" s="1063"/>
    </row>
    <row r="9959" spans="5:12" x14ac:dyDescent="0.2">
      <c r="E9959" s="1063"/>
      <c r="H9959" s="1066"/>
      <c r="I9959" s="1063"/>
      <c r="J9959" s="1063"/>
      <c r="K9959" s="1063"/>
      <c r="L9959" s="1063"/>
    </row>
    <row r="9960" spans="5:12" x14ac:dyDescent="0.2">
      <c r="E9960" s="1063"/>
      <c r="H9960" s="1066"/>
      <c r="I9960" s="1063"/>
      <c r="J9960" s="1063"/>
      <c r="K9960" s="1063"/>
      <c r="L9960" s="1063"/>
    </row>
    <row r="9961" spans="5:12" x14ac:dyDescent="0.2">
      <c r="E9961" s="1063"/>
      <c r="H9961" s="1066"/>
      <c r="I9961" s="1063"/>
      <c r="J9961" s="1063"/>
      <c r="K9961" s="1063"/>
      <c r="L9961" s="1063"/>
    </row>
    <row r="9962" spans="5:12" x14ac:dyDescent="0.2">
      <c r="E9962" s="1063"/>
      <c r="H9962" s="1066"/>
      <c r="I9962" s="1063"/>
      <c r="J9962" s="1063"/>
      <c r="K9962" s="1063"/>
      <c r="L9962" s="1063"/>
    </row>
    <row r="9963" spans="5:12" x14ac:dyDescent="0.2">
      <c r="E9963" s="1063"/>
      <c r="H9963" s="1066"/>
      <c r="I9963" s="1063"/>
      <c r="J9963" s="1063"/>
      <c r="K9963" s="1063"/>
      <c r="L9963" s="1063"/>
    </row>
    <row r="9964" spans="5:12" x14ac:dyDescent="0.2">
      <c r="E9964" s="1063"/>
      <c r="H9964" s="1066"/>
      <c r="I9964" s="1063"/>
      <c r="J9964" s="1063"/>
      <c r="K9964" s="1063"/>
      <c r="L9964" s="1063"/>
    </row>
    <row r="9965" spans="5:12" x14ac:dyDescent="0.2">
      <c r="E9965" s="1063"/>
      <c r="H9965" s="1066"/>
      <c r="I9965" s="1063"/>
      <c r="J9965" s="1063"/>
      <c r="K9965" s="1063"/>
      <c r="L9965" s="1063"/>
    </row>
    <row r="9966" spans="5:12" x14ac:dyDescent="0.2">
      <c r="E9966" s="1063"/>
      <c r="H9966" s="1066"/>
      <c r="I9966" s="1063"/>
      <c r="J9966" s="1063"/>
      <c r="K9966" s="1063"/>
      <c r="L9966" s="1063"/>
    </row>
    <row r="9967" spans="5:12" x14ac:dyDescent="0.2">
      <c r="E9967" s="1063"/>
      <c r="H9967" s="1066"/>
      <c r="I9967" s="1063"/>
      <c r="J9967" s="1063"/>
      <c r="K9967" s="1063"/>
      <c r="L9967" s="1063"/>
    </row>
    <row r="9968" spans="5:12" x14ac:dyDescent="0.2">
      <c r="E9968" s="1063"/>
      <c r="H9968" s="1066"/>
      <c r="I9968" s="1063"/>
      <c r="J9968" s="1063"/>
      <c r="K9968" s="1063"/>
      <c r="L9968" s="1063"/>
    </row>
    <row r="9969" spans="5:12" x14ac:dyDescent="0.2">
      <c r="E9969" s="1063"/>
      <c r="H9969" s="1066"/>
      <c r="I9969" s="1063"/>
      <c r="J9969" s="1063"/>
      <c r="K9969" s="1063"/>
      <c r="L9969" s="1063"/>
    </row>
    <row r="9970" spans="5:12" x14ac:dyDescent="0.2">
      <c r="E9970" s="1063"/>
      <c r="H9970" s="1066"/>
      <c r="I9970" s="1063"/>
      <c r="J9970" s="1063"/>
      <c r="K9970" s="1063"/>
      <c r="L9970" s="1063"/>
    </row>
    <row r="9971" spans="5:12" x14ac:dyDescent="0.2">
      <c r="E9971" s="1063"/>
      <c r="H9971" s="1066"/>
      <c r="I9971" s="1063"/>
      <c r="J9971" s="1063"/>
      <c r="K9971" s="1063"/>
      <c r="L9971" s="1063"/>
    </row>
    <row r="9972" spans="5:12" x14ac:dyDescent="0.2">
      <c r="E9972" s="1063"/>
      <c r="H9972" s="1066"/>
      <c r="I9972" s="1063"/>
      <c r="J9972" s="1063"/>
      <c r="K9972" s="1063"/>
      <c r="L9972" s="1063"/>
    </row>
    <row r="9973" spans="5:12" x14ac:dyDescent="0.2">
      <c r="E9973" s="1063"/>
      <c r="H9973" s="1066"/>
      <c r="I9973" s="1063"/>
      <c r="J9973" s="1063"/>
      <c r="K9973" s="1063"/>
      <c r="L9973" s="1063"/>
    </row>
    <row r="9974" spans="5:12" x14ac:dyDescent="0.2">
      <c r="E9974" s="1063"/>
      <c r="H9974" s="1066"/>
      <c r="I9974" s="1063"/>
      <c r="J9974" s="1063"/>
      <c r="K9974" s="1063"/>
      <c r="L9974" s="1063"/>
    </row>
    <row r="9975" spans="5:12" x14ac:dyDescent="0.2">
      <c r="E9975" s="1063"/>
      <c r="H9975" s="1066"/>
      <c r="I9975" s="1063"/>
      <c r="J9975" s="1063"/>
      <c r="K9975" s="1063"/>
      <c r="L9975" s="1063"/>
    </row>
    <row r="9976" spans="5:12" x14ac:dyDescent="0.2">
      <c r="E9976" s="1063"/>
      <c r="H9976" s="1066"/>
      <c r="I9976" s="1063"/>
      <c r="J9976" s="1063"/>
      <c r="K9976" s="1063"/>
      <c r="L9976" s="1063"/>
    </row>
    <row r="9977" spans="5:12" x14ac:dyDescent="0.2">
      <c r="E9977" s="1063"/>
      <c r="H9977" s="1066"/>
      <c r="I9977" s="1063"/>
      <c r="J9977" s="1063"/>
      <c r="K9977" s="1063"/>
      <c r="L9977" s="1063"/>
    </row>
    <row r="9978" spans="5:12" x14ac:dyDescent="0.2">
      <c r="E9978" s="1063"/>
      <c r="H9978" s="1066"/>
      <c r="I9978" s="1063"/>
      <c r="J9978" s="1063"/>
      <c r="K9978" s="1063"/>
      <c r="L9978" s="1063"/>
    </row>
    <row r="9979" spans="5:12" x14ac:dyDescent="0.2">
      <c r="E9979" s="1063"/>
      <c r="H9979" s="1066"/>
      <c r="I9979" s="1063"/>
      <c r="J9979" s="1063"/>
      <c r="K9979" s="1063"/>
      <c r="L9979" s="1063"/>
    </row>
    <row r="9980" spans="5:12" x14ac:dyDescent="0.2">
      <c r="E9980" s="1063"/>
      <c r="H9980" s="1066"/>
      <c r="I9980" s="1063"/>
      <c r="J9980" s="1063"/>
      <c r="K9980" s="1063"/>
      <c r="L9980" s="1063"/>
    </row>
    <row r="9981" spans="5:12" x14ac:dyDescent="0.2">
      <c r="E9981" s="1063"/>
      <c r="H9981" s="1066"/>
      <c r="I9981" s="1063"/>
      <c r="J9981" s="1063"/>
      <c r="K9981" s="1063"/>
      <c r="L9981" s="1063"/>
    </row>
    <row r="9982" spans="5:12" x14ac:dyDescent="0.2">
      <c r="E9982" s="1063"/>
      <c r="H9982" s="1066"/>
      <c r="I9982" s="1063"/>
      <c r="J9982" s="1063"/>
      <c r="K9982" s="1063"/>
      <c r="L9982" s="1063"/>
    </row>
    <row r="9983" spans="5:12" x14ac:dyDescent="0.2">
      <c r="E9983" s="1063"/>
      <c r="H9983" s="1066"/>
      <c r="I9983" s="1063"/>
      <c r="J9983" s="1063"/>
      <c r="K9983" s="1063"/>
      <c r="L9983" s="1063"/>
    </row>
    <row r="9984" spans="5:12" x14ac:dyDescent="0.2">
      <c r="E9984" s="1063"/>
      <c r="H9984" s="1066"/>
      <c r="I9984" s="1063"/>
      <c r="J9984" s="1063"/>
      <c r="K9984" s="1063"/>
      <c r="L9984" s="1063"/>
    </row>
    <row r="9985" spans="5:12" x14ac:dyDescent="0.2">
      <c r="E9985" s="1063"/>
      <c r="H9985" s="1066"/>
      <c r="I9985" s="1063"/>
      <c r="J9985" s="1063"/>
      <c r="K9985" s="1063"/>
      <c r="L9985" s="1063"/>
    </row>
    <row r="9986" spans="5:12" x14ac:dyDescent="0.2">
      <c r="E9986" s="1063"/>
      <c r="H9986" s="1066"/>
      <c r="I9986" s="1063"/>
      <c r="J9986" s="1063"/>
      <c r="K9986" s="1063"/>
      <c r="L9986" s="1063"/>
    </row>
    <row r="9987" spans="5:12" x14ac:dyDescent="0.2">
      <c r="E9987" s="1063"/>
      <c r="H9987" s="1066"/>
      <c r="I9987" s="1063"/>
      <c r="J9987" s="1063"/>
      <c r="K9987" s="1063"/>
      <c r="L9987" s="1063"/>
    </row>
    <row r="9988" spans="5:12" x14ac:dyDescent="0.2">
      <c r="E9988" s="1063"/>
      <c r="H9988" s="1066"/>
      <c r="I9988" s="1063"/>
      <c r="J9988" s="1063"/>
      <c r="K9988" s="1063"/>
      <c r="L9988" s="1063"/>
    </row>
    <row r="9989" spans="5:12" x14ac:dyDescent="0.2">
      <c r="E9989" s="1063"/>
      <c r="H9989" s="1066"/>
      <c r="I9989" s="1063"/>
      <c r="J9989" s="1063"/>
      <c r="K9989" s="1063"/>
      <c r="L9989" s="1063"/>
    </row>
    <row r="9990" spans="5:12" x14ac:dyDescent="0.2">
      <c r="E9990" s="1063"/>
      <c r="H9990" s="1066"/>
      <c r="I9990" s="1063"/>
      <c r="J9990" s="1063"/>
      <c r="K9990" s="1063"/>
      <c r="L9990" s="1063"/>
    </row>
    <row r="9991" spans="5:12" x14ac:dyDescent="0.2">
      <c r="E9991" s="1063"/>
      <c r="H9991" s="1066"/>
      <c r="I9991" s="1063"/>
      <c r="J9991" s="1063"/>
      <c r="K9991" s="1063"/>
      <c r="L9991" s="1063"/>
    </row>
    <row r="9992" spans="5:12" x14ac:dyDescent="0.2">
      <c r="E9992" s="1063"/>
      <c r="H9992" s="1066"/>
      <c r="I9992" s="1063"/>
      <c r="J9992" s="1063"/>
      <c r="K9992" s="1063"/>
      <c r="L9992" s="1063"/>
    </row>
    <row r="9993" spans="5:12" x14ac:dyDescent="0.2">
      <c r="E9993" s="1063"/>
      <c r="H9993" s="1066"/>
      <c r="I9993" s="1063"/>
      <c r="J9993" s="1063"/>
      <c r="K9993" s="1063"/>
      <c r="L9993" s="1063"/>
    </row>
    <row r="9994" spans="5:12" x14ac:dyDescent="0.2">
      <c r="E9994" s="1063"/>
      <c r="H9994" s="1066"/>
      <c r="I9994" s="1063"/>
      <c r="J9994" s="1063"/>
      <c r="K9994" s="1063"/>
      <c r="L9994" s="1063"/>
    </row>
    <row r="9995" spans="5:12" x14ac:dyDescent="0.2">
      <c r="E9995" s="1063"/>
      <c r="H9995" s="1066"/>
      <c r="I9995" s="1063"/>
      <c r="J9995" s="1063"/>
      <c r="K9995" s="1063"/>
      <c r="L9995" s="1063"/>
    </row>
    <row r="9996" spans="5:12" x14ac:dyDescent="0.2">
      <c r="E9996" s="1063"/>
      <c r="H9996" s="1066"/>
      <c r="I9996" s="1063"/>
      <c r="J9996" s="1063"/>
      <c r="K9996" s="1063"/>
      <c r="L9996" s="1063"/>
    </row>
    <row r="9997" spans="5:12" x14ac:dyDescent="0.2">
      <c r="E9997" s="1063"/>
      <c r="H9997" s="1066"/>
      <c r="I9997" s="1063"/>
      <c r="J9997" s="1063"/>
      <c r="K9997" s="1063"/>
      <c r="L9997" s="1063"/>
    </row>
    <row r="9998" spans="5:12" x14ac:dyDescent="0.2">
      <c r="E9998" s="1063"/>
      <c r="H9998" s="1066"/>
      <c r="I9998" s="1063"/>
      <c r="J9998" s="1063"/>
      <c r="K9998" s="1063"/>
      <c r="L9998" s="1063"/>
    </row>
    <row r="9999" spans="5:12" x14ac:dyDescent="0.2">
      <c r="E9999" s="1063"/>
      <c r="H9999" s="1066"/>
      <c r="I9999" s="1063"/>
      <c r="J9999" s="1063"/>
      <c r="K9999" s="1063"/>
      <c r="L9999" s="1063"/>
    </row>
    <row r="10000" spans="5:12" x14ac:dyDescent="0.2">
      <c r="E10000" s="1063"/>
      <c r="H10000" s="1066"/>
      <c r="I10000" s="1063"/>
      <c r="J10000" s="1063"/>
      <c r="K10000" s="1063"/>
      <c r="L10000" s="1063"/>
    </row>
    <row r="10001" spans="5:12" x14ac:dyDescent="0.2">
      <c r="E10001" s="1063"/>
      <c r="H10001" s="1066"/>
      <c r="I10001" s="1063"/>
      <c r="J10001" s="1063"/>
      <c r="K10001" s="1063"/>
      <c r="L10001" s="1063"/>
    </row>
    <row r="10002" spans="5:12" x14ac:dyDescent="0.2">
      <c r="E10002" s="1063"/>
      <c r="H10002" s="1066"/>
      <c r="I10002" s="1063"/>
      <c r="J10002" s="1063"/>
      <c r="K10002" s="1063"/>
      <c r="L10002" s="1063"/>
    </row>
    <row r="10003" spans="5:12" x14ac:dyDescent="0.2">
      <c r="E10003" s="1063"/>
      <c r="H10003" s="1066"/>
      <c r="I10003" s="1063"/>
      <c r="J10003" s="1063"/>
      <c r="K10003" s="1063"/>
      <c r="L10003" s="1063"/>
    </row>
    <row r="10004" spans="5:12" x14ac:dyDescent="0.2">
      <c r="E10004" s="1063"/>
      <c r="H10004" s="1066"/>
      <c r="I10004" s="1063"/>
      <c r="J10004" s="1063"/>
      <c r="K10004" s="1063"/>
      <c r="L10004" s="1063"/>
    </row>
    <row r="10005" spans="5:12" x14ac:dyDescent="0.2">
      <c r="E10005" s="1063"/>
      <c r="H10005" s="1066"/>
      <c r="I10005" s="1063"/>
      <c r="J10005" s="1063"/>
      <c r="K10005" s="1063"/>
      <c r="L10005" s="1063"/>
    </row>
    <row r="10006" spans="5:12" x14ac:dyDescent="0.2">
      <c r="E10006" s="1063"/>
      <c r="H10006" s="1066"/>
      <c r="I10006" s="1063"/>
      <c r="J10006" s="1063"/>
      <c r="K10006" s="1063"/>
      <c r="L10006" s="1063"/>
    </row>
    <row r="10007" spans="5:12" x14ac:dyDescent="0.2">
      <c r="E10007" s="1063"/>
      <c r="H10007" s="1066"/>
      <c r="I10007" s="1063"/>
      <c r="J10007" s="1063"/>
      <c r="K10007" s="1063"/>
      <c r="L10007" s="1063"/>
    </row>
    <row r="10008" spans="5:12" x14ac:dyDescent="0.2">
      <c r="E10008" s="1063"/>
      <c r="H10008" s="1066"/>
      <c r="I10008" s="1063"/>
      <c r="J10008" s="1063"/>
      <c r="K10008" s="1063"/>
      <c r="L10008" s="1063"/>
    </row>
    <row r="10009" spans="5:12" x14ac:dyDescent="0.2">
      <c r="E10009" s="1063"/>
      <c r="H10009" s="1066"/>
      <c r="I10009" s="1063"/>
      <c r="J10009" s="1063"/>
      <c r="K10009" s="1063"/>
      <c r="L10009" s="1063"/>
    </row>
    <row r="10010" spans="5:12" x14ac:dyDescent="0.2">
      <c r="E10010" s="1063"/>
      <c r="H10010" s="1066"/>
      <c r="I10010" s="1063"/>
      <c r="J10010" s="1063"/>
      <c r="K10010" s="1063"/>
      <c r="L10010" s="1063"/>
    </row>
    <row r="10011" spans="5:12" x14ac:dyDescent="0.2">
      <c r="E10011" s="1063"/>
      <c r="H10011" s="1066"/>
      <c r="I10011" s="1063"/>
      <c r="J10011" s="1063"/>
      <c r="K10011" s="1063"/>
      <c r="L10011" s="1063"/>
    </row>
    <row r="10012" spans="5:12" x14ac:dyDescent="0.2">
      <c r="E10012" s="1063"/>
      <c r="H10012" s="1066"/>
      <c r="I10012" s="1063"/>
      <c r="J10012" s="1063"/>
      <c r="K10012" s="1063"/>
      <c r="L10012" s="1063"/>
    </row>
    <row r="10013" spans="5:12" x14ac:dyDescent="0.2">
      <c r="E10013" s="1063"/>
      <c r="H10013" s="1066"/>
      <c r="I10013" s="1063"/>
      <c r="J10013" s="1063"/>
      <c r="K10013" s="1063"/>
      <c r="L10013" s="1063"/>
    </row>
    <row r="10014" spans="5:12" x14ac:dyDescent="0.2">
      <c r="E10014" s="1063"/>
      <c r="H10014" s="1066"/>
      <c r="I10014" s="1063"/>
      <c r="J10014" s="1063"/>
      <c r="K10014" s="1063"/>
      <c r="L10014" s="1063"/>
    </row>
    <row r="10015" spans="5:12" x14ac:dyDescent="0.2">
      <c r="E10015" s="1063"/>
      <c r="H10015" s="1066"/>
      <c r="I10015" s="1063"/>
      <c r="J10015" s="1063"/>
      <c r="K10015" s="1063"/>
      <c r="L10015" s="1063"/>
    </row>
    <row r="10016" spans="5:12" x14ac:dyDescent="0.2">
      <c r="E10016" s="1063"/>
      <c r="H10016" s="1066"/>
      <c r="I10016" s="1063"/>
      <c r="J10016" s="1063"/>
      <c r="K10016" s="1063"/>
      <c r="L10016" s="1063"/>
    </row>
    <row r="10017" spans="5:12" x14ac:dyDescent="0.2">
      <c r="E10017" s="1063"/>
      <c r="H10017" s="1066"/>
      <c r="I10017" s="1063"/>
      <c r="J10017" s="1063"/>
      <c r="K10017" s="1063"/>
      <c r="L10017" s="1063"/>
    </row>
    <row r="10018" spans="5:12" x14ac:dyDescent="0.2">
      <c r="E10018" s="1063"/>
      <c r="H10018" s="1066"/>
      <c r="I10018" s="1063"/>
      <c r="J10018" s="1063"/>
      <c r="K10018" s="1063"/>
      <c r="L10018" s="1063"/>
    </row>
    <row r="10019" spans="5:12" x14ac:dyDescent="0.2">
      <c r="E10019" s="1063"/>
      <c r="H10019" s="1066"/>
      <c r="I10019" s="1063"/>
      <c r="J10019" s="1063"/>
      <c r="K10019" s="1063"/>
      <c r="L10019" s="1063"/>
    </row>
    <row r="10020" spans="5:12" x14ac:dyDescent="0.2">
      <c r="E10020" s="1063"/>
      <c r="H10020" s="1066"/>
      <c r="I10020" s="1063"/>
      <c r="J10020" s="1063"/>
      <c r="K10020" s="1063"/>
      <c r="L10020" s="1063"/>
    </row>
    <row r="10021" spans="5:12" x14ac:dyDescent="0.2">
      <c r="E10021" s="1063"/>
      <c r="H10021" s="1066"/>
      <c r="I10021" s="1063"/>
      <c r="J10021" s="1063"/>
      <c r="K10021" s="1063"/>
      <c r="L10021" s="1063"/>
    </row>
    <row r="10022" spans="5:12" x14ac:dyDescent="0.2">
      <c r="E10022" s="1063"/>
      <c r="H10022" s="1066"/>
      <c r="I10022" s="1063"/>
      <c r="J10022" s="1063"/>
      <c r="K10022" s="1063"/>
      <c r="L10022" s="1063"/>
    </row>
    <row r="10023" spans="5:12" x14ac:dyDescent="0.2">
      <c r="E10023" s="1063"/>
      <c r="H10023" s="1066"/>
      <c r="I10023" s="1063"/>
      <c r="J10023" s="1063"/>
      <c r="K10023" s="1063"/>
      <c r="L10023" s="1063"/>
    </row>
    <row r="10024" spans="5:12" x14ac:dyDescent="0.2">
      <c r="E10024" s="1063"/>
      <c r="H10024" s="1066"/>
      <c r="I10024" s="1063"/>
      <c r="J10024" s="1063"/>
      <c r="K10024" s="1063"/>
      <c r="L10024" s="1063"/>
    </row>
    <row r="10025" spans="5:12" x14ac:dyDescent="0.2">
      <c r="E10025" s="1063"/>
      <c r="H10025" s="1066"/>
      <c r="I10025" s="1063"/>
      <c r="J10025" s="1063"/>
      <c r="K10025" s="1063"/>
      <c r="L10025" s="1063"/>
    </row>
    <row r="10026" spans="5:12" x14ac:dyDescent="0.2">
      <c r="E10026" s="1063"/>
      <c r="H10026" s="1066"/>
      <c r="I10026" s="1063"/>
      <c r="J10026" s="1063"/>
      <c r="K10026" s="1063"/>
      <c r="L10026" s="1063"/>
    </row>
    <row r="10027" spans="5:12" x14ac:dyDescent="0.2">
      <c r="E10027" s="1063"/>
      <c r="H10027" s="1066"/>
      <c r="I10027" s="1063"/>
      <c r="J10027" s="1063"/>
      <c r="K10027" s="1063"/>
      <c r="L10027" s="1063"/>
    </row>
    <row r="10028" spans="5:12" x14ac:dyDescent="0.2">
      <c r="E10028" s="1063"/>
      <c r="H10028" s="1066"/>
      <c r="I10028" s="1063"/>
      <c r="J10028" s="1063"/>
      <c r="K10028" s="1063"/>
      <c r="L10028" s="1063"/>
    </row>
    <row r="10029" spans="5:12" x14ac:dyDescent="0.2">
      <c r="E10029" s="1063"/>
      <c r="H10029" s="1066"/>
      <c r="I10029" s="1063"/>
      <c r="J10029" s="1063"/>
      <c r="K10029" s="1063"/>
      <c r="L10029" s="1063"/>
    </row>
    <row r="10030" spans="5:12" x14ac:dyDescent="0.2">
      <c r="E10030" s="1063"/>
      <c r="H10030" s="1066"/>
      <c r="I10030" s="1063"/>
      <c r="J10030" s="1063"/>
      <c r="K10030" s="1063"/>
      <c r="L10030" s="1063"/>
    </row>
    <row r="10031" spans="5:12" x14ac:dyDescent="0.2">
      <c r="E10031" s="1063"/>
      <c r="H10031" s="1066"/>
      <c r="I10031" s="1063"/>
      <c r="J10031" s="1063"/>
      <c r="K10031" s="1063"/>
      <c r="L10031" s="1063"/>
    </row>
    <row r="10032" spans="5:12" x14ac:dyDescent="0.2">
      <c r="E10032" s="1063"/>
      <c r="H10032" s="1066"/>
      <c r="I10032" s="1063"/>
      <c r="J10032" s="1063"/>
      <c r="K10032" s="1063"/>
      <c r="L10032" s="1063"/>
    </row>
    <row r="10033" spans="5:12" x14ac:dyDescent="0.2">
      <c r="E10033" s="1063"/>
      <c r="H10033" s="1066"/>
      <c r="I10033" s="1063"/>
      <c r="J10033" s="1063"/>
      <c r="K10033" s="1063"/>
      <c r="L10033" s="1063"/>
    </row>
    <row r="10034" spans="5:12" x14ac:dyDescent="0.2">
      <c r="E10034" s="1063"/>
      <c r="H10034" s="1066"/>
      <c r="I10034" s="1063"/>
      <c r="J10034" s="1063"/>
      <c r="K10034" s="1063"/>
      <c r="L10034" s="1063"/>
    </row>
    <row r="10035" spans="5:12" x14ac:dyDescent="0.2">
      <c r="E10035" s="1063"/>
      <c r="H10035" s="1066"/>
      <c r="I10035" s="1063"/>
      <c r="J10035" s="1063"/>
      <c r="K10035" s="1063"/>
      <c r="L10035" s="1063"/>
    </row>
    <row r="10036" spans="5:12" x14ac:dyDescent="0.2">
      <c r="E10036" s="1063"/>
      <c r="H10036" s="1066"/>
      <c r="I10036" s="1063"/>
      <c r="J10036" s="1063"/>
      <c r="K10036" s="1063"/>
      <c r="L10036" s="1063"/>
    </row>
    <row r="10037" spans="5:12" x14ac:dyDescent="0.2">
      <c r="E10037" s="1063"/>
      <c r="H10037" s="1066"/>
      <c r="I10037" s="1063"/>
      <c r="J10037" s="1063"/>
      <c r="K10037" s="1063"/>
      <c r="L10037" s="1063"/>
    </row>
    <row r="10038" spans="5:12" x14ac:dyDescent="0.2">
      <c r="E10038" s="1063"/>
      <c r="H10038" s="1066"/>
      <c r="I10038" s="1063"/>
      <c r="J10038" s="1063"/>
      <c r="K10038" s="1063"/>
      <c r="L10038" s="1063"/>
    </row>
    <row r="10039" spans="5:12" x14ac:dyDescent="0.2">
      <c r="E10039" s="1063"/>
      <c r="H10039" s="1066"/>
      <c r="I10039" s="1063"/>
      <c r="J10039" s="1063"/>
      <c r="K10039" s="1063"/>
      <c r="L10039" s="1063"/>
    </row>
    <row r="10040" spans="5:12" x14ac:dyDescent="0.2">
      <c r="E10040" s="1063"/>
      <c r="H10040" s="1066"/>
      <c r="I10040" s="1063"/>
      <c r="J10040" s="1063"/>
      <c r="K10040" s="1063"/>
      <c r="L10040" s="1063"/>
    </row>
    <row r="10041" spans="5:12" x14ac:dyDescent="0.2">
      <c r="E10041" s="1063"/>
      <c r="H10041" s="1066"/>
      <c r="I10041" s="1063"/>
      <c r="J10041" s="1063"/>
      <c r="K10041" s="1063"/>
      <c r="L10041" s="1063"/>
    </row>
    <row r="10042" spans="5:12" x14ac:dyDescent="0.2">
      <c r="E10042" s="1063"/>
      <c r="H10042" s="1066"/>
      <c r="I10042" s="1063"/>
      <c r="J10042" s="1063"/>
      <c r="K10042" s="1063"/>
      <c r="L10042" s="1063"/>
    </row>
    <row r="10043" spans="5:12" x14ac:dyDescent="0.2">
      <c r="E10043" s="1063"/>
      <c r="H10043" s="1066"/>
      <c r="I10043" s="1063"/>
      <c r="J10043" s="1063"/>
      <c r="K10043" s="1063"/>
      <c r="L10043" s="1063"/>
    </row>
    <row r="10044" spans="5:12" x14ac:dyDescent="0.2">
      <c r="E10044" s="1063"/>
      <c r="H10044" s="1066"/>
      <c r="I10044" s="1063"/>
      <c r="J10044" s="1063"/>
      <c r="K10044" s="1063"/>
      <c r="L10044" s="1063"/>
    </row>
    <row r="10045" spans="5:12" x14ac:dyDescent="0.2">
      <c r="E10045" s="1063"/>
      <c r="H10045" s="1066"/>
      <c r="I10045" s="1063"/>
      <c r="J10045" s="1063"/>
      <c r="K10045" s="1063"/>
      <c r="L10045" s="1063"/>
    </row>
    <row r="10046" spans="5:12" x14ac:dyDescent="0.2">
      <c r="E10046" s="1063"/>
      <c r="H10046" s="1066"/>
      <c r="I10046" s="1063"/>
      <c r="J10046" s="1063"/>
      <c r="K10046" s="1063"/>
      <c r="L10046" s="1063"/>
    </row>
    <row r="10047" spans="5:12" x14ac:dyDescent="0.2">
      <c r="E10047" s="1063"/>
      <c r="H10047" s="1066"/>
      <c r="I10047" s="1063"/>
      <c r="J10047" s="1063"/>
      <c r="K10047" s="1063"/>
      <c r="L10047" s="1063"/>
    </row>
    <row r="10048" spans="5:12" x14ac:dyDescent="0.2">
      <c r="E10048" s="1063"/>
      <c r="H10048" s="1066"/>
      <c r="I10048" s="1063"/>
      <c r="J10048" s="1063"/>
      <c r="K10048" s="1063"/>
      <c r="L10048" s="1063"/>
    </row>
    <row r="10049" spans="5:12" x14ac:dyDescent="0.2">
      <c r="E10049" s="1063"/>
      <c r="H10049" s="1066"/>
      <c r="I10049" s="1063"/>
      <c r="J10049" s="1063"/>
      <c r="K10049" s="1063"/>
      <c r="L10049" s="1063"/>
    </row>
    <row r="10050" spans="5:12" x14ac:dyDescent="0.2">
      <c r="E10050" s="1063"/>
      <c r="H10050" s="1066"/>
      <c r="I10050" s="1063"/>
      <c r="J10050" s="1063"/>
      <c r="K10050" s="1063"/>
      <c r="L10050" s="1063"/>
    </row>
    <row r="10051" spans="5:12" x14ac:dyDescent="0.2">
      <c r="E10051" s="1063"/>
      <c r="H10051" s="1066"/>
      <c r="I10051" s="1063"/>
      <c r="J10051" s="1063"/>
      <c r="K10051" s="1063"/>
      <c r="L10051" s="1063"/>
    </row>
    <row r="10052" spans="5:12" x14ac:dyDescent="0.2">
      <c r="E10052" s="1063"/>
      <c r="H10052" s="1066"/>
      <c r="I10052" s="1063"/>
      <c r="J10052" s="1063"/>
      <c r="K10052" s="1063"/>
      <c r="L10052" s="1063"/>
    </row>
    <row r="10053" spans="5:12" x14ac:dyDescent="0.2">
      <c r="E10053" s="1063"/>
      <c r="H10053" s="1066"/>
      <c r="I10053" s="1063"/>
      <c r="J10053" s="1063"/>
      <c r="K10053" s="1063"/>
      <c r="L10053" s="1063"/>
    </row>
    <row r="10054" spans="5:12" x14ac:dyDescent="0.2">
      <c r="E10054" s="1063"/>
      <c r="H10054" s="1066"/>
      <c r="I10054" s="1063"/>
      <c r="J10054" s="1063"/>
      <c r="K10054" s="1063"/>
      <c r="L10054" s="1063"/>
    </row>
    <row r="10055" spans="5:12" x14ac:dyDescent="0.2">
      <c r="E10055" s="1063"/>
      <c r="H10055" s="1066"/>
      <c r="I10055" s="1063"/>
      <c r="J10055" s="1063"/>
      <c r="K10055" s="1063"/>
      <c r="L10055" s="1063"/>
    </row>
    <row r="10056" spans="5:12" x14ac:dyDescent="0.2">
      <c r="E10056" s="1063"/>
      <c r="H10056" s="1066"/>
      <c r="I10056" s="1063"/>
      <c r="J10056" s="1063"/>
      <c r="K10056" s="1063"/>
      <c r="L10056" s="1063"/>
    </row>
    <row r="10057" spans="5:12" x14ac:dyDescent="0.2">
      <c r="E10057" s="1063"/>
      <c r="H10057" s="1066"/>
      <c r="I10057" s="1063"/>
      <c r="J10057" s="1063"/>
      <c r="K10057" s="1063"/>
      <c r="L10057" s="1063"/>
    </row>
    <row r="10058" spans="5:12" x14ac:dyDescent="0.2">
      <c r="E10058" s="1063"/>
      <c r="H10058" s="1066"/>
      <c r="I10058" s="1063"/>
      <c r="J10058" s="1063"/>
      <c r="K10058" s="1063"/>
      <c r="L10058" s="1063"/>
    </row>
    <row r="10059" spans="5:12" x14ac:dyDescent="0.2">
      <c r="E10059" s="1063"/>
      <c r="H10059" s="1066"/>
      <c r="I10059" s="1063"/>
      <c r="J10059" s="1063"/>
      <c r="K10059" s="1063"/>
      <c r="L10059" s="1063"/>
    </row>
    <row r="10060" spans="5:12" x14ac:dyDescent="0.2">
      <c r="E10060" s="1063"/>
      <c r="H10060" s="1066"/>
      <c r="I10060" s="1063"/>
      <c r="J10060" s="1063"/>
      <c r="K10060" s="1063"/>
      <c r="L10060" s="1063"/>
    </row>
    <row r="10061" spans="5:12" x14ac:dyDescent="0.2">
      <c r="E10061" s="1063"/>
      <c r="H10061" s="1066"/>
      <c r="I10061" s="1063"/>
      <c r="J10061" s="1063"/>
      <c r="K10061" s="1063"/>
      <c r="L10061" s="1063"/>
    </row>
    <row r="10062" spans="5:12" x14ac:dyDescent="0.2">
      <c r="E10062" s="1063"/>
      <c r="H10062" s="1066"/>
      <c r="I10062" s="1063"/>
      <c r="J10062" s="1063"/>
      <c r="K10062" s="1063"/>
      <c r="L10062" s="1063"/>
    </row>
    <row r="10063" spans="5:12" x14ac:dyDescent="0.2">
      <c r="E10063" s="1063"/>
      <c r="H10063" s="1066"/>
      <c r="I10063" s="1063"/>
      <c r="J10063" s="1063"/>
      <c r="K10063" s="1063"/>
      <c r="L10063" s="1063"/>
    </row>
    <row r="10064" spans="5:12" x14ac:dyDescent="0.2">
      <c r="E10064" s="1063"/>
      <c r="H10064" s="1066"/>
      <c r="I10064" s="1063"/>
      <c r="J10064" s="1063"/>
      <c r="K10064" s="1063"/>
      <c r="L10064" s="1063"/>
    </row>
    <row r="10065" spans="5:12" x14ac:dyDescent="0.2">
      <c r="E10065" s="1063"/>
      <c r="H10065" s="1066"/>
      <c r="I10065" s="1063"/>
      <c r="J10065" s="1063"/>
      <c r="K10065" s="1063"/>
      <c r="L10065" s="1063"/>
    </row>
    <row r="10066" spans="5:12" x14ac:dyDescent="0.2">
      <c r="E10066" s="1063"/>
      <c r="H10066" s="1066"/>
      <c r="I10066" s="1063"/>
      <c r="J10066" s="1063"/>
      <c r="K10066" s="1063"/>
      <c r="L10066" s="1063"/>
    </row>
    <row r="10067" spans="5:12" x14ac:dyDescent="0.2">
      <c r="E10067" s="1063"/>
      <c r="H10067" s="1066"/>
      <c r="I10067" s="1063"/>
      <c r="J10067" s="1063"/>
      <c r="K10067" s="1063"/>
      <c r="L10067" s="1063"/>
    </row>
    <row r="10068" spans="5:12" x14ac:dyDescent="0.2">
      <c r="E10068" s="1063"/>
      <c r="H10068" s="1066"/>
      <c r="I10068" s="1063"/>
      <c r="J10068" s="1063"/>
      <c r="K10068" s="1063"/>
      <c r="L10068" s="1063"/>
    </row>
    <row r="10069" spans="5:12" x14ac:dyDescent="0.2">
      <c r="E10069" s="1063"/>
      <c r="H10069" s="1066"/>
      <c r="I10069" s="1063"/>
      <c r="J10069" s="1063"/>
      <c r="K10069" s="1063"/>
      <c r="L10069" s="1063"/>
    </row>
    <row r="10070" spans="5:12" x14ac:dyDescent="0.2">
      <c r="E10070" s="1063"/>
      <c r="H10070" s="1066"/>
      <c r="I10070" s="1063"/>
      <c r="J10070" s="1063"/>
      <c r="K10070" s="1063"/>
      <c r="L10070" s="1063"/>
    </row>
    <row r="10071" spans="5:12" x14ac:dyDescent="0.2">
      <c r="E10071" s="1063"/>
      <c r="H10071" s="1066"/>
      <c r="I10071" s="1063"/>
      <c r="J10071" s="1063"/>
      <c r="K10071" s="1063"/>
      <c r="L10071" s="1063"/>
    </row>
    <row r="10072" spans="5:12" x14ac:dyDescent="0.2">
      <c r="E10072" s="1063"/>
      <c r="H10072" s="1066"/>
      <c r="I10072" s="1063"/>
      <c r="J10072" s="1063"/>
      <c r="K10072" s="1063"/>
      <c r="L10072" s="1063"/>
    </row>
    <row r="10073" spans="5:12" x14ac:dyDescent="0.2">
      <c r="E10073" s="1063"/>
      <c r="H10073" s="1066"/>
      <c r="I10073" s="1063"/>
      <c r="J10073" s="1063"/>
      <c r="K10073" s="1063"/>
      <c r="L10073" s="1063"/>
    </row>
    <row r="10074" spans="5:12" x14ac:dyDescent="0.2">
      <c r="E10074" s="1063"/>
      <c r="H10074" s="1066"/>
      <c r="I10074" s="1063"/>
      <c r="J10074" s="1063"/>
      <c r="K10074" s="1063"/>
      <c r="L10074" s="1063"/>
    </row>
    <row r="10075" spans="5:12" x14ac:dyDescent="0.2">
      <c r="E10075" s="1063"/>
      <c r="H10075" s="1066"/>
      <c r="I10075" s="1063"/>
      <c r="J10075" s="1063"/>
      <c r="K10075" s="1063"/>
      <c r="L10075" s="1063"/>
    </row>
    <row r="10076" spans="5:12" x14ac:dyDescent="0.2">
      <c r="E10076" s="1063"/>
      <c r="H10076" s="1066"/>
      <c r="I10076" s="1063"/>
      <c r="J10076" s="1063"/>
      <c r="K10076" s="1063"/>
      <c r="L10076" s="1063"/>
    </row>
    <row r="10077" spans="5:12" x14ac:dyDescent="0.2">
      <c r="E10077" s="1063"/>
      <c r="H10077" s="1066"/>
      <c r="I10077" s="1063"/>
      <c r="J10077" s="1063"/>
      <c r="K10077" s="1063"/>
      <c r="L10077" s="1063"/>
    </row>
    <row r="10078" spans="5:12" x14ac:dyDescent="0.2">
      <c r="E10078" s="1063"/>
      <c r="H10078" s="1066"/>
      <c r="I10078" s="1063"/>
      <c r="J10078" s="1063"/>
      <c r="K10078" s="1063"/>
      <c r="L10078" s="1063"/>
    </row>
    <row r="10079" spans="5:12" x14ac:dyDescent="0.2">
      <c r="E10079" s="1063"/>
      <c r="H10079" s="1066"/>
      <c r="I10079" s="1063"/>
      <c r="J10079" s="1063"/>
      <c r="K10079" s="1063"/>
      <c r="L10079" s="1063"/>
    </row>
    <row r="10080" spans="5:12" x14ac:dyDescent="0.2">
      <c r="E10080" s="1063"/>
      <c r="H10080" s="1066"/>
      <c r="I10080" s="1063"/>
      <c r="J10080" s="1063"/>
      <c r="K10080" s="1063"/>
      <c r="L10080" s="1063"/>
    </row>
    <row r="10081" spans="5:12" x14ac:dyDescent="0.2">
      <c r="E10081" s="1063"/>
      <c r="H10081" s="1066"/>
      <c r="I10081" s="1063"/>
      <c r="J10081" s="1063"/>
      <c r="K10081" s="1063"/>
      <c r="L10081" s="1063"/>
    </row>
    <row r="10082" spans="5:12" x14ac:dyDescent="0.2">
      <c r="E10082" s="1063"/>
      <c r="H10082" s="1066"/>
      <c r="I10082" s="1063"/>
      <c r="J10082" s="1063"/>
      <c r="K10082" s="1063"/>
      <c r="L10082" s="1063"/>
    </row>
    <row r="10083" spans="5:12" x14ac:dyDescent="0.2">
      <c r="E10083" s="1063"/>
      <c r="H10083" s="1066"/>
      <c r="I10083" s="1063"/>
      <c r="J10083" s="1063"/>
      <c r="K10083" s="1063"/>
      <c r="L10083" s="1063"/>
    </row>
    <row r="10084" spans="5:12" x14ac:dyDescent="0.2">
      <c r="E10084" s="1063"/>
      <c r="H10084" s="1066"/>
      <c r="I10084" s="1063"/>
      <c r="J10084" s="1063"/>
      <c r="K10084" s="1063"/>
      <c r="L10084" s="1063"/>
    </row>
    <row r="10085" spans="5:12" x14ac:dyDescent="0.2">
      <c r="E10085" s="1063"/>
      <c r="H10085" s="1066"/>
      <c r="I10085" s="1063"/>
      <c r="J10085" s="1063"/>
      <c r="K10085" s="1063"/>
      <c r="L10085" s="1063"/>
    </row>
    <row r="10086" spans="5:12" x14ac:dyDescent="0.2">
      <c r="E10086" s="1063"/>
      <c r="H10086" s="1066"/>
      <c r="I10086" s="1063"/>
      <c r="J10086" s="1063"/>
      <c r="K10086" s="1063"/>
      <c r="L10086" s="1063"/>
    </row>
    <row r="10087" spans="5:12" x14ac:dyDescent="0.2">
      <c r="E10087" s="1063"/>
      <c r="H10087" s="1066"/>
      <c r="I10087" s="1063"/>
      <c r="J10087" s="1063"/>
      <c r="K10087" s="1063"/>
      <c r="L10087" s="1063"/>
    </row>
    <row r="10088" spans="5:12" x14ac:dyDescent="0.2">
      <c r="E10088" s="1063"/>
      <c r="H10088" s="1066"/>
      <c r="I10088" s="1063"/>
      <c r="J10088" s="1063"/>
      <c r="K10088" s="1063"/>
      <c r="L10088" s="1063"/>
    </row>
    <row r="10089" spans="5:12" x14ac:dyDescent="0.2">
      <c r="E10089" s="1063"/>
      <c r="H10089" s="1066"/>
      <c r="I10089" s="1063"/>
      <c r="J10089" s="1063"/>
      <c r="K10089" s="1063"/>
      <c r="L10089" s="1063"/>
    </row>
    <row r="10090" spans="5:12" x14ac:dyDescent="0.2">
      <c r="E10090" s="1063"/>
      <c r="H10090" s="1066"/>
      <c r="I10090" s="1063"/>
      <c r="J10090" s="1063"/>
      <c r="K10090" s="1063"/>
      <c r="L10090" s="1063"/>
    </row>
    <row r="10091" spans="5:12" x14ac:dyDescent="0.2">
      <c r="E10091" s="1063"/>
      <c r="H10091" s="1066"/>
      <c r="I10091" s="1063"/>
      <c r="J10091" s="1063"/>
      <c r="K10091" s="1063"/>
      <c r="L10091" s="1063"/>
    </row>
    <row r="10092" spans="5:12" x14ac:dyDescent="0.2">
      <c r="E10092" s="1063"/>
      <c r="H10092" s="1066"/>
      <c r="I10092" s="1063"/>
      <c r="J10092" s="1063"/>
      <c r="K10092" s="1063"/>
      <c r="L10092" s="1063"/>
    </row>
    <row r="10093" spans="5:12" x14ac:dyDescent="0.2">
      <c r="E10093" s="1063"/>
      <c r="H10093" s="1066"/>
      <c r="I10093" s="1063"/>
      <c r="J10093" s="1063"/>
      <c r="K10093" s="1063"/>
      <c r="L10093" s="1063"/>
    </row>
    <row r="10094" spans="5:12" x14ac:dyDescent="0.2">
      <c r="E10094" s="1063"/>
      <c r="H10094" s="1066"/>
      <c r="I10094" s="1063"/>
      <c r="J10094" s="1063"/>
      <c r="K10094" s="1063"/>
      <c r="L10094" s="1063"/>
    </row>
    <row r="10095" spans="5:12" x14ac:dyDescent="0.2">
      <c r="E10095" s="1063"/>
      <c r="H10095" s="1066"/>
      <c r="I10095" s="1063"/>
      <c r="J10095" s="1063"/>
      <c r="K10095" s="1063"/>
      <c r="L10095" s="1063"/>
    </row>
    <row r="10096" spans="5:12" x14ac:dyDescent="0.2">
      <c r="E10096" s="1063"/>
      <c r="H10096" s="1066"/>
      <c r="I10096" s="1063"/>
      <c r="J10096" s="1063"/>
      <c r="K10096" s="1063"/>
      <c r="L10096" s="1063"/>
    </row>
    <row r="10097" spans="5:12" x14ac:dyDescent="0.2">
      <c r="E10097" s="1063"/>
      <c r="H10097" s="1066"/>
      <c r="I10097" s="1063"/>
      <c r="J10097" s="1063"/>
      <c r="K10097" s="1063"/>
      <c r="L10097" s="1063"/>
    </row>
    <row r="10098" spans="5:12" x14ac:dyDescent="0.2">
      <c r="E10098" s="1063"/>
      <c r="H10098" s="1066"/>
      <c r="I10098" s="1063"/>
      <c r="J10098" s="1063"/>
      <c r="K10098" s="1063"/>
      <c r="L10098" s="1063"/>
    </row>
    <row r="10099" spans="5:12" x14ac:dyDescent="0.2">
      <c r="E10099" s="1063"/>
      <c r="H10099" s="1066"/>
      <c r="I10099" s="1063"/>
      <c r="J10099" s="1063"/>
      <c r="K10099" s="1063"/>
      <c r="L10099" s="1063"/>
    </row>
    <row r="10100" spans="5:12" x14ac:dyDescent="0.2">
      <c r="E10100" s="1063"/>
      <c r="H10100" s="1066"/>
      <c r="I10100" s="1063"/>
      <c r="J10100" s="1063"/>
      <c r="K10100" s="1063"/>
      <c r="L10100" s="1063"/>
    </row>
    <row r="10101" spans="5:12" x14ac:dyDescent="0.2">
      <c r="E10101" s="1063"/>
      <c r="H10101" s="1066"/>
      <c r="I10101" s="1063"/>
      <c r="J10101" s="1063"/>
      <c r="K10101" s="1063"/>
      <c r="L10101" s="1063"/>
    </row>
    <row r="10102" spans="5:12" x14ac:dyDescent="0.2">
      <c r="E10102" s="1063"/>
      <c r="H10102" s="1066"/>
      <c r="I10102" s="1063"/>
      <c r="J10102" s="1063"/>
      <c r="K10102" s="1063"/>
      <c r="L10102" s="1063"/>
    </row>
    <row r="10103" spans="5:12" x14ac:dyDescent="0.2">
      <c r="E10103" s="1063"/>
      <c r="H10103" s="1066"/>
      <c r="I10103" s="1063"/>
      <c r="J10103" s="1063"/>
      <c r="K10103" s="1063"/>
      <c r="L10103" s="1063"/>
    </row>
    <row r="10104" spans="5:12" x14ac:dyDescent="0.2">
      <c r="E10104" s="1063"/>
      <c r="H10104" s="1066"/>
      <c r="I10104" s="1063"/>
      <c r="J10104" s="1063"/>
      <c r="K10104" s="1063"/>
      <c r="L10104" s="1063"/>
    </row>
    <row r="10105" spans="5:12" x14ac:dyDescent="0.2">
      <c r="E10105" s="1063"/>
      <c r="H10105" s="1066"/>
      <c r="I10105" s="1063"/>
      <c r="J10105" s="1063"/>
      <c r="K10105" s="1063"/>
      <c r="L10105" s="1063"/>
    </row>
    <row r="10106" spans="5:12" x14ac:dyDescent="0.2">
      <c r="E10106" s="1063"/>
      <c r="H10106" s="1066"/>
      <c r="I10106" s="1063"/>
      <c r="J10106" s="1063"/>
      <c r="K10106" s="1063"/>
      <c r="L10106" s="1063"/>
    </row>
    <row r="10107" spans="5:12" x14ac:dyDescent="0.2">
      <c r="E10107" s="1063"/>
      <c r="H10107" s="1066"/>
      <c r="I10107" s="1063"/>
      <c r="J10107" s="1063"/>
      <c r="K10107" s="1063"/>
      <c r="L10107" s="1063"/>
    </row>
    <row r="10108" spans="5:12" x14ac:dyDescent="0.2">
      <c r="E10108" s="1063"/>
      <c r="H10108" s="1066"/>
      <c r="I10108" s="1063"/>
      <c r="J10108" s="1063"/>
      <c r="K10108" s="1063"/>
      <c r="L10108" s="1063"/>
    </row>
    <row r="10109" spans="5:12" x14ac:dyDescent="0.2">
      <c r="E10109" s="1063"/>
      <c r="H10109" s="1066"/>
      <c r="I10109" s="1063"/>
      <c r="J10109" s="1063"/>
      <c r="K10109" s="1063"/>
      <c r="L10109" s="1063"/>
    </row>
    <row r="10110" spans="5:12" x14ac:dyDescent="0.2">
      <c r="E10110" s="1063"/>
      <c r="H10110" s="1066"/>
      <c r="I10110" s="1063"/>
      <c r="J10110" s="1063"/>
      <c r="K10110" s="1063"/>
      <c r="L10110" s="1063"/>
    </row>
    <row r="10111" spans="5:12" x14ac:dyDescent="0.2">
      <c r="E10111" s="1063"/>
      <c r="H10111" s="1066"/>
      <c r="I10111" s="1063"/>
      <c r="J10111" s="1063"/>
      <c r="K10111" s="1063"/>
      <c r="L10111" s="1063"/>
    </row>
    <row r="10112" spans="5:12" x14ac:dyDescent="0.2">
      <c r="E10112" s="1063"/>
      <c r="H10112" s="1066"/>
      <c r="I10112" s="1063"/>
      <c r="J10112" s="1063"/>
      <c r="K10112" s="1063"/>
      <c r="L10112" s="1063"/>
    </row>
    <row r="10113" spans="5:12" x14ac:dyDescent="0.2">
      <c r="E10113" s="1063"/>
      <c r="H10113" s="1066"/>
      <c r="I10113" s="1063"/>
      <c r="J10113" s="1063"/>
      <c r="K10113" s="1063"/>
      <c r="L10113" s="1063"/>
    </row>
    <row r="10114" spans="5:12" x14ac:dyDescent="0.2">
      <c r="E10114" s="1063"/>
      <c r="H10114" s="1066"/>
      <c r="I10114" s="1063"/>
      <c r="J10114" s="1063"/>
      <c r="K10114" s="1063"/>
      <c r="L10114" s="1063"/>
    </row>
    <row r="10115" spans="5:12" x14ac:dyDescent="0.2">
      <c r="E10115" s="1063"/>
      <c r="H10115" s="1066"/>
      <c r="I10115" s="1063"/>
      <c r="J10115" s="1063"/>
      <c r="K10115" s="1063"/>
      <c r="L10115" s="1063"/>
    </row>
    <row r="10116" spans="5:12" x14ac:dyDescent="0.2">
      <c r="E10116" s="1063"/>
      <c r="H10116" s="1066"/>
      <c r="I10116" s="1063"/>
      <c r="J10116" s="1063"/>
      <c r="K10116" s="1063"/>
      <c r="L10116" s="1063"/>
    </row>
    <row r="10117" spans="5:12" x14ac:dyDescent="0.2">
      <c r="E10117" s="1063"/>
      <c r="H10117" s="1066"/>
      <c r="I10117" s="1063"/>
      <c r="J10117" s="1063"/>
      <c r="K10117" s="1063"/>
      <c r="L10117" s="1063"/>
    </row>
    <row r="10118" spans="5:12" x14ac:dyDescent="0.2">
      <c r="E10118" s="1063"/>
      <c r="H10118" s="1066"/>
      <c r="I10118" s="1063"/>
      <c r="J10118" s="1063"/>
      <c r="K10118" s="1063"/>
      <c r="L10118" s="1063"/>
    </row>
    <row r="10119" spans="5:12" x14ac:dyDescent="0.2">
      <c r="E10119" s="1063"/>
      <c r="H10119" s="1066"/>
      <c r="I10119" s="1063"/>
      <c r="J10119" s="1063"/>
      <c r="K10119" s="1063"/>
      <c r="L10119" s="1063"/>
    </row>
    <row r="10120" spans="5:12" x14ac:dyDescent="0.2">
      <c r="E10120" s="1063"/>
      <c r="H10120" s="1066"/>
      <c r="I10120" s="1063"/>
      <c r="J10120" s="1063"/>
      <c r="K10120" s="1063"/>
      <c r="L10120" s="1063"/>
    </row>
    <row r="10121" spans="5:12" x14ac:dyDescent="0.2">
      <c r="E10121" s="1063"/>
      <c r="H10121" s="1066"/>
      <c r="I10121" s="1063"/>
      <c r="J10121" s="1063"/>
      <c r="K10121" s="1063"/>
      <c r="L10121" s="1063"/>
    </row>
    <row r="10122" spans="5:12" x14ac:dyDescent="0.2">
      <c r="E10122" s="1063"/>
      <c r="H10122" s="1066"/>
      <c r="I10122" s="1063"/>
      <c r="J10122" s="1063"/>
      <c r="K10122" s="1063"/>
      <c r="L10122" s="1063"/>
    </row>
    <row r="10123" spans="5:12" x14ac:dyDescent="0.2">
      <c r="E10123" s="1063"/>
      <c r="H10123" s="1066"/>
      <c r="I10123" s="1063"/>
      <c r="J10123" s="1063"/>
      <c r="K10123" s="1063"/>
      <c r="L10123" s="1063"/>
    </row>
    <row r="10124" spans="5:12" x14ac:dyDescent="0.2">
      <c r="E10124" s="1063"/>
      <c r="H10124" s="1066"/>
      <c r="I10124" s="1063"/>
      <c r="J10124" s="1063"/>
      <c r="K10124" s="1063"/>
      <c r="L10124" s="1063"/>
    </row>
    <row r="10125" spans="5:12" x14ac:dyDescent="0.2">
      <c r="E10125" s="1063"/>
      <c r="H10125" s="1066"/>
      <c r="I10125" s="1063"/>
      <c r="J10125" s="1063"/>
      <c r="K10125" s="1063"/>
      <c r="L10125" s="1063"/>
    </row>
    <row r="10126" spans="5:12" x14ac:dyDescent="0.2">
      <c r="E10126" s="1063"/>
      <c r="H10126" s="1066"/>
      <c r="I10126" s="1063"/>
      <c r="J10126" s="1063"/>
      <c r="K10126" s="1063"/>
      <c r="L10126" s="1063"/>
    </row>
    <row r="10127" spans="5:12" x14ac:dyDescent="0.2">
      <c r="E10127" s="1063"/>
      <c r="H10127" s="1066"/>
      <c r="I10127" s="1063"/>
      <c r="J10127" s="1063"/>
      <c r="K10127" s="1063"/>
      <c r="L10127" s="1063"/>
    </row>
    <row r="10128" spans="5:12" x14ac:dyDescent="0.2">
      <c r="E10128" s="1063"/>
      <c r="H10128" s="1066"/>
      <c r="I10128" s="1063"/>
      <c r="J10128" s="1063"/>
      <c r="K10128" s="1063"/>
      <c r="L10128" s="1063"/>
    </row>
    <row r="10129" spans="5:12" x14ac:dyDescent="0.2">
      <c r="E10129" s="1063"/>
      <c r="H10129" s="1066"/>
      <c r="I10129" s="1063"/>
      <c r="J10129" s="1063"/>
      <c r="K10129" s="1063"/>
      <c r="L10129" s="1063"/>
    </row>
    <row r="10130" spans="5:12" x14ac:dyDescent="0.2">
      <c r="E10130" s="1063"/>
      <c r="H10130" s="1066"/>
      <c r="I10130" s="1063"/>
      <c r="J10130" s="1063"/>
      <c r="K10130" s="1063"/>
      <c r="L10130" s="1063"/>
    </row>
    <row r="10131" spans="5:12" x14ac:dyDescent="0.2">
      <c r="E10131" s="1063"/>
      <c r="H10131" s="1066"/>
      <c r="I10131" s="1063"/>
      <c r="J10131" s="1063"/>
      <c r="K10131" s="1063"/>
      <c r="L10131" s="1063"/>
    </row>
    <row r="10132" spans="5:12" x14ac:dyDescent="0.2">
      <c r="E10132" s="1063"/>
      <c r="H10132" s="1066"/>
      <c r="I10132" s="1063"/>
      <c r="J10132" s="1063"/>
      <c r="K10132" s="1063"/>
      <c r="L10132" s="1063"/>
    </row>
    <row r="10133" spans="5:12" x14ac:dyDescent="0.2">
      <c r="E10133" s="1063"/>
      <c r="H10133" s="1066"/>
      <c r="I10133" s="1063"/>
      <c r="J10133" s="1063"/>
      <c r="K10133" s="1063"/>
      <c r="L10133" s="1063"/>
    </row>
    <row r="10134" spans="5:12" x14ac:dyDescent="0.2">
      <c r="E10134" s="1063"/>
      <c r="H10134" s="1066"/>
      <c r="I10134" s="1063"/>
      <c r="J10134" s="1063"/>
      <c r="K10134" s="1063"/>
      <c r="L10134" s="1063"/>
    </row>
    <row r="10135" spans="5:12" x14ac:dyDescent="0.2">
      <c r="E10135" s="1063"/>
      <c r="H10135" s="1066"/>
      <c r="I10135" s="1063"/>
      <c r="J10135" s="1063"/>
      <c r="K10135" s="1063"/>
      <c r="L10135" s="1063"/>
    </row>
    <row r="10136" spans="5:12" x14ac:dyDescent="0.2">
      <c r="E10136" s="1063"/>
      <c r="H10136" s="1066"/>
      <c r="I10136" s="1063"/>
      <c r="J10136" s="1063"/>
      <c r="K10136" s="1063"/>
      <c r="L10136" s="1063"/>
    </row>
    <row r="10137" spans="5:12" x14ac:dyDescent="0.2">
      <c r="E10137" s="1063"/>
      <c r="H10137" s="1066"/>
      <c r="I10137" s="1063"/>
      <c r="J10137" s="1063"/>
      <c r="K10137" s="1063"/>
      <c r="L10137" s="1063"/>
    </row>
    <row r="10138" spans="5:12" x14ac:dyDescent="0.2">
      <c r="E10138" s="1063"/>
      <c r="H10138" s="1066"/>
      <c r="I10138" s="1063"/>
      <c r="J10138" s="1063"/>
      <c r="K10138" s="1063"/>
      <c r="L10138" s="1063"/>
    </row>
    <row r="10139" spans="5:12" x14ac:dyDescent="0.2">
      <c r="E10139" s="1063"/>
      <c r="H10139" s="1066"/>
      <c r="I10139" s="1063"/>
      <c r="J10139" s="1063"/>
      <c r="K10139" s="1063"/>
      <c r="L10139" s="1063"/>
    </row>
    <row r="10140" spans="5:12" x14ac:dyDescent="0.2">
      <c r="E10140" s="1063"/>
      <c r="H10140" s="1066"/>
      <c r="I10140" s="1063"/>
      <c r="J10140" s="1063"/>
      <c r="K10140" s="1063"/>
      <c r="L10140" s="1063"/>
    </row>
    <row r="10141" spans="5:12" x14ac:dyDescent="0.2">
      <c r="E10141" s="1063"/>
      <c r="H10141" s="1066"/>
      <c r="I10141" s="1063"/>
      <c r="J10141" s="1063"/>
      <c r="K10141" s="1063"/>
      <c r="L10141" s="1063"/>
    </row>
    <row r="10142" spans="5:12" x14ac:dyDescent="0.2">
      <c r="E10142" s="1063"/>
      <c r="H10142" s="1066"/>
      <c r="I10142" s="1063"/>
      <c r="J10142" s="1063"/>
      <c r="K10142" s="1063"/>
      <c r="L10142" s="1063"/>
    </row>
    <row r="10143" spans="5:12" x14ac:dyDescent="0.2">
      <c r="E10143" s="1063"/>
      <c r="H10143" s="1066"/>
      <c r="I10143" s="1063"/>
      <c r="J10143" s="1063"/>
      <c r="K10143" s="1063"/>
      <c r="L10143" s="1063"/>
    </row>
    <row r="10144" spans="5:12" x14ac:dyDescent="0.2">
      <c r="E10144" s="1063"/>
      <c r="H10144" s="1066"/>
      <c r="I10144" s="1063"/>
      <c r="J10144" s="1063"/>
      <c r="K10144" s="1063"/>
      <c r="L10144" s="1063"/>
    </row>
    <row r="10145" spans="5:12" x14ac:dyDescent="0.2">
      <c r="E10145" s="1063"/>
      <c r="H10145" s="1066"/>
      <c r="I10145" s="1063"/>
      <c r="J10145" s="1063"/>
      <c r="K10145" s="1063"/>
      <c r="L10145" s="1063"/>
    </row>
    <row r="10146" spans="5:12" x14ac:dyDescent="0.2">
      <c r="E10146" s="1063"/>
      <c r="H10146" s="1066"/>
      <c r="I10146" s="1063"/>
      <c r="J10146" s="1063"/>
      <c r="K10146" s="1063"/>
      <c r="L10146" s="1063"/>
    </row>
    <row r="10147" spans="5:12" x14ac:dyDescent="0.2">
      <c r="E10147" s="1063"/>
      <c r="H10147" s="1066"/>
      <c r="I10147" s="1063"/>
      <c r="J10147" s="1063"/>
      <c r="K10147" s="1063"/>
      <c r="L10147" s="1063"/>
    </row>
    <row r="10148" spans="5:12" x14ac:dyDescent="0.2">
      <c r="E10148" s="1063"/>
      <c r="H10148" s="1066"/>
      <c r="I10148" s="1063"/>
      <c r="J10148" s="1063"/>
      <c r="K10148" s="1063"/>
      <c r="L10148" s="1063"/>
    </row>
    <row r="10149" spans="5:12" x14ac:dyDescent="0.2">
      <c r="E10149" s="1063"/>
      <c r="H10149" s="1066"/>
      <c r="I10149" s="1063"/>
      <c r="J10149" s="1063"/>
      <c r="K10149" s="1063"/>
      <c r="L10149" s="1063"/>
    </row>
    <row r="10150" spans="5:12" x14ac:dyDescent="0.2">
      <c r="E10150" s="1063"/>
      <c r="H10150" s="1066"/>
      <c r="I10150" s="1063"/>
      <c r="J10150" s="1063"/>
      <c r="K10150" s="1063"/>
      <c r="L10150" s="1063"/>
    </row>
    <row r="10151" spans="5:12" x14ac:dyDescent="0.2">
      <c r="E10151" s="1063"/>
      <c r="H10151" s="1066"/>
      <c r="I10151" s="1063"/>
      <c r="J10151" s="1063"/>
      <c r="K10151" s="1063"/>
      <c r="L10151" s="1063"/>
    </row>
    <row r="10152" spans="5:12" x14ac:dyDescent="0.2">
      <c r="E10152" s="1063"/>
      <c r="H10152" s="1066"/>
      <c r="I10152" s="1063"/>
      <c r="J10152" s="1063"/>
      <c r="K10152" s="1063"/>
      <c r="L10152" s="1063"/>
    </row>
    <row r="10153" spans="5:12" x14ac:dyDescent="0.2">
      <c r="E10153" s="1063"/>
      <c r="H10153" s="1066"/>
      <c r="I10153" s="1063"/>
      <c r="J10153" s="1063"/>
      <c r="K10153" s="1063"/>
      <c r="L10153" s="1063"/>
    </row>
    <row r="10154" spans="5:12" x14ac:dyDescent="0.2">
      <c r="E10154" s="1063"/>
      <c r="H10154" s="1066"/>
      <c r="I10154" s="1063"/>
      <c r="J10154" s="1063"/>
      <c r="K10154" s="1063"/>
      <c r="L10154" s="1063"/>
    </row>
    <row r="10155" spans="5:12" x14ac:dyDescent="0.2">
      <c r="E10155" s="1063"/>
      <c r="H10155" s="1066"/>
      <c r="I10155" s="1063"/>
      <c r="J10155" s="1063"/>
      <c r="K10155" s="1063"/>
      <c r="L10155" s="1063"/>
    </row>
    <row r="10156" spans="5:12" x14ac:dyDescent="0.2">
      <c r="E10156" s="1063"/>
      <c r="H10156" s="1066"/>
      <c r="I10156" s="1063"/>
      <c r="J10156" s="1063"/>
      <c r="K10156" s="1063"/>
      <c r="L10156" s="1063"/>
    </row>
    <row r="10157" spans="5:12" x14ac:dyDescent="0.2">
      <c r="E10157" s="1063"/>
      <c r="H10157" s="1066"/>
      <c r="I10157" s="1063"/>
      <c r="J10157" s="1063"/>
      <c r="K10157" s="1063"/>
      <c r="L10157" s="1063"/>
    </row>
    <row r="10158" spans="5:12" x14ac:dyDescent="0.2">
      <c r="E10158" s="1063"/>
      <c r="H10158" s="1066"/>
      <c r="I10158" s="1063"/>
      <c r="J10158" s="1063"/>
      <c r="K10158" s="1063"/>
      <c r="L10158" s="1063"/>
    </row>
    <row r="10159" spans="5:12" x14ac:dyDescent="0.2">
      <c r="E10159" s="1063"/>
      <c r="H10159" s="1066"/>
      <c r="I10159" s="1063"/>
      <c r="J10159" s="1063"/>
      <c r="K10159" s="1063"/>
      <c r="L10159" s="1063"/>
    </row>
    <row r="10160" spans="5:12" x14ac:dyDescent="0.2">
      <c r="E10160" s="1063"/>
      <c r="H10160" s="1066"/>
      <c r="I10160" s="1063"/>
      <c r="J10160" s="1063"/>
      <c r="K10160" s="1063"/>
      <c r="L10160" s="1063"/>
    </row>
    <row r="10161" spans="5:12" x14ac:dyDescent="0.2">
      <c r="E10161" s="1063"/>
      <c r="H10161" s="1066"/>
      <c r="I10161" s="1063"/>
      <c r="J10161" s="1063"/>
      <c r="K10161" s="1063"/>
      <c r="L10161" s="1063"/>
    </row>
    <row r="10162" spans="5:12" x14ac:dyDescent="0.2">
      <c r="E10162" s="1063"/>
      <c r="H10162" s="1066"/>
      <c r="I10162" s="1063"/>
      <c r="J10162" s="1063"/>
      <c r="K10162" s="1063"/>
      <c r="L10162" s="1063"/>
    </row>
    <row r="10163" spans="5:12" x14ac:dyDescent="0.2">
      <c r="E10163" s="1063"/>
      <c r="H10163" s="1066"/>
      <c r="I10163" s="1063"/>
      <c r="J10163" s="1063"/>
      <c r="K10163" s="1063"/>
      <c r="L10163" s="1063"/>
    </row>
    <row r="10164" spans="5:12" x14ac:dyDescent="0.2">
      <c r="E10164" s="1063"/>
      <c r="H10164" s="1066"/>
      <c r="I10164" s="1063"/>
      <c r="J10164" s="1063"/>
      <c r="K10164" s="1063"/>
      <c r="L10164" s="1063"/>
    </row>
    <row r="10165" spans="5:12" x14ac:dyDescent="0.2">
      <c r="E10165" s="1063"/>
      <c r="H10165" s="1066"/>
      <c r="I10165" s="1063"/>
      <c r="J10165" s="1063"/>
      <c r="K10165" s="1063"/>
      <c r="L10165" s="1063"/>
    </row>
    <row r="10166" spans="5:12" x14ac:dyDescent="0.2">
      <c r="E10166" s="1063"/>
      <c r="H10166" s="1066"/>
      <c r="I10166" s="1063"/>
      <c r="J10166" s="1063"/>
      <c r="K10166" s="1063"/>
      <c r="L10166" s="1063"/>
    </row>
    <row r="10167" spans="5:12" x14ac:dyDescent="0.2">
      <c r="E10167" s="1063"/>
      <c r="H10167" s="1066"/>
      <c r="I10167" s="1063"/>
      <c r="J10167" s="1063"/>
      <c r="K10167" s="1063"/>
      <c r="L10167" s="1063"/>
    </row>
    <row r="10168" spans="5:12" x14ac:dyDescent="0.2">
      <c r="E10168" s="1063"/>
      <c r="H10168" s="1066"/>
      <c r="I10168" s="1063"/>
      <c r="J10168" s="1063"/>
      <c r="K10168" s="1063"/>
      <c r="L10168" s="1063"/>
    </row>
    <row r="10169" spans="5:12" x14ac:dyDescent="0.2">
      <c r="E10169" s="1063"/>
      <c r="H10169" s="1066"/>
      <c r="I10169" s="1063"/>
      <c r="J10169" s="1063"/>
      <c r="K10169" s="1063"/>
      <c r="L10169" s="1063"/>
    </row>
    <row r="10170" spans="5:12" x14ac:dyDescent="0.2">
      <c r="E10170" s="1063"/>
      <c r="H10170" s="1066"/>
      <c r="I10170" s="1063"/>
      <c r="J10170" s="1063"/>
      <c r="K10170" s="1063"/>
      <c r="L10170" s="1063"/>
    </row>
    <row r="10171" spans="5:12" x14ac:dyDescent="0.2">
      <c r="E10171" s="1063"/>
      <c r="H10171" s="1066"/>
      <c r="I10171" s="1063"/>
      <c r="J10171" s="1063"/>
      <c r="K10171" s="1063"/>
      <c r="L10171" s="1063"/>
    </row>
    <row r="10172" spans="5:12" x14ac:dyDescent="0.2">
      <c r="E10172" s="1063"/>
      <c r="H10172" s="1066"/>
      <c r="I10172" s="1063"/>
      <c r="J10172" s="1063"/>
      <c r="K10172" s="1063"/>
      <c r="L10172" s="1063"/>
    </row>
    <row r="10173" spans="5:12" x14ac:dyDescent="0.2">
      <c r="E10173" s="1063"/>
      <c r="H10173" s="1066"/>
      <c r="I10173" s="1063"/>
      <c r="J10173" s="1063"/>
      <c r="K10173" s="1063"/>
      <c r="L10173" s="1063"/>
    </row>
    <row r="10174" spans="5:12" x14ac:dyDescent="0.2">
      <c r="E10174" s="1063"/>
      <c r="H10174" s="1066"/>
      <c r="I10174" s="1063"/>
      <c r="J10174" s="1063"/>
      <c r="K10174" s="1063"/>
      <c r="L10174" s="1063"/>
    </row>
    <row r="10175" spans="5:12" x14ac:dyDescent="0.2">
      <c r="E10175" s="1063"/>
      <c r="H10175" s="1066"/>
      <c r="I10175" s="1063"/>
      <c r="J10175" s="1063"/>
      <c r="K10175" s="1063"/>
      <c r="L10175" s="1063"/>
    </row>
    <row r="10176" spans="5:12" x14ac:dyDescent="0.2">
      <c r="E10176" s="1063"/>
      <c r="H10176" s="1066"/>
      <c r="I10176" s="1063"/>
      <c r="J10176" s="1063"/>
      <c r="K10176" s="1063"/>
      <c r="L10176" s="1063"/>
    </row>
    <row r="10177" spans="5:12" x14ac:dyDescent="0.2">
      <c r="E10177" s="1063"/>
      <c r="H10177" s="1066"/>
      <c r="I10177" s="1063"/>
      <c r="J10177" s="1063"/>
      <c r="K10177" s="1063"/>
      <c r="L10177" s="1063"/>
    </row>
    <row r="10178" spans="5:12" x14ac:dyDescent="0.2">
      <c r="E10178" s="1063"/>
      <c r="H10178" s="1066"/>
      <c r="I10178" s="1063"/>
      <c r="J10178" s="1063"/>
      <c r="K10178" s="1063"/>
      <c r="L10178" s="1063"/>
    </row>
    <row r="10179" spans="5:12" x14ac:dyDescent="0.2">
      <c r="E10179" s="1063"/>
      <c r="H10179" s="1066"/>
      <c r="I10179" s="1063"/>
      <c r="J10179" s="1063"/>
      <c r="K10179" s="1063"/>
      <c r="L10179" s="1063"/>
    </row>
    <row r="10180" spans="5:12" x14ac:dyDescent="0.2">
      <c r="E10180" s="1063"/>
      <c r="H10180" s="1066"/>
      <c r="I10180" s="1063"/>
      <c r="J10180" s="1063"/>
      <c r="K10180" s="1063"/>
      <c r="L10180" s="1063"/>
    </row>
    <row r="10181" spans="5:12" x14ac:dyDescent="0.2">
      <c r="E10181" s="1063"/>
      <c r="H10181" s="1066"/>
      <c r="I10181" s="1063"/>
      <c r="J10181" s="1063"/>
      <c r="K10181" s="1063"/>
      <c r="L10181" s="1063"/>
    </row>
    <row r="10182" spans="5:12" x14ac:dyDescent="0.2">
      <c r="E10182" s="1063"/>
      <c r="H10182" s="1066"/>
      <c r="I10182" s="1063"/>
      <c r="J10182" s="1063"/>
      <c r="K10182" s="1063"/>
      <c r="L10182" s="1063"/>
    </row>
    <row r="10183" spans="5:12" x14ac:dyDescent="0.2">
      <c r="E10183" s="1063"/>
      <c r="H10183" s="1066"/>
      <c r="I10183" s="1063"/>
      <c r="J10183" s="1063"/>
      <c r="K10183" s="1063"/>
      <c r="L10183" s="1063"/>
    </row>
    <row r="10184" spans="5:12" x14ac:dyDescent="0.2">
      <c r="E10184" s="1063"/>
      <c r="H10184" s="1066"/>
      <c r="I10184" s="1063"/>
      <c r="J10184" s="1063"/>
      <c r="K10184" s="1063"/>
      <c r="L10184" s="1063"/>
    </row>
    <row r="10185" spans="5:12" x14ac:dyDescent="0.2">
      <c r="E10185" s="1063"/>
      <c r="H10185" s="1066"/>
      <c r="I10185" s="1063"/>
      <c r="J10185" s="1063"/>
      <c r="K10185" s="1063"/>
      <c r="L10185" s="1063"/>
    </row>
    <row r="10186" spans="5:12" x14ac:dyDescent="0.2">
      <c r="E10186" s="1063"/>
      <c r="H10186" s="1066"/>
      <c r="I10186" s="1063"/>
      <c r="J10186" s="1063"/>
      <c r="K10186" s="1063"/>
      <c r="L10186" s="1063"/>
    </row>
    <row r="10187" spans="5:12" x14ac:dyDescent="0.2">
      <c r="E10187" s="1063"/>
      <c r="H10187" s="1066"/>
      <c r="I10187" s="1063"/>
      <c r="J10187" s="1063"/>
      <c r="K10187" s="1063"/>
      <c r="L10187" s="1063"/>
    </row>
    <row r="10188" spans="5:12" x14ac:dyDescent="0.2">
      <c r="E10188" s="1063"/>
      <c r="H10188" s="1066"/>
      <c r="I10188" s="1063"/>
      <c r="J10188" s="1063"/>
      <c r="K10188" s="1063"/>
      <c r="L10188" s="1063"/>
    </row>
    <row r="10189" spans="5:12" x14ac:dyDescent="0.2">
      <c r="E10189" s="1063"/>
      <c r="H10189" s="1066"/>
      <c r="I10189" s="1063"/>
      <c r="J10189" s="1063"/>
      <c r="K10189" s="1063"/>
      <c r="L10189" s="1063"/>
    </row>
    <row r="10190" spans="5:12" x14ac:dyDescent="0.2">
      <c r="E10190" s="1063"/>
      <c r="H10190" s="1066"/>
      <c r="I10190" s="1063"/>
      <c r="J10190" s="1063"/>
      <c r="K10190" s="1063"/>
      <c r="L10190" s="1063"/>
    </row>
    <row r="10191" spans="5:12" x14ac:dyDescent="0.2">
      <c r="E10191" s="1063"/>
      <c r="H10191" s="1066"/>
      <c r="I10191" s="1063"/>
      <c r="J10191" s="1063"/>
      <c r="K10191" s="1063"/>
      <c r="L10191" s="1063"/>
    </row>
    <row r="10192" spans="5:12" x14ac:dyDescent="0.2">
      <c r="E10192" s="1063"/>
      <c r="H10192" s="1066"/>
      <c r="I10192" s="1063"/>
      <c r="J10192" s="1063"/>
      <c r="K10192" s="1063"/>
      <c r="L10192" s="1063"/>
    </row>
    <row r="10193" spans="5:12" x14ac:dyDescent="0.2">
      <c r="E10193" s="1063"/>
      <c r="H10193" s="1066"/>
      <c r="I10193" s="1063"/>
      <c r="J10193" s="1063"/>
      <c r="K10193" s="1063"/>
      <c r="L10193" s="1063"/>
    </row>
    <row r="10194" spans="5:12" x14ac:dyDescent="0.2">
      <c r="E10194" s="1063"/>
      <c r="H10194" s="1066"/>
      <c r="I10194" s="1063"/>
      <c r="J10194" s="1063"/>
      <c r="K10194" s="1063"/>
      <c r="L10194" s="1063"/>
    </row>
    <row r="10195" spans="5:12" x14ac:dyDescent="0.2">
      <c r="E10195" s="1063"/>
      <c r="H10195" s="1066"/>
      <c r="I10195" s="1063"/>
      <c r="J10195" s="1063"/>
      <c r="K10195" s="1063"/>
      <c r="L10195" s="1063"/>
    </row>
    <row r="10196" spans="5:12" x14ac:dyDescent="0.2">
      <c r="E10196" s="1063"/>
      <c r="H10196" s="1066"/>
      <c r="I10196" s="1063"/>
      <c r="J10196" s="1063"/>
      <c r="K10196" s="1063"/>
      <c r="L10196" s="1063"/>
    </row>
    <row r="10197" spans="5:12" x14ac:dyDescent="0.2">
      <c r="E10197" s="1063"/>
      <c r="H10197" s="1066"/>
      <c r="I10197" s="1063"/>
      <c r="J10197" s="1063"/>
      <c r="K10197" s="1063"/>
      <c r="L10197" s="1063"/>
    </row>
    <row r="10198" spans="5:12" x14ac:dyDescent="0.2">
      <c r="E10198" s="1063"/>
      <c r="H10198" s="1066"/>
      <c r="I10198" s="1063"/>
      <c r="J10198" s="1063"/>
      <c r="K10198" s="1063"/>
      <c r="L10198" s="1063"/>
    </row>
    <row r="10199" spans="5:12" x14ac:dyDescent="0.2">
      <c r="E10199" s="1063"/>
      <c r="H10199" s="1066"/>
      <c r="I10199" s="1063"/>
      <c r="J10199" s="1063"/>
      <c r="K10199" s="1063"/>
      <c r="L10199" s="1063"/>
    </row>
    <row r="10200" spans="5:12" x14ac:dyDescent="0.2">
      <c r="E10200" s="1063"/>
      <c r="H10200" s="1066"/>
      <c r="I10200" s="1063"/>
      <c r="J10200" s="1063"/>
      <c r="K10200" s="1063"/>
      <c r="L10200" s="1063"/>
    </row>
    <row r="10201" spans="5:12" x14ac:dyDescent="0.2">
      <c r="E10201" s="1063"/>
      <c r="H10201" s="1066"/>
      <c r="I10201" s="1063"/>
      <c r="J10201" s="1063"/>
      <c r="K10201" s="1063"/>
      <c r="L10201" s="1063"/>
    </row>
    <row r="10202" spans="5:12" x14ac:dyDescent="0.2">
      <c r="E10202" s="1063"/>
      <c r="H10202" s="1066"/>
      <c r="I10202" s="1063"/>
      <c r="J10202" s="1063"/>
      <c r="K10202" s="1063"/>
      <c r="L10202" s="1063"/>
    </row>
    <row r="10203" spans="5:12" x14ac:dyDescent="0.2">
      <c r="E10203" s="1063"/>
      <c r="H10203" s="1066"/>
      <c r="I10203" s="1063"/>
      <c r="J10203" s="1063"/>
      <c r="K10203" s="1063"/>
      <c r="L10203" s="1063"/>
    </row>
    <row r="10204" spans="5:12" x14ac:dyDescent="0.2">
      <c r="E10204" s="1063"/>
      <c r="H10204" s="1066"/>
      <c r="I10204" s="1063"/>
      <c r="J10204" s="1063"/>
      <c r="K10204" s="1063"/>
      <c r="L10204" s="1063"/>
    </row>
    <row r="10205" spans="5:12" x14ac:dyDescent="0.2">
      <c r="E10205" s="1063"/>
      <c r="H10205" s="1066"/>
      <c r="I10205" s="1063"/>
      <c r="J10205" s="1063"/>
      <c r="K10205" s="1063"/>
      <c r="L10205" s="1063"/>
    </row>
    <row r="10206" spans="5:12" x14ac:dyDescent="0.2">
      <c r="E10206" s="1063"/>
      <c r="H10206" s="1066"/>
      <c r="I10206" s="1063"/>
      <c r="J10206" s="1063"/>
      <c r="K10206" s="1063"/>
      <c r="L10206" s="1063"/>
    </row>
    <row r="10207" spans="5:12" x14ac:dyDescent="0.2">
      <c r="E10207" s="1063"/>
      <c r="H10207" s="1066"/>
      <c r="I10207" s="1063"/>
      <c r="J10207" s="1063"/>
      <c r="K10207" s="1063"/>
      <c r="L10207" s="1063"/>
    </row>
    <row r="10208" spans="5:12" x14ac:dyDescent="0.2">
      <c r="E10208" s="1063"/>
      <c r="H10208" s="1066"/>
      <c r="I10208" s="1063"/>
      <c r="J10208" s="1063"/>
      <c r="K10208" s="1063"/>
      <c r="L10208" s="1063"/>
    </row>
    <row r="10209" spans="5:12" x14ac:dyDescent="0.2">
      <c r="E10209" s="1063"/>
      <c r="H10209" s="1066"/>
      <c r="I10209" s="1063"/>
      <c r="J10209" s="1063"/>
      <c r="K10209" s="1063"/>
      <c r="L10209" s="1063"/>
    </row>
    <row r="10210" spans="5:12" x14ac:dyDescent="0.2">
      <c r="E10210" s="1063"/>
      <c r="H10210" s="1066"/>
      <c r="I10210" s="1063"/>
      <c r="J10210" s="1063"/>
      <c r="K10210" s="1063"/>
      <c r="L10210" s="1063"/>
    </row>
    <row r="10211" spans="5:12" x14ac:dyDescent="0.2">
      <c r="E10211" s="1063"/>
      <c r="H10211" s="1066"/>
      <c r="I10211" s="1063"/>
      <c r="J10211" s="1063"/>
      <c r="K10211" s="1063"/>
      <c r="L10211" s="1063"/>
    </row>
    <row r="10212" spans="5:12" x14ac:dyDescent="0.2">
      <c r="E10212" s="1063"/>
      <c r="H10212" s="1066"/>
      <c r="I10212" s="1063"/>
      <c r="J10212" s="1063"/>
      <c r="K10212" s="1063"/>
      <c r="L10212" s="1063"/>
    </row>
    <row r="10213" spans="5:12" x14ac:dyDescent="0.2">
      <c r="E10213" s="1063"/>
      <c r="H10213" s="1066"/>
      <c r="I10213" s="1063"/>
      <c r="J10213" s="1063"/>
      <c r="K10213" s="1063"/>
      <c r="L10213" s="1063"/>
    </row>
    <row r="10214" spans="5:12" x14ac:dyDescent="0.2">
      <c r="E10214" s="1063"/>
      <c r="H10214" s="1066"/>
      <c r="I10214" s="1063"/>
      <c r="J10214" s="1063"/>
      <c r="K10214" s="1063"/>
      <c r="L10214" s="1063"/>
    </row>
    <row r="10215" spans="5:12" x14ac:dyDescent="0.2">
      <c r="E10215" s="1063"/>
      <c r="H10215" s="1066"/>
      <c r="I10215" s="1063"/>
      <c r="J10215" s="1063"/>
      <c r="K10215" s="1063"/>
      <c r="L10215" s="1063"/>
    </row>
    <row r="10216" spans="5:12" x14ac:dyDescent="0.2">
      <c r="E10216" s="1063"/>
      <c r="H10216" s="1066"/>
      <c r="I10216" s="1063"/>
      <c r="J10216" s="1063"/>
      <c r="K10216" s="1063"/>
      <c r="L10216" s="1063"/>
    </row>
    <row r="10217" spans="5:12" x14ac:dyDescent="0.2">
      <c r="E10217" s="1063"/>
      <c r="H10217" s="1066"/>
      <c r="I10217" s="1063"/>
      <c r="J10217" s="1063"/>
      <c r="K10217" s="1063"/>
      <c r="L10217" s="1063"/>
    </row>
    <row r="10218" spans="5:12" x14ac:dyDescent="0.2">
      <c r="E10218" s="1063"/>
      <c r="H10218" s="1066"/>
      <c r="I10218" s="1063"/>
      <c r="J10218" s="1063"/>
      <c r="K10218" s="1063"/>
      <c r="L10218" s="1063"/>
    </row>
    <row r="10219" spans="5:12" x14ac:dyDescent="0.2">
      <c r="E10219" s="1063"/>
      <c r="H10219" s="1066"/>
      <c r="I10219" s="1063"/>
      <c r="J10219" s="1063"/>
      <c r="K10219" s="1063"/>
      <c r="L10219" s="1063"/>
    </row>
    <row r="10220" spans="5:12" x14ac:dyDescent="0.2">
      <c r="E10220" s="1063"/>
      <c r="H10220" s="1066"/>
      <c r="I10220" s="1063"/>
      <c r="J10220" s="1063"/>
      <c r="K10220" s="1063"/>
      <c r="L10220" s="1063"/>
    </row>
    <row r="10221" spans="5:12" x14ac:dyDescent="0.2">
      <c r="E10221" s="1063"/>
      <c r="H10221" s="1066"/>
      <c r="I10221" s="1063"/>
      <c r="J10221" s="1063"/>
      <c r="K10221" s="1063"/>
      <c r="L10221" s="1063"/>
    </row>
    <row r="10222" spans="5:12" x14ac:dyDescent="0.2">
      <c r="E10222" s="1063"/>
      <c r="H10222" s="1066"/>
      <c r="I10222" s="1063"/>
      <c r="J10222" s="1063"/>
      <c r="K10222" s="1063"/>
      <c r="L10222" s="1063"/>
    </row>
    <row r="10223" spans="5:12" x14ac:dyDescent="0.2">
      <c r="E10223" s="1063"/>
      <c r="H10223" s="1066"/>
      <c r="I10223" s="1063"/>
      <c r="J10223" s="1063"/>
      <c r="K10223" s="1063"/>
      <c r="L10223" s="1063"/>
    </row>
    <row r="10224" spans="5:12" x14ac:dyDescent="0.2">
      <c r="E10224" s="1063"/>
      <c r="H10224" s="1066"/>
      <c r="I10224" s="1063"/>
      <c r="J10224" s="1063"/>
      <c r="K10224" s="1063"/>
      <c r="L10224" s="1063"/>
    </row>
    <row r="10225" spans="5:12" x14ac:dyDescent="0.2">
      <c r="E10225" s="1063"/>
      <c r="H10225" s="1066"/>
      <c r="I10225" s="1063"/>
      <c r="J10225" s="1063"/>
      <c r="K10225" s="1063"/>
      <c r="L10225" s="1063"/>
    </row>
    <row r="10226" spans="5:12" x14ac:dyDescent="0.2">
      <c r="E10226" s="1063"/>
      <c r="H10226" s="1066"/>
      <c r="I10226" s="1063"/>
      <c r="J10226" s="1063"/>
      <c r="K10226" s="1063"/>
      <c r="L10226" s="1063"/>
    </row>
    <row r="10227" spans="5:12" x14ac:dyDescent="0.2">
      <c r="E10227" s="1063"/>
      <c r="H10227" s="1066"/>
      <c r="I10227" s="1063"/>
      <c r="J10227" s="1063"/>
      <c r="K10227" s="1063"/>
      <c r="L10227" s="1063"/>
    </row>
    <row r="10228" spans="5:12" x14ac:dyDescent="0.2">
      <c r="E10228" s="1063"/>
      <c r="H10228" s="1066"/>
      <c r="I10228" s="1063"/>
      <c r="J10228" s="1063"/>
      <c r="K10228" s="1063"/>
      <c r="L10228" s="1063"/>
    </row>
    <row r="10229" spans="5:12" x14ac:dyDescent="0.2">
      <c r="E10229" s="1063"/>
      <c r="H10229" s="1066"/>
      <c r="I10229" s="1063"/>
      <c r="J10229" s="1063"/>
      <c r="K10229" s="1063"/>
      <c r="L10229" s="1063"/>
    </row>
    <row r="10230" spans="5:12" x14ac:dyDescent="0.2">
      <c r="E10230" s="1063"/>
      <c r="H10230" s="1066"/>
      <c r="I10230" s="1063"/>
      <c r="J10230" s="1063"/>
      <c r="K10230" s="1063"/>
      <c r="L10230" s="1063"/>
    </row>
    <row r="10231" spans="5:12" x14ac:dyDescent="0.2">
      <c r="E10231" s="1063"/>
      <c r="H10231" s="1066"/>
      <c r="I10231" s="1063"/>
      <c r="J10231" s="1063"/>
      <c r="K10231" s="1063"/>
      <c r="L10231" s="1063"/>
    </row>
    <row r="10232" spans="5:12" x14ac:dyDescent="0.2">
      <c r="E10232" s="1063"/>
      <c r="H10232" s="1066"/>
      <c r="I10232" s="1063"/>
      <c r="J10232" s="1063"/>
      <c r="K10232" s="1063"/>
      <c r="L10232" s="1063"/>
    </row>
    <row r="10233" spans="5:12" x14ac:dyDescent="0.2">
      <c r="E10233" s="1063"/>
      <c r="H10233" s="1066"/>
      <c r="I10233" s="1063"/>
      <c r="J10233" s="1063"/>
      <c r="K10233" s="1063"/>
      <c r="L10233" s="1063"/>
    </row>
    <row r="10234" spans="5:12" x14ac:dyDescent="0.2">
      <c r="E10234" s="1063"/>
      <c r="H10234" s="1066"/>
      <c r="I10234" s="1063"/>
      <c r="J10234" s="1063"/>
      <c r="K10234" s="1063"/>
      <c r="L10234" s="1063"/>
    </row>
    <row r="10235" spans="5:12" x14ac:dyDescent="0.2">
      <c r="E10235" s="1063"/>
      <c r="H10235" s="1066"/>
      <c r="I10235" s="1063"/>
      <c r="J10235" s="1063"/>
      <c r="K10235" s="1063"/>
      <c r="L10235" s="1063"/>
    </row>
    <row r="10236" spans="5:12" x14ac:dyDescent="0.2">
      <c r="E10236" s="1063"/>
      <c r="H10236" s="1066"/>
      <c r="I10236" s="1063"/>
      <c r="J10236" s="1063"/>
      <c r="K10236" s="1063"/>
      <c r="L10236" s="1063"/>
    </row>
    <row r="10237" spans="5:12" x14ac:dyDescent="0.2">
      <c r="E10237" s="1063"/>
      <c r="H10237" s="1066"/>
      <c r="I10237" s="1063"/>
      <c r="J10237" s="1063"/>
      <c r="K10237" s="1063"/>
      <c r="L10237" s="1063"/>
    </row>
    <row r="10238" spans="5:12" x14ac:dyDescent="0.2">
      <c r="E10238" s="1063"/>
      <c r="H10238" s="1066"/>
      <c r="I10238" s="1063"/>
      <c r="J10238" s="1063"/>
      <c r="K10238" s="1063"/>
      <c r="L10238" s="1063"/>
    </row>
    <row r="10239" spans="5:12" x14ac:dyDescent="0.2">
      <c r="E10239" s="1063"/>
      <c r="H10239" s="1066"/>
      <c r="I10239" s="1063"/>
      <c r="J10239" s="1063"/>
      <c r="K10239" s="1063"/>
      <c r="L10239" s="1063"/>
    </row>
    <row r="10240" spans="5:12" x14ac:dyDescent="0.2">
      <c r="E10240" s="1063"/>
      <c r="H10240" s="1066"/>
      <c r="I10240" s="1063"/>
      <c r="J10240" s="1063"/>
      <c r="K10240" s="1063"/>
      <c r="L10240" s="1063"/>
    </row>
    <row r="10241" spans="5:12" x14ac:dyDescent="0.2">
      <c r="E10241" s="1063"/>
      <c r="H10241" s="1066"/>
      <c r="I10241" s="1063"/>
      <c r="J10241" s="1063"/>
      <c r="K10241" s="1063"/>
      <c r="L10241" s="1063"/>
    </row>
    <row r="10242" spans="5:12" x14ac:dyDescent="0.2">
      <c r="E10242" s="1063"/>
      <c r="H10242" s="1066"/>
      <c r="I10242" s="1063"/>
      <c r="J10242" s="1063"/>
      <c r="K10242" s="1063"/>
      <c r="L10242" s="1063"/>
    </row>
    <row r="10243" spans="5:12" x14ac:dyDescent="0.2">
      <c r="E10243" s="1063"/>
      <c r="H10243" s="1066"/>
      <c r="I10243" s="1063"/>
      <c r="J10243" s="1063"/>
      <c r="K10243" s="1063"/>
      <c r="L10243" s="1063"/>
    </row>
    <row r="10244" spans="5:12" x14ac:dyDescent="0.2">
      <c r="E10244" s="1063"/>
      <c r="H10244" s="1066"/>
      <c r="I10244" s="1063"/>
      <c r="J10244" s="1063"/>
      <c r="K10244" s="1063"/>
      <c r="L10244" s="1063"/>
    </row>
    <row r="10245" spans="5:12" x14ac:dyDescent="0.2">
      <c r="E10245" s="1063"/>
      <c r="H10245" s="1066"/>
      <c r="I10245" s="1063"/>
      <c r="J10245" s="1063"/>
      <c r="K10245" s="1063"/>
      <c r="L10245" s="1063"/>
    </row>
    <row r="10246" spans="5:12" x14ac:dyDescent="0.2">
      <c r="E10246" s="1063"/>
      <c r="H10246" s="1066"/>
      <c r="I10246" s="1063"/>
      <c r="J10246" s="1063"/>
      <c r="K10246" s="1063"/>
      <c r="L10246" s="1063"/>
    </row>
    <row r="10247" spans="5:12" x14ac:dyDescent="0.2">
      <c r="E10247" s="1063"/>
      <c r="H10247" s="1066"/>
      <c r="I10247" s="1063"/>
      <c r="J10247" s="1063"/>
      <c r="K10247" s="1063"/>
      <c r="L10247" s="1063"/>
    </row>
    <row r="10248" spans="5:12" x14ac:dyDescent="0.2">
      <c r="E10248" s="1063"/>
      <c r="H10248" s="1066"/>
      <c r="I10248" s="1063"/>
      <c r="J10248" s="1063"/>
      <c r="K10248" s="1063"/>
      <c r="L10248" s="1063"/>
    </row>
    <row r="10249" spans="5:12" x14ac:dyDescent="0.2">
      <c r="E10249" s="1063"/>
      <c r="H10249" s="1066"/>
      <c r="I10249" s="1063"/>
      <c r="J10249" s="1063"/>
      <c r="K10249" s="1063"/>
      <c r="L10249" s="1063"/>
    </row>
    <row r="10250" spans="5:12" x14ac:dyDescent="0.2">
      <c r="E10250" s="1063"/>
      <c r="H10250" s="1066"/>
      <c r="I10250" s="1063"/>
      <c r="J10250" s="1063"/>
      <c r="K10250" s="1063"/>
      <c r="L10250" s="1063"/>
    </row>
    <row r="10251" spans="5:12" x14ac:dyDescent="0.2">
      <c r="E10251" s="1063"/>
      <c r="H10251" s="1066"/>
      <c r="I10251" s="1063"/>
      <c r="J10251" s="1063"/>
      <c r="K10251" s="1063"/>
      <c r="L10251" s="1063"/>
    </row>
    <row r="10252" spans="5:12" x14ac:dyDescent="0.2">
      <c r="E10252" s="1063"/>
      <c r="H10252" s="1066"/>
      <c r="I10252" s="1063"/>
      <c r="J10252" s="1063"/>
      <c r="K10252" s="1063"/>
      <c r="L10252" s="1063"/>
    </row>
    <row r="10253" spans="5:12" x14ac:dyDescent="0.2">
      <c r="E10253" s="1063"/>
      <c r="H10253" s="1066"/>
      <c r="I10253" s="1063"/>
      <c r="J10253" s="1063"/>
      <c r="K10253" s="1063"/>
      <c r="L10253" s="1063"/>
    </row>
    <row r="10254" spans="5:12" x14ac:dyDescent="0.2">
      <c r="E10254" s="1063"/>
      <c r="H10254" s="1066"/>
      <c r="I10254" s="1063"/>
      <c r="J10254" s="1063"/>
      <c r="K10254" s="1063"/>
      <c r="L10254" s="1063"/>
    </row>
    <row r="10255" spans="5:12" x14ac:dyDescent="0.2">
      <c r="E10255" s="1063"/>
      <c r="H10255" s="1066"/>
      <c r="I10255" s="1063"/>
      <c r="J10255" s="1063"/>
      <c r="K10255" s="1063"/>
      <c r="L10255" s="1063"/>
    </row>
    <row r="10256" spans="5:12" x14ac:dyDescent="0.2">
      <c r="E10256" s="1063"/>
      <c r="H10256" s="1066"/>
      <c r="I10256" s="1063"/>
      <c r="J10256" s="1063"/>
      <c r="K10256" s="1063"/>
      <c r="L10256" s="1063"/>
    </row>
    <row r="10257" spans="5:12" x14ac:dyDescent="0.2">
      <c r="E10257" s="1063"/>
      <c r="H10257" s="1066"/>
      <c r="I10257" s="1063"/>
      <c r="J10257" s="1063"/>
      <c r="K10257" s="1063"/>
      <c r="L10257" s="1063"/>
    </row>
    <row r="10258" spans="5:12" x14ac:dyDescent="0.2">
      <c r="E10258" s="1063"/>
      <c r="H10258" s="1066"/>
      <c r="I10258" s="1063"/>
      <c r="J10258" s="1063"/>
      <c r="K10258" s="1063"/>
      <c r="L10258" s="1063"/>
    </row>
    <row r="10259" spans="5:12" x14ac:dyDescent="0.2">
      <c r="E10259" s="1063"/>
      <c r="H10259" s="1066"/>
      <c r="I10259" s="1063"/>
      <c r="J10259" s="1063"/>
      <c r="K10259" s="1063"/>
      <c r="L10259" s="1063"/>
    </row>
    <row r="10260" spans="5:12" x14ac:dyDescent="0.2">
      <c r="E10260" s="1063"/>
      <c r="H10260" s="1066"/>
      <c r="I10260" s="1063"/>
      <c r="J10260" s="1063"/>
      <c r="K10260" s="1063"/>
      <c r="L10260" s="1063"/>
    </row>
    <row r="10261" spans="5:12" x14ac:dyDescent="0.2">
      <c r="E10261" s="1063"/>
      <c r="H10261" s="1066"/>
      <c r="I10261" s="1063"/>
      <c r="J10261" s="1063"/>
      <c r="K10261" s="1063"/>
      <c r="L10261" s="1063"/>
    </row>
    <row r="10262" spans="5:12" x14ac:dyDescent="0.2">
      <c r="E10262" s="1063"/>
      <c r="H10262" s="1066"/>
      <c r="I10262" s="1063"/>
      <c r="J10262" s="1063"/>
      <c r="K10262" s="1063"/>
      <c r="L10262" s="1063"/>
    </row>
    <row r="10263" spans="5:12" x14ac:dyDescent="0.2">
      <c r="E10263" s="1063"/>
      <c r="H10263" s="1066"/>
      <c r="I10263" s="1063"/>
      <c r="J10263" s="1063"/>
      <c r="K10263" s="1063"/>
      <c r="L10263" s="1063"/>
    </row>
    <row r="10264" spans="5:12" x14ac:dyDescent="0.2">
      <c r="E10264" s="1063"/>
      <c r="H10264" s="1066"/>
      <c r="I10264" s="1063"/>
      <c r="J10264" s="1063"/>
      <c r="K10264" s="1063"/>
      <c r="L10264" s="1063"/>
    </row>
    <row r="10265" spans="5:12" x14ac:dyDescent="0.2">
      <c r="E10265" s="1063"/>
      <c r="H10265" s="1066"/>
      <c r="I10265" s="1063"/>
      <c r="J10265" s="1063"/>
      <c r="K10265" s="1063"/>
      <c r="L10265" s="1063"/>
    </row>
    <row r="10266" spans="5:12" x14ac:dyDescent="0.2">
      <c r="E10266" s="1063"/>
      <c r="H10266" s="1066"/>
      <c r="I10266" s="1063"/>
      <c r="J10266" s="1063"/>
      <c r="K10266" s="1063"/>
      <c r="L10266" s="1063"/>
    </row>
    <row r="10267" spans="5:12" x14ac:dyDescent="0.2">
      <c r="E10267" s="1063"/>
      <c r="H10267" s="1066"/>
      <c r="I10267" s="1063"/>
      <c r="J10267" s="1063"/>
      <c r="K10267" s="1063"/>
      <c r="L10267" s="1063"/>
    </row>
    <row r="10268" spans="5:12" x14ac:dyDescent="0.2">
      <c r="E10268" s="1063"/>
      <c r="H10268" s="1066"/>
      <c r="I10268" s="1063"/>
      <c r="J10268" s="1063"/>
      <c r="K10268" s="1063"/>
      <c r="L10268" s="1063"/>
    </row>
    <row r="10269" spans="5:12" x14ac:dyDescent="0.2">
      <c r="E10269" s="1063"/>
      <c r="H10269" s="1066"/>
      <c r="I10269" s="1063"/>
      <c r="J10269" s="1063"/>
      <c r="K10269" s="1063"/>
      <c r="L10269" s="1063"/>
    </row>
    <row r="10270" spans="5:12" x14ac:dyDescent="0.2">
      <c r="E10270" s="1063"/>
      <c r="H10270" s="1066"/>
      <c r="I10270" s="1063"/>
      <c r="J10270" s="1063"/>
      <c r="K10270" s="1063"/>
      <c r="L10270" s="1063"/>
    </row>
    <row r="10271" spans="5:12" x14ac:dyDescent="0.2">
      <c r="E10271" s="1063"/>
      <c r="H10271" s="1066"/>
      <c r="I10271" s="1063"/>
      <c r="J10271" s="1063"/>
      <c r="K10271" s="1063"/>
      <c r="L10271" s="1063"/>
    </row>
    <row r="10272" spans="5:12" x14ac:dyDescent="0.2">
      <c r="E10272" s="1063"/>
      <c r="H10272" s="1066"/>
      <c r="I10272" s="1063"/>
      <c r="J10272" s="1063"/>
      <c r="K10272" s="1063"/>
      <c r="L10272" s="1063"/>
    </row>
    <row r="10273" spans="5:12" x14ac:dyDescent="0.2">
      <c r="E10273" s="1063"/>
      <c r="H10273" s="1066"/>
      <c r="I10273" s="1063"/>
      <c r="J10273" s="1063"/>
      <c r="K10273" s="1063"/>
      <c r="L10273" s="1063"/>
    </row>
    <row r="10274" spans="5:12" x14ac:dyDescent="0.2">
      <c r="E10274" s="1063"/>
      <c r="H10274" s="1066"/>
      <c r="I10274" s="1063"/>
      <c r="J10274" s="1063"/>
      <c r="K10274" s="1063"/>
      <c r="L10274" s="1063"/>
    </row>
    <row r="10275" spans="5:12" x14ac:dyDescent="0.2">
      <c r="E10275" s="1063"/>
      <c r="H10275" s="1066"/>
      <c r="I10275" s="1063"/>
      <c r="J10275" s="1063"/>
      <c r="K10275" s="1063"/>
      <c r="L10275" s="1063"/>
    </row>
    <row r="10276" spans="5:12" x14ac:dyDescent="0.2">
      <c r="E10276" s="1063"/>
      <c r="H10276" s="1066"/>
      <c r="I10276" s="1063"/>
      <c r="J10276" s="1063"/>
      <c r="K10276" s="1063"/>
      <c r="L10276" s="1063"/>
    </row>
    <row r="10277" spans="5:12" x14ac:dyDescent="0.2">
      <c r="E10277" s="1063"/>
      <c r="H10277" s="1066"/>
      <c r="I10277" s="1063"/>
      <c r="J10277" s="1063"/>
      <c r="K10277" s="1063"/>
      <c r="L10277" s="1063"/>
    </row>
    <row r="10278" spans="5:12" x14ac:dyDescent="0.2">
      <c r="E10278" s="1063"/>
      <c r="H10278" s="1066"/>
      <c r="I10278" s="1063"/>
      <c r="J10278" s="1063"/>
      <c r="K10278" s="1063"/>
      <c r="L10278" s="1063"/>
    </row>
    <row r="10279" spans="5:12" x14ac:dyDescent="0.2">
      <c r="E10279" s="1063"/>
      <c r="H10279" s="1066"/>
      <c r="I10279" s="1063"/>
      <c r="J10279" s="1063"/>
      <c r="K10279" s="1063"/>
      <c r="L10279" s="1063"/>
    </row>
    <row r="10280" spans="5:12" x14ac:dyDescent="0.2">
      <c r="E10280" s="1063"/>
      <c r="H10280" s="1066"/>
      <c r="I10280" s="1063"/>
      <c r="J10280" s="1063"/>
      <c r="K10280" s="1063"/>
      <c r="L10280" s="1063"/>
    </row>
    <row r="10281" spans="5:12" x14ac:dyDescent="0.2">
      <c r="E10281" s="1063"/>
      <c r="H10281" s="1066"/>
      <c r="I10281" s="1063"/>
      <c r="J10281" s="1063"/>
      <c r="K10281" s="1063"/>
      <c r="L10281" s="1063"/>
    </row>
    <row r="10282" spans="5:12" x14ac:dyDescent="0.2">
      <c r="E10282" s="1063"/>
      <c r="H10282" s="1066"/>
      <c r="I10282" s="1063"/>
      <c r="J10282" s="1063"/>
      <c r="K10282" s="1063"/>
      <c r="L10282" s="1063"/>
    </row>
    <row r="10283" spans="5:12" x14ac:dyDescent="0.2">
      <c r="E10283" s="1063"/>
      <c r="H10283" s="1066"/>
      <c r="I10283" s="1063"/>
      <c r="J10283" s="1063"/>
      <c r="K10283" s="1063"/>
      <c r="L10283" s="1063"/>
    </row>
    <row r="10284" spans="5:12" x14ac:dyDescent="0.2">
      <c r="E10284" s="1063"/>
      <c r="H10284" s="1066"/>
      <c r="I10284" s="1063"/>
      <c r="J10284" s="1063"/>
      <c r="K10284" s="1063"/>
      <c r="L10284" s="1063"/>
    </row>
    <row r="10285" spans="5:12" x14ac:dyDescent="0.2">
      <c r="E10285" s="1063"/>
      <c r="H10285" s="1066"/>
      <c r="I10285" s="1063"/>
      <c r="J10285" s="1063"/>
      <c r="K10285" s="1063"/>
      <c r="L10285" s="1063"/>
    </row>
    <row r="10286" spans="5:12" x14ac:dyDescent="0.2">
      <c r="E10286" s="1063"/>
      <c r="H10286" s="1066"/>
      <c r="I10286" s="1063"/>
      <c r="J10286" s="1063"/>
      <c r="K10286" s="1063"/>
      <c r="L10286" s="1063"/>
    </row>
    <row r="10287" spans="5:12" x14ac:dyDescent="0.2">
      <c r="E10287" s="1063"/>
      <c r="H10287" s="1066"/>
      <c r="I10287" s="1063"/>
      <c r="J10287" s="1063"/>
      <c r="K10287" s="1063"/>
      <c r="L10287" s="1063"/>
    </row>
    <row r="10288" spans="5:12" x14ac:dyDescent="0.2">
      <c r="E10288" s="1063"/>
      <c r="H10288" s="1066"/>
      <c r="I10288" s="1063"/>
      <c r="J10288" s="1063"/>
      <c r="K10288" s="1063"/>
      <c r="L10288" s="1063"/>
    </row>
    <row r="10289" spans="5:12" x14ac:dyDescent="0.2">
      <c r="E10289" s="1063"/>
      <c r="H10289" s="1066"/>
      <c r="I10289" s="1063"/>
      <c r="J10289" s="1063"/>
      <c r="K10289" s="1063"/>
      <c r="L10289" s="1063"/>
    </row>
    <row r="10290" spans="5:12" x14ac:dyDescent="0.2">
      <c r="E10290" s="1063"/>
      <c r="H10290" s="1066"/>
      <c r="I10290" s="1063"/>
      <c r="J10290" s="1063"/>
      <c r="K10290" s="1063"/>
      <c r="L10290" s="1063"/>
    </row>
    <row r="10291" spans="5:12" x14ac:dyDescent="0.2">
      <c r="E10291" s="1063"/>
      <c r="H10291" s="1066"/>
      <c r="I10291" s="1063"/>
      <c r="J10291" s="1063"/>
      <c r="K10291" s="1063"/>
      <c r="L10291" s="1063"/>
    </row>
    <row r="10292" spans="5:12" x14ac:dyDescent="0.2">
      <c r="E10292" s="1063"/>
      <c r="H10292" s="1066"/>
      <c r="I10292" s="1063"/>
      <c r="J10292" s="1063"/>
      <c r="K10292" s="1063"/>
      <c r="L10292" s="1063"/>
    </row>
    <row r="10293" spans="5:12" x14ac:dyDescent="0.2">
      <c r="E10293" s="1063"/>
      <c r="H10293" s="1066"/>
      <c r="I10293" s="1063"/>
      <c r="J10293" s="1063"/>
      <c r="K10293" s="1063"/>
      <c r="L10293" s="1063"/>
    </row>
    <row r="10294" spans="5:12" x14ac:dyDescent="0.2">
      <c r="E10294" s="1063"/>
      <c r="H10294" s="1066"/>
      <c r="I10294" s="1063"/>
      <c r="J10294" s="1063"/>
      <c r="K10294" s="1063"/>
      <c r="L10294" s="1063"/>
    </row>
    <row r="10295" spans="5:12" x14ac:dyDescent="0.2">
      <c r="E10295" s="1063"/>
      <c r="H10295" s="1066"/>
      <c r="I10295" s="1063"/>
      <c r="J10295" s="1063"/>
      <c r="K10295" s="1063"/>
      <c r="L10295" s="1063"/>
    </row>
    <row r="10296" spans="5:12" x14ac:dyDescent="0.2">
      <c r="E10296" s="1063"/>
      <c r="H10296" s="1066"/>
      <c r="I10296" s="1063"/>
      <c r="J10296" s="1063"/>
      <c r="K10296" s="1063"/>
      <c r="L10296" s="1063"/>
    </row>
    <row r="10297" spans="5:12" x14ac:dyDescent="0.2">
      <c r="E10297" s="1063"/>
      <c r="H10297" s="1066"/>
      <c r="I10297" s="1063"/>
      <c r="J10297" s="1063"/>
      <c r="K10297" s="1063"/>
      <c r="L10297" s="1063"/>
    </row>
    <row r="10298" spans="5:12" x14ac:dyDescent="0.2">
      <c r="E10298" s="1063"/>
      <c r="H10298" s="1066"/>
      <c r="I10298" s="1063"/>
      <c r="J10298" s="1063"/>
      <c r="K10298" s="1063"/>
      <c r="L10298" s="1063"/>
    </row>
    <row r="10299" spans="5:12" x14ac:dyDescent="0.2">
      <c r="E10299" s="1063"/>
      <c r="H10299" s="1066"/>
      <c r="I10299" s="1063"/>
      <c r="J10299" s="1063"/>
      <c r="K10299" s="1063"/>
      <c r="L10299" s="1063"/>
    </row>
    <row r="10300" spans="5:12" x14ac:dyDescent="0.2">
      <c r="E10300" s="1063"/>
      <c r="H10300" s="1066"/>
      <c r="I10300" s="1063"/>
      <c r="J10300" s="1063"/>
      <c r="K10300" s="1063"/>
      <c r="L10300" s="1063"/>
    </row>
    <row r="10301" spans="5:12" x14ac:dyDescent="0.2">
      <c r="E10301" s="1063"/>
      <c r="H10301" s="1066"/>
      <c r="I10301" s="1063"/>
      <c r="J10301" s="1063"/>
      <c r="K10301" s="1063"/>
      <c r="L10301" s="1063"/>
    </row>
    <row r="10302" spans="5:12" x14ac:dyDescent="0.2">
      <c r="E10302" s="1063"/>
      <c r="H10302" s="1066"/>
      <c r="I10302" s="1063"/>
      <c r="J10302" s="1063"/>
      <c r="K10302" s="1063"/>
      <c r="L10302" s="1063"/>
    </row>
    <row r="10303" spans="5:12" x14ac:dyDescent="0.2">
      <c r="E10303" s="1063"/>
      <c r="H10303" s="1066"/>
      <c r="I10303" s="1063"/>
      <c r="J10303" s="1063"/>
      <c r="K10303" s="1063"/>
      <c r="L10303" s="1063"/>
    </row>
    <row r="10304" spans="5:12" x14ac:dyDescent="0.2">
      <c r="E10304" s="1063"/>
      <c r="H10304" s="1066"/>
      <c r="I10304" s="1063"/>
      <c r="J10304" s="1063"/>
      <c r="K10304" s="1063"/>
      <c r="L10304" s="1063"/>
    </row>
    <row r="10305" spans="5:12" x14ac:dyDescent="0.2">
      <c r="E10305" s="1063"/>
      <c r="H10305" s="1066"/>
      <c r="I10305" s="1063"/>
      <c r="J10305" s="1063"/>
      <c r="K10305" s="1063"/>
      <c r="L10305" s="1063"/>
    </row>
    <row r="10306" spans="5:12" x14ac:dyDescent="0.2">
      <c r="E10306" s="1063"/>
      <c r="H10306" s="1066"/>
      <c r="I10306" s="1063"/>
      <c r="J10306" s="1063"/>
      <c r="K10306" s="1063"/>
      <c r="L10306" s="1063"/>
    </row>
    <row r="10307" spans="5:12" x14ac:dyDescent="0.2">
      <c r="E10307" s="1063"/>
      <c r="H10307" s="1066"/>
      <c r="I10307" s="1063"/>
      <c r="J10307" s="1063"/>
      <c r="K10307" s="1063"/>
      <c r="L10307" s="1063"/>
    </row>
    <row r="10308" spans="5:12" x14ac:dyDescent="0.2">
      <c r="E10308" s="1063"/>
      <c r="H10308" s="1066"/>
      <c r="I10308" s="1063"/>
      <c r="J10308" s="1063"/>
      <c r="K10308" s="1063"/>
      <c r="L10308" s="1063"/>
    </row>
    <row r="10309" spans="5:12" x14ac:dyDescent="0.2">
      <c r="E10309" s="1063"/>
      <c r="H10309" s="1066"/>
      <c r="I10309" s="1063"/>
      <c r="J10309" s="1063"/>
      <c r="K10309" s="1063"/>
      <c r="L10309" s="1063"/>
    </row>
    <row r="10310" spans="5:12" x14ac:dyDescent="0.2">
      <c r="E10310" s="1063"/>
      <c r="H10310" s="1066"/>
      <c r="I10310" s="1063"/>
      <c r="J10310" s="1063"/>
      <c r="K10310" s="1063"/>
      <c r="L10310" s="1063"/>
    </row>
    <row r="10311" spans="5:12" x14ac:dyDescent="0.2">
      <c r="E10311" s="1063"/>
      <c r="H10311" s="1066"/>
      <c r="I10311" s="1063"/>
      <c r="J10311" s="1063"/>
      <c r="K10311" s="1063"/>
      <c r="L10311" s="1063"/>
    </row>
    <row r="10312" spans="5:12" x14ac:dyDescent="0.2">
      <c r="E10312" s="1063"/>
      <c r="H10312" s="1066"/>
      <c r="I10312" s="1063"/>
      <c r="J10312" s="1063"/>
      <c r="K10312" s="1063"/>
      <c r="L10312" s="1063"/>
    </row>
    <row r="10313" spans="5:12" x14ac:dyDescent="0.2">
      <c r="E10313" s="1063"/>
      <c r="H10313" s="1066"/>
      <c r="I10313" s="1063"/>
      <c r="J10313" s="1063"/>
      <c r="K10313" s="1063"/>
      <c r="L10313" s="1063"/>
    </row>
    <row r="10314" spans="5:12" x14ac:dyDescent="0.2">
      <c r="E10314" s="1063"/>
      <c r="H10314" s="1066"/>
      <c r="I10314" s="1063"/>
      <c r="J10314" s="1063"/>
      <c r="K10314" s="1063"/>
      <c r="L10314" s="1063"/>
    </row>
    <row r="10315" spans="5:12" x14ac:dyDescent="0.2">
      <c r="E10315" s="1063"/>
      <c r="H10315" s="1066"/>
      <c r="I10315" s="1063"/>
      <c r="J10315" s="1063"/>
      <c r="K10315" s="1063"/>
      <c r="L10315" s="1063"/>
    </row>
    <row r="10316" spans="5:12" x14ac:dyDescent="0.2">
      <c r="E10316" s="1063"/>
      <c r="H10316" s="1066"/>
      <c r="I10316" s="1063"/>
      <c r="J10316" s="1063"/>
      <c r="K10316" s="1063"/>
      <c r="L10316" s="1063"/>
    </row>
    <row r="10317" spans="5:12" x14ac:dyDescent="0.2">
      <c r="E10317" s="1063"/>
      <c r="H10317" s="1066"/>
      <c r="I10317" s="1063"/>
      <c r="J10317" s="1063"/>
      <c r="K10317" s="1063"/>
      <c r="L10317" s="1063"/>
    </row>
    <row r="10318" spans="5:12" x14ac:dyDescent="0.2">
      <c r="E10318" s="1063"/>
      <c r="H10318" s="1066"/>
      <c r="I10318" s="1063"/>
      <c r="J10318" s="1063"/>
      <c r="K10318" s="1063"/>
      <c r="L10318" s="1063"/>
    </row>
    <row r="10319" spans="5:12" x14ac:dyDescent="0.2">
      <c r="E10319" s="1063"/>
      <c r="H10319" s="1066"/>
      <c r="I10319" s="1063"/>
      <c r="J10319" s="1063"/>
      <c r="K10319" s="1063"/>
      <c r="L10319" s="1063"/>
    </row>
    <row r="10320" spans="5:12" x14ac:dyDescent="0.2">
      <c r="E10320" s="1063"/>
      <c r="H10320" s="1066"/>
      <c r="I10320" s="1063"/>
      <c r="J10320" s="1063"/>
      <c r="K10320" s="1063"/>
      <c r="L10320" s="1063"/>
    </row>
    <row r="10321" spans="5:12" x14ac:dyDescent="0.2">
      <c r="E10321" s="1063"/>
      <c r="H10321" s="1066"/>
      <c r="I10321" s="1063"/>
      <c r="J10321" s="1063"/>
      <c r="K10321" s="1063"/>
      <c r="L10321" s="1063"/>
    </row>
    <row r="10322" spans="5:12" x14ac:dyDescent="0.2">
      <c r="E10322" s="1063"/>
      <c r="H10322" s="1066"/>
      <c r="I10322" s="1063"/>
      <c r="J10322" s="1063"/>
      <c r="K10322" s="1063"/>
      <c r="L10322" s="1063"/>
    </row>
    <row r="10323" spans="5:12" x14ac:dyDescent="0.2">
      <c r="E10323" s="1063"/>
      <c r="H10323" s="1066"/>
      <c r="I10323" s="1063"/>
      <c r="J10323" s="1063"/>
      <c r="K10323" s="1063"/>
      <c r="L10323" s="1063"/>
    </row>
    <row r="10324" spans="5:12" x14ac:dyDescent="0.2">
      <c r="E10324" s="1063"/>
      <c r="H10324" s="1066"/>
      <c r="I10324" s="1063"/>
      <c r="J10324" s="1063"/>
      <c r="K10324" s="1063"/>
      <c r="L10324" s="1063"/>
    </row>
    <row r="10325" spans="5:12" x14ac:dyDescent="0.2">
      <c r="E10325" s="1063"/>
      <c r="H10325" s="1066"/>
      <c r="I10325" s="1063"/>
      <c r="J10325" s="1063"/>
      <c r="K10325" s="1063"/>
      <c r="L10325" s="1063"/>
    </row>
    <row r="10326" spans="5:12" x14ac:dyDescent="0.2">
      <c r="E10326" s="1063"/>
      <c r="H10326" s="1066"/>
      <c r="I10326" s="1063"/>
      <c r="J10326" s="1063"/>
      <c r="K10326" s="1063"/>
      <c r="L10326" s="1063"/>
    </row>
    <row r="10327" spans="5:12" x14ac:dyDescent="0.2">
      <c r="E10327" s="1063"/>
      <c r="H10327" s="1066"/>
      <c r="I10327" s="1063"/>
      <c r="J10327" s="1063"/>
      <c r="K10327" s="1063"/>
      <c r="L10327" s="1063"/>
    </row>
    <row r="10328" spans="5:12" x14ac:dyDescent="0.2">
      <c r="E10328" s="1063"/>
      <c r="H10328" s="1066"/>
      <c r="I10328" s="1063"/>
      <c r="J10328" s="1063"/>
      <c r="K10328" s="1063"/>
      <c r="L10328" s="1063"/>
    </row>
    <row r="10329" spans="5:12" x14ac:dyDescent="0.2">
      <c r="E10329" s="1063"/>
      <c r="H10329" s="1066"/>
      <c r="I10329" s="1063"/>
      <c r="J10329" s="1063"/>
      <c r="K10329" s="1063"/>
      <c r="L10329" s="1063"/>
    </row>
    <row r="10330" spans="5:12" x14ac:dyDescent="0.2">
      <c r="E10330" s="1063"/>
      <c r="H10330" s="1066"/>
      <c r="I10330" s="1063"/>
      <c r="J10330" s="1063"/>
      <c r="K10330" s="1063"/>
      <c r="L10330" s="1063"/>
    </row>
    <row r="10331" spans="5:12" x14ac:dyDescent="0.2">
      <c r="E10331" s="1063"/>
      <c r="H10331" s="1066"/>
      <c r="I10331" s="1063"/>
      <c r="J10331" s="1063"/>
      <c r="K10331" s="1063"/>
      <c r="L10331" s="1063"/>
    </row>
    <row r="10332" spans="5:12" x14ac:dyDescent="0.2">
      <c r="E10332" s="1063"/>
      <c r="H10332" s="1066"/>
      <c r="I10332" s="1063"/>
      <c r="J10332" s="1063"/>
      <c r="K10332" s="1063"/>
      <c r="L10332" s="1063"/>
    </row>
    <row r="10333" spans="5:12" x14ac:dyDescent="0.2">
      <c r="E10333" s="1063"/>
      <c r="H10333" s="1066"/>
      <c r="I10333" s="1063"/>
      <c r="J10333" s="1063"/>
      <c r="K10333" s="1063"/>
      <c r="L10333" s="1063"/>
    </row>
    <row r="10334" spans="5:12" x14ac:dyDescent="0.2">
      <c r="E10334" s="1063"/>
      <c r="H10334" s="1066"/>
      <c r="I10334" s="1063"/>
      <c r="J10334" s="1063"/>
      <c r="K10334" s="1063"/>
      <c r="L10334" s="1063"/>
    </row>
    <row r="10335" spans="5:12" x14ac:dyDescent="0.2">
      <c r="E10335" s="1063"/>
      <c r="H10335" s="1066"/>
      <c r="I10335" s="1063"/>
      <c r="J10335" s="1063"/>
      <c r="K10335" s="1063"/>
      <c r="L10335" s="1063"/>
    </row>
    <row r="10336" spans="5:12" x14ac:dyDescent="0.2">
      <c r="E10336" s="1063"/>
      <c r="H10336" s="1066"/>
      <c r="I10336" s="1063"/>
      <c r="J10336" s="1063"/>
      <c r="K10336" s="1063"/>
      <c r="L10336" s="1063"/>
    </row>
    <row r="10337" spans="5:12" x14ac:dyDescent="0.2">
      <c r="E10337" s="1063"/>
      <c r="H10337" s="1066"/>
      <c r="I10337" s="1063"/>
      <c r="J10337" s="1063"/>
      <c r="K10337" s="1063"/>
      <c r="L10337" s="1063"/>
    </row>
    <row r="10338" spans="5:12" x14ac:dyDescent="0.2">
      <c r="E10338" s="1063"/>
      <c r="H10338" s="1066"/>
      <c r="I10338" s="1063"/>
      <c r="J10338" s="1063"/>
      <c r="K10338" s="1063"/>
      <c r="L10338" s="1063"/>
    </row>
    <row r="10339" spans="5:12" x14ac:dyDescent="0.2">
      <c r="E10339" s="1063"/>
      <c r="H10339" s="1066"/>
      <c r="I10339" s="1063"/>
      <c r="J10339" s="1063"/>
      <c r="K10339" s="1063"/>
      <c r="L10339" s="1063"/>
    </row>
    <row r="10340" spans="5:12" x14ac:dyDescent="0.2">
      <c r="E10340" s="1063"/>
      <c r="H10340" s="1066"/>
      <c r="I10340" s="1063"/>
      <c r="J10340" s="1063"/>
      <c r="K10340" s="1063"/>
      <c r="L10340" s="1063"/>
    </row>
    <row r="10341" spans="5:12" x14ac:dyDescent="0.2">
      <c r="E10341" s="1063"/>
      <c r="H10341" s="1066"/>
      <c r="I10341" s="1063"/>
      <c r="J10341" s="1063"/>
      <c r="K10341" s="1063"/>
      <c r="L10341" s="1063"/>
    </row>
    <row r="10342" spans="5:12" x14ac:dyDescent="0.2">
      <c r="E10342" s="1063"/>
      <c r="H10342" s="1066"/>
      <c r="I10342" s="1063"/>
      <c r="J10342" s="1063"/>
      <c r="K10342" s="1063"/>
      <c r="L10342" s="1063"/>
    </row>
    <row r="10343" spans="5:12" x14ac:dyDescent="0.2">
      <c r="E10343" s="1063"/>
      <c r="H10343" s="1066"/>
      <c r="I10343" s="1063"/>
      <c r="J10343" s="1063"/>
      <c r="K10343" s="1063"/>
      <c r="L10343" s="1063"/>
    </row>
    <row r="10344" spans="5:12" x14ac:dyDescent="0.2">
      <c r="E10344" s="1063"/>
      <c r="H10344" s="1066"/>
      <c r="I10344" s="1063"/>
      <c r="J10344" s="1063"/>
      <c r="K10344" s="1063"/>
      <c r="L10344" s="1063"/>
    </row>
    <row r="10345" spans="5:12" x14ac:dyDescent="0.2">
      <c r="E10345" s="1063"/>
      <c r="H10345" s="1066"/>
      <c r="I10345" s="1063"/>
      <c r="J10345" s="1063"/>
      <c r="K10345" s="1063"/>
      <c r="L10345" s="1063"/>
    </row>
    <row r="10346" spans="5:12" x14ac:dyDescent="0.2">
      <c r="E10346" s="1063"/>
      <c r="H10346" s="1066"/>
      <c r="I10346" s="1063"/>
      <c r="J10346" s="1063"/>
      <c r="K10346" s="1063"/>
      <c r="L10346" s="1063"/>
    </row>
    <row r="10347" spans="5:12" x14ac:dyDescent="0.2">
      <c r="E10347" s="1063"/>
      <c r="H10347" s="1066"/>
      <c r="I10347" s="1063"/>
      <c r="J10347" s="1063"/>
      <c r="K10347" s="1063"/>
      <c r="L10347" s="1063"/>
    </row>
    <row r="10348" spans="5:12" x14ac:dyDescent="0.2">
      <c r="E10348" s="1063"/>
      <c r="H10348" s="1066"/>
      <c r="I10348" s="1063"/>
      <c r="J10348" s="1063"/>
      <c r="K10348" s="1063"/>
      <c r="L10348" s="1063"/>
    </row>
    <row r="10349" spans="5:12" x14ac:dyDescent="0.2">
      <c r="E10349" s="1063"/>
      <c r="H10349" s="1066"/>
      <c r="I10349" s="1063"/>
      <c r="J10349" s="1063"/>
      <c r="K10349" s="1063"/>
      <c r="L10349" s="1063"/>
    </row>
    <row r="10350" spans="5:12" x14ac:dyDescent="0.2">
      <c r="E10350" s="1063"/>
      <c r="H10350" s="1066"/>
      <c r="I10350" s="1063"/>
      <c r="J10350" s="1063"/>
      <c r="K10350" s="1063"/>
      <c r="L10350" s="1063"/>
    </row>
    <row r="10351" spans="5:12" x14ac:dyDescent="0.2">
      <c r="E10351" s="1063"/>
      <c r="H10351" s="1066"/>
      <c r="I10351" s="1063"/>
      <c r="J10351" s="1063"/>
      <c r="K10351" s="1063"/>
      <c r="L10351" s="1063"/>
    </row>
    <row r="10352" spans="5:12" x14ac:dyDescent="0.2">
      <c r="E10352" s="1063"/>
      <c r="H10352" s="1066"/>
      <c r="I10352" s="1063"/>
      <c r="J10352" s="1063"/>
      <c r="K10352" s="1063"/>
      <c r="L10352" s="1063"/>
    </row>
    <row r="10353" spans="5:12" x14ac:dyDescent="0.2">
      <c r="E10353" s="1063"/>
      <c r="H10353" s="1066"/>
      <c r="I10353" s="1063"/>
      <c r="J10353" s="1063"/>
      <c r="K10353" s="1063"/>
      <c r="L10353" s="1063"/>
    </row>
    <row r="10354" spans="5:12" x14ac:dyDescent="0.2">
      <c r="E10354" s="1063"/>
      <c r="H10354" s="1066"/>
      <c r="I10354" s="1063"/>
      <c r="J10354" s="1063"/>
      <c r="K10354" s="1063"/>
      <c r="L10354" s="1063"/>
    </row>
    <row r="10355" spans="5:12" x14ac:dyDescent="0.2">
      <c r="E10355" s="1063"/>
      <c r="H10355" s="1066"/>
      <c r="I10355" s="1063"/>
      <c r="J10355" s="1063"/>
      <c r="K10355" s="1063"/>
      <c r="L10355" s="1063"/>
    </row>
    <row r="10356" spans="5:12" x14ac:dyDescent="0.2">
      <c r="E10356" s="1063"/>
      <c r="H10356" s="1066"/>
      <c r="I10356" s="1063"/>
      <c r="J10356" s="1063"/>
      <c r="K10356" s="1063"/>
      <c r="L10356" s="1063"/>
    </row>
    <row r="10357" spans="5:12" x14ac:dyDescent="0.2">
      <c r="E10357" s="1063"/>
      <c r="H10357" s="1066"/>
      <c r="I10357" s="1063"/>
      <c r="J10357" s="1063"/>
      <c r="K10357" s="1063"/>
      <c r="L10357" s="1063"/>
    </row>
    <row r="10358" spans="5:12" x14ac:dyDescent="0.2">
      <c r="E10358" s="1063"/>
      <c r="H10358" s="1066"/>
      <c r="I10358" s="1063"/>
      <c r="J10358" s="1063"/>
      <c r="K10358" s="1063"/>
      <c r="L10358" s="1063"/>
    </row>
    <row r="10359" spans="5:12" x14ac:dyDescent="0.2">
      <c r="E10359" s="1063"/>
      <c r="H10359" s="1066"/>
      <c r="I10359" s="1063"/>
      <c r="J10359" s="1063"/>
      <c r="K10359" s="1063"/>
      <c r="L10359" s="1063"/>
    </row>
    <row r="10360" spans="5:12" x14ac:dyDescent="0.2">
      <c r="E10360" s="1063"/>
      <c r="H10360" s="1066"/>
      <c r="I10360" s="1063"/>
      <c r="J10360" s="1063"/>
      <c r="K10360" s="1063"/>
      <c r="L10360" s="1063"/>
    </row>
    <row r="10361" spans="5:12" x14ac:dyDescent="0.2">
      <c r="E10361" s="1063"/>
      <c r="H10361" s="1066"/>
      <c r="I10361" s="1063"/>
      <c r="J10361" s="1063"/>
      <c r="K10361" s="1063"/>
      <c r="L10361" s="1063"/>
    </row>
    <row r="10362" spans="5:12" x14ac:dyDescent="0.2">
      <c r="E10362" s="1063"/>
      <c r="H10362" s="1066"/>
      <c r="I10362" s="1063"/>
      <c r="J10362" s="1063"/>
      <c r="K10362" s="1063"/>
      <c r="L10362" s="1063"/>
    </row>
    <row r="10363" spans="5:12" x14ac:dyDescent="0.2">
      <c r="E10363" s="1063"/>
      <c r="H10363" s="1066"/>
      <c r="I10363" s="1063"/>
      <c r="J10363" s="1063"/>
      <c r="K10363" s="1063"/>
      <c r="L10363" s="1063"/>
    </row>
    <row r="10364" spans="5:12" x14ac:dyDescent="0.2">
      <c r="E10364" s="1063"/>
      <c r="H10364" s="1066"/>
      <c r="I10364" s="1063"/>
      <c r="J10364" s="1063"/>
      <c r="K10364" s="1063"/>
      <c r="L10364" s="1063"/>
    </row>
    <row r="10365" spans="5:12" x14ac:dyDescent="0.2">
      <c r="E10365" s="1063"/>
      <c r="H10365" s="1066"/>
      <c r="I10365" s="1063"/>
      <c r="J10365" s="1063"/>
      <c r="K10365" s="1063"/>
      <c r="L10365" s="1063"/>
    </row>
    <row r="10366" spans="5:12" x14ac:dyDescent="0.2">
      <c r="E10366" s="1063"/>
      <c r="H10366" s="1066"/>
      <c r="I10366" s="1063"/>
      <c r="J10366" s="1063"/>
      <c r="K10366" s="1063"/>
      <c r="L10366" s="1063"/>
    </row>
    <row r="10367" spans="5:12" x14ac:dyDescent="0.2">
      <c r="E10367" s="1063"/>
      <c r="H10367" s="1066"/>
      <c r="I10367" s="1063"/>
      <c r="J10367" s="1063"/>
      <c r="K10367" s="1063"/>
      <c r="L10367" s="1063"/>
    </row>
    <row r="10368" spans="5:12" x14ac:dyDescent="0.2">
      <c r="E10368" s="1063"/>
      <c r="H10368" s="1066"/>
      <c r="I10368" s="1063"/>
      <c r="J10368" s="1063"/>
      <c r="K10368" s="1063"/>
      <c r="L10368" s="1063"/>
    </row>
    <row r="10369" spans="5:12" x14ac:dyDescent="0.2">
      <c r="E10369" s="1063"/>
      <c r="H10369" s="1066"/>
      <c r="I10369" s="1063"/>
      <c r="J10369" s="1063"/>
      <c r="K10369" s="1063"/>
      <c r="L10369" s="1063"/>
    </row>
    <row r="10370" spans="5:12" x14ac:dyDescent="0.2">
      <c r="E10370" s="1063"/>
      <c r="H10370" s="1066"/>
      <c r="I10370" s="1063"/>
      <c r="J10370" s="1063"/>
      <c r="K10370" s="1063"/>
      <c r="L10370" s="1063"/>
    </row>
    <row r="10371" spans="5:12" x14ac:dyDescent="0.2">
      <c r="E10371" s="1063"/>
      <c r="H10371" s="1066"/>
      <c r="I10371" s="1063"/>
      <c r="J10371" s="1063"/>
      <c r="K10371" s="1063"/>
      <c r="L10371" s="1063"/>
    </row>
    <row r="10372" spans="5:12" x14ac:dyDescent="0.2">
      <c r="E10372" s="1063"/>
      <c r="H10372" s="1066"/>
      <c r="I10372" s="1063"/>
      <c r="J10372" s="1063"/>
      <c r="K10372" s="1063"/>
      <c r="L10372" s="1063"/>
    </row>
    <row r="10373" spans="5:12" x14ac:dyDescent="0.2">
      <c r="E10373" s="1063"/>
      <c r="H10373" s="1066"/>
      <c r="I10373" s="1063"/>
      <c r="J10373" s="1063"/>
      <c r="K10373" s="1063"/>
      <c r="L10373" s="1063"/>
    </row>
    <row r="10374" spans="5:12" x14ac:dyDescent="0.2">
      <c r="E10374" s="1063"/>
      <c r="H10374" s="1066"/>
      <c r="I10374" s="1063"/>
      <c r="J10374" s="1063"/>
      <c r="K10374" s="1063"/>
      <c r="L10374" s="1063"/>
    </row>
    <row r="10375" spans="5:12" x14ac:dyDescent="0.2">
      <c r="E10375" s="1063"/>
      <c r="H10375" s="1066"/>
      <c r="I10375" s="1063"/>
      <c r="J10375" s="1063"/>
      <c r="K10375" s="1063"/>
      <c r="L10375" s="1063"/>
    </row>
    <row r="10376" spans="5:12" x14ac:dyDescent="0.2">
      <c r="E10376" s="1063"/>
      <c r="H10376" s="1066"/>
      <c r="I10376" s="1063"/>
      <c r="J10376" s="1063"/>
      <c r="K10376" s="1063"/>
      <c r="L10376" s="1063"/>
    </row>
    <row r="10377" spans="5:12" x14ac:dyDescent="0.2">
      <c r="E10377" s="1063"/>
      <c r="H10377" s="1066"/>
      <c r="I10377" s="1063"/>
      <c r="J10377" s="1063"/>
      <c r="K10377" s="1063"/>
      <c r="L10377" s="1063"/>
    </row>
    <row r="10378" spans="5:12" x14ac:dyDescent="0.2">
      <c r="E10378" s="1063"/>
      <c r="H10378" s="1066"/>
      <c r="I10378" s="1063"/>
      <c r="J10378" s="1063"/>
      <c r="K10378" s="1063"/>
      <c r="L10378" s="1063"/>
    </row>
    <row r="10379" spans="5:12" x14ac:dyDescent="0.2">
      <c r="E10379" s="1063"/>
      <c r="H10379" s="1066"/>
      <c r="I10379" s="1063"/>
      <c r="J10379" s="1063"/>
      <c r="K10379" s="1063"/>
      <c r="L10379" s="1063"/>
    </row>
    <row r="10380" spans="5:12" x14ac:dyDescent="0.2">
      <c r="E10380" s="1063"/>
      <c r="H10380" s="1066"/>
      <c r="I10380" s="1063"/>
      <c r="J10380" s="1063"/>
      <c r="K10380" s="1063"/>
      <c r="L10380" s="1063"/>
    </row>
    <row r="10381" spans="5:12" x14ac:dyDescent="0.2">
      <c r="E10381" s="1063"/>
      <c r="H10381" s="1066"/>
      <c r="I10381" s="1063"/>
      <c r="J10381" s="1063"/>
      <c r="K10381" s="1063"/>
      <c r="L10381" s="1063"/>
    </row>
    <row r="10382" spans="5:12" x14ac:dyDescent="0.2">
      <c r="E10382" s="1063"/>
      <c r="H10382" s="1066"/>
      <c r="I10382" s="1063"/>
      <c r="J10382" s="1063"/>
      <c r="K10382" s="1063"/>
      <c r="L10382" s="1063"/>
    </row>
    <row r="10383" spans="5:12" x14ac:dyDescent="0.2">
      <c r="E10383" s="1063"/>
      <c r="H10383" s="1066"/>
      <c r="I10383" s="1063"/>
      <c r="J10383" s="1063"/>
      <c r="K10383" s="1063"/>
      <c r="L10383" s="1063"/>
    </row>
    <row r="10384" spans="5:12" x14ac:dyDescent="0.2">
      <c r="E10384" s="1063"/>
      <c r="H10384" s="1066"/>
      <c r="I10384" s="1063"/>
      <c r="J10384" s="1063"/>
      <c r="K10384" s="1063"/>
      <c r="L10384" s="1063"/>
    </row>
    <row r="10385" spans="5:12" x14ac:dyDescent="0.2">
      <c r="E10385" s="1063"/>
      <c r="H10385" s="1066"/>
      <c r="I10385" s="1063"/>
      <c r="J10385" s="1063"/>
      <c r="K10385" s="1063"/>
      <c r="L10385" s="1063"/>
    </row>
    <row r="10386" spans="5:12" x14ac:dyDescent="0.2">
      <c r="E10386" s="1063"/>
      <c r="H10386" s="1066"/>
      <c r="I10386" s="1063"/>
      <c r="J10386" s="1063"/>
      <c r="K10386" s="1063"/>
      <c r="L10386" s="1063"/>
    </row>
    <row r="10387" spans="5:12" x14ac:dyDescent="0.2">
      <c r="E10387" s="1063"/>
      <c r="H10387" s="1066"/>
      <c r="I10387" s="1063"/>
      <c r="J10387" s="1063"/>
      <c r="K10387" s="1063"/>
      <c r="L10387" s="1063"/>
    </row>
    <row r="10388" spans="5:12" x14ac:dyDescent="0.2">
      <c r="E10388" s="1063"/>
      <c r="H10388" s="1066"/>
      <c r="I10388" s="1063"/>
      <c r="J10388" s="1063"/>
      <c r="K10388" s="1063"/>
      <c r="L10388" s="1063"/>
    </row>
    <row r="10389" spans="5:12" x14ac:dyDescent="0.2">
      <c r="E10389" s="1063"/>
      <c r="H10389" s="1066"/>
      <c r="I10389" s="1063"/>
      <c r="J10389" s="1063"/>
      <c r="K10389" s="1063"/>
      <c r="L10389" s="1063"/>
    </row>
    <row r="10390" spans="5:12" x14ac:dyDescent="0.2">
      <c r="E10390" s="1063"/>
      <c r="H10390" s="1066"/>
      <c r="I10390" s="1063"/>
      <c r="J10390" s="1063"/>
      <c r="K10390" s="1063"/>
      <c r="L10390" s="1063"/>
    </row>
    <row r="10391" spans="5:12" x14ac:dyDescent="0.2">
      <c r="E10391" s="1063"/>
      <c r="H10391" s="1066"/>
      <c r="I10391" s="1063"/>
      <c r="J10391" s="1063"/>
      <c r="K10391" s="1063"/>
      <c r="L10391" s="1063"/>
    </row>
    <row r="10392" spans="5:12" x14ac:dyDescent="0.2">
      <c r="E10392" s="1063"/>
      <c r="H10392" s="1066"/>
      <c r="I10392" s="1063"/>
      <c r="J10392" s="1063"/>
      <c r="K10392" s="1063"/>
      <c r="L10392" s="1063"/>
    </row>
    <row r="10393" spans="5:12" x14ac:dyDescent="0.2">
      <c r="E10393" s="1063"/>
      <c r="H10393" s="1066"/>
      <c r="I10393" s="1063"/>
      <c r="J10393" s="1063"/>
      <c r="K10393" s="1063"/>
      <c r="L10393" s="1063"/>
    </row>
    <row r="10394" spans="5:12" x14ac:dyDescent="0.2">
      <c r="E10394" s="1063"/>
      <c r="H10394" s="1066"/>
      <c r="I10394" s="1063"/>
      <c r="J10394" s="1063"/>
      <c r="K10394" s="1063"/>
      <c r="L10394" s="1063"/>
    </row>
    <row r="10395" spans="5:12" x14ac:dyDescent="0.2">
      <c r="E10395" s="1063"/>
      <c r="H10395" s="1066"/>
      <c r="I10395" s="1063"/>
      <c r="J10395" s="1063"/>
      <c r="K10395" s="1063"/>
      <c r="L10395" s="1063"/>
    </row>
    <row r="10396" spans="5:12" x14ac:dyDescent="0.2">
      <c r="E10396" s="1063"/>
      <c r="H10396" s="1066"/>
      <c r="I10396" s="1063"/>
      <c r="J10396" s="1063"/>
      <c r="K10396" s="1063"/>
      <c r="L10396" s="1063"/>
    </row>
    <row r="10397" spans="5:12" x14ac:dyDescent="0.2">
      <c r="E10397" s="1063"/>
      <c r="H10397" s="1066"/>
      <c r="I10397" s="1063"/>
      <c r="J10397" s="1063"/>
      <c r="K10397" s="1063"/>
      <c r="L10397" s="1063"/>
    </row>
    <row r="10398" spans="5:12" x14ac:dyDescent="0.2">
      <c r="E10398" s="1063"/>
      <c r="H10398" s="1066"/>
      <c r="I10398" s="1063"/>
      <c r="J10398" s="1063"/>
      <c r="K10398" s="1063"/>
      <c r="L10398" s="1063"/>
    </row>
    <row r="10399" spans="5:12" x14ac:dyDescent="0.2">
      <c r="E10399" s="1063"/>
      <c r="H10399" s="1066"/>
      <c r="I10399" s="1063"/>
      <c r="J10399" s="1063"/>
      <c r="K10399" s="1063"/>
      <c r="L10399" s="1063"/>
    </row>
    <row r="10400" spans="5:12" x14ac:dyDescent="0.2">
      <c r="E10400" s="1063"/>
      <c r="H10400" s="1066"/>
      <c r="I10400" s="1063"/>
      <c r="J10400" s="1063"/>
      <c r="K10400" s="1063"/>
      <c r="L10400" s="1063"/>
    </row>
    <row r="10401" spans="5:12" x14ac:dyDescent="0.2">
      <c r="E10401" s="1063"/>
      <c r="H10401" s="1066"/>
      <c r="I10401" s="1063"/>
      <c r="J10401" s="1063"/>
      <c r="K10401" s="1063"/>
      <c r="L10401" s="1063"/>
    </row>
    <row r="10402" spans="5:12" x14ac:dyDescent="0.2">
      <c r="E10402" s="1063"/>
      <c r="H10402" s="1066"/>
      <c r="I10402" s="1063"/>
      <c r="J10402" s="1063"/>
      <c r="K10402" s="1063"/>
      <c r="L10402" s="1063"/>
    </row>
    <row r="10403" spans="5:12" x14ac:dyDescent="0.2">
      <c r="E10403" s="1063"/>
      <c r="H10403" s="1066"/>
      <c r="I10403" s="1063"/>
      <c r="J10403" s="1063"/>
      <c r="K10403" s="1063"/>
      <c r="L10403" s="1063"/>
    </row>
    <row r="10404" spans="5:12" x14ac:dyDescent="0.2">
      <c r="E10404" s="1063"/>
      <c r="H10404" s="1066"/>
      <c r="I10404" s="1063"/>
      <c r="J10404" s="1063"/>
      <c r="K10404" s="1063"/>
      <c r="L10404" s="1063"/>
    </row>
    <row r="10405" spans="5:12" x14ac:dyDescent="0.2">
      <c r="E10405" s="1063"/>
      <c r="H10405" s="1066"/>
      <c r="I10405" s="1063"/>
      <c r="J10405" s="1063"/>
      <c r="K10405" s="1063"/>
      <c r="L10405" s="1063"/>
    </row>
    <row r="10406" spans="5:12" x14ac:dyDescent="0.2">
      <c r="E10406" s="1063"/>
      <c r="H10406" s="1066"/>
      <c r="I10406" s="1063"/>
      <c r="J10406" s="1063"/>
      <c r="K10406" s="1063"/>
      <c r="L10406" s="1063"/>
    </row>
    <row r="10407" spans="5:12" x14ac:dyDescent="0.2">
      <c r="E10407" s="1063"/>
      <c r="H10407" s="1066"/>
      <c r="I10407" s="1063"/>
      <c r="J10407" s="1063"/>
      <c r="K10407" s="1063"/>
      <c r="L10407" s="1063"/>
    </row>
    <row r="10408" spans="5:12" x14ac:dyDescent="0.2">
      <c r="E10408" s="1063"/>
      <c r="H10408" s="1066"/>
      <c r="I10408" s="1063"/>
      <c r="J10408" s="1063"/>
      <c r="K10408" s="1063"/>
      <c r="L10408" s="1063"/>
    </row>
    <row r="10409" spans="5:12" x14ac:dyDescent="0.2">
      <c r="E10409" s="1063"/>
      <c r="H10409" s="1066"/>
      <c r="I10409" s="1063"/>
      <c r="J10409" s="1063"/>
      <c r="K10409" s="1063"/>
      <c r="L10409" s="1063"/>
    </row>
    <row r="10410" spans="5:12" x14ac:dyDescent="0.2">
      <c r="E10410" s="1063"/>
      <c r="H10410" s="1066"/>
      <c r="I10410" s="1063"/>
      <c r="J10410" s="1063"/>
      <c r="K10410" s="1063"/>
      <c r="L10410" s="1063"/>
    </row>
    <row r="10411" spans="5:12" x14ac:dyDescent="0.2">
      <c r="E10411" s="1063"/>
      <c r="H10411" s="1066"/>
      <c r="I10411" s="1063"/>
      <c r="J10411" s="1063"/>
      <c r="K10411" s="1063"/>
      <c r="L10411" s="1063"/>
    </row>
    <row r="10412" spans="5:12" x14ac:dyDescent="0.2">
      <c r="E10412" s="1063"/>
      <c r="H10412" s="1066"/>
      <c r="I10412" s="1063"/>
      <c r="J10412" s="1063"/>
      <c r="K10412" s="1063"/>
      <c r="L10412" s="1063"/>
    </row>
    <row r="10413" spans="5:12" x14ac:dyDescent="0.2">
      <c r="E10413" s="1063"/>
      <c r="H10413" s="1066"/>
      <c r="I10413" s="1063"/>
      <c r="J10413" s="1063"/>
      <c r="K10413" s="1063"/>
      <c r="L10413" s="1063"/>
    </row>
    <row r="10414" spans="5:12" x14ac:dyDescent="0.2">
      <c r="E10414" s="1063"/>
      <c r="H10414" s="1066"/>
      <c r="I10414" s="1063"/>
      <c r="J10414" s="1063"/>
      <c r="K10414" s="1063"/>
      <c r="L10414" s="1063"/>
    </row>
    <row r="10415" spans="5:12" x14ac:dyDescent="0.2">
      <c r="E10415" s="1063"/>
      <c r="H10415" s="1066"/>
      <c r="I10415" s="1063"/>
      <c r="J10415" s="1063"/>
      <c r="K10415" s="1063"/>
      <c r="L10415" s="1063"/>
    </row>
    <row r="10416" spans="5:12" x14ac:dyDescent="0.2">
      <c r="E10416" s="1063"/>
      <c r="H10416" s="1066"/>
      <c r="I10416" s="1063"/>
      <c r="J10416" s="1063"/>
      <c r="K10416" s="1063"/>
      <c r="L10416" s="1063"/>
    </row>
    <row r="10417" spans="5:12" x14ac:dyDescent="0.2">
      <c r="E10417" s="1063"/>
      <c r="H10417" s="1066"/>
      <c r="I10417" s="1063"/>
      <c r="J10417" s="1063"/>
      <c r="K10417" s="1063"/>
      <c r="L10417" s="1063"/>
    </row>
    <row r="10418" spans="5:12" x14ac:dyDescent="0.2">
      <c r="E10418" s="1063"/>
      <c r="H10418" s="1066"/>
      <c r="I10418" s="1063"/>
      <c r="J10418" s="1063"/>
      <c r="K10418" s="1063"/>
      <c r="L10418" s="1063"/>
    </row>
    <row r="10419" spans="5:12" x14ac:dyDescent="0.2">
      <c r="E10419" s="1063"/>
      <c r="H10419" s="1066"/>
      <c r="I10419" s="1063"/>
      <c r="J10419" s="1063"/>
      <c r="K10419" s="1063"/>
      <c r="L10419" s="1063"/>
    </row>
    <row r="10420" spans="5:12" x14ac:dyDescent="0.2">
      <c r="E10420" s="1063"/>
      <c r="H10420" s="1066"/>
      <c r="I10420" s="1063"/>
      <c r="J10420" s="1063"/>
      <c r="K10420" s="1063"/>
      <c r="L10420" s="1063"/>
    </row>
    <row r="10421" spans="5:12" x14ac:dyDescent="0.2">
      <c r="E10421" s="1063"/>
      <c r="H10421" s="1066"/>
      <c r="I10421" s="1063"/>
      <c r="J10421" s="1063"/>
      <c r="K10421" s="1063"/>
      <c r="L10421" s="1063"/>
    </row>
    <row r="10422" spans="5:12" x14ac:dyDescent="0.2">
      <c r="E10422" s="1063"/>
      <c r="H10422" s="1066"/>
      <c r="I10422" s="1063"/>
      <c r="J10422" s="1063"/>
      <c r="K10422" s="1063"/>
      <c r="L10422" s="1063"/>
    </row>
    <row r="10423" spans="5:12" x14ac:dyDescent="0.2">
      <c r="E10423" s="1063"/>
      <c r="H10423" s="1066"/>
      <c r="I10423" s="1063"/>
      <c r="J10423" s="1063"/>
      <c r="K10423" s="1063"/>
      <c r="L10423" s="1063"/>
    </row>
    <row r="10424" spans="5:12" x14ac:dyDescent="0.2">
      <c r="E10424" s="1063"/>
      <c r="H10424" s="1066"/>
      <c r="I10424" s="1063"/>
      <c r="J10424" s="1063"/>
      <c r="K10424" s="1063"/>
      <c r="L10424" s="1063"/>
    </row>
    <row r="10425" spans="5:12" x14ac:dyDescent="0.2">
      <c r="E10425" s="1063"/>
      <c r="H10425" s="1066"/>
      <c r="I10425" s="1063"/>
      <c r="J10425" s="1063"/>
      <c r="K10425" s="1063"/>
      <c r="L10425" s="1063"/>
    </row>
    <row r="10426" spans="5:12" x14ac:dyDescent="0.2">
      <c r="E10426" s="1063"/>
      <c r="H10426" s="1066"/>
      <c r="I10426" s="1063"/>
      <c r="J10426" s="1063"/>
      <c r="K10426" s="1063"/>
      <c r="L10426" s="1063"/>
    </row>
    <row r="10427" spans="5:12" x14ac:dyDescent="0.2">
      <c r="E10427" s="1063"/>
      <c r="H10427" s="1066"/>
      <c r="I10427" s="1063"/>
      <c r="J10427" s="1063"/>
      <c r="K10427" s="1063"/>
      <c r="L10427" s="1063"/>
    </row>
    <row r="10428" spans="5:12" x14ac:dyDescent="0.2">
      <c r="E10428" s="1063"/>
      <c r="H10428" s="1066"/>
      <c r="I10428" s="1063"/>
      <c r="J10428" s="1063"/>
      <c r="K10428" s="1063"/>
      <c r="L10428" s="1063"/>
    </row>
    <row r="10429" spans="5:12" x14ac:dyDescent="0.2">
      <c r="E10429" s="1063"/>
      <c r="H10429" s="1066"/>
      <c r="I10429" s="1063"/>
      <c r="J10429" s="1063"/>
      <c r="K10429" s="1063"/>
      <c r="L10429" s="1063"/>
    </row>
    <row r="10430" spans="5:12" x14ac:dyDescent="0.2">
      <c r="E10430" s="1063"/>
      <c r="H10430" s="1066"/>
      <c r="I10430" s="1063"/>
      <c r="J10430" s="1063"/>
      <c r="K10430" s="1063"/>
      <c r="L10430" s="1063"/>
    </row>
    <row r="10431" spans="5:12" x14ac:dyDescent="0.2">
      <c r="E10431" s="1063"/>
      <c r="H10431" s="1066"/>
      <c r="I10431" s="1063"/>
      <c r="J10431" s="1063"/>
      <c r="K10431" s="1063"/>
      <c r="L10431" s="1063"/>
    </row>
    <row r="10432" spans="5:12" x14ac:dyDescent="0.2">
      <c r="E10432" s="1063"/>
      <c r="H10432" s="1066"/>
      <c r="I10432" s="1063"/>
      <c r="J10432" s="1063"/>
      <c r="K10432" s="1063"/>
      <c r="L10432" s="1063"/>
    </row>
    <row r="10433" spans="5:12" x14ac:dyDescent="0.2">
      <c r="E10433" s="1063"/>
      <c r="H10433" s="1066"/>
      <c r="I10433" s="1063"/>
      <c r="J10433" s="1063"/>
      <c r="K10433" s="1063"/>
      <c r="L10433" s="1063"/>
    </row>
    <row r="10434" spans="5:12" x14ac:dyDescent="0.2">
      <c r="E10434" s="1063"/>
      <c r="H10434" s="1066"/>
      <c r="I10434" s="1063"/>
      <c r="J10434" s="1063"/>
      <c r="K10434" s="1063"/>
      <c r="L10434" s="1063"/>
    </row>
    <row r="10435" spans="5:12" x14ac:dyDescent="0.2">
      <c r="E10435" s="1063"/>
      <c r="H10435" s="1066"/>
      <c r="I10435" s="1063"/>
      <c r="J10435" s="1063"/>
      <c r="K10435" s="1063"/>
      <c r="L10435" s="1063"/>
    </row>
    <row r="10436" spans="5:12" x14ac:dyDescent="0.2">
      <c r="E10436" s="1063"/>
      <c r="H10436" s="1066"/>
      <c r="I10436" s="1063"/>
      <c r="J10436" s="1063"/>
      <c r="K10436" s="1063"/>
      <c r="L10436" s="1063"/>
    </row>
    <row r="10437" spans="5:12" x14ac:dyDescent="0.2">
      <c r="E10437" s="1063"/>
      <c r="H10437" s="1066"/>
      <c r="I10437" s="1063"/>
      <c r="J10437" s="1063"/>
      <c r="K10437" s="1063"/>
      <c r="L10437" s="1063"/>
    </row>
    <row r="10438" spans="5:12" x14ac:dyDescent="0.2">
      <c r="E10438" s="1063"/>
      <c r="H10438" s="1066"/>
      <c r="I10438" s="1063"/>
      <c r="J10438" s="1063"/>
      <c r="K10438" s="1063"/>
      <c r="L10438" s="1063"/>
    </row>
    <row r="10439" spans="5:12" x14ac:dyDescent="0.2">
      <c r="E10439" s="1063"/>
      <c r="H10439" s="1066"/>
      <c r="I10439" s="1063"/>
      <c r="J10439" s="1063"/>
      <c r="K10439" s="1063"/>
      <c r="L10439" s="1063"/>
    </row>
    <row r="10440" spans="5:12" x14ac:dyDescent="0.2">
      <c r="E10440" s="1063"/>
      <c r="H10440" s="1066"/>
      <c r="I10440" s="1063"/>
      <c r="J10440" s="1063"/>
      <c r="K10440" s="1063"/>
      <c r="L10440" s="1063"/>
    </row>
    <row r="10441" spans="5:12" x14ac:dyDescent="0.2">
      <c r="E10441" s="1063"/>
      <c r="H10441" s="1066"/>
      <c r="I10441" s="1063"/>
      <c r="J10441" s="1063"/>
      <c r="K10441" s="1063"/>
      <c r="L10441" s="1063"/>
    </row>
    <row r="10442" spans="5:12" x14ac:dyDescent="0.2">
      <c r="E10442" s="1063"/>
      <c r="H10442" s="1066"/>
      <c r="I10442" s="1063"/>
      <c r="J10442" s="1063"/>
      <c r="K10442" s="1063"/>
      <c r="L10442" s="1063"/>
    </row>
    <row r="10443" spans="5:12" x14ac:dyDescent="0.2">
      <c r="E10443" s="1063"/>
      <c r="H10443" s="1066"/>
      <c r="I10443" s="1063"/>
      <c r="J10443" s="1063"/>
      <c r="K10443" s="1063"/>
      <c r="L10443" s="1063"/>
    </row>
    <row r="10444" spans="5:12" x14ac:dyDescent="0.2">
      <c r="E10444" s="1063"/>
      <c r="H10444" s="1066"/>
      <c r="I10444" s="1063"/>
      <c r="J10444" s="1063"/>
      <c r="K10444" s="1063"/>
      <c r="L10444" s="1063"/>
    </row>
    <row r="10445" spans="5:12" x14ac:dyDescent="0.2">
      <c r="E10445" s="1063"/>
      <c r="H10445" s="1066"/>
      <c r="I10445" s="1063"/>
      <c r="J10445" s="1063"/>
      <c r="K10445" s="1063"/>
      <c r="L10445" s="1063"/>
    </row>
    <row r="10446" spans="5:12" x14ac:dyDescent="0.2">
      <c r="E10446" s="1063"/>
      <c r="H10446" s="1066"/>
      <c r="I10446" s="1063"/>
      <c r="J10446" s="1063"/>
      <c r="K10446" s="1063"/>
      <c r="L10446" s="1063"/>
    </row>
    <row r="10447" spans="5:12" x14ac:dyDescent="0.2">
      <c r="E10447" s="1063"/>
      <c r="H10447" s="1066"/>
      <c r="I10447" s="1063"/>
      <c r="J10447" s="1063"/>
      <c r="K10447" s="1063"/>
      <c r="L10447" s="1063"/>
    </row>
    <row r="10448" spans="5:12" x14ac:dyDescent="0.2">
      <c r="E10448" s="1063"/>
      <c r="H10448" s="1066"/>
      <c r="I10448" s="1063"/>
      <c r="J10448" s="1063"/>
      <c r="K10448" s="1063"/>
      <c r="L10448" s="1063"/>
    </row>
    <row r="10449" spans="5:12" x14ac:dyDescent="0.2">
      <c r="E10449" s="1063"/>
      <c r="H10449" s="1066"/>
      <c r="I10449" s="1063"/>
      <c r="J10449" s="1063"/>
      <c r="K10449" s="1063"/>
      <c r="L10449" s="1063"/>
    </row>
    <row r="10450" spans="5:12" x14ac:dyDescent="0.2">
      <c r="E10450" s="1063"/>
      <c r="H10450" s="1066"/>
      <c r="I10450" s="1063"/>
      <c r="J10450" s="1063"/>
      <c r="K10450" s="1063"/>
      <c r="L10450" s="1063"/>
    </row>
    <row r="10451" spans="5:12" x14ac:dyDescent="0.2">
      <c r="E10451" s="1063"/>
      <c r="H10451" s="1066"/>
      <c r="I10451" s="1063"/>
      <c r="J10451" s="1063"/>
      <c r="K10451" s="1063"/>
      <c r="L10451" s="1063"/>
    </row>
    <row r="10452" spans="5:12" x14ac:dyDescent="0.2">
      <c r="E10452" s="1063"/>
      <c r="H10452" s="1066"/>
      <c r="I10452" s="1063"/>
      <c r="J10452" s="1063"/>
      <c r="K10452" s="1063"/>
      <c r="L10452" s="1063"/>
    </row>
    <row r="10453" spans="5:12" x14ac:dyDescent="0.2">
      <c r="E10453" s="1063"/>
      <c r="H10453" s="1066"/>
      <c r="I10453" s="1063"/>
      <c r="J10453" s="1063"/>
      <c r="K10453" s="1063"/>
      <c r="L10453" s="1063"/>
    </row>
    <row r="10454" spans="5:12" x14ac:dyDescent="0.2">
      <c r="E10454" s="1063"/>
      <c r="H10454" s="1066"/>
      <c r="I10454" s="1063"/>
      <c r="J10454" s="1063"/>
      <c r="K10454" s="1063"/>
      <c r="L10454" s="1063"/>
    </row>
    <row r="10455" spans="5:12" x14ac:dyDescent="0.2">
      <c r="E10455" s="1063"/>
      <c r="H10455" s="1066"/>
      <c r="I10455" s="1063"/>
      <c r="J10455" s="1063"/>
      <c r="K10455" s="1063"/>
      <c r="L10455" s="1063"/>
    </row>
    <row r="10456" spans="5:12" x14ac:dyDescent="0.2">
      <c r="E10456" s="1063"/>
      <c r="H10456" s="1066"/>
      <c r="I10456" s="1063"/>
      <c r="J10456" s="1063"/>
      <c r="K10456" s="1063"/>
      <c r="L10456" s="1063"/>
    </row>
    <row r="10457" spans="5:12" x14ac:dyDescent="0.2">
      <c r="E10457" s="1063"/>
      <c r="H10457" s="1066"/>
      <c r="I10457" s="1063"/>
      <c r="J10457" s="1063"/>
      <c r="K10457" s="1063"/>
      <c r="L10457" s="1063"/>
    </row>
    <row r="10458" spans="5:12" x14ac:dyDescent="0.2">
      <c r="E10458" s="1063"/>
      <c r="H10458" s="1066"/>
      <c r="I10458" s="1063"/>
      <c r="J10458" s="1063"/>
      <c r="K10458" s="1063"/>
      <c r="L10458" s="1063"/>
    </row>
    <row r="10459" spans="5:12" x14ac:dyDescent="0.2">
      <c r="E10459" s="1063"/>
      <c r="H10459" s="1066"/>
      <c r="I10459" s="1063"/>
      <c r="J10459" s="1063"/>
      <c r="K10459" s="1063"/>
      <c r="L10459" s="1063"/>
    </row>
    <row r="10460" spans="5:12" x14ac:dyDescent="0.2">
      <c r="E10460" s="1063"/>
      <c r="H10460" s="1066"/>
      <c r="I10460" s="1063"/>
      <c r="J10460" s="1063"/>
      <c r="K10460" s="1063"/>
      <c r="L10460" s="1063"/>
    </row>
    <row r="10461" spans="5:12" x14ac:dyDescent="0.2">
      <c r="E10461" s="1063"/>
      <c r="H10461" s="1066"/>
      <c r="I10461" s="1063"/>
      <c r="J10461" s="1063"/>
      <c r="K10461" s="1063"/>
      <c r="L10461" s="1063"/>
    </row>
    <row r="10462" spans="5:12" x14ac:dyDescent="0.2">
      <c r="E10462" s="1063"/>
      <c r="H10462" s="1066"/>
      <c r="I10462" s="1063"/>
      <c r="J10462" s="1063"/>
      <c r="K10462" s="1063"/>
      <c r="L10462" s="1063"/>
    </row>
    <row r="10463" spans="5:12" x14ac:dyDescent="0.2">
      <c r="E10463" s="1063"/>
      <c r="H10463" s="1066"/>
      <c r="I10463" s="1063"/>
      <c r="J10463" s="1063"/>
      <c r="K10463" s="1063"/>
      <c r="L10463" s="1063"/>
    </row>
    <row r="10464" spans="5:12" x14ac:dyDescent="0.2">
      <c r="E10464" s="1063"/>
      <c r="H10464" s="1066"/>
      <c r="I10464" s="1063"/>
      <c r="J10464" s="1063"/>
      <c r="K10464" s="1063"/>
      <c r="L10464" s="1063"/>
    </row>
    <row r="10465" spans="5:12" x14ac:dyDescent="0.2">
      <c r="E10465" s="1063"/>
      <c r="H10465" s="1066"/>
      <c r="I10465" s="1063"/>
      <c r="J10465" s="1063"/>
      <c r="K10465" s="1063"/>
      <c r="L10465" s="1063"/>
    </row>
    <row r="10466" spans="5:12" x14ac:dyDescent="0.2">
      <c r="E10466" s="1063"/>
      <c r="H10466" s="1066"/>
      <c r="I10466" s="1063"/>
      <c r="J10466" s="1063"/>
      <c r="K10466" s="1063"/>
      <c r="L10466" s="1063"/>
    </row>
    <row r="10467" spans="5:12" x14ac:dyDescent="0.2">
      <c r="E10467" s="1063"/>
      <c r="H10467" s="1066"/>
      <c r="I10467" s="1063"/>
      <c r="J10467" s="1063"/>
      <c r="K10467" s="1063"/>
      <c r="L10467" s="1063"/>
    </row>
    <row r="10468" spans="5:12" x14ac:dyDescent="0.2">
      <c r="E10468" s="1063"/>
      <c r="H10468" s="1066"/>
      <c r="I10468" s="1063"/>
      <c r="J10468" s="1063"/>
      <c r="K10468" s="1063"/>
      <c r="L10468" s="1063"/>
    </row>
    <row r="10469" spans="5:12" x14ac:dyDescent="0.2">
      <c r="E10469" s="1063"/>
      <c r="H10469" s="1066"/>
      <c r="I10469" s="1063"/>
      <c r="J10469" s="1063"/>
      <c r="K10469" s="1063"/>
      <c r="L10469" s="1063"/>
    </row>
    <row r="10470" spans="5:12" x14ac:dyDescent="0.2">
      <c r="E10470" s="1063"/>
      <c r="H10470" s="1066"/>
      <c r="I10470" s="1063"/>
      <c r="J10470" s="1063"/>
      <c r="K10470" s="1063"/>
      <c r="L10470" s="1063"/>
    </row>
    <row r="10471" spans="5:12" x14ac:dyDescent="0.2">
      <c r="E10471" s="1063"/>
      <c r="H10471" s="1066"/>
      <c r="I10471" s="1063"/>
      <c r="J10471" s="1063"/>
      <c r="K10471" s="1063"/>
      <c r="L10471" s="1063"/>
    </row>
    <row r="10472" spans="5:12" x14ac:dyDescent="0.2">
      <c r="E10472" s="1063"/>
      <c r="H10472" s="1066"/>
      <c r="I10472" s="1063"/>
      <c r="J10472" s="1063"/>
      <c r="K10472" s="1063"/>
      <c r="L10472" s="1063"/>
    </row>
    <row r="10473" spans="5:12" x14ac:dyDescent="0.2">
      <c r="E10473" s="1063"/>
      <c r="H10473" s="1066"/>
      <c r="I10473" s="1063"/>
      <c r="J10473" s="1063"/>
      <c r="K10473" s="1063"/>
      <c r="L10473" s="1063"/>
    </row>
    <row r="10474" spans="5:12" x14ac:dyDescent="0.2">
      <c r="E10474" s="1063"/>
      <c r="H10474" s="1066"/>
      <c r="I10474" s="1063"/>
      <c r="J10474" s="1063"/>
      <c r="K10474" s="1063"/>
      <c r="L10474" s="1063"/>
    </row>
    <row r="10475" spans="5:12" x14ac:dyDescent="0.2">
      <c r="E10475" s="1063"/>
      <c r="H10475" s="1066"/>
      <c r="I10475" s="1063"/>
      <c r="J10475" s="1063"/>
      <c r="K10475" s="1063"/>
      <c r="L10475" s="1063"/>
    </row>
    <row r="10476" spans="5:12" x14ac:dyDescent="0.2">
      <c r="E10476" s="1063"/>
      <c r="H10476" s="1066"/>
      <c r="I10476" s="1063"/>
      <c r="J10476" s="1063"/>
      <c r="K10476" s="1063"/>
      <c r="L10476" s="1063"/>
    </row>
    <row r="10477" spans="5:12" x14ac:dyDescent="0.2">
      <c r="E10477" s="1063"/>
      <c r="H10477" s="1066"/>
      <c r="I10477" s="1063"/>
      <c r="J10477" s="1063"/>
      <c r="K10477" s="1063"/>
      <c r="L10477" s="1063"/>
    </row>
    <row r="10478" spans="5:12" x14ac:dyDescent="0.2">
      <c r="E10478" s="1063"/>
      <c r="H10478" s="1066"/>
      <c r="I10478" s="1063"/>
      <c r="J10478" s="1063"/>
      <c r="K10478" s="1063"/>
      <c r="L10478" s="1063"/>
    </row>
    <row r="10479" spans="5:12" x14ac:dyDescent="0.2">
      <c r="E10479" s="1063"/>
      <c r="H10479" s="1066"/>
      <c r="I10479" s="1063"/>
      <c r="J10479" s="1063"/>
      <c r="K10479" s="1063"/>
      <c r="L10479" s="1063"/>
    </row>
    <row r="10480" spans="5:12" x14ac:dyDescent="0.2">
      <c r="E10480" s="1063"/>
      <c r="H10480" s="1066"/>
      <c r="I10480" s="1063"/>
      <c r="J10480" s="1063"/>
      <c r="K10480" s="1063"/>
      <c r="L10480" s="1063"/>
    </row>
    <row r="10481" spans="5:12" x14ac:dyDescent="0.2">
      <c r="E10481" s="1063"/>
      <c r="H10481" s="1066"/>
      <c r="I10481" s="1063"/>
      <c r="J10481" s="1063"/>
      <c r="K10481" s="1063"/>
      <c r="L10481" s="1063"/>
    </row>
    <row r="10482" spans="5:12" x14ac:dyDescent="0.2">
      <c r="E10482" s="1063"/>
      <c r="H10482" s="1066"/>
      <c r="I10482" s="1063"/>
      <c r="J10482" s="1063"/>
      <c r="K10482" s="1063"/>
      <c r="L10482" s="1063"/>
    </row>
    <row r="10483" spans="5:12" x14ac:dyDescent="0.2">
      <c r="E10483" s="1063"/>
      <c r="H10483" s="1066"/>
      <c r="I10483" s="1063"/>
      <c r="J10483" s="1063"/>
      <c r="K10483" s="1063"/>
      <c r="L10483" s="1063"/>
    </row>
    <row r="10484" spans="5:12" x14ac:dyDescent="0.2">
      <c r="E10484" s="1063"/>
      <c r="H10484" s="1066"/>
      <c r="I10484" s="1063"/>
      <c r="J10484" s="1063"/>
      <c r="K10484" s="1063"/>
      <c r="L10484" s="1063"/>
    </row>
    <row r="10485" spans="5:12" x14ac:dyDescent="0.2">
      <c r="E10485" s="1063"/>
      <c r="H10485" s="1066"/>
      <c r="I10485" s="1063"/>
      <c r="J10485" s="1063"/>
      <c r="K10485" s="1063"/>
      <c r="L10485" s="1063"/>
    </row>
    <row r="10486" spans="5:12" x14ac:dyDescent="0.2">
      <c r="E10486" s="1063"/>
      <c r="H10486" s="1066"/>
      <c r="I10486" s="1063"/>
      <c r="J10486" s="1063"/>
      <c r="K10486" s="1063"/>
      <c r="L10486" s="1063"/>
    </row>
    <row r="10487" spans="5:12" x14ac:dyDescent="0.2">
      <c r="E10487" s="1063"/>
      <c r="H10487" s="1066"/>
      <c r="I10487" s="1063"/>
      <c r="J10487" s="1063"/>
      <c r="K10487" s="1063"/>
      <c r="L10487" s="1063"/>
    </row>
    <row r="10488" spans="5:12" x14ac:dyDescent="0.2">
      <c r="E10488" s="1063"/>
      <c r="H10488" s="1066"/>
      <c r="I10488" s="1063"/>
      <c r="J10488" s="1063"/>
      <c r="K10488" s="1063"/>
      <c r="L10488" s="1063"/>
    </row>
    <row r="10489" spans="5:12" x14ac:dyDescent="0.2">
      <c r="E10489" s="1063"/>
      <c r="H10489" s="1066"/>
      <c r="I10489" s="1063"/>
      <c r="J10489" s="1063"/>
      <c r="K10489" s="1063"/>
      <c r="L10489" s="1063"/>
    </row>
    <row r="10490" spans="5:12" x14ac:dyDescent="0.2">
      <c r="E10490" s="1063"/>
      <c r="H10490" s="1066"/>
      <c r="I10490" s="1063"/>
      <c r="J10490" s="1063"/>
      <c r="K10490" s="1063"/>
      <c r="L10490" s="1063"/>
    </row>
    <row r="10491" spans="5:12" x14ac:dyDescent="0.2">
      <c r="E10491" s="1063"/>
      <c r="H10491" s="1066"/>
      <c r="I10491" s="1063"/>
      <c r="J10491" s="1063"/>
      <c r="K10491" s="1063"/>
      <c r="L10491" s="1063"/>
    </row>
    <row r="10492" spans="5:12" x14ac:dyDescent="0.2">
      <c r="E10492" s="1063"/>
      <c r="H10492" s="1066"/>
      <c r="I10492" s="1063"/>
      <c r="J10492" s="1063"/>
      <c r="K10492" s="1063"/>
      <c r="L10492" s="1063"/>
    </row>
    <row r="10493" spans="5:12" x14ac:dyDescent="0.2">
      <c r="E10493" s="1063"/>
      <c r="H10493" s="1066"/>
      <c r="I10493" s="1063"/>
      <c r="J10493" s="1063"/>
      <c r="K10493" s="1063"/>
      <c r="L10493" s="1063"/>
    </row>
    <row r="10494" spans="5:12" x14ac:dyDescent="0.2">
      <c r="E10494" s="1063"/>
      <c r="H10494" s="1066"/>
      <c r="I10494" s="1063"/>
      <c r="J10494" s="1063"/>
      <c r="K10494" s="1063"/>
      <c r="L10494" s="1063"/>
    </row>
    <row r="10495" spans="5:12" x14ac:dyDescent="0.2">
      <c r="E10495" s="1063"/>
      <c r="H10495" s="1066"/>
      <c r="I10495" s="1063"/>
      <c r="J10495" s="1063"/>
      <c r="K10495" s="1063"/>
      <c r="L10495" s="1063"/>
    </row>
    <row r="10496" spans="5:12" x14ac:dyDescent="0.2">
      <c r="E10496" s="1063"/>
      <c r="H10496" s="1066"/>
      <c r="I10496" s="1063"/>
      <c r="J10496" s="1063"/>
      <c r="K10496" s="1063"/>
      <c r="L10496" s="1063"/>
    </row>
    <row r="10497" spans="5:12" x14ac:dyDescent="0.2">
      <c r="E10497" s="1063"/>
      <c r="H10497" s="1066"/>
      <c r="I10497" s="1063"/>
      <c r="J10497" s="1063"/>
      <c r="K10497" s="1063"/>
      <c r="L10497" s="1063"/>
    </row>
    <row r="10498" spans="5:12" x14ac:dyDescent="0.2">
      <c r="E10498" s="1063"/>
      <c r="H10498" s="1066"/>
      <c r="I10498" s="1063"/>
      <c r="J10498" s="1063"/>
      <c r="K10498" s="1063"/>
      <c r="L10498" s="1063"/>
    </row>
    <row r="10499" spans="5:12" x14ac:dyDescent="0.2">
      <c r="E10499" s="1063"/>
      <c r="H10499" s="1066"/>
      <c r="I10499" s="1063"/>
      <c r="J10499" s="1063"/>
      <c r="K10499" s="1063"/>
      <c r="L10499" s="1063"/>
    </row>
    <row r="10500" spans="5:12" x14ac:dyDescent="0.2">
      <c r="E10500" s="1063"/>
      <c r="H10500" s="1066"/>
      <c r="I10500" s="1063"/>
      <c r="J10500" s="1063"/>
      <c r="K10500" s="1063"/>
      <c r="L10500" s="1063"/>
    </row>
    <row r="10501" spans="5:12" x14ac:dyDescent="0.2">
      <c r="E10501" s="1063"/>
      <c r="H10501" s="1066"/>
      <c r="I10501" s="1063"/>
      <c r="J10501" s="1063"/>
      <c r="K10501" s="1063"/>
      <c r="L10501" s="1063"/>
    </row>
    <row r="10502" spans="5:12" x14ac:dyDescent="0.2">
      <c r="E10502" s="1063"/>
      <c r="H10502" s="1066"/>
      <c r="I10502" s="1063"/>
      <c r="J10502" s="1063"/>
      <c r="K10502" s="1063"/>
      <c r="L10502" s="1063"/>
    </row>
    <row r="10503" spans="5:12" x14ac:dyDescent="0.2">
      <c r="E10503" s="1063"/>
      <c r="H10503" s="1066"/>
      <c r="I10503" s="1063"/>
      <c r="J10503" s="1063"/>
      <c r="K10503" s="1063"/>
      <c r="L10503" s="1063"/>
    </row>
    <row r="10504" spans="5:12" x14ac:dyDescent="0.2">
      <c r="E10504" s="1063"/>
      <c r="H10504" s="1066"/>
      <c r="I10504" s="1063"/>
      <c r="J10504" s="1063"/>
      <c r="K10504" s="1063"/>
      <c r="L10504" s="1063"/>
    </row>
    <row r="10505" spans="5:12" x14ac:dyDescent="0.2">
      <c r="E10505" s="1063"/>
      <c r="H10505" s="1066"/>
      <c r="I10505" s="1063"/>
      <c r="J10505" s="1063"/>
      <c r="K10505" s="1063"/>
      <c r="L10505" s="1063"/>
    </row>
    <row r="10506" spans="5:12" x14ac:dyDescent="0.2">
      <c r="E10506" s="1063"/>
      <c r="H10506" s="1066"/>
      <c r="I10506" s="1063"/>
      <c r="J10506" s="1063"/>
      <c r="K10506" s="1063"/>
      <c r="L10506" s="1063"/>
    </row>
    <row r="10507" spans="5:12" x14ac:dyDescent="0.2">
      <c r="E10507" s="1063"/>
      <c r="H10507" s="1066"/>
      <c r="I10507" s="1063"/>
      <c r="J10507" s="1063"/>
      <c r="K10507" s="1063"/>
      <c r="L10507" s="1063"/>
    </row>
    <row r="10508" spans="5:12" x14ac:dyDescent="0.2">
      <c r="E10508" s="1063"/>
      <c r="H10508" s="1066"/>
      <c r="I10508" s="1063"/>
      <c r="J10508" s="1063"/>
      <c r="K10508" s="1063"/>
      <c r="L10508" s="1063"/>
    </row>
    <row r="10509" spans="5:12" x14ac:dyDescent="0.2">
      <c r="E10509" s="1063"/>
      <c r="H10509" s="1066"/>
      <c r="I10509" s="1063"/>
      <c r="J10509" s="1063"/>
      <c r="K10509" s="1063"/>
      <c r="L10509" s="1063"/>
    </row>
    <row r="10510" spans="5:12" x14ac:dyDescent="0.2">
      <c r="E10510" s="1063"/>
      <c r="H10510" s="1066"/>
      <c r="I10510" s="1063"/>
      <c r="J10510" s="1063"/>
      <c r="K10510" s="1063"/>
      <c r="L10510" s="1063"/>
    </row>
    <row r="10511" spans="5:12" x14ac:dyDescent="0.2">
      <c r="E10511" s="1063"/>
      <c r="H10511" s="1066"/>
      <c r="I10511" s="1063"/>
      <c r="J10511" s="1063"/>
      <c r="K10511" s="1063"/>
      <c r="L10511" s="1063"/>
    </row>
    <row r="10512" spans="5:12" x14ac:dyDescent="0.2">
      <c r="E10512" s="1063"/>
      <c r="H10512" s="1066"/>
      <c r="I10512" s="1063"/>
      <c r="J10512" s="1063"/>
      <c r="K10512" s="1063"/>
      <c r="L10512" s="1063"/>
    </row>
    <row r="10513" spans="5:12" x14ac:dyDescent="0.2">
      <c r="E10513" s="1063"/>
      <c r="H10513" s="1066"/>
      <c r="I10513" s="1063"/>
      <c r="J10513" s="1063"/>
      <c r="K10513" s="1063"/>
      <c r="L10513" s="1063"/>
    </row>
    <row r="10514" spans="5:12" x14ac:dyDescent="0.2">
      <c r="E10514" s="1063"/>
      <c r="H10514" s="1066"/>
      <c r="I10514" s="1063"/>
      <c r="J10514" s="1063"/>
      <c r="K10514" s="1063"/>
      <c r="L10514" s="1063"/>
    </row>
    <row r="10515" spans="5:12" x14ac:dyDescent="0.2">
      <c r="E10515" s="1063"/>
      <c r="H10515" s="1066"/>
      <c r="I10515" s="1063"/>
      <c r="J10515" s="1063"/>
      <c r="K10515" s="1063"/>
      <c r="L10515" s="1063"/>
    </row>
    <row r="10516" spans="5:12" x14ac:dyDescent="0.2">
      <c r="E10516" s="1063"/>
      <c r="H10516" s="1066"/>
      <c r="I10516" s="1063"/>
      <c r="J10516" s="1063"/>
      <c r="K10516" s="1063"/>
      <c r="L10516" s="1063"/>
    </row>
    <row r="10517" spans="5:12" x14ac:dyDescent="0.2">
      <c r="E10517" s="1063"/>
      <c r="H10517" s="1066"/>
      <c r="I10517" s="1063"/>
      <c r="J10517" s="1063"/>
      <c r="K10517" s="1063"/>
      <c r="L10517" s="1063"/>
    </row>
    <row r="10518" spans="5:12" x14ac:dyDescent="0.2">
      <c r="E10518" s="1063"/>
      <c r="H10518" s="1066"/>
      <c r="I10518" s="1063"/>
      <c r="J10518" s="1063"/>
      <c r="K10518" s="1063"/>
      <c r="L10518" s="1063"/>
    </row>
    <row r="10519" spans="5:12" x14ac:dyDescent="0.2">
      <c r="E10519" s="1063"/>
      <c r="H10519" s="1066"/>
      <c r="I10519" s="1063"/>
      <c r="J10519" s="1063"/>
      <c r="K10519" s="1063"/>
      <c r="L10519" s="1063"/>
    </row>
    <row r="10520" spans="5:12" x14ac:dyDescent="0.2">
      <c r="E10520" s="1063"/>
      <c r="H10520" s="1066"/>
      <c r="I10520" s="1063"/>
      <c r="J10520" s="1063"/>
      <c r="K10520" s="1063"/>
      <c r="L10520" s="1063"/>
    </row>
    <row r="10521" spans="5:12" x14ac:dyDescent="0.2">
      <c r="E10521" s="1063"/>
      <c r="H10521" s="1066"/>
      <c r="I10521" s="1063"/>
      <c r="J10521" s="1063"/>
      <c r="K10521" s="1063"/>
      <c r="L10521" s="1063"/>
    </row>
    <row r="10522" spans="5:12" x14ac:dyDescent="0.2">
      <c r="E10522" s="1063"/>
      <c r="H10522" s="1066"/>
      <c r="I10522" s="1063"/>
      <c r="J10522" s="1063"/>
      <c r="K10522" s="1063"/>
      <c r="L10522" s="1063"/>
    </row>
    <row r="10523" spans="5:12" x14ac:dyDescent="0.2">
      <c r="E10523" s="1063"/>
      <c r="H10523" s="1066"/>
      <c r="I10523" s="1063"/>
      <c r="J10523" s="1063"/>
      <c r="K10523" s="1063"/>
      <c r="L10523" s="1063"/>
    </row>
    <row r="10524" spans="5:12" x14ac:dyDescent="0.2">
      <c r="E10524" s="1063"/>
      <c r="H10524" s="1066"/>
      <c r="I10524" s="1063"/>
      <c r="J10524" s="1063"/>
      <c r="K10524" s="1063"/>
      <c r="L10524" s="1063"/>
    </row>
    <row r="10525" spans="5:12" x14ac:dyDescent="0.2">
      <c r="E10525" s="1063"/>
      <c r="H10525" s="1066"/>
      <c r="I10525" s="1063"/>
      <c r="J10525" s="1063"/>
      <c r="K10525" s="1063"/>
      <c r="L10525" s="1063"/>
    </row>
    <row r="10526" spans="5:12" x14ac:dyDescent="0.2">
      <c r="E10526" s="1063"/>
      <c r="H10526" s="1066"/>
      <c r="I10526" s="1063"/>
      <c r="J10526" s="1063"/>
      <c r="K10526" s="1063"/>
      <c r="L10526" s="1063"/>
    </row>
    <row r="10527" spans="5:12" x14ac:dyDescent="0.2">
      <c r="E10527" s="1063"/>
      <c r="H10527" s="1066"/>
      <c r="I10527" s="1063"/>
      <c r="J10527" s="1063"/>
      <c r="K10527" s="1063"/>
      <c r="L10527" s="1063"/>
    </row>
    <row r="10528" spans="5:12" x14ac:dyDescent="0.2">
      <c r="E10528" s="1063"/>
      <c r="H10528" s="1066"/>
      <c r="I10528" s="1063"/>
      <c r="J10528" s="1063"/>
      <c r="K10528" s="1063"/>
      <c r="L10528" s="1063"/>
    </row>
    <row r="10529" spans="5:12" x14ac:dyDescent="0.2">
      <c r="E10529" s="1063"/>
      <c r="H10529" s="1066"/>
      <c r="I10529" s="1063"/>
      <c r="J10529" s="1063"/>
      <c r="K10529" s="1063"/>
      <c r="L10529" s="1063"/>
    </row>
    <row r="10530" spans="5:12" x14ac:dyDescent="0.2">
      <c r="E10530" s="1063"/>
      <c r="H10530" s="1066"/>
      <c r="I10530" s="1063"/>
      <c r="J10530" s="1063"/>
      <c r="K10530" s="1063"/>
      <c r="L10530" s="1063"/>
    </row>
    <row r="10531" spans="5:12" x14ac:dyDescent="0.2">
      <c r="E10531" s="1063"/>
      <c r="H10531" s="1066"/>
      <c r="I10531" s="1063"/>
      <c r="J10531" s="1063"/>
      <c r="K10531" s="1063"/>
      <c r="L10531" s="1063"/>
    </row>
    <row r="10532" spans="5:12" x14ac:dyDescent="0.2">
      <c r="E10532" s="1063"/>
      <c r="H10532" s="1066"/>
      <c r="I10532" s="1063"/>
      <c r="J10532" s="1063"/>
      <c r="K10532" s="1063"/>
      <c r="L10532" s="1063"/>
    </row>
    <row r="10533" spans="5:12" x14ac:dyDescent="0.2">
      <c r="E10533" s="1063"/>
      <c r="H10533" s="1066"/>
      <c r="I10533" s="1063"/>
      <c r="J10533" s="1063"/>
      <c r="K10533" s="1063"/>
      <c r="L10533" s="1063"/>
    </row>
    <row r="10534" spans="5:12" x14ac:dyDescent="0.2">
      <c r="E10534" s="1063"/>
      <c r="H10534" s="1066"/>
      <c r="I10534" s="1063"/>
      <c r="J10534" s="1063"/>
      <c r="K10534" s="1063"/>
      <c r="L10534" s="1063"/>
    </row>
    <row r="10535" spans="5:12" x14ac:dyDescent="0.2">
      <c r="E10535" s="1063"/>
      <c r="H10535" s="1066"/>
      <c r="I10535" s="1063"/>
      <c r="J10535" s="1063"/>
      <c r="K10535" s="1063"/>
      <c r="L10535" s="1063"/>
    </row>
    <row r="10536" spans="5:12" x14ac:dyDescent="0.2">
      <c r="E10536" s="1063"/>
      <c r="H10536" s="1066"/>
      <c r="I10536" s="1063"/>
      <c r="J10536" s="1063"/>
      <c r="K10536" s="1063"/>
      <c r="L10536" s="1063"/>
    </row>
    <row r="10537" spans="5:12" x14ac:dyDescent="0.2">
      <c r="E10537" s="1063"/>
      <c r="H10537" s="1066"/>
      <c r="I10537" s="1063"/>
      <c r="J10537" s="1063"/>
      <c r="K10537" s="1063"/>
      <c r="L10537" s="1063"/>
    </row>
    <row r="10538" spans="5:12" x14ac:dyDescent="0.2">
      <c r="E10538" s="1063"/>
      <c r="H10538" s="1066"/>
      <c r="I10538" s="1063"/>
      <c r="J10538" s="1063"/>
      <c r="K10538" s="1063"/>
      <c r="L10538" s="1063"/>
    </row>
    <row r="10539" spans="5:12" x14ac:dyDescent="0.2">
      <c r="E10539" s="1063"/>
      <c r="H10539" s="1066"/>
      <c r="I10539" s="1063"/>
      <c r="J10539" s="1063"/>
      <c r="K10539" s="1063"/>
      <c r="L10539" s="1063"/>
    </row>
    <row r="10540" spans="5:12" x14ac:dyDescent="0.2">
      <c r="E10540" s="1063"/>
      <c r="H10540" s="1066"/>
      <c r="I10540" s="1063"/>
      <c r="J10540" s="1063"/>
      <c r="K10540" s="1063"/>
      <c r="L10540" s="1063"/>
    </row>
    <row r="10541" spans="5:12" x14ac:dyDescent="0.2">
      <c r="E10541" s="1063"/>
      <c r="H10541" s="1066"/>
      <c r="I10541" s="1063"/>
      <c r="J10541" s="1063"/>
      <c r="K10541" s="1063"/>
      <c r="L10541" s="1063"/>
    </row>
    <row r="10542" spans="5:12" x14ac:dyDescent="0.2">
      <c r="E10542" s="1063"/>
      <c r="H10542" s="1066"/>
      <c r="I10542" s="1063"/>
      <c r="J10542" s="1063"/>
      <c r="K10542" s="1063"/>
      <c r="L10542" s="1063"/>
    </row>
    <row r="10543" spans="5:12" x14ac:dyDescent="0.2">
      <c r="E10543" s="1063"/>
      <c r="H10543" s="1066"/>
      <c r="I10543" s="1063"/>
      <c r="J10543" s="1063"/>
      <c r="K10543" s="1063"/>
      <c r="L10543" s="1063"/>
    </row>
    <row r="10544" spans="5:12" x14ac:dyDescent="0.2">
      <c r="E10544" s="1063"/>
      <c r="H10544" s="1066"/>
      <c r="I10544" s="1063"/>
      <c r="J10544" s="1063"/>
      <c r="K10544" s="1063"/>
      <c r="L10544" s="1063"/>
    </row>
    <row r="10545" spans="5:12" x14ac:dyDescent="0.2">
      <c r="E10545" s="1063"/>
      <c r="H10545" s="1066"/>
      <c r="I10545" s="1063"/>
      <c r="J10545" s="1063"/>
      <c r="K10545" s="1063"/>
      <c r="L10545" s="1063"/>
    </row>
    <row r="10546" spans="5:12" x14ac:dyDescent="0.2">
      <c r="E10546" s="1063"/>
      <c r="H10546" s="1066"/>
      <c r="I10546" s="1063"/>
      <c r="J10546" s="1063"/>
      <c r="K10546" s="1063"/>
      <c r="L10546" s="1063"/>
    </row>
    <row r="10547" spans="5:12" x14ac:dyDescent="0.2">
      <c r="E10547" s="1063"/>
      <c r="H10547" s="1066"/>
      <c r="I10547" s="1063"/>
      <c r="J10547" s="1063"/>
      <c r="K10547" s="1063"/>
      <c r="L10547" s="1063"/>
    </row>
    <row r="10548" spans="5:12" x14ac:dyDescent="0.2">
      <c r="E10548" s="1063"/>
      <c r="H10548" s="1066"/>
      <c r="I10548" s="1063"/>
      <c r="J10548" s="1063"/>
      <c r="K10548" s="1063"/>
      <c r="L10548" s="1063"/>
    </row>
    <row r="10549" spans="5:12" x14ac:dyDescent="0.2">
      <c r="E10549" s="1063"/>
      <c r="H10549" s="1066"/>
      <c r="I10549" s="1063"/>
      <c r="J10549" s="1063"/>
      <c r="K10549" s="1063"/>
      <c r="L10549" s="1063"/>
    </row>
    <row r="10550" spans="5:12" x14ac:dyDescent="0.2">
      <c r="E10550" s="1063"/>
      <c r="H10550" s="1066"/>
      <c r="I10550" s="1063"/>
      <c r="J10550" s="1063"/>
      <c r="K10550" s="1063"/>
      <c r="L10550" s="1063"/>
    </row>
    <row r="10551" spans="5:12" x14ac:dyDescent="0.2">
      <c r="E10551" s="1063"/>
      <c r="H10551" s="1066"/>
      <c r="I10551" s="1063"/>
      <c r="J10551" s="1063"/>
      <c r="K10551" s="1063"/>
      <c r="L10551" s="1063"/>
    </row>
    <row r="10552" spans="5:12" x14ac:dyDescent="0.2">
      <c r="E10552" s="1063"/>
      <c r="H10552" s="1066"/>
      <c r="I10552" s="1063"/>
      <c r="J10552" s="1063"/>
      <c r="K10552" s="1063"/>
      <c r="L10552" s="1063"/>
    </row>
    <row r="10553" spans="5:12" x14ac:dyDescent="0.2">
      <c r="E10553" s="1063"/>
      <c r="H10553" s="1066"/>
      <c r="I10553" s="1063"/>
      <c r="J10553" s="1063"/>
      <c r="K10553" s="1063"/>
      <c r="L10553" s="1063"/>
    </row>
    <row r="10554" spans="5:12" x14ac:dyDescent="0.2">
      <c r="E10554" s="1063"/>
      <c r="H10554" s="1066"/>
      <c r="I10554" s="1063"/>
      <c r="J10554" s="1063"/>
      <c r="K10554" s="1063"/>
      <c r="L10554" s="1063"/>
    </row>
    <row r="10555" spans="5:12" x14ac:dyDescent="0.2">
      <c r="E10555" s="1063"/>
      <c r="H10555" s="1066"/>
      <c r="I10555" s="1063"/>
      <c r="J10555" s="1063"/>
      <c r="K10555" s="1063"/>
      <c r="L10555" s="1063"/>
    </row>
    <row r="10556" spans="5:12" x14ac:dyDescent="0.2">
      <c r="E10556" s="1063"/>
      <c r="H10556" s="1066"/>
      <c r="I10556" s="1063"/>
      <c r="J10556" s="1063"/>
      <c r="K10556" s="1063"/>
      <c r="L10556" s="1063"/>
    </row>
    <row r="10557" spans="5:12" x14ac:dyDescent="0.2">
      <c r="E10557" s="1063"/>
      <c r="H10557" s="1066"/>
      <c r="I10557" s="1063"/>
      <c r="J10557" s="1063"/>
      <c r="K10557" s="1063"/>
      <c r="L10557" s="1063"/>
    </row>
    <row r="10558" spans="5:12" x14ac:dyDescent="0.2">
      <c r="E10558" s="1063"/>
      <c r="H10558" s="1066"/>
      <c r="I10558" s="1063"/>
      <c r="J10558" s="1063"/>
      <c r="K10558" s="1063"/>
      <c r="L10558" s="1063"/>
    </row>
    <row r="10559" spans="5:12" x14ac:dyDescent="0.2">
      <c r="E10559" s="1063"/>
      <c r="H10559" s="1066"/>
      <c r="I10559" s="1063"/>
      <c r="J10559" s="1063"/>
      <c r="K10559" s="1063"/>
      <c r="L10559" s="1063"/>
    </row>
    <row r="10560" spans="5:12" x14ac:dyDescent="0.2">
      <c r="E10560" s="1063"/>
      <c r="H10560" s="1066"/>
      <c r="I10560" s="1063"/>
      <c r="J10560" s="1063"/>
      <c r="K10560" s="1063"/>
      <c r="L10560" s="1063"/>
    </row>
    <row r="10561" spans="5:12" x14ac:dyDescent="0.2">
      <c r="E10561" s="1063"/>
      <c r="H10561" s="1066"/>
      <c r="I10561" s="1063"/>
      <c r="J10561" s="1063"/>
      <c r="K10561" s="1063"/>
      <c r="L10561" s="1063"/>
    </row>
    <row r="10562" spans="5:12" x14ac:dyDescent="0.2">
      <c r="E10562" s="1063"/>
      <c r="H10562" s="1066"/>
      <c r="I10562" s="1063"/>
      <c r="J10562" s="1063"/>
      <c r="K10562" s="1063"/>
      <c r="L10562" s="1063"/>
    </row>
    <row r="10563" spans="5:12" x14ac:dyDescent="0.2">
      <c r="E10563" s="1063"/>
      <c r="H10563" s="1066"/>
      <c r="I10563" s="1063"/>
      <c r="J10563" s="1063"/>
      <c r="K10563" s="1063"/>
      <c r="L10563" s="1063"/>
    </row>
    <row r="10564" spans="5:12" x14ac:dyDescent="0.2">
      <c r="E10564" s="1063"/>
      <c r="H10564" s="1066"/>
      <c r="I10564" s="1063"/>
      <c r="J10564" s="1063"/>
      <c r="K10564" s="1063"/>
      <c r="L10564" s="1063"/>
    </row>
    <row r="10565" spans="5:12" x14ac:dyDescent="0.2">
      <c r="E10565" s="1063"/>
      <c r="H10565" s="1066"/>
      <c r="I10565" s="1063"/>
      <c r="J10565" s="1063"/>
      <c r="K10565" s="1063"/>
      <c r="L10565" s="1063"/>
    </row>
    <row r="10566" spans="5:12" x14ac:dyDescent="0.2">
      <c r="E10566" s="1063"/>
      <c r="H10566" s="1066"/>
      <c r="I10566" s="1063"/>
      <c r="J10566" s="1063"/>
      <c r="K10566" s="1063"/>
      <c r="L10566" s="1063"/>
    </row>
    <row r="10567" spans="5:12" x14ac:dyDescent="0.2">
      <c r="E10567" s="1063"/>
      <c r="H10567" s="1066"/>
      <c r="I10567" s="1063"/>
      <c r="J10567" s="1063"/>
      <c r="K10567" s="1063"/>
      <c r="L10567" s="1063"/>
    </row>
    <row r="10568" spans="5:12" x14ac:dyDescent="0.2">
      <c r="E10568" s="1063"/>
      <c r="H10568" s="1066"/>
      <c r="I10568" s="1063"/>
      <c r="J10568" s="1063"/>
      <c r="K10568" s="1063"/>
      <c r="L10568" s="1063"/>
    </row>
    <row r="10569" spans="5:12" x14ac:dyDescent="0.2">
      <c r="E10569" s="1063"/>
      <c r="H10569" s="1066"/>
      <c r="I10569" s="1063"/>
      <c r="J10569" s="1063"/>
      <c r="K10569" s="1063"/>
      <c r="L10569" s="1063"/>
    </row>
    <row r="10570" spans="5:12" x14ac:dyDescent="0.2">
      <c r="E10570" s="1063"/>
      <c r="H10570" s="1066"/>
      <c r="I10570" s="1063"/>
      <c r="J10570" s="1063"/>
      <c r="K10570" s="1063"/>
      <c r="L10570" s="1063"/>
    </row>
    <row r="10571" spans="5:12" x14ac:dyDescent="0.2">
      <c r="E10571" s="1063"/>
      <c r="H10571" s="1066"/>
      <c r="I10571" s="1063"/>
      <c r="J10571" s="1063"/>
      <c r="K10571" s="1063"/>
      <c r="L10571" s="1063"/>
    </row>
    <row r="10572" spans="5:12" x14ac:dyDescent="0.2">
      <c r="E10572" s="1063"/>
      <c r="H10572" s="1066"/>
      <c r="I10572" s="1063"/>
      <c r="J10572" s="1063"/>
      <c r="K10572" s="1063"/>
      <c r="L10572" s="1063"/>
    </row>
    <row r="10573" spans="5:12" x14ac:dyDescent="0.2">
      <c r="E10573" s="1063"/>
      <c r="H10573" s="1066"/>
      <c r="I10573" s="1063"/>
      <c r="J10573" s="1063"/>
      <c r="K10573" s="1063"/>
      <c r="L10573" s="1063"/>
    </row>
    <row r="10574" spans="5:12" x14ac:dyDescent="0.2">
      <c r="E10574" s="1063"/>
      <c r="H10574" s="1066"/>
      <c r="I10574" s="1063"/>
      <c r="J10574" s="1063"/>
      <c r="K10574" s="1063"/>
      <c r="L10574" s="1063"/>
    </row>
    <row r="10575" spans="5:12" x14ac:dyDescent="0.2">
      <c r="E10575" s="1063"/>
      <c r="H10575" s="1066"/>
      <c r="I10575" s="1063"/>
      <c r="J10575" s="1063"/>
      <c r="K10575" s="1063"/>
      <c r="L10575" s="1063"/>
    </row>
    <row r="10576" spans="5:12" x14ac:dyDescent="0.2">
      <c r="E10576" s="1063"/>
      <c r="H10576" s="1066"/>
      <c r="I10576" s="1063"/>
      <c r="J10576" s="1063"/>
      <c r="K10576" s="1063"/>
      <c r="L10576" s="1063"/>
    </row>
    <row r="10577" spans="5:12" x14ac:dyDescent="0.2">
      <c r="E10577" s="1063"/>
      <c r="H10577" s="1066"/>
      <c r="I10577" s="1063"/>
      <c r="J10577" s="1063"/>
      <c r="K10577" s="1063"/>
      <c r="L10577" s="1063"/>
    </row>
    <row r="10578" spans="5:12" x14ac:dyDescent="0.2">
      <c r="E10578" s="1063"/>
      <c r="H10578" s="1066"/>
      <c r="I10578" s="1063"/>
      <c r="J10578" s="1063"/>
      <c r="K10578" s="1063"/>
      <c r="L10578" s="1063"/>
    </row>
    <row r="10579" spans="5:12" x14ac:dyDescent="0.2">
      <c r="E10579" s="1063"/>
      <c r="H10579" s="1066"/>
      <c r="I10579" s="1063"/>
      <c r="J10579" s="1063"/>
      <c r="K10579" s="1063"/>
      <c r="L10579" s="1063"/>
    </row>
    <row r="10580" spans="5:12" x14ac:dyDescent="0.2">
      <c r="E10580" s="1063"/>
      <c r="H10580" s="1066"/>
      <c r="I10580" s="1063"/>
      <c r="J10580" s="1063"/>
      <c r="K10580" s="1063"/>
      <c r="L10580" s="1063"/>
    </row>
    <row r="10581" spans="5:12" x14ac:dyDescent="0.2">
      <c r="E10581" s="1063"/>
      <c r="H10581" s="1066"/>
      <c r="I10581" s="1063"/>
      <c r="J10581" s="1063"/>
      <c r="K10581" s="1063"/>
      <c r="L10581" s="1063"/>
    </row>
    <row r="10582" spans="5:12" x14ac:dyDescent="0.2">
      <c r="E10582" s="1063"/>
      <c r="H10582" s="1066"/>
      <c r="I10582" s="1063"/>
      <c r="J10582" s="1063"/>
      <c r="K10582" s="1063"/>
      <c r="L10582" s="1063"/>
    </row>
    <row r="10583" spans="5:12" x14ac:dyDescent="0.2">
      <c r="E10583" s="1063"/>
      <c r="H10583" s="1066"/>
      <c r="I10583" s="1063"/>
      <c r="J10583" s="1063"/>
      <c r="K10583" s="1063"/>
      <c r="L10583" s="1063"/>
    </row>
    <row r="10584" spans="5:12" x14ac:dyDescent="0.2">
      <c r="E10584" s="1063"/>
      <c r="H10584" s="1066"/>
      <c r="I10584" s="1063"/>
      <c r="J10584" s="1063"/>
      <c r="K10584" s="1063"/>
      <c r="L10584" s="1063"/>
    </row>
    <row r="10585" spans="5:12" x14ac:dyDescent="0.2">
      <c r="E10585" s="1063"/>
      <c r="H10585" s="1066"/>
      <c r="I10585" s="1063"/>
      <c r="J10585" s="1063"/>
      <c r="K10585" s="1063"/>
      <c r="L10585" s="1063"/>
    </row>
    <row r="10586" spans="5:12" x14ac:dyDescent="0.2">
      <c r="E10586" s="1063"/>
      <c r="H10586" s="1066"/>
      <c r="I10586" s="1063"/>
      <c r="J10586" s="1063"/>
      <c r="K10586" s="1063"/>
      <c r="L10586" s="1063"/>
    </row>
    <row r="10587" spans="5:12" x14ac:dyDescent="0.2">
      <c r="E10587" s="1063"/>
      <c r="H10587" s="1066"/>
      <c r="I10587" s="1063"/>
      <c r="J10587" s="1063"/>
      <c r="K10587" s="1063"/>
      <c r="L10587" s="1063"/>
    </row>
    <row r="10588" spans="5:12" x14ac:dyDescent="0.2">
      <c r="E10588" s="1063"/>
      <c r="H10588" s="1066"/>
      <c r="I10588" s="1063"/>
      <c r="J10588" s="1063"/>
      <c r="K10588" s="1063"/>
      <c r="L10588" s="1063"/>
    </row>
    <row r="10589" spans="5:12" x14ac:dyDescent="0.2">
      <c r="E10589" s="1063"/>
      <c r="H10589" s="1066"/>
      <c r="I10589" s="1063"/>
      <c r="J10589" s="1063"/>
      <c r="K10589" s="1063"/>
      <c r="L10589" s="1063"/>
    </row>
    <row r="10590" spans="5:12" x14ac:dyDescent="0.2">
      <c r="E10590" s="1063"/>
      <c r="H10590" s="1066"/>
      <c r="I10590" s="1063"/>
      <c r="J10590" s="1063"/>
      <c r="K10590" s="1063"/>
      <c r="L10590" s="1063"/>
    </row>
    <row r="10591" spans="5:12" x14ac:dyDescent="0.2">
      <c r="E10591" s="1063"/>
      <c r="H10591" s="1066"/>
      <c r="I10591" s="1063"/>
      <c r="J10591" s="1063"/>
      <c r="K10591" s="1063"/>
      <c r="L10591" s="1063"/>
    </row>
    <row r="10592" spans="5:12" x14ac:dyDescent="0.2">
      <c r="E10592" s="1063"/>
      <c r="H10592" s="1066"/>
      <c r="I10592" s="1063"/>
      <c r="J10592" s="1063"/>
      <c r="K10592" s="1063"/>
      <c r="L10592" s="1063"/>
    </row>
    <row r="10593" spans="5:12" x14ac:dyDescent="0.2">
      <c r="E10593" s="1063"/>
      <c r="H10593" s="1066"/>
      <c r="I10593" s="1063"/>
      <c r="J10593" s="1063"/>
      <c r="K10593" s="1063"/>
      <c r="L10593" s="1063"/>
    </row>
    <row r="10594" spans="5:12" x14ac:dyDescent="0.2">
      <c r="E10594" s="1063"/>
      <c r="H10594" s="1066"/>
      <c r="I10594" s="1063"/>
      <c r="J10594" s="1063"/>
      <c r="K10594" s="1063"/>
      <c r="L10594" s="1063"/>
    </row>
    <row r="10595" spans="5:12" x14ac:dyDescent="0.2">
      <c r="E10595" s="1063"/>
      <c r="H10595" s="1066"/>
      <c r="I10595" s="1063"/>
      <c r="J10595" s="1063"/>
      <c r="K10595" s="1063"/>
      <c r="L10595" s="1063"/>
    </row>
    <row r="10596" spans="5:12" x14ac:dyDescent="0.2">
      <c r="E10596" s="1063"/>
      <c r="H10596" s="1066"/>
      <c r="I10596" s="1063"/>
      <c r="J10596" s="1063"/>
      <c r="K10596" s="1063"/>
      <c r="L10596" s="1063"/>
    </row>
    <row r="10597" spans="5:12" x14ac:dyDescent="0.2">
      <c r="E10597" s="1063"/>
      <c r="H10597" s="1066"/>
      <c r="I10597" s="1063"/>
      <c r="J10597" s="1063"/>
      <c r="K10597" s="1063"/>
      <c r="L10597" s="1063"/>
    </row>
    <row r="10598" spans="5:12" x14ac:dyDescent="0.2">
      <c r="E10598" s="1063"/>
      <c r="H10598" s="1066"/>
      <c r="I10598" s="1063"/>
      <c r="J10598" s="1063"/>
      <c r="K10598" s="1063"/>
      <c r="L10598" s="1063"/>
    </row>
    <row r="10599" spans="5:12" x14ac:dyDescent="0.2">
      <c r="E10599" s="1063"/>
      <c r="H10599" s="1066"/>
      <c r="I10599" s="1063"/>
      <c r="J10599" s="1063"/>
      <c r="K10599" s="1063"/>
      <c r="L10599" s="1063"/>
    </row>
    <row r="10600" spans="5:12" x14ac:dyDescent="0.2">
      <c r="E10600" s="1063"/>
      <c r="H10600" s="1066"/>
      <c r="I10600" s="1063"/>
      <c r="J10600" s="1063"/>
      <c r="K10600" s="1063"/>
      <c r="L10600" s="1063"/>
    </row>
    <row r="10601" spans="5:12" x14ac:dyDescent="0.2">
      <c r="E10601" s="1063"/>
      <c r="H10601" s="1066"/>
      <c r="I10601" s="1063"/>
      <c r="J10601" s="1063"/>
      <c r="K10601" s="1063"/>
      <c r="L10601" s="1063"/>
    </row>
    <row r="10602" spans="5:12" x14ac:dyDescent="0.2">
      <c r="E10602" s="1063"/>
      <c r="H10602" s="1066"/>
      <c r="I10602" s="1063"/>
      <c r="J10602" s="1063"/>
      <c r="K10602" s="1063"/>
      <c r="L10602" s="1063"/>
    </row>
    <row r="10603" spans="5:12" x14ac:dyDescent="0.2">
      <c r="E10603" s="1063"/>
      <c r="H10603" s="1066"/>
      <c r="I10603" s="1063"/>
      <c r="J10603" s="1063"/>
      <c r="K10603" s="1063"/>
      <c r="L10603" s="1063"/>
    </row>
    <row r="10604" spans="5:12" x14ac:dyDescent="0.2">
      <c r="E10604" s="1063"/>
      <c r="H10604" s="1066"/>
      <c r="I10604" s="1063"/>
      <c r="J10604" s="1063"/>
      <c r="K10604" s="1063"/>
      <c r="L10604" s="1063"/>
    </row>
    <row r="10605" spans="5:12" x14ac:dyDescent="0.2">
      <c r="E10605" s="1063"/>
      <c r="H10605" s="1066"/>
      <c r="I10605" s="1063"/>
      <c r="J10605" s="1063"/>
      <c r="K10605" s="1063"/>
      <c r="L10605" s="1063"/>
    </row>
    <row r="10606" spans="5:12" x14ac:dyDescent="0.2">
      <c r="E10606" s="1063"/>
      <c r="H10606" s="1066"/>
      <c r="I10606" s="1063"/>
      <c r="J10606" s="1063"/>
      <c r="K10606" s="1063"/>
      <c r="L10606" s="1063"/>
    </row>
    <row r="10607" spans="5:12" x14ac:dyDescent="0.2">
      <c r="E10607" s="1063"/>
      <c r="H10607" s="1066"/>
      <c r="I10607" s="1063"/>
      <c r="J10607" s="1063"/>
      <c r="K10607" s="1063"/>
      <c r="L10607" s="1063"/>
    </row>
    <row r="10608" spans="5:12" x14ac:dyDescent="0.2">
      <c r="E10608" s="1063"/>
      <c r="H10608" s="1066"/>
      <c r="I10608" s="1063"/>
      <c r="J10608" s="1063"/>
      <c r="K10608" s="1063"/>
      <c r="L10608" s="1063"/>
    </row>
    <row r="10609" spans="5:12" x14ac:dyDescent="0.2">
      <c r="E10609" s="1063"/>
      <c r="H10609" s="1066"/>
      <c r="I10609" s="1063"/>
      <c r="J10609" s="1063"/>
      <c r="K10609" s="1063"/>
      <c r="L10609" s="1063"/>
    </row>
    <row r="10610" spans="5:12" x14ac:dyDescent="0.2">
      <c r="E10610" s="1063"/>
      <c r="H10610" s="1066"/>
      <c r="I10610" s="1063"/>
      <c r="J10610" s="1063"/>
      <c r="K10610" s="1063"/>
      <c r="L10610" s="1063"/>
    </row>
    <row r="10611" spans="5:12" x14ac:dyDescent="0.2">
      <c r="E10611" s="1063"/>
      <c r="H10611" s="1066"/>
      <c r="I10611" s="1063"/>
      <c r="J10611" s="1063"/>
      <c r="K10611" s="1063"/>
      <c r="L10611" s="1063"/>
    </row>
    <row r="10612" spans="5:12" x14ac:dyDescent="0.2">
      <c r="E10612" s="1063"/>
      <c r="H10612" s="1066"/>
      <c r="I10612" s="1063"/>
      <c r="J10612" s="1063"/>
      <c r="K10612" s="1063"/>
      <c r="L10612" s="1063"/>
    </row>
    <row r="10613" spans="5:12" x14ac:dyDescent="0.2">
      <c r="E10613" s="1063"/>
      <c r="H10613" s="1066"/>
      <c r="I10613" s="1063"/>
      <c r="J10613" s="1063"/>
      <c r="K10613" s="1063"/>
      <c r="L10613" s="1063"/>
    </row>
    <row r="10614" spans="5:12" x14ac:dyDescent="0.2">
      <c r="E10614" s="1063"/>
      <c r="H10614" s="1066"/>
      <c r="I10614" s="1063"/>
      <c r="J10614" s="1063"/>
      <c r="K10614" s="1063"/>
      <c r="L10614" s="1063"/>
    </row>
    <row r="10615" spans="5:12" x14ac:dyDescent="0.2">
      <c r="E10615" s="1063"/>
      <c r="H10615" s="1066"/>
      <c r="I10615" s="1063"/>
      <c r="J10615" s="1063"/>
      <c r="K10615" s="1063"/>
      <c r="L10615" s="1063"/>
    </row>
    <row r="10616" spans="5:12" x14ac:dyDescent="0.2">
      <c r="E10616" s="1063"/>
      <c r="H10616" s="1066"/>
      <c r="I10616" s="1063"/>
      <c r="J10616" s="1063"/>
      <c r="K10616" s="1063"/>
      <c r="L10616" s="1063"/>
    </row>
    <row r="10617" spans="5:12" x14ac:dyDescent="0.2">
      <c r="E10617" s="1063"/>
      <c r="H10617" s="1066"/>
      <c r="I10617" s="1063"/>
      <c r="J10617" s="1063"/>
      <c r="K10617" s="1063"/>
      <c r="L10617" s="1063"/>
    </row>
    <row r="10618" spans="5:12" x14ac:dyDescent="0.2">
      <c r="E10618" s="1063"/>
      <c r="H10618" s="1066"/>
      <c r="I10618" s="1063"/>
      <c r="J10618" s="1063"/>
      <c r="K10618" s="1063"/>
      <c r="L10618" s="1063"/>
    </row>
    <row r="10619" spans="5:12" x14ac:dyDescent="0.2">
      <c r="E10619" s="1063"/>
      <c r="H10619" s="1066"/>
      <c r="I10619" s="1063"/>
      <c r="J10619" s="1063"/>
      <c r="K10619" s="1063"/>
      <c r="L10619" s="1063"/>
    </row>
    <row r="10620" spans="5:12" x14ac:dyDescent="0.2">
      <c r="E10620" s="1063"/>
      <c r="H10620" s="1066"/>
      <c r="I10620" s="1063"/>
      <c r="J10620" s="1063"/>
      <c r="K10620" s="1063"/>
      <c r="L10620" s="1063"/>
    </row>
    <row r="10621" spans="5:12" x14ac:dyDescent="0.2">
      <c r="E10621" s="1063"/>
      <c r="H10621" s="1066"/>
      <c r="I10621" s="1063"/>
      <c r="J10621" s="1063"/>
      <c r="K10621" s="1063"/>
      <c r="L10621" s="1063"/>
    </row>
    <row r="10622" spans="5:12" x14ac:dyDescent="0.2">
      <c r="E10622" s="1063"/>
      <c r="H10622" s="1066"/>
      <c r="I10622" s="1063"/>
      <c r="J10622" s="1063"/>
      <c r="K10622" s="1063"/>
      <c r="L10622" s="1063"/>
    </row>
    <row r="10623" spans="5:12" x14ac:dyDescent="0.2">
      <c r="E10623" s="1063"/>
      <c r="H10623" s="1066"/>
      <c r="I10623" s="1063"/>
      <c r="J10623" s="1063"/>
      <c r="K10623" s="1063"/>
      <c r="L10623" s="1063"/>
    </row>
    <row r="10624" spans="5:12" x14ac:dyDescent="0.2">
      <c r="E10624" s="1063"/>
      <c r="H10624" s="1066"/>
      <c r="I10624" s="1063"/>
      <c r="J10624" s="1063"/>
      <c r="K10624" s="1063"/>
      <c r="L10624" s="1063"/>
    </row>
    <row r="10625" spans="5:12" x14ac:dyDescent="0.2">
      <c r="E10625" s="1063"/>
      <c r="H10625" s="1066"/>
      <c r="I10625" s="1063"/>
      <c r="J10625" s="1063"/>
      <c r="K10625" s="1063"/>
      <c r="L10625" s="1063"/>
    </row>
    <row r="10626" spans="5:12" x14ac:dyDescent="0.2">
      <c r="E10626" s="1063"/>
      <c r="H10626" s="1066"/>
      <c r="I10626" s="1063"/>
      <c r="J10626" s="1063"/>
      <c r="K10626" s="1063"/>
      <c r="L10626" s="1063"/>
    </row>
    <row r="10627" spans="5:12" x14ac:dyDescent="0.2">
      <c r="E10627" s="1063"/>
      <c r="H10627" s="1066"/>
      <c r="I10627" s="1063"/>
      <c r="J10627" s="1063"/>
      <c r="K10627" s="1063"/>
      <c r="L10627" s="1063"/>
    </row>
    <row r="10628" spans="5:12" x14ac:dyDescent="0.2">
      <c r="E10628" s="1063"/>
      <c r="H10628" s="1066"/>
      <c r="I10628" s="1063"/>
      <c r="J10628" s="1063"/>
      <c r="K10628" s="1063"/>
      <c r="L10628" s="1063"/>
    </row>
    <row r="10629" spans="5:12" x14ac:dyDescent="0.2">
      <c r="E10629" s="1063"/>
      <c r="H10629" s="1066"/>
      <c r="I10629" s="1063"/>
      <c r="J10629" s="1063"/>
      <c r="K10629" s="1063"/>
      <c r="L10629" s="1063"/>
    </row>
    <row r="10630" spans="5:12" x14ac:dyDescent="0.2">
      <c r="E10630" s="1063"/>
      <c r="H10630" s="1066"/>
      <c r="I10630" s="1063"/>
      <c r="J10630" s="1063"/>
      <c r="K10630" s="1063"/>
      <c r="L10630" s="1063"/>
    </row>
    <row r="10631" spans="5:12" x14ac:dyDescent="0.2">
      <c r="E10631" s="1063"/>
      <c r="H10631" s="1066"/>
      <c r="I10631" s="1063"/>
      <c r="J10631" s="1063"/>
      <c r="K10631" s="1063"/>
      <c r="L10631" s="1063"/>
    </row>
    <row r="10632" spans="5:12" x14ac:dyDescent="0.2">
      <c r="E10632" s="1063"/>
      <c r="H10632" s="1066"/>
      <c r="I10632" s="1063"/>
      <c r="J10632" s="1063"/>
      <c r="K10632" s="1063"/>
      <c r="L10632" s="1063"/>
    </row>
    <row r="10633" spans="5:12" x14ac:dyDescent="0.2">
      <c r="E10633" s="1063"/>
      <c r="H10633" s="1066"/>
      <c r="I10633" s="1063"/>
      <c r="J10633" s="1063"/>
      <c r="K10633" s="1063"/>
      <c r="L10633" s="1063"/>
    </row>
    <row r="10634" spans="5:12" x14ac:dyDescent="0.2">
      <c r="E10634" s="1063"/>
      <c r="H10634" s="1066"/>
      <c r="I10634" s="1063"/>
      <c r="J10634" s="1063"/>
      <c r="K10634" s="1063"/>
      <c r="L10634" s="1063"/>
    </row>
    <row r="10635" spans="5:12" x14ac:dyDescent="0.2">
      <c r="E10635" s="1063"/>
      <c r="H10635" s="1066"/>
      <c r="I10635" s="1063"/>
      <c r="J10635" s="1063"/>
      <c r="K10635" s="1063"/>
      <c r="L10635" s="1063"/>
    </row>
    <row r="10636" spans="5:12" x14ac:dyDescent="0.2">
      <c r="E10636" s="1063"/>
      <c r="H10636" s="1066"/>
      <c r="I10636" s="1063"/>
      <c r="J10636" s="1063"/>
      <c r="K10636" s="1063"/>
      <c r="L10636" s="1063"/>
    </row>
    <row r="10637" spans="5:12" x14ac:dyDescent="0.2">
      <c r="E10637" s="1063"/>
      <c r="H10637" s="1066"/>
      <c r="I10637" s="1063"/>
      <c r="J10637" s="1063"/>
      <c r="K10637" s="1063"/>
      <c r="L10637" s="1063"/>
    </row>
    <row r="10638" spans="5:12" x14ac:dyDescent="0.2">
      <c r="E10638" s="1063"/>
      <c r="H10638" s="1066"/>
      <c r="I10638" s="1063"/>
      <c r="J10638" s="1063"/>
      <c r="K10638" s="1063"/>
      <c r="L10638" s="1063"/>
    </row>
    <row r="10639" spans="5:12" x14ac:dyDescent="0.2">
      <c r="E10639" s="1063"/>
      <c r="H10639" s="1066"/>
      <c r="I10639" s="1063"/>
      <c r="J10639" s="1063"/>
      <c r="K10639" s="1063"/>
      <c r="L10639" s="1063"/>
    </row>
    <row r="10640" spans="5:12" x14ac:dyDescent="0.2">
      <c r="E10640" s="1063"/>
      <c r="H10640" s="1066"/>
      <c r="I10640" s="1063"/>
      <c r="J10640" s="1063"/>
      <c r="K10640" s="1063"/>
      <c r="L10640" s="1063"/>
    </row>
    <row r="10641" spans="5:12" x14ac:dyDescent="0.2">
      <c r="E10641" s="1063"/>
      <c r="H10641" s="1066"/>
      <c r="I10641" s="1063"/>
      <c r="J10641" s="1063"/>
      <c r="K10641" s="1063"/>
      <c r="L10641" s="1063"/>
    </row>
    <row r="10642" spans="5:12" x14ac:dyDescent="0.2">
      <c r="E10642" s="1063"/>
      <c r="H10642" s="1066"/>
      <c r="I10642" s="1063"/>
      <c r="J10642" s="1063"/>
      <c r="K10642" s="1063"/>
      <c r="L10642" s="1063"/>
    </row>
    <row r="10643" spans="5:12" x14ac:dyDescent="0.2">
      <c r="E10643" s="1063"/>
      <c r="H10643" s="1066"/>
      <c r="I10643" s="1063"/>
      <c r="J10643" s="1063"/>
      <c r="K10643" s="1063"/>
      <c r="L10643" s="1063"/>
    </row>
    <row r="10644" spans="5:12" x14ac:dyDescent="0.2">
      <c r="E10644" s="1063"/>
      <c r="H10644" s="1066"/>
      <c r="I10644" s="1063"/>
      <c r="J10644" s="1063"/>
      <c r="K10644" s="1063"/>
      <c r="L10644" s="1063"/>
    </row>
    <row r="10645" spans="5:12" x14ac:dyDescent="0.2">
      <c r="E10645" s="1063"/>
      <c r="H10645" s="1066"/>
      <c r="I10645" s="1063"/>
      <c r="J10645" s="1063"/>
      <c r="K10645" s="1063"/>
      <c r="L10645" s="1063"/>
    </row>
    <row r="10646" spans="5:12" x14ac:dyDescent="0.2">
      <c r="E10646" s="1063"/>
      <c r="H10646" s="1066"/>
      <c r="I10646" s="1063"/>
      <c r="J10646" s="1063"/>
      <c r="K10646" s="1063"/>
      <c r="L10646" s="1063"/>
    </row>
    <row r="10647" spans="5:12" x14ac:dyDescent="0.2">
      <c r="E10647" s="1063"/>
      <c r="H10647" s="1066"/>
      <c r="I10647" s="1063"/>
      <c r="J10647" s="1063"/>
      <c r="K10647" s="1063"/>
      <c r="L10647" s="1063"/>
    </row>
    <row r="10648" spans="5:12" x14ac:dyDescent="0.2">
      <c r="E10648" s="1063"/>
      <c r="H10648" s="1066"/>
      <c r="I10648" s="1063"/>
      <c r="J10648" s="1063"/>
      <c r="K10648" s="1063"/>
      <c r="L10648" s="1063"/>
    </row>
    <row r="10649" spans="5:12" x14ac:dyDescent="0.2">
      <c r="E10649" s="1063"/>
      <c r="H10649" s="1066"/>
      <c r="I10649" s="1063"/>
      <c r="J10649" s="1063"/>
      <c r="K10649" s="1063"/>
      <c r="L10649" s="1063"/>
    </row>
    <row r="10650" spans="5:12" x14ac:dyDescent="0.2">
      <c r="E10650" s="1063"/>
      <c r="H10650" s="1066"/>
      <c r="I10650" s="1063"/>
      <c r="J10650" s="1063"/>
      <c r="K10650" s="1063"/>
      <c r="L10650" s="1063"/>
    </row>
    <row r="10651" spans="5:12" x14ac:dyDescent="0.2">
      <c r="E10651" s="1063"/>
      <c r="H10651" s="1066"/>
      <c r="I10651" s="1063"/>
      <c r="J10651" s="1063"/>
      <c r="K10651" s="1063"/>
      <c r="L10651" s="1063"/>
    </row>
    <row r="10652" spans="5:12" x14ac:dyDescent="0.2">
      <c r="E10652" s="1063"/>
      <c r="H10652" s="1066"/>
      <c r="I10652" s="1063"/>
      <c r="J10652" s="1063"/>
      <c r="K10652" s="1063"/>
      <c r="L10652" s="1063"/>
    </row>
    <row r="10653" spans="5:12" x14ac:dyDescent="0.2">
      <c r="E10653" s="1063"/>
      <c r="H10653" s="1066"/>
      <c r="I10653" s="1063"/>
      <c r="J10653" s="1063"/>
      <c r="K10653" s="1063"/>
      <c r="L10653" s="1063"/>
    </row>
    <row r="10654" spans="5:12" x14ac:dyDescent="0.2">
      <c r="E10654" s="1063"/>
      <c r="H10654" s="1066"/>
      <c r="I10654" s="1063"/>
      <c r="J10654" s="1063"/>
      <c r="K10654" s="1063"/>
      <c r="L10654" s="1063"/>
    </row>
    <row r="10655" spans="5:12" x14ac:dyDescent="0.2">
      <c r="E10655" s="1063"/>
      <c r="H10655" s="1066"/>
      <c r="I10655" s="1063"/>
      <c r="J10655" s="1063"/>
      <c r="K10655" s="1063"/>
      <c r="L10655" s="1063"/>
    </row>
    <row r="10656" spans="5:12" x14ac:dyDescent="0.2">
      <c r="E10656" s="1063"/>
      <c r="H10656" s="1066"/>
      <c r="I10656" s="1063"/>
      <c r="J10656" s="1063"/>
      <c r="K10656" s="1063"/>
      <c r="L10656" s="1063"/>
    </row>
    <row r="10657" spans="5:12" x14ac:dyDescent="0.2">
      <c r="E10657" s="1063"/>
      <c r="H10657" s="1066"/>
      <c r="I10657" s="1063"/>
      <c r="J10657" s="1063"/>
      <c r="K10657" s="1063"/>
      <c r="L10657" s="1063"/>
    </row>
    <row r="10658" spans="5:12" x14ac:dyDescent="0.2">
      <c r="E10658" s="1063"/>
      <c r="H10658" s="1066"/>
      <c r="I10658" s="1063"/>
      <c r="J10658" s="1063"/>
      <c r="K10658" s="1063"/>
      <c r="L10658" s="1063"/>
    </row>
    <row r="10659" spans="5:12" x14ac:dyDescent="0.2">
      <c r="E10659" s="1063"/>
      <c r="H10659" s="1066"/>
      <c r="I10659" s="1063"/>
      <c r="J10659" s="1063"/>
      <c r="K10659" s="1063"/>
      <c r="L10659" s="1063"/>
    </row>
    <row r="10660" spans="5:12" x14ac:dyDescent="0.2">
      <c r="E10660" s="1063"/>
      <c r="H10660" s="1066"/>
      <c r="I10660" s="1063"/>
      <c r="J10660" s="1063"/>
      <c r="K10660" s="1063"/>
      <c r="L10660" s="1063"/>
    </row>
    <row r="10661" spans="5:12" x14ac:dyDescent="0.2">
      <c r="E10661" s="1063"/>
      <c r="H10661" s="1066"/>
      <c r="I10661" s="1063"/>
      <c r="J10661" s="1063"/>
      <c r="K10661" s="1063"/>
      <c r="L10661" s="1063"/>
    </row>
    <row r="10662" spans="5:12" x14ac:dyDescent="0.2">
      <c r="E10662" s="1063"/>
      <c r="H10662" s="1066"/>
      <c r="I10662" s="1063"/>
      <c r="J10662" s="1063"/>
      <c r="K10662" s="1063"/>
      <c r="L10662" s="1063"/>
    </row>
    <row r="10663" spans="5:12" x14ac:dyDescent="0.2">
      <c r="E10663" s="1063"/>
      <c r="H10663" s="1066"/>
      <c r="I10663" s="1063"/>
      <c r="J10663" s="1063"/>
      <c r="K10663" s="1063"/>
      <c r="L10663" s="1063"/>
    </row>
    <row r="10664" spans="5:12" x14ac:dyDescent="0.2">
      <c r="E10664" s="1063"/>
      <c r="H10664" s="1066"/>
      <c r="I10664" s="1063"/>
      <c r="J10664" s="1063"/>
      <c r="K10664" s="1063"/>
      <c r="L10664" s="1063"/>
    </row>
    <row r="10665" spans="5:12" x14ac:dyDescent="0.2">
      <c r="E10665" s="1063"/>
      <c r="H10665" s="1066"/>
      <c r="I10665" s="1063"/>
      <c r="J10665" s="1063"/>
      <c r="K10665" s="1063"/>
      <c r="L10665" s="1063"/>
    </row>
    <row r="10666" spans="5:12" x14ac:dyDescent="0.2">
      <c r="E10666" s="1063"/>
      <c r="H10666" s="1066"/>
      <c r="I10666" s="1063"/>
      <c r="J10666" s="1063"/>
      <c r="K10666" s="1063"/>
      <c r="L10666" s="1063"/>
    </row>
    <row r="10667" spans="5:12" x14ac:dyDescent="0.2">
      <c r="E10667" s="1063"/>
      <c r="H10667" s="1066"/>
      <c r="I10667" s="1063"/>
      <c r="J10667" s="1063"/>
      <c r="K10667" s="1063"/>
      <c r="L10667" s="1063"/>
    </row>
    <row r="10668" spans="5:12" x14ac:dyDescent="0.2">
      <c r="E10668" s="1063"/>
      <c r="H10668" s="1066"/>
      <c r="I10668" s="1063"/>
      <c r="J10668" s="1063"/>
      <c r="K10668" s="1063"/>
      <c r="L10668" s="1063"/>
    </row>
    <row r="10669" spans="5:12" x14ac:dyDescent="0.2">
      <c r="E10669" s="1063"/>
      <c r="H10669" s="1066"/>
      <c r="I10669" s="1063"/>
      <c r="J10669" s="1063"/>
      <c r="K10669" s="1063"/>
      <c r="L10669" s="1063"/>
    </row>
    <row r="10670" spans="5:12" x14ac:dyDescent="0.2">
      <c r="E10670" s="1063"/>
      <c r="H10670" s="1066"/>
      <c r="I10670" s="1063"/>
      <c r="J10670" s="1063"/>
      <c r="K10670" s="1063"/>
      <c r="L10670" s="1063"/>
    </row>
    <row r="10671" spans="5:12" x14ac:dyDescent="0.2">
      <c r="E10671" s="1063"/>
      <c r="H10671" s="1066"/>
      <c r="I10671" s="1063"/>
      <c r="J10671" s="1063"/>
      <c r="K10671" s="1063"/>
      <c r="L10671" s="1063"/>
    </row>
    <row r="10672" spans="5:12" x14ac:dyDescent="0.2">
      <c r="E10672" s="1063"/>
      <c r="H10672" s="1066"/>
      <c r="I10672" s="1063"/>
      <c r="J10672" s="1063"/>
      <c r="K10672" s="1063"/>
      <c r="L10672" s="1063"/>
    </row>
    <row r="10673" spans="5:12" x14ac:dyDescent="0.2">
      <c r="E10673" s="1063"/>
      <c r="H10673" s="1066"/>
      <c r="I10673" s="1063"/>
      <c r="J10673" s="1063"/>
      <c r="K10673" s="1063"/>
      <c r="L10673" s="1063"/>
    </row>
    <row r="10674" spans="5:12" x14ac:dyDescent="0.2">
      <c r="E10674" s="1063"/>
      <c r="H10674" s="1066"/>
      <c r="I10674" s="1063"/>
      <c r="J10674" s="1063"/>
      <c r="K10674" s="1063"/>
      <c r="L10674" s="1063"/>
    </row>
    <row r="10675" spans="5:12" x14ac:dyDescent="0.2">
      <c r="E10675" s="1063"/>
      <c r="H10675" s="1066"/>
      <c r="I10675" s="1063"/>
      <c r="J10675" s="1063"/>
      <c r="K10675" s="1063"/>
      <c r="L10675" s="1063"/>
    </row>
    <row r="10676" spans="5:12" x14ac:dyDescent="0.2">
      <c r="E10676" s="1063"/>
      <c r="H10676" s="1066"/>
      <c r="I10676" s="1063"/>
      <c r="J10676" s="1063"/>
      <c r="K10676" s="1063"/>
      <c r="L10676" s="1063"/>
    </row>
    <row r="10677" spans="5:12" x14ac:dyDescent="0.2">
      <c r="E10677" s="1063"/>
      <c r="H10677" s="1066"/>
      <c r="I10677" s="1063"/>
      <c r="J10677" s="1063"/>
      <c r="K10677" s="1063"/>
      <c r="L10677" s="1063"/>
    </row>
    <row r="10678" spans="5:12" x14ac:dyDescent="0.2">
      <c r="E10678" s="1063"/>
      <c r="H10678" s="1066"/>
      <c r="I10678" s="1063"/>
      <c r="J10678" s="1063"/>
      <c r="K10678" s="1063"/>
      <c r="L10678" s="1063"/>
    </row>
    <row r="10679" spans="5:12" x14ac:dyDescent="0.2">
      <c r="E10679" s="1063"/>
      <c r="H10679" s="1066"/>
      <c r="I10679" s="1063"/>
      <c r="J10679" s="1063"/>
      <c r="K10679" s="1063"/>
      <c r="L10679" s="1063"/>
    </row>
    <row r="10680" spans="5:12" x14ac:dyDescent="0.2">
      <c r="E10680" s="1063"/>
      <c r="H10680" s="1066"/>
      <c r="I10680" s="1063"/>
      <c r="J10680" s="1063"/>
      <c r="K10680" s="1063"/>
      <c r="L10680" s="1063"/>
    </row>
    <row r="10681" spans="5:12" x14ac:dyDescent="0.2">
      <c r="E10681" s="1063"/>
      <c r="H10681" s="1066"/>
      <c r="I10681" s="1063"/>
      <c r="J10681" s="1063"/>
      <c r="K10681" s="1063"/>
      <c r="L10681" s="1063"/>
    </row>
    <row r="10682" spans="5:12" x14ac:dyDescent="0.2">
      <c r="E10682" s="1063"/>
      <c r="H10682" s="1066"/>
      <c r="I10682" s="1063"/>
      <c r="J10682" s="1063"/>
      <c r="K10682" s="1063"/>
      <c r="L10682" s="1063"/>
    </row>
    <row r="10683" spans="5:12" x14ac:dyDescent="0.2">
      <c r="E10683" s="1063"/>
      <c r="H10683" s="1066"/>
      <c r="I10683" s="1063"/>
      <c r="J10683" s="1063"/>
      <c r="K10683" s="1063"/>
      <c r="L10683" s="1063"/>
    </row>
    <row r="10684" spans="5:12" x14ac:dyDescent="0.2">
      <c r="E10684" s="1063"/>
      <c r="H10684" s="1066"/>
      <c r="I10684" s="1063"/>
      <c r="J10684" s="1063"/>
      <c r="K10684" s="1063"/>
      <c r="L10684" s="1063"/>
    </row>
    <row r="10685" spans="5:12" x14ac:dyDescent="0.2">
      <c r="E10685" s="1063"/>
      <c r="H10685" s="1066"/>
      <c r="I10685" s="1063"/>
      <c r="J10685" s="1063"/>
      <c r="K10685" s="1063"/>
      <c r="L10685" s="1063"/>
    </row>
    <row r="10686" spans="5:12" x14ac:dyDescent="0.2">
      <c r="E10686" s="1063"/>
      <c r="H10686" s="1066"/>
      <c r="I10686" s="1063"/>
      <c r="J10686" s="1063"/>
      <c r="K10686" s="1063"/>
      <c r="L10686" s="1063"/>
    </row>
    <row r="10687" spans="5:12" x14ac:dyDescent="0.2">
      <c r="E10687" s="1063"/>
      <c r="H10687" s="1066"/>
      <c r="I10687" s="1063"/>
      <c r="J10687" s="1063"/>
      <c r="K10687" s="1063"/>
      <c r="L10687" s="1063"/>
    </row>
    <row r="10688" spans="5:12" x14ac:dyDescent="0.2">
      <c r="E10688" s="1063"/>
      <c r="H10688" s="1066"/>
      <c r="I10688" s="1063"/>
      <c r="J10688" s="1063"/>
      <c r="K10688" s="1063"/>
      <c r="L10688" s="1063"/>
    </row>
    <row r="10689" spans="5:12" x14ac:dyDescent="0.2">
      <c r="E10689" s="1063"/>
      <c r="H10689" s="1066"/>
      <c r="I10689" s="1063"/>
      <c r="J10689" s="1063"/>
      <c r="K10689" s="1063"/>
      <c r="L10689" s="1063"/>
    </row>
    <row r="10690" spans="5:12" x14ac:dyDescent="0.2">
      <c r="E10690" s="1063"/>
      <c r="H10690" s="1066"/>
      <c r="I10690" s="1063"/>
      <c r="J10690" s="1063"/>
      <c r="K10690" s="1063"/>
      <c r="L10690" s="1063"/>
    </row>
    <row r="10691" spans="5:12" x14ac:dyDescent="0.2">
      <c r="E10691" s="1063"/>
      <c r="H10691" s="1066"/>
      <c r="I10691" s="1063"/>
      <c r="J10691" s="1063"/>
      <c r="K10691" s="1063"/>
      <c r="L10691" s="1063"/>
    </row>
    <row r="10692" spans="5:12" x14ac:dyDescent="0.2">
      <c r="E10692" s="1063"/>
      <c r="H10692" s="1066"/>
      <c r="I10692" s="1063"/>
      <c r="J10692" s="1063"/>
      <c r="K10692" s="1063"/>
      <c r="L10692" s="1063"/>
    </row>
    <row r="10693" spans="5:12" x14ac:dyDescent="0.2">
      <c r="E10693" s="1063"/>
      <c r="H10693" s="1066"/>
      <c r="I10693" s="1063"/>
      <c r="J10693" s="1063"/>
      <c r="K10693" s="1063"/>
      <c r="L10693" s="1063"/>
    </row>
    <row r="10694" spans="5:12" x14ac:dyDescent="0.2">
      <c r="E10694" s="1063"/>
      <c r="H10694" s="1066"/>
      <c r="I10694" s="1063"/>
      <c r="J10694" s="1063"/>
      <c r="K10694" s="1063"/>
      <c r="L10694" s="1063"/>
    </row>
    <row r="10695" spans="5:12" x14ac:dyDescent="0.2">
      <c r="E10695" s="1063"/>
      <c r="H10695" s="1066"/>
      <c r="I10695" s="1063"/>
      <c r="J10695" s="1063"/>
      <c r="K10695" s="1063"/>
      <c r="L10695" s="1063"/>
    </row>
    <row r="10696" spans="5:12" x14ac:dyDescent="0.2">
      <c r="E10696" s="1063"/>
      <c r="H10696" s="1066"/>
      <c r="I10696" s="1063"/>
      <c r="J10696" s="1063"/>
      <c r="K10696" s="1063"/>
      <c r="L10696" s="1063"/>
    </row>
    <row r="10697" spans="5:12" x14ac:dyDescent="0.2">
      <c r="E10697" s="1063"/>
      <c r="H10697" s="1066"/>
      <c r="I10697" s="1063"/>
      <c r="J10697" s="1063"/>
      <c r="K10697" s="1063"/>
      <c r="L10697" s="1063"/>
    </row>
    <row r="10698" spans="5:12" x14ac:dyDescent="0.2">
      <c r="E10698" s="1063"/>
      <c r="H10698" s="1066"/>
      <c r="I10698" s="1063"/>
      <c r="J10698" s="1063"/>
      <c r="K10698" s="1063"/>
      <c r="L10698" s="1063"/>
    </row>
    <row r="10699" spans="5:12" x14ac:dyDescent="0.2">
      <c r="E10699" s="1063"/>
      <c r="H10699" s="1066"/>
      <c r="I10699" s="1063"/>
      <c r="J10699" s="1063"/>
      <c r="K10699" s="1063"/>
      <c r="L10699" s="1063"/>
    </row>
    <row r="10700" spans="5:12" x14ac:dyDescent="0.2">
      <c r="E10700" s="1063"/>
      <c r="H10700" s="1066"/>
      <c r="I10700" s="1063"/>
      <c r="J10700" s="1063"/>
      <c r="K10700" s="1063"/>
      <c r="L10700" s="1063"/>
    </row>
    <row r="10701" spans="5:12" x14ac:dyDescent="0.2">
      <c r="E10701" s="1063"/>
      <c r="H10701" s="1066"/>
      <c r="I10701" s="1063"/>
      <c r="J10701" s="1063"/>
      <c r="K10701" s="1063"/>
      <c r="L10701" s="1063"/>
    </row>
    <row r="10702" spans="5:12" x14ac:dyDescent="0.2">
      <c r="E10702" s="1063"/>
      <c r="H10702" s="1066"/>
      <c r="I10702" s="1063"/>
      <c r="J10702" s="1063"/>
      <c r="K10702" s="1063"/>
      <c r="L10702" s="1063"/>
    </row>
    <row r="10703" spans="5:12" x14ac:dyDescent="0.2">
      <c r="E10703" s="1063"/>
      <c r="H10703" s="1066"/>
      <c r="I10703" s="1063"/>
      <c r="J10703" s="1063"/>
      <c r="K10703" s="1063"/>
      <c r="L10703" s="1063"/>
    </row>
    <row r="10704" spans="5:12" x14ac:dyDescent="0.2">
      <c r="E10704" s="1063"/>
      <c r="H10704" s="1066"/>
      <c r="I10704" s="1063"/>
      <c r="J10704" s="1063"/>
      <c r="K10704" s="1063"/>
      <c r="L10704" s="1063"/>
    </row>
    <row r="10705" spans="5:12" x14ac:dyDescent="0.2">
      <c r="E10705" s="1063"/>
      <c r="H10705" s="1066"/>
      <c r="I10705" s="1063"/>
      <c r="J10705" s="1063"/>
      <c r="K10705" s="1063"/>
      <c r="L10705" s="1063"/>
    </row>
    <row r="10706" spans="5:12" x14ac:dyDescent="0.2">
      <c r="E10706" s="1063"/>
      <c r="H10706" s="1066"/>
      <c r="I10706" s="1063"/>
      <c r="J10706" s="1063"/>
      <c r="K10706" s="1063"/>
      <c r="L10706" s="1063"/>
    </row>
    <row r="10707" spans="5:12" x14ac:dyDescent="0.2">
      <c r="E10707" s="1063"/>
      <c r="H10707" s="1066"/>
      <c r="I10707" s="1063"/>
      <c r="J10707" s="1063"/>
      <c r="K10707" s="1063"/>
      <c r="L10707" s="1063"/>
    </row>
    <row r="10708" spans="5:12" x14ac:dyDescent="0.2">
      <c r="E10708" s="1063"/>
      <c r="H10708" s="1066"/>
      <c r="I10708" s="1063"/>
      <c r="J10708" s="1063"/>
      <c r="K10708" s="1063"/>
      <c r="L10708" s="1063"/>
    </row>
    <row r="10709" spans="5:12" x14ac:dyDescent="0.2">
      <c r="E10709" s="1063"/>
      <c r="H10709" s="1066"/>
      <c r="I10709" s="1063"/>
      <c r="J10709" s="1063"/>
      <c r="K10709" s="1063"/>
      <c r="L10709" s="1063"/>
    </row>
    <row r="10710" spans="5:12" x14ac:dyDescent="0.2">
      <c r="E10710" s="1063"/>
      <c r="H10710" s="1066"/>
      <c r="I10710" s="1063"/>
      <c r="J10710" s="1063"/>
      <c r="K10710" s="1063"/>
      <c r="L10710" s="1063"/>
    </row>
    <row r="10711" spans="5:12" x14ac:dyDescent="0.2">
      <c r="E10711" s="1063"/>
      <c r="H10711" s="1066"/>
      <c r="I10711" s="1063"/>
      <c r="J10711" s="1063"/>
      <c r="K10711" s="1063"/>
      <c r="L10711" s="1063"/>
    </row>
    <row r="10712" spans="5:12" x14ac:dyDescent="0.2">
      <c r="E10712" s="1063"/>
      <c r="H10712" s="1066"/>
      <c r="I10712" s="1063"/>
      <c r="J10712" s="1063"/>
      <c r="K10712" s="1063"/>
      <c r="L10712" s="1063"/>
    </row>
    <row r="10713" spans="5:12" x14ac:dyDescent="0.2">
      <c r="E10713" s="1063"/>
      <c r="H10713" s="1066"/>
      <c r="I10713" s="1063"/>
      <c r="J10713" s="1063"/>
      <c r="K10713" s="1063"/>
      <c r="L10713" s="1063"/>
    </row>
    <row r="10714" spans="5:12" x14ac:dyDescent="0.2">
      <c r="E10714" s="1063"/>
      <c r="H10714" s="1066"/>
      <c r="I10714" s="1063"/>
      <c r="J10714" s="1063"/>
      <c r="K10714" s="1063"/>
      <c r="L10714" s="1063"/>
    </row>
    <row r="10715" spans="5:12" x14ac:dyDescent="0.2">
      <c r="E10715" s="1063"/>
      <c r="H10715" s="1066"/>
      <c r="I10715" s="1063"/>
      <c r="J10715" s="1063"/>
      <c r="K10715" s="1063"/>
      <c r="L10715" s="1063"/>
    </row>
    <row r="10716" spans="5:12" x14ac:dyDescent="0.2">
      <c r="E10716" s="1063"/>
      <c r="H10716" s="1066"/>
      <c r="I10716" s="1063"/>
      <c r="J10716" s="1063"/>
      <c r="K10716" s="1063"/>
      <c r="L10716" s="1063"/>
    </row>
    <row r="10717" spans="5:12" x14ac:dyDescent="0.2">
      <c r="E10717" s="1063"/>
      <c r="H10717" s="1066"/>
      <c r="I10717" s="1063"/>
      <c r="J10717" s="1063"/>
      <c r="K10717" s="1063"/>
      <c r="L10717" s="1063"/>
    </row>
    <row r="10718" spans="5:12" x14ac:dyDescent="0.2">
      <c r="E10718" s="1063"/>
      <c r="H10718" s="1066"/>
      <c r="I10718" s="1063"/>
      <c r="J10718" s="1063"/>
      <c r="K10718" s="1063"/>
      <c r="L10718" s="1063"/>
    </row>
    <row r="10719" spans="5:12" x14ac:dyDescent="0.2">
      <c r="E10719" s="1063"/>
      <c r="H10719" s="1066"/>
      <c r="I10719" s="1063"/>
      <c r="J10719" s="1063"/>
      <c r="K10719" s="1063"/>
      <c r="L10719" s="1063"/>
    </row>
    <row r="10720" spans="5:12" x14ac:dyDescent="0.2">
      <c r="E10720" s="1063"/>
      <c r="H10720" s="1066"/>
      <c r="I10720" s="1063"/>
      <c r="J10720" s="1063"/>
      <c r="K10720" s="1063"/>
      <c r="L10720" s="1063"/>
    </row>
    <row r="10721" spans="5:12" x14ac:dyDescent="0.2">
      <c r="E10721" s="1063"/>
      <c r="H10721" s="1066"/>
      <c r="I10721" s="1063"/>
      <c r="J10721" s="1063"/>
      <c r="K10721" s="1063"/>
      <c r="L10721" s="1063"/>
    </row>
    <row r="10722" spans="5:12" x14ac:dyDescent="0.2">
      <c r="E10722" s="1063"/>
      <c r="H10722" s="1066"/>
      <c r="I10722" s="1063"/>
      <c r="J10722" s="1063"/>
      <c r="K10722" s="1063"/>
      <c r="L10722" s="1063"/>
    </row>
    <row r="10723" spans="5:12" x14ac:dyDescent="0.2">
      <c r="E10723" s="1063"/>
      <c r="H10723" s="1066"/>
      <c r="I10723" s="1063"/>
      <c r="J10723" s="1063"/>
      <c r="K10723" s="1063"/>
      <c r="L10723" s="1063"/>
    </row>
    <row r="10724" spans="5:12" x14ac:dyDescent="0.2">
      <c r="E10724" s="1063"/>
      <c r="H10724" s="1066"/>
      <c r="I10724" s="1063"/>
      <c r="J10724" s="1063"/>
      <c r="K10724" s="1063"/>
      <c r="L10724" s="1063"/>
    </row>
    <row r="10725" spans="5:12" x14ac:dyDescent="0.2">
      <c r="E10725" s="1063"/>
      <c r="H10725" s="1066"/>
      <c r="I10725" s="1063"/>
      <c r="J10725" s="1063"/>
      <c r="K10725" s="1063"/>
      <c r="L10725" s="1063"/>
    </row>
    <row r="10726" spans="5:12" x14ac:dyDescent="0.2">
      <c r="E10726" s="1063"/>
      <c r="H10726" s="1066"/>
      <c r="I10726" s="1063"/>
      <c r="J10726" s="1063"/>
      <c r="K10726" s="1063"/>
      <c r="L10726" s="1063"/>
    </row>
    <row r="10727" spans="5:12" x14ac:dyDescent="0.2">
      <c r="E10727" s="1063"/>
      <c r="H10727" s="1066"/>
      <c r="I10727" s="1063"/>
      <c r="J10727" s="1063"/>
      <c r="K10727" s="1063"/>
      <c r="L10727" s="1063"/>
    </row>
    <row r="10728" spans="5:12" x14ac:dyDescent="0.2">
      <c r="E10728" s="1063"/>
      <c r="H10728" s="1066"/>
      <c r="I10728" s="1063"/>
      <c r="J10728" s="1063"/>
      <c r="K10728" s="1063"/>
      <c r="L10728" s="1063"/>
    </row>
    <row r="10729" spans="5:12" x14ac:dyDescent="0.2">
      <c r="E10729" s="1063"/>
      <c r="H10729" s="1066"/>
      <c r="I10729" s="1063"/>
      <c r="J10729" s="1063"/>
      <c r="K10729" s="1063"/>
      <c r="L10729" s="1063"/>
    </row>
    <row r="10730" spans="5:12" x14ac:dyDescent="0.2">
      <c r="E10730" s="1063"/>
      <c r="H10730" s="1066"/>
      <c r="I10730" s="1063"/>
      <c r="J10730" s="1063"/>
      <c r="K10730" s="1063"/>
      <c r="L10730" s="1063"/>
    </row>
    <row r="10731" spans="5:12" x14ac:dyDescent="0.2">
      <c r="E10731" s="1063"/>
      <c r="H10731" s="1066"/>
      <c r="I10731" s="1063"/>
      <c r="J10731" s="1063"/>
      <c r="K10731" s="1063"/>
      <c r="L10731" s="1063"/>
    </row>
    <row r="10732" spans="5:12" x14ac:dyDescent="0.2">
      <c r="E10732" s="1063"/>
      <c r="H10732" s="1066"/>
      <c r="I10732" s="1063"/>
      <c r="J10732" s="1063"/>
      <c r="K10732" s="1063"/>
      <c r="L10732" s="1063"/>
    </row>
    <row r="10733" spans="5:12" x14ac:dyDescent="0.2">
      <c r="E10733" s="1063"/>
      <c r="H10733" s="1066"/>
      <c r="I10733" s="1063"/>
      <c r="J10733" s="1063"/>
      <c r="K10733" s="1063"/>
      <c r="L10733" s="1063"/>
    </row>
    <row r="10734" spans="5:12" x14ac:dyDescent="0.2">
      <c r="E10734" s="1063"/>
      <c r="H10734" s="1066"/>
      <c r="I10734" s="1063"/>
      <c r="J10734" s="1063"/>
      <c r="K10734" s="1063"/>
      <c r="L10734" s="1063"/>
    </row>
    <row r="10735" spans="5:12" x14ac:dyDescent="0.2">
      <c r="E10735" s="1063"/>
      <c r="H10735" s="1066"/>
      <c r="I10735" s="1063"/>
      <c r="J10735" s="1063"/>
      <c r="K10735" s="1063"/>
      <c r="L10735" s="1063"/>
    </row>
    <row r="10736" spans="5:12" x14ac:dyDescent="0.2">
      <c r="E10736" s="1063"/>
      <c r="H10736" s="1066"/>
      <c r="I10736" s="1063"/>
      <c r="J10736" s="1063"/>
      <c r="K10736" s="1063"/>
      <c r="L10736" s="1063"/>
    </row>
    <row r="10737" spans="5:12" x14ac:dyDescent="0.2">
      <c r="E10737" s="1063"/>
      <c r="H10737" s="1066"/>
      <c r="I10737" s="1063"/>
      <c r="J10737" s="1063"/>
      <c r="K10737" s="1063"/>
      <c r="L10737" s="1063"/>
    </row>
    <row r="10738" spans="5:12" x14ac:dyDescent="0.2">
      <c r="E10738" s="1063"/>
      <c r="H10738" s="1066"/>
      <c r="I10738" s="1063"/>
      <c r="J10738" s="1063"/>
      <c r="K10738" s="1063"/>
      <c r="L10738" s="1063"/>
    </row>
    <row r="10739" spans="5:12" x14ac:dyDescent="0.2">
      <c r="E10739" s="1063"/>
      <c r="H10739" s="1066"/>
      <c r="I10739" s="1063"/>
      <c r="J10739" s="1063"/>
      <c r="K10739" s="1063"/>
      <c r="L10739" s="1063"/>
    </row>
    <row r="10740" spans="5:12" x14ac:dyDescent="0.2">
      <c r="E10740" s="1063"/>
      <c r="H10740" s="1066"/>
      <c r="I10740" s="1063"/>
      <c r="J10740" s="1063"/>
      <c r="K10740" s="1063"/>
      <c r="L10740" s="1063"/>
    </row>
    <row r="10741" spans="5:12" x14ac:dyDescent="0.2">
      <c r="E10741" s="1063"/>
      <c r="H10741" s="1066"/>
      <c r="I10741" s="1063"/>
      <c r="J10741" s="1063"/>
      <c r="K10741" s="1063"/>
      <c r="L10741" s="1063"/>
    </row>
    <row r="10742" spans="5:12" x14ac:dyDescent="0.2">
      <c r="E10742" s="1063"/>
      <c r="H10742" s="1066"/>
      <c r="I10742" s="1063"/>
      <c r="J10742" s="1063"/>
      <c r="K10742" s="1063"/>
      <c r="L10742" s="1063"/>
    </row>
    <row r="10743" spans="5:12" x14ac:dyDescent="0.2">
      <c r="E10743" s="1063"/>
      <c r="H10743" s="1066"/>
      <c r="I10743" s="1063"/>
      <c r="J10743" s="1063"/>
      <c r="K10743" s="1063"/>
      <c r="L10743" s="1063"/>
    </row>
    <row r="10744" spans="5:12" x14ac:dyDescent="0.2">
      <c r="E10744" s="1063"/>
      <c r="H10744" s="1066"/>
      <c r="I10744" s="1063"/>
      <c r="J10744" s="1063"/>
      <c r="K10744" s="1063"/>
      <c r="L10744" s="1063"/>
    </row>
    <row r="10745" spans="5:12" x14ac:dyDescent="0.2">
      <c r="E10745" s="1063"/>
      <c r="H10745" s="1066"/>
      <c r="I10745" s="1063"/>
      <c r="J10745" s="1063"/>
      <c r="K10745" s="1063"/>
      <c r="L10745" s="1063"/>
    </row>
    <row r="10746" spans="5:12" x14ac:dyDescent="0.2">
      <c r="E10746" s="1063"/>
      <c r="H10746" s="1066"/>
      <c r="I10746" s="1063"/>
      <c r="J10746" s="1063"/>
      <c r="K10746" s="1063"/>
      <c r="L10746" s="1063"/>
    </row>
    <row r="10747" spans="5:12" x14ac:dyDescent="0.2">
      <c r="E10747" s="1063"/>
      <c r="H10747" s="1066"/>
      <c r="I10747" s="1063"/>
      <c r="J10747" s="1063"/>
      <c r="K10747" s="1063"/>
      <c r="L10747" s="1063"/>
    </row>
    <row r="10748" spans="5:12" x14ac:dyDescent="0.2">
      <c r="E10748" s="1063"/>
      <c r="H10748" s="1066"/>
      <c r="I10748" s="1063"/>
      <c r="J10748" s="1063"/>
      <c r="K10748" s="1063"/>
      <c r="L10748" s="1063"/>
    </row>
    <row r="10749" spans="5:12" x14ac:dyDescent="0.2">
      <c r="E10749" s="1063"/>
      <c r="H10749" s="1066"/>
      <c r="I10749" s="1063"/>
      <c r="J10749" s="1063"/>
      <c r="K10749" s="1063"/>
      <c r="L10749" s="1063"/>
    </row>
    <row r="10750" spans="5:12" x14ac:dyDescent="0.2">
      <c r="E10750" s="1063"/>
      <c r="H10750" s="1066"/>
      <c r="I10750" s="1063"/>
      <c r="J10750" s="1063"/>
      <c r="K10750" s="1063"/>
      <c r="L10750" s="1063"/>
    </row>
    <row r="10751" spans="5:12" x14ac:dyDescent="0.2">
      <c r="E10751" s="1063"/>
      <c r="H10751" s="1066"/>
      <c r="I10751" s="1063"/>
      <c r="J10751" s="1063"/>
      <c r="K10751" s="1063"/>
      <c r="L10751" s="1063"/>
    </row>
    <row r="10752" spans="5:12" x14ac:dyDescent="0.2">
      <c r="E10752" s="1063"/>
      <c r="H10752" s="1066"/>
      <c r="I10752" s="1063"/>
      <c r="J10752" s="1063"/>
      <c r="K10752" s="1063"/>
      <c r="L10752" s="1063"/>
    </row>
    <row r="10753" spans="5:12" x14ac:dyDescent="0.2">
      <c r="E10753" s="1063"/>
      <c r="H10753" s="1066"/>
      <c r="I10753" s="1063"/>
      <c r="J10753" s="1063"/>
      <c r="K10753" s="1063"/>
      <c r="L10753" s="1063"/>
    </row>
    <row r="10754" spans="5:12" x14ac:dyDescent="0.2">
      <c r="E10754" s="1063"/>
      <c r="H10754" s="1066"/>
      <c r="I10754" s="1063"/>
      <c r="J10754" s="1063"/>
      <c r="K10754" s="1063"/>
      <c r="L10754" s="1063"/>
    </row>
    <row r="10755" spans="5:12" x14ac:dyDescent="0.2">
      <c r="E10755" s="1063"/>
      <c r="H10755" s="1066"/>
      <c r="I10755" s="1063"/>
      <c r="J10755" s="1063"/>
      <c r="K10755" s="1063"/>
      <c r="L10755" s="1063"/>
    </row>
    <row r="10756" spans="5:12" x14ac:dyDescent="0.2">
      <c r="E10756" s="1063"/>
      <c r="H10756" s="1066"/>
      <c r="I10756" s="1063"/>
      <c r="J10756" s="1063"/>
      <c r="K10756" s="1063"/>
      <c r="L10756" s="1063"/>
    </row>
    <row r="10757" spans="5:12" x14ac:dyDescent="0.2">
      <c r="E10757" s="1063"/>
      <c r="H10757" s="1066"/>
      <c r="I10757" s="1063"/>
      <c r="J10757" s="1063"/>
      <c r="K10757" s="1063"/>
      <c r="L10757" s="1063"/>
    </row>
    <row r="10758" spans="5:12" x14ac:dyDescent="0.2">
      <c r="E10758" s="1063"/>
      <c r="H10758" s="1066"/>
      <c r="I10758" s="1063"/>
      <c r="J10758" s="1063"/>
      <c r="K10758" s="1063"/>
      <c r="L10758" s="1063"/>
    </row>
    <row r="10759" spans="5:12" x14ac:dyDescent="0.2">
      <c r="E10759" s="1063"/>
      <c r="H10759" s="1066"/>
      <c r="I10759" s="1063"/>
      <c r="J10759" s="1063"/>
      <c r="K10759" s="1063"/>
      <c r="L10759" s="1063"/>
    </row>
    <row r="10760" spans="5:12" x14ac:dyDescent="0.2">
      <c r="E10760" s="1063"/>
      <c r="H10760" s="1066"/>
      <c r="I10760" s="1063"/>
      <c r="J10760" s="1063"/>
      <c r="K10760" s="1063"/>
      <c r="L10760" s="1063"/>
    </row>
    <row r="10761" spans="5:12" x14ac:dyDescent="0.2">
      <c r="E10761" s="1063"/>
      <c r="H10761" s="1066"/>
      <c r="I10761" s="1063"/>
      <c r="J10761" s="1063"/>
      <c r="K10761" s="1063"/>
      <c r="L10761" s="1063"/>
    </row>
    <row r="10762" spans="5:12" x14ac:dyDescent="0.2">
      <c r="E10762" s="1063"/>
      <c r="H10762" s="1066"/>
      <c r="I10762" s="1063"/>
      <c r="J10762" s="1063"/>
      <c r="K10762" s="1063"/>
      <c r="L10762" s="1063"/>
    </row>
    <row r="10763" spans="5:12" x14ac:dyDescent="0.2">
      <c r="E10763" s="1063"/>
      <c r="H10763" s="1066"/>
      <c r="I10763" s="1063"/>
      <c r="J10763" s="1063"/>
      <c r="K10763" s="1063"/>
      <c r="L10763" s="1063"/>
    </row>
    <row r="10764" spans="5:12" x14ac:dyDescent="0.2">
      <c r="E10764" s="1063"/>
      <c r="H10764" s="1066"/>
      <c r="I10764" s="1063"/>
      <c r="J10764" s="1063"/>
      <c r="K10764" s="1063"/>
      <c r="L10764" s="1063"/>
    </row>
    <row r="10765" spans="5:12" x14ac:dyDescent="0.2">
      <c r="E10765" s="1063"/>
      <c r="H10765" s="1066"/>
      <c r="I10765" s="1063"/>
      <c r="J10765" s="1063"/>
      <c r="K10765" s="1063"/>
      <c r="L10765" s="1063"/>
    </row>
    <row r="10766" spans="5:12" x14ac:dyDescent="0.2">
      <c r="E10766" s="1063"/>
      <c r="H10766" s="1066"/>
      <c r="I10766" s="1063"/>
      <c r="J10766" s="1063"/>
      <c r="K10766" s="1063"/>
      <c r="L10766" s="1063"/>
    </row>
    <row r="10767" spans="5:12" x14ac:dyDescent="0.2">
      <c r="E10767" s="1063"/>
      <c r="H10767" s="1066"/>
      <c r="I10767" s="1063"/>
      <c r="J10767" s="1063"/>
      <c r="K10767" s="1063"/>
      <c r="L10767" s="1063"/>
    </row>
    <row r="10768" spans="5:12" x14ac:dyDescent="0.2">
      <c r="E10768" s="1063"/>
      <c r="H10768" s="1066"/>
      <c r="I10768" s="1063"/>
      <c r="J10768" s="1063"/>
      <c r="K10768" s="1063"/>
      <c r="L10768" s="1063"/>
    </row>
    <row r="10769" spans="5:12" x14ac:dyDescent="0.2">
      <c r="E10769" s="1063"/>
      <c r="H10769" s="1066"/>
      <c r="I10769" s="1063"/>
      <c r="J10769" s="1063"/>
      <c r="K10769" s="1063"/>
      <c r="L10769" s="1063"/>
    </row>
    <row r="10770" spans="5:12" x14ac:dyDescent="0.2">
      <c r="E10770" s="1063"/>
      <c r="H10770" s="1066"/>
      <c r="I10770" s="1063"/>
      <c r="J10770" s="1063"/>
      <c r="K10770" s="1063"/>
      <c r="L10770" s="1063"/>
    </row>
    <row r="10771" spans="5:12" x14ac:dyDescent="0.2">
      <c r="E10771" s="1063"/>
      <c r="H10771" s="1066"/>
      <c r="I10771" s="1063"/>
      <c r="J10771" s="1063"/>
      <c r="K10771" s="1063"/>
      <c r="L10771" s="1063"/>
    </row>
    <row r="10772" spans="5:12" x14ac:dyDescent="0.2">
      <c r="E10772" s="1063"/>
      <c r="H10772" s="1066"/>
      <c r="I10772" s="1063"/>
      <c r="J10772" s="1063"/>
      <c r="K10772" s="1063"/>
      <c r="L10772" s="1063"/>
    </row>
    <row r="10773" spans="5:12" x14ac:dyDescent="0.2">
      <c r="E10773" s="1063"/>
      <c r="H10773" s="1066"/>
      <c r="I10773" s="1063"/>
      <c r="J10773" s="1063"/>
      <c r="K10773" s="1063"/>
      <c r="L10773" s="1063"/>
    </row>
    <row r="10774" spans="5:12" x14ac:dyDescent="0.2">
      <c r="E10774" s="1063"/>
      <c r="H10774" s="1066"/>
      <c r="I10774" s="1063"/>
      <c r="J10774" s="1063"/>
      <c r="K10774" s="1063"/>
      <c r="L10774" s="1063"/>
    </row>
    <row r="10775" spans="5:12" x14ac:dyDescent="0.2">
      <c r="E10775" s="1063"/>
      <c r="H10775" s="1066"/>
      <c r="I10775" s="1063"/>
      <c r="J10775" s="1063"/>
      <c r="K10775" s="1063"/>
      <c r="L10775" s="1063"/>
    </row>
    <row r="10776" spans="5:12" x14ac:dyDescent="0.2">
      <c r="E10776" s="1063"/>
      <c r="H10776" s="1066"/>
      <c r="I10776" s="1063"/>
      <c r="J10776" s="1063"/>
      <c r="K10776" s="1063"/>
      <c r="L10776" s="1063"/>
    </row>
    <row r="10777" spans="5:12" x14ac:dyDescent="0.2">
      <c r="E10777" s="1063"/>
      <c r="H10777" s="1066"/>
      <c r="I10777" s="1063"/>
      <c r="J10777" s="1063"/>
      <c r="K10777" s="1063"/>
      <c r="L10777" s="1063"/>
    </row>
    <row r="10778" spans="5:12" x14ac:dyDescent="0.2">
      <c r="E10778" s="1063"/>
      <c r="H10778" s="1066"/>
      <c r="I10778" s="1063"/>
      <c r="J10778" s="1063"/>
      <c r="K10778" s="1063"/>
      <c r="L10778" s="1063"/>
    </row>
    <row r="10779" spans="5:12" x14ac:dyDescent="0.2">
      <c r="E10779" s="1063"/>
      <c r="H10779" s="1066"/>
      <c r="I10779" s="1063"/>
      <c r="J10779" s="1063"/>
      <c r="K10779" s="1063"/>
      <c r="L10779" s="1063"/>
    </row>
    <row r="10780" spans="5:12" x14ac:dyDescent="0.2">
      <c r="E10780" s="1063"/>
      <c r="H10780" s="1066"/>
      <c r="I10780" s="1063"/>
      <c r="J10780" s="1063"/>
      <c r="K10780" s="1063"/>
      <c r="L10780" s="1063"/>
    </row>
    <row r="10781" spans="5:12" x14ac:dyDescent="0.2">
      <c r="E10781" s="1063"/>
      <c r="H10781" s="1066"/>
      <c r="I10781" s="1063"/>
      <c r="J10781" s="1063"/>
      <c r="K10781" s="1063"/>
      <c r="L10781" s="1063"/>
    </row>
    <row r="10782" spans="5:12" x14ac:dyDescent="0.2">
      <c r="E10782" s="1063"/>
      <c r="H10782" s="1066"/>
      <c r="I10782" s="1063"/>
      <c r="J10782" s="1063"/>
      <c r="K10782" s="1063"/>
      <c r="L10782" s="1063"/>
    </row>
    <row r="10783" spans="5:12" x14ac:dyDescent="0.2">
      <c r="E10783" s="1063"/>
      <c r="H10783" s="1066"/>
      <c r="I10783" s="1063"/>
      <c r="J10783" s="1063"/>
      <c r="K10783" s="1063"/>
      <c r="L10783" s="1063"/>
    </row>
    <row r="10784" spans="5:12" x14ac:dyDescent="0.2">
      <c r="E10784" s="1063"/>
      <c r="H10784" s="1066"/>
      <c r="I10784" s="1063"/>
      <c r="J10784" s="1063"/>
      <c r="K10784" s="1063"/>
      <c r="L10784" s="1063"/>
    </row>
    <row r="10785" spans="5:12" x14ac:dyDescent="0.2">
      <c r="E10785" s="1063"/>
      <c r="H10785" s="1066"/>
      <c r="I10785" s="1063"/>
      <c r="J10785" s="1063"/>
      <c r="K10785" s="1063"/>
      <c r="L10785" s="1063"/>
    </row>
    <row r="10786" spans="5:12" x14ac:dyDescent="0.2">
      <c r="E10786" s="1063"/>
      <c r="H10786" s="1066"/>
      <c r="I10786" s="1063"/>
      <c r="J10786" s="1063"/>
      <c r="K10786" s="1063"/>
      <c r="L10786" s="1063"/>
    </row>
    <row r="10787" spans="5:12" x14ac:dyDescent="0.2">
      <c r="E10787" s="1063"/>
      <c r="H10787" s="1066"/>
      <c r="I10787" s="1063"/>
      <c r="J10787" s="1063"/>
      <c r="K10787" s="1063"/>
      <c r="L10787" s="1063"/>
    </row>
    <row r="10788" spans="5:12" x14ac:dyDescent="0.2">
      <c r="E10788" s="1063"/>
      <c r="H10788" s="1066"/>
      <c r="I10788" s="1063"/>
      <c r="J10788" s="1063"/>
      <c r="K10788" s="1063"/>
      <c r="L10788" s="1063"/>
    </row>
    <row r="10789" spans="5:12" x14ac:dyDescent="0.2">
      <c r="E10789" s="1063"/>
      <c r="H10789" s="1066"/>
      <c r="I10789" s="1063"/>
      <c r="J10789" s="1063"/>
      <c r="K10789" s="1063"/>
      <c r="L10789" s="1063"/>
    </row>
    <row r="10790" spans="5:12" x14ac:dyDescent="0.2">
      <c r="E10790" s="1063"/>
      <c r="H10790" s="1066"/>
      <c r="I10790" s="1063"/>
      <c r="J10790" s="1063"/>
      <c r="K10790" s="1063"/>
      <c r="L10790" s="1063"/>
    </row>
    <row r="10791" spans="5:12" x14ac:dyDescent="0.2">
      <c r="E10791" s="1063"/>
      <c r="H10791" s="1066"/>
      <c r="I10791" s="1063"/>
      <c r="J10791" s="1063"/>
      <c r="K10791" s="1063"/>
      <c r="L10791" s="1063"/>
    </row>
    <row r="10792" spans="5:12" x14ac:dyDescent="0.2">
      <c r="E10792" s="1063"/>
      <c r="H10792" s="1066"/>
      <c r="I10792" s="1063"/>
      <c r="J10792" s="1063"/>
      <c r="K10792" s="1063"/>
      <c r="L10792" s="1063"/>
    </row>
    <row r="10793" spans="5:12" x14ac:dyDescent="0.2">
      <c r="E10793" s="1063"/>
      <c r="H10793" s="1066"/>
      <c r="I10793" s="1063"/>
      <c r="J10793" s="1063"/>
      <c r="K10793" s="1063"/>
      <c r="L10793" s="1063"/>
    </row>
    <row r="10794" spans="5:12" x14ac:dyDescent="0.2">
      <c r="E10794" s="1063"/>
      <c r="H10794" s="1066"/>
      <c r="I10794" s="1063"/>
      <c r="J10794" s="1063"/>
      <c r="K10794" s="1063"/>
      <c r="L10794" s="1063"/>
    </row>
    <row r="10795" spans="5:12" x14ac:dyDescent="0.2">
      <c r="E10795" s="1063"/>
      <c r="H10795" s="1066"/>
      <c r="I10795" s="1063"/>
      <c r="J10795" s="1063"/>
      <c r="K10795" s="1063"/>
      <c r="L10795" s="1063"/>
    </row>
    <row r="10796" spans="5:12" x14ac:dyDescent="0.2">
      <c r="E10796" s="1063"/>
      <c r="H10796" s="1066"/>
      <c r="I10796" s="1063"/>
      <c r="J10796" s="1063"/>
      <c r="K10796" s="1063"/>
      <c r="L10796" s="1063"/>
    </row>
    <row r="10797" spans="5:12" x14ac:dyDescent="0.2">
      <c r="E10797" s="1063"/>
      <c r="H10797" s="1066"/>
      <c r="I10797" s="1063"/>
      <c r="J10797" s="1063"/>
      <c r="K10797" s="1063"/>
      <c r="L10797" s="1063"/>
    </row>
    <row r="10798" spans="5:12" x14ac:dyDescent="0.2">
      <c r="E10798" s="1063"/>
      <c r="H10798" s="1066"/>
      <c r="I10798" s="1063"/>
      <c r="J10798" s="1063"/>
      <c r="K10798" s="1063"/>
      <c r="L10798" s="1063"/>
    </row>
    <row r="10799" spans="5:12" x14ac:dyDescent="0.2">
      <c r="E10799" s="1063"/>
      <c r="H10799" s="1066"/>
      <c r="I10799" s="1063"/>
      <c r="J10799" s="1063"/>
      <c r="K10799" s="1063"/>
      <c r="L10799" s="1063"/>
    </row>
    <row r="10800" spans="5:12" x14ac:dyDescent="0.2">
      <c r="E10800" s="1063"/>
      <c r="H10800" s="1066"/>
      <c r="I10800" s="1063"/>
      <c r="J10800" s="1063"/>
      <c r="K10800" s="1063"/>
      <c r="L10800" s="1063"/>
    </row>
    <row r="10801" spans="5:12" x14ac:dyDescent="0.2">
      <c r="E10801" s="1063"/>
      <c r="H10801" s="1066"/>
      <c r="I10801" s="1063"/>
      <c r="J10801" s="1063"/>
      <c r="K10801" s="1063"/>
      <c r="L10801" s="1063"/>
    </row>
    <row r="10802" spans="5:12" x14ac:dyDescent="0.2">
      <c r="E10802" s="1063"/>
      <c r="H10802" s="1066"/>
      <c r="I10802" s="1063"/>
      <c r="J10802" s="1063"/>
      <c r="K10802" s="1063"/>
      <c r="L10802" s="1063"/>
    </row>
    <row r="10803" spans="5:12" x14ac:dyDescent="0.2">
      <c r="E10803" s="1063"/>
      <c r="H10803" s="1066"/>
      <c r="I10803" s="1063"/>
      <c r="J10803" s="1063"/>
      <c r="K10803" s="1063"/>
      <c r="L10803" s="1063"/>
    </row>
    <row r="10804" spans="5:12" x14ac:dyDescent="0.2">
      <c r="E10804" s="1063"/>
      <c r="H10804" s="1066"/>
      <c r="I10804" s="1063"/>
      <c r="J10804" s="1063"/>
      <c r="K10804" s="1063"/>
      <c r="L10804" s="1063"/>
    </row>
    <row r="10805" spans="5:12" x14ac:dyDescent="0.2">
      <c r="E10805" s="1063"/>
      <c r="H10805" s="1066"/>
      <c r="I10805" s="1063"/>
      <c r="J10805" s="1063"/>
      <c r="K10805" s="1063"/>
      <c r="L10805" s="1063"/>
    </row>
    <row r="10806" spans="5:12" x14ac:dyDescent="0.2">
      <c r="E10806" s="1063"/>
      <c r="H10806" s="1066"/>
      <c r="I10806" s="1063"/>
      <c r="J10806" s="1063"/>
      <c r="K10806" s="1063"/>
      <c r="L10806" s="1063"/>
    </row>
    <row r="10807" spans="5:12" x14ac:dyDescent="0.2">
      <c r="E10807" s="1063"/>
      <c r="H10807" s="1066"/>
      <c r="I10807" s="1063"/>
      <c r="J10807" s="1063"/>
      <c r="K10807" s="1063"/>
      <c r="L10807" s="1063"/>
    </row>
    <row r="10808" spans="5:12" x14ac:dyDescent="0.2">
      <c r="E10808" s="1063"/>
      <c r="H10808" s="1066"/>
      <c r="I10808" s="1063"/>
      <c r="J10808" s="1063"/>
      <c r="K10808" s="1063"/>
      <c r="L10808" s="1063"/>
    </row>
    <row r="10809" spans="5:12" x14ac:dyDescent="0.2">
      <c r="E10809" s="1063"/>
      <c r="H10809" s="1066"/>
      <c r="I10809" s="1063"/>
      <c r="J10809" s="1063"/>
      <c r="K10809" s="1063"/>
      <c r="L10809" s="1063"/>
    </row>
    <row r="10810" spans="5:12" x14ac:dyDescent="0.2">
      <c r="E10810" s="1063"/>
      <c r="H10810" s="1066"/>
      <c r="I10810" s="1063"/>
      <c r="J10810" s="1063"/>
      <c r="K10810" s="1063"/>
      <c r="L10810" s="1063"/>
    </row>
    <row r="10811" spans="5:12" x14ac:dyDescent="0.2">
      <c r="E10811" s="1063"/>
      <c r="H10811" s="1066"/>
      <c r="I10811" s="1063"/>
      <c r="J10811" s="1063"/>
      <c r="K10811" s="1063"/>
      <c r="L10811" s="1063"/>
    </row>
    <row r="10812" spans="5:12" x14ac:dyDescent="0.2">
      <c r="E10812" s="1063"/>
      <c r="H10812" s="1066"/>
      <c r="I10812" s="1063"/>
      <c r="J10812" s="1063"/>
      <c r="K10812" s="1063"/>
      <c r="L10812" s="1063"/>
    </row>
    <row r="10813" spans="5:12" x14ac:dyDescent="0.2">
      <c r="E10813" s="1063"/>
      <c r="H10813" s="1066"/>
      <c r="I10813" s="1063"/>
      <c r="J10813" s="1063"/>
      <c r="K10813" s="1063"/>
      <c r="L10813" s="1063"/>
    </row>
    <row r="10814" spans="5:12" x14ac:dyDescent="0.2">
      <c r="E10814" s="1063"/>
      <c r="H10814" s="1066"/>
      <c r="I10814" s="1063"/>
      <c r="J10814" s="1063"/>
      <c r="K10814" s="1063"/>
      <c r="L10814" s="1063"/>
    </row>
    <row r="10815" spans="5:12" x14ac:dyDescent="0.2">
      <c r="E10815" s="1063"/>
      <c r="H10815" s="1066"/>
      <c r="I10815" s="1063"/>
      <c r="J10815" s="1063"/>
      <c r="K10815" s="1063"/>
      <c r="L10815" s="1063"/>
    </row>
    <row r="10816" spans="5:12" x14ac:dyDescent="0.2">
      <c r="E10816" s="1063"/>
      <c r="H10816" s="1066"/>
      <c r="I10816" s="1063"/>
      <c r="J10816" s="1063"/>
      <c r="K10816" s="1063"/>
      <c r="L10816" s="1063"/>
    </row>
    <row r="10817" spans="5:12" x14ac:dyDescent="0.2">
      <c r="E10817" s="1063"/>
      <c r="H10817" s="1066"/>
      <c r="I10817" s="1063"/>
      <c r="J10817" s="1063"/>
      <c r="K10817" s="1063"/>
      <c r="L10817" s="1063"/>
    </row>
    <row r="10818" spans="5:12" x14ac:dyDescent="0.2">
      <c r="E10818" s="1063"/>
      <c r="H10818" s="1066"/>
      <c r="I10818" s="1063"/>
      <c r="J10818" s="1063"/>
      <c r="K10818" s="1063"/>
      <c r="L10818" s="1063"/>
    </row>
    <row r="10819" spans="5:12" x14ac:dyDescent="0.2">
      <c r="E10819" s="1063"/>
      <c r="H10819" s="1066"/>
      <c r="I10819" s="1063"/>
      <c r="J10819" s="1063"/>
      <c r="K10819" s="1063"/>
      <c r="L10819" s="1063"/>
    </row>
    <row r="10820" spans="5:12" x14ac:dyDescent="0.2">
      <c r="E10820" s="1063"/>
      <c r="H10820" s="1066"/>
      <c r="I10820" s="1063"/>
      <c r="J10820" s="1063"/>
      <c r="K10820" s="1063"/>
      <c r="L10820" s="1063"/>
    </row>
    <row r="10821" spans="5:12" x14ac:dyDescent="0.2">
      <c r="E10821" s="1063"/>
      <c r="H10821" s="1066"/>
      <c r="I10821" s="1063"/>
      <c r="J10821" s="1063"/>
      <c r="K10821" s="1063"/>
      <c r="L10821" s="1063"/>
    </row>
    <row r="10822" spans="5:12" x14ac:dyDescent="0.2">
      <c r="E10822" s="1063"/>
      <c r="H10822" s="1066"/>
      <c r="I10822" s="1063"/>
      <c r="J10822" s="1063"/>
      <c r="K10822" s="1063"/>
      <c r="L10822" s="1063"/>
    </row>
    <row r="10823" spans="5:12" x14ac:dyDescent="0.2">
      <c r="E10823" s="1063"/>
      <c r="H10823" s="1066"/>
      <c r="I10823" s="1063"/>
      <c r="J10823" s="1063"/>
      <c r="K10823" s="1063"/>
      <c r="L10823" s="1063"/>
    </row>
    <row r="10824" spans="5:12" x14ac:dyDescent="0.2">
      <c r="E10824" s="1063"/>
      <c r="H10824" s="1066"/>
      <c r="I10824" s="1063"/>
      <c r="J10824" s="1063"/>
      <c r="K10824" s="1063"/>
      <c r="L10824" s="1063"/>
    </row>
    <row r="10825" spans="5:12" x14ac:dyDescent="0.2">
      <c r="E10825" s="1063"/>
      <c r="H10825" s="1066"/>
      <c r="I10825" s="1063"/>
      <c r="J10825" s="1063"/>
      <c r="K10825" s="1063"/>
      <c r="L10825" s="1063"/>
    </row>
    <row r="10826" spans="5:12" x14ac:dyDescent="0.2">
      <c r="E10826" s="1063"/>
      <c r="H10826" s="1066"/>
      <c r="I10826" s="1063"/>
      <c r="J10826" s="1063"/>
      <c r="K10826" s="1063"/>
      <c r="L10826" s="1063"/>
    </row>
    <row r="10827" spans="5:12" x14ac:dyDescent="0.2">
      <c r="E10827" s="1063"/>
      <c r="H10827" s="1066"/>
      <c r="I10827" s="1063"/>
      <c r="J10827" s="1063"/>
      <c r="K10827" s="1063"/>
      <c r="L10827" s="1063"/>
    </row>
    <row r="10828" spans="5:12" x14ac:dyDescent="0.2">
      <c r="E10828" s="1063"/>
      <c r="H10828" s="1066"/>
      <c r="I10828" s="1063"/>
      <c r="J10828" s="1063"/>
      <c r="K10828" s="1063"/>
      <c r="L10828" s="1063"/>
    </row>
    <row r="10829" spans="5:12" x14ac:dyDescent="0.2">
      <c r="E10829" s="1063"/>
      <c r="H10829" s="1066"/>
      <c r="I10829" s="1063"/>
      <c r="J10829" s="1063"/>
      <c r="K10829" s="1063"/>
      <c r="L10829" s="1063"/>
    </row>
    <row r="10830" spans="5:12" x14ac:dyDescent="0.2">
      <c r="E10830" s="1063"/>
      <c r="H10830" s="1066"/>
      <c r="I10830" s="1063"/>
      <c r="J10830" s="1063"/>
      <c r="K10830" s="1063"/>
      <c r="L10830" s="1063"/>
    </row>
    <row r="10831" spans="5:12" x14ac:dyDescent="0.2">
      <c r="E10831" s="1063"/>
      <c r="H10831" s="1066"/>
      <c r="I10831" s="1063"/>
      <c r="J10831" s="1063"/>
      <c r="K10831" s="1063"/>
      <c r="L10831" s="1063"/>
    </row>
    <row r="10832" spans="5:12" x14ac:dyDescent="0.2">
      <c r="E10832" s="1063"/>
      <c r="H10832" s="1066"/>
      <c r="I10832" s="1063"/>
      <c r="J10832" s="1063"/>
      <c r="K10832" s="1063"/>
      <c r="L10832" s="1063"/>
    </row>
    <row r="10833" spans="5:12" x14ac:dyDescent="0.2">
      <c r="E10833" s="1063"/>
      <c r="H10833" s="1066"/>
      <c r="I10833" s="1063"/>
      <c r="J10833" s="1063"/>
      <c r="K10833" s="1063"/>
      <c r="L10833" s="1063"/>
    </row>
    <row r="10834" spans="5:12" x14ac:dyDescent="0.2">
      <c r="E10834" s="1063"/>
      <c r="H10834" s="1066"/>
      <c r="I10834" s="1063"/>
      <c r="J10834" s="1063"/>
      <c r="K10834" s="1063"/>
      <c r="L10834" s="1063"/>
    </row>
    <row r="10835" spans="5:12" x14ac:dyDescent="0.2">
      <c r="E10835" s="1063"/>
      <c r="H10835" s="1066"/>
      <c r="I10835" s="1063"/>
      <c r="J10835" s="1063"/>
      <c r="K10835" s="1063"/>
      <c r="L10835" s="1063"/>
    </row>
    <row r="10836" spans="5:12" x14ac:dyDescent="0.2">
      <c r="E10836" s="1063"/>
      <c r="H10836" s="1066"/>
      <c r="I10836" s="1063"/>
      <c r="J10836" s="1063"/>
      <c r="K10836" s="1063"/>
      <c r="L10836" s="1063"/>
    </row>
    <row r="10837" spans="5:12" x14ac:dyDescent="0.2">
      <c r="E10837" s="1063"/>
      <c r="H10837" s="1066"/>
      <c r="I10837" s="1063"/>
      <c r="J10837" s="1063"/>
      <c r="K10837" s="1063"/>
      <c r="L10837" s="1063"/>
    </row>
    <row r="10838" spans="5:12" x14ac:dyDescent="0.2">
      <c r="E10838" s="1063"/>
      <c r="H10838" s="1066"/>
      <c r="I10838" s="1063"/>
      <c r="J10838" s="1063"/>
      <c r="K10838" s="1063"/>
      <c r="L10838" s="1063"/>
    </row>
    <row r="10839" spans="5:12" x14ac:dyDescent="0.2">
      <c r="E10839" s="1063"/>
      <c r="H10839" s="1066"/>
      <c r="I10839" s="1063"/>
      <c r="J10839" s="1063"/>
      <c r="K10839" s="1063"/>
      <c r="L10839" s="1063"/>
    </row>
    <row r="10840" spans="5:12" x14ac:dyDescent="0.2">
      <c r="E10840" s="1063"/>
      <c r="H10840" s="1066"/>
      <c r="I10840" s="1063"/>
      <c r="J10840" s="1063"/>
      <c r="K10840" s="1063"/>
      <c r="L10840" s="1063"/>
    </row>
    <row r="10841" spans="5:12" x14ac:dyDescent="0.2">
      <c r="E10841" s="1063"/>
      <c r="H10841" s="1066"/>
      <c r="I10841" s="1063"/>
      <c r="J10841" s="1063"/>
      <c r="K10841" s="1063"/>
      <c r="L10841" s="1063"/>
    </row>
    <row r="10842" spans="5:12" x14ac:dyDescent="0.2">
      <c r="E10842" s="1063"/>
      <c r="H10842" s="1066"/>
      <c r="I10842" s="1063"/>
      <c r="J10842" s="1063"/>
      <c r="K10842" s="1063"/>
      <c r="L10842" s="1063"/>
    </row>
    <row r="10843" spans="5:12" x14ac:dyDescent="0.2">
      <c r="E10843" s="1063"/>
      <c r="H10843" s="1066"/>
      <c r="I10843" s="1063"/>
      <c r="J10843" s="1063"/>
      <c r="K10843" s="1063"/>
      <c r="L10843" s="1063"/>
    </row>
    <row r="10844" spans="5:12" x14ac:dyDescent="0.2">
      <c r="E10844" s="1063"/>
      <c r="H10844" s="1066"/>
      <c r="I10844" s="1063"/>
      <c r="J10844" s="1063"/>
      <c r="K10844" s="1063"/>
      <c r="L10844" s="1063"/>
    </row>
    <row r="10845" spans="5:12" x14ac:dyDescent="0.2">
      <c r="E10845" s="1063"/>
      <c r="H10845" s="1066"/>
      <c r="I10845" s="1063"/>
      <c r="J10845" s="1063"/>
      <c r="K10845" s="1063"/>
      <c r="L10845" s="1063"/>
    </row>
    <row r="10846" spans="5:12" x14ac:dyDescent="0.2">
      <c r="E10846" s="1063"/>
      <c r="H10846" s="1066"/>
      <c r="I10846" s="1063"/>
      <c r="J10846" s="1063"/>
      <c r="K10846" s="1063"/>
      <c r="L10846" s="1063"/>
    </row>
    <row r="10847" spans="5:12" x14ac:dyDescent="0.2">
      <c r="E10847" s="1063"/>
      <c r="H10847" s="1066"/>
      <c r="I10847" s="1063"/>
      <c r="J10847" s="1063"/>
      <c r="K10847" s="1063"/>
      <c r="L10847" s="1063"/>
    </row>
    <row r="10848" spans="5:12" x14ac:dyDescent="0.2">
      <c r="E10848" s="1063"/>
      <c r="H10848" s="1066"/>
      <c r="I10848" s="1063"/>
      <c r="J10848" s="1063"/>
      <c r="K10848" s="1063"/>
      <c r="L10848" s="1063"/>
    </row>
    <row r="10849" spans="5:12" x14ac:dyDescent="0.2">
      <c r="E10849" s="1063"/>
      <c r="H10849" s="1066"/>
      <c r="I10849" s="1063"/>
      <c r="J10849" s="1063"/>
      <c r="K10849" s="1063"/>
      <c r="L10849" s="1063"/>
    </row>
    <row r="10850" spans="5:12" x14ac:dyDescent="0.2">
      <c r="E10850" s="1063"/>
      <c r="H10850" s="1066"/>
      <c r="I10850" s="1063"/>
      <c r="J10850" s="1063"/>
      <c r="K10850" s="1063"/>
      <c r="L10850" s="1063"/>
    </row>
    <row r="10851" spans="5:12" x14ac:dyDescent="0.2">
      <c r="E10851" s="1063"/>
      <c r="H10851" s="1066"/>
      <c r="I10851" s="1063"/>
      <c r="J10851" s="1063"/>
      <c r="K10851" s="1063"/>
      <c r="L10851" s="1063"/>
    </row>
    <row r="10852" spans="5:12" x14ac:dyDescent="0.2">
      <c r="E10852" s="1063"/>
      <c r="H10852" s="1066"/>
      <c r="I10852" s="1063"/>
      <c r="J10852" s="1063"/>
      <c r="K10852" s="1063"/>
      <c r="L10852" s="1063"/>
    </row>
    <row r="10853" spans="5:12" x14ac:dyDescent="0.2">
      <c r="E10853" s="1063"/>
      <c r="H10853" s="1066"/>
      <c r="I10853" s="1063"/>
      <c r="J10853" s="1063"/>
      <c r="K10853" s="1063"/>
      <c r="L10853" s="1063"/>
    </row>
    <row r="10854" spans="5:12" x14ac:dyDescent="0.2">
      <c r="E10854" s="1063"/>
      <c r="H10854" s="1066"/>
      <c r="I10854" s="1063"/>
      <c r="J10854" s="1063"/>
      <c r="K10854" s="1063"/>
      <c r="L10854" s="1063"/>
    </row>
    <row r="10855" spans="5:12" x14ac:dyDescent="0.2">
      <c r="E10855" s="1063"/>
      <c r="H10855" s="1066"/>
      <c r="I10855" s="1063"/>
      <c r="J10855" s="1063"/>
      <c r="K10855" s="1063"/>
      <c r="L10855" s="1063"/>
    </row>
    <row r="10856" spans="5:12" x14ac:dyDescent="0.2">
      <c r="E10856" s="1063"/>
      <c r="H10856" s="1066"/>
      <c r="I10856" s="1063"/>
      <c r="J10856" s="1063"/>
      <c r="K10856" s="1063"/>
      <c r="L10856" s="1063"/>
    </row>
    <row r="10857" spans="5:12" x14ac:dyDescent="0.2">
      <c r="E10857" s="1063"/>
      <c r="H10857" s="1066"/>
      <c r="I10857" s="1063"/>
      <c r="J10857" s="1063"/>
      <c r="K10857" s="1063"/>
      <c r="L10857" s="1063"/>
    </row>
    <row r="10858" spans="5:12" x14ac:dyDescent="0.2">
      <c r="E10858" s="1063"/>
      <c r="H10858" s="1066"/>
      <c r="I10858" s="1063"/>
      <c r="J10858" s="1063"/>
      <c r="K10858" s="1063"/>
      <c r="L10858" s="1063"/>
    </row>
    <row r="10859" spans="5:12" x14ac:dyDescent="0.2">
      <c r="E10859" s="1063"/>
      <c r="H10859" s="1066"/>
      <c r="I10859" s="1063"/>
      <c r="J10859" s="1063"/>
      <c r="K10859" s="1063"/>
      <c r="L10859" s="1063"/>
    </row>
    <row r="10860" spans="5:12" x14ac:dyDescent="0.2">
      <c r="E10860" s="1063"/>
      <c r="H10860" s="1066"/>
      <c r="I10860" s="1063"/>
      <c r="J10860" s="1063"/>
      <c r="K10860" s="1063"/>
      <c r="L10860" s="1063"/>
    </row>
    <row r="10861" spans="5:12" x14ac:dyDescent="0.2">
      <c r="E10861" s="1063"/>
      <c r="H10861" s="1066"/>
      <c r="I10861" s="1063"/>
      <c r="J10861" s="1063"/>
      <c r="K10861" s="1063"/>
      <c r="L10861" s="1063"/>
    </row>
    <row r="10862" spans="5:12" x14ac:dyDescent="0.2">
      <c r="E10862" s="1063"/>
      <c r="H10862" s="1066"/>
      <c r="I10862" s="1063"/>
      <c r="J10862" s="1063"/>
      <c r="K10862" s="1063"/>
      <c r="L10862" s="1063"/>
    </row>
    <row r="10863" spans="5:12" x14ac:dyDescent="0.2">
      <c r="E10863" s="1063"/>
      <c r="H10863" s="1066"/>
      <c r="I10863" s="1063"/>
      <c r="J10863" s="1063"/>
      <c r="K10863" s="1063"/>
      <c r="L10863" s="1063"/>
    </row>
    <row r="10864" spans="5:12" x14ac:dyDescent="0.2">
      <c r="E10864" s="1063"/>
      <c r="H10864" s="1066"/>
      <c r="I10864" s="1063"/>
      <c r="J10864" s="1063"/>
      <c r="K10864" s="1063"/>
      <c r="L10864" s="1063"/>
    </row>
    <row r="10865" spans="5:12" x14ac:dyDescent="0.2">
      <c r="E10865" s="1063"/>
      <c r="H10865" s="1066"/>
      <c r="I10865" s="1063"/>
      <c r="J10865" s="1063"/>
      <c r="K10865" s="1063"/>
      <c r="L10865" s="1063"/>
    </row>
    <row r="10866" spans="5:12" x14ac:dyDescent="0.2">
      <c r="E10866" s="1063"/>
      <c r="H10866" s="1066"/>
      <c r="I10866" s="1063"/>
      <c r="J10866" s="1063"/>
      <c r="K10866" s="1063"/>
      <c r="L10866" s="1063"/>
    </row>
    <row r="10867" spans="5:12" x14ac:dyDescent="0.2">
      <c r="E10867" s="1063"/>
      <c r="H10867" s="1066"/>
      <c r="I10867" s="1063"/>
      <c r="J10867" s="1063"/>
      <c r="K10867" s="1063"/>
      <c r="L10867" s="1063"/>
    </row>
    <row r="10868" spans="5:12" x14ac:dyDescent="0.2">
      <c r="E10868" s="1063"/>
      <c r="H10868" s="1066"/>
      <c r="I10868" s="1063"/>
      <c r="J10868" s="1063"/>
      <c r="K10868" s="1063"/>
      <c r="L10868" s="1063"/>
    </row>
    <row r="10869" spans="5:12" x14ac:dyDescent="0.2">
      <c r="E10869" s="1063"/>
      <c r="H10869" s="1066"/>
      <c r="I10869" s="1063"/>
      <c r="J10869" s="1063"/>
      <c r="K10869" s="1063"/>
      <c r="L10869" s="1063"/>
    </row>
    <row r="10870" spans="5:12" x14ac:dyDescent="0.2">
      <c r="E10870" s="1063"/>
      <c r="H10870" s="1066"/>
      <c r="I10870" s="1063"/>
      <c r="J10870" s="1063"/>
      <c r="K10870" s="1063"/>
      <c r="L10870" s="1063"/>
    </row>
    <row r="10871" spans="5:12" x14ac:dyDescent="0.2">
      <c r="E10871" s="1063"/>
      <c r="H10871" s="1066"/>
      <c r="I10871" s="1063"/>
      <c r="J10871" s="1063"/>
      <c r="K10871" s="1063"/>
      <c r="L10871" s="1063"/>
    </row>
    <row r="10872" spans="5:12" x14ac:dyDescent="0.2">
      <c r="E10872" s="1063"/>
      <c r="H10872" s="1066"/>
      <c r="I10872" s="1063"/>
      <c r="J10872" s="1063"/>
      <c r="K10872" s="1063"/>
      <c r="L10872" s="1063"/>
    </row>
    <row r="10873" spans="5:12" x14ac:dyDescent="0.2">
      <c r="E10873" s="1063"/>
      <c r="H10873" s="1066"/>
      <c r="I10873" s="1063"/>
      <c r="J10873" s="1063"/>
      <c r="K10873" s="1063"/>
      <c r="L10873" s="1063"/>
    </row>
    <row r="10874" spans="5:12" x14ac:dyDescent="0.2">
      <c r="E10874" s="1063"/>
      <c r="H10874" s="1066"/>
      <c r="I10874" s="1063"/>
      <c r="J10874" s="1063"/>
      <c r="K10874" s="1063"/>
      <c r="L10874" s="1063"/>
    </row>
    <row r="10875" spans="5:12" x14ac:dyDescent="0.2">
      <c r="E10875" s="1063"/>
      <c r="H10875" s="1066"/>
      <c r="I10875" s="1063"/>
      <c r="J10875" s="1063"/>
      <c r="K10875" s="1063"/>
      <c r="L10875" s="1063"/>
    </row>
    <row r="10876" spans="5:12" x14ac:dyDescent="0.2">
      <c r="E10876" s="1063"/>
      <c r="H10876" s="1066"/>
      <c r="I10876" s="1063"/>
      <c r="J10876" s="1063"/>
      <c r="K10876" s="1063"/>
      <c r="L10876" s="1063"/>
    </row>
    <row r="10877" spans="5:12" x14ac:dyDescent="0.2">
      <c r="E10877" s="1063"/>
      <c r="H10877" s="1066"/>
      <c r="I10877" s="1063"/>
      <c r="J10877" s="1063"/>
      <c r="K10877" s="1063"/>
      <c r="L10877" s="1063"/>
    </row>
    <row r="10878" spans="5:12" x14ac:dyDescent="0.2">
      <c r="E10878" s="1063"/>
      <c r="H10878" s="1066"/>
      <c r="I10878" s="1063"/>
      <c r="J10878" s="1063"/>
      <c r="K10878" s="1063"/>
      <c r="L10878" s="1063"/>
    </row>
    <row r="10879" spans="5:12" x14ac:dyDescent="0.2">
      <c r="E10879" s="1063"/>
      <c r="H10879" s="1066"/>
      <c r="I10879" s="1063"/>
      <c r="J10879" s="1063"/>
      <c r="K10879" s="1063"/>
      <c r="L10879" s="1063"/>
    </row>
    <row r="10880" spans="5:12" x14ac:dyDescent="0.2">
      <c r="E10880" s="1063"/>
      <c r="H10880" s="1066"/>
      <c r="I10880" s="1063"/>
      <c r="J10880" s="1063"/>
      <c r="K10880" s="1063"/>
      <c r="L10880" s="1063"/>
    </row>
    <row r="10881" spans="5:12" x14ac:dyDescent="0.2">
      <c r="E10881" s="1063"/>
      <c r="H10881" s="1066"/>
      <c r="I10881" s="1063"/>
      <c r="J10881" s="1063"/>
      <c r="K10881" s="1063"/>
      <c r="L10881" s="1063"/>
    </row>
    <row r="10882" spans="5:12" x14ac:dyDescent="0.2">
      <c r="E10882" s="1063"/>
      <c r="H10882" s="1066"/>
      <c r="I10882" s="1063"/>
      <c r="J10882" s="1063"/>
      <c r="K10882" s="1063"/>
      <c r="L10882" s="1063"/>
    </row>
    <row r="10883" spans="5:12" x14ac:dyDescent="0.2">
      <c r="E10883" s="1063"/>
      <c r="H10883" s="1066"/>
      <c r="I10883" s="1063"/>
      <c r="J10883" s="1063"/>
      <c r="K10883" s="1063"/>
      <c r="L10883" s="1063"/>
    </row>
    <row r="10884" spans="5:12" x14ac:dyDescent="0.2">
      <c r="E10884" s="1063"/>
      <c r="H10884" s="1066"/>
      <c r="I10884" s="1063"/>
      <c r="J10884" s="1063"/>
      <c r="K10884" s="1063"/>
      <c r="L10884" s="1063"/>
    </row>
    <row r="10885" spans="5:12" x14ac:dyDescent="0.2">
      <c r="E10885" s="1063"/>
      <c r="H10885" s="1066"/>
      <c r="I10885" s="1063"/>
      <c r="J10885" s="1063"/>
      <c r="K10885" s="1063"/>
      <c r="L10885" s="1063"/>
    </row>
    <row r="10886" spans="5:12" x14ac:dyDescent="0.2">
      <c r="E10886" s="1063"/>
      <c r="H10886" s="1066"/>
      <c r="I10886" s="1063"/>
      <c r="J10886" s="1063"/>
      <c r="K10886" s="1063"/>
      <c r="L10886" s="1063"/>
    </row>
    <row r="10887" spans="5:12" x14ac:dyDescent="0.2">
      <c r="E10887" s="1063"/>
      <c r="H10887" s="1066"/>
      <c r="I10887" s="1063"/>
      <c r="J10887" s="1063"/>
      <c r="K10887" s="1063"/>
      <c r="L10887" s="1063"/>
    </row>
    <row r="10888" spans="5:12" x14ac:dyDescent="0.2">
      <c r="E10888" s="1063"/>
      <c r="H10888" s="1066"/>
      <c r="I10888" s="1063"/>
      <c r="J10888" s="1063"/>
      <c r="K10888" s="1063"/>
      <c r="L10888" s="1063"/>
    </row>
    <row r="10889" spans="5:12" x14ac:dyDescent="0.2">
      <c r="E10889" s="1063"/>
      <c r="H10889" s="1066"/>
      <c r="I10889" s="1063"/>
      <c r="J10889" s="1063"/>
      <c r="K10889" s="1063"/>
      <c r="L10889" s="1063"/>
    </row>
    <row r="10890" spans="5:12" x14ac:dyDescent="0.2">
      <c r="E10890" s="1063"/>
      <c r="H10890" s="1066"/>
      <c r="I10890" s="1063"/>
      <c r="J10890" s="1063"/>
      <c r="K10890" s="1063"/>
      <c r="L10890" s="1063"/>
    </row>
    <row r="10891" spans="5:12" x14ac:dyDescent="0.2">
      <c r="E10891" s="1063"/>
      <c r="H10891" s="1066"/>
      <c r="I10891" s="1063"/>
      <c r="J10891" s="1063"/>
      <c r="K10891" s="1063"/>
      <c r="L10891" s="1063"/>
    </row>
    <row r="10892" spans="5:12" x14ac:dyDescent="0.2">
      <c r="E10892" s="1063"/>
      <c r="H10892" s="1066"/>
      <c r="I10892" s="1063"/>
      <c r="J10892" s="1063"/>
      <c r="K10892" s="1063"/>
      <c r="L10892" s="1063"/>
    </row>
    <row r="10893" spans="5:12" x14ac:dyDescent="0.2">
      <c r="E10893" s="1063"/>
      <c r="H10893" s="1066"/>
      <c r="I10893" s="1063"/>
      <c r="J10893" s="1063"/>
      <c r="K10893" s="1063"/>
      <c r="L10893" s="1063"/>
    </row>
    <row r="10894" spans="5:12" x14ac:dyDescent="0.2">
      <c r="E10894" s="1063"/>
      <c r="H10894" s="1066"/>
      <c r="I10894" s="1063"/>
      <c r="J10894" s="1063"/>
      <c r="K10894" s="1063"/>
      <c r="L10894" s="1063"/>
    </row>
    <row r="10895" spans="5:12" x14ac:dyDescent="0.2">
      <c r="E10895" s="1063"/>
      <c r="H10895" s="1066"/>
      <c r="I10895" s="1063"/>
      <c r="J10895" s="1063"/>
      <c r="K10895" s="1063"/>
      <c r="L10895" s="1063"/>
    </row>
    <row r="10896" spans="5:12" x14ac:dyDescent="0.2">
      <c r="E10896" s="1063"/>
      <c r="H10896" s="1066"/>
      <c r="I10896" s="1063"/>
      <c r="J10896" s="1063"/>
      <c r="K10896" s="1063"/>
      <c r="L10896" s="1063"/>
    </row>
    <row r="10897" spans="5:12" x14ac:dyDescent="0.2">
      <c r="E10897" s="1063"/>
      <c r="H10897" s="1066"/>
      <c r="I10897" s="1063"/>
      <c r="J10897" s="1063"/>
      <c r="K10897" s="1063"/>
      <c r="L10897" s="1063"/>
    </row>
    <row r="10898" spans="5:12" x14ac:dyDescent="0.2">
      <c r="E10898" s="1063"/>
      <c r="H10898" s="1066"/>
      <c r="I10898" s="1063"/>
      <c r="J10898" s="1063"/>
      <c r="K10898" s="1063"/>
      <c r="L10898" s="1063"/>
    </row>
    <row r="10899" spans="5:12" x14ac:dyDescent="0.2">
      <c r="E10899" s="1063"/>
      <c r="H10899" s="1066"/>
      <c r="I10899" s="1063"/>
      <c r="J10899" s="1063"/>
      <c r="K10899" s="1063"/>
      <c r="L10899" s="1063"/>
    </row>
    <row r="10900" spans="5:12" x14ac:dyDescent="0.2">
      <c r="E10900" s="1063"/>
      <c r="H10900" s="1066"/>
      <c r="I10900" s="1063"/>
      <c r="J10900" s="1063"/>
      <c r="K10900" s="1063"/>
      <c r="L10900" s="1063"/>
    </row>
    <row r="10901" spans="5:12" x14ac:dyDescent="0.2">
      <c r="E10901" s="1063"/>
      <c r="H10901" s="1066"/>
      <c r="I10901" s="1063"/>
      <c r="J10901" s="1063"/>
      <c r="K10901" s="1063"/>
      <c r="L10901" s="1063"/>
    </row>
    <row r="10902" spans="5:12" x14ac:dyDescent="0.2">
      <c r="E10902" s="1063"/>
      <c r="H10902" s="1066"/>
      <c r="I10902" s="1063"/>
      <c r="J10902" s="1063"/>
      <c r="K10902" s="1063"/>
      <c r="L10902" s="1063"/>
    </row>
    <row r="10903" spans="5:12" x14ac:dyDescent="0.2">
      <c r="E10903" s="1063"/>
      <c r="H10903" s="1066"/>
      <c r="I10903" s="1063"/>
      <c r="J10903" s="1063"/>
      <c r="K10903" s="1063"/>
      <c r="L10903" s="1063"/>
    </row>
    <row r="10904" spans="5:12" x14ac:dyDescent="0.2">
      <c r="E10904" s="1063"/>
      <c r="H10904" s="1066"/>
      <c r="I10904" s="1063"/>
      <c r="J10904" s="1063"/>
      <c r="K10904" s="1063"/>
      <c r="L10904" s="1063"/>
    </row>
    <row r="10905" spans="5:12" x14ac:dyDescent="0.2">
      <c r="E10905" s="1063"/>
      <c r="H10905" s="1066"/>
      <c r="I10905" s="1063"/>
      <c r="J10905" s="1063"/>
      <c r="K10905" s="1063"/>
      <c r="L10905" s="1063"/>
    </row>
    <row r="10906" spans="5:12" x14ac:dyDescent="0.2">
      <c r="E10906" s="1063"/>
      <c r="H10906" s="1066"/>
      <c r="I10906" s="1063"/>
      <c r="J10906" s="1063"/>
      <c r="K10906" s="1063"/>
      <c r="L10906" s="1063"/>
    </row>
    <row r="10907" spans="5:12" x14ac:dyDescent="0.2">
      <c r="E10907" s="1063"/>
      <c r="H10907" s="1066"/>
      <c r="I10907" s="1063"/>
      <c r="J10907" s="1063"/>
      <c r="K10907" s="1063"/>
      <c r="L10907" s="1063"/>
    </row>
    <row r="10908" spans="5:12" x14ac:dyDescent="0.2">
      <c r="E10908" s="1063"/>
      <c r="H10908" s="1066"/>
      <c r="I10908" s="1063"/>
      <c r="J10908" s="1063"/>
      <c r="K10908" s="1063"/>
      <c r="L10908" s="1063"/>
    </row>
    <row r="10909" spans="5:12" x14ac:dyDescent="0.2">
      <c r="E10909" s="1063"/>
      <c r="H10909" s="1066"/>
      <c r="I10909" s="1063"/>
      <c r="J10909" s="1063"/>
      <c r="K10909" s="1063"/>
      <c r="L10909" s="1063"/>
    </row>
    <row r="10910" spans="5:12" x14ac:dyDescent="0.2">
      <c r="E10910" s="1063"/>
      <c r="H10910" s="1066"/>
      <c r="I10910" s="1063"/>
      <c r="J10910" s="1063"/>
      <c r="K10910" s="1063"/>
      <c r="L10910" s="1063"/>
    </row>
    <row r="10911" spans="5:12" x14ac:dyDescent="0.2">
      <c r="E10911" s="1063"/>
      <c r="H10911" s="1066"/>
      <c r="I10911" s="1063"/>
      <c r="J10911" s="1063"/>
      <c r="K10911" s="1063"/>
      <c r="L10911" s="1063"/>
    </row>
    <row r="10912" spans="5:12" x14ac:dyDescent="0.2">
      <c r="E10912" s="1063"/>
      <c r="H10912" s="1066"/>
      <c r="I10912" s="1063"/>
      <c r="J10912" s="1063"/>
      <c r="K10912" s="1063"/>
      <c r="L10912" s="1063"/>
    </row>
    <row r="10913" spans="5:12" x14ac:dyDescent="0.2">
      <c r="E10913" s="1063"/>
      <c r="H10913" s="1066"/>
      <c r="I10913" s="1063"/>
      <c r="J10913" s="1063"/>
      <c r="K10913" s="1063"/>
      <c r="L10913" s="1063"/>
    </row>
    <row r="10914" spans="5:12" x14ac:dyDescent="0.2">
      <c r="E10914" s="1063"/>
      <c r="H10914" s="1066"/>
      <c r="I10914" s="1063"/>
      <c r="J10914" s="1063"/>
      <c r="K10914" s="1063"/>
      <c r="L10914" s="1063"/>
    </row>
    <row r="10915" spans="5:12" x14ac:dyDescent="0.2">
      <c r="E10915" s="1063"/>
      <c r="H10915" s="1066"/>
      <c r="I10915" s="1063"/>
      <c r="J10915" s="1063"/>
      <c r="K10915" s="1063"/>
      <c r="L10915" s="1063"/>
    </row>
    <row r="10916" spans="5:12" x14ac:dyDescent="0.2">
      <c r="E10916" s="1063"/>
      <c r="H10916" s="1066"/>
      <c r="I10916" s="1063"/>
      <c r="J10916" s="1063"/>
      <c r="K10916" s="1063"/>
      <c r="L10916" s="1063"/>
    </row>
    <row r="10917" spans="5:12" x14ac:dyDescent="0.2">
      <c r="E10917" s="1063"/>
      <c r="H10917" s="1066"/>
      <c r="I10917" s="1063"/>
      <c r="J10917" s="1063"/>
      <c r="K10917" s="1063"/>
      <c r="L10917" s="1063"/>
    </row>
    <row r="10918" spans="5:12" x14ac:dyDescent="0.2">
      <c r="E10918" s="1063"/>
      <c r="H10918" s="1066"/>
      <c r="I10918" s="1063"/>
      <c r="J10918" s="1063"/>
      <c r="K10918" s="1063"/>
      <c r="L10918" s="1063"/>
    </row>
    <row r="10919" spans="5:12" x14ac:dyDescent="0.2">
      <c r="E10919" s="1063"/>
      <c r="H10919" s="1066"/>
      <c r="I10919" s="1063"/>
      <c r="J10919" s="1063"/>
      <c r="K10919" s="1063"/>
      <c r="L10919" s="1063"/>
    </row>
    <row r="10920" spans="5:12" x14ac:dyDescent="0.2">
      <c r="E10920" s="1063"/>
      <c r="H10920" s="1066"/>
      <c r="I10920" s="1063"/>
      <c r="J10920" s="1063"/>
      <c r="K10920" s="1063"/>
      <c r="L10920" s="1063"/>
    </row>
    <row r="10921" spans="5:12" x14ac:dyDescent="0.2">
      <c r="E10921" s="1063"/>
      <c r="H10921" s="1066"/>
      <c r="I10921" s="1063"/>
      <c r="J10921" s="1063"/>
      <c r="K10921" s="1063"/>
      <c r="L10921" s="1063"/>
    </row>
    <row r="10922" spans="5:12" x14ac:dyDescent="0.2">
      <c r="E10922" s="1063"/>
      <c r="H10922" s="1066"/>
      <c r="I10922" s="1063"/>
      <c r="J10922" s="1063"/>
      <c r="K10922" s="1063"/>
      <c r="L10922" s="1063"/>
    </row>
    <row r="10923" spans="5:12" x14ac:dyDescent="0.2">
      <c r="E10923" s="1063"/>
      <c r="H10923" s="1066"/>
      <c r="I10923" s="1063"/>
      <c r="J10923" s="1063"/>
      <c r="K10923" s="1063"/>
      <c r="L10923" s="1063"/>
    </row>
    <row r="10924" spans="5:12" x14ac:dyDescent="0.2">
      <c r="E10924" s="1063"/>
      <c r="H10924" s="1066"/>
      <c r="I10924" s="1063"/>
      <c r="J10924" s="1063"/>
      <c r="K10924" s="1063"/>
      <c r="L10924" s="1063"/>
    </row>
    <row r="10925" spans="5:12" x14ac:dyDescent="0.2">
      <c r="E10925" s="1063"/>
      <c r="H10925" s="1066"/>
      <c r="I10925" s="1063"/>
      <c r="J10925" s="1063"/>
      <c r="K10925" s="1063"/>
      <c r="L10925" s="1063"/>
    </row>
    <row r="10926" spans="5:12" x14ac:dyDescent="0.2">
      <c r="E10926" s="1063"/>
      <c r="H10926" s="1066"/>
      <c r="I10926" s="1063"/>
      <c r="J10926" s="1063"/>
      <c r="K10926" s="1063"/>
      <c r="L10926" s="1063"/>
    </row>
    <row r="10927" spans="5:12" x14ac:dyDescent="0.2">
      <c r="E10927" s="1063"/>
      <c r="H10927" s="1066"/>
      <c r="I10927" s="1063"/>
      <c r="J10927" s="1063"/>
      <c r="K10927" s="1063"/>
      <c r="L10927" s="1063"/>
    </row>
    <row r="10928" spans="5:12" x14ac:dyDescent="0.2">
      <c r="E10928" s="1063"/>
      <c r="H10928" s="1066"/>
      <c r="I10928" s="1063"/>
      <c r="J10928" s="1063"/>
      <c r="K10928" s="1063"/>
      <c r="L10928" s="1063"/>
    </row>
    <row r="10929" spans="5:12" x14ac:dyDescent="0.2">
      <c r="E10929" s="1063"/>
      <c r="H10929" s="1066"/>
      <c r="I10929" s="1063"/>
      <c r="J10929" s="1063"/>
      <c r="K10929" s="1063"/>
      <c r="L10929" s="1063"/>
    </row>
    <row r="10930" spans="5:12" x14ac:dyDescent="0.2">
      <c r="E10930" s="1063"/>
      <c r="H10930" s="1066"/>
      <c r="I10930" s="1063"/>
      <c r="J10930" s="1063"/>
      <c r="K10930" s="1063"/>
      <c r="L10930" s="1063"/>
    </row>
    <row r="10931" spans="5:12" x14ac:dyDescent="0.2">
      <c r="E10931" s="1063"/>
      <c r="H10931" s="1066"/>
      <c r="I10931" s="1063"/>
      <c r="J10931" s="1063"/>
      <c r="K10931" s="1063"/>
      <c r="L10931" s="1063"/>
    </row>
    <row r="10932" spans="5:12" x14ac:dyDescent="0.2">
      <c r="E10932" s="1063"/>
      <c r="H10932" s="1066"/>
      <c r="I10932" s="1063"/>
      <c r="J10932" s="1063"/>
      <c r="K10932" s="1063"/>
      <c r="L10932" s="1063"/>
    </row>
    <row r="10933" spans="5:12" x14ac:dyDescent="0.2">
      <c r="E10933" s="1063"/>
      <c r="H10933" s="1066"/>
      <c r="I10933" s="1063"/>
      <c r="J10933" s="1063"/>
      <c r="K10933" s="1063"/>
      <c r="L10933" s="1063"/>
    </row>
    <row r="10934" spans="5:12" x14ac:dyDescent="0.2">
      <c r="E10934" s="1063"/>
      <c r="H10934" s="1066"/>
      <c r="I10934" s="1063"/>
      <c r="J10934" s="1063"/>
      <c r="K10934" s="1063"/>
      <c r="L10934" s="1063"/>
    </row>
    <row r="10935" spans="5:12" x14ac:dyDescent="0.2">
      <c r="E10935" s="1063"/>
      <c r="H10935" s="1066"/>
      <c r="I10935" s="1063"/>
      <c r="J10935" s="1063"/>
      <c r="K10935" s="1063"/>
      <c r="L10935" s="1063"/>
    </row>
    <row r="10936" spans="5:12" x14ac:dyDescent="0.2">
      <c r="E10936" s="1063"/>
      <c r="H10936" s="1066"/>
      <c r="I10936" s="1063"/>
      <c r="J10936" s="1063"/>
      <c r="K10936" s="1063"/>
      <c r="L10936" s="1063"/>
    </row>
    <row r="10937" spans="5:12" x14ac:dyDescent="0.2">
      <c r="E10937" s="1063"/>
      <c r="H10937" s="1066"/>
      <c r="I10937" s="1063"/>
      <c r="J10937" s="1063"/>
      <c r="K10937" s="1063"/>
      <c r="L10937" s="1063"/>
    </row>
    <row r="10938" spans="5:12" x14ac:dyDescent="0.2">
      <c r="E10938" s="1063"/>
      <c r="H10938" s="1066"/>
      <c r="I10938" s="1063"/>
      <c r="J10938" s="1063"/>
      <c r="K10938" s="1063"/>
      <c r="L10938" s="1063"/>
    </row>
    <row r="10939" spans="5:12" x14ac:dyDescent="0.2">
      <c r="E10939" s="1063"/>
      <c r="H10939" s="1066"/>
      <c r="I10939" s="1063"/>
      <c r="J10939" s="1063"/>
      <c r="K10939" s="1063"/>
      <c r="L10939" s="1063"/>
    </row>
    <row r="10940" spans="5:12" x14ac:dyDescent="0.2">
      <c r="E10940" s="1063"/>
      <c r="H10940" s="1066"/>
      <c r="I10940" s="1063"/>
      <c r="J10940" s="1063"/>
      <c r="K10940" s="1063"/>
      <c r="L10940" s="1063"/>
    </row>
    <row r="10941" spans="5:12" x14ac:dyDescent="0.2">
      <c r="E10941" s="1063"/>
      <c r="H10941" s="1066"/>
      <c r="I10941" s="1063"/>
      <c r="J10941" s="1063"/>
      <c r="K10941" s="1063"/>
      <c r="L10941" s="1063"/>
    </row>
    <row r="10942" spans="5:12" x14ac:dyDescent="0.2">
      <c r="E10942" s="1063"/>
      <c r="H10942" s="1066"/>
      <c r="I10942" s="1063"/>
      <c r="J10942" s="1063"/>
      <c r="K10942" s="1063"/>
      <c r="L10942" s="1063"/>
    </row>
    <row r="10943" spans="5:12" x14ac:dyDescent="0.2">
      <c r="E10943" s="1063"/>
      <c r="H10943" s="1066"/>
      <c r="I10943" s="1063"/>
      <c r="J10943" s="1063"/>
      <c r="K10943" s="1063"/>
      <c r="L10943" s="1063"/>
    </row>
    <row r="10944" spans="5:12" x14ac:dyDescent="0.2">
      <c r="E10944" s="1063"/>
      <c r="H10944" s="1066"/>
      <c r="I10944" s="1063"/>
      <c r="J10944" s="1063"/>
      <c r="K10944" s="1063"/>
      <c r="L10944" s="1063"/>
    </row>
    <row r="10945" spans="5:12" x14ac:dyDescent="0.2">
      <c r="E10945" s="1063"/>
      <c r="H10945" s="1066"/>
      <c r="I10945" s="1063"/>
      <c r="J10945" s="1063"/>
      <c r="K10945" s="1063"/>
      <c r="L10945" s="1063"/>
    </row>
    <row r="10946" spans="5:12" x14ac:dyDescent="0.2">
      <c r="E10946" s="1063"/>
      <c r="H10946" s="1066"/>
      <c r="I10946" s="1063"/>
      <c r="J10946" s="1063"/>
      <c r="K10946" s="1063"/>
      <c r="L10946" s="1063"/>
    </row>
    <row r="10947" spans="5:12" x14ac:dyDescent="0.2">
      <c r="E10947" s="1063"/>
      <c r="H10947" s="1066"/>
      <c r="I10947" s="1063"/>
      <c r="J10947" s="1063"/>
      <c r="K10947" s="1063"/>
      <c r="L10947" s="1063"/>
    </row>
    <row r="10948" spans="5:12" x14ac:dyDescent="0.2">
      <c r="E10948" s="1063"/>
      <c r="H10948" s="1066"/>
      <c r="I10948" s="1063"/>
      <c r="J10948" s="1063"/>
      <c r="K10948" s="1063"/>
      <c r="L10948" s="1063"/>
    </row>
    <row r="10949" spans="5:12" x14ac:dyDescent="0.2">
      <c r="E10949" s="1063"/>
      <c r="H10949" s="1066"/>
      <c r="I10949" s="1063"/>
      <c r="J10949" s="1063"/>
      <c r="K10949" s="1063"/>
      <c r="L10949" s="1063"/>
    </row>
    <row r="10950" spans="5:12" x14ac:dyDescent="0.2">
      <c r="E10950" s="1063"/>
      <c r="H10950" s="1066"/>
      <c r="I10950" s="1063"/>
      <c r="J10950" s="1063"/>
      <c r="K10950" s="1063"/>
      <c r="L10950" s="1063"/>
    </row>
    <row r="10951" spans="5:12" x14ac:dyDescent="0.2">
      <c r="E10951" s="1063"/>
      <c r="H10951" s="1066"/>
      <c r="I10951" s="1063"/>
      <c r="J10951" s="1063"/>
      <c r="K10951" s="1063"/>
      <c r="L10951" s="1063"/>
    </row>
    <row r="10952" spans="5:12" x14ac:dyDescent="0.2">
      <c r="E10952" s="1063"/>
      <c r="H10952" s="1066"/>
      <c r="I10952" s="1063"/>
      <c r="J10952" s="1063"/>
      <c r="K10952" s="1063"/>
      <c r="L10952" s="1063"/>
    </row>
    <row r="10953" spans="5:12" x14ac:dyDescent="0.2">
      <c r="E10953" s="1063"/>
      <c r="H10953" s="1066"/>
      <c r="I10953" s="1063"/>
      <c r="J10953" s="1063"/>
      <c r="K10953" s="1063"/>
      <c r="L10953" s="1063"/>
    </row>
    <row r="10954" spans="5:12" x14ac:dyDescent="0.2">
      <c r="E10954" s="1063"/>
      <c r="H10954" s="1066"/>
      <c r="I10954" s="1063"/>
      <c r="J10954" s="1063"/>
      <c r="K10954" s="1063"/>
      <c r="L10954" s="1063"/>
    </row>
    <row r="10955" spans="5:12" x14ac:dyDescent="0.2">
      <c r="E10955" s="1063"/>
      <c r="H10955" s="1066"/>
      <c r="I10955" s="1063"/>
      <c r="J10955" s="1063"/>
      <c r="K10955" s="1063"/>
      <c r="L10955" s="1063"/>
    </row>
    <row r="10956" spans="5:12" x14ac:dyDescent="0.2">
      <c r="E10956" s="1063"/>
      <c r="H10956" s="1066"/>
      <c r="I10956" s="1063"/>
      <c r="J10956" s="1063"/>
      <c r="K10956" s="1063"/>
      <c r="L10956" s="1063"/>
    </row>
    <row r="10957" spans="5:12" x14ac:dyDescent="0.2">
      <c r="E10957" s="1063"/>
      <c r="H10957" s="1066"/>
      <c r="I10957" s="1063"/>
      <c r="J10957" s="1063"/>
      <c r="K10957" s="1063"/>
      <c r="L10957" s="1063"/>
    </row>
    <row r="10958" spans="5:12" x14ac:dyDescent="0.2">
      <c r="E10958" s="1063"/>
      <c r="H10958" s="1066"/>
      <c r="I10958" s="1063"/>
      <c r="J10958" s="1063"/>
      <c r="K10958" s="1063"/>
      <c r="L10958" s="1063"/>
    </row>
    <row r="10959" spans="5:12" x14ac:dyDescent="0.2">
      <c r="E10959" s="1063"/>
      <c r="H10959" s="1066"/>
      <c r="I10959" s="1063"/>
      <c r="J10959" s="1063"/>
      <c r="K10959" s="1063"/>
      <c r="L10959" s="1063"/>
    </row>
    <row r="10960" spans="5:12" x14ac:dyDescent="0.2">
      <c r="E10960" s="1063"/>
      <c r="H10960" s="1066"/>
      <c r="I10960" s="1063"/>
      <c r="J10960" s="1063"/>
      <c r="K10960" s="1063"/>
      <c r="L10960" s="1063"/>
    </row>
    <row r="10961" spans="5:12" x14ac:dyDescent="0.2">
      <c r="E10961" s="1063"/>
      <c r="H10961" s="1066"/>
      <c r="I10961" s="1063"/>
      <c r="J10961" s="1063"/>
      <c r="K10961" s="1063"/>
      <c r="L10961" s="1063"/>
    </row>
    <row r="10962" spans="5:12" x14ac:dyDescent="0.2">
      <c r="E10962" s="1063"/>
      <c r="H10962" s="1066"/>
      <c r="I10962" s="1063"/>
      <c r="J10962" s="1063"/>
      <c r="K10962" s="1063"/>
      <c r="L10962" s="1063"/>
    </row>
    <row r="10963" spans="5:12" x14ac:dyDescent="0.2">
      <c r="E10963" s="1063"/>
      <c r="H10963" s="1066"/>
      <c r="I10963" s="1063"/>
      <c r="J10963" s="1063"/>
      <c r="K10963" s="1063"/>
      <c r="L10963" s="1063"/>
    </row>
    <row r="10964" spans="5:12" x14ac:dyDescent="0.2">
      <c r="E10964" s="1063"/>
      <c r="H10964" s="1066"/>
      <c r="I10964" s="1063"/>
      <c r="J10964" s="1063"/>
      <c r="K10964" s="1063"/>
      <c r="L10964" s="1063"/>
    </row>
    <row r="10965" spans="5:12" x14ac:dyDescent="0.2">
      <c r="E10965" s="1063"/>
      <c r="H10965" s="1066"/>
      <c r="I10965" s="1063"/>
      <c r="J10965" s="1063"/>
      <c r="K10965" s="1063"/>
      <c r="L10965" s="1063"/>
    </row>
    <row r="10966" spans="5:12" x14ac:dyDescent="0.2">
      <c r="E10966" s="1063"/>
      <c r="H10966" s="1066"/>
      <c r="I10966" s="1063"/>
      <c r="J10966" s="1063"/>
      <c r="K10966" s="1063"/>
      <c r="L10966" s="1063"/>
    </row>
    <row r="10967" spans="5:12" x14ac:dyDescent="0.2">
      <c r="E10967" s="1063"/>
      <c r="H10967" s="1066"/>
      <c r="I10967" s="1063"/>
      <c r="J10967" s="1063"/>
      <c r="K10967" s="1063"/>
      <c r="L10967" s="1063"/>
    </row>
    <row r="10968" spans="5:12" x14ac:dyDescent="0.2">
      <c r="E10968" s="1063"/>
      <c r="H10968" s="1066"/>
      <c r="I10968" s="1063"/>
      <c r="J10968" s="1063"/>
      <c r="K10968" s="1063"/>
      <c r="L10968" s="1063"/>
    </row>
    <row r="10969" spans="5:12" x14ac:dyDescent="0.2">
      <c r="E10969" s="1063"/>
      <c r="H10969" s="1066"/>
      <c r="I10969" s="1063"/>
      <c r="J10969" s="1063"/>
      <c r="K10969" s="1063"/>
      <c r="L10969" s="1063"/>
    </row>
    <row r="10970" spans="5:12" x14ac:dyDescent="0.2">
      <c r="E10970" s="1063"/>
      <c r="H10970" s="1066"/>
      <c r="I10970" s="1063"/>
      <c r="J10970" s="1063"/>
      <c r="K10970" s="1063"/>
      <c r="L10970" s="1063"/>
    </row>
    <row r="10971" spans="5:12" x14ac:dyDescent="0.2">
      <c r="E10971" s="1063"/>
      <c r="H10971" s="1066"/>
      <c r="I10971" s="1063"/>
      <c r="J10971" s="1063"/>
      <c r="K10971" s="1063"/>
      <c r="L10971" s="1063"/>
    </row>
    <row r="10972" spans="5:12" x14ac:dyDescent="0.2">
      <c r="E10972" s="1063"/>
      <c r="H10972" s="1066"/>
      <c r="I10972" s="1063"/>
      <c r="J10972" s="1063"/>
      <c r="K10972" s="1063"/>
      <c r="L10972" s="1063"/>
    </row>
    <row r="10973" spans="5:12" x14ac:dyDescent="0.2">
      <c r="E10973" s="1063"/>
      <c r="H10973" s="1066"/>
      <c r="I10973" s="1063"/>
      <c r="J10973" s="1063"/>
      <c r="K10973" s="1063"/>
      <c r="L10973" s="1063"/>
    </row>
    <row r="10974" spans="5:12" x14ac:dyDescent="0.2">
      <c r="E10974" s="1063"/>
      <c r="H10974" s="1066"/>
      <c r="I10974" s="1063"/>
      <c r="J10974" s="1063"/>
      <c r="K10974" s="1063"/>
      <c r="L10974" s="1063"/>
    </row>
    <row r="10975" spans="5:12" x14ac:dyDescent="0.2">
      <c r="E10975" s="1063"/>
      <c r="H10975" s="1066"/>
      <c r="I10975" s="1063"/>
      <c r="J10975" s="1063"/>
      <c r="K10975" s="1063"/>
      <c r="L10975" s="1063"/>
    </row>
    <row r="10976" spans="5:12" x14ac:dyDescent="0.2">
      <c r="E10976" s="1063"/>
      <c r="H10976" s="1066"/>
      <c r="I10976" s="1063"/>
      <c r="J10976" s="1063"/>
      <c r="K10976" s="1063"/>
      <c r="L10976" s="1063"/>
    </row>
    <row r="10977" spans="5:12" x14ac:dyDescent="0.2">
      <c r="E10977" s="1063"/>
      <c r="H10977" s="1066"/>
      <c r="I10977" s="1063"/>
      <c r="J10977" s="1063"/>
      <c r="K10977" s="1063"/>
      <c r="L10977" s="1063"/>
    </row>
    <row r="10978" spans="5:12" x14ac:dyDescent="0.2">
      <c r="E10978" s="1063"/>
      <c r="H10978" s="1066"/>
      <c r="I10978" s="1063"/>
      <c r="J10978" s="1063"/>
      <c r="K10978" s="1063"/>
      <c r="L10978" s="1063"/>
    </row>
    <row r="10979" spans="5:12" x14ac:dyDescent="0.2">
      <c r="E10979" s="1063"/>
      <c r="H10979" s="1066"/>
      <c r="I10979" s="1063"/>
      <c r="J10979" s="1063"/>
      <c r="K10979" s="1063"/>
      <c r="L10979" s="1063"/>
    </row>
    <row r="10980" spans="5:12" x14ac:dyDescent="0.2">
      <c r="E10980" s="1063"/>
      <c r="H10980" s="1066"/>
      <c r="I10980" s="1063"/>
      <c r="J10980" s="1063"/>
      <c r="K10980" s="1063"/>
      <c r="L10980" s="1063"/>
    </row>
    <row r="10981" spans="5:12" x14ac:dyDescent="0.2">
      <c r="E10981" s="1063"/>
      <c r="H10981" s="1066"/>
      <c r="I10981" s="1063"/>
      <c r="J10981" s="1063"/>
      <c r="K10981" s="1063"/>
      <c r="L10981" s="1063"/>
    </row>
    <row r="10982" spans="5:12" x14ac:dyDescent="0.2">
      <c r="E10982" s="1063"/>
      <c r="H10982" s="1066"/>
      <c r="I10982" s="1063"/>
      <c r="J10982" s="1063"/>
      <c r="K10982" s="1063"/>
      <c r="L10982" s="1063"/>
    </row>
    <row r="10983" spans="5:12" x14ac:dyDescent="0.2">
      <c r="E10983" s="1063"/>
      <c r="H10983" s="1066"/>
      <c r="I10983" s="1063"/>
      <c r="J10983" s="1063"/>
      <c r="K10983" s="1063"/>
      <c r="L10983" s="1063"/>
    </row>
    <row r="10984" spans="5:12" x14ac:dyDescent="0.2">
      <c r="E10984" s="1063"/>
      <c r="H10984" s="1066"/>
      <c r="I10984" s="1063"/>
      <c r="J10984" s="1063"/>
      <c r="K10984" s="1063"/>
      <c r="L10984" s="1063"/>
    </row>
    <row r="10985" spans="5:12" x14ac:dyDescent="0.2">
      <c r="E10985" s="1063"/>
      <c r="H10985" s="1066"/>
      <c r="I10985" s="1063"/>
      <c r="J10985" s="1063"/>
      <c r="K10985" s="1063"/>
      <c r="L10985" s="1063"/>
    </row>
    <row r="10986" spans="5:12" x14ac:dyDescent="0.2">
      <c r="E10986" s="1063"/>
      <c r="H10986" s="1066"/>
      <c r="I10986" s="1063"/>
      <c r="J10986" s="1063"/>
      <c r="K10986" s="1063"/>
      <c r="L10986" s="1063"/>
    </row>
    <row r="10987" spans="5:12" x14ac:dyDescent="0.2">
      <c r="E10987" s="1063"/>
      <c r="H10987" s="1066"/>
      <c r="I10987" s="1063"/>
      <c r="J10987" s="1063"/>
      <c r="K10987" s="1063"/>
      <c r="L10987" s="1063"/>
    </row>
    <row r="10988" spans="5:12" x14ac:dyDescent="0.2">
      <c r="E10988" s="1063"/>
      <c r="H10988" s="1066"/>
      <c r="I10988" s="1063"/>
      <c r="J10988" s="1063"/>
      <c r="K10988" s="1063"/>
      <c r="L10988" s="1063"/>
    </row>
    <row r="10989" spans="5:12" x14ac:dyDescent="0.2">
      <c r="E10989" s="1063"/>
      <c r="H10989" s="1066"/>
      <c r="I10989" s="1063"/>
      <c r="J10989" s="1063"/>
      <c r="K10989" s="1063"/>
      <c r="L10989" s="1063"/>
    </row>
    <row r="10990" spans="5:12" x14ac:dyDescent="0.2">
      <c r="E10990" s="1063"/>
      <c r="H10990" s="1066"/>
      <c r="I10990" s="1063"/>
      <c r="J10990" s="1063"/>
      <c r="K10990" s="1063"/>
      <c r="L10990" s="1063"/>
    </row>
    <row r="10991" spans="5:12" x14ac:dyDescent="0.2">
      <c r="E10991" s="1063"/>
      <c r="H10991" s="1066"/>
      <c r="I10991" s="1063"/>
      <c r="J10991" s="1063"/>
      <c r="K10991" s="1063"/>
      <c r="L10991" s="1063"/>
    </row>
    <row r="10992" spans="5:12" x14ac:dyDescent="0.2">
      <c r="E10992" s="1063"/>
      <c r="H10992" s="1066"/>
      <c r="I10992" s="1063"/>
      <c r="J10992" s="1063"/>
      <c r="K10992" s="1063"/>
      <c r="L10992" s="1063"/>
    </row>
    <row r="10993" spans="5:12" x14ac:dyDescent="0.2">
      <c r="E10993" s="1063"/>
      <c r="H10993" s="1066"/>
      <c r="I10993" s="1063"/>
      <c r="J10993" s="1063"/>
      <c r="K10993" s="1063"/>
      <c r="L10993" s="1063"/>
    </row>
    <row r="10994" spans="5:12" x14ac:dyDescent="0.2">
      <c r="E10994" s="1063"/>
      <c r="H10994" s="1066"/>
      <c r="I10994" s="1063"/>
      <c r="J10994" s="1063"/>
      <c r="K10994" s="1063"/>
      <c r="L10994" s="1063"/>
    </row>
    <row r="10995" spans="5:12" x14ac:dyDescent="0.2">
      <c r="E10995" s="1063"/>
      <c r="H10995" s="1066"/>
      <c r="I10995" s="1063"/>
      <c r="J10995" s="1063"/>
      <c r="K10995" s="1063"/>
      <c r="L10995" s="1063"/>
    </row>
    <row r="10996" spans="5:12" x14ac:dyDescent="0.2">
      <c r="E10996" s="1063"/>
      <c r="H10996" s="1066"/>
      <c r="I10996" s="1063"/>
      <c r="J10996" s="1063"/>
      <c r="K10996" s="1063"/>
      <c r="L10996" s="1063"/>
    </row>
    <row r="10997" spans="5:12" x14ac:dyDescent="0.2">
      <c r="E10997" s="1063"/>
      <c r="H10997" s="1066"/>
      <c r="I10997" s="1063"/>
      <c r="J10997" s="1063"/>
      <c r="K10997" s="1063"/>
      <c r="L10997" s="1063"/>
    </row>
    <row r="10998" spans="5:12" x14ac:dyDescent="0.2">
      <c r="E10998" s="1063"/>
      <c r="H10998" s="1066"/>
      <c r="I10998" s="1063"/>
      <c r="J10998" s="1063"/>
      <c r="K10998" s="1063"/>
      <c r="L10998" s="1063"/>
    </row>
    <row r="10999" spans="5:12" x14ac:dyDescent="0.2">
      <c r="E10999" s="1063"/>
      <c r="H10999" s="1066"/>
      <c r="I10999" s="1063"/>
      <c r="J10999" s="1063"/>
      <c r="K10999" s="1063"/>
      <c r="L10999" s="1063"/>
    </row>
    <row r="11000" spans="5:12" x14ac:dyDescent="0.2">
      <c r="E11000" s="1063"/>
      <c r="H11000" s="1066"/>
      <c r="I11000" s="1063"/>
      <c r="J11000" s="1063"/>
      <c r="K11000" s="1063"/>
      <c r="L11000" s="1063"/>
    </row>
    <row r="11001" spans="5:12" x14ac:dyDescent="0.2">
      <c r="E11001" s="1063"/>
      <c r="H11001" s="1066"/>
      <c r="I11001" s="1063"/>
      <c r="J11001" s="1063"/>
      <c r="K11001" s="1063"/>
      <c r="L11001" s="1063"/>
    </row>
    <row r="11002" spans="5:12" x14ac:dyDescent="0.2">
      <c r="E11002" s="1063"/>
      <c r="H11002" s="1066"/>
      <c r="I11002" s="1063"/>
      <c r="J11002" s="1063"/>
      <c r="K11002" s="1063"/>
      <c r="L11002" s="1063"/>
    </row>
    <row r="11003" spans="5:12" x14ac:dyDescent="0.2">
      <c r="E11003" s="1063"/>
      <c r="H11003" s="1066"/>
      <c r="I11003" s="1063"/>
      <c r="J11003" s="1063"/>
      <c r="K11003" s="1063"/>
      <c r="L11003" s="1063"/>
    </row>
    <row r="11004" spans="5:12" x14ac:dyDescent="0.2">
      <c r="E11004" s="1063"/>
      <c r="H11004" s="1066"/>
      <c r="I11004" s="1063"/>
      <c r="J11004" s="1063"/>
      <c r="K11004" s="1063"/>
      <c r="L11004" s="1063"/>
    </row>
    <row r="11005" spans="5:12" x14ac:dyDescent="0.2">
      <c r="E11005" s="1063"/>
      <c r="H11005" s="1066"/>
      <c r="I11005" s="1063"/>
      <c r="J11005" s="1063"/>
      <c r="K11005" s="1063"/>
      <c r="L11005" s="1063"/>
    </row>
    <row r="11006" spans="5:12" x14ac:dyDescent="0.2">
      <c r="E11006" s="1063"/>
      <c r="H11006" s="1066"/>
      <c r="I11006" s="1063"/>
      <c r="J11006" s="1063"/>
      <c r="K11006" s="1063"/>
      <c r="L11006" s="1063"/>
    </row>
    <row r="11007" spans="5:12" x14ac:dyDescent="0.2">
      <c r="E11007" s="1063"/>
      <c r="H11007" s="1066"/>
      <c r="I11007" s="1063"/>
      <c r="J11007" s="1063"/>
      <c r="K11007" s="1063"/>
      <c r="L11007" s="1063"/>
    </row>
    <row r="11008" spans="5:12" x14ac:dyDescent="0.2">
      <c r="E11008" s="1063"/>
      <c r="H11008" s="1066"/>
      <c r="I11008" s="1063"/>
      <c r="J11008" s="1063"/>
      <c r="K11008" s="1063"/>
      <c r="L11008" s="1063"/>
    </row>
    <row r="11009" spans="5:12" x14ac:dyDescent="0.2">
      <c r="E11009" s="1063"/>
      <c r="H11009" s="1066"/>
      <c r="I11009" s="1063"/>
      <c r="J11009" s="1063"/>
      <c r="K11009" s="1063"/>
      <c r="L11009" s="1063"/>
    </row>
    <row r="11010" spans="5:12" x14ac:dyDescent="0.2">
      <c r="E11010" s="1063"/>
      <c r="H11010" s="1066"/>
      <c r="I11010" s="1063"/>
      <c r="J11010" s="1063"/>
      <c r="K11010" s="1063"/>
      <c r="L11010" s="1063"/>
    </row>
    <row r="11011" spans="5:12" x14ac:dyDescent="0.2">
      <c r="E11011" s="1063"/>
      <c r="H11011" s="1066"/>
      <c r="I11011" s="1063"/>
      <c r="J11011" s="1063"/>
      <c r="K11011" s="1063"/>
      <c r="L11011" s="1063"/>
    </row>
    <row r="11012" spans="5:12" x14ac:dyDescent="0.2">
      <c r="E11012" s="1063"/>
      <c r="H11012" s="1066"/>
      <c r="I11012" s="1063"/>
      <c r="J11012" s="1063"/>
      <c r="K11012" s="1063"/>
      <c r="L11012" s="1063"/>
    </row>
    <row r="11013" spans="5:12" x14ac:dyDescent="0.2">
      <c r="E11013" s="1063"/>
      <c r="H11013" s="1066"/>
      <c r="I11013" s="1063"/>
      <c r="J11013" s="1063"/>
      <c r="K11013" s="1063"/>
      <c r="L11013" s="1063"/>
    </row>
    <row r="11014" spans="5:12" x14ac:dyDescent="0.2">
      <c r="E11014" s="1063"/>
      <c r="H11014" s="1066"/>
      <c r="I11014" s="1063"/>
      <c r="J11014" s="1063"/>
      <c r="K11014" s="1063"/>
      <c r="L11014" s="1063"/>
    </row>
    <row r="11015" spans="5:12" x14ac:dyDescent="0.2">
      <c r="E11015" s="1063"/>
      <c r="H11015" s="1066"/>
      <c r="I11015" s="1063"/>
      <c r="J11015" s="1063"/>
      <c r="K11015" s="1063"/>
      <c r="L11015" s="1063"/>
    </row>
    <row r="11016" spans="5:12" x14ac:dyDescent="0.2">
      <c r="E11016" s="1063"/>
      <c r="H11016" s="1066"/>
      <c r="I11016" s="1063"/>
      <c r="J11016" s="1063"/>
      <c r="K11016" s="1063"/>
      <c r="L11016" s="1063"/>
    </row>
    <row r="11017" spans="5:12" x14ac:dyDescent="0.2">
      <c r="E11017" s="1063"/>
      <c r="H11017" s="1066"/>
      <c r="I11017" s="1063"/>
      <c r="J11017" s="1063"/>
      <c r="K11017" s="1063"/>
      <c r="L11017" s="1063"/>
    </row>
    <row r="11018" spans="5:12" x14ac:dyDescent="0.2">
      <c r="E11018" s="1063"/>
      <c r="H11018" s="1066"/>
      <c r="I11018" s="1063"/>
      <c r="J11018" s="1063"/>
      <c r="K11018" s="1063"/>
      <c r="L11018" s="1063"/>
    </row>
    <row r="11019" spans="5:12" x14ac:dyDescent="0.2">
      <c r="E11019" s="1063"/>
      <c r="H11019" s="1066"/>
      <c r="I11019" s="1063"/>
      <c r="J11019" s="1063"/>
      <c r="K11019" s="1063"/>
      <c r="L11019" s="1063"/>
    </row>
    <row r="11020" spans="5:12" x14ac:dyDescent="0.2">
      <c r="E11020" s="1063"/>
      <c r="H11020" s="1066"/>
      <c r="I11020" s="1063"/>
      <c r="J11020" s="1063"/>
      <c r="K11020" s="1063"/>
      <c r="L11020" s="1063"/>
    </row>
    <row r="11021" spans="5:12" x14ac:dyDescent="0.2">
      <c r="E11021" s="1063"/>
      <c r="H11021" s="1066"/>
      <c r="I11021" s="1063"/>
      <c r="J11021" s="1063"/>
      <c r="K11021" s="1063"/>
      <c r="L11021" s="1063"/>
    </row>
    <row r="11022" spans="5:12" x14ac:dyDescent="0.2">
      <c r="E11022" s="1063"/>
      <c r="H11022" s="1066"/>
      <c r="I11022" s="1063"/>
      <c r="J11022" s="1063"/>
      <c r="K11022" s="1063"/>
      <c r="L11022" s="1063"/>
    </row>
    <row r="11023" spans="5:12" x14ac:dyDescent="0.2">
      <c r="E11023" s="1063"/>
      <c r="H11023" s="1066"/>
      <c r="I11023" s="1063"/>
      <c r="J11023" s="1063"/>
      <c r="K11023" s="1063"/>
      <c r="L11023" s="1063"/>
    </row>
    <row r="11024" spans="5:12" x14ac:dyDescent="0.2">
      <c r="E11024" s="1063"/>
      <c r="H11024" s="1066"/>
      <c r="I11024" s="1063"/>
      <c r="J11024" s="1063"/>
      <c r="K11024" s="1063"/>
      <c r="L11024" s="1063"/>
    </row>
    <row r="11025" spans="5:12" x14ac:dyDescent="0.2">
      <c r="E11025" s="1063"/>
      <c r="H11025" s="1066"/>
      <c r="I11025" s="1063"/>
      <c r="J11025" s="1063"/>
      <c r="K11025" s="1063"/>
      <c r="L11025" s="1063"/>
    </row>
    <row r="11026" spans="5:12" x14ac:dyDescent="0.2">
      <c r="E11026" s="1063"/>
      <c r="H11026" s="1066"/>
      <c r="I11026" s="1063"/>
      <c r="J11026" s="1063"/>
      <c r="K11026" s="1063"/>
      <c r="L11026" s="1063"/>
    </row>
    <row r="11027" spans="5:12" x14ac:dyDescent="0.2">
      <c r="E11027" s="1063"/>
      <c r="H11027" s="1066"/>
      <c r="I11027" s="1063"/>
      <c r="J11027" s="1063"/>
      <c r="K11027" s="1063"/>
      <c r="L11027" s="1063"/>
    </row>
    <row r="11028" spans="5:12" x14ac:dyDescent="0.2">
      <c r="E11028" s="1063"/>
      <c r="H11028" s="1066"/>
      <c r="I11028" s="1063"/>
      <c r="J11028" s="1063"/>
      <c r="K11028" s="1063"/>
      <c r="L11028" s="1063"/>
    </row>
    <row r="11029" spans="5:12" x14ac:dyDescent="0.2">
      <c r="E11029" s="1063"/>
      <c r="H11029" s="1066"/>
      <c r="I11029" s="1063"/>
      <c r="J11029" s="1063"/>
      <c r="K11029" s="1063"/>
      <c r="L11029" s="1063"/>
    </row>
    <row r="11030" spans="5:12" x14ac:dyDescent="0.2">
      <c r="E11030" s="1063"/>
      <c r="H11030" s="1066"/>
      <c r="I11030" s="1063"/>
      <c r="J11030" s="1063"/>
      <c r="K11030" s="1063"/>
      <c r="L11030" s="1063"/>
    </row>
    <row r="11031" spans="5:12" x14ac:dyDescent="0.2">
      <c r="E11031" s="1063"/>
      <c r="H11031" s="1066"/>
      <c r="I11031" s="1063"/>
      <c r="J11031" s="1063"/>
      <c r="K11031" s="1063"/>
      <c r="L11031" s="1063"/>
    </row>
    <row r="11032" spans="5:12" x14ac:dyDescent="0.2">
      <c r="E11032" s="1063"/>
      <c r="H11032" s="1066"/>
      <c r="I11032" s="1063"/>
      <c r="J11032" s="1063"/>
      <c r="K11032" s="1063"/>
      <c r="L11032" s="1063"/>
    </row>
    <row r="11033" spans="5:12" x14ac:dyDescent="0.2">
      <c r="E11033" s="1063"/>
      <c r="H11033" s="1066"/>
      <c r="I11033" s="1063"/>
      <c r="J11033" s="1063"/>
      <c r="K11033" s="1063"/>
      <c r="L11033" s="1063"/>
    </row>
    <row r="11034" spans="5:12" x14ac:dyDescent="0.2">
      <c r="E11034" s="1063"/>
      <c r="H11034" s="1066"/>
      <c r="I11034" s="1063"/>
      <c r="J11034" s="1063"/>
      <c r="K11034" s="1063"/>
      <c r="L11034" s="1063"/>
    </row>
    <row r="11035" spans="5:12" x14ac:dyDescent="0.2">
      <c r="E11035" s="1063"/>
      <c r="H11035" s="1066"/>
      <c r="I11035" s="1063"/>
      <c r="J11035" s="1063"/>
      <c r="K11035" s="1063"/>
      <c r="L11035" s="1063"/>
    </row>
    <row r="11036" spans="5:12" x14ac:dyDescent="0.2">
      <c r="E11036" s="1063"/>
      <c r="H11036" s="1066"/>
      <c r="I11036" s="1063"/>
      <c r="J11036" s="1063"/>
      <c r="K11036" s="1063"/>
      <c r="L11036" s="1063"/>
    </row>
    <row r="11037" spans="5:12" x14ac:dyDescent="0.2">
      <c r="E11037" s="1063"/>
      <c r="H11037" s="1066"/>
      <c r="I11037" s="1063"/>
      <c r="J11037" s="1063"/>
      <c r="K11037" s="1063"/>
      <c r="L11037" s="1063"/>
    </row>
    <row r="11038" spans="5:12" x14ac:dyDescent="0.2">
      <c r="E11038" s="1063"/>
      <c r="H11038" s="1066"/>
      <c r="I11038" s="1063"/>
      <c r="J11038" s="1063"/>
      <c r="K11038" s="1063"/>
      <c r="L11038" s="1063"/>
    </row>
    <row r="11039" spans="5:12" x14ac:dyDescent="0.2">
      <c r="E11039" s="1063"/>
      <c r="H11039" s="1066"/>
      <c r="I11039" s="1063"/>
      <c r="J11039" s="1063"/>
      <c r="K11039" s="1063"/>
      <c r="L11039" s="1063"/>
    </row>
    <row r="11040" spans="5:12" x14ac:dyDescent="0.2">
      <c r="E11040" s="1063"/>
      <c r="H11040" s="1066"/>
      <c r="I11040" s="1063"/>
      <c r="J11040" s="1063"/>
      <c r="K11040" s="1063"/>
      <c r="L11040" s="1063"/>
    </row>
    <row r="11041" spans="5:12" x14ac:dyDescent="0.2">
      <c r="E11041" s="1063"/>
      <c r="H11041" s="1066"/>
      <c r="I11041" s="1063"/>
      <c r="J11041" s="1063"/>
      <c r="K11041" s="1063"/>
      <c r="L11041" s="1063"/>
    </row>
    <row r="11042" spans="5:12" x14ac:dyDescent="0.2">
      <c r="E11042" s="1063"/>
      <c r="H11042" s="1066"/>
      <c r="I11042" s="1063"/>
      <c r="J11042" s="1063"/>
      <c r="K11042" s="1063"/>
      <c r="L11042" s="1063"/>
    </row>
    <row r="11043" spans="5:12" x14ac:dyDescent="0.2">
      <c r="E11043" s="1063"/>
      <c r="H11043" s="1066"/>
      <c r="I11043" s="1063"/>
      <c r="J11043" s="1063"/>
      <c r="K11043" s="1063"/>
      <c r="L11043" s="1063"/>
    </row>
    <row r="11044" spans="5:12" x14ac:dyDescent="0.2">
      <c r="E11044" s="1063"/>
      <c r="H11044" s="1066"/>
      <c r="I11044" s="1063"/>
      <c r="J11044" s="1063"/>
      <c r="K11044" s="1063"/>
      <c r="L11044" s="1063"/>
    </row>
    <row r="11045" spans="5:12" x14ac:dyDescent="0.2">
      <c r="E11045" s="1063"/>
      <c r="H11045" s="1066"/>
      <c r="I11045" s="1063"/>
      <c r="J11045" s="1063"/>
      <c r="K11045" s="1063"/>
      <c r="L11045" s="1063"/>
    </row>
    <row r="11046" spans="5:12" x14ac:dyDescent="0.2">
      <c r="E11046" s="1063"/>
      <c r="H11046" s="1066"/>
      <c r="I11046" s="1063"/>
      <c r="J11046" s="1063"/>
      <c r="K11046" s="1063"/>
      <c r="L11046" s="1063"/>
    </row>
    <row r="11047" spans="5:12" x14ac:dyDescent="0.2">
      <c r="E11047" s="1063"/>
      <c r="H11047" s="1066"/>
      <c r="I11047" s="1063"/>
      <c r="J11047" s="1063"/>
      <c r="K11047" s="1063"/>
      <c r="L11047" s="1063"/>
    </row>
    <row r="11048" spans="5:12" x14ac:dyDescent="0.2">
      <c r="E11048" s="1063"/>
      <c r="H11048" s="1066"/>
      <c r="I11048" s="1063"/>
      <c r="J11048" s="1063"/>
      <c r="K11048" s="1063"/>
      <c r="L11048" s="1063"/>
    </row>
    <row r="11049" spans="5:12" x14ac:dyDescent="0.2">
      <c r="E11049" s="1063"/>
      <c r="H11049" s="1066"/>
      <c r="I11049" s="1063"/>
      <c r="J11049" s="1063"/>
      <c r="K11049" s="1063"/>
      <c r="L11049" s="1063"/>
    </row>
    <row r="11050" spans="5:12" x14ac:dyDescent="0.2">
      <c r="E11050" s="1063"/>
      <c r="H11050" s="1066"/>
      <c r="I11050" s="1063"/>
      <c r="J11050" s="1063"/>
      <c r="K11050" s="1063"/>
      <c r="L11050" s="1063"/>
    </row>
    <row r="11051" spans="5:12" x14ac:dyDescent="0.2">
      <c r="E11051" s="1063"/>
      <c r="H11051" s="1066"/>
      <c r="I11051" s="1063"/>
      <c r="J11051" s="1063"/>
      <c r="K11051" s="1063"/>
      <c r="L11051" s="1063"/>
    </row>
    <row r="11052" spans="5:12" x14ac:dyDescent="0.2">
      <c r="E11052" s="1063"/>
      <c r="H11052" s="1066"/>
      <c r="I11052" s="1063"/>
      <c r="J11052" s="1063"/>
      <c r="K11052" s="1063"/>
      <c r="L11052" s="1063"/>
    </row>
    <row r="11053" spans="5:12" x14ac:dyDescent="0.2">
      <c r="E11053" s="1063"/>
      <c r="H11053" s="1066"/>
      <c r="I11053" s="1063"/>
      <c r="J11053" s="1063"/>
      <c r="K11053" s="1063"/>
      <c r="L11053" s="1063"/>
    </row>
    <row r="11054" spans="5:12" x14ac:dyDescent="0.2">
      <c r="E11054" s="1063"/>
      <c r="H11054" s="1066"/>
      <c r="I11054" s="1063"/>
      <c r="J11054" s="1063"/>
      <c r="K11054" s="1063"/>
      <c r="L11054" s="1063"/>
    </row>
    <row r="11055" spans="5:12" x14ac:dyDescent="0.2">
      <c r="E11055" s="1063"/>
      <c r="H11055" s="1066"/>
      <c r="I11055" s="1063"/>
      <c r="J11055" s="1063"/>
      <c r="K11055" s="1063"/>
      <c r="L11055" s="1063"/>
    </row>
    <row r="11056" spans="5:12" x14ac:dyDescent="0.2">
      <c r="E11056" s="1063"/>
      <c r="H11056" s="1066"/>
      <c r="I11056" s="1063"/>
      <c r="J11056" s="1063"/>
      <c r="K11056" s="1063"/>
      <c r="L11056" s="1063"/>
    </row>
    <row r="11057" spans="5:12" x14ac:dyDescent="0.2">
      <c r="E11057" s="1063"/>
      <c r="H11057" s="1066"/>
      <c r="I11057" s="1063"/>
      <c r="J11057" s="1063"/>
      <c r="K11057" s="1063"/>
      <c r="L11057" s="1063"/>
    </row>
    <row r="11058" spans="5:12" x14ac:dyDescent="0.2">
      <c r="E11058" s="1063"/>
      <c r="H11058" s="1066"/>
      <c r="I11058" s="1063"/>
      <c r="J11058" s="1063"/>
      <c r="K11058" s="1063"/>
      <c r="L11058" s="1063"/>
    </row>
    <row r="11059" spans="5:12" x14ac:dyDescent="0.2">
      <c r="E11059" s="1063"/>
      <c r="H11059" s="1066"/>
      <c r="I11059" s="1063"/>
      <c r="J11059" s="1063"/>
      <c r="K11059" s="1063"/>
      <c r="L11059" s="1063"/>
    </row>
    <row r="11060" spans="5:12" x14ac:dyDescent="0.2">
      <c r="E11060" s="1063"/>
      <c r="H11060" s="1066"/>
      <c r="I11060" s="1063"/>
      <c r="J11060" s="1063"/>
      <c r="K11060" s="1063"/>
      <c r="L11060" s="1063"/>
    </row>
    <row r="11061" spans="5:12" x14ac:dyDescent="0.2">
      <c r="E11061" s="1063"/>
      <c r="H11061" s="1066"/>
      <c r="I11061" s="1063"/>
      <c r="J11061" s="1063"/>
      <c r="K11061" s="1063"/>
      <c r="L11061" s="1063"/>
    </row>
    <row r="11062" spans="5:12" x14ac:dyDescent="0.2">
      <c r="E11062" s="1063"/>
      <c r="H11062" s="1066"/>
      <c r="I11062" s="1063"/>
      <c r="J11062" s="1063"/>
      <c r="K11062" s="1063"/>
      <c r="L11062" s="1063"/>
    </row>
    <row r="11063" spans="5:12" x14ac:dyDescent="0.2">
      <c r="E11063" s="1063"/>
      <c r="H11063" s="1066"/>
      <c r="I11063" s="1063"/>
      <c r="J11063" s="1063"/>
      <c r="K11063" s="1063"/>
      <c r="L11063" s="1063"/>
    </row>
    <row r="11064" spans="5:12" x14ac:dyDescent="0.2">
      <c r="E11064" s="1063"/>
      <c r="H11064" s="1066"/>
      <c r="I11064" s="1063"/>
      <c r="J11064" s="1063"/>
      <c r="K11064" s="1063"/>
      <c r="L11064" s="1063"/>
    </row>
    <row r="11065" spans="5:12" x14ac:dyDescent="0.2">
      <c r="E11065" s="1063"/>
      <c r="H11065" s="1066"/>
      <c r="I11065" s="1063"/>
      <c r="J11065" s="1063"/>
      <c r="K11065" s="1063"/>
      <c r="L11065" s="1063"/>
    </row>
    <row r="11066" spans="5:12" x14ac:dyDescent="0.2">
      <c r="E11066" s="1063"/>
      <c r="H11066" s="1066"/>
      <c r="I11066" s="1063"/>
      <c r="J11066" s="1063"/>
      <c r="K11066" s="1063"/>
      <c r="L11066" s="1063"/>
    </row>
    <row r="11067" spans="5:12" x14ac:dyDescent="0.2">
      <c r="E11067" s="1063"/>
      <c r="H11067" s="1066"/>
      <c r="I11067" s="1063"/>
      <c r="J11067" s="1063"/>
      <c r="K11067" s="1063"/>
      <c r="L11067" s="1063"/>
    </row>
    <row r="11068" spans="5:12" x14ac:dyDescent="0.2">
      <c r="E11068" s="1063"/>
      <c r="H11068" s="1066"/>
      <c r="I11068" s="1063"/>
      <c r="J11068" s="1063"/>
      <c r="K11068" s="1063"/>
      <c r="L11068" s="1063"/>
    </row>
    <row r="11069" spans="5:12" x14ac:dyDescent="0.2">
      <c r="E11069" s="1063"/>
      <c r="H11069" s="1066"/>
      <c r="I11069" s="1063"/>
      <c r="J11069" s="1063"/>
      <c r="K11069" s="1063"/>
      <c r="L11069" s="1063"/>
    </row>
    <row r="11070" spans="5:12" x14ac:dyDescent="0.2">
      <c r="E11070" s="1063"/>
      <c r="H11070" s="1066"/>
      <c r="I11070" s="1063"/>
      <c r="J11070" s="1063"/>
      <c r="K11070" s="1063"/>
      <c r="L11070" s="1063"/>
    </row>
    <row r="11071" spans="5:12" x14ac:dyDescent="0.2">
      <c r="E11071" s="1063"/>
      <c r="H11071" s="1066"/>
      <c r="I11071" s="1063"/>
      <c r="J11071" s="1063"/>
      <c r="K11071" s="1063"/>
      <c r="L11071" s="1063"/>
    </row>
    <row r="11072" spans="5:12" x14ac:dyDescent="0.2">
      <c r="E11072" s="1063"/>
      <c r="H11072" s="1066"/>
      <c r="I11072" s="1063"/>
      <c r="J11072" s="1063"/>
      <c r="K11072" s="1063"/>
      <c r="L11072" s="1063"/>
    </row>
    <row r="11073" spans="5:12" x14ac:dyDescent="0.2">
      <c r="E11073" s="1063"/>
      <c r="H11073" s="1066"/>
      <c r="I11073" s="1063"/>
      <c r="J11073" s="1063"/>
      <c r="K11073" s="1063"/>
      <c r="L11073" s="1063"/>
    </row>
    <row r="11074" spans="5:12" x14ac:dyDescent="0.2">
      <c r="E11074" s="1063"/>
      <c r="H11074" s="1066"/>
      <c r="I11074" s="1063"/>
      <c r="J11074" s="1063"/>
      <c r="K11074" s="1063"/>
      <c r="L11074" s="1063"/>
    </row>
    <row r="11075" spans="5:12" x14ac:dyDescent="0.2">
      <c r="E11075" s="1063"/>
      <c r="H11075" s="1066"/>
      <c r="I11075" s="1063"/>
      <c r="J11075" s="1063"/>
      <c r="K11075" s="1063"/>
      <c r="L11075" s="1063"/>
    </row>
    <row r="11076" spans="5:12" x14ac:dyDescent="0.2">
      <c r="E11076" s="1063"/>
      <c r="H11076" s="1066"/>
      <c r="I11076" s="1063"/>
      <c r="J11076" s="1063"/>
      <c r="K11076" s="1063"/>
      <c r="L11076" s="1063"/>
    </row>
    <row r="11077" spans="5:12" x14ac:dyDescent="0.2">
      <c r="E11077" s="1063"/>
      <c r="H11077" s="1066"/>
      <c r="I11077" s="1063"/>
      <c r="J11077" s="1063"/>
      <c r="K11077" s="1063"/>
      <c r="L11077" s="1063"/>
    </row>
    <row r="11078" spans="5:12" x14ac:dyDescent="0.2">
      <c r="E11078" s="1063"/>
      <c r="H11078" s="1066"/>
      <c r="I11078" s="1063"/>
      <c r="J11078" s="1063"/>
      <c r="K11078" s="1063"/>
      <c r="L11078" s="1063"/>
    </row>
    <row r="11079" spans="5:12" x14ac:dyDescent="0.2">
      <c r="E11079" s="1063"/>
      <c r="H11079" s="1066"/>
      <c r="I11079" s="1063"/>
      <c r="J11079" s="1063"/>
      <c r="K11079" s="1063"/>
      <c r="L11079" s="1063"/>
    </row>
    <row r="11080" spans="5:12" x14ac:dyDescent="0.2">
      <c r="E11080" s="1063"/>
      <c r="H11080" s="1066"/>
      <c r="I11080" s="1063"/>
      <c r="J11080" s="1063"/>
      <c r="K11080" s="1063"/>
      <c r="L11080" s="1063"/>
    </row>
    <row r="11081" spans="5:12" x14ac:dyDescent="0.2">
      <c r="E11081" s="1063"/>
      <c r="H11081" s="1066"/>
      <c r="I11081" s="1063"/>
      <c r="J11081" s="1063"/>
      <c r="K11081" s="1063"/>
      <c r="L11081" s="1063"/>
    </row>
    <row r="11082" spans="5:12" x14ac:dyDescent="0.2">
      <c r="E11082" s="1063"/>
      <c r="H11082" s="1066"/>
      <c r="I11082" s="1063"/>
      <c r="J11082" s="1063"/>
      <c r="K11082" s="1063"/>
      <c r="L11082" s="1063"/>
    </row>
    <row r="11083" spans="5:12" x14ac:dyDescent="0.2">
      <c r="E11083" s="1063"/>
      <c r="H11083" s="1066"/>
      <c r="I11083" s="1063"/>
      <c r="J11083" s="1063"/>
      <c r="K11083" s="1063"/>
      <c r="L11083" s="1063"/>
    </row>
    <row r="11084" spans="5:12" x14ac:dyDescent="0.2">
      <c r="E11084" s="1063"/>
      <c r="H11084" s="1066"/>
      <c r="I11084" s="1063"/>
      <c r="J11084" s="1063"/>
      <c r="K11084" s="1063"/>
      <c r="L11084" s="1063"/>
    </row>
    <row r="11085" spans="5:12" x14ac:dyDescent="0.2">
      <c r="E11085" s="1063"/>
      <c r="H11085" s="1066"/>
      <c r="I11085" s="1063"/>
      <c r="J11085" s="1063"/>
      <c r="K11085" s="1063"/>
      <c r="L11085" s="1063"/>
    </row>
    <row r="11086" spans="5:12" x14ac:dyDescent="0.2">
      <c r="E11086" s="1063"/>
      <c r="H11086" s="1066"/>
      <c r="I11086" s="1063"/>
      <c r="J11086" s="1063"/>
      <c r="K11086" s="1063"/>
      <c r="L11086" s="1063"/>
    </row>
    <row r="11087" spans="5:12" x14ac:dyDescent="0.2">
      <c r="E11087" s="1063"/>
      <c r="H11087" s="1066"/>
      <c r="I11087" s="1063"/>
      <c r="J11087" s="1063"/>
      <c r="K11087" s="1063"/>
      <c r="L11087" s="1063"/>
    </row>
    <row r="11088" spans="5:12" x14ac:dyDescent="0.2">
      <c r="E11088" s="1063"/>
      <c r="H11088" s="1066"/>
      <c r="I11088" s="1063"/>
      <c r="J11088" s="1063"/>
      <c r="K11088" s="1063"/>
      <c r="L11088" s="1063"/>
    </row>
    <row r="11089" spans="5:12" x14ac:dyDescent="0.2">
      <c r="E11089" s="1063"/>
      <c r="H11089" s="1066"/>
      <c r="I11089" s="1063"/>
      <c r="J11089" s="1063"/>
      <c r="K11089" s="1063"/>
      <c r="L11089" s="1063"/>
    </row>
    <row r="11090" spans="5:12" x14ac:dyDescent="0.2">
      <c r="E11090" s="1063"/>
      <c r="H11090" s="1066"/>
      <c r="I11090" s="1063"/>
      <c r="J11090" s="1063"/>
      <c r="K11090" s="1063"/>
      <c r="L11090" s="1063"/>
    </row>
    <row r="11091" spans="5:12" x14ac:dyDescent="0.2">
      <c r="E11091" s="1063"/>
      <c r="H11091" s="1066"/>
      <c r="I11091" s="1063"/>
      <c r="J11091" s="1063"/>
      <c r="K11091" s="1063"/>
      <c r="L11091" s="1063"/>
    </row>
    <row r="11092" spans="5:12" x14ac:dyDescent="0.2">
      <c r="E11092" s="1063"/>
      <c r="H11092" s="1066"/>
      <c r="I11092" s="1063"/>
      <c r="J11092" s="1063"/>
      <c r="K11092" s="1063"/>
      <c r="L11092" s="1063"/>
    </row>
    <row r="11093" spans="5:12" x14ac:dyDescent="0.2">
      <c r="E11093" s="1063"/>
      <c r="H11093" s="1066"/>
      <c r="I11093" s="1063"/>
      <c r="J11093" s="1063"/>
      <c r="K11093" s="1063"/>
      <c r="L11093" s="1063"/>
    </row>
    <row r="11094" spans="5:12" x14ac:dyDescent="0.2">
      <c r="E11094" s="1063"/>
      <c r="H11094" s="1066"/>
      <c r="I11094" s="1063"/>
      <c r="J11094" s="1063"/>
      <c r="K11094" s="1063"/>
      <c r="L11094" s="1063"/>
    </row>
    <row r="11095" spans="5:12" x14ac:dyDescent="0.2">
      <c r="E11095" s="1063"/>
      <c r="H11095" s="1066"/>
      <c r="I11095" s="1063"/>
      <c r="J11095" s="1063"/>
      <c r="K11095" s="1063"/>
      <c r="L11095" s="1063"/>
    </row>
    <row r="11096" spans="5:12" x14ac:dyDescent="0.2">
      <c r="E11096" s="1063"/>
      <c r="H11096" s="1066"/>
      <c r="I11096" s="1063"/>
      <c r="J11096" s="1063"/>
      <c r="K11096" s="1063"/>
      <c r="L11096" s="1063"/>
    </row>
    <row r="11097" spans="5:12" x14ac:dyDescent="0.2">
      <c r="E11097" s="1063"/>
      <c r="H11097" s="1066"/>
      <c r="I11097" s="1063"/>
      <c r="J11097" s="1063"/>
      <c r="K11097" s="1063"/>
      <c r="L11097" s="1063"/>
    </row>
    <row r="11098" spans="5:12" x14ac:dyDescent="0.2">
      <c r="E11098" s="1063"/>
      <c r="H11098" s="1066"/>
      <c r="I11098" s="1063"/>
      <c r="J11098" s="1063"/>
      <c r="K11098" s="1063"/>
      <c r="L11098" s="1063"/>
    </row>
    <row r="11099" spans="5:12" x14ac:dyDescent="0.2">
      <c r="E11099" s="1063"/>
      <c r="H11099" s="1066"/>
      <c r="I11099" s="1063"/>
      <c r="J11099" s="1063"/>
      <c r="K11099" s="1063"/>
      <c r="L11099" s="1063"/>
    </row>
    <row r="11100" spans="5:12" x14ac:dyDescent="0.2">
      <c r="E11100" s="1063"/>
      <c r="H11100" s="1066"/>
      <c r="I11100" s="1063"/>
      <c r="J11100" s="1063"/>
      <c r="K11100" s="1063"/>
      <c r="L11100" s="1063"/>
    </row>
    <row r="11101" spans="5:12" x14ac:dyDescent="0.2">
      <c r="E11101" s="1063"/>
      <c r="H11101" s="1066"/>
      <c r="I11101" s="1063"/>
      <c r="J11101" s="1063"/>
      <c r="K11101" s="1063"/>
      <c r="L11101" s="1063"/>
    </row>
    <row r="11102" spans="5:12" x14ac:dyDescent="0.2">
      <c r="E11102" s="1063"/>
      <c r="H11102" s="1066"/>
      <c r="I11102" s="1063"/>
      <c r="J11102" s="1063"/>
      <c r="K11102" s="1063"/>
      <c r="L11102" s="1063"/>
    </row>
    <row r="11103" spans="5:12" x14ac:dyDescent="0.2">
      <c r="E11103" s="1063"/>
      <c r="H11103" s="1066"/>
      <c r="I11103" s="1063"/>
      <c r="J11103" s="1063"/>
      <c r="K11103" s="1063"/>
      <c r="L11103" s="1063"/>
    </row>
    <row r="11104" spans="5:12" x14ac:dyDescent="0.2">
      <c r="E11104" s="1063"/>
      <c r="H11104" s="1066"/>
      <c r="I11104" s="1063"/>
      <c r="J11104" s="1063"/>
      <c r="K11104" s="1063"/>
      <c r="L11104" s="1063"/>
    </row>
    <row r="11105" spans="5:12" x14ac:dyDescent="0.2">
      <c r="E11105" s="1063"/>
      <c r="H11105" s="1066"/>
      <c r="I11105" s="1063"/>
      <c r="J11105" s="1063"/>
      <c r="K11105" s="1063"/>
      <c r="L11105" s="1063"/>
    </row>
    <row r="11106" spans="5:12" x14ac:dyDescent="0.2">
      <c r="E11106" s="1063"/>
      <c r="H11106" s="1066"/>
      <c r="I11106" s="1063"/>
      <c r="J11106" s="1063"/>
      <c r="K11106" s="1063"/>
      <c r="L11106" s="1063"/>
    </row>
    <row r="11107" spans="5:12" x14ac:dyDescent="0.2">
      <c r="E11107" s="1063"/>
      <c r="H11107" s="1066"/>
      <c r="I11107" s="1063"/>
      <c r="J11107" s="1063"/>
      <c r="K11107" s="1063"/>
      <c r="L11107" s="1063"/>
    </row>
    <row r="11108" spans="5:12" x14ac:dyDescent="0.2">
      <c r="E11108" s="1063"/>
      <c r="H11108" s="1066"/>
      <c r="I11108" s="1063"/>
      <c r="J11108" s="1063"/>
      <c r="K11108" s="1063"/>
      <c r="L11108" s="1063"/>
    </row>
    <row r="11109" spans="5:12" x14ac:dyDescent="0.2">
      <c r="E11109" s="1063"/>
      <c r="H11109" s="1066"/>
      <c r="I11109" s="1063"/>
      <c r="J11109" s="1063"/>
      <c r="K11109" s="1063"/>
      <c r="L11109" s="1063"/>
    </row>
    <row r="11110" spans="5:12" x14ac:dyDescent="0.2">
      <c r="E11110" s="1063"/>
      <c r="H11110" s="1066"/>
      <c r="I11110" s="1063"/>
      <c r="J11110" s="1063"/>
      <c r="K11110" s="1063"/>
      <c r="L11110" s="1063"/>
    </row>
    <row r="11111" spans="5:12" x14ac:dyDescent="0.2">
      <c r="E11111" s="1063"/>
      <c r="H11111" s="1066"/>
      <c r="I11111" s="1063"/>
      <c r="J11111" s="1063"/>
      <c r="K11111" s="1063"/>
      <c r="L11111" s="1063"/>
    </row>
    <row r="11112" spans="5:12" x14ac:dyDescent="0.2">
      <c r="E11112" s="1063"/>
      <c r="H11112" s="1066"/>
      <c r="I11112" s="1063"/>
      <c r="J11112" s="1063"/>
      <c r="K11112" s="1063"/>
      <c r="L11112" s="1063"/>
    </row>
    <row r="11113" spans="5:12" x14ac:dyDescent="0.2">
      <c r="E11113" s="1063"/>
      <c r="H11113" s="1066"/>
      <c r="I11113" s="1063"/>
      <c r="J11113" s="1063"/>
      <c r="K11113" s="1063"/>
      <c r="L11113" s="1063"/>
    </row>
    <row r="11114" spans="5:12" x14ac:dyDescent="0.2">
      <c r="E11114" s="1063"/>
      <c r="H11114" s="1066"/>
      <c r="I11114" s="1063"/>
      <c r="J11114" s="1063"/>
      <c r="K11114" s="1063"/>
      <c r="L11114" s="1063"/>
    </row>
    <row r="11115" spans="5:12" x14ac:dyDescent="0.2">
      <c r="E11115" s="1063"/>
      <c r="H11115" s="1066"/>
      <c r="I11115" s="1063"/>
      <c r="J11115" s="1063"/>
      <c r="K11115" s="1063"/>
      <c r="L11115" s="1063"/>
    </row>
    <row r="11116" spans="5:12" x14ac:dyDescent="0.2">
      <c r="E11116" s="1063"/>
      <c r="H11116" s="1066"/>
      <c r="I11116" s="1063"/>
      <c r="J11116" s="1063"/>
      <c r="K11116" s="1063"/>
      <c r="L11116" s="1063"/>
    </row>
    <row r="11117" spans="5:12" x14ac:dyDescent="0.2">
      <c r="E11117" s="1063"/>
      <c r="H11117" s="1066"/>
      <c r="I11117" s="1063"/>
      <c r="J11117" s="1063"/>
      <c r="K11117" s="1063"/>
      <c r="L11117" s="1063"/>
    </row>
    <row r="11118" spans="5:12" x14ac:dyDescent="0.2">
      <c r="E11118" s="1063"/>
      <c r="H11118" s="1066"/>
      <c r="I11118" s="1063"/>
      <c r="J11118" s="1063"/>
      <c r="K11118" s="1063"/>
      <c r="L11118" s="1063"/>
    </row>
    <row r="11119" spans="5:12" x14ac:dyDescent="0.2">
      <c r="E11119" s="1063"/>
      <c r="H11119" s="1066"/>
      <c r="I11119" s="1063"/>
      <c r="J11119" s="1063"/>
      <c r="K11119" s="1063"/>
      <c r="L11119" s="1063"/>
    </row>
    <row r="11120" spans="5:12" x14ac:dyDescent="0.2">
      <c r="E11120" s="1063"/>
      <c r="H11120" s="1066"/>
      <c r="I11120" s="1063"/>
      <c r="J11120" s="1063"/>
      <c r="K11120" s="1063"/>
      <c r="L11120" s="1063"/>
    </row>
    <row r="11121" spans="5:12" x14ac:dyDescent="0.2">
      <c r="E11121" s="1063"/>
      <c r="H11121" s="1066"/>
      <c r="I11121" s="1063"/>
      <c r="J11121" s="1063"/>
      <c r="K11121" s="1063"/>
      <c r="L11121" s="1063"/>
    </row>
    <row r="11122" spans="5:12" x14ac:dyDescent="0.2">
      <c r="E11122" s="1063"/>
      <c r="H11122" s="1066"/>
      <c r="I11122" s="1063"/>
      <c r="J11122" s="1063"/>
      <c r="K11122" s="1063"/>
      <c r="L11122" s="1063"/>
    </row>
    <row r="11123" spans="5:12" x14ac:dyDescent="0.2">
      <c r="E11123" s="1063"/>
      <c r="H11123" s="1066"/>
      <c r="I11123" s="1063"/>
      <c r="J11123" s="1063"/>
      <c r="K11123" s="1063"/>
      <c r="L11123" s="1063"/>
    </row>
    <row r="11124" spans="5:12" x14ac:dyDescent="0.2">
      <c r="E11124" s="1063"/>
      <c r="H11124" s="1066"/>
      <c r="I11124" s="1063"/>
      <c r="J11124" s="1063"/>
      <c r="K11124" s="1063"/>
      <c r="L11124" s="1063"/>
    </row>
    <row r="11125" spans="5:12" x14ac:dyDescent="0.2">
      <c r="E11125" s="1063"/>
      <c r="H11125" s="1066"/>
      <c r="I11125" s="1063"/>
      <c r="J11125" s="1063"/>
      <c r="K11125" s="1063"/>
      <c r="L11125" s="1063"/>
    </row>
    <row r="11126" spans="5:12" x14ac:dyDescent="0.2">
      <c r="E11126" s="1063"/>
      <c r="H11126" s="1066"/>
      <c r="I11126" s="1063"/>
      <c r="J11126" s="1063"/>
      <c r="K11126" s="1063"/>
      <c r="L11126" s="1063"/>
    </row>
    <row r="11127" spans="5:12" x14ac:dyDescent="0.2">
      <c r="E11127" s="1063"/>
      <c r="H11127" s="1066"/>
      <c r="I11127" s="1063"/>
      <c r="J11127" s="1063"/>
      <c r="K11127" s="1063"/>
      <c r="L11127" s="1063"/>
    </row>
    <row r="11128" spans="5:12" x14ac:dyDescent="0.2">
      <c r="E11128" s="1063"/>
      <c r="H11128" s="1066"/>
      <c r="I11128" s="1063"/>
      <c r="J11128" s="1063"/>
      <c r="K11128" s="1063"/>
      <c r="L11128" s="1063"/>
    </row>
    <row r="11129" spans="5:12" x14ac:dyDescent="0.2">
      <c r="E11129" s="1063"/>
      <c r="H11129" s="1066"/>
      <c r="I11129" s="1063"/>
      <c r="J11129" s="1063"/>
      <c r="K11129" s="1063"/>
      <c r="L11129" s="1063"/>
    </row>
    <row r="11130" spans="5:12" x14ac:dyDescent="0.2">
      <c r="E11130" s="1063"/>
      <c r="H11130" s="1066"/>
      <c r="I11130" s="1063"/>
      <c r="J11130" s="1063"/>
      <c r="K11130" s="1063"/>
      <c r="L11130" s="1063"/>
    </row>
    <row r="11131" spans="5:12" x14ac:dyDescent="0.2">
      <c r="E11131" s="1063"/>
      <c r="H11131" s="1066"/>
      <c r="I11131" s="1063"/>
      <c r="J11131" s="1063"/>
      <c r="K11131" s="1063"/>
      <c r="L11131" s="1063"/>
    </row>
    <row r="11132" spans="5:12" x14ac:dyDescent="0.2">
      <c r="E11132" s="1063"/>
      <c r="H11132" s="1066"/>
      <c r="I11132" s="1063"/>
      <c r="J11132" s="1063"/>
      <c r="K11132" s="1063"/>
      <c r="L11132" s="1063"/>
    </row>
    <row r="11133" spans="5:12" x14ac:dyDescent="0.2">
      <c r="E11133" s="1063"/>
      <c r="H11133" s="1066"/>
      <c r="I11133" s="1063"/>
      <c r="J11133" s="1063"/>
      <c r="K11133" s="1063"/>
      <c r="L11133" s="1063"/>
    </row>
    <row r="11134" spans="5:12" x14ac:dyDescent="0.2">
      <c r="E11134" s="1063"/>
      <c r="H11134" s="1066"/>
      <c r="I11134" s="1063"/>
      <c r="J11134" s="1063"/>
      <c r="K11134" s="1063"/>
      <c r="L11134" s="1063"/>
    </row>
    <row r="11135" spans="5:12" x14ac:dyDescent="0.2">
      <c r="E11135" s="1063"/>
      <c r="H11135" s="1066"/>
      <c r="I11135" s="1063"/>
      <c r="J11135" s="1063"/>
      <c r="K11135" s="1063"/>
      <c r="L11135" s="1063"/>
    </row>
    <row r="11136" spans="5:12" x14ac:dyDescent="0.2">
      <c r="E11136" s="1063"/>
      <c r="H11136" s="1066"/>
      <c r="I11136" s="1063"/>
      <c r="J11136" s="1063"/>
      <c r="K11136" s="1063"/>
      <c r="L11136" s="1063"/>
    </row>
    <row r="11137" spans="5:12" x14ac:dyDescent="0.2">
      <c r="E11137" s="1063"/>
      <c r="H11137" s="1066"/>
      <c r="I11137" s="1063"/>
      <c r="J11137" s="1063"/>
      <c r="K11137" s="1063"/>
      <c r="L11137" s="1063"/>
    </row>
    <row r="11138" spans="5:12" x14ac:dyDescent="0.2">
      <c r="E11138" s="1063"/>
      <c r="H11138" s="1066"/>
      <c r="I11138" s="1063"/>
      <c r="J11138" s="1063"/>
      <c r="K11138" s="1063"/>
      <c r="L11138" s="1063"/>
    </row>
    <row r="11139" spans="5:12" x14ac:dyDescent="0.2">
      <c r="E11139" s="1063"/>
      <c r="H11139" s="1066"/>
      <c r="I11139" s="1063"/>
      <c r="J11139" s="1063"/>
      <c r="K11139" s="1063"/>
      <c r="L11139" s="1063"/>
    </row>
    <row r="11140" spans="5:12" x14ac:dyDescent="0.2">
      <c r="E11140" s="1063"/>
      <c r="H11140" s="1066"/>
      <c r="I11140" s="1063"/>
      <c r="J11140" s="1063"/>
      <c r="K11140" s="1063"/>
      <c r="L11140" s="1063"/>
    </row>
    <row r="11141" spans="5:12" x14ac:dyDescent="0.2">
      <c r="E11141" s="1063"/>
      <c r="H11141" s="1066"/>
      <c r="I11141" s="1063"/>
      <c r="J11141" s="1063"/>
      <c r="K11141" s="1063"/>
      <c r="L11141" s="1063"/>
    </row>
    <row r="11142" spans="5:12" x14ac:dyDescent="0.2">
      <c r="E11142" s="1063"/>
      <c r="H11142" s="1066"/>
      <c r="I11142" s="1063"/>
      <c r="J11142" s="1063"/>
      <c r="K11142" s="1063"/>
      <c r="L11142" s="1063"/>
    </row>
    <row r="11143" spans="5:12" x14ac:dyDescent="0.2">
      <c r="E11143" s="1063"/>
      <c r="H11143" s="1066"/>
      <c r="I11143" s="1063"/>
      <c r="J11143" s="1063"/>
      <c r="K11143" s="1063"/>
      <c r="L11143" s="1063"/>
    </row>
    <row r="11144" spans="5:12" x14ac:dyDescent="0.2">
      <c r="E11144" s="1063"/>
      <c r="H11144" s="1066"/>
      <c r="I11144" s="1063"/>
      <c r="J11144" s="1063"/>
      <c r="K11144" s="1063"/>
      <c r="L11144" s="1063"/>
    </row>
    <row r="11145" spans="5:12" x14ac:dyDescent="0.2">
      <c r="E11145" s="1063"/>
      <c r="H11145" s="1066"/>
      <c r="I11145" s="1063"/>
      <c r="J11145" s="1063"/>
      <c r="K11145" s="1063"/>
      <c r="L11145" s="1063"/>
    </row>
    <row r="11146" spans="5:12" x14ac:dyDescent="0.2">
      <c r="E11146" s="1063"/>
      <c r="H11146" s="1066"/>
      <c r="I11146" s="1063"/>
      <c r="J11146" s="1063"/>
      <c r="K11146" s="1063"/>
      <c r="L11146" s="1063"/>
    </row>
    <row r="11147" spans="5:12" x14ac:dyDescent="0.2">
      <c r="E11147" s="1063"/>
      <c r="H11147" s="1066"/>
      <c r="I11147" s="1063"/>
      <c r="J11147" s="1063"/>
      <c r="K11147" s="1063"/>
      <c r="L11147" s="1063"/>
    </row>
    <row r="11148" spans="5:12" x14ac:dyDescent="0.2">
      <c r="E11148" s="1063"/>
      <c r="H11148" s="1066"/>
      <c r="I11148" s="1063"/>
      <c r="J11148" s="1063"/>
      <c r="K11148" s="1063"/>
      <c r="L11148" s="1063"/>
    </row>
    <row r="11149" spans="5:12" x14ac:dyDescent="0.2">
      <c r="E11149" s="1063"/>
      <c r="H11149" s="1066"/>
      <c r="I11149" s="1063"/>
      <c r="J11149" s="1063"/>
      <c r="K11149" s="1063"/>
      <c r="L11149" s="1063"/>
    </row>
    <row r="11150" spans="5:12" x14ac:dyDescent="0.2">
      <c r="E11150" s="1063"/>
      <c r="H11150" s="1066"/>
      <c r="I11150" s="1063"/>
      <c r="J11150" s="1063"/>
      <c r="K11150" s="1063"/>
      <c r="L11150" s="1063"/>
    </row>
    <row r="11151" spans="5:12" x14ac:dyDescent="0.2">
      <c r="E11151" s="1063"/>
      <c r="H11151" s="1066"/>
      <c r="I11151" s="1063"/>
      <c r="J11151" s="1063"/>
      <c r="K11151" s="1063"/>
      <c r="L11151" s="1063"/>
    </row>
    <row r="11152" spans="5:12" x14ac:dyDescent="0.2">
      <c r="E11152" s="1063"/>
      <c r="H11152" s="1066"/>
      <c r="I11152" s="1063"/>
      <c r="J11152" s="1063"/>
      <c r="K11152" s="1063"/>
      <c r="L11152" s="1063"/>
    </row>
    <row r="11153" spans="5:12" x14ac:dyDescent="0.2">
      <c r="E11153" s="1063"/>
      <c r="H11153" s="1066"/>
      <c r="I11153" s="1063"/>
      <c r="J11153" s="1063"/>
      <c r="K11153" s="1063"/>
      <c r="L11153" s="1063"/>
    </row>
    <row r="11154" spans="5:12" x14ac:dyDescent="0.2">
      <c r="E11154" s="1063"/>
      <c r="H11154" s="1066"/>
      <c r="I11154" s="1063"/>
      <c r="J11154" s="1063"/>
      <c r="K11154" s="1063"/>
      <c r="L11154" s="1063"/>
    </row>
    <row r="11155" spans="5:12" x14ac:dyDescent="0.2">
      <c r="E11155" s="1063"/>
      <c r="H11155" s="1066"/>
      <c r="I11155" s="1063"/>
      <c r="J11155" s="1063"/>
      <c r="K11155" s="1063"/>
      <c r="L11155" s="1063"/>
    </row>
    <row r="11156" spans="5:12" x14ac:dyDescent="0.2">
      <c r="E11156" s="1063"/>
      <c r="H11156" s="1066"/>
      <c r="I11156" s="1063"/>
      <c r="J11156" s="1063"/>
      <c r="K11156" s="1063"/>
      <c r="L11156" s="1063"/>
    </row>
    <row r="11157" spans="5:12" x14ac:dyDescent="0.2">
      <c r="E11157" s="1063"/>
      <c r="H11157" s="1066"/>
      <c r="I11157" s="1063"/>
      <c r="J11157" s="1063"/>
      <c r="K11157" s="1063"/>
      <c r="L11157" s="1063"/>
    </row>
    <row r="11158" spans="5:12" x14ac:dyDescent="0.2">
      <c r="E11158" s="1063"/>
      <c r="H11158" s="1066"/>
      <c r="I11158" s="1063"/>
      <c r="J11158" s="1063"/>
      <c r="K11158" s="1063"/>
      <c r="L11158" s="1063"/>
    </row>
    <row r="11159" spans="5:12" x14ac:dyDescent="0.2">
      <c r="E11159" s="1063"/>
      <c r="H11159" s="1066"/>
      <c r="I11159" s="1063"/>
      <c r="J11159" s="1063"/>
      <c r="K11159" s="1063"/>
      <c r="L11159" s="1063"/>
    </row>
    <row r="11160" spans="5:12" x14ac:dyDescent="0.2">
      <c r="E11160" s="1063"/>
      <c r="H11160" s="1066"/>
      <c r="I11160" s="1063"/>
      <c r="J11160" s="1063"/>
      <c r="K11160" s="1063"/>
      <c r="L11160" s="1063"/>
    </row>
    <row r="11161" spans="5:12" x14ac:dyDescent="0.2">
      <c r="E11161" s="1063"/>
      <c r="H11161" s="1066"/>
      <c r="I11161" s="1063"/>
      <c r="J11161" s="1063"/>
      <c r="K11161" s="1063"/>
      <c r="L11161" s="1063"/>
    </row>
    <row r="11162" spans="5:12" x14ac:dyDescent="0.2">
      <c r="E11162" s="1063"/>
      <c r="H11162" s="1066"/>
      <c r="I11162" s="1063"/>
      <c r="J11162" s="1063"/>
      <c r="K11162" s="1063"/>
      <c r="L11162" s="1063"/>
    </row>
    <row r="11163" spans="5:12" x14ac:dyDescent="0.2">
      <c r="E11163" s="1063"/>
      <c r="H11163" s="1066"/>
      <c r="I11163" s="1063"/>
      <c r="J11163" s="1063"/>
      <c r="K11163" s="1063"/>
      <c r="L11163" s="1063"/>
    </row>
    <row r="11164" spans="5:12" x14ac:dyDescent="0.2">
      <c r="E11164" s="1063"/>
      <c r="H11164" s="1066"/>
      <c r="I11164" s="1063"/>
      <c r="J11164" s="1063"/>
      <c r="K11164" s="1063"/>
      <c r="L11164" s="1063"/>
    </row>
    <row r="11165" spans="5:12" x14ac:dyDescent="0.2">
      <c r="E11165" s="1063"/>
      <c r="H11165" s="1066"/>
      <c r="I11165" s="1063"/>
      <c r="J11165" s="1063"/>
      <c r="K11165" s="1063"/>
      <c r="L11165" s="1063"/>
    </row>
    <row r="11166" spans="5:12" x14ac:dyDescent="0.2">
      <c r="E11166" s="1063"/>
      <c r="H11166" s="1066"/>
      <c r="I11166" s="1063"/>
      <c r="J11166" s="1063"/>
      <c r="K11166" s="1063"/>
      <c r="L11166" s="1063"/>
    </row>
    <row r="11167" spans="5:12" x14ac:dyDescent="0.2">
      <c r="E11167" s="1063"/>
      <c r="H11167" s="1066"/>
      <c r="I11167" s="1063"/>
      <c r="J11167" s="1063"/>
      <c r="K11167" s="1063"/>
      <c r="L11167" s="1063"/>
    </row>
    <row r="11168" spans="5:12" x14ac:dyDescent="0.2">
      <c r="E11168" s="1063"/>
      <c r="H11168" s="1066"/>
      <c r="I11168" s="1063"/>
      <c r="J11168" s="1063"/>
      <c r="K11168" s="1063"/>
      <c r="L11168" s="1063"/>
    </row>
    <row r="11169" spans="5:12" x14ac:dyDescent="0.2">
      <c r="E11169" s="1063"/>
      <c r="H11169" s="1066"/>
      <c r="I11169" s="1063"/>
      <c r="J11169" s="1063"/>
      <c r="K11169" s="1063"/>
      <c r="L11169" s="1063"/>
    </row>
    <row r="11170" spans="5:12" x14ac:dyDescent="0.2">
      <c r="E11170" s="1063"/>
      <c r="H11170" s="1066"/>
      <c r="I11170" s="1063"/>
      <c r="J11170" s="1063"/>
      <c r="K11170" s="1063"/>
      <c r="L11170" s="1063"/>
    </row>
    <row r="11171" spans="5:12" x14ac:dyDescent="0.2">
      <c r="E11171" s="1063"/>
      <c r="H11171" s="1066"/>
      <c r="I11171" s="1063"/>
      <c r="J11171" s="1063"/>
      <c r="K11171" s="1063"/>
      <c r="L11171" s="1063"/>
    </row>
    <row r="11172" spans="5:12" x14ac:dyDescent="0.2">
      <c r="E11172" s="1063"/>
      <c r="H11172" s="1066"/>
      <c r="I11172" s="1063"/>
      <c r="J11172" s="1063"/>
      <c r="K11172" s="1063"/>
      <c r="L11172" s="1063"/>
    </row>
    <row r="11173" spans="5:12" x14ac:dyDescent="0.2">
      <c r="E11173" s="1063"/>
      <c r="H11173" s="1066"/>
      <c r="I11173" s="1063"/>
      <c r="J11173" s="1063"/>
      <c r="K11173" s="1063"/>
      <c r="L11173" s="1063"/>
    </row>
    <row r="11174" spans="5:12" x14ac:dyDescent="0.2">
      <c r="E11174" s="1063"/>
      <c r="H11174" s="1066"/>
      <c r="I11174" s="1063"/>
      <c r="J11174" s="1063"/>
      <c r="K11174" s="1063"/>
      <c r="L11174" s="1063"/>
    </row>
    <row r="11175" spans="5:12" x14ac:dyDescent="0.2">
      <c r="E11175" s="1063"/>
      <c r="H11175" s="1066"/>
      <c r="I11175" s="1063"/>
      <c r="J11175" s="1063"/>
      <c r="K11175" s="1063"/>
      <c r="L11175" s="1063"/>
    </row>
    <row r="11176" spans="5:12" x14ac:dyDescent="0.2">
      <c r="E11176" s="1063"/>
      <c r="H11176" s="1066"/>
      <c r="I11176" s="1063"/>
      <c r="J11176" s="1063"/>
      <c r="K11176" s="1063"/>
      <c r="L11176" s="1063"/>
    </row>
    <row r="11177" spans="5:12" x14ac:dyDescent="0.2">
      <c r="E11177" s="1063"/>
      <c r="H11177" s="1066"/>
      <c r="I11177" s="1063"/>
      <c r="J11177" s="1063"/>
      <c r="K11177" s="1063"/>
      <c r="L11177" s="1063"/>
    </row>
    <row r="11178" spans="5:12" x14ac:dyDescent="0.2">
      <c r="E11178" s="1063"/>
      <c r="H11178" s="1066"/>
      <c r="I11178" s="1063"/>
      <c r="J11178" s="1063"/>
      <c r="K11178" s="1063"/>
      <c r="L11178" s="1063"/>
    </row>
    <row r="11179" spans="5:12" x14ac:dyDescent="0.2">
      <c r="E11179" s="1063"/>
      <c r="H11179" s="1066"/>
      <c r="I11179" s="1063"/>
      <c r="J11179" s="1063"/>
      <c r="K11179" s="1063"/>
      <c r="L11179" s="1063"/>
    </row>
    <row r="11180" spans="5:12" x14ac:dyDescent="0.2">
      <c r="E11180" s="1063"/>
      <c r="H11180" s="1066"/>
      <c r="I11180" s="1063"/>
      <c r="J11180" s="1063"/>
      <c r="K11180" s="1063"/>
      <c r="L11180" s="1063"/>
    </row>
    <row r="11181" spans="5:12" x14ac:dyDescent="0.2">
      <c r="E11181" s="1063"/>
      <c r="H11181" s="1066"/>
      <c r="I11181" s="1063"/>
      <c r="J11181" s="1063"/>
      <c r="K11181" s="1063"/>
      <c r="L11181" s="1063"/>
    </row>
    <row r="11182" spans="5:12" x14ac:dyDescent="0.2">
      <c r="E11182" s="1063"/>
      <c r="H11182" s="1066"/>
      <c r="I11182" s="1063"/>
      <c r="J11182" s="1063"/>
      <c r="K11182" s="1063"/>
      <c r="L11182" s="1063"/>
    </row>
    <row r="11183" spans="5:12" x14ac:dyDescent="0.2">
      <c r="E11183" s="1063"/>
      <c r="H11183" s="1066"/>
      <c r="I11183" s="1063"/>
      <c r="J11183" s="1063"/>
      <c r="K11183" s="1063"/>
      <c r="L11183" s="1063"/>
    </row>
    <row r="11184" spans="5:12" x14ac:dyDescent="0.2">
      <c r="E11184" s="1063"/>
      <c r="H11184" s="1066"/>
      <c r="I11184" s="1063"/>
      <c r="J11184" s="1063"/>
      <c r="K11184" s="1063"/>
      <c r="L11184" s="1063"/>
    </row>
    <row r="11185" spans="5:12" x14ac:dyDescent="0.2">
      <c r="E11185" s="1063"/>
      <c r="H11185" s="1066"/>
      <c r="I11185" s="1063"/>
      <c r="J11185" s="1063"/>
      <c r="K11185" s="1063"/>
      <c r="L11185" s="1063"/>
    </row>
    <row r="11186" spans="5:12" x14ac:dyDescent="0.2">
      <c r="E11186" s="1063"/>
      <c r="H11186" s="1066"/>
      <c r="I11186" s="1063"/>
      <c r="J11186" s="1063"/>
      <c r="K11186" s="1063"/>
      <c r="L11186" s="1063"/>
    </row>
    <row r="11187" spans="5:12" x14ac:dyDescent="0.2">
      <c r="E11187" s="1063"/>
      <c r="H11187" s="1066"/>
      <c r="I11187" s="1063"/>
      <c r="J11187" s="1063"/>
      <c r="K11187" s="1063"/>
      <c r="L11187" s="1063"/>
    </row>
    <row r="11188" spans="5:12" x14ac:dyDescent="0.2">
      <c r="E11188" s="1063"/>
      <c r="H11188" s="1066"/>
      <c r="I11188" s="1063"/>
      <c r="J11188" s="1063"/>
      <c r="K11188" s="1063"/>
      <c r="L11188" s="1063"/>
    </row>
    <row r="11189" spans="5:12" x14ac:dyDescent="0.2">
      <c r="E11189" s="1063"/>
      <c r="H11189" s="1066"/>
      <c r="I11189" s="1063"/>
      <c r="J11189" s="1063"/>
      <c r="K11189" s="1063"/>
      <c r="L11189" s="1063"/>
    </row>
    <row r="11190" spans="5:12" x14ac:dyDescent="0.2">
      <c r="E11190" s="1063"/>
      <c r="H11190" s="1066"/>
      <c r="I11190" s="1063"/>
      <c r="J11190" s="1063"/>
      <c r="K11190" s="1063"/>
      <c r="L11190" s="1063"/>
    </row>
    <row r="11191" spans="5:12" x14ac:dyDescent="0.2">
      <c r="E11191" s="1063"/>
      <c r="H11191" s="1066"/>
      <c r="I11191" s="1063"/>
      <c r="J11191" s="1063"/>
      <c r="K11191" s="1063"/>
      <c r="L11191" s="1063"/>
    </row>
    <row r="11192" spans="5:12" x14ac:dyDescent="0.2">
      <c r="E11192" s="1063"/>
      <c r="H11192" s="1066"/>
      <c r="I11192" s="1063"/>
      <c r="J11192" s="1063"/>
      <c r="K11192" s="1063"/>
      <c r="L11192" s="1063"/>
    </row>
    <row r="11193" spans="5:12" x14ac:dyDescent="0.2">
      <c r="E11193" s="1063"/>
      <c r="H11193" s="1066"/>
      <c r="I11193" s="1063"/>
      <c r="J11193" s="1063"/>
      <c r="K11193" s="1063"/>
      <c r="L11193" s="1063"/>
    </row>
    <row r="11194" spans="5:12" x14ac:dyDescent="0.2">
      <c r="E11194" s="1063"/>
      <c r="H11194" s="1066"/>
      <c r="I11194" s="1063"/>
      <c r="J11194" s="1063"/>
      <c r="K11194" s="1063"/>
      <c r="L11194" s="1063"/>
    </row>
    <row r="11195" spans="5:12" x14ac:dyDescent="0.2">
      <c r="E11195" s="1063"/>
      <c r="H11195" s="1066"/>
      <c r="I11195" s="1063"/>
      <c r="J11195" s="1063"/>
      <c r="K11195" s="1063"/>
      <c r="L11195" s="1063"/>
    </row>
    <row r="11196" spans="5:12" x14ac:dyDescent="0.2">
      <c r="E11196" s="1063"/>
      <c r="H11196" s="1066"/>
      <c r="I11196" s="1063"/>
      <c r="J11196" s="1063"/>
      <c r="K11196" s="1063"/>
      <c r="L11196" s="1063"/>
    </row>
    <row r="11197" spans="5:12" x14ac:dyDescent="0.2">
      <c r="E11197" s="1063"/>
      <c r="H11197" s="1066"/>
      <c r="I11197" s="1063"/>
      <c r="J11197" s="1063"/>
      <c r="K11197" s="1063"/>
      <c r="L11197" s="1063"/>
    </row>
    <row r="11198" spans="5:12" x14ac:dyDescent="0.2">
      <c r="E11198" s="1063"/>
      <c r="H11198" s="1066"/>
      <c r="I11198" s="1063"/>
      <c r="J11198" s="1063"/>
      <c r="K11198" s="1063"/>
      <c r="L11198" s="1063"/>
    </row>
    <row r="11199" spans="5:12" x14ac:dyDescent="0.2">
      <c r="E11199" s="1063"/>
      <c r="H11199" s="1066"/>
      <c r="I11199" s="1063"/>
      <c r="J11199" s="1063"/>
      <c r="K11199" s="1063"/>
      <c r="L11199" s="1063"/>
    </row>
    <row r="11200" spans="5:12" x14ac:dyDescent="0.2">
      <c r="E11200" s="1063"/>
      <c r="H11200" s="1066"/>
      <c r="I11200" s="1063"/>
      <c r="J11200" s="1063"/>
      <c r="K11200" s="1063"/>
      <c r="L11200" s="1063"/>
    </row>
    <row r="11201" spans="5:12" x14ac:dyDescent="0.2">
      <c r="E11201" s="1063"/>
      <c r="H11201" s="1066"/>
      <c r="I11201" s="1063"/>
      <c r="J11201" s="1063"/>
      <c r="K11201" s="1063"/>
      <c r="L11201" s="1063"/>
    </row>
    <row r="11202" spans="5:12" x14ac:dyDescent="0.2">
      <c r="E11202" s="1063"/>
      <c r="H11202" s="1066"/>
      <c r="I11202" s="1063"/>
      <c r="J11202" s="1063"/>
      <c r="K11202" s="1063"/>
      <c r="L11202" s="1063"/>
    </row>
    <row r="11203" spans="5:12" x14ac:dyDescent="0.2">
      <c r="E11203" s="1063"/>
      <c r="H11203" s="1066"/>
      <c r="I11203" s="1063"/>
      <c r="J11203" s="1063"/>
      <c r="K11203" s="1063"/>
      <c r="L11203" s="1063"/>
    </row>
    <row r="11204" spans="5:12" x14ac:dyDescent="0.2">
      <c r="E11204" s="1063"/>
      <c r="H11204" s="1066"/>
      <c r="I11204" s="1063"/>
      <c r="J11204" s="1063"/>
      <c r="K11204" s="1063"/>
      <c r="L11204" s="1063"/>
    </row>
    <row r="11205" spans="5:12" x14ac:dyDescent="0.2">
      <c r="E11205" s="1063"/>
      <c r="H11205" s="1066"/>
      <c r="I11205" s="1063"/>
      <c r="J11205" s="1063"/>
      <c r="K11205" s="1063"/>
      <c r="L11205" s="1063"/>
    </row>
    <row r="11206" spans="5:12" x14ac:dyDescent="0.2">
      <c r="E11206" s="1063"/>
      <c r="H11206" s="1066"/>
      <c r="I11206" s="1063"/>
      <c r="J11206" s="1063"/>
      <c r="K11206" s="1063"/>
      <c r="L11206" s="1063"/>
    </row>
    <row r="11207" spans="5:12" x14ac:dyDescent="0.2">
      <c r="E11207" s="1063"/>
      <c r="H11207" s="1066"/>
      <c r="I11207" s="1063"/>
      <c r="J11207" s="1063"/>
      <c r="K11207" s="1063"/>
      <c r="L11207" s="1063"/>
    </row>
    <row r="11208" spans="5:12" x14ac:dyDescent="0.2">
      <c r="E11208" s="1063"/>
      <c r="H11208" s="1066"/>
      <c r="I11208" s="1063"/>
      <c r="J11208" s="1063"/>
      <c r="K11208" s="1063"/>
      <c r="L11208" s="1063"/>
    </row>
    <row r="11209" spans="5:12" x14ac:dyDescent="0.2">
      <c r="E11209" s="1063"/>
      <c r="H11209" s="1066"/>
      <c r="I11209" s="1063"/>
      <c r="J11209" s="1063"/>
      <c r="K11209" s="1063"/>
      <c r="L11209" s="1063"/>
    </row>
    <row r="11210" spans="5:12" x14ac:dyDescent="0.2">
      <c r="E11210" s="1063"/>
      <c r="H11210" s="1066"/>
      <c r="I11210" s="1063"/>
      <c r="J11210" s="1063"/>
      <c r="K11210" s="1063"/>
      <c r="L11210" s="1063"/>
    </row>
    <row r="11211" spans="5:12" x14ac:dyDescent="0.2">
      <c r="E11211" s="1063"/>
      <c r="H11211" s="1066"/>
      <c r="I11211" s="1063"/>
      <c r="J11211" s="1063"/>
      <c r="K11211" s="1063"/>
      <c r="L11211" s="1063"/>
    </row>
    <row r="11212" spans="5:12" x14ac:dyDescent="0.2">
      <c r="E11212" s="1063"/>
      <c r="H11212" s="1066"/>
      <c r="I11212" s="1063"/>
      <c r="J11212" s="1063"/>
      <c r="K11212" s="1063"/>
      <c r="L11212" s="1063"/>
    </row>
    <row r="11213" spans="5:12" x14ac:dyDescent="0.2">
      <c r="E11213" s="1063"/>
      <c r="H11213" s="1066"/>
      <c r="I11213" s="1063"/>
      <c r="J11213" s="1063"/>
      <c r="K11213" s="1063"/>
      <c r="L11213" s="1063"/>
    </row>
    <row r="11214" spans="5:12" x14ac:dyDescent="0.2">
      <c r="E11214" s="1063"/>
      <c r="H11214" s="1066"/>
      <c r="I11214" s="1063"/>
      <c r="J11214" s="1063"/>
      <c r="K11214" s="1063"/>
      <c r="L11214" s="1063"/>
    </row>
    <row r="11215" spans="5:12" x14ac:dyDescent="0.2">
      <c r="E11215" s="1063"/>
      <c r="H11215" s="1066"/>
      <c r="I11215" s="1063"/>
      <c r="J11215" s="1063"/>
      <c r="K11215" s="1063"/>
      <c r="L11215" s="1063"/>
    </row>
    <row r="11216" spans="5:12" x14ac:dyDescent="0.2">
      <c r="E11216" s="1063"/>
      <c r="H11216" s="1066"/>
      <c r="I11216" s="1063"/>
      <c r="J11216" s="1063"/>
      <c r="K11216" s="1063"/>
      <c r="L11216" s="1063"/>
    </row>
    <row r="11217" spans="5:12" x14ac:dyDescent="0.2">
      <c r="E11217" s="1063"/>
      <c r="H11217" s="1066"/>
      <c r="I11217" s="1063"/>
      <c r="J11217" s="1063"/>
      <c r="K11217" s="1063"/>
      <c r="L11217" s="1063"/>
    </row>
    <row r="11218" spans="5:12" x14ac:dyDescent="0.2">
      <c r="E11218" s="1063"/>
      <c r="H11218" s="1066"/>
      <c r="I11218" s="1063"/>
      <c r="J11218" s="1063"/>
      <c r="K11218" s="1063"/>
      <c r="L11218" s="1063"/>
    </row>
    <row r="11219" spans="5:12" x14ac:dyDescent="0.2">
      <c r="E11219" s="1063"/>
      <c r="H11219" s="1066"/>
      <c r="I11219" s="1063"/>
      <c r="J11219" s="1063"/>
      <c r="K11219" s="1063"/>
      <c r="L11219" s="1063"/>
    </row>
    <row r="11220" spans="5:12" x14ac:dyDescent="0.2">
      <c r="E11220" s="1063"/>
      <c r="H11220" s="1066"/>
      <c r="I11220" s="1063"/>
      <c r="J11220" s="1063"/>
      <c r="K11220" s="1063"/>
      <c r="L11220" s="1063"/>
    </row>
    <row r="11221" spans="5:12" x14ac:dyDescent="0.2">
      <c r="E11221" s="1063"/>
      <c r="H11221" s="1066"/>
      <c r="I11221" s="1063"/>
      <c r="J11221" s="1063"/>
      <c r="K11221" s="1063"/>
      <c r="L11221" s="1063"/>
    </row>
    <row r="11222" spans="5:12" x14ac:dyDescent="0.2">
      <c r="E11222" s="1063"/>
      <c r="H11222" s="1066"/>
      <c r="I11222" s="1063"/>
      <c r="J11222" s="1063"/>
      <c r="K11222" s="1063"/>
      <c r="L11222" s="1063"/>
    </row>
    <row r="11223" spans="5:12" x14ac:dyDescent="0.2">
      <c r="E11223" s="1063"/>
      <c r="H11223" s="1066"/>
      <c r="I11223" s="1063"/>
      <c r="J11223" s="1063"/>
      <c r="K11223" s="1063"/>
      <c r="L11223" s="1063"/>
    </row>
    <row r="11224" spans="5:12" x14ac:dyDescent="0.2">
      <c r="E11224" s="1063"/>
      <c r="H11224" s="1066"/>
      <c r="I11224" s="1063"/>
      <c r="J11224" s="1063"/>
      <c r="K11224" s="1063"/>
      <c r="L11224" s="1063"/>
    </row>
    <row r="11225" spans="5:12" x14ac:dyDescent="0.2">
      <c r="E11225" s="1063"/>
      <c r="H11225" s="1066"/>
      <c r="I11225" s="1063"/>
      <c r="J11225" s="1063"/>
      <c r="K11225" s="1063"/>
      <c r="L11225" s="1063"/>
    </row>
    <row r="11226" spans="5:12" x14ac:dyDescent="0.2">
      <c r="E11226" s="1063"/>
      <c r="H11226" s="1066"/>
      <c r="I11226" s="1063"/>
      <c r="J11226" s="1063"/>
      <c r="K11226" s="1063"/>
      <c r="L11226" s="1063"/>
    </row>
    <row r="11227" spans="5:12" x14ac:dyDescent="0.2">
      <c r="E11227" s="1063"/>
      <c r="H11227" s="1066"/>
      <c r="I11227" s="1063"/>
      <c r="J11227" s="1063"/>
      <c r="K11227" s="1063"/>
      <c r="L11227" s="1063"/>
    </row>
    <row r="11228" spans="5:12" x14ac:dyDescent="0.2">
      <c r="E11228" s="1063"/>
      <c r="H11228" s="1066"/>
      <c r="I11228" s="1063"/>
      <c r="J11228" s="1063"/>
      <c r="K11228" s="1063"/>
      <c r="L11228" s="1063"/>
    </row>
    <row r="11229" spans="5:12" x14ac:dyDescent="0.2">
      <c r="E11229" s="1063"/>
      <c r="H11229" s="1066"/>
      <c r="I11229" s="1063"/>
      <c r="J11229" s="1063"/>
      <c r="K11229" s="1063"/>
      <c r="L11229" s="1063"/>
    </row>
    <row r="11230" spans="5:12" x14ac:dyDescent="0.2">
      <c r="E11230" s="1063"/>
      <c r="H11230" s="1066"/>
      <c r="I11230" s="1063"/>
      <c r="J11230" s="1063"/>
      <c r="K11230" s="1063"/>
      <c r="L11230" s="1063"/>
    </row>
    <row r="11231" spans="5:12" x14ac:dyDescent="0.2">
      <c r="E11231" s="1063"/>
      <c r="H11231" s="1066"/>
      <c r="I11231" s="1063"/>
      <c r="J11231" s="1063"/>
      <c r="K11231" s="1063"/>
      <c r="L11231" s="1063"/>
    </row>
    <row r="11232" spans="5:12" x14ac:dyDescent="0.2">
      <c r="E11232" s="1063"/>
      <c r="H11232" s="1066"/>
      <c r="I11232" s="1063"/>
      <c r="J11232" s="1063"/>
      <c r="K11232" s="1063"/>
      <c r="L11232" s="1063"/>
    </row>
    <row r="11233" spans="5:12" x14ac:dyDescent="0.2">
      <c r="E11233" s="1063"/>
      <c r="H11233" s="1066"/>
      <c r="I11233" s="1063"/>
      <c r="J11233" s="1063"/>
      <c r="K11233" s="1063"/>
      <c r="L11233" s="1063"/>
    </row>
    <row r="11234" spans="5:12" x14ac:dyDescent="0.2">
      <c r="E11234" s="1063"/>
      <c r="H11234" s="1066"/>
      <c r="I11234" s="1063"/>
      <c r="J11234" s="1063"/>
      <c r="K11234" s="1063"/>
      <c r="L11234" s="1063"/>
    </row>
    <row r="11235" spans="5:12" x14ac:dyDescent="0.2">
      <c r="E11235" s="1063"/>
      <c r="H11235" s="1066"/>
      <c r="I11235" s="1063"/>
      <c r="J11235" s="1063"/>
      <c r="K11235" s="1063"/>
      <c r="L11235" s="1063"/>
    </row>
    <row r="11236" spans="5:12" x14ac:dyDescent="0.2">
      <c r="E11236" s="1063"/>
      <c r="H11236" s="1066"/>
      <c r="I11236" s="1063"/>
      <c r="J11236" s="1063"/>
      <c r="K11236" s="1063"/>
      <c r="L11236" s="1063"/>
    </row>
    <row r="11237" spans="5:12" x14ac:dyDescent="0.2">
      <c r="E11237" s="1063"/>
      <c r="H11237" s="1066"/>
      <c r="I11237" s="1063"/>
      <c r="J11237" s="1063"/>
      <c r="K11237" s="1063"/>
      <c r="L11237" s="1063"/>
    </row>
    <row r="11238" spans="5:12" x14ac:dyDescent="0.2">
      <c r="E11238" s="1063"/>
      <c r="H11238" s="1066"/>
      <c r="I11238" s="1063"/>
      <c r="J11238" s="1063"/>
      <c r="K11238" s="1063"/>
      <c r="L11238" s="1063"/>
    </row>
    <row r="11239" spans="5:12" x14ac:dyDescent="0.2">
      <c r="E11239" s="1063"/>
      <c r="H11239" s="1066"/>
      <c r="I11239" s="1063"/>
      <c r="J11239" s="1063"/>
      <c r="K11239" s="1063"/>
      <c r="L11239" s="1063"/>
    </row>
    <row r="11240" spans="5:12" x14ac:dyDescent="0.2">
      <c r="E11240" s="1063"/>
      <c r="H11240" s="1066"/>
      <c r="I11240" s="1063"/>
      <c r="J11240" s="1063"/>
      <c r="K11240" s="1063"/>
      <c r="L11240" s="1063"/>
    </row>
    <row r="11241" spans="5:12" x14ac:dyDescent="0.2">
      <c r="E11241" s="1063"/>
      <c r="H11241" s="1066"/>
      <c r="I11241" s="1063"/>
      <c r="J11241" s="1063"/>
      <c r="K11241" s="1063"/>
      <c r="L11241" s="1063"/>
    </row>
    <row r="11242" spans="5:12" x14ac:dyDescent="0.2">
      <c r="E11242" s="1063"/>
      <c r="H11242" s="1066"/>
      <c r="I11242" s="1063"/>
      <c r="J11242" s="1063"/>
      <c r="K11242" s="1063"/>
      <c r="L11242" s="1063"/>
    </row>
    <row r="11243" spans="5:12" x14ac:dyDescent="0.2">
      <c r="E11243" s="1063"/>
      <c r="H11243" s="1066"/>
      <c r="I11243" s="1063"/>
      <c r="J11243" s="1063"/>
      <c r="K11243" s="1063"/>
      <c r="L11243" s="1063"/>
    </row>
    <row r="11244" spans="5:12" x14ac:dyDescent="0.2">
      <c r="E11244" s="1063"/>
      <c r="H11244" s="1066"/>
      <c r="I11244" s="1063"/>
      <c r="J11244" s="1063"/>
      <c r="K11244" s="1063"/>
      <c r="L11244" s="1063"/>
    </row>
    <row r="11245" spans="5:12" x14ac:dyDescent="0.2">
      <c r="E11245" s="1063"/>
      <c r="H11245" s="1066"/>
      <c r="I11245" s="1063"/>
      <c r="J11245" s="1063"/>
      <c r="K11245" s="1063"/>
      <c r="L11245" s="1063"/>
    </row>
    <row r="11246" spans="5:12" x14ac:dyDescent="0.2">
      <c r="E11246" s="1063"/>
      <c r="H11246" s="1066"/>
      <c r="I11246" s="1063"/>
      <c r="J11246" s="1063"/>
      <c r="K11246" s="1063"/>
      <c r="L11246" s="1063"/>
    </row>
    <row r="11247" spans="5:12" x14ac:dyDescent="0.2">
      <c r="E11247" s="1063"/>
      <c r="H11247" s="1066"/>
      <c r="I11247" s="1063"/>
      <c r="J11247" s="1063"/>
      <c r="K11247" s="1063"/>
      <c r="L11247" s="1063"/>
    </row>
    <row r="11248" spans="5:12" x14ac:dyDescent="0.2">
      <c r="E11248" s="1063"/>
      <c r="H11248" s="1066"/>
      <c r="I11248" s="1063"/>
      <c r="J11248" s="1063"/>
      <c r="K11248" s="1063"/>
      <c r="L11248" s="1063"/>
    </row>
    <row r="11249" spans="5:12" x14ac:dyDescent="0.2">
      <c r="E11249" s="1063"/>
      <c r="H11249" s="1066"/>
      <c r="I11249" s="1063"/>
      <c r="J11249" s="1063"/>
      <c r="K11249" s="1063"/>
      <c r="L11249" s="1063"/>
    </row>
    <row r="11250" spans="5:12" x14ac:dyDescent="0.2">
      <c r="E11250" s="1063"/>
      <c r="H11250" s="1066"/>
      <c r="I11250" s="1063"/>
      <c r="J11250" s="1063"/>
      <c r="K11250" s="1063"/>
      <c r="L11250" s="1063"/>
    </row>
    <row r="11251" spans="5:12" x14ac:dyDescent="0.2">
      <c r="E11251" s="1063"/>
      <c r="H11251" s="1066"/>
      <c r="I11251" s="1063"/>
      <c r="J11251" s="1063"/>
      <c r="K11251" s="1063"/>
      <c r="L11251" s="1063"/>
    </row>
    <row r="11252" spans="5:12" x14ac:dyDescent="0.2">
      <c r="E11252" s="1063"/>
      <c r="H11252" s="1066"/>
      <c r="I11252" s="1063"/>
      <c r="J11252" s="1063"/>
      <c r="K11252" s="1063"/>
      <c r="L11252" s="1063"/>
    </row>
    <row r="11253" spans="5:12" x14ac:dyDescent="0.2">
      <c r="E11253" s="1063"/>
      <c r="H11253" s="1066"/>
      <c r="I11253" s="1063"/>
      <c r="J11253" s="1063"/>
      <c r="K11253" s="1063"/>
      <c r="L11253" s="1063"/>
    </row>
    <row r="11254" spans="5:12" x14ac:dyDescent="0.2">
      <c r="E11254" s="1063"/>
      <c r="H11254" s="1066"/>
      <c r="I11254" s="1063"/>
      <c r="J11254" s="1063"/>
      <c r="K11254" s="1063"/>
      <c r="L11254" s="1063"/>
    </row>
    <row r="11255" spans="5:12" x14ac:dyDescent="0.2">
      <c r="E11255" s="1063"/>
      <c r="H11255" s="1066"/>
      <c r="I11255" s="1063"/>
      <c r="J11255" s="1063"/>
      <c r="K11255" s="1063"/>
      <c r="L11255" s="1063"/>
    </row>
    <row r="11256" spans="5:12" x14ac:dyDescent="0.2">
      <c r="E11256" s="1063"/>
      <c r="H11256" s="1066"/>
      <c r="I11256" s="1063"/>
      <c r="J11256" s="1063"/>
      <c r="K11256" s="1063"/>
      <c r="L11256" s="1063"/>
    </row>
    <row r="11257" spans="5:12" x14ac:dyDescent="0.2">
      <c r="E11257" s="1063"/>
      <c r="H11257" s="1066"/>
      <c r="I11257" s="1063"/>
      <c r="J11257" s="1063"/>
      <c r="K11257" s="1063"/>
      <c r="L11257" s="1063"/>
    </row>
    <row r="11258" spans="5:12" x14ac:dyDescent="0.2">
      <c r="E11258" s="1063"/>
      <c r="H11258" s="1066"/>
      <c r="I11258" s="1063"/>
      <c r="J11258" s="1063"/>
      <c r="K11258" s="1063"/>
      <c r="L11258" s="1063"/>
    </row>
    <row r="11259" spans="5:12" x14ac:dyDescent="0.2">
      <c r="E11259" s="1063"/>
      <c r="H11259" s="1066"/>
      <c r="I11259" s="1063"/>
      <c r="J11259" s="1063"/>
      <c r="K11259" s="1063"/>
      <c r="L11259" s="1063"/>
    </row>
    <row r="11260" spans="5:12" x14ac:dyDescent="0.2">
      <c r="E11260" s="1063"/>
      <c r="H11260" s="1066"/>
      <c r="I11260" s="1063"/>
      <c r="J11260" s="1063"/>
      <c r="K11260" s="1063"/>
      <c r="L11260" s="1063"/>
    </row>
    <row r="11261" spans="5:12" x14ac:dyDescent="0.2">
      <c r="E11261" s="1063"/>
      <c r="H11261" s="1066"/>
      <c r="I11261" s="1063"/>
      <c r="J11261" s="1063"/>
      <c r="K11261" s="1063"/>
      <c r="L11261" s="1063"/>
    </row>
    <row r="11262" spans="5:12" x14ac:dyDescent="0.2">
      <c r="E11262" s="1063"/>
      <c r="H11262" s="1066"/>
      <c r="I11262" s="1063"/>
      <c r="J11262" s="1063"/>
      <c r="K11262" s="1063"/>
      <c r="L11262" s="1063"/>
    </row>
    <row r="11263" spans="5:12" x14ac:dyDescent="0.2">
      <c r="E11263" s="1063"/>
      <c r="H11263" s="1066"/>
      <c r="I11263" s="1063"/>
      <c r="J11263" s="1063"/>
      <c r="K11263" s="1063"/>
      <c r="L11263" s="1063"/>
    </row>
    <row r="11264" spans="5:12" x14ac:dyDescent="0.2">
      <c r="E11264" s="1063"/>
      <c r="H11264" s="1066"/>
      <c r="I11264" s="1063"/>
      <c r="J11264" s="1063"/>
      <c r="K11264" s="1063"/>
      <c r="L11264" s="1063"/>
    </row>
    <row r="11265" spans="5:12" x14ac:dyDescent="0.2">
      <c r="E11265" s="1063"/>
      <c r="H11265" s="1066"/>
      <c r="I11265" s="1063"/>
      <c r="J11265" s="1063"/>
      <c r="K11265" s="1063"/>
      <c r="L11265" s="1063"/>
    </row>
    <row r="11266" spans="5:12" x14ac:dyDescent="0.2">
      <c r="E11266" s="1063"/>
      <c r="H11266" s="1066"/>
      <c r="I11266" s="1063"/>
      <c r="J11266" s="1063"/>
      <c r="K11266" s="1063"/>
      <c r="L11266" s="1063"/>
    </row>
    <row r="11267" spans="5:12" x14ac:dyDescent="0.2">
      <c r="E11267" s="1063"/>
      <c r="H11267" s="1066"/>
      <c r="I11267" s="1063"/>
      <c r="J11267" s="1063"/>
      <c r="K11267" s="1063"/>
      <c r="L11267" s="1063"/>
    </row>
    <row r="11268" spans="5:12" x14ac:dyDescent="0.2">
      <c r="E11268" s="1063"/>
      <c r="H11268" s="1066"/>
      <c r="I11268" s="1063"/>
      <c r="J11268" s="1063"/>
      <c r="K11268" s="1063"/>
      <c r="L11268" s="1063"/>
    </row>
    <row r="11269" spans="5:12" x14ac:dyDescent="0.2">
      <c r="E11269" s="1063"/>
      <c r="H11269" s="1066"/>
      <c r="I11269" s="1063"/>
      <c r="J11269" s="1063"/>
      <c r="K11269" s="1063"/>
      <c r="L11269" s="1063"/>
    </row>
    <row r="11270" spans="5:12" x14ac:dyDescent="0.2">
      <c r="E11270" s="1063"/>
      <c r="H11270" s="1066"/>
      <c r="I11270" s="1063"/>
      <c r="J11270" s="1063"/>
      <c r="K11270" s="1063"/>
      <c r="L11270" s="1063"/>
    </row>
    <row r="11271" spans="5:12" x14ac:dyDescent="0.2">
      <c r="E11271" s="1063"/>
      <c r="H11271" s="1066"/>
      <c r="I11271" s="1063"/>
      <c r="J11271" s="1063"/>
      <c r="K11271" s="1063"/>
      <c r="L11271" s="1063"/>
    </row>
    <row r="11272" spans="5:12" x14ac:dyDescent="0.2">
      <c r="E11272" s="1063"/>
      <c r="H11272" s="1066"/>
      <c r="I11272" s="1063"/>
      <c r="J11272" s="1063"/>
      <c r="K11272" s="1063"/>
      <c r="L11272" s="1063"/>
    </row>
    <row r="11273" spans="5:12" x14ac:dyDescent="0.2">
      <c r="E11273" s="1063"/>
      <c r="H11273" s="1066"/>
      <c r="I11273" s="1063"/>
      <c r="J11273" s="1063"/>
      <c r="K11273" s="1063"/>
      <c r="L11273" s="1063"/>
    </row>
    <row r="11274" spans="5:12" x14ac:dyDescent="0.2">
      <c r="E11274" s="1063"/>
      <c r="H11274" s="1066"/>
      <c r="I11274" s="1063"/>
      <c r="J11274" s="1063"/>
      <c r="K11274" s="1063"/>
      <c r="L11274" s="1063"/>
    </row>
    <row r="11275" spans="5:12" x14ac:dyDescent="0.2">
      <c r="E11275" s="1063"/>
      <c r="H11275" s="1066"/>
      <c r="I11275" s="1063"/>
      <c r="J11275" s="1063"/>
      <c r="K11275" s="1063"/>
      <c r="L11275" s="1063"/>
    </row>
    <row r="11276" spans="5:12" x14ac:dyDescent="0.2">
      <c r="E11276" s="1063"/>
      <c r="H11276" s="1066"/>
      <c r="I11276" s="1063"/>
      <c r="J11276" s="1063"/>
      <c r="K11276" s="1063"/>
      <c r="L11276" s="1063"/>
    </row>
    <row r="11277" spans="5:12" x14ac:dyDescent="0.2">
      <c r="E11277" s="1063"/>
      <c r="H11277" s="1066"/>
      <c r="I11277" s="1063"/>
      <c r="J11277" s="1063"/>
      <c r="K11277" s="1063"/>
      <c r="L11277" s="1063"/>
    </row>
    <row r="11278" spans="5:12" x14ac:dyDescent="0.2">
      <c r="E11278" s="1063"/>
      <c r="H11278" s="1066"/>
      <c r="I11278" s="1063"/>
      <c r="J11278" s="1063"/>
      <c r="K11278" s="1063"/>
      <c r="L11278" s="1063"/>
    </row>
    <row r="11279" spans="5:12" x14ac:dyDescent="0.2">
      <c r="E11279" s="1063"/>
      <c r="H11279" s="1066"/>
      <c r="I11279" s="1063"/>
      <c r="J11279" s="1063"/>
      <c r="K11279" s="1063"/>
      <c r="L11279" s="1063"/>
    </row>
    <row r="11280" spans="5:12" x14ac:dyDescent="0.2">
      <c r="E11280" s="1063"/>
      <c r="H11280" s="1066"/>
      <c r="I11280" s="1063"/>
      <c r="J11280" s="1063"/>
      <c r="K11280" s="1063"/>
      <c r="L11280" s="1063"/>
    </row>
    <row r="11281" spans="5:12" x14ac:dyDescent="0.2">
      <c r="E11281" s="1063"/>
      <c r="H11281" s="1066"/>
      <c r="I11281" s="1063"/>
      <c r="J11281" s="1063"/>
      <c r="K11281" s="1063"/>
      <c r="L11281" s="1063"/>
    </row>
    <row r="11282" spans="5:12" x14ac:dyDescent="0.2">
      <c r="E11282" s="1063"/>
      <c r="H11282" s="1066"/>
      <c r="I11282" s="1063"/>
      <c r="J11282" s="1063"/>
      <c r="K11282" s="1063"/>
      <c r="L11282" s="1063"/>
    </row>
    <row r="11283" spans="5:12" x14ac:dyDescent="0.2">
      <c r="E11283" s="1063"/>
      <c r="H11283" s="1066"/>
      <c r="I11283" s="1063"/>
      <c r="J11283" s="1063"/>
      <c r="K11283" s="1063"/>
      <c r="L11283" s="1063"/>
    </row>
    <row r="11284" spans="5:12" x14ac:dyDescent="0.2">
      <c r="E11284" s="1063"/>
      <c r="H11284" s="1066"/>
      <c r="I11284" s="1063"/>
      <c r="J11284" s="1063"/>
      <c r="K11284" s="1063"/>
      <c r="L11284" s="1063"/>
    </row>
    <row r="11285" spans="5:12" x14ac:dyDescent="0.2">
      <c r="E11285" s="1063"/>
      <c r="H11285" s="1066"/>
      <c r="I11285" s="1063"/>
      <c r="J11285" s="1063"/>
      <c r="K11285" s="1063"/>
      <c r="L11285" s="1063"/>
    </row>
    <row r="11286" spans="5:12" x14ac:dyDescent="0.2">
      <c r="E11286" s="1063"/>
      <c r="H11286" s="1066"/>
      <c r="I11286" s="1063"/>
      <c r="J11286" s="1063"/>
      <c r="K11286" s="1063"/>
      <c r="L11286" s="1063"/>
    </row>
    <row r="11287" spans="5:12" x14ac:dyDescent="0.2">
      <c r="E11287" s="1063"/>
      <c r="H11287" s="1066"/>
      <c r="I11287" s="1063"/>
      <c r="J11287" s="1063"/>
      <c r="K11287" s="1063"/>
      <c r="L11287" s="1063"/>
    </row>
    <row r="11288" spans="5:12" x14ac:dyDescent="0.2">
      <c r="E11288" s="1063"/>
      <c r="H11288" s="1066"/>
      <c r="I11288" s="1063"/>
      <c r="J11288" s="1063"/>
      <c r="K11288" s="1063"/>
      <c r="L11288" s="1063"/>
    </row>
    <row r="11289" spans="5:12" x14ac:dyDescent="0.2">
      <c r="E11289" s="1063"/>
      <c r="H11289" s="1066"/>
      <c r="I11289" s="1063"/>
      <c r="J11289" s="1063"/>
      <c r="K11289" s="1063"/>
      <c r="L11289" s="1063"/>
    </row>
    <row r="11290" spans="5:12" x14ac:dyDescent="0.2">
      <c r="E11290" s="1063"/>
      <c r="H11290" s="1066"/>
      <c r="I11290" s="1063"/>
      <c r="J11290" s="1063"/>
      <c r="K11290" s="1063"/>
      <c r="L11290" s="1063"/>
    </row>
    <row r="11291" spans="5:12" x14ac:dyDescent="0.2">
      <c r="E11291" s="1063"/>
      <c r="H11291" s="1066"/>
      <c r="I11291" s="1063"/>
      <c r="J11291" s="1063"/>
      <c r="K11291" s="1063"/>
      <c r="L11291" s="1063"/>
    </row>
    <row r="11292" spans="5:12" x14ac:dyDescent="0.2">
      <c r="E11292" s="1063"/>
      <c r="H11292" s="1066"/>
      <c r="I11292" s="1063"/>
      <c r="J11292" s="1063"/>
      <c r="K11292" s="1063"/>
      <c r="L11292" s="1063"/>
    </row>
    <row r="11293" spans="5:12" x14ac:dyDescent="0.2">
      <c r="E11293" s="1063"/>
      <c r="H11293" s="1066"/>
      <c r="I11293" s="1063"/>
      <c r="J11293" s="1063"/>
      <c r="K11293" s="1063"/>
      <c r="L11293" s="1063"/>
    </row>
    <row r="11294" spans="5:12" x14ac:dyDescent="0.2">
      <c r="E11294" s="1063"/>
      <c r="H11294" s="1066"/>
      <c r="I11294" s="1063"/>
      <c r="J11294" s="1063"/>
      <c r="K11294" s="1063"/>
      <c r="L11294" s="1063"/>
    </row>
    <row r="11295" spans="5:12" x14ac:dyDescent="0.2">
      <c r="E11295" s="1063"/>
      <c r="H11295" s="1066"/>
      <c r="I11295" s="1063"/>
      <c r="J11295" s="1063"/>
      <c r="K11295" s="1063"/>
      <c r="L11295" s="1063"/>
    </row>
    <row r="11296" spans="5:12" x14ac:dyDescent="0.2">
      <c r="E11296" s="1063"/>
      <c r="H11296" s="1066"/>
      <c r="I11296" s="1063"/>
      <c r="J11296" s="1063"/>
      <c r="K11296" s="1063"/>
      <c r="L11296" s="1063"/>
    </row>
    <row r="11297" spans="5:12" x14ac:dyDescent="0.2">
      <c r="E11297" s="1063"/>
      <c r="H11297" s="1066"/>
      <c r="I11297" s="1063"/>
      <c r="J11297" s="1063"/>
      <c r="K11297" s="1063"/>
      <c r="L11297" s="1063"/>
    </row>
    <row r="11298" spans="5:12" x14ac:dyDescent="0.2">
      <c r="E11298" s="1063"/>
      <c r="H11298" s="1066"/>
      <c r="I11298" s="1063"/>
      <c r="J11298" s="1063"/>
      <c r="K11298" s="1063"/>
      <c r="L11298" s="1063"/>
    </row>
    <row r="11299" spans="5:12" x14ac:dyDescent="0.2">
      <c r="E11299" s="1063"/>
      <c r="H11299" s="1066"/>
      <c r="I11299" s="1063"/>
      <c r="J11299" s="1063"/>
      <c r="K11299" s="1063"/>
      <c r="L11299" s="1063"/>
    </row>
    <row r="11300" spans="5:12" x14ac:dyDescent="0.2">
      <c r="E11300" s="1063"/>
      <c r="H11300" s="1066"/>
      <c r="I11300" s="1063"/>
      <c r="J11300" s="1063"/>
      <c r="K11300" s="1063"/>
      <c r="L11300" s="1063"/>
    </row>
    <row r="11301" spans="5:12" x14ac:dyDescent="0.2">
      <c r="E11301" s="1063"/>
      <c r="H11301" s="1066"/>
      <c r="I11301" s="1063"/>
      <c r="J11301" s="1063"/>
      <c r="K11301" s="1063"/>
      <c r="L11301" s="1063"/>
    </row>
    <row r="11302" spans="5:12" x14ac:dyDescent="0.2">
      <c r="E11302" s="1063"/>
      <c r="H11302" s="1066"/>
      <c r="I11302" s="1063"/>
      <c r="J11302" s="1063"/>
      <c r="K11302" s="1063"/>
      <c r="L11302" s="1063"/>
    </row>
    <row r="11303" spans="5:12" x14ac:dyDescent="0.2">
      <c r="E11303" s="1063"/>
      <c r="H11303" s="1066"/>
      <c r="I11303" s="1063"/>
      <c r="J11303" s="1063"/>
      <c r="K11303" s="1063"/>
      <c r="L11303" s="1063"/>
    </row>
    <row r="11304" spans="5:12" x14ac:dyDescent="0.2">
      <c r="E11304" s="1063"/>
      <c r="H11304" s="1066"/>
      <c r="I11304" s="1063"/>
      <c r="J11304" s="1063"/>
      <c r="K11304" s="1063"/>
      <c r="L11304" s="1063"/>
    </row>
    <row r="11305" spans="5:12" x14ac:dyDescent="0.2">
      <c r="E11305" s="1063"/>
      <c r="H11305" s="1066"/>
      <c r="I11305" s="1063"/>
      <c r="J11305" s="1063"/>
      <c r="K11305" s="1063"/>
      <c r="L11305" s="1063"/>
    </row>
    <row r="11306" spans="5:12" x14ac:dyDescent="0.2">
      <c r="E11306" s="1063"/>
      <c r="H11306" s="1066"/>
      <c r="I11306" s="1063"/>
      <c r="J11306" s="1063"/>
      <c r="K11306" s="1063"/>
      <c r="L11306" s="1063"/>
    </row>
    <row r="11307" spans="5:12" x14ac:dyDescent="0.2">
      <c r="E11307" s="1063"/>
      <c r="H11307" s="1066"/>
      <c r="I11307" s="1063"/>
      <c r="J11307" s="1063"/>
      <c r="K11307" s="1063"/>
      <c r="L11307" s="1063"/>
    </row>
    <row r="11308" spans="5:12" x14ac:dyDescent="0.2">
      <c r="E11308" s="1063"/>
      <c r="H11308" s="1066"/>
      <c r="I11308" s="1063"/>
      <c r="J11308" s="1063"/>
      <c r="K11308" s="1063"/>
      <c r="L11308" s="1063"/>
    </row>
    <row r="11309" spans="5:12" x14ac:dyDescent="0.2">
      <c r="E11309" s="1063"/>
      <c r="H11309" s="1066"/>
      <c r="I11309" s="1063"/>
      <c r="J11309" s="1063"/>
      <c r="K11309" s="1063"/>
      <c r="L11309" s="1063"/>
    </row>
    <row r="11310" spans="5:12" x14ac:dyDescent="0.2">
      <c r="E11310" s="1063"/>
      <c r="H11310" s="1066"/>
      <c r="I11310" s="1063"/>
      <c r="J11310" s="1063"/>
      <c r="K11310" s="1063"/>
      <c r="L11310" s="1063"/>
    </row>
    <row r="11311" spans="5:12" x14ac:dyDescent="0.2">
      <c r="E11311" s="1063"/>
      <c r="H11311" s="1066"/>
      <c r="I11311" s="1063"/>
      <c r="J11311" s="1063"/>
      <c r="K11311" s="1063"/>
      <c r="L11311" s="1063"/>
    </row>
    <row r="11312" spans="5:12" x14ac:dyDescent="0.2">
      <c r="E11312" s="1063"/>
      <c r="H11312" s="1066"/>
      <c r="I11312" s="1063"/>
      <c r="J11312" s="1063"/>
      <c r="K11312" s="1063"/>
      <c r="L11312" s="1063"/>
    </row>
    <row r="11313" spans="5:12" x14ac:dyDescent="0.2">
      <c r="E11313" s="1063"/>
      <c r="H11313" s="1066"/>
      <c r="I11313" s="1063"/>
      <c r="J11313" s="1063"/>
      <c r="K11313" s="1063"/>
      <c r="L11313" s="1063"/>
    </row>
    <row r="11314" spans="5:12" x14ac:dyDescent="0.2">
      <c r="E11314" s="1063"/>
      <c r="H11314" s="1066"/>
      <c r="I11314" s="1063"/>
      <c r="J11314" s="1063"/>
      <c r="K11314" s="1063"/>
      <c r="L11314" s="1063"/>
    </row>
    <row r="11315" spans="5:12" x14ac:dyDescent="0.2">
      <c r="E11315" s="1063"/>
      <c r="H11315" s="1066"/>
      <c r="I11315" s="1063"/>
      <c r="J11315" s="1063"/>
      <c r="K11315" s="1063"/>
      <c r="L11315" s="1063"/>
    </row>
    <row r="11316" spans="5:12" x14ac:dyDescent="0.2">
      <c r="E11316" s="1063"/>
      <c r="H11316" s="1066"/>
      <c r="I11316" s="1063"/>
      <c r="J11316" s="1063"/>
      <c r="K11316" s="1063"/>
      <c r="L11316" s="1063"/>
    </row>
    <row r="11317" spans="5:12" x14ac:dyDescent="0.2">
      <c r="E11317" s="1063"/>
      <c r="H11317" s="1066"/>
      <c r="I11317" s="1063"/>
      <c r="J11317" s="1063"/>
      <c r="K11317" s="1063"/>
      <c r="L11317" s="1063"/>
    </row>
    <row r="11318" spans="5:12" x14ac:dyDescent="0.2">
      <c r="E11318" s="1063"/>
      <c r="H11318" s="1066"/>
      <c r="I11318" s="1063"/>
      <c r="J11318" s="1063"/>
      <c r="K11318" s="1063"/>
      <c r="L11318" s="1063"/>
    </row>
    <row r="11319" spans="5:12" x14ac:dyDescent="0.2">
      <c r="E11319" s="1063"/>
      <c r="H11319" s="1066"/>
      <c r="I11319" s="1063"/>
      <c r="J11319" s="1063"/>
      <c r="K11319" s="1063"/>
      <c r="L11319" s="1063"/>
    </row>
    <row r="11320" spans="5:12" x14ac:dyDescent="0.2">
      <c r="E11320" s="1063"/>
      <c r="H11320" s="1066"/>
      <c r="I11320" s="1063"/>
      <c r="J11320" s="1063"/>
      <c r="K11320" s="1063"/>
      <c r="L11320" s="1063"/>
    </row>
    <row r="11321" spans="5:12" x14ac:dyDescent="0.2">
      <c r="E11321" s="1063"/>
      <c r="H11321" s="1066"/>
      <c r="I11321" s="1063"/>
      <c r="J11321" s="1063"/>
      <c r="K11321" s="1063"/>
      <c r="L11321" s="1063"/>
    </row>
    <row r="11322" spans="5:12" x14ac:dyDescent="0.2">
      <c r="E11322" s="1063"/>
      <c r="H11322" s="1066"/>
      <c r="I11322" s="1063"/>
      <c r="J11322" s="1063"/>
      <c r="K11322" s="1063"/>
      <c r="L11322" s="1063"/>
    </row>
    <row r="11323" spans="5:12" x14ac:dyDescent="0.2">
      <c r="E11323" s="1063"/>
      <c r="H11323" s="1066"/>
      <c r="I11323" s="1063"/>
      <c r="J11323" s="1063"/>
      <c r="K11323" s="1063"/>
      <c r="L11323" s="1063"/>
    </row>
    <row r="11324" spans="5:12" x14ac:dyDescent="0.2">
      <c r="E11324" s="1063"/>
      <c r="H11324" s="1066"/>
      <c r="I11324" s="1063"/>
      <c r="J11324" s="1063"/>
      <c r="K11324" s="1063"/>
      <c r="L11324" s="1063"/>
    </row>
    <row r="11325" spans="5:12" x14ac:dyDescent="0.2">
      <c r="E11325" s="1063"/>
      <c r="H11325" s="1066"/>
      <c r="I11325" s="1063"/>
      <c r="J11325" s="1063"/>
      <c r="K11325" s="1063"/>
      <c r="L11325" s="1063"/>
    </row>
    <row r="11326" spans="5:12" x14ac:dyDescent="0.2">
      <c r="E11326" s="1063"/>
      <c r="H11326" s="1066"/>
      <c r="I11326" s="1063"/>
      <c r="J11326" s="1063"/>
      <c r="K11326" s="1063"/>
      <c r="L11326" s="1063"/>
    </row>
    <row r="11327" spans="5:12" x14ac:dyDescent="0.2">
      <c r="E11327" s="1063"/>
      <c r="H11327" s="1066"/>
      <c r="I11327" s="1063"/>
      <c r="J11327" s="1063"/>
      <c r="K11327" s="1063"/>
      <c r="L11327" s="1063"/>
    </row>
    <row r="11328" spans="5:12" x14ac:dyDescent="0.2">
      <c r="E11328" s="1063"/>
      <c r="H11328" s="1066"/>
      <c r="I11328" s="1063"/>
      <c r="J11328" s="1063"/>
      <c r="K11328" s="1063"/>
      <c r="L11328" s="1063"/>
    </row>
    <row r="11329" spans="5:12" x14ac:dyDescent="0.2">
      <c r="E11329" s="1063"/>
      <c r="H11329" s="1066"/>
      <c r="I11329" s="1063"/>
      <c r="J11329" s="1063"/>
      <c r="K11329" s="1063"/>
      <c r="L11329" s="1063"/>
    </row>
    <row r="11330" spans="5:12" x14ac:dyDescent="0.2">
      <c r="E11330" s="1063"/>
      <c r="H11330" s="1066"/>
      <c r="I11330" s="1063"/>
      <c r="J11330" s="1063"/>
      <c r="K11330" s="1063"/>
      <c r="L11330" s="1063"/>
    </row>
    <row r="11331" spans="5:12" x14ac:dyDescent="0.2">
      <c r="E11331" s="1063"/>
      <c r="H11331" s="1066"/>
      <c r="I11331" s="1063"/>
      <c r="J11331" s="1063"/>
      <c r="K11331" s="1063"/>
      <c r="L11331" s="1063"/>
    </row>
    <row r="11332" spans="5:12" x14ac:dyDescent="0.2">
      <c r="E11332" s="1063"/>
      <c r="H11332" s="1066"/>
      <c r="I11332" s="1063"/>
      <c r="J11332" s="1063"/>
      <c r="K11332" s="1063"/>
      <c r="L11332" s="1063"/>
    </row>
    <row r="11333" spans="5:12" x14ac:dyDescent="0.2">
      <c r="E11333" s="1063"/>
      <c r="H11333" s="1066"/>
      <c r="I11333" s="1063"/>
      <c r="J11333" s="1063"/>
      <c r="K11333" s="1063"/>
      <c r="L11333" s="1063"/>
    </row>
    <row r="11334" spans="5:12" x14ac:dyDescent="0.2">
      <c r="E11334" s="1063"/>
      <c r="H11334" s="1066"/>
      <c r="I11334" s="1063"/>
      <c r="J11334" s="1063"/>
      <c r="K11334" s="1063"/>
      <c r="L11334" s="1063"/>
    </row>
    <row r="11335" spans="5:12" x14ac:dyDescent="0.2">
      <c r="E11335" s="1063"/>
      <c r="H11335" s="1066"/>
      <c r="I11335" s="1063"/>
      <c r="J11335" s="1063"/>
      <c r="K11335" s="1063"/>
      <c r="L11335" s="1063"/>
    </row>
    <row r="11336" spans="5:12" x14ac:dyDescent="0.2">
      <c r="E11336" s="1063"/>
      <c r="H11336" s="1066"/>
      <c r="I11336" s="1063"/>
      <c r="J11336" s="1063"/>
      <c r="K11336" s="1063"/>
      <c r="L11336" s="1063"/>
    </row>
    <row r="11337" spans="5:12" x14ac:dyDescent="0.2">
      <c r="E11337" s="1063"/>
      <c r="H11337" s="1066"/>
      <c r="I11337" s="1063"/>
      <c r="J11337" s="1063"/>
      <c r="K11337" s="1063"/>
      <c r="L11337" s="1063"/>
    </row>
    <row r="11338" spans="5:12" x14ac:dyDescent="0.2">
      <c r="E11338" s="1063"/>
      <c r="H11338" s="1066"/>
      <c r="I11338" s="1063"/>
      <c r="J11338" s="1063"/>
      <c r="K11338" s="1063"/>
      <c r="L11338" s="1063"/>
    </row>
    <row r="11339" spans="5:12" x14ac:dyDescent="0.2">
      <c r="E11339" s="1063"/>
      <c r="H11339" s="1066"/>
      <c r="I11339" s="1063"/>
      <c r="J11339" s="1063"/>
      <c r="K11339" s="1063"/>
      <c r="L11339" s="1063"/>
    </row>
    <row r="11340" spans="5:12" x14ac:dyDescent="0.2">
      <c r="E11340" s="1063"/>
      <c r="H11340" s="1066"/>
      <c r="I11340" s="1063"/>
      <c r="J11340" s="1063"/>
      <c r="K11340" s="1063"/>
      <c r="L11340" s="1063"/>
    </row>
    <row r="11341" spans="5:12" x14ac:dyDescent="0.2">
      <c r="E11341" s="1063"/>
      <c r="H11341" s="1066"/>
      <c r="I11341" s="1063"/>
      <c r="J11341" s="1063"/>
      <c r="K11341" s="1063"/>
      <c r="L11341" s="1063"/>
    </row>
    <row r="11342" spans="5:12" x14ac:dyDescent="0.2">
      <c r="E11342" s="1063"/>
      <c r="H11342" s="1066"/>
      <c r="I11342" s="1063"/>
      <c r="J11342" s="1063"/>
      <c r="K11342" s="1063"/>
      <c r="L11342" s="1063"/>
    </row>
    <row r="11343" spans="5:12" x14ac:dyDescent="0.2">
      <c r="E11343" s="1063"/>
      <c r="H11343" s="1066"/>
      <c r="I11343" s="1063"/>
      <c r="J11343" s="1063"/>
      <c r="K11343" s="1063"/>
      <c r="L11343" s="1063"/>
    </row>
    <row r="11344" spans="5:12" x14ac:dyDescent="0.2">
      <c r="E11344" s="1063"/>
      <c r="H11344" s="1066"/>
      <c r="I11344" s="1063"/>
      <c r="J11344" s="1063"/>
      <c r="K11344" s="1063"/>
      <c r="L11344" s="1063"/>
    </row>
    <row r="11345" spans="5:12" x14ac:dyDescent="0.2">
      <c r="E11345" s="1063"/>
      <c r="H11345" s="1066"/>
      <c r="I11345" s="1063"/>
      <c r="J11345" s="1063"/>
      <c r="K11345" s="1063"/>
      <c r="L11345" s="1063"/>
    </row>
    <row r="11346" spans="5:12" x14ac:dyDescent="0.2">
      <c r="E11346" s="1063"/>
      <c r="H11346" s="1066"/>
      <c r="I11346" s="1063"/>
      <c r="J11346" s="1063"/>
      <c r="K11346" s="1063"/>
      <c r="L11346" s="1063"/>
    </row>
    <row r="11347" spans="5:12" x14ac:dyDescent="0.2">
      <c r="E11347" s="1063"/>
      <c r="H11347" s="1066"/>
      <c r="I11347" s="1063"/>
      <c r="J11347" s="1063"/>
      <c r="K11347" s="1063"/>
      <c r="L11347" s="1063"/>
    </row>
    <row r="11348" spans="5:12" x14ac:dyDescent="0.2">
      <c r="E11348" s="1063"/>
      <c r="H11348" s="1066"/>
      <c r="I11348" s="1063"/>
      <c r="J11348" s="1063"/>
      <c r="K11348" s="1063"/>
      <c r="L11348" s="1063"/>
    </row>
    <row r="11349" spans="5:12" x14ac:dyDescent="0.2">
      <c r="E11349" s="1063"/>
      <c r="H11349" s="1066"/>
      <c r="I11349" s="1063"/>
      <c r="J11349" s="1063"/>
      <c r="K11349" s="1063"/>
      <c r="L11349" s="1063"/>
    </row>
    <row r="11350" spans="5:12" x14ac:dyDescent="0.2">
      <c r="E11350" s="1063"/>
      <c r="H11350" s="1066"/>
      <c r="I11350" s="1063"/>
      <c r="J11350" s="1063"/>
      <c r="K11350" s="1063"/>
      <c r="L11350" s="1063"/>
    </row>
    <row r="11351" spans="5:12" x14ac:dyDescent="0.2">
      <c r="E11351" s="1063"/>
      <c r="H11351" s="1066"/>
      <c r="I11351" s="1063"/>
      <c r="J11351" s="1063"/>
      <c r="K11351" s="1063"/>
      <c r="L11351" s="1063"/>
    </row>
    <row r="11352" spans="5:12" x14ac:dyDescent="0.2">
      <c r="E11352" s="1063"/>
      <c r="H11352" s="1066"/>
      <c r="I11352" s="1063"/>
      <c r="J11352" s="1063"/>
      <c r="K11352" s="1063"/>
      <c r="L11352" s="1063"/>
    </row>
    <row r="11353" spans="5:12" x14ac:dyDescent="0.2">
      <c r="E11353" s="1063"/>
      <c r="H11353" s="1066"/>
      <c r="I11353" s="1063"/>
      <c r="J11353" s="1063"/>
      <c r="K11353" s="1063"/>
      <c r="L11353" s="1063"/>
    </row>
    <row r="11354" spans="5:12" x14ac:dyDescent="0.2">
      <c r="E11354" s="1063"/>
      <c r="H11354" s="1066"/>
      <c r="I11354" s="1063"/>
      <c r="J11354" s="1063"/>
      <c r="K11354" s="1063"/>
      <c r="L11354" s="1063"/>
    </row>
    <row r="11355" spans="5:12" x14ac:dyDescent="0.2">
      <c r="E11355" s="1063"/>
      <c r="H11355" s="1066"/>
      <c r="I11355" s="1063"/>
      <c r="J11355" s="1063"/>
      <c r="K11355" s="1063"/>
      <c r="L11355" s="1063"/>
    </row>
    <row r="11356" spans="5:12" x14ac:dyDescent="0.2">
      <c r="E11356" s="1063"/>
      <c r="H11356" s="1066"/>
      <c r="I11356" s="1063"/>
      <c r="J11356" s="1063"/>
      <c r="K11356" s="1063"/>
      <c r="L11356" s="1063"/>
    </row>
    <row r="11357" spans="5:12" x14ac:dyDescent="0.2">
      <c r="E11357" s="1063"/>
      <c r="H11357" s="1066"/>
      <c r="I11357" s="1063"/>
      <c r="J11357" s="1063"/>
      <c r="K11357" s="1063"/>
      <c r="L11357" s="1063"/>
    </row>
    <row r="11358" spans="5:12" x14ac:dyDescent="0.2">
      <c r="E11358" s="1063"/>
      <c r="H11358" s="1066"/>
      <c r="I11358" s="1063"/>
      <c r="J11358" s="1063"/>
      <c r="K11358" s="1063"/>
      <c r="L11358" s="1063"/>
    </row>
    <row r="11359" spans="5:12" x14ac:dyDescent="0.2">
      <c r="E11359" s="1063"/>
      <c r="H11359" s="1066"/>
      <c r="I11359" s="1063"/>
      <c r="J11359" s="1063"/>
      <c r="K11359" s="1063"/>
      <c r="L11359" s="1063"/>
    </row>
    <row r="11360" spans="5:12" x14ac:dyDescent="0.2">
      <c r="E11360" s="1063"/>
      <c r="H11360" s="1066"/>
      <c r="I11360" s="1063"/>
      <c r="J11360" s="1063"/>
      <c r="K11360" s="1063"/>
      <c r="L11360" s="1063"/>
    </row>
    <row r="11361" spans="5:12" x14ac:dyDescent="0.2">
      <c r="E11361" s="1063"/>
      <c r="H11361" s="1066"/>
      <c r="I11361" s="1063"/>
      <c r="J11361" s="1063"/>
      <c r="K11361" s="1063"/>
      <c r="L11361" s="1063"/>
    </row>
    <row r="11362" spans="5:12" x14ac:dyDescent="0.2">
      <c r="E11362" s="1063"/>
      <c r="H11362" s="1066"/>
      <c r="I11362" s="1063"/>
      <c r="J11362" s="1063"/>
      <c r="K11362" s="1063"/>
      <c r="L11362" s="1063"/>
    </row>
    <row r="11363" spans="5:12" x14ac:dyDescent="0.2">
      <c r="E11363" s="1063"/>
      <c r="H11363" s="1066"/>
      <c r="I11363" s="1063"/>
      <c r="J11363" s="1063"/>
      <c r="K11363" s="1063"/>
      <c r="L11363" s="1063"/>
    </row>
    <row r="11364" spans="5:12" x14ac:dyDescent="0.2">
      <c r="E11364" s="1063"/>
      <c r="H11364" s="1066"/>
      <c r="I11364" s="1063"/>
      <c r="J11364" s="1063"/>
      <c r="K11364" s="1063"/>
      <c r="L11364" s="1063"/>
    </row>
    <row r="11365" spans="5:12" x14ac:dyDescent="0.2">
      <c r="E11365" s="1063"/>
      <c r="H11365" s="1066"/>
      <c r="I11365" s="1063"/>
      <c r="J11365" s="1063"/>
      <c r="K11365" s="1063"/>
      <c r="L11365" s="1063"/>
    </row>
    <row r="11366" spans="5:12" x14ac:dyDescent="0.2">
      <c r="E11366" s="1063"/>
      <c r="H11366" s="1066"/>
      <c r="I11366" s="1063"/>
      <c r="J11366" s="1063"/>
      <c r="K11366" s="1063"/>
      <c r="L11366" s="1063"/>
    </row>
    <row r="11367" spans="5:12" x14ac:dyDescent="0.2">
      <c r="E11367" s="1063"/>
      <c r="H11367" s="1066"/>
      <c r="I11367" s="1063"/>
      <c r="J11367" s="1063"/>
      <c r="K11367" s="1063"/>
      <c r="L11367" s="1063"/>
    </row>
    <row r="11368" spans="5:12" x14ac:dyDescent="0.2">
      <c r="E11368" s="1063"/>
      <c r="H11368" s="1066"/>
      <c r="I11368" s="1063"/>
      <c r="J11368" s="1063"/>
      <c r="K11368" s="1063"/>
      <c r="L11368" s="1063"/>
    </row>
    <row r="11369" spans="5:12" x14ac:dyDescent="0.2">
      <c r="E11369" s="1063"/>
      <c r="H11369" s="1066"/>
      <c r="I11369" s="1063"/>
      <c r="J11369" s="1063"/>
      <c r="K11369" s="1063"/>
      <c r="L11369" s="1063"/>
    </row>
    <row r="11370" spans="5:12" x14ac:dyDescent="0.2">
      <c r="E11370" s="1063"/>
      <c r="H11370" s="1066"/>
      <c r="I11370" s="1063"/>
      <c r="J11370" s="1063"/>
      <c r="K11370" s="1063"/>
      <c r="L11370" s="1063"/>
    </row>
    <row r="11371" spans="5:12" x14ac:dyDescent="0.2">
      <c r="E11371" s="1063"/>
      <c r="H11371" s="1066"/>
      <c r="I11371" s="1063"/>
      <c r="J11371" s="1063"/>
      <c r="K11371" s="1063"/>
      <c r="L11371" s="1063"/>
    </row>
    <row r="11372" spans="5:12" x14ac:dyDescent="0.2">
      <c r="E11372" s="1063"/>
      <c r="H11372" s="1066"/>
      <c r="I11372" s="1063"/>
      <c r="J11372" s="1063"/>
      <c r="K11372" s="1063"/>
      <c r="L11372" s="1063"/>
    </row>
    <row r="11373" spans="5:12" x14ac:dyDescent="0.2">
      <c r="E11373" s="1063"/>
      <c r="H11373" s="1066"/>
      <c r="I11373" s="1063"/>
      <c r="J11373" s="1063"/>
      <c r="K11373" s="1063"/>
      <c r="L11373" s="1063"/>
    </row>
    <row r="11374" spans="5:12" x14ac:dyDescent="0.2">
      <c r="E11374" s="1063"/>
      <c r="H11374" s="1066"/>
      <c r="I11374" s="1063"/>
      <c r="J11374" s="1063"/>
      <c r="K11374" s="1063"/>
      <c r="L11374" s="1063"/>
    </row>
    <row r="11375" spans="5:12" x14ac:dyDescent="0.2">
      <c r="E11375" s="1063"/>
      <c r="H11375" s="1066"/>
      <c r="I11375" s="1063"/>
      <c r="J11375" s="1063"/>
      <c r="K11375" s="1063"/>
      <c r="L11375" s="1063"/>
    </row>
    <row r="11376" spans="5:12" x14ac:dyDescent="0.2">
      <c r="E11376" s="1063"/>
      <c r="H11376" s="1066"/>
      <c r="I11376" s="1063"/>
      <c r="J11376" s="1063"/>
      <c r="K11376" s="1063"/>
      <c r="L11376" s="1063"/>
    </row>
    <row r="11377" spans="5:12" x14ac:dyDescent="0.2">
      <c r="E11377" s="1063"/>
      <c r="H11377" s="1066"/>
      <c r="I11377" s="1063"/>
      <c r="J11377" s="1063"/>
      <c r="K11377" s="1063"/>
      <c r="L11377" s="1063"/>
    </row>
    <row r="11378" spans="5:12" x14ac:dyDescent="0.2">
      <c r="E11378" s="1063"/>
      <c r="H11378" s="1066"/>
      <c r="I11378" s="1063"/>
      <c r="J11378" s="1063"/>
      <c r="K11378" s="1063"/>
      <c r="L11378" s="1063"/>
    </row>
    <row r="11379" spans="5:12" x14ac:dyDescent="0.2">
      <c r="E11379" s="1063"/>
      <c r="H11379" s="1066"/>
      <c r="I11379" s="1063"/>
      <c r="J11379" s="1063"/>
      <c r="K11379" s="1063"/>
      <c r="L11379" s="1063"/>
    </row>
    <row r="11380" spans="5:12" x14ac:dyDescent="0.2">
      <c r="E11380" s="1063"/>
      <c r="H11380" s="1066"/>
      <c r="I11380" s="1063"/>
      <c r="J11380" s="1063"/>
      <c r="K11380" s="1063"/>
      <c r="L11380" s="1063"/>
    </row>
    <row r="11381" spans="5:12" x14ac:dyDescent="0.2">
      <c r="E11381" s="1063"/>
      <c r="H11381" s="1066"/>
      <c r="I11381" s="1063"/>
      <c r="J11381" s="1063"/>
      <c r="K11381" s="1063"/>
      <c r="L11381" s="1063"/>
    </row>
    <row r="11382" spans="5:12" x14ac:dyDescent="0.2">
      <c r="E11382" s="1063"/>
      <c r="H11382" s="1066"/>
      <c r="I11382" s="1063"/>
      <c r="J11382" s="1063"/>
      <c r="K11382" s="1063"/>
      <c r="L11382" s="1063"/>
    </row>
    <row r="11383" spans="5:12" x14ac:dyDescent="0.2">
      <c r="E11383" s="1063"/>
      <c r="H11383" s="1066"/>
      <c r="I11383" s="1063"/>
      <c r="J11383" s="1063"/>
      <c r="K11383" s="1063"/>
      <c r="L11383" s="1063"/>
    </row>
    <row r="11384" spans="5:12" x14ac:dyDescent="0.2">
      <c r="E11384" s="1063"/>
      <c r="H11384" s="1066"/>
      <c r="I11384" s="1063"/>
      <c r="J11384" s="1063"/>
      <c r="K11384" s="1063"/>
      <c r="L11384" s="1063"/>
    </row>
    <row r="11385" spans="5:12" x14ac:dyDescent="0.2">
      <c r="E11385" s="1063"/>
      <c r="H11385" s="1066"/>
      <c r="I11385" s="1063"/>
      <c r="J11385" s="1063"/>
      <c r="K11385" s="1063"/>
      <c r="L11385" s="1063"/>
    </row>
    <row r="11386" spans="5:12" x14ac:dyDescent="0.2">
      <c r="E11386" s="1063"/>
      <c r="H11386" s="1066"/>
      <c r="I11386" s="1063"/>
      <c r="J11386" s="1063"/>
      <c r="K11386" s="1063"/>
      <c r="L11386" s="1063"/>
    </row>
    <row r="11387" spans="5:12" x14ac:dyDescent="0.2">
      <c r="E11387" s="1063"/>
      <c r="H11387" s="1066"/>
      <c r="I11387" s="1063"/>
      <c r="J11387" s="1063"/>
      <c r="K11387" s="1063"/>
      <c r="L11387" s="1063"/>
    </row>
    <row r="11388" spans="5:12" x14ac:dyDescent="0.2">
      <c r="E11388" s="1063"/>
      <c r="H11388" s="1066"/>
      <c r="I11388" s="1063"/>
      <c r="J11388" s="1063"/>
      <c r="K11388" s="1063"/>
      <c r="L11388" s="1063"/>
    </row>
    <row r="11389" spans="5:12" x14ac:dyDescent="0.2">
      <c r="E11389" s="1063"/>
      <c r="H11389" s="1066"/>
      <c r="I11389" s="1063"/>
      <c r="J11389" s="1063"/>
      <c r="K11389" s="1063"/>
      <c r="L11389" s="1063"/>
    </row>
    <row r="11390" spans="5:12" x14ac:dyDescent="0.2">
      <c r="E11390" s="1063"/>
      <c r="H11390" s="1066"/>
      <c r="I11390" s="1063"/>
      <c r="J11390" s="1063"/>
      <c r="K11390" s="1063"/>
      <c r="L11390" s="1063"/>
    </row>
    <row r="11391" spans="5:12" x14ac:dyDescent="0.2">
      <c r="E11391" s="1063"/>
      <c r="H11391" s="1066"/>
      <c r="I11391" s="1063"/>
      <c r="J11391" s="1063"/>
      <c r="K11391" s="1063"/>
      <c r="L11391" s="1063"/>
    </row>
    <row r="11392" spans="5:12" x14ac:dyDescent="0.2">
      <c r="E11392" s="1063"/>
      <c r="H11392" s="1066"/>
      <c r="I11392" s="1063"/>
      <c r="J11392" s="1063"/>
      <c r="K11392" s="1063"/>
      <c r="L11392" s="1063"/>
    </row>
    <row r="11393" spans="5:12" x14ac:dyDescent="0.2">
      <c r="E11393" s="1063"/>
      <c r="H11393" s="1066"/>
      <c r="I11393" s="1063"/>
      <c r="J11393" s="1063"/>
      <c r="K11393" s="1063"/>
      <c r="L11393" s="1063"/>
    </row>
    <row r="11394" spans="5:12" x14ac:dyDescent="0.2">
      <c r="E11394" s="1063"/>
      <c r="H11394" s="1066"/>
      <c r="I11394" s="1063"/>
      <c r="J11394" s="1063"/>
      <c r="K11394" s="1063"/>
      <c r="L11394" s="1063"/>
    </row>
    <row r="11395" spans="5:12" x14ac:dyDescent="0.2">
      <c r="E11395" s="1063"/>
      <c r="H11395" s="1066"/>
      <c r="I11395" s="1063"/>
      <c r="J11395" s="1063"/>
      <c r="K11395" s="1063"/>
      <c r="L11395" s="1063"/>
    </row>
    <row r="11396" spans="5:12" x14ac:dyDescent="0.2">
      <c r="E11396" s="1063"/>
      <c r="H11396" s="1066"/>
      <c r="I11396" s="1063"/>
      <c r="J11396" s="1063"/>
      <c r="K11396" s="1063"/>
      <c r="L11396" s="1063"/>
    </row>
    <row r="11397" spans="5:12" x14ac:dyDescent="0.2">
      <c r="E11397" s="1063"/>
      <c r="H11397" s="1066"/>
      <c r="I11397" s="1063"/>
      <c r="J11397" s="1063"/>
      <c r="K11397" s="1063"/>
      <c r="L11397" s="1063"/>
    </row>
    <row r="11398" spans="5:12" x14ac:dyDescent="0.2">
      <c r="E11398" s="1063"/>
      <c r="H11398" s="1066"/>
      <c r="I11398" s="1063"/>
      <c r="J11398" s="1063"/>
      <c r="K11398" s="1063"/>
      <c r="L11398" s="1063"/>
    </row>
    <row r="11399" spans="5:12" x14ac:dyDescent="0.2">
      <c r="E11399" s="1063"/>
      <c r="H11399" s="1066"/>
      <c r="I11399" s="1063"/>
      <c r="J11399" s="1063"/>
      <c r="K11399" s="1063"/>
      <c r="L11399" s="1063"/>
    </row>
    <row r="11400" spans="5:12" x14ac:dyDescent="0.2">
      <c r="E11400" s="1063"/>
      <c r="H11400" s="1066"/>
      <c r="I11400" s="1063"/>
      <c r="J11400" s="1063"/>
      <c r="K11400" s="1063"/>
      <c r="L11400" s="1063"/>
    </row>
    <row r="11401" spans="5:12" x14ac:dyDescent="0.2">
      <c r="E11401" s="1063"/>
      <c r="H11401" s="1066"/>
      <c r="I11401" s="1063"/>
      <c r="J11401" s="1063"/>
      <c r="K11401" s="1063"/>
      <c r="L11401" s="1063"/>
    </row>
    <row r="11402" spans="5:12" x14ac:dyDescent="0.2">
      <c r="E11402" s="1063"/>
      <c r="H11402" s="1066"/>
      <c r="I11402" s="1063"/>
      <c r="J11402" s="1063"/>
      <c r="K11402" s="1063"/>
      <c r="L11402" s="1063"/>
    </row>
    <row r="11403" spans="5:12" x14ac:dyDescent="0.2">
      <c r="E11403" s="1063"/>
      <c r="H11403" s="1066"/>
      <c r="I11403" s="1063"/>
      <c r="J11403" s="1063"/>
      <c r="K11403" s="1063"/>
      <c r="L11403" s="1063"/>
    </row>
    <row r="11404" spans="5:12" x14ac:dyDescent="0.2">
      <c r="E11404" s="1063"/>
      <c r="H11404" s="1066"/>
      <c r="I11404" s="1063"/>
      <c r="J11404" s="1063"/>
      <c r="K11404" s="1063"/>
      <c r="L11404" s="1063"/>
    </row>
    <row r="11405" spans="5:12" x14ac:dyDescent="0.2">
      <c r="E11405" s="1063"/>
      <c r="H11405" s="1066"/>
      <c r="I11405" s="1063"/>
      <c r="J11405" s="1063"/>
      <c r="K11405" s="1063"/>
      <c r="L11405" s="1063"/>
    </row>
    <row r="11406" spans="5:12" x14ac:dyDescent="0.2">
      <c r="E11406" s="1063"/>
      <c r="H11406" s="1066"/>
      <c r="I11406" s="1063"/>
      <c r="J11406" s="1063"/>
      <c r="K11406" s="1063"/>
      <c r="L11406" s="1063"/>
    </row>
    <row r="11407" spans="5:12" x14ac:dyDescent="0.2">
      <c r="E11407" s="1063"/>
      <c r="H11407" s="1066"/>
      <c r="I11407" s="1063"/>
      <c r="J11407" s="1063"/>
      <c r="K11407" s="1063"/>
      <c r="L11407" s="1063"/>
    </row>
    <row r="11408" spans="5:12" x14ac:dyDescent="0.2">
      <c r="E11408" s="1063"/>
      <c r="H11408" s="1066"/>
      <c r="I11408" s="1063"/>
      <c r="J11408" s="1063"/>
      <c r="K11408" s="1063"/>
      <c r="L11408" s="1063"/>
    </row>
    <row r="11409" spans="5:12" x14ac:dyDescent="0.2">
      <c r="E11409" s="1063"/>
      <c r="H11409" s="1066"/>
      <c r="I11409" s="1063"/>
      <c r="J11409" s="1063"/>
      <c r="K11409" s="1063"/>
      <c r="L11409" s="1063"/>
    </row>
    <row r="11410" spans="5:12" x14ac:dyDescent="0.2">
      <c r="E11410" s="1063"/>
      <c r="H11410" s="1066"/>
      <c r="I11410" s="1063"/>
      <c r="J11410" s="1063"/>
      <c r="K11410" s="1063"/>
      <c r="L11410" s="1063"/>
    </row>
    <row r="11411" spans="5:12" x14ac:dyDescent="0.2">
      <c r="E11411" s="1063"/>
      <c r="H11411" s="1066"/>
      <c r="I11411" s="1063"/>
      <c r="J11411" s="1063"/>
      <c r="K11411" s="1063"/>
      <c r="L11411" s="1063"/>
    </row>
    <row r="11412" spans="5:12" x14ac:dyDescent="0.2">
      <c r="E11412" s="1063"/>
      <c r="H11412" s="1066"/>
      <c r="I11412" s="1063"/>
      <c r="J11412" s="1063"/>
      <c r="K11412" s="1063"/>
      <c r="L11412" s="1063"/>
    </row>
    <row r="11413" spans="5:12" x14ac:dyDescent="0.2">
      <c r="E11413" s="1063"/>
      <c r="H11413" s="1066"/>
      <c r="I11413" s="1063"/>
      <c r="J11413" s="1063"/>
      <c r="K11413" s="1063"/>
      <c r="L11413" s="1063"/>
    </row>
    <row r="11414" spans="5:12" x14ac:dyDescent="0.2">
      <c r="E11414" s="1063"/>
      <c r="H11414" s="1066"/>
      <c r="I11414" s="1063"/>
      <c r="J11414" s="1063"/>
      <c r="K11414" s="1063"/>
      <c r="L11414" s="1063"/>
    </row>
    <row r="11415" spans="5:12" x14ac:dyDescent="0.2">
      <c r="E11415" s="1063"/>
      <c r="H11415" s="1066"/>
      <c r="I11415" s="1063"/>
      <c r="J11415" s="1063"/>
      <c r="K11415" s="1063"/>
      <c r="L11415" s="1063"/>
    </row>
    <row r="11416" spans="5:12" x14ac:dyDescent="0.2">
      <c r="E11416" s="1063"/>
      <c r="H11416" s="1066"/>
      <c r="I11416" s="1063"/>
      <c r="J11416" s="1063"/>
      <c r="K11416" s="1063"/>
      <c r="L11416" s="1063"/>
    </row>
    <row r="11417" spans="5:12" x14ac:dyDescent="0.2">
      <c r="E11417" s="1063"/>
      <c r="H11417" s="1066"/>
      <c r="I11417" s="1063"/>
      <c r="J11417" s="1063"/>
      <c r="K11417" s="1063"/>
      <c r="L11417" s="1063"/>
    </row>
    <row r="11418" spans="5:12" x14ac:dyDescent="0.2">
      <c r="E11418" s="1063"/>
      <c r="H11418" s="1066"/>
      <c r="I11418" s="1063"/>
      <c r="J11418" s="1063"/>
      <c r="K11418" s="1063"/>
      <c r="L11418" s="1063"/>
    </row>
    <row r="11419" spans="5:12" x14ac:dyDescent="0.2">
      <c r="E11419" s="1063"/>
      <c r="H11419" s="1066"/>
      <c r="I11419" s="1063"/>
      <c r="J11419" s="1063"/>
      <c r="K11419" s="1063"/>
      <c r="L11419" s="1063"/>
    </row>
    <row r="11420" spans="5:12" x14ac:dyDescent="0.2">
      <c r="E11420" s="1063"/>
      <c r="H11420" s="1066"/>
      <c r="I11420" s="1063"/>
      <c r="J11420" s="1063"/>
      <c r="K11420" s="1063"/>
      <c r="L11420" s="1063"/>
    </row>
    <row r="11421" spans="5:12" x14ac:dyDescent="0.2">
      <c r="E11421" s="1063"/>
      <c r="H11421" s="1066"/>
      <c r="I11421" s="1063"/>
      <c r="J11421" s="1063"/>
      <c r="K11421" s="1063"/>
      <c r="L11421" s="1063"/>
    </row>
    <row r="11422" spans="5:12" x14ac:dyDescent="0.2">
      <c r="E11422" s="1063"/>
      <c r="H11422" s="1066"/>
      <c r="I11422" s="1063"/>
      <c r="J11422" s="1063"/>
      <c r="K11422" s="1063"/>
      <c r="L11422" s="1063"/>
    </row>
    <row r="11423" spans="5:12" x14ac:dyDescent="0.2">
      <c r="E11423" s="1063"/>
      <c r="H11423" s="1066"/>
      <c r="I11423" s="1063"/>
      <c r="J11423" s="1063"/>
      <c r="K11423" s="1063"/>
      <c r="L11423" s="1063"/>
    </row>
    <row r="11424" spans="5:12" x14ac:dyDescent="0.2">
      <c r="E11424" s="1063"/>
      <c r="H11424" s="1066"/>
      <c r="I11424" s="1063"/>
      <c r="J11424" s="1063"/>
      <c r="K11424" s="1063"/>
      <c r="L11424" s="1063"/>
    </row>
    <row r="11425" spans="5:12" x14ac:dyDescent="0.2">
      <c r="E11425" s="1063"/>
      <c r="H11425" s="1066"/>
      <c r="I11425" s="1063"/>
      <c r="J11425" s="1063"/>
      <c r="K11425" s="1063"/>
      <c r="L11425" s="1063"/>
    </row>
    <row r="11426" spans="5:12" x14ac:dyDescent="0.2">
      <c r="E11426" s="1063"/>
      <c r="H11426" s="1066"/>
      <c r="I11426" s="1063"/>
      <c r="J11426" s="1063"/>
      <c r="K11426" s="1063"/>
      <c r="L11426" s="1063"/>
    </row>
    <row r="11427" spans="5:12" x14ac:dyDescent="0.2">
      <c r="E11427" s="1063"/>
      <c r="H11427" s="1066"/>
      <c r="I11427" s="1063"/>
      <c r="J11427" s="1063"/>
      <c r="K11427" s="1063"/>
      <c r="L11427" s="1063"/>
    </row>
    <row r="11428" spans="5:12" x14ac:dyDescent="0.2">
      <c r="E11428" s="1063"/>
      <c r="H11428" s="1066"/>
      <c r="I11428" s="1063"/>
      <c r="J11428" s="1063"/>
      <c r="K11428" s="1063"/>
      <c r="L11428" s="1063"/>
    </row>
    <row r="11429" spans="5:12" x14ac:dyDescent="0.2">
      <c r="E11429" s="1063"/>
      <c r="H11429" s="1066"/>
      <c r="I11429" s="1063"/>
      <c r="J11429" s="1063"/>
      <c r="K11429" s="1063"/>
      <c r="L11429" s="1063"/>
    </row>
    <row r="11430" spans="5:12" x14ac:dyDescent="0.2">
      <c r="E11430" s="1063"/>
      <c r="H11430" s="1066"/>
      <c r="I11430" s="1063"/>
      <c r="J11430" s="1063"/>
      <c r="K11430" s="1063"/>
      <c r="L11430" s="1063"/>
    </row>
    <row r="11431" spans="5:12" x14ac:dyDescent="0.2">
      <c r="E11431" s="1063"/>
      <c r="H11431" s="1066"/>
      <c r="I11431" s="1063"/>
      <c r="J11431" s="1063"/>
      <c r="K11431" s="1063"/>
      <c r="L11431" s="1063"/>
    </row>
    <row r="11432" spans="5:12" x14ac:dyDescent="0.2">
      <c r="E11432" s="1063"/>
      <c r="H11432" s="1066"/>
      <c r="I11432" s="1063"/>
      <c r="J11432" s="1063"/>
      <c r="K11432" s="1063"/>
      <c r="L11432" s="1063"/>
    </row>
    <row r="11433" spans="5:12" x14ac:dyDescent="0.2">
      <c r="E11433" s="1063"/>
      <c r="H11433" s="1066"/>
      <c r="I11433" s="1063"/>
      <c r="J11433" s="1063"/>
      <c r="K11433" s="1063"/>
      <c r="L11433" s="1063"/>
    </row>
    <row r="11434" spans="5:12" x14ac:dyDescent="0.2">
      <c r="E11434" s="1063"/>
      <c r="H11434" s="1066"/>
      <c r="I11434" s="1063"/>
      <c r="J11434" s="1063"/>
      <c r="K11434" s="1063"/>
      <c r="L11434" s="1063"/>
    </row>
    <row r="11435" spans="5:12" x14ac:dyDescent="0.2">
      <c r="E11435" s="1063"/>
      <c r="H11435" s="1066"/>
      <c r="I11435" s="1063"/>
      <c r="J11435" s="1063"/>
      <c r="K11435" s="1063"/>
      <c r="L11435" s="1063"/>
    </row>
    <row r="11436" spans="5:12" x14ac:dyDescent="0.2">
      <c r="E11436" s="1063"/>
      <c r="H11436" s="1066"/>
      <c r="I11436" s="1063"/>
      <c r="J11436" s="1063"/>
      <c r="K11436" s="1063"/>
      <c r="L11436" s="1063"/>
    </row>
    <row r="11437" spans="5:12" x14ac:dyDescent="0.2">
      <c r="E11437" s="1063"/>
      <c r="H11437" s="1066"/>
      <c r="I11437" s="1063"/>
      <c r="J11437" s="1063"/>
      <c r="K11437" s="1063"/>
      <c r="L11437" s="1063"/>
    </row>
    <row r="11438" spans="5:12" x14ac:dyDescent="0.2">
      <c r="E11438" s="1063"/>
      <c r="H11438" s="1066"/>
      <c r="I11438" s="1063"/>
      <c r="J11438" s="1063"/>
      <c r="K11438" s="1063"/>
      <c r="L11438" s="1063"/>
    </row>
    <row r="11439" spans="5:12" x14ac:dyDescent="0.2">
      <c r="E11439" s="1063"/>
      <c r="H11439" s="1066"/>
      <c r="I11439" s="1063"/>
      <c r="J11439" s="1063"/>
      <c r="K11439" s="1063"/>
      <c r="L11439" s="1063"/>
    </row>
    <row r="11440" spans="5:12" x14ac:dyDescent="0.2">
      <c r="E11440" s="1063"/>
      <c r="H11440" s="1066"/>
      <c r="I11440" s="1063"/>
      <c r="J11440" s="1063"/>
      <c r="K11440" s="1063"/>
      <c r="L11440" s="1063"/>
    </row>
    <row r="11441" spans="5:12" x14ac:dyDescent="0.2">
      <c r="E11441" s="1063"/>
      <c r="H11441" s="1066"/>
      <c r="I11441" s="1063"/>
      <c r="J11441" s="1063"/>
      <c r="K11441" s="1063"/>
      <c r="L11441" s="1063"/>
    </row>
    <row r="11442" spans="5:12" x14ac:dyDescent="0.2">
      <c r="E11442" s="1063"/>
      <c r="H11442" s="1066"/>
      <c r="I11442" s="1063"/>
      <c r="J11442" s="1063"/>
      <c r="K11442" s="1063"/>
      <c r="L11442" s="1063"/>
    </row>
    <row r="11443" spans="5:12" x14ac:dyDescent="0.2">
      <c r="E11443" s="1063"/>
      <c r="H11443" s="1066"/>
      <c r="I11443" s="1063"/>
      <c r="J11443" s="1063"/>
      <c r="K11443" s="1063"/>
      <c r="L11443" s="1063"/>
    </row>
    <row r="11444" spans="5:12" x14ac:dyDescent="0.2">
      <c r="E11444" s="1063"/>
      <c r="H11444" s="1066"/>
      <c r="I11444" s="1063"/>
      <c r="J11444" s="1063"/>
      <c r="K11444" s="1063"/>
      <c r="L11444" s="1063"/>
    </row>
    <row r="11445" spans="5:12" x14ac:dyDescent="0.2">
      <c r="E11445" s="1063"/>
      <c r="H11445" s="1066"/>
      <c r="I11445" s="1063"/>
      <c r="J11445" s="1063"/>
      <c r="K11445" s="1063"/>
      <c r="L11445" s="1063"/>
    </row>
    <row r="11446" spans="5:12" x14ac:dyDescent="0.2">
      <c r="E11446" s="1063"/>
      <c r="H11446" s="1066"/>
      <c r="I11446" s="1063"/>
      <c r="J11446" s="1063"/>
      <c r="K11446" s="1063"/>
      <c r="L11446" s="1063"/>
    </row>
    <row r="11447" spans="5:12" x14ac:dyDescent="0.2">
      <c r="E11447" s="1063"/>
      <c r="H11447" s="1066"/>
      <c r="I11447" s="1063"/>
      <c r="J11447" s="1063"/>
      <c r="K11447" s="1063"/>
      <c r="L11447" s="1063"/>
    </row>
    <row r="11448" spans="5:12" x14ac:dyDescent="0.2">
      <c r="E11448" s="1063"/>
      <c r="H11448" s="1066"/>
      <c r="I11448" s="1063"/>
      <c r="J11448" s="1063"/>
      <c r="K11448" s="1063"/>
      <c r="L11448" s="1063"/>
    </row>
    <row r="11449" spans="5:12" x14ac:dyDescent="0.2">
      <c r="E11449" s="1063"/>
      <c r="H11449" s="1066"/>
      <c r="I11449" s="1063"/>
      <c r="J11449" s="1063"/>
      <c r="K11449" s="1063"/>
      <c r="L11449" s="1063"/>
    </row>
    <row r="11450" spans="5:12" x14ac:dyDescent="0.2">
      <c r="E11450" s="1063"/>
      <c r="H11450" s="1066"/>
      <c r="I11450" s="1063"/>
      <c r="J11450" s="1063"/>
      <c r="K11450" s="1063"/>
      <c r="L11450" s="1063"/>
    </row>
    <row r="11451" spans="5:12" x14ac:dyDescent="0.2">
      <c r="E11451" s="1063"/>
      <c r="H11451" s="1066"/>
      <c r="I11451" s="1063"/>
      <c r="J11451" s="1063"/>
      <c r="K11451" s="1063"/>
      <c r="L11451" s="1063"/>
    </row>
    <row r="11452" spans="5:12" x14ac:dyDescent="0.2">
      <c r="E11452" s="1063"/>
      <c r="H11452" s="1066"/>
      <c r="I11452" s="1063"/>
      <c r="J11452" s="1063"/>
      <c r="K11452" s="1063"/>
      <c r="L11452" s="1063"/>
    </row>
    <row r="11453" spans="5:12" x14ac:dyDescent="0.2">
      <c r="E11453" s="1063"/>
      <c r="H11453" s="1066"/>
      <c r="I11453" s="1063"/>
      <c r="J11453" s="1063"/>
      <c r="K11453" s="1063"/>
      <c r="L11453" s="1063"/>
    </row>
    <row r="11454" spans="5:12" x14ac:dyDescent="0.2">
      <c r="E11454" s="1063"/>
      <c r="H11454" s="1066"/>
      <c r="I11454" s="1063"/>
      <c r="J11454" s="1063"/>
      <c r="K11454" s="1063"/>
      <c r="L11454" s="1063"/>
    </row>
    <row r="11455" spans="5:12" x14ac:dyDescent="0.2">
      <c r="E11455" s="1063"/>
      <c r="H11455" s="1066"/>
      <c r="I11455" s="1063"/>
      <c r="J11455" s="1063"/>
      <c r="K11455" s="1063"/>
      <c r="L11455" s="1063"/>
    </row>
    <row r="11456" spans="5:12" x14ac:dyDescent="0.2">
      <c r="E11456" s="1063"/>
      <c r="H11456" s="1066"/>
      <c r="I11456" s="1063"/>
      <c r="J11456" s="1063"/>
      <c r="K11456" s="1063"/>
      <c r="L11456" s="1063"/>
    </row>
    <row r="11457" spans="5:12" x14ac:dyDescent="0.2">
      <c r="E11457" s="1063"/>
      <c r="H11457" s="1066"/>
      <c r="I11457" s="1063"/>
      <c r="J11457" s="1063"/>
      <c r="K11457" s="1063"/>
      <c r="L11457" s="1063"/>
    </row>
    <row r="11458" spans="5:12" x14ac:dyDescent="0.2">
      <c r="E11458" s="1063"/>
      <c r="H11458" s="1066"/>
      <c r="I11458" s="1063"/>
      <c r="J11458" s="1063"/>
      <c r="K11458" s="1063"/>
      <c r="L11458" s="1063"/>
    </row>
    <row r="11459" spans="5:12" x14ac:dyDescent="0.2">
      <c r="E11459" s="1063"/>
      <c r="H11459" s="1066"/>
      <c r="I11459" s="1063"/>
      <c r="J11459" s="1063"/>
      <c r="K11459" s="1063"/>
      <c r="L11459" s="1063"/>
    </row>
    <row r="11460" spans="5:12" x14ac:dyDescent="0.2">
      <c r="E11460" s="1063"/>
      <c r="H11460" s="1066"/>
      <c r="I11460" s="1063"/>
      <c r="J11460" s="1063"/>
      <c r="K11460" s="1063"/>
      <c r="L11460" s="1063"/>
    </row>
    <row r="11461" spans="5:12" x14ac:dyDescent="0.2">
      <c r="E11461" s="1063"/>
      <c r="H11461" s="1066"/>
      <c r="I11461" s="1063"/>
      <c r="J11461" s="1063"/>
      <c r="K11461" s="1063"/>
      <c r="L11461" s="1063"/>
    </row>
    <row r="11462" spans="5:12" x14ac:dyDescent="0.2">
      <c r="E11462" s="1063"/>
      <c r="H11462" s="1066"/>
      <c r="I11462" s="1063"/>
      <c r="J11462" s="1063"/>
      <c r="K11462" s="1063"/>
      <c r="L11462" s="1063"/>
    </row>
    <row r="11463" spans="5:12" x14ac:dyDescent="0.2">
      <c r="E11463" s="1063"/>
      <c r="H11463" s="1066"/>
      <c r="I11463" s="1063"/>
      <c r="J11463" s="1063"/>
      <c r="K11463" s="1063"/>
      <c r="L11463" s="1063"/>
    </row>
    <row r="11464" spans="5:12" x14ac:dyDescent="0.2">
      <c r="E11464" s="1063"/>
      <c r="H11464" s="1066"/>
      <c r="I11464" s="1063"/>
      <c r="J11464" s="1063"/>
      <c r="K11464" s="1063"/>
      <c r="L11464" s="1063"/>
    </row>
    <row r="11465" spans="5:12" x14ac:dyDescent="0.2">
      <c r="E11465" s="1063"/>
      <c r="H11465" s="1066"/>
      <c r="I11465" s="1063"/>
      <c r="J11465" s="1063"/>
      <c r="K11465" s="1063"/>
      <c r="L11465" s="1063"/>
    </row>
    <row r="11466" spans="5:12" x14ac:dyDescent="0.2">
      <c r="E11466" s="1063"/>
      <c r="H11466" s="1066"/>
      <c r="I11466" s="1063"/>
      <c r="J11466" s="1063"/>
      <c r="K11466" s="1063"/>
      <c r="L11466" s="1063"/>
    </row>
    <row r="11467" spans="5:12" x14ac:dyDescent="0.2">
      <c r="E11467" s="1063"/>
      <c r="H11467" s="1066"/>
      <c r="I11467" s="1063"/>
      <c r="J11467" s="1063"/>
      <c r="K11467" s="1063"/>
      <c r="L11467" s="1063"/>
    </row>
    <row r="11468" spans="5:12" x14ac:dyDescent="0.2">
      <c r="E11468" s="1063"/>
      <c r="H11468" s="1066"/>
      <c r="I11468" s="1063"/>
      <c r="J11468" s="1063"/>
      <c r="K11468" s="1063"/>
      <c r="L11468" s="1063"/>
    </row>
    <row r="11469" spans="5:12" x14ac:dyDescent="0.2">
      <c r="E11469" s="1063"/>
      <c r="H11469" s="1066"/>
      <c r="I11469" s="1063"/>
      <c r="J11469" s="1063"/>
      <c r="K11469" s="1063"/>
      <c r="L11469" s="1063"/>
    </row>
    <row r="11470" spans="5:12" x14ac:dyDescent="0.2">
      <c r="E11470" s="1063"/>
      <c r="H11470" s="1066"/>
      <c r="I11470" s="1063"/>
      <c r="J11470" s="1063"/>
      <c r="K11470" s="1063"/>
      <c r="L11470" s="1063"/>
    </row>
    <row r="11471" spans="5:12" x14ac:dyDescent="0.2">
      <c r="E11471" s="1063"/>
      <c r="H11471" s="1066"/>
      <c r="I11471" s="1063"/>
      <c r="J11471" s="1063"/>
      <c r="K11471" s="1063"/>
      <c r="L11471" s="1063"/>
    </row>
    <row r="11472" spans="5:12" x14ac:dyDescent="0.2">
      <c r="E11472" s="1063"/>
      <c r="H11472" s="1066"/>
      <c r="I11472" s="1063"/>
      <c r="J11472" s="1063"/>
      <c r="K11472" s="1063"/>
      <c r="L11472" s="1063"/>
    </row>
    <row r="11473" spans="5:12" x14ac:dyDescent="0.2">
      <c r="E11473" s="1063"/>
      <c r="H11473" s="1066"/>
      <c r="I11473" s="1063"/>
      <c r="J11473" s="1063"/>
      <c r="K11473" s="1063"/>
      <c r="L11473" s="1063"/>
    </row>
    <row r="11474" spans="5:12" x14ac:dyDescent="0.2">
      <c r="E11474" s="1063"/>
      <c r="H11474" s="1066"/>
      <c r="I11474" s="1063"/>
      <c r="J11474" s="1063"/>
      <c r="K11474" s="1063"/>
      <c r="L11474" s="1063"/>
    </row>
    <row r="11475" spans="5:12" x14ac:dyDescent="0.2">
      <c r="E11475" s="1063"/>
      <c r="H11475" s="1066"/>
      <c r="I11475" s="1063"/>
      <c r="J11475" s="1063"/>
      <c r="K11475" s="1063"/>
      <c r="L11475" s="1063"/>
    </row>
    <row r="11476" spans="5:12" x14ac:dyDescent="0.2">
      <c r="E11476" s="1063"/>
      <c r="H11476" s="1066"/>
      <c r="I11476" s="1063"/>
      <c r="J11476" s="1063"/>
      <c r="K11476" s="1063"/>
      <c r="L11476" s="1063"/>
    </row>
    <row r="11477" spans="5:12" x14ac:dyDescent="0.2">
      <c r="E11477" s="1063"/>
      <c r="H11477" s="1066"/>
      <c r="I11477" s="1063"/>
      <c r="J11477" s="1063"/>
      <c r="K11477" s="1063"/>
      <c r="L11477" s="1063"/>
    </row>
    <row r="11478" spans="5:12" x14ac:dyDescent="0.2">
      <c r="E11478" s="1063"/>
      <c r="H11478" s="1066"/>
      <c r="I11478" s="1063"/>
      <c r="J11478" s="1063"/>
      <c r="K11478" s="1063"/>
      <c r="L11478" s="1063"/>
    </row>
    <row r="11479" spans="5:12" x14ac:dyDescent="0.2">
      <c r="E11479" s="1063"/>
      <c r="H11479" s="1066"/>
      <c r="I11479" s="1063"/>
      <c r="J11479" s="1063"/>
      <c r="K11479" s="1063"/>
      <c r="L11479" s="1063"/>
    </row>
    <row r="11480" spans="5:12" x14ac:dyDescent="0.2">
      <c r="E11480" s="1063"/>
      <c r="H11480" s="1066"/>
      <c r="I11480" s="1063"/>
      <c r="J11480" s="1063"/>
      <c r="K11480" s="1063"/>
      <c r="L11480" s="1063"/>
    </row>
    <row r="11481" spans="5:12" x14ac:dyDescent="0.2">
      <c r="E11481" s="1063"/>
      <c r="H11481" s="1066"/>
      <c r="I11481" s="1063"/>
      <c r="J11481" s="1063"/>
      <c r="K11481" s="1063"/>
      <c r="L11481" s="1063"/>
    </row>
    <row r="11482" spans="5:12" x14ac:dyDescent="0.2">
      <c r="E11482" s="1063"/>
      <c r="H11482" s="1066"/>
      <c r="I11482" s="1063"/>
      <c r="J11482" s="1063"/>
      <c r="K11482" s="1063"/>
      <c r="L11482" s="1063"/>
    </row>
    <row r="11483" spans="5:12" x14ac:dyDescent="0.2">
      <c r="E11483" s="1063"/>
      <c r="H11483" s="1066"/>
      <c r="I11483" s="1063"/>
      <c r="J11483" s="1063"/>
      <c r="K11483" s="1063"/>
      <c r="L11483" s="1063"/>
    </row>
    <row r="11484" spans="5:12" x14ac:dyDescent="0.2">
      <c r="E11484" s="1063"/>
      <c r="H11484" s="1066"/>
      <c r="I11484" s="1063"/>
      <c r="J11484" s="1063"/>
      <c r="K11484" s="1063"/>
      <c r="L11484" s="1063"/>
    </row>
    <row r="11485" spans="5:12" x14ac:dyDescent="0.2">
      <c r="E11485" s="1063"/>
      <c r="H11485" s="1066"/>
      <c r="I11485" s="1063"/>
      <c r="J11485" s="1063"/>
      <c r="K11485" s="1063"/>
      <c r="L11485" s="1063"/>
    </row>
    <row r="11486" spans="5:12" x14ac:dyDescent="0.2">
      <c r="E11486" s="1063"/>
      <c r="H11486" s="1066"/>
      <c r="I11486" s="1063"/>
      <c r="J11486" s="1063"/>
      <c r="K11486" s="1063"/>
      <c r="L11486" s="1063"/>
    </row>
    <row r="11487" spans="5:12" x14ac:dyDescent="0.2">
      <c r="E11487" s="1063"/>
      <c r="H11487" s="1066"/>
      <c r="I11487" s="1063"/>
      <c r="J11487" s="1063"/>
      <c r="K11487" s="1063"/>
      <c r="L11487" s="1063"/>
    </row>
    <row r="11488" spans="5:12" x14ac:dyDescent="0.2">
      <c r="E11488" s="1063"/>
      <c r="H11488" s="1066"/>
      <c r="I11488" s="1063"/>
      <c r="J11488" s="1063"/>
      <c r="K11488" s="1063"/>
      <c r="L11488" s="1063"/>
    </row>
    <row r="11489" spans="5:12" x14ac:dyDescent="0.2">
      <c r="E11489" s="1063"/>
      <c r="H11489" s="1066"/>
      <c r="I11489" s="1063"/>
      <c r="J11489" s="1063"/>
      <c r="K11489" s="1063"/>
      <c r="L11489" s="1063"/>
    </row>
    <row r="11490" spans="5:12" x14ac:dyDescent="0.2">
      <c r="E11490" s="1063"/>
      <c r="H11490" s="1066"/>
      <c r="I11490" s="1063"/>
      <c r="J11490" s="1063"/>
      <c r="K11490" s="1063"/>
      <c r="L11490" s="1063"/>
    </row>
    <row r="11491" spans="5:12" x14ac:dyDescent="0.2">
      <c r="E11491" s="1063"/>
      <c r="H11491" s="1066"/>
      <c r="I11491" s="1063"/>
      <c r="J11491" s="1063"/>
      <c r="K11491" s="1063"/>
      <c r="L11491" s="1063"/>
    </row>
    <row r="11492" spans="5:12" x14ac:dyDescent="0.2">
      <c r="E11492" s="1063"/>
      <c r="H11492" s="1066"/>
      <c r="I11492" s="1063"/>
      <c r="J11492" s="1063"/>
      <c r="K11492" s="1063"/>
      <c r="L11492" s="1063"/>
    </row>
    <row r="11493" spans="5:12" x14ac:dyDescent="0.2">
      <c r="E11493" s="1063"/>
      <c r="H11493" s="1066"/>
      <c r="I11493" s="1063"/>
      <c r="J11493" s="1063"/>
      <c r="K11493" s="1063"/>
      <c r="L11493" s="1063"/>
    </row>
    <row r="11494" spans="5:12" x14ac:dyDescent="0.2">
      <c r="E11494" s="1063"/>
      <c r="H11494" s="1066"/>
      <c r="I11494" s="1063"/>
      <c r="J11494" s="1063"/>
      <c r="K11494" s="1063"/>
      <c r="L11494" s="1063"/>
    </row>
    <row r="11495" spans="5:12" x14ac:dyDescent="0.2">
      <c r="E11495" s="1063"/>
      <c r="H11495" s="1066"/>
      <c r="I11495" s="1063"/>
      <c r="J11495" s="1063"/>
      <c r="K11495" s="1063"/>
      <c r="L11495" s="1063"/>
    </row>
    <row r="11496" spans="5:12" x14ac:dyDescent="0.2">
      <c r="E11496" s="1063"/>
      <c r="H11496" s="1066"/>
      <c r="I11496" s="1063"/>
      <c r="J11496" s="1063"/>
      <c r="K11496" s="1063"/>
      <c r="L11496" s="1063"/>
    </row>
    <row r="11497" spans="5:12" x14ac:dyDescent="0.2">
      <c r="E11497" s="1063"/>
      <c r="H11497" s="1066"/>
      <c r="I11497" s="1063"/>
      <c r="J11497" s="1063"/>
      <c r="K11497" s="1063"/>
      <c r="L11497" s="1063"/>
    </row>
    <row r="11498" spans="5:12" x14ac:dyDescent="0.2">
      <c r="E11498" s="1063"/>
      <c r="H11498" s="1066"/>
      <c r="I11498" s="1063"/>
      <c r="J11498" s="1063"/>
      <c r="K11498" s="1063"/>
      <c r="L11498" s="1063"/>
    </row>
    <row r="11499" spans="5:12" x14ac:dyDescent="0.2">
      <c r="E11499" s="1063"/>
      <c r="H11499" s="1066"/>
      <c r="I11499" s="1063"/>
      <c r="J11499" s="1063"/>
      <c r="K11499" s="1063"/>
      <c r="L11499" s="1063"/>
    </row>
    <row r="11500" spans="5:12" x14ac:dyDescent="0.2">
      <c r="E11500" s="1063"/>
      <c r="H11500" s="1066"/>
      <c r="I11500" s="1063"/>
      <c r="J11500" s="1063"/>
      <c r="K11500" s="1063"/>
      <c r="L11500" s="1063"/>
    </row>
    <row r="11501" spans="5:12" x14ac:dyDescent="0.2">
      <c r="E11501" s="1063"/>
      <c r="H11501" s="1066"/>
      <c r="I11501" s="1063"/>
      <c r="J11501" s="1063"/>
      <c r="K11501" s="1063"/>
      <c r="L11501" s="1063"/>
    </row>
    <row r="11502" spans="5:12" x14ac:dyDescent="0.2">
      <c r="E11502" s="1063"/>
      <c r="H11502" s="1066"/>
      <c r="I11502" s="1063"/>
      <c r="J11502" s="1063"/>
      <c r="K11502" s="1063"/>
      <c r="L11502" s="1063"/>
    </row>
    <row r="11503" spans="5:12" x14ac:dyDescent="0.2">
      <c r="E11503" s="1063"/>
      <c r="H11503" s="1066"/>
      <c r="I11503" s="1063"/>
      <c r="J11503" s="1063"/>
      <c r="K11503" s="1063"/>
      <c r="L11503" s="1063"/>
    </row>
    <row r="11504" spans="5:12" x14ac:dyDescent="0.2">
      <c r="E11504" s="1063"/>
      <c r="H11504" s="1066"/>
      <c r="I11504" s="1063"/>
      <c r="J11504" s="1063"/>
      <c r="K11504" s="1063"/>
      <c r="L11504" s="1063"/>
    </row>
    <row r="11505" spans="5:12" x14ac:dyDescent="0.2">
      <c r="E11505" s="1063"/>
      <c r="H11505" s="1066"/>
      <c r="I11505" s="1063"/>
      <c r="J11505" s="1063"/>
      <c r="K11505" s="1063"/>
      <c r="L11505" s="1063"/>
    </row>
    <row r="11506" spans="5:12" x14ac:dyDescent="0.2">
      <c r="E11506" s="1063"/>
      <c r="H11506" s="1066"/>
      <c r="I11506" s="1063"/>
      <c r="J11506" s="1063"/>
      <c r="K11506" s="1063"/>
      <c r="L11506" s="1063"/>
    </row>
    <row r="11507" spans="5:12" x14ac:dyDescent="0.2">
      <c r="E11507" s="1063"/>
      <c r="H11507" s="1066"/>
      <c r="I11507" s="1063"/>
      <c r="J11507" s="1063"/>
      <c r="K11507" s="1063"/>
      <c r="L11507" s="1063"/>
    </row>
    <row r="11508" spans="5:12" x14ac:dyDescent="0.2">
      <c r="E11508" s="1063"/>
      <c r="H11508" s="1066"/>
      <c r="I11508" s="1063"/>
      <c r="J11508" s="1063"/>
      <c r="K11508" s="1063"/>
      <c r="L11508" s="1063"/>
    </row>
    <row r="11509" spans="5:12" x14ac:dyDescent="0.2">
      <c r="E11509" s="1063"/>
      <c r="H11509" s="1066"/>
      <c r="I11509" s="1063"/>
      <c r="J11509" s="1063"/>
      <c r="K11509" s="1063"/>
      <c r="L11509" s="1063"/>
    </row>
    <row r="11510" spans="5:12" x14ac:dyDescent="0.2">
      <c r="E11510" s="1063"/>
      <c r="H11510" s="1066"/>
      <c r="I11510" s="1063"/>
      <c r="J11510" s="1063"/>
      <c r="K11510" s="1063"/>
      <c r="L11510" s="1063"/>
    </row>
    <row r="11511" spans="5:12" x14ac:dyDescent="0.2">
      <c r="E11511" s="1063"/>
      <c r="H11511" s="1066"/>
      <c r="I11511" s="1063"/>
      <c r="J11511" s="1063"/>
      <c r="K11511" s="1063"/>
      <c r="L11511" s="1063"/>
    </row>
    <row r="11512" spans="5:12" x14ac:dyDescent="0.2">
      <c r="E11512" s="1063"/>
      <c r="H11512" s="1066"/>
      <c r="I11512" s="1063"/>
      <c r="J11512" s="1063"/>
      <c r="K11512" s="1063"/>
      <c r="L11512" s="1063"/>
    </row>
    <row r="11513" spans="5:12" x14ac:dyDescent="0.2">
      <c r="E11513" s="1063"/>
      <c r="H11513" s="1066"/>
      <c r="I11513" s="1063"/>
      <c r="J11513" s="1063"/>
      <c r="K11513" s="1063"/>
      <c r="L11513" s="1063"/>
    </row>
    <row r="11514" spans="5:12" x14ac:dyDescent="0.2">
      <c r="E11514" s="1063"/>
      <c r="H11514" s="1066"/>
      <c r="I11514" s="1063"/>
      <c r="J11514" s="1063"/>
      <c r="K11514" s="1063"/>
      <c r="L11514" s="1063"/>
    </row>
    <row r="11515" spans="5:12" x14ac:dyDescent="0.2">
      <c r="E11515" s="1063"/>
      <c r="H11515" s="1066"/>
      <c r="I11515" s="1063"/>
      <c r="J11515" s="1063"/>
      <c r="K11515" s="1063"/>
      <c r="L11515" s="1063"/>
    </row>
    <row r="11516" spans="5:12" x14ac:dyDescent="0.2">
      <c r="E11516" s="1063"/>
      <c r="H11516" s="1066"/>
      <c r="I11516" s="1063"/>
      <c r="J11516" s="1063"/>
      <c r="K11516" s="1063"/>
      <c r="L11516" s="1063"/>
    </row>
    <row r="11517" spans="5:12" x14ac:dyDescent="0.2">
      <c r="E11517" s="1063"/>
      <c r="H11517" s="1066"/>
      <c r="I11517" s="1063"/>
      <c r="J11517" s="1063"/>
      <c r="K11517" s="1063"/>
      <c r="L11517" s="1063"/>
    </row>
    <row r="11518" spans="5:12" x14ac:dyDescent="0.2">
      <c r="E11518" s="1063"/>
      <c r="H11518" s="1066"/>
      <c r="I11518" s="1063"/>
      <c r="J11518" s="1063"/>
      <c r="K11518" s="1063"/>
      <c r="L11518" s="1063"/>
    </row>
    <row r="11519" spans="5:12" x14ac:dyDescent="0.2">
      <c r="E11519" s="1063"/>
      <c r="H11519" s="1066"/>
      <c r="I11519" s="1063"/>
      <c r="J11519" s="1063"/>
      <c r="K11519" s="1063"/>
      <c r="L11519" s="1063"/>
    </row>
    <row r="11520" spans="5:12" x14ac:dyDescent="0.2">
      <c r="E11520" s="1063"/>
      <c r="H11520" s="1066"/>
      <c r="I11520" s="1063"/>
      <c r="J11520" s="1063"/>
      <c r="K11520" s="1063"/>
      <c r="L11520" s="1063"/>
    </row>
    <row r="11521" spans="5:12" x14ac:dyDescent="0.2">
      <c r="E11521" s="1063"/>
      <c r="H11521" s="1066"/>
      <c r="I11521" s="1063"/>
      <c r="J11521" s="1063"/>
      <c r="K11521" s="1063"/>
      <c r="L11521" s="1063"/>
    </row>
    <row r="11522" spans="5:12" x14ac:dyDescent="0.2">
      <c r="E11522" s="1063"/>
      <c r="H11522" s="1066"/>
      <c r="I11522" s="1063"/>
      <c r="J11522" s="1063"/>
      <c r="K11522" s="1063"/>
      <c r="L11522" s="1063"/>
    </row>
    <row r="11523" spans="5:12" x14ac:dyDescent="0.2">
      <c r="E11523" s="1063"/>
      <c r="H11523" s="1066"/>
      <c r="I11523" s="1063"/>
      <c r="J11523" s="1063"/>
      <c r="K11523" s="1063"/>
      <c r="L11523" s="1063"/>
    </row>
    <row r="11524" spans="5:12" x14ac:dyDescent="0.2">
      <c r="E11524" s="1063"/>
      <c r="H11524" s="1066"/>
      <c r="I11524" s="1063"/>
      <c r="J11524" s="1063"/>
      <c r="K11524" s="1063"/>
      <c r="L11524" s="1063"/>
    </row>
    <row r="11525" spans="5:12" x14ac:dyDescent="0.2">
      <c r="E11525" s="1063"/>
      <c r="H11525" s="1066"/>
      <c r="I11525" s="1063"/>
      <c r="J11525" s="1063"/>
      <c r="K11525" s="1063"/>
      <c r="L11525" s="1063"/>
    </row>
    <row r="11526" spans="5:12" x14ac:dyDescent="0.2">
      <c r="E11526" s="1063"/>
      <c r="H11526" s="1066"/>
      <c r="I11526" s="1063"/>
      <c r="J11526" s="1063"/>
      <c r="K11526" s="1063"/>
      <c r="L11526" s="1063"/>
    </row>
    <row r="11527" spans="5:12" x14ac:dyDescent="0.2">
      <c r="E11527" s="1063"/>
      <c r="H11527" s="1066"/>
      <c r="I11527" s="1063"/>
      <c r="J11527" s="1063"/>
      <c r="K11527" s="1063"/>
      <c r="L11527" s="1063"/>
    </row>
    <row r="11528" spans="5:12" x14ac:dyDescent="0.2">
      <c r="E11528" s="1063"/>
      <c r="H11528" s="1066"/>
      <c r="I11528" s="1063"/>
      <c r="J11528" s="1063"/>
      <c r="K11528" s="1063"/>
      <c r="L11528" s="1063"/>
    </row>
    <row r="11529" spans="5:12" x14ac:dyDescent="0.2">
      <c r="E11529" s="1063"/>
      <c r="H11529" s="1066"/>
      <c r="I11529" s="1063"/>
      <c r="J11529" s="1063"/>
      <c r="K11529" s="1063"/>
      <c r="L11529" s="1063"/>
    </row>
    <row r="11530" spans="5:12" x14ac:dyDescent="0.2">
      <c r="E11530" s="1063"/>
      <c r="H11530" s="1066"/>
      <c r="I11530" s="1063"/>
      <c r="J11530" s="1063"/>
      <c r="K11530" s="1063"/>
      <c r="L11530" s="1063"/>
    </row>
    <row r="11531" spans="5:12" x14ac:dyDescent="0.2">
      <c r="E11531" s="1063"/>
      <c r="H11531" s="1066"/>
      <c r="I11531" s="1063"/>
      <c r="J11531" s="1063"/>
      <c r="K11531" s="1063"/>
      <c r="L11531" s="1063"/>
    </row>
    <row r="11532" spans="5:12" x14ac:dyDescent="0.2">
      <c r="E11532" s="1063"/>
      <c r="H11532" s="1066"/>
      <c r="I11532" s="1063"/>
      <c r="J11532" s="1063"/>
      <c r="K11532" s="1063"/>
      <c r="L11532" s="1063"/>
    </row>
    <row r="11533" spans="5:12" x14ac:dyDescent="0.2">
      <c r="E11533" s="1063"/>
      <c r="H11533" s="1066"/>
      <c r="I11533" s="1063"/>
      <c r="J11533" s="1063"/>
      <c r="K11533" s="1063"/>
      <c r="L11533" s="1063"/>
    </row>
    <row r="11534" spans="5:12" x14ac:dyDescent="0.2">
      <c r="E11534" s="1063"/>
      <c r="H11534" s="1066"/>
      <c r="I11534" s="1063"/>
      <c r="J11534" s="1063"/>
      <c r="K11534" s="1063"/>
      <c r="L11534" s="1063"/>
    </row>
    <row r="11535" spans="5:12" x14ac:dyDescent="0.2">
      <c r="E11535" s="1063"/>
      <c r="H11535" s="1066"/>
      <c r="I11535" s="1063"/>
      <c r="J11535" s="1063"/>
      <c r="K11535" s="1063"/>
      <c r="L11535" s="1063"/>
    </row>
    <row r="11536" spans="5:12" x14ac:dyDescent="0.2">
      <c r="E11536" s="1063"/>
      <c r="H11536" s="1066"/>
      <c r="I11536" s="1063"/>
      <c r="J11536" s="1063"/>
      <c r="K11536" s="1063"/>
      <c r="L11536" s="1063"/>
    </row>
    <row r="11537" spans="5:12" x14ac:dyDescent="0.2">
      <c r="E11537" s="1063"/>
      <c r="H11537" s="1066"/>
      <c r="I11537" s="1063"/>
      <c r="J11537" s="1063"/>
      <c r="K11537" s="1063"/>
      <c r="L11537" s="1063"/>
    </row>
    <row r="11538" spans="5:12" x14ac:dyDescent="0.2">
      <c r="E11538" s="1063"/>
      <c r="H11538" s="1066"/>
      <c r="I11538" s="1063"/>
      <c r="J11538" s="1063"/>
      <c r="K11538" s="1063"/>
      <c r="L11538" s="1063"/>
    </row>
    <row r="11539" spans="5:12" x14ac:dyDescent="0.2">
      <c r="E11539" s="1063"/>
      <c r="H11539" s="1066"/>
      <c r="I11539" s="1063"/>
      <c r="J11539" s="1063"/>
      <c r="K11539" s="1063"/>
      <c r="L11539" s="1063"/>
    </row>
    <row r="11540" spans="5:12" x14ac:dyDescent="0.2">
      <c r="E11540" s="1063"/>
      <c r="H11540" s="1066"/>
      <c r="I11540" s="1063"/>
      <c r="J11540" s="1063"/>
      <c r="K11540" s="1063"/>
      <c r="L11540" s="1063"/>
    </row>
    <row r="11541" spans="5:12" x14ac:dyDescent="0.2">
      <c r="E11541" s="1063"/>
      <c r="H11541" s="1066"/>
      <c r="I11541" s="1063"/>
      <c r="J11541" s="1063"/>
      <c r="K11541" s="1063"/>
      <c r="L11541" s="1063"/>
    </row>
    <row r="11542" spans="5:12" x14ac:dyDescent="0.2">
      <c r="E11542" s="1063"/>
      <c r="H11542" s="1066"/>
      <c r="I11542" s="1063"/>
      <c r="J11542" s="1063"/>
      <c r="K11542" s="1063"/>
      <c r="L11542" s="1063"/>
    </row>
    <row r="11543" spans="5:12" x14ac:dyDescent="0.2">
      <c r="E11543" s="1063"/>
      <c r="H11543" s="1066"/>
      <c r="I11543" s="1063"/>
      <c r="J11543" s="1063"/>
      <c r="K11543" s="1063"/>
      <c r="L11543" s="1063"/>
    </row>
    <row r="11544" spans="5:12" x14ac:dyDescent="0.2">
      <c r="E11544" s="1063"/>
      <c r="H11544" s="1066"/>
      <c r="I11544" s="1063"/>
      <c r="J11544" s="1063"/>
      <c r="K11544" s="1063"/>
      <c r="L11544" s="1063"/>
    </row>
    <row r="11545" spans="5:12" x14ac:dyDescent="0.2">
      <c r="E11545" s="1063"/>
      <c r="H11545" s="1066"/>
      <c r="I11545" s="1063"/>
      <c r="J11545" s="1063"/>
      <c r="K11545" s="1063"/>
      <c r="L11545" s="1063"/>
    </row>
    <row r="11546" spans="5:12" x14ac:dyDescent="0.2">
      <c r="E11546" s="1063"/>
      <c r="H11546" s="1066"/>
      <c r="I11546" s="1063"/>
      <c r="J11546" s="1063"/>
      <c r="K11546" s="1063"/>
      <c r="L11546" s="1063"/>
    </row>
    <row r="11547" spans="5:12" x14ac:dyDescent="0.2">
      <c r="E11547" s="1063"/>
      <c r="H11547" s="1066"/>
      <c r="I11547" s="1063"/>
      <c r="J11547" s="1063"/>
      <c r="K11547" s="1063"/>
      <c r="L11547" s="1063"/>
    </row>
    <row r="11548" spans="5:12" x14ac:dyDescent="0.2">
      <c r="E11548" s="1063"/>
      <c r="H11548" s="1066"/>
      <c r="I11548" s="1063"/>
      <c r="J11548" s="1063"/>
      <c r="K11548" s="1063"/>
      <c r="L11548" s="1063"/>
    </row>
    <row r="11549" spans="5:12" x14ac:dyDescent="0.2">
      <c r="E11549" s="1063"/>
      <c r="H11549" s="1066"/>
      <c r="I11549" s="1063"/>
      <c r="J11549" s="1063"/>
      <c r="K11549" s="1063"/>
      <c r="L11549" s="1063"/>
    </row>
    <row r="11550" spans="5:12" x14ac:dyDescent="0.2">
      <c r="E11550" s="1063"/>
      <c r="H11550" s="1066"/>
      <c r="I11550" s="1063"/>
      <c r="J11550" s="1063"/>
      <c r="K11550" s="1063"/>
      <c r="L11550" s="1063"/>
    </row>
    <row r="11551" spans="5:12" x14ac:dyDescent="0.2">
      <c r="E11551" s="1063"/>
      <c r="H11551" s="1066"/>
      <c r="I11551" s="1063"/>
      <c r="J11551" s="1063"/>
      <c r="K11551" s="1063"/>
      <c r="L11551" s="1063"/>
    </row>
    <row r="11552" spans="5:12" x14ac:dyDescent="0.2">
      <c r="E11552" s="1063"/>
      <c r="H11552" s="1066"/>
      <c r="I11552" s="1063"/>
      <c r="J11552" s="1063"/>
      <c r="K11552" s="1063"/>
      <c r="L11552" s="1063"/>
    </row>
    <row r="11553" spans="5:12" x14ac:dyDescent="0.2">
      <c r="E11553" s="1063"/>
      <c r="H11553" s="1066"/>
      <c r="I11553" s="1063"/>
      <c r="J11553" s="1063"/>
      <c r="K11553" s="1063"/>
      <c r="L11553" s="1063"/>
    </row>
    <row r="11554" spans="5:12" x14ac:dyDescent="0.2">
      <c r="E11554" s="1063"/>
      <c r="H11554" s="1066"/>
      <c r="I11554" s="1063"/>
      <c r="J11554" s="1063"/>
      <c r="K11554" s="1063"/>
      <c r="L11554" s="1063"/>
    </row>
    <row r="11555" spans="5:12" x14ac:dyDescent="0.2">
      <c r="E11555" s="1063"/>
      <c r="H11555" s="1066"/>
      <c r="I11555" s="1063"/>
      <c r="J11555" s="1063"/>
      <c r="K11555" s="1063"/>
      <c r="L11555" s="1063"/>
    </row>
    <row r="11556" spans="5:12" x14ac:dyDescent="0.2">
      <c r="E11556" s="1063"/>
      <c r="H11556" s="1066"/>
      <c r="I11556" s="1063"/>
      <c r="J11556" s="1063"/>
      <c r="K11556" s="1063"/>
      <c r="L11556" s="1063"/>
    </row>
    <row r="11557" spans="5:12" x14ac:dyDescent="0.2">
      <c r="E11557" s="1063"/>
      <c r="H11557" s="1066"/>
      <c r="I11557" s="1063"/>
      <c r="J11557" s="1063"/>
      <c r="K11557" s="1063"/>
      <c r="L11557" s="1063"/>
    </row>
    <row r="11558" spans="5:12" x14ac:dyDescent="0.2">
      <c r="E11558" s="1063"/>
      <c r="H11558" s="1066"/>
      <c r="I11558" s="1063"/>
      <c r="J11558" s="1063"/>
      <c r="K11558" s="1063"/>
      <c r="L11558" s="1063"/>
    </row>
    <row r="11559" spans="5:12" x14ac:dyDescent="0.2">
      <c r="E11559" s="1063"/>
      <c r="H11559" s="1066"/>
      <c r="I11559" s="1063"/>
      <c r="J11559" s="1063"/>
      <c r="K11559" s="1063"/>
      <c r="L11559" s="1063"/>
    </row>
    <row r="11560" spans="5:12" x14ac:dyDescent="0.2">
      <c r="E11560" s="1063"/>
      <c r="H11560" s="1066"/>
      <c r="I11560" s="1063"/>
      <c r="J11560" s="1063"/>
      <c r="K11560" s="1063"/>
      <c r="L11560" s="1063"/>
    </row>
    <row r="11561" spans="5:12" x14ac:dyDescent="0.2">
      <c r="E11561" s="1063"/>
      <c r="H11561" s="1066"/>
      <c r="I11561" s="1063"/>
      <c r="J11561" s="1063"/>
      <c r="K11561" s="1063"/>
      <c r="L11561" s="1063"/>
    </row>
    <row r="11562" spans="5:12" x14ac:dyDescent="0.2">
      <c r="E11562" s="1063"/>
      <c r="H11562" s="1066"/>
      <c r="I11562" s="1063"/>
      <c r="J11562" s="1063"/>
      <c r="K11562" s="1063"/>
      <c r="L11562" s="1063"/>
    </row>
    <row r="11563" spans="5:12" x14ac:dyDescent="0.2">
      <c r="E11563" s="1063"/>
      <c r="H11563" s="1066"/>
      <c r="I11563" s="1063"/>
      <c r="J11563" s="1063"/>
      <c r="K11563" s="1063"/>
      <c r="L11563" s="1063"/>
    </row>
    <row r="11564" spans="5:12" x14ac:dyDescent="0.2">
      <c r="E11564" s="1063"/>
      <c r="H11564" s="1066"/>
      <c r="I11564" s="1063"/>
      <c r="J11564" s="1063"/>
      <c r="K11564" s="1063"/>
      <c r="L11564" s="1063"/>
    </row>
    <row r="11565" spans="5:12" x14ac:dyDescent="0.2">
      <c r="E11565" s="1063"/>
      <c r="H11565" s="1066"/>
      <c r="I11565" s="1063"/>
      <c r="J11565" s="1063"/>
      <c r="K11565" s="1063"/>
      <c r="L11565" s="1063"/>
    </row>
    <row r="11566" spans="5:12" x14ac:dyDescent="0.2">
      <c r="E11566" s="1063"/>
      <c r="H11566" s="1066"/>
      <c r="I11566" s="1063"/>
      <c r="J11566" s="1063"/>
      <c r="K11566" s="1063"/>
      <c r="L11566" s="1063"/>
    </row>
    <row r="11567" spans="5:12" x14ac:dyDescent="0.2">
      <c r="E11567" s="1063"/>
      <c r="H11567" s="1066"/>
      <c r="I11567" s="1063"/>
      <c r="J11567" s="1063"/>
      <c r="K11567" s="1063"/>
      <c r="L11567" s="1063"/>
    </row>
    <row r="11568" spans="5:12" x14ac:dyDescent="0.2">
      <c r="E11568" s="1063"/>
      <c r="H11568" s="1066"/>
      <c r="I11568" s="1063"/>
      <c r="J11568" s="1063"/>
      <c r="K11568" s="1063"/>
      <c r="L11568" s="1063"/>
    </row>
    <row r="11569" spans="5:12" x14ac:dyDescent="0.2">
      <c r="E11569" s="1063"/>
      <c r="H11569" s="1066"/>
      <c r="I11569" s="1063"/>
      <c r="J11569" s="1063"/>
      <c r="K11569" s="1063"/>
      <c r="L11569" s="1063"/>
    </row>
    <row r="11570" spans="5:12" x14ac:dyDescent="0.2">
      <c r="E11570" s="1063"/>
      <c r="H11570" s="1066"/>
      <c r="I11570" s="1063"/>
      <c r="J11570" s="1063"/>
      <c r="K11570" s="1063"/>
      <c r="L11570" s="1063"/>
    </row>
    <row r="11571" spans="5:12" x14ac:dyDescent="0.2">
      <c r="E11571" s="1063"/>
      <c r="H11571" s="1066"/>
      <c r="I11571" s="1063"/>
      <c r="J11571" s="1063"/>
      <c r="K11571" s="1063"/>
      <c r="L11571" s="1063"/>
    </row>
    <row r="11572" spans="5:12" x14ac:dyDescent="0.2">
      <c r="E11572" s="1063"/>
      <c r="H11572" s="1066"/>
      <c r="I11572" s="1063"/>
      <c r="J11572" s="1063"/>
      <c r="K11572" s="1063"/>
      <c r="L11572" s="1063"/>
    </row>
    <row r="11573" spans="5:12" x14ac:dyDescent="0.2">
      <c r="E11573" s="1063"/>
      <c r="H11573" s="1066"/>
      <c r="I11573" s="1063"/>
      <c r="J11573" s="1063"/>
      <c r="K11573" s="1063"/>
      <c r="L11573" s="1063"/>
    </row>
    <row r="11574" spans="5:12" x14ac:dyDescent="0.2">
      <c r="E11574" s="1063"/>
      <c r="H11574" s="1066"/>
      <c r="I11574" s="1063"/>
      <c r="J11574" s="1063"/>
      <c r="K11574" s="1063"/>
      <c r="L11574" s="1063"/>
    </row>
    <row r="11575" spans="5:12" x14ac:dyDescent="0.2">
      <c r="E11575" s="1063"/>
      <c r="H11575" s="1066"/>
      <c r="I11575" s="1063"/>
      <c r="J11575" s="1063"/>
      <c r="K11575" s="1063"/>
      <c r="L11575" s="1063"/>
    </row>
    <row r="11576" spans="5:12" x14ac:dyDescent="0.2">
      <c r="E11576" s="1063"/>
      <c r="H11576" s="1066"/>
      <c r="I11576" s="1063"/>
      <c r="J11576" s="1063"/>
      <c r="K11576" s="1063"/>
      <c r="L11576" s="1063"/>
    </row>
    <row r="11577" spans="5:12" x14ac:dyDescent="0.2">
      <c r="E11577" s="1063"/>
      <c r="H11577" s="1066"/>
      <c r="I11577" s="1063"/>
      <c r="J11577" s="1063"/>
      <c r="K11577" s="1063"/>
      <c r="L11577" s="1063"/>
    </row>
    <row r="11578" spans="5:12" x14ac:dyDescent="0.2">
      <c r="E11578" s="1063"/>
      <c r="H11578" s="1066"/>
      <c r="I11578" s="1063"/>
      <c r="J11578" s="1063"/>
      <c r="K11578" s="1063"/>
      <c r="L11578" s="1063"/>
    </row>
    <row r="11579" spans="5:12" x14ac:dyDescent="0.2">
      <c r="E11579" s="1063"/>
      <c r="H11579" s="1066"/>
      <c r="I11579" s="1063"/>
      <c r="J11579" s="1063"/>
      <c r="K11579" s="1063"/>
      <c r="L11579" s="1063"/>
    </row>
    <row r="11580" spans="5:12" x14ac:dyDescent="0.2">
      <c r="E11580" s="1063"/>
      <c r="H11580" s="1066"/>
      <c r="I11580" s="1063"/>
      <c r="J11580" s="1063"/>
      <c r="K11580" s="1063"/>
      <c r="L11580" s="1063"/>
    </row>
    <row r="11581" spans="5:12" x14ac:dyDescent="0.2">
      <c r="E11581" s="1063"/>
      <c r="H11581" s="1066"/>
      <c r="I11581" s="1063"/>
      <c r="J11581" s="1063"/>
      <c r="K11581" s="1063"/>
      <c r="L11581" s="1063"/>
    </row>
    <row r="11582" spans="5:12" x14ac:dyDescent="0.2">
      <c r="E11582" s="1063"/>
      <c r="H11582" s="1066"/>
      <c r="I11582" s="1063"/>
      <c r="J11582" s="1063"/>
      <c r="K11582" s="1063"/>
      <c r="L11582" s="1063"/>
    </row>
    <row r="11583" spans="5:12" x14ac:dyDescent="0.2">
      <c r="E11583" s="1063"/>
      <c r="H11583" s="1066"/>
      <c r="I11583" s="1063"/>
      <c r="J11583" s="1063"/>
      <c r="K11583" s="1063"/>
      <c r="L11583" s="1063"/>
    </row>
    <row r="11584" spans="5:12" x14ac:dyDescent="0.2">
      <c r="E11584" s="1063"/>
      <c r="H11584" s="1066"/>
      <c r="I11584" s="1063"/>
      <c r="J11584" s="1063"/>
      <c r="K11584" s="1063"/>
      <c r="L11584" s="1063"/>
    </row>
    <row r="11585" spans="5:12" x14ac:dyDescent="0.2">
      <c r="E11585" s="1063"/>
      <c r="H11585" s="1066"/>
      <c r="I11585" s="1063"/>
      <c r="J11585" s="1063"/>
      <c r="K11585" s="1063"/>
      <c r="L11585" s="1063"/>
    </row>
    <row r="11586" spans="5:12" x14ac:dyDescent="0.2">
      <c r="E11586" s="1063"/>
      <c r="H11586" s="1066"/>
      <c r="I11586" s="1063"/>
      <c r="J11586" s="1063"/>
      <c r="K11586" s="1063"/>
      <c r="L11586" s="1063"/>
    </row>
    <row r="11587" spans="5:12" x14ac:dyDescent="0.2">
      <c r="E11587" s="1063"/>
      <c r="H11587" s="1066"/>
      <c r="I11587" s="1063"/>
      <c r="J11587" s="1063"/>
      <c r="K11587" s="1063"/>
      <c r="L11587" s="1063"/>
    </row>
    <row r="11588" spans="5:12" x14ac:dyDescent="0.2">
      <c r="E11588" s="1063"/>
      <c r="H11588" s="1066"/>
      <c r="I11588" s="1063"/>
      <c r="J11588" s="1063"/>
      <c r="K11588" s="1063"/>
      <c r="L11588" s="1063"/>
    </row>
    <row r="11589" spans="5:12" x14ac:dyDescent="0.2">
      <c r="E11589" s="1063"/>
      <c r="H11589" s="1066"/>
      <c r="I11589" s="1063"/>
      <c r="J11589" s="1063"/>
      <c r="K11589" s="1063"/>
      <c r="L11589" s="1063"/>
    </row>
    <row r="11590" spans="5:12" x14ac:dyDescent="0.2">
      <c r="E11590" s="1063"/>
      <c r="H11590" s="1066"/>
      <c r="I11590" s="1063"/>
      <c r="J11590" s="1063"/>
      <c r="K11590" s="1063"/>
      <c r="L11590" s="1063"/>
    </row>
    <row r="11591" spans="5:12" x14ac:dyDescent="0.2">
      <c r="E11591" s="1063"/>
      <c r="H11591" s="1066"/>
      <c r="I11591" s="1063"/>
      <c r="J11591" s="1063"/>
      <c r="K11591" s="1063"/>
      <c r="L11591" s="1063"/>
    </row>
    <row r="11592" spans="5:12" x14ac:dyDescent="0.2">
      <c r="E11592" s="1063"/>
      <c r="H11592" s="1066"/>
      <c r="I11592" s="1063"/>
      <c r="J11592" s="1063"/>
      <c r="K11592" s="1063"/>
      <c r="L11592" s="1063"/>
    </row>
    <row r="11593" spans="5:12" x14ac:dyDescent="0.2">
      <c r="E11593" s="1063"/>
      <c r="H11593" s="1066"/>
      <c r="I11593" s="1063"/>
      <c r="J11593" s="1063"/>
      <c r="K11593" s="1063"/>
      <c r="L11593" s="1063"/>
    </row>
    <row r="11594" spans="5:12" x14ac:dyDescent="0.2">
      <c r="E11594" s="1063"/>
      <c r="H11594" s="1066"/>
      <c r="I11594" s="1063"/>
      <c r="J11594" s="1063"/>
      <c r="K11594" s="1063"/>
      <c r="L11594" s="1063"/>
    </row>
    <row r="11595" spans="5:12" x14ac:dyDescent="0.2">
      <c r="E11595" s="1063"/>
      <c r="H11595" s="1066"/>
      <c r="I11595" s="1063"/>
      <c r="J11595" s="1063"/>
      <c r="K11595" s="1063"/>
      <c r="L11595" s="1063"/>
    </row>
    <row r="11596" spans="5:12" x14ac:dyDescent="0.2">
      <c r="E11596" s="1063"/>
      <c r="H11596" s="1066"/>
      <c r="I11596" s="1063"/>
      <c r="J11596" s="1063"/>
      <c r="K11596" s="1063"/>
      <c r="L11596" s="1063"/>
    </row>
    <row r="11597" spans="5:12" x14ac:dyDescent="0.2">
      <c r="E11597" s="1063"/>
      <c r="H11597" s="1066"/>
      <c r="I11597" s="1063"/>
      <c r="J11597" s="1063"/>
      <c r="K11597" s="1063"/>
      <c r="L11597" s="1063"/>
    </row>
    <row r="11598" spans="5:12" x14ac:dyDescent="0.2">
      <c r="E11598" s="1063"/>
      <c r="H11598" s="1066"/>
      <c r="I11598" s="1063"/>
      <c r="J11598" s="1063"/>
      <c r="K11598" s="1063"/>
      <c r="L11598" s="1063"/>
    </row>
    <row r="11599" spans="5:12" x14ac:dyDescent="0.2">
      <c r="E11599" s="1063"/>
      <c r="H11599" s="1066"/>
      <c r="I11599" s="1063"/>
      <c r="J11599" s="1063"/>
      <c r="K11599" s="1063"/>
      <c r="L11599" s="1063"/>
    </row>
    <row r="11600" spans="5:12" x14ac:dyDescent="0.2">
      <c r="E11600" s="1063"/>
      <c r="H11600" s="1066"/>
      <c r="I11600" s="1063"/>
      <c r="J11600" s="1063"/>
      <c r="K11600" s="1063"/>
      <c r="L11600" s="1063"/>
    </row>
    <row r="11601" spans="5:12" x14ac:dyDescent="0.2">
      <c r="E11601" s="1063"/>
      <c r="H11601" s="1066"/>
      <c r="I11601" s="1063"/>
      <c r="J11601" s="1063"/>
      <c r="K11601" s="1063"/>
      <c r="L11601" s="1063"/>
    </row>
    <row r="11602" spans="5:12" x14ac:dyDescent="0.2">
      <c r="E11602" s="1063"/>
      <c r="H11602" s="1066"/>
      <c r="I11602" s="1063"/>
      <c r="J11602" s="1063"/>
      <c r="K11602" s="1063"/>
      <c r="L11602" s="1063"/>
    </row>
    <row r="11603" spans="5:12" x14ac:dyDescent="0.2">
      <c r="E11603" s="1063"/>
      <c r="H11603" s="1066"/>
      <c r="I11603" s="1063"/>
      <c r="J11603" s="1063"/>
      <c r="K11603" s="1063"/>
      <c r="L11603" s="1063"/>
    </row>
    <row r="11604" spans="5:12" x14ac:dyDescent="0.2">
      <c r="E11604" s="1063"/>
      <c r="H11604" s="1066"/>
      <c r="I11604" s="1063"/>
      <c r="J11604" s="1063"/>
      <c r="K11604" s="1063"/>
      <c r="L11604" s="1063"/>
    </row>
    <row r="11605" spans="5:12" x14ac:dyDescent="0.2">
      <c r="E11605" s="1063"/>
      <c r="H11605" s="1066"/>
      <c r="I11605" s="1063"/>
      <c r="J11605" s="1063"/>
      <c r="K11605" s="1063"/>
      <c r="L11605" s="1063"/>
    </row>
    <row r="11606" spans="5:12" x14ac:dyDescent="0.2">
      <c r="E11606" s="1063"/>
      <c r="H11606" s="1066"/>
      <c r="I11606" s="1063"/>
      <c r="J11606" s="1063"/>
      <c r="K11606" s="1063"/>
      <c r="L11606" s="1063"/>
    </row>
    <row r="11607" spans="5:12" x14ac:dyDescent="0.2">
      <c r="E11607" s="1063"/>
      <c r="H11607" s="1066"/>
      <c r="I11607" s="1063"/>
      <c r="J11607" s="1063"/>
      <c r="K11607" s="1063"/>
      <c r="L11607" s="1063"/>
    </row>
    <row r="11608" spans="5:12" x14ac:dyDescent="0.2">
      <c r="E11608" s="1063"/>
      <c r="H11608" s="1066"/>
      <c r="I11608" s="1063"/>
      <c r="J11608" s="1063"/>
      <c r="K11608" s="1063"/>
      <c r="L11608" s="1063"/>
    </row>
    <row r="11609" spans="5:12" x14ac:dyDescent="0.2">
      <c r="E11609" s="1063"/>
      <c r="H11609" s="1066"/>
      <c r="I11609" s="1063"/>
      <c r="J11609" s="1063"/>
      <c r="K11609" s="1063"/>
      <c r="L11609" s="1063"/>
    </row>
    <row r="11610" spans="5:12" x14ac:dyDescent="0.2">
      <c r="E11610" s="1063"/>
      <c r="H11610" s="1066"/>
      <c r="I11610" s="1063"/>
      <c r="J11610" s="1063"/>
      <c r="K11610" s="1063"/>
      <c r="L11610" s="1063"/>
    </row>
    <row r="11611" spans="5:12" x14ac:dyDescent="0.2">
      <c r="E11611" s="1063"/>
      <c r="H11611" s="1066"/>
      <c r="I11611" s="1063"/>
      <c r="J11611" s="1063"/>
      <c r="K11611" s="1063"/>
      <c r="L11611" s="1063"/>
    </row>
    <row r="11612" spans="5:12" x14ac:dyDescent="0.2">
      <c r="E11612" s="1063"/>
      <c r="H11612" s="1066"/>
      <c r="I11612" s="1063"/>
      <c r="J11612" s="1063"/>
      <c r="K11612" s="1063"/>
      <c r="L11612" s="1063"/>
    </row>
    <row r="11613" spans="5:12" x14ac:dyDescent="0.2">
      <c r="E11613" s="1063"/>
      <c r="H11613" s="1066"/>
      <c r="I11613" s="1063"/>
      <c r="J11613" s="1063"/>
      <c r="K11613" s="1063"/>
      <c r="L11613" s="1063"/>
    </row>
    <row r="11614" spans="5:12" x14ac:dyDescent="0.2">
      <c r="E11614" s="1063"/>
      <c r="H11614" s="1066"/>
      <c r="I11614" s="1063"/>
      <c r="J11614" s="1063"/>
      <c r="K11614" s="1063"/>
      <c r="L11614" s="1063"/>
    </row>
    <row r="11615" spans="5:12" x14ac:dyDescent="0.2">
      <c r="E11615" s="1063"/>
      <c r="H11615" s="1066"/>
      <c r="I11615" s="1063"/>
      <c r="J11615" s="1063"/>
      <c r="K11615" s="1063"/>
      <c r="L11615" s="1063"/>
    </row>
    <row r="11616" spans="5:12" x14ac:dyDescent="0.2">
      <c r="E11616" s="1063"/>
      <c r="H11616" s="1066"/>
      <c r="I11616" s="1063"/>
      <c r="J11616" s="1063"/>
      <c r="K11616" s="1063"/>
      <c r="L11616" s="1063"/>
    </row>
    <row r="11617" spans="5:12" x14ac:dyDescent="0.2">
      <c r="E11617" s="1063"/>
      <c r="H11617" s="1066"/>
      <c r="I11617" s="1063"/>
      <c r="J11617" s="1063"/>
      <c r="K11617" s="1063"/>
      <c r="L11617" s="1063"/>
    </row>
    <row r="11618" spans="5:12" x14ac:dyDescent="0.2">
      <c r="E11618" s="1063"/>
      <c r="H11618" s="1066"/>
      <c r="I11618" s="1063"/>
      <c r="J11618" s="1063"/>
      <c r="K11618" s="1063"/>
      <c r="L11618" s="1063"/>
    </row>
    <row r="11619" spans="5:12" x14ac:dyDescent="0.2">
      <c r="E11619" s="1063"/>
      <c r="H11619" s="1066"/>
      <c r="I11619" s="1063"/>
      <c r="J11619" s="1063"/>
      <c r="K11619" s="1063"/>
      <c r="L11619" s="1063"/>
    </row>
    <row r="11620" spans="5:12" x14ac:dyDescent="0.2">
      <c r="E11620" s="1063"/>
      <c r="H11620" s="1066"/>
      <c r="I11620" s="1063"/>
      <c r="J11620" s="1063"/>
      <c r="K11620" s="1063"/>
      <c r="L11620" s="1063"/>
    </row>
    <row r="11621" spans="5:12" x14ac:dyDescent="0.2">
      <c r="E11621" s="1063"/>
      <c r="H11621" s="1066"/>
      <c r="I11621" s="1063"/>
      <c r="J11621" s="1063"/>
      <c r="K11621" s="1063"/>
      <c r="L11621" s="1063"/>
    </row>
    <row r="11622" spans="5:12" x14ac:dyDescent="0.2">
      <c r="E11622" s="1063"/>
      <c r="H11622" s="1066"/>
      <c r="I11622" s="1063"/>
      <c r="J11622" s="1063"/>
      <c r="K11622" s="1063"/>
      <c r="L11622" s="1063"/>
    </row>
    <row r="11623" spans="5:12" x14ac:dyDescent="0.2">
      <c r="E11623" s="1063"/>
      <c r="H11623" s="1066"/>
      <c r="I11623" s="1063"/>
      <c r="J11623" s="1063"/>
      <c r="K11623" s="1063"/>
      <c r="L11623" s="1063"/>
    </row>
    <row r="11624" spans="5:12" x14ac:dyDescent="0.2">
      <c r="E11624" s="1063"/>
      <c r="H11624" s="1066"/>
      <c r="I11624" s="1063"/>
      <c r="J11624" s="1063"/>
      <c r="K11624" s="1063"/>
      <c r="L11624" s="1063"/>
    </row>
    <row r="11625" spans="5:12" x14ac:dyDescent="0.2">
      <c r="E11625" s="1063"/>
      <c r="H11625" s="1066"/>
      <c r="I11625" s="1063"/>
      <c r="J11625" s="1063"/>
      <c r="K11625" s="1063"/>
      <c r="L11625" s="1063"/>
    </row>
    <row r="11626" spans="5:12" x14ac:dyDescent="0.2">
      <c r="E11626" s="1063"/>
      <c r="H11626" s="1066"/>
      <c r="I11626" s="1063"/>
      <c r="J11626" s="1063"/>
      <c r="K11626" s="1063"/>
      <c r="L11626" s="1063"/>
    </row>
    <row r="11627" spans="5:12" x14ac:dyDescent="0.2">
      <c r="E11627" s="1063"/>
      <c r="H11627" s="1066"/>
      <c r="I11627" s="1063"/>
      <c r="J11627" s="1063"/>
      <c r="K11627" s="1063"/>
      <c r="L11627" s="1063"/>
    </row>
    <row r="11628" spans="5:12" x14ac:dyDescent="0.2">
      <c r="E11628" s="1063"/>
      <c r="H11628" s="1066"/>
      <c r="I11628" s="1063"/>
      <c r="J11628" s="1063"/>
      <c r="K11628" s="1063"/>
      <c r="L11628" s="1063"/>
    </row>
    <row r="11629" spans="5:12" x14ac:dyDescent="0.2">
      <c r="E11629" s="1063"/>
      <c r="H11629" s="1066"/>
      <c r="I11629" s="1063"/>
      <c r="J11629" s="1063"/>
      <c r="K11629" s="1063"/>
      <c r="L11629" s="1063"/>
    </row>
    <row r="11630" spans="5:12" x14ac:dyDescent="0.2">
      <c r="E11630" s="1063"/>
      <c r="H11630" s="1066"/>
      <c r="I11630" s="1063"/>
      <c r="J11630" s="1063"/>
      <c r="K11630" s="1063"/>
      <c r="L11630" s="1063"/>
    </row>
    <row r="11631" spans="5:12" x14ac:dyDescent="0.2">
      <c r="E11631" s="1063"/>
      <c r="H11631" s="1066"/>
      <c r="I11631" s="1063"/>
      <c r="J11631" s="1063"/>
      <c r="K11631" s="1063"/>
      <c r="L11631" s="1063"/>
    </row>
    <row r="11632" spans="5:12" x14ac:dyDescent="0.2">
      <c r="E11632" s="1063"/>
      <c r="H11632" s="1066"/>
      <c r="I11632" s="1063"/>
      <c r="J11632" s="1063"/>
      <c r="K11632" s="1063"/>
      <c r="L11632" s="1063"/>
    </row>
    <row r="11633" spans="5:12" x14ac:dyDescent="0.2">
      <c r="E11633" s="1063"/>
      <c r="H11633" s="1066"/>
      <c r="I11633" s="1063"/>
      <c r="J11633" s="1063"/>
      <c r="K11633" s="1063"/>
      <c r="L11633" s="1063"/>
    </row>
    <row r="11634" spans="5:12" x14ac:dyDescent="0.2">
      <c r="E11634" s="1063"/>
      <c r="H11634" s="1066"/>
      <c r="I11634" s="1063"/>
      <c r="J11634" s="1063"/>
      <c r="K11634" s="1063"/>
      <c r="L11634" s="1063"/>
    </row>
    <row r="11635" spans="5:12" x14ac:dyDescent="0.2">
      <c r="E11635" s="1063"/>
      <c r="H11635" s="1066"/>
      <c r="I11635" s="1063"/>
      <c r="J11635" s="1063"/>
      <c r="K11635" s="1063"/>
      <c r="L11635" s="1063"/>
    </row>
    <row r="11636" spans="5:12" x14ac:dyDescent="0.2">
      <c r="E11636" s="1063"/>
      <c r="H11636" s="1066"/>
      <c r="I11636" s="1063"/>
      <c r="J11636" s="1063"/>
      <c r="K11636" s="1063"/>
      <c r="L11636" s="1063"/>
    </row>
    <row r="11637" spans="5:12" x14ac:dyDescent="0.2">
      <c r="E11637" s="1063"/>
      <c r="H11637" s="1066"/>
      <c r="I11637" s="1063"/>
      <c r="J11637" s="1063"/>
      <c r="K11637" s="1063"/>
      <c r="L11637" s="1063"/>
    </row>
    <row r="11638" spans="5:12" x14ac:dyDescent="0.2">
      <c r="E11638" s="1063"/>
      <c r="H11638" s="1066"/>
      <c r="I11638" s="1063"/>
      <c r="J11638" s="1063"/>
      <c r="K11638" s="1063"/>
      <c r="L11638" s="1063"/>
    </row>
    <row r="11639" spans="5:12" x14ac:dyDescent="0.2">
      <c r="E11639" s="1063"/>
      <c r="H11639" s="1066"/>
      <c r="I11639" s="1063"/>
      <c r="J11639" s="1063"/>
      <c r="K11639" s="1063"/>
      <c r="L11639" s="1063"/>
    </row>
    <row r="11640" spans="5:12" x14ac:dyDescent="0.2">
      <c r="E11640" s="1063"/>
      <c r="H11640" s="1066"/>
      <c r="I11640" s="1063"/>
      <c r="J11640" s="1063"/>
      <c r="K11640" s="1063"/>
      <c r="L11640" s="1063"/>
    </row>
    <row r="11641" spans="5:12" x14ac:dyDescent="0.2">
      <c r="E11641" s="1063"/>
      <c r="H11641" s="1066"/>
      <c r="I11641" s="1063"/>
      <c r="J11641" s="1063"/>
      <c r="K11641" s="1063"/>
      <c r="L11641" s="1063"/>
    </row>
    <row r="11642" spans="5:12" x14ac:dyDescent="0.2">
      <c r="E11642" s="1063"/>
      <c r="H11642" s="1066"/>
      <c r="I11642" s="1063"/>
      <c r="J11642" s="1063"/>
      <c r="K11642" s="1063"/>
      <c r="L11642" s="1063"/>
    </row>
    <row r="11643" spans="5:12" x14ac:dyDescent="0.2">
      <c r="E11643" s="1063"/>
      <c r="H11643" s="1066"/>
      <c r="I11643" s="1063"/>
      <c r="J11643" s="1063"/>
      <c r="K11643" s="1063"/>
      <c r="L11643" s="1063"/>
    </row>
    <row r="11644" spans="5:12" x14ac:dyDescent="0.2">
      <c r="E11644" s="1063"/>
      <c r="H11644" s="1066"/>
      <c r="I11644" s="1063"/>
      <c r="J11644" s="1063"/>
      <c r="K11644" s="1063"/>
      <c r="L11644" s="1063"/>
    </row>
    <row r="11645" spans="5:12" x14ac:dyDescent="0.2">
      <c r="E11645" s="1063"/>
      <c r="H11645" s="1066"/>
      <c r="I11645" s="1063"/>
      <c r="J11645" s="1063"/>
      <c r="K11645" s="1063"/>
      <c r="L11645" s="1063"/>
    </row>
    <row r="11646" spans="5:12" x14ac:dyDescent="0.2">
      <c r="E11646" s="1063"/>
      <c r="H11646" s="1066"/>
      <c r="I11646" s="1063"/>
      <c r="J11646" s="1063"/>
      <c r="K11646" s="1063"/>
      <c r="L11646" s="1063"/>
    </row>
    <row r="11647" spans="5:12" x14ac:dyDescent="0.2">
      <c r="E11647" s="1063"/>
      <c r="H11647" s="1066"/>
      <c r="I11647" s="1063"/>
      <c r="J11647" s="1063"/>
      <c r="K11647" s="1063"/>
      <c r="L11647" s="1063"/>
    </row>
    <row r="11648" spans="5:12" x14ac:dyDescent="0.2">
      <c r="E11648" s="1063"/>
      <c r="H11648" s="1066"/>
      <c r="I11648" s="1063"/>
      <c r="J11648" s="1063"/>
      <c r="K11648" s="1063"/>
      <c r="L11648" s="1063"/>
    </row>
    <row r="11649" spans="5:12" x14ac:dyDescent="0.2">
      <c r="E11649" s="1063"/>
      <c r="H11649" s="1066"/>
      <c r="I11649" s="1063"/>
      <c r="J11649" s="1063"/>
      <c r="K11649" s="1063"/>
      <c r="L11649" s="1063"/>
    </row>
    <row r="11650" spans="5:12" x14ac:dyDescent="0.2">
      <c r="E11650" s="1063"/>
      <c r="H11650" s="1066"/>
      <c r="I11650" s="1063"/>
      <c r="J11650" s="1063"/>
      <c r="K11650" s="1063"/>
      <c r="L11650" s="1063"/>
    </row>
    <row r="11651" spans="5:12" x14ac:dyDescent="0.2">
      <c r="E11651" s="1063"/>
      <c r="H11651" s="1066"/>
      <c r="I11651" s="1063"/>
      <c r="J11651" s="1063"/>
      <c r="K11651" s="1063"/>
      <c r="L11651" s="1063"/>
    </row>
    <row r="11652" spans="5:12" x14ac:dyDescent="0.2">
      <c r="E11652" s="1063"/>
      <c r="H11652" s="1066"/>
      <c r="I11652" s="1063"/>
      <c r="J11652" s="1063"/>
      <c r="K11652" s="1063"/>
      <c r="L11652" s="1063"/>
    </row>
    <row r="11653" spans="5:12" x14ac:dyDescent="0.2">
      <c r="E11653" s="1063"/>
      <c r="H11653" s="1066"/>
      <c r="I11653" s="1063"/>
      <c r="J11653" s="1063"/>
      <c r="K11653" s="1063"/>
      <c r="L11653" s="1063"/>
    </row>
    <row r="11654" spans="5:12" x14ac:dyDescent="0.2">
      <c r="E11654" s="1063"/>
      <c r="H11654" s="1066"/>
      <c r="I11654" s="1063"/>
      <c r="J11654" s="1063"/>
      <c r="K11654" s="1063"/>
      <c r="L11654" s="1063"/>
    </row>
    <row r="11655" spans="5:12" x14ac:dyDescent="0.2">
      <c r="E11655" s="1063"/>
      <c r="H11655" s="1066"/>
      <c r="I11655" s="1063"/>
      <c r="J11655" s="1063"/>
      <c r="K11655" s="1063"/>
      <c r="L11655" s="1063"/>
    </row>
    <row r="11656" spans="5:12" x14ac:dyDescent="0.2">
      <c r="E11656" s="1063"/>
      <c r="H11656" s="1066"/>
      <c r="I11656" s="1063"/>
      <c r="J11656" s="1063"/>
      <c r="K11656" s="1063"/>
      <c r="L11656" s="1063"/>
    </row>
    <row r="11657" spans="5:12" x14ac:dyDescent="0.2">
      <c r="E11657" s="1063"/>
      <c r="H11657" s="1066"/>
      <c r="I11657" s="1063"/>
      <c r="J11657" s="1063"/>
      <c r="K11657" s="1063"/>
      <c r="L11657" s="1063"/>
    </row>
    <row r="11658" spans="5:12" x14ac:dyDescent="0.2">
      <c r="E11658" s="1063"/>
      <c r="H11658" s="1066"/>
      <c r="I11658" s="1063"/>
      <c r="J11658" s="1063"/>
      <c r="K11658" s="1063"/>
      <c r="L11658" s="1063"/>
    </row>
    <row r="11659" spans="5:12" x14ac:dyDescent="0.2">
      <c r="E11659" s="1063"/>
      <c r="H11659" s="1066"/>
      <c r="I11659" s="1063"/>
      <c r="J11659" s="1063"/>
      <c r="K11659" s="1063"/>
      <c r="L11659" s="1063"/>
    </row>
    <row r="11660" spans="5:12" x14ac:dyDescent="0.2">
      <c r="E11660" s="1063"/>
      <c r="H11660" s="1066"/>
      <c r="I11660" s="1063"/>
      <c r="J11660" s="1063"/>
      <c r="K11660" s="1063"/>
      <c r="L11660" s="1063"/>
    </row>
    <row r="11661" spans="5:12" x14ac:dyDescent="0.2">
      <c r="E11661" s="1063"/>
      <c r="H11661" s="1066"/>
      <c r="I11661" s="1063"/>
      <c r="J11661" s="1063"/>
      <c r="K11661" s="1063"/>
      <c r="L11661" s="1063"/>
    </row>
    <row r="11662" spans="5:12" x14ac:dyDescent="0.2">
      <c r="E11662" s="1063"/>
      <c r="H11662" s="1066"/>
      <c r="I11662" s="1063"/>
      <c r="J11662" s="1063"/>
      <c r="K11662" s="1063"/>
      <c r="L11662" s="1063"/>
    </row>
    <row r="11663" spans="5:12" x14ac:dyDescent="0.2">
      <c r="E11663" s="1063"/>
      <c r="H11663" s="1066"/>
      <c r="I11663" s="1063"/>
      <c r="J11663" s="1063"/>
      <c r="K11663" s="1063"/>
      <c r="L11663" s="1063"/>
    </row>
    <row r="11664" spans="5:12" x14ac:dyDescent="0.2">
      <c r="E11664" s="1063"/>
      <c r="H11664" s="1066"/>
      <c r="I11664" s="1063"/>
      <c r="J11664" s="1063"/>
      <c r="K11664" s="1063"/>
      <c r="L11664" s="1063"/>
    </row>
    <row r="11665" spans="5:12" x14ac:dyDescent="0.2">
      <c r="E11665" s="1063"/>
      <c r="H11665" s="1066"/>
      <c r="I11665" s="1063"/>
      <c r="J11665" s="1063"/>
      <c r="K11665" s="1063"/>
      <c r="L11665" s="1063"/>
    </row>
    <row r="11666" spans="5:12" x14ac:dyDescent="0.2">
      <c r="E11666" s="1063"/>
      <c r="H11666" s="1066"/>
      <c r="I11666" s="1063"/>
      <c r="J11666" s="1063"/>
      <c r="K11666" s="1063"/>
      <c r="L11666" s="1063"/>
    </row>
    <row r="11667" spans="5:12" x14ac:dyDescent="0.2">
      <c r="E11667" s="1063"/>
      <c r="H11667" s="1066"/>
      <c r="I11667" s="1063"/>
      <c r="J11667" s="1063"/>
      <c r="K11667" s="1063"/>
      <c r="L11667" s="1063"/>
    </row>
    <row r="11668" spans="5:12" x14ac:dyDescent="0.2">
      <c r="E11668" s="1063"/>
      <c r="H11668" s="1066"/>
      <c r="I11668" s="1063"/>
      <c r="J11668" s="1063"/>
      <c r="K11668" s="1063"/>
      <c r="L11668" s="1063"/>
    </row>
    <row r="11669" spans="5:12" x14ac:dyDescent="0.2">
      <c r="E11669" s="1063"/>
      <c r="H11669" s="1066"/>
      <c r="I11669" s="1063"/>
      <c r="J11669" s="1063"/>
      <c r="K11669" s="1063"/>
      <c r="L11669" s="1063"/>
    </row>
    <row r="11670" spans="5:12" x14ac:dyDescent="0.2">
      <c r="E11670" s="1063"/>
      <c r="H11670" s="1066"/>
      <c r="I11670" s="1063"/>
      <c r="J11670" s="1063"/>
      <c r="K11670" s="1063"/>
      <c r="L11670" s="1063"/>
    </row>
    <row r="11671" spans="5:12" x14ac:dyDescent="0.2">
      <c r="E11671" s="1063"/>
      <c r="H11671" s="1066"/>
      <c r="I11671" s="1063"/>
      <c r="J11671" s="1063"/>
      <c r="K11671" s="1063"/>
      <c r="L11671" s="1063"/>
    </row>
    <row r="11672" spans="5:12" x14ac:dyDescent="0.2">
      <c r="E11672" s="1063"/>
      <c r="H11672" s="1066"/>
      <c r="I11672" s="1063"/>
      <c r="J11672" s="1063"/>
      <c r="K11672" s="1063"/>
      <c r="L11672" s="1063"/>
    </row>
    <row r="11673" spans="5:12" x14ac:dyDescent="0.2">
      <c r="E11673" s="1063"/>
      <c r="H11673" s="1066"/>
      <c r="I11673" s="1063"/>
      <c r="J11673" s="1063"/>
      <c r="K11673" s="1063"/>
      <c r="L11673" s="1063"/>
    </row>
    <row r="11674" spans="5:12" x14ac:dyDescent="0.2">
      <c r="E11674" s="1063"/>
      <c r="H11674" s="1066"/>
      <c r="I11674" s="1063"/>
      <c r="J11674" s="1063"/>
      <c r="K11674" s="1063"/>
      <c r="L11674" s="1063"/>
    </row>
    <row r="11675" spans="5:12" x14ac:dyDescent="0.2">
      <c r="E11675" s="1063"/>
      <c r="H11675" s="1066"/>
      <c r="I11675" s="1063"/>
      <c r="J11675" s="1063"/>
      <c r="K11675" s="1063"/>
      <c r="L11675" s="1063"/>
    </row>
    <row r="11676" spans="5:12" x14ac:dyDescent="0.2">
      <c r="E11676" s="1063"/>
      <c r="H11676" s="1066"/>
      <c r="I11676" s="1063"/>
      <c r="J11676" s="1063"/>
      <c r="K11676" s="1063"/>
      <c r="L11676" s="1063"/>
    </row>
    <row r="11677" spans="5:12" x14ac:dyDescent="0.2">
      <c r="E11677" s="1063"/>
      <c r="H11677" s="1066"/>
      <c r="I11677" s="1063"/>
      <c r="J11677" s="1063"/>
      <c r="K11677" s="1063"/>
      <c r="L11677" s="1063"/>
    </row>
    <row r="11678" spans="5:12" x14ac:dyDescent="0.2">
      <c r="E11678" s="1063"/>
      <c r="H11678" s="1066"/>
      <c r="I11678" s="1063"/>
      <c r="J11678" s="1063"/>
      <c r="K11678" s="1063"/>
      <c r="L11678" s="1063"/>
    </row>
    <row r="11679" spans="5:12" x14ac:dyDescent="0.2">
      <c r="E11679" s="1063"/>
      <c r="H11679" s="1066"/>
      <c r="I11679" s="1063"/>
      <c r="J11679" s="1063"/>
      <c r="K11679" s="1063"/>
      <c r="L11679" s="1063"/>
    </row>
    <row r="11680" spans="5:12" x14ac:dyDescent="0.2">
      <c r="E11680" s="1063"/>
      <c r="H11680" s="1066"/>
      <c r="I11680" s="1063"/>
      <c r="J11680" s="1063"/>
      <c r="K11680" s="1063"/>
      <c r="L11680" s="1063"/>
    </row>
    <row r="11681" spans="5:12" x14ac:dyDescent="0.2">
      <c r="E11681" s="1063"/>
      <c r="H11681" s="1066"/>
      <c r="I11681" s="1063"/>
      <c r="J11681" s="1063"/>
      <c r="K11681" s="1063"/>
      <c r="L11681" s="1063"/>
    </row>
    <row r="11682" spans="5:12" x14ac:dyDescent="0.2">
      <c r="E11682" s="1063"/>
      <c r="H11682" s="1066"/>
      <c r="I11682" s="1063"/>
      <c r="J11682" s="1063"/>
      <c r="K11682" s="1063"/>
      <c r="L11682" s="1063"/>
    </row>
    <row r="11683" spans="5:12" x14ac:dyDescent="0.2">
      <c r="E11683" s="1063"/>
      <c r="H11683" s="1066"/>
      <c r="I11683" s="1063"/>
      <c r="J11683" s="1063"/>
      <c r="K11683" s="1063"/>
      <c r="L11683" s="1063"/>
    </row>
    <row r="11684" spans="5:12" x14ac:dyDescent="0.2">
      <c r="E11684" s="1063"/>
      <c r="H11684" s="1066"/>
      <c r="I11684" s="1063"/>
      <c r="J11684" s="1063"/>
      <c r="K11684" s="1063"/>
      <c r="L11684" s="1063"/>
    </row>
    <row r="11685" spans="5:12" x14ac:dyDescent="0.2">
      <c r="E11685" s="1063"/>
      <c r="H11685" s="1066"/>
      <c r="I11685" s="1063"/>
      <c r="J11685" s="1063"/>
      <c r="K11685" s="1063"/>
      <c r="L11685" s="1063"/>
    </row>
    <row r="11686" spans="5:12" x14ac:dyDescent="0.2">
      <c r="E11686" s="1063"/>
      <c r="H11686" s="1066"/>
      <c r="I11686" s="1063"/>
      <c r="J11686" s="1063"/>
      <c r="K11686" s="1063"/>
      <c r="L11686" s="1063"/>
    </row>
    <row r="11687" spans="5:12" x14ac:dyDescent="0.2">
      <c r="E11687" s="1063"/>
      <c r="H11687" s="1066"/>
      <c r="I11687" s="1063"/>
      <c r="J11687" s="1063"/>
      <c r="K11687" s="1063"/>
      <c r="L11687" s="1063"/>
    </row>
    <row r="11688" spans="5:12" x14ac:dyDescent="0.2">
      <c r="E11688" s="1063"/>
      <c r="H11688" s="1066"/>
      <c r="I11688" s="1063"/>
      <c r="J11688" s="1063"/>
      <c r="K11688" s="1063"/>
      <c r="L11688" s="1063"/>
    </row>
    <row r="11689" spans="5:12" x14ac:dyDescent="0.2">
      <c r="E11689" s="1063"/>
      <c r="H11689" s="1066"/>
      <c r="I11689" s="1063"/>
      <c r="J11689" s="1063"/>
      <c r="K11689" s="1063"/>
      <c r="L11689" s="1063"/>
    </row>
    <row r="11690" spans="5:12" x14ac:dyDescent="0.2">
      <c r="E11690" s="1063"/>
      <c r="H11690" s="1066"/>
      <c r="I11690" s="1063"/>
      <c r="J11690" s="1063"/>
      <c r="K11690" s="1063"/>
      <c r="L11690" s="1063"/>
    </row>
    <row r="11691" spans="5:12" x14ac:dyDescent="0.2">
      <c r="E11691" s="1063"/>
      <c r="H11691" s="1066"/>
      <c r="I11691" s="1063"/>
      <c r="J11691" s="1063"/>
      <c r="K11691" s="1063"/>
      <c r="L11691" s="1063"/>
    </row>
    <row r="11692" spans="5:12" x14ac:dyDescent="0.2">
      <c r="E11692" s="1063"/>
      <c r="H11692" s="1066"/>
      <c r="I11692" s="1063"/>
      <c r="J11692" s="1063"/>
      <c r="K11692" s="1063"/>
      <c r="L11692" s="1063"/>
    </row>
    <row r="11693" spans="5:12" x14ac:dyDescent="0.2">
      <c r="E11693" s="1063"/>
      <c r="H11693" s="1066"/>
      <c r="I11693" s="1063"/>
      <c r="J11693" s="1063"/>
      <c r="K11693" s="1063"/>
      <c r="L11693" s="1063"/>
    </row>
    <row r="11694" spans="5:12" x14ac:dyDescent="0.2">
      <c r="E11694" s="1063"/>
      <c r="H11694" s="1066"/>
      <c r="I11694" s="1063"/>
      <c r="J11694" s="1063"/>
      <c r="K11694" s="1063"/>
      <c r="L11694" s="1063"/>
    </row>
    <row r="11695" spans="5:12" x14ac:dyDescent="0.2">
      <c r="E11695" s="1063"/>
      <c r="H11695" s="1066"/>
      <c r="I11695" s="1063"/>
      <c r="J11695" s="1063"/>
      <c r="K11695" s="1063"/>
      <c r="L11695" s="1063"/>
    </row>
    <row r="11696" spans="5:12" x14ac:dyDescent="0.2">
      <c r="E11696" s="1063"/>
      <c r="H11696" s="1066"/>
      <c r="I11696" s="1063"/>
      <c r="J11696" s="1063"/>
      <c r="K11696" s="1063"/>
      <c r="L11696" s="1063"/>
    </row>
    <row r="11697" spans="5:12" x14ac:dyDescent="0.2">
      <c r="E11697" s="1063"/>
      <c r="H11697" s="1066"/>
      <c r="I11697" s="1063"/>
      <c r="J11697" s="1063"/>
      <c r="K11697" s="1063"/>
      <c r="L11697" s="1063"/>
    </row>
    <row r="11698" spans="5:12" x14ac:dyDescent="0.2">
      <c r="E11698" s="1063"/>
      <c r="H11698" s="1066"/>
      <c r="I11698" s="1063"/>
      <c r="J11698" s="1063"/>
      <c r="K11698" s="1063"/>
      <c r="L11698" s="1063"/>
    </row>
    <row r="11699" spans="5:12" x14ac:dyDescent="0.2">
      <c r="E11699" s="1063"/>
      <c r="H11699" s="1066"/>
      <c r="I11699" s="1063"/>
      <c r="J11699" s="1063"/>
      <c r="K11699" s="1063"/>
      <c r="L11699" s="1063"/>
    </row>
    <row r="11700" spans="5:12" x14ac:dyDescent="0.2">
      <c r="E11700" s="1063"/>
      <c r="H11700" s="1066"/>
      <c r="I11700" s="1063"/>
      <c r="J11700" s="1063"/>
      <c r="K11700" s="1063"/>
      <c r="L11700" s="1063"/>
    </row>
    <row r="11701" spans="5:12" x14ac:dyDescent="0.2">
      <c r="E11701" s="1063"/>
      <c r="H11701" s="1066"/>
      <c r="I11701" s="1063"/>
      <c r="J11701" s="1063"/>
      <c r="K11701" s="1063"/>
      <c r="L11701" s="1063"/>
    </row>
    <row r="11702" spans="5:12" x14ac:dyDescent="0.2">
      <c r="E11702" s="1063"/>
      <c r="H11702" s="1066"/>
      <c r="I11702" s="1063"/>
      <c r="J11702" s="1063"/>
      <c r="K11702" s="1063"/>
      <c r="L11702" s="1063"/>
    </row>
    <row r="11703" spans="5:12" x14ac:dyDescent="0.2">
      <c r="E11703" s="1063"/>
      <c r="H11703" s="1066"/>
      <c r="I11703" s="1063"/>
      <c r="J11703" s="1063"/>
      <c r="K11703" s="1063"/>
      <c r="L11703" s="1063"/>
    </row>
    <row r="11704" spans="5:12" x14ac:dyDescent="0.2">
      <c r="E11704" s="1063"/>
      <c r="H11704" s="1066"/>
      <c r="I11704" s="1063"/>
      <c r="J11704" s="1063"/>
      <c r="K11704" s="1063"/>
      <c r="L11704" s="1063"/>
    </row>
    <row r="11705" spans="5:12" x14ac:dyDescent="0.2">
      <c r="E11705" s="1063"/>
      <c r="H11705" s="1066"/>
      <c r="I11705" s="1063"/>
      <c r="J11705" s="1063"/>
      <c r="K11705" s="1063"/>
      <c r="L11705" s="1063"/>
    </row>
    <row r="11706" spans="5:12" x14ac:dyDescent="0.2">
      <c r="E11706" s="1063"/>
      <c r="H11706" s="1066"/>
      <c r="I11706" s="1063"/>
      <c r="J11706" s="1063"/>
      <c r="K11706" s="1063"/>
      <c r="L11706" s="1063"/>
    </row>
    <row r="11707" spans="5:12" x14ac:dyDescent="0.2">
      <c r="E11707" s="1063"/>
      <c r="H11707" s="1066"/>
      <c r="I11707" s="1063"/>
      <c r="J11707" s="1063"/>
      <c r="K11707" s="1063"/>
      <c r="L11707" s="1063"/>
    </row>
    <row r="11708" spans="5:12" x14ac:dyDescent="0.2">
      <c r="E11708" s="1063"/>
      <c r="H11708" s="1066"/>
      <c r="I11708" s="1063"/>
      <c r="J11708" s="1063"/>
      <c r="K11708" s="1063"/>
      <c r="L11708" s="1063"/>
    </row>
    <row r="11709" spans="5:12" x14ac:dyDescent="0.2">
      <c r="E11709" s="1063"/>
      <c r="H11709" s="1066"/>
      <c r="I11709" s="1063"/>
      <c r="J11709" s="1063"/>
      <c r="K11709" s="1063"/>
      <c r="L11709" s="1063"/>
    </row>
    <row r="11710" spans="5:12" x14ac:dyDescent="0.2">
      <c r="E11710" s="1063"/>
      <c r="H11710" s="1066"/>
      <c r="I11710" s="1063"/>
      <c r="J11710" s="1063"/>
      <c r="K11710" s="1063"/>
      <c r="L11710" s="1063"/>
    </row>
    <row r="11711" spans="5:12" x14ac:dyDescent="0.2">
      <c r="E11711" s="1063"/>
      <c r="H11711" s="1066"/>
      <c r="I11711" s="1063"/>
      <c r="J11711" s="1063"/>
      <c r="K11711" s="1063"/>
      <c r="L11711" s="1063"/>
    </row>
    <row r="11712" spans="5:12" x14ac:dyDescent="0.2">
      <c r="E11712" s="1063"/>
      <c r="H11712" s="1066"/>
      <c r="I11712" s="1063"/>
      <c r="J11712" s="1063"/>
      <c r="K11712" s="1063"/>
      <c r="L11712" s="1063"/>
    </row>
    <row r="11713" spans="5:12" x14ac:dyDescent="0.2">
      <c r="E11713" s="1063"/>
      <c r="H11713" s="1066"/>
      <c r="I11713" s="1063"/>
      <c r="J11713" s="1063"/>
      <c r="K11713" s="1063"/>
      <c r="L11713" s="1063"/>
    </row>
    <row r="11714" spans="5:12" x14ac:dyDescent="0.2">
      <c r="E11714" s="1063"/>
      <c r="H11714" s="1066"/>
      <c r="I11714" s="1063"/>
      <c r="J11714" s="1063"/>
      <c r="K11714" s="1063"/>
      <c r="L11714" s="1063"/>
    </row>
    <row r="11715" spans="5:12" x14ac:dyDescent="0.2">
      <c r="E11715" s="1063"/>
      <c r="H11715" s="1066"/>
      <c r="I11715" s="1063"/>
      <c r="J11715" s="1063"/>
      <c r="K11715" s="1063"/>
      <c r="L11715" s="1063"/>
    </row>
    <row r="11716" spans="5:12" x14ac:dyDescent="0.2">
      <c r="E11716" s="1063"/>
      <c r="H11716" s="1066"/>
      <c r="I11716" s="1063"/>
      <c r="J11716" s="1063"/>
      <c r="K11716" s="1063"/>
      <c r="L11716" s="1063"/>
    </row>
    <row r="11717" spans="5:12" x14ac:dyDescent="0.2">
      <c r="E11717" s="1063"/>
      <c r="H11717" s="1066"/>
      <c r="I11717" s="1063"/>
      <c r="J11717" s="1063"/>
      <c r="K11717" s="1063"/>
      <c r="L11717" s="1063"/>
    </row>
    <row r="11718" spans="5:12" x14ac:dyDescent="0.2">
      <c r="E11718" s="1063"/>
      <c r="H11718" s="1066"/>
      <c r="I11718" s="1063"/>
      <c r="J11718" s="1063"/>
      <c r="K11718" s="1063"/>
      <c r="L11718" s="1063"/>
    </row>
    <row r="11719" spans="5:12" x14ac:dyDescent="0.2">
      <c r="E11719" s="1063"/>
      <c r="H11719" s="1066"/>
      <c r="I11719" s="1063"/>
      <c r="J11719" s="1063"/>
      <c r="K11719" s="1063"/>
      <c r="L11719" s="1063"/>
    </row>
    <row r="11720" spans="5:12" x14ac:dyDescent="0.2">
      <c r="E11720" s="1063"/>
      <c r="H11720" s="1066"/>
      <c r="I11720" s="1063"/>
      <c r="J11720" s="1063"/>
      <c r="K11720" s="1063"/>
      <c r="L11720" s="1063"/>
    </row>
    <row r="11721" spans="5:12" x14ac:dyDescent="0.2">
      <c r="E11721" s="1063"/>
      <c r="H11721" s="1066"/>
      <c r="I11721" s="1063"/>
      <c r="J11721" s="1063"/>
      <c r="K11721" s="1063"/>
      <c r="L11721" s="1063"/>
    </row>
    <row r="11722" spans="5:12" x14ac:dyDescent="0.2">
      <c r="E11722" s="1063"/>
      <c r="H11722" s="1066"/>
      <c r="I11722" s="1063"/>
      <c r="J11722" s="1063"/>
      <c r="K11722" s="1063"/>
      <c r="L11722" s="1063"/>
    </row>
    <row r="11723" spans="5:12" x14ac:dyDescent="0.2">
      <c r="E11723" s="1063"/>
      <c r="H11723" s="1066"/>
      <c r="I11723" s="1063"/>
      <c r="J11723" s="1063"/>
      <c r="K11723" s="1063"/>
      <c r="L11723" s="1063"/>
    </row>
    <row r="11724" spans="5:12" x14ac:dyDescent="0.2">
      <c r="E11724" s="1063"/>
      <c r="H11724" s="1066"/>
      <c r="I11724" s="1063"/>
      <c r="J11724" s="1063"/>
      <c r="K11724" s="1063"/>
      <c r="L11724" s="1063"/>
    </row>
    <row r="11725" spans="5:12" x14ac:dyDescent="0.2">
      <c r="E11725" s="1063"/>
      <c r="H11725" s="1066"/>
      <c r="I11725" s="1063"/>
      <c r="J11725" s="1063"/>
      <c r="K11725" s="1063"/>
      <c r="L11725" s="1063"/>
    </row>
    <row r="11726" spans="5:12" x14ac:dyDescent="0.2">
      <c r="E11726" s="1063"/>
      <c r="H11726" s="1066"/>
      <c r="I11726" s="1063"/>
      <c r="J11726" s="1063"/>
      <c r="K11726" s="1063"/>
      <c r="L11726" s="1063"/>
    </row>
    <row r="11727" spans="5:12" x14ac:dyDescent="0.2">
      <c r="E11727" s="1063"/>
      <c r="H11727" s="1066"/>
      <c r="I11727" s="1063"/>
      <c r="J11727" s="1063"/>
      <c r="K11727" s="1063"/>
      <c r="L11727" s="1063"/>
    </row>
    <row r="11728" spans="5:12" x14ac:dyDescent="0.2">
      <c r="E11728" s="1063"/>
      <c r="H11728" s="1066"/>
      <c r="I11728" s="1063"/>
      <c r="J11728" s="1063"/>
      <c r="K11728" s="1063"/>
      <c r="L11728" s="1063"/>
    </row>
    <row r="11729" spans="5:12" x14ac:dyDescent="0.2">
      <c r="E11729" s="1063"/>
      <c r="H11729" s="1066"/>
      <c r="I11729" s="1063"/>
      <c r="J11729" s="1063"/>
      <c r="K11729" s="1063"/>
      <c r="L11729" s="1063"/>
    </row>
    <row r="11730" spans="5:12" x14ac:dyDescent="0.2">
      <c r="E11730" s="1063"/>
      <c r="H11730" s="1066"/>
      <c r="I11730" s="1063"/>
      <c r="J11730" s="1063"/>
      <c r="K11730" s="1063"/>
      <c r="L11730" s="1063"/>
    </row>
    <row r="11731" spans="5:12" x14ac:dyDescent="0.2">
      <c r="E11731" s="1063"/>
      <c r="H11731" s="1066"/>
      <c r="I11731" s="1063"/>
      <c r="J11731" s="1063"/>
      <c r="K11731" s="1063"/>
      <c r="L11731" s="1063"/>
    </row>
    <row r="11732" spans="5:12" x14ac:dyDescent="0.2">
      <c r="E11732" s="1063"/>
      <c r="H11732" s="1066"/>
      <c r="I11732" s="1063"/>
      <c r="J11732" s="1063"/>
      <c r="K11732" s="1063"/>
      <c r="L11732" s="1063"/>
    </row>
    <row r="11733" spans="5:12" x14ac:dyDescent="0.2">
      <c r="E11733" s="1063"/>
      <c r="H11733" s="1066"/>
      <c r="I11733" s="1063"/>
      <c r="J11733" s="1063"/>
      <c r="K11733" s="1063"/>
      <c r="L11733" s="1063"/>
    </row>
    <row r="11734" spans="5:12" x14ac:dyDescent="0.2">
      <c r="E11734" s="1063"/>
      <c r="H11734" s="1066"/>
      <c r="I11734" s="1063"/>
      <c r="J11734" s="1063"/>
      <c r="K11734" s="1063"/>
      <c r="L11734" s="1063"/>
    </row>
    <row r="11735" spans="5:12" x14ac:dyDescent="0.2">
      <c r="E11735" s="1063"/>
      <c r="H11735" s="1066"/>
      <c r="I11735" s="1063"/>
      <c r="J11735" s="1063"/>
      <c r="K11735" s="1063"/>
      <c r="L11735" s="1063"/>
    </row>
    <row r="11736" spans="5:12" x14ac:dyDescent="0.2">
      <c r="E11736" s="1063"/>
      <c r="H11736" s="1066"/>
      <c r="I11736" s="1063"/>
      <c r="J11736" s="1063"/>
      <c r="K11736" s="1063"/>
      <c r="L11736" s="1063"/>
    </row>
    <row r="11737" spans="5:12" x14ac:dyDescent="0.2">
      <c r="E11737" s="1063"/>
      <c r="H11737" s="1066"/>
      <c r="I11737" s="1063"/>
      <c r="J11737" s="1063"/>
      <c r="K11737" s="1063"/>
      <c r="L11737" s="1063"/>
    </row>
    <row r="11738" spans="5:12" x14ac:dyDescent="0.2">
      <c r="E11738" s="1063"/>
      <c r="H11738" s="1066"/>
      <c r="I11738" s="1063"/>
      <c r="J11738" s="1063"/>
      <c r="K11738" s="1063"/>
      <c r="L11738" s="1063"/>
    </row>
    <row r="11739" spans="5:12" x14ac:dyDescent="0.2">
      <c r="E11739" s="1063"/>
      <c r="H11739" s="1066"/>
      <c r="I11739" s="1063"/>
      <c r="J11739" s="1063"/>
      <c r="K11739" s="1063"/>
      <c r="L11739" s="1063"/>
    </row>
    <row r="11740" spans="5:12" x14ac:dyDescent="0.2">
      <c r="E11740" s="1063"/>
      <c r="H11740" s="1066"/>
      <c r="I11740" s="1063"/>
      <c r="J11740" s="1063"/>
      <c r="K11740" s="1063"/>
      <c r="L11740" s="1063"/>
    </row>
    <row r="11741" spans="5:12" x14ac:dyDescent="0.2">
      <c r="E11741" s="1063"/>
      <c r="H11741" s="1066"/>
      <c r="I11741" s="1063"/>
      <c r="J11741" s="1063"/>
      <c r="K11741" s="1063"/>
      <c r="L11741" s="1063"/>
    </row>
    <row r="11742" spans="5:12" x14ac:dyDescent="0.2">
      <c r="E11742" s="1063"/>
      <c r="H11742" s="1066"/>
      <c r="I11742" s="1063"/>
      <c r="J11742" s="1063"/>
      <c r="K11742" s="1063"/>
      <c r="L11742" s="1063"/>
    </row>
    <row r="11743" spans="5:12" x14ac:dyDescent="0.2">
      <c r="E11743" s="1063"/>
      <c r="H11743" s="1066"/>
      <c r="I11743" s="1063"/>
      <c r="J11743" s="1063"/>
      <c r="K11743" s="1063"/>
      <c r="L11743" s="1063"/>
    </row>
    <row r="11744" spans="5:12" x14ac:dyDescent="0.2">
      <c r="E11744" s="1063"/>
      <c r="H11744" s="1066"/>
      <c r="I11744" s="1063"/>
      <c r="J11744" s="1063"/>
      <c r="K11744" s="1063"/>
      <c r="L11744" s="1063"/>
    </row>
    <row r="11745" spans="5:12" x14ac:dyDescent="0.2">
      <c r="E11745" s="1063"/>
      <c r="H11745" s="1066"/>
      <c r="I11745" s="1063"/>
      <c r="J11745" s="1063"/>
      <c r="K11745" s="1063"/>
      <c r="L11745" s="1063"/>
    </row>
    <row r="11746" spans="5:12" x14ac:dyDescent="0.2">
      <c r="E11746" s="1063"/>
      <c r="H11746" s="1066"/>
      <c r="I11746" s="1063"/>
      <c r="J11746" s="1063"/>
      <c r="K11746" s="1063"/>
      <c r="L11746" s="1063"/>
    </row>
    <row r="11747" spans="5:12" x14ac:dyDescent="0.2">
      <c r="E11747" s="1063"/>
      <c r="H11747" s="1066"/>
      <c r="I11747" s="1063"/>
      <c r="J11747" s="1063"/>
      <c r="K11747" s="1063"/>
      <c r="L11747" s="1063"/>
    </row>
    <row r="11748" spans="5:12" x14ac:dyDescent="0.2">
      <c r="E11748" s="1063"/>
      <c r="H11748" s="1066"/>
      <c r="I11748" s="1063"/>
      <c r="J11748" s="1063"/>
      <c r="K11748" s="1063"/>
      <c r="L11748" s="1063"/>
    </row>
    <row r="11749" spans="5:12" x14ac:dyDescent="0.2">
      <c r="E11749" s="1063"/>
      <c r="H11749" s="1066"/>
      <c r="I11749" s="1063"/>
      <c r="J11749" s="1063"/>
      <c r="K11749" s="1063"/>
      <c r="L11749" s="1063"/>
    </row>
    <row r="11750" spans="5:12" x14ac:dyDescent="0.2">
      <c r="E11750" s="1063"/>
      <c r="H11750" s="1066"/>
      <c r="I11750" s="1063"/>
      <c r="J11750" s="1063"/>
      <c r="K11750" s="1063"/>
      <c r="L11750" s="1063"/>
    </row>
    <row r="11751" spans="5:12" x14ac:dyDescent="0.2">
      <c r="E11751" s="1063"/>
      <c r="H11751" s="1066"/>
      <c r="I11751" s="1063"/>
      <c r="J11751" s="1063"/>
      <c r="K11751" s="1063"/>
      <c r="L11751" s="1063"/>
    </row>
    <row r="11752" spans="5:12" x14ac:dyDescent="0.2">
      <c r="E11752" s="1063"/>
      <c r="H11752" s="1066"/>
      <c r="I11752" s="1063"/>
      <c r="J11752" s="1063"/>
      <c r="K11752" s="1063"/>
      <c r="L11752" s="1063"/>
    </row>
    <row r="11753" spans="5:12" x14ac:dyDescent="0.2">
      <c r="E11753" s="1063"/>
      <c r="H11753" s="1066"/>
      <c r="I11753" s="1063"/>
      <c r="J11753" s="1063"/>
      <c r="K11753" s="1063"/>
      <c r="L11753" s="1063"/>
    </row>
    <row r="11754" spans="5:12" x14ac:dyDescent="0.2">
      <c r="E11754" s="1063"/>
      <c r="H11754" s="1066"/>
      <c r="I11754" s="1063"/>
      <c r="J11754" s="1063"/>
      <c r="K11754" s="1063"/>
      <c r="L11754" s="1063"/>
    </row>
    <row r="11755" spans="5:12" x14ac:dyDescent="0.2">
      <c r="E11755" s="1063"/>
      <c r="H11755" s="1066"/>
      <c r="I11755" s="1063"/>
      <c r="J11755" s="1063"/>
      <c r="K11755" s="1063"/>
      <c r="L11755" s="1063"/>
    </row>
    <row r="11756" spans="5:12" x14ac:dyDescent="0.2">
      <c r="E11756" s="1063"/>
      <c r="H11756" s="1066"/>
      <c r="I11756" s="1063"/>
      <c r="J11756" s="1063"/>
      <c r="K11756" s="1063"/>
      <c r="L11756" s="1063"/>
    </row>
    <row r="11757" spans="5:12" x14ac:dyDescent="0.2">
      <c r="E11757" s="1063"/>
      <c r="H11757" s="1066"/>
      <c r="I11757" s="1063"/>
      <c r="J11757" s="1063"/>
      <c r="K11757" s="1063"/>
      <c r="L11757" s="1063"/>
    </row>
    <row r="11758" spans="5:12" x14ac:dyDescent="0.2">
      <c r="E11758" s="1063"/>
      <c r="H11758" s="1066"/>
      <c r="I11758" s="1063"/>
      <c r="J11758" s="1063"/>
      <c r="K11758" s="1063"/>
      <c r="L11758" s="1063"/>
    </row>
    <row r="11759" spans="5:12" x14ac:dyDescent="0.2">
      <c r="E11759" s="1063"/>
      <c r="H11759" s="1066"/>
      <c r="I11759" s="1063"/>
      <c r="J11759" s="1063"/>
      <c r="K11759" s="1063"/>
      <c r="L11759" s="1063"/>
    </row>
    <row r="11760" spans="5:12" x14ac:dyDescent="0.2">
      <c r="E11760" s="1063"/>
      <c r="H11760" s="1066"/>
      <c r="I11760" s="1063"/>
      <c r="J11760" s="1063"/>
      <c r="K11760" s="1063"/>
      <c r="L11760" s="1063"/>
    </row>
    <row r="11761" spans="5:12" x14ac:dyDescent="0.2">
      <c r="E11761" s="1063"/>
      <c r="H11761" s="1066"/>
      <c r="I11761" s="1063"/>
      <c r="J11761" s="1063"/>
      <c r="K11761" s="1063"/>
      <c r="L11761" s="1063"/>
    </row>
    <row r="11762" spans="5:12" x14ac:dyDescent="0.2">
      <c r="E11762" s="1063"/>
      <c r="H11762" s="1066"/>
      <c r="I11762" s="1063"/>
      <c r="J11762" s="1063"/>
      <c r="K11762" s="1063"/>
      <c r="L11762" s="1063"/>
    </row>
    <row r="11763" spans="5:12" x14ac:dyDescent="0.2">
      <c r="E11763" s="1063"/>
      <c r="H11763" s="1066"/>
      <c r="I11763" s="1063"/>
      <c r="J11763" s="1063"/>
      <c r="K11763" s="1063"/>
      <c r="L11763" s="1063"/>
    </row>
    <row r="11764" spans="5:12" x14ac:dyDescent="0.2">
      <c r="E11764" s="1063"/>
      <c r="H11764" s="1066"/>
      <c r="I11764" s="1063"/>
      <c r="J11764" s="1063"/>
      <c r="K11764" s="1063"/>
      <c r="L11764" s="1063"/>
    </row>
    <row r="11765" spans="5:12" x14ac:dyDescent="0.2">
      <c r="E11765" s="1063"/>
      <c r="H11765" s="1066"/>
      <c r="I11765" s="1063"/>
      <c r="J11765" s="1063"/>
      <c r="K11765" s="1063"/>
      <c r="L11765" s="1063"/>
    </row>
    <row r="11766" spans="5:12" x14ac:dyDescent="0.2">
      <c r="E11766" s="1063"/>
      <c r="H11766" s="1066"/>
      <c r="I11766" s="1063"/>
      <c r="J11766" s="1063"/>
      <c r="K11766" s="1063"/>
      <c r="L11766" s="1063"/>
    </row>
    <row r="11767" spans="5:12" x14ac:dyDescent="0.2">
      <c r="E11767" s="1063"/>
      <c r="H11767" s="1066"/>
      <c r="I11767" s="1063"/>
      <c r="J11767" s="1063"/>
      <c r="K11767" s="1063"/>
      <c r="L11767" s="1063"/>
    </row>
    <row r="11768" spans="5:12" x14ac:dyDescent="0.2">
      <c r="E11768" s="1063"/>
      <c r="H11768" s="1066"/>
      <c r="I11768" s="1063"/>
      <c r="J11768" s="1063"/>
      <c r="K11768" s="1063"/>
      <c r="L11768" s="1063"/>
    </row>
    <row r="11769" spans="5:12" x14ac:dyDescent="0.2">
      <c r="E11769" s="1063"/>
      <c r="H11769" s="1066"/>
      <c r="I11769" s="1063"/>
      <c r="J11769" s="1063"/>
      <c r="K11769" s="1063"/>
      <c r="L11769" s="1063"/>
    </row>
    <row r="11770" spans="5:12" x14ac:dyDescent="0.2">
      <c r="E11770" s="1063"/>
      <c r="H11770" s="1066"/>
      <c r="I11770" s="1063"/>
      <c r="J11770" s="1063"/>
      <c r="K11770" s="1063"/>
      <c r="L11770" s="1063"/>
    </row>
    <row r="11771" spans="5:12" x14ac:dyDescent="0.2">
      <c r="E11771" s="1063"/>
      <c r="H11771" s="1066"/>
      <c r="I11771" s="1063"/>
      <c r="J11771" s="1063"/>
      <c r="K11771" s="1063"/>
      <c r="L11771" s="1063"/>
    </row>
    <row r="11772" spans="5:12" x14ac:dyDescent="0.2">
      <c r="E11772" s="1063"/>
      <c r="H11772" s="1066"/>
      <c r="I11772" s="1063"/>
      <c r="J11772" s="1063"/>
      <c r="K11772" s="1063"/>
      <c r="L11772" s="1063"/>
    </row>
    <row r="11773" spans="5:12" x14ac:dyDescent="0.2">
      <c r="E11773" s="1063"/>
      <c r="H11773" s="1066"/>
      <c r="I11773" s="1063"/>
      <c r="J11773" s="1063"/>
      <c r="K11773" s="1063"/>
      <c r="L11773" s="1063"/>
    </row>
    <row r="11774" spans="5:12" x14ac:dyDescent="0.2">
      <c r="E11774" s="1063"/>
      <c r="H11774" s="1066"/>
      <c r="I11774" s="1063"/>
      <c r="J11774" s="1063"/>
      <c r="K11774" s="1063"/>
      <c r="L11774" s="1063"/>
    </row>
    <row r="11775" spans="5:12" x14ac:dyDescent="0.2">
      <c r="E11775" s="1063"/>
      <c r="H11775" s="1066"/>
      <c r="I11775" s="1063"/>
      <c r="J11775" s="1063"/>
      <c r="K11775" s="1063"/>
      <c r="L11775" s="1063"/>
    </row>
    <row r="11776" spans="5:12" x14ac:dyDescent="0.2">
      <c r="E11776" s="1063"/>
      <c r="H11776" s="1066"/>
      <c r="I11776" s="1063"/>
      <c r="J11776" s="1063"/>
      <c r="K11776" s="1063"/>
      <c r="L11776" s="1063"/>
    </row>
    <row r="11777" spans="5:12" x14ac:dyDescent="0.2">
      <c r="E11777" s="1063"/>
      <c r="H11777" s="1066"/>
      <c r="I11777" s="1063"/>
      <c r="J11777" s="1063"/>
      <c r="K11777" s="1063"/>
      <c r="L11777" s="1063"/>
    </row>
    <row r="11778" spans="5:12" x14ac:dyDescent="0.2">
      <c r="E11778" s="1063"/>
      <c r="H11778" s="1066"/>
      <c r="I11778" s="1063"/>
      <c r="J11778" s="1063"/>
      <c r="K11778" s="1063"/>
      <c r="L11778" s="1063"/>
    </row>
    <row r="11779" spans="5:12" x14ac:dyDescent="0.2">
      <c r="E11779" s="1063"/>
      <c r="H11779" s="1066"/>
      <c r="I11779" s="1063"/>
      <c r="J11779" s="1063"/>
      <c r="K11779" s="1063"/>
      <c r="L11779" s="1063"/>
    </row>
    <row r="11780" spans="5:12" x14ac:dyDescent="0.2">
      <c r="E11780" s="1063"/>
      <c r="H11780" s="1066"/>
      <c r="I11780" s="1063"/>
      <c r="J11780" s="1063"/>
      <c r="K11780" s="1063"/>
      <c r="L11780" s="1063"/>
    </row>
    <row r="11781" spans="5:12" x14ac:dyDescent="0.2">
      <c r="E11781" s="1063"/>
      <c r="H11781" s="1066"/>
      <c r="I11781" s="1063"/>
      <c r="J11781" s="1063"/>
      <c r="K11781" s="1063"/>
      <c r="L11781" s="1063"/>
    </row>
    <row r="11782" spans="5:12" x14ac:dyDescent="0.2">
      <c r="E11782" s="1063"/>
      <c r="H11782" s="1066"/>
      <c r="I11782" s="1063"/>
      <c r="J11782" s="1063"/>
      <c r="K11782" s="1063"/>
      <c r="L11782" s="1063"/>
    </row>
    <row r="11783" spans="5:12" x14ac:dyDescent="0.2">
      <c r="E11783" s="1063"/>
      <c r="H11783" s="1066"/>
      <c r="I11783" s="1063"/>
      <c r="J11783" s="1063"/>
      <c r="K11783" s="1063"/>
      <c r="L11783" s="1063"/>
    </row>
    <row r="11784" spans="5:12" x14ac:dyDescent="0.2">
      <c r="E11784" s="1063"/>
      <c r="H11784" s="1066"/>
      <c r="I11784" s="1063"/>
      <c r="J11784" s="1063"/>
      <c r="K11784" s="1063"/>
      <c r="L11784" s="1063"/>
    </row>
    <row r="11785" spans="5:12" x14ac:dyDescent="0.2">
      <c r="E11785" s="1063"/>
      <c r="H11785" s="1066"/>
      <c r="I11785" s="1063"/>
      <c r="J11785" s="1063"/>
      <c r="K11785" s="1063"/>
      <c r="L11785" s="1063"/>
    </row>
    <row r="11786" spans="5:12" x14ac:dyDescent="0.2">
      <c r="E11786" s="1063"/>
      <c r="H11786" s="1066"/>
      <c r="I11786" s="1063"/>
      <c r="J11786" s="1063"/>
      <c r="K11786" s="1063"/>
      <c r="L11786" s="1063"/>
    </row>
    <row r="11787" spans="5:12" x14ac:dyDescent="0.2">
      <c r="E11787" s="1063"/>
      <c r="H11787" s="1066"/>
      <c r="I11787" s="1063"/>
      <c r="J11787" s="1063"/>
      <c r="K11787" s="1063"/>
      <c r="L11787" s="1063"/>
    </row>
    <row r="11788" spans="5:12" x14ac:dyDescent="0.2">
      <c r="E11788" s="1063"/>
      <c r="H11788" s="1066"/>
      <c r="I11788" s="1063"/>
      <c r="J11788" s="1063"/>
      <c r="K11788" s="1063"/>
      <c r="L11788" s="1063"/>
    </row>
    <row r="11789" spans="5:12" x14ac:dyDescent="0.2">
      <c r="E11789" s="1063"/>
      <c r="H11789" s="1066"/>
      <c r="I11789" s="1063"/>
      <c r="J11789" s="1063"/>
      <c r="K11789" s="1063"/>
      <c r="L11789" s="1063"/>
    </row>
    <row r="11790" spans="5:12" x14ac:dyDescent="0.2">
      <c r="E11790" s="1063"/>
      <c r="H11790" s="1066"/>
      <c r="I11790" s="1063"/>
      <c r="J11790" s="1063"/>
      <c r="K11790" s="1063"/>
      <c r="L11790" s="1063"/>
    </row>
    <row r="11791" spans="5:12" x14ac:dyDescent="0.2">
      <c r="E11791" s="1063"/>
      <c r="H11791" s="1066"/>
      <c r="I11791" s="1063"/>
      <c r="J11791" s="1063"/>
      <c r="K11791" s="1063"/>
      <c r="L11791" s="1063"/>
    </row>
    <row r="11792" spans="5:12" x14ac:dyDescent="0.2">
      <c r="E11792" s="1063"/>
      <c r="H11792" s="1066"/>
      <c r="I11792" s="1063"/>
      <c r="J11792" s="1063"/>
      <c r="K11792" s="1063"/>
      <c r="L11792" s="1063"/>
    </row>
    <row r="11793" spans="5:12" x14ac:dyDescent="0.2">
      <c r="E11793" s="1063"/>
      <c r="H11793" s="1066"/>
      <c r="I11793" s="1063"/>
      <c r="J11793" s="1063"/>
      <c r="K11793" s="1063"/>
      <c r="L11793" s="1063"/>
    </row>
    <row r="11794" spans="5:12" x14ac:dyDescent="0.2">
      <c r="E11794" s="1063"/>
      <c r="H11794" s="1066"/>
      <c r="I11794" s="1063"/>
      <c r="J11794" s="1063"/>
      <c r="K11794" s="1063"/>
      <c r="L11794" s="1063"/>
    </row>
    <row r="11795" spans="5:12" x14ac:dyDescent="0.2">
      <c r="E11795" s="1063"/>
      <c r="H11795" s="1066"/>
      <c r="I11795" s="1063"/>
      <c r="J11795" s="1063"/>
      <c r="K11795" s="1063"/>
      <c r="L11795" s="1063"/>
    </row>
    <row r="11796" spans="5:12" x14ac:dyDescent="0.2">
      <c r="E11796" s="1063"/>
      <c r="H11796" s="1066"/>
      <c r="I11796" s="1063"/>
      <c r="J11796" s="1063"/>
      <c r="K11796" s="1063"/>
      <c r="L11796" s="1063"/>
    </row>
    <row r="11797" spans="5:12" x14ac:dyDescent="0.2">
      <c r="E11797" s="1063"/>
      <c r="H11797" s="1066"/>
      <c r="I11797" s="1063"/>
      <c r="J11797" s="1063"/>
      <c r="K11797" s="1063"/>
      <c r="L11797" s="1063"/>
    </row>
    <row r="11798" spans="5:12" x14ac:dyDescent="0.2">
      <c r="E11798" s="1063"/>
      <c r="H11798" s="1066"/>
      <c r="I11798" s="1063"/>
      <c r="J11798" s="1063"/>
      <c r="K11798" s="1063"/>
      <c r="L11798" s="1063"/>
    </row>
    <row r="11799" spans="5:12" x14ac:dyDescent="0.2">
      <c r="E11799" s="1063"/>
      <c r="H11799" s="1066"/>
      <c r="I11799" s="1063"/>
      <c r="J11799" s="1063"/>
      <c r="K11799" s="1063"/>
      <c r="L11799" s="1063"/>
    </row>
    <row r="11800" spans="5:12" x14ac:dyDescent="0.2">
      <c r="E11800" s="1063"/>
      <c r="H11800" s="1066"/>
      <c r="I11800" s="1063"/>
      <c r="J11800" s="1063"/>
      <c r="K11800" s="1063"/>
      <c r="L11800" s="1063"/>
    </row>
    <row r="11801" spans="5:12" x14ac:dyDescent="0.2">
      <c r="E11801" s="1063"/>
      <c r="H11801" s="1066"/>
      <c r="I11801" s="1063"/>
      <c r="J11801" s="1063"/>
      <c r="K11801" s="1063"/>
      <c r="L11801" s="1063"/>
    </row>
    <row r="11802" spans="5:12" x14ac:dyDescent="0.2">
      <c r="E11802" s="1063"/>
      <c r="H11802" s="1066"/>
      <c r="I11802" s="1063"/>
      <c r="J11802" s="1063"/>
      <c r="K11802" s="1063"/>
      <c r="L11802" s="1063"/>
    </row>
    <row r="11803" spans="5:12" x14ac:dyDescent="0.2">
      <c r="E11803" s="1063"/>
      <c r="H11803" s="1066"/>
      <c r="I11803" s="1063"/>
      <c r="J11803" s="1063"/>
      <c r="K11803" s="1063"/>
      <c r="L11803" s="1063"/>
    </row>
    <row r="11804" spans="5:12" x14ac:dyDescent="0.2">
      <c r="E11804" s="1063"/>
      <c r="H11804" s="1066"/>
      <c r="I11804" s="1063"/>
      <c r="J11804" s="1063"/>
      <c r="K11804" s="1063"/>
      <c r="L11804" s="1063"/>
    </row>
    <row r="11805" spans="5:12" x14ac:dyDescent="0.2">
      <c r="E11805" s="1063"/>
      <c r="H11805" s="1066"/>
      <c r="I11805" s="1063"/>
      <c r="J11805" s="1063"/>
      <c r="K11805" s="1063"/>
      <c r="L11805" s="1063"/>
    </row>
    <row r="11806" spans="5:12" x14ac:dyDescent="0.2">
      <c r="E11806" s="1063"/>
      <c r="H11806" s="1066"/>
      <c r="I11806" s="1063"/>
      <c r="J11806" s="1063"/>
      <c r="K11806" s="1063"/>
      <c r="L11806" s="1063"/>
    </row>
    <row r="11807" spans="5:12" x14ac:dyDescent="0.2">
      <c r="E11807" s="1063"/>
      <c r="H11807" s="1066"/>
      <c r="I11807" s="1063"/>
      <c r="J11807" s="1063"/>
      <c r="K11807" s="1063"/>
      <c r="L11807" s="1063"/>
    </row>
    <row r="11808" spans="5:12" x14ac:dyDescent="0.2">
      <c r="E11808" s="1063"/>
      <c r="H11808" s="1066"/>
      <c r="I11808" s="1063"/>
      <c r="J11808" s="1063"/>
      <c r="K11808" s="1063"/>
      <c r="L11808" s="1063"/>
    </row>
    <row r="11809" spans="5:12" x14ac:dyDescent="0.2">
      <c r="E11809" s="1063"/>
      <c r="H11809" s="1066"/>
      <c r="I11809" s="1063"/>
      <c r="J11809" s="1063"/>
      <c r="K11809" s="1063"/>
      <c r="L11809" s="1063"/>
    </row>
    <row r="11810" spans="5:12" x14ac:dyDescent="0.2">
      <c r="E11810" s="1063"/>
      <c r="H11810" s="1066"/>
      <c r="I11810" s="1063"/>
      <c r="J11810" s="1063"/>
      <c r="K11810" s="1063"/>
      <c r="L11810" s="1063"/>
    </row>
    <row r="11811" spans="5:12" x14ac:dyDescent="0.2">
      <c r="E11811" s="1063"/>
      <c r="H11811" s="1066"/>
      <c r="I11811" s="1063"/>
      <c r="J11811" s="1063"/>
      <c r="K11811" s="1063"/>
      <c r="L11811" s="1063"/>
    </row>
    <row r="11812" spans="5:12" x14ac:dyDescent="0.2">
      <c r="E11812" s="1063"/>
      <c r="H11812" s="1066"/>
      <c r="I11812" s="1063"/>
      <c r="J11812" s="1063"/>
      <c r="K11812" s="1063"/>
      <c r="L11812" s="1063"/>
    </row>
    <row r="11813" spans="5:12" x14ac:dyDescent="0.2">
      <c r="E11813" s="1063"/>
      <c r="H11813" s="1066"/>
      <c r="I11813" s="1063"/>
      <c r="J11813" s="1063"/>
      <c r="K11813" s="1063"/>
      <c r="L11813" s="1063"/>
    </row>
    <row r="11814" spans="5:12" x14ac:dyDescent="0.2">
      <c r="E11814" s="1063"/>
      <c r="H11814" s="1066"/>
      <c r="I11814" s="1063"/>
      <c r="J11814" s="1063"/>
      <c r="K11814" s="1063"/>
      <c r="L11814" s="1063"/>
    </row>
    <row r="11815" spans="5:12" x14ac:dyDescent="0.2">
      <c r="E11815" s="1063"/>
      <c r="H11815" s="1066"/>
      <c r="I11815" s="1063"/>
      <c r="J11815" s="1063"/>
      <c r="K11815" s="1063"/>
      <c r="L11815" s="1063"/>
    </row>
    <row r="11816" spans="5:12" x14ac:dyDescent="0.2">
      <c r="E11816" s="1063"/>
      <c r="H11816" s="1066"/>
      <c r="I11816" s="1063"/>
      <c r="J11816" s="1063"/>
      <c r="K11816" s="1063"/>
      <c r="L11816" s="1063"/>
    </row>
    <row r="11817" spans="5:12" x14ac:dyDescent="0.2">
      <c r="E11817" s="1063"/>
      <c r="H11817" s="1066"/>
      <c r="I11817" s="1063"/>
      <c r="J11817" s="1063"/>
      <c r="K11817" s="1063"/>
      <c r="L11817" s="1063"/>
    </row>
    <row r="11818" spans="5:12" x14ac:dyDescent="0.2">
      <c r="E11818" s="1063"/>
      <c r="H11818" s="1066"/>
      <c r="I11818" s="1063"/>
      <c r="J11818" s="1063"/>
      <c r="K11818" s="1063"/>
      <c r="L11818" s="1063"/>
    </row>
    <row r="11819" spans="5:12" x14ac:dyDescent="0.2">
      <c r="E11819" s="1063"/>
      <c r="H11819" s="1066"/>
      <c r="I11819" s="1063"/>
      <c r="J11819" s="1063"/>
      <c r="K11819" s="1063"/>
      <c r="L11819" s="1063"/>
    </row>
    <row r="11820" spans="5:12" x14ac:dyDescent="0.2">
      <c r="E11820" s="1063"/>
      <c r="H11820" s="1066"/>
      <c r="I11820" s="1063"/>
      <c r="J11820" s="1063"/>
      <c r="K11820" s="1063"/>
      <c r="L11820" s="1063"/>
    </row>
    <row r="11821" spans="5:12" x14ac:dyDescent="0.2">
      <c r="E11821" s="1063"/>
      <c r="H11821" s="1066"/>
      <c r="I11821" s="1063"/>
      <c r="J11821" s="1063"/>
      <c r="K11821" s="1063"/>
      <c r="L11821" s="1063"/>
    </row>
    <row r="11822" spans="5:12" x14ac:dyDescent="0.2">
      <c r="E11822" s="1063"/>
      <c r="H11822" s="1066"/>
      <c r="I11822" s="1063"/>
      <c r="J11822" s="1063"/>
      <c r="K11822" s="1063"/>
      <c r="L11822" s="1063"/>
    </row>
    <row r="11823" spans="5:12" x14ac:dyDescent="0.2">
      <c r="E11823" s="1063"/>
      <c r="H11823" s="1066"/>
      <c r="I11823" s="1063"/>
      <c r="J11823" s="1063"/>
      <c r="K11823" s="1063"/>
      <c r="L11823" s="1063"/>
    </row>
    <row r="11824" spans="5:12" x14ac:dyDescent="0.2">
      <c r="E11824" s="1063"/>
      <c r="H11824" s="1066"/>
      <c r="I11824" s="1063"/>
      <c r="J11824" s="1063"/>
      <c r="K11824" s="1063"/>
      <c r="L11824" s="1063"/>
    </row>
    <row r="11825" spans="5:12" x14ac:dyDescent="0.2">
      <c r="E11825" s="1063"/>
      <c r="H11825" s="1066"/>
      <c r="I11825" s="1063"/>
      <c r="J11825" s="1063"/>
      <c r="K11825" s="1063"/>
      <c r="L11825" s="1063"/>
    </row>
    <row r="11826" spans="5:12" x14ac:dyDescent="0.2">
      <c r="E11826" s="1063"/>
      <c r="H11826" s="1066"/>
      <c r="I11826" s="1063"/>
      <c r="J11826" s="1063"/>
      <c r="K11826" s="1063"/>
      <c r="L11826" s="1063"/>
    </row>
    <row r="11827" spans="5:12" x14ac:dyDescent="0.2">
      <c r="E11827" s="1063"/>
      <c r="H11827" s="1066"/>
      <c r="I11827" s="1063"/>
      <c r="J11827" s="1063"/>
      <c r="K11827" s="1063"/>
      <c r="L11827" s="1063"/>
    </row>
    <row r="11828" spans="5:12" x14ac:dyDescent="0.2">
      <c r="E11828" s="1063"/>
      <c r="H11828" s="1066"/>
      <c r="I11828" s="1063"/>
      <c r="J11828" s="1063"/>
      <c r="K11828" s="1063"/>
      <c r="L11828" s="1063"/>
    </row>
    <row r="11829" spans="5:12" x14ac:dyDescent="0.2">
      <c r="E11829" s="1063"/>
      <c r="H11829" s="1066"/>
      <c r="I11829" s="1063"/>
      <c r="J11829" s="1063"/>
      <c r="K11829" s="1063"/>
      <c r="L11829" s="1063"/>
    </row>
    <row r="11830" spans="5:12" x14ac:dyDescent="0.2">
      <c r="E11830" s="1063"/>
      <c r="H11830" s="1066"/>
      <c r="I11830" s="1063"/>
      <c r="J11830" s="1063"/>
      <c r="K11830" s="1063"/>
      <c r="L11830" s="1063"/>
    </row>
    <row r="11831" spans="5:12" x14ac:dyDescent="0.2">
      <c r="E11831" s="1063"/>
      <c r="H11831" s="1066"/>
      <c r="I11831" s="1063"/>
      <c r="J11831" s="1063"/>
      <c r="K11831" s="1063"/>
      <c r="L11831" s="1063"/>
    </row>
    <row r="11832" spans="5:12" x14ac:dyDescent="0.2">
      <c r="E11832" s="1063"/>
      <c r="H11832" s="1066"/>
      <c r="I11832" s="1063"/>
      <c r="J11832" s="1063"/>
      <c r="K11832" s="1063"/>
      <c r="L11832" s="1063"/>
    </row>
    <row r="11833" spans="5:12" x14ac:dyDescent="0.2">
      <c r="E11833" s="1063"/>
      <c r="H11833" s="1066"/>
      <c r="I11833" s="1063"/>
      <c r="J11833" s="1063"/>
      <c r="K11833" s="1063"/>
      <c r="L11833" s="1063"/>
    </row>
    <row r="11834" spans="5:12" x14ac:dyDescent="0.2">
      <c r="E11834" s="1063"/>
      <c r="H11834" s="1066"/>
      <c r="I11834" s="1063"/>
      <c r="J11834" s="1063"/>
      <c r="K11834" s="1063"/>
      <c r="L11834" s="1063"/>
    </row>
    <row r="11835" spans="5:12" x14ac:dyDescent="0.2">
      <c r="E11835" s="1063"/>
      <c r="H11835" s="1066"/>
      <c r="I11835" s="1063"/>
      <c r="J11835" s="1063"/>
      <c r="K11835" s="1063"/>
      <c r="L11835" s="1063"/>
    </row>
    <row r="11836" spans="5:12" x14ac:dyDescent="0.2">
      <c r="E11836" s="1063"/>
      <c r="H11836" s="1066"/>
      <c r="I11836" s="1063"/>
      <c r="J11836" s="1063"/>
      <c r="K11836" s="1063"/>
      <c r="L11836" s="1063"/>
    </row>
    <row r="11837" spans="5:12" x14ac:dyDescent="0.2">
      <c r="E11837" s="1063"/>
      <c r="H11837" s="1066"/>
      <c r="I11837" s="1063"/>
      <c r="J11837" s="1063"/>
      <c r="K11837" s="1063"/>
      <c r="L11837" s="1063"/>
    </row>
    <row r="11838" spans="5:12" x14ac:dyDescent="0.2">
      <c r="E11838" s="1063"/>
      <c r="H11838" s="1066"/>
      <c r="I11838" s="1063"/>
      <c r="J11838" s="1063"/>
      <c r="K11838" s="1063"/>
      <c r="L11838" s="1063"/>
    </row>
    <row r="11839" spans="5:12" x14ac:dyDescent="0.2">
      <c r="E11839" s="1063"/>
      <c r="H11839" s="1066"/>
      <c r="I11839" s="1063"/>
      <c r="J11839" s="1063"/>
      <c r="K11839" s="1063"/>
      <c r="L11839" s="1063"/>
    </row>
    <row r="11840" spans="5:12" x14ac:dyDescent="0.2">
      <c r="E11840" s="1063"/>
      <c r="H11840" s="1066"/>
      <c r="I11840" s="1063"/>
      <c r="J11840" s="1063"/>
      <c r="K11840" s="1063"/>
      <c r="L11840" s="1063"/>
    </row>
    <row r="11841" spans="5:12" x14ac:dyDescent="0.2">
      <c r="E11841" s="1063"/>
      <c r="H11841" s="1066"/>
      <c r="I11841" s="1063"/>
      <c r="J11841" s="1063"/>
      <c r="K11841" s="1063"/>
      <c r="L11841" s="1063"/>
    </row>
    <row r="11842" spans="5:12" x14ac:dyDescent="0.2">
      <c r="E11842" s="1063"/>
      <c r="H11842" s="1066"/>
      <c r="I11842" s="1063"/>
      <c r="J11842" s="1063"/>
      <c r="K11842" s="1063"/>
      <c r="L11842" s="1063"/>
    </row>
    <row r="11843" spans="5:12" x14ac:dyDescent="0.2">
      <c r="E11843" s="1063"/>
      <c r="H11843" s="1066"/>
      <c r="I11843" s="1063"/>
      <c r="J11843" s="1063"/>
      <c r="K11843" s="1063"/>
      <c r="L11843" s="1063"/>
    </row>
    <row r="11844" spans="5:12" x14ac:dyDescent="0.2">
      <c r="E11844" s="1063"/>
      <c r="H11844" s="1066"/>
      <c r="I11844" s="1063"/>
      <c r="J11844" s="1063"/>
      <c r="K11844" s="1063"/>
      <c r="L11844" s="1063"/>
    </row>
    <row r="11845" spans="5:12" x14ac:dyDescent="0.2">
      <c r="E11845" s="1063"/>
      <c r="H11845" s="1066"/>
      <c r="I11845" s="1063"/>
      <c r="J11845" s="1063"/>
      <c r="K11845" s="1063"/>
      <c r="L11845" s="1063"/>
    </row>
    <row r="11846" spans="5:12" x14ac:dyDescent="0.2">
      <c r="E11846" s="1063"/>
      <c r="H11846" s="1066"/>
      <c r="I11846" s="1063"/>
      <c r="J11846" s="1063"/>
      <c r="K11846" s="1063"/>
      <c r="L11846" s="1063"/>
    </row>
    <row r="11847" spans="5:12" x14ac:dyDescent="0.2">
      <c r="E11847" s="1063"/>
      <c r="H11847" s="1066"/>
      <c r="I11847" s="1063"/>
      <c r="J11847" s="1063"/>
      <c r="K11847" s="1063"/>
      <c r="L11847" s="1063"/>
    </row>
    <row r="11848" spans="5:12" x14ac:dyDescent="0.2">
      <c r="E11848" s="1063"/>
      <c r="H11848" s="1066"/>
      <c r="I11848" s="1063"/>
      <c r="J11848" s="1063"/>
      <c r="K11848" s="1063"/>
      <c r="L11848" s="1063"/>
    </row>
    <row r="11849" spans="5:12" x14ac:dyDescent="0.2">
      <c r="E11849" s="1063"/>
      <c r="H11849" s="1066"/>
      <c r="I11849" s="1063"/>
      <c r="J11849" s="1063"/>
      <c r="K11849" s="1063"/>
      <c r="L11849" s="1063"/>
    </row>
    <row r="11850" spans="5:12" x14ac:dyDescent="0.2">
      <c r="E11850" s="1063"/>
      <c r="H11850" s="1066"/>
      <c r="I11850" s="1063"/>
      <c r="J11850" s="1063"/>
      <c r="K11850" s="1063"/>
      <c r="L11850" s="1063"/>
    </row>
    <row r="11851" spans="5:12" x14ac:dyDescent="0.2">
      <c r="E11851" s="1063"/>
      <c r="H11851" s="1066"/>
      <c r="I11851" s="1063"/>
      <c r="J11851" s="1063"/>
      <c r="K11851" s="1063"/>
      <c r="L11851" s="1063"/>
    </row>
    <row r="11852" spans="5:12" x14ac:dyDescent="0.2">
      <c r="E11852" s="1063"/>
      <c r="H11852" s="1066"/>
      <c r="I11852" s="1063"/>
      <c r="J11852" s="1063"/>
      <c r="K11852" s="1063"/>
      <c r="L11852" s="1063"/>
    </row>
    <row r="11853" spans="5:12" x14ac:dyDescent="0.2">
      <c r="E11853" s="1063"/>
      <c r="H11853" s="1066"/>
      <c r="I11853" s="1063"/>
      <c r="J11853" s="1063"/>
      <c r="K11853" s="1063"/>
      <c r="L11853" s="1063"/>
    </row>
    <row r="11854" spans="5:12" x14ac:dyDescent="0.2">
      <c r="E11854" s="1063"/>
      <c r="H11854" s="1066"/>
      <c r="I11854" s="1063"/>
      <c r="J11854" s="1063"/>
      <c r="K11854" s="1063"/>
      <c r="L11854" s="1063"/>
    </row>
    <row r="11855" spans="5:12" x14ac:dyDescent="0.2">
      <c r="E11855" s="1063"/>
      <c r="H11855" s="1066"/>
      <c r="I11855" s="1063"/>
      <c r="J11855" s="1063"/>
      <c r="K11855" s="1063"/>
      <c r="L11855" s="1063"/>
    </row>
    <row r="11856" spans="5:12" x14ac:dyDescent="0.2">
      <c r="E11856" s="1063"/>
      <c r="H11856" s="1066"/>
      <c r="I11856" s="1063"/>
      <c r="J11856" s="1063"/>
      <c r="K11856" s="1063"/>
      <c r="L11856" s="1063"/>
    </row>
    <row r="11857" spans="5:12" x14ac:dyDescent="0.2">
      <c r="E11857" s="1063"/>
      <c r="H11857" s="1066"/>
      <c r="I11857" s="1063"/>
      <c r="J11857" s="1063"/>
      <c r="K11857" s="1063"/>
      <c r="L11857" s="1063"/>
    </row>
    <row r="11858" spans="5:12" x14ac:dyDescent="0.2">
      <c r="E11858" s="1063"/>
      <c r="H11858" s="1066"/>
      <c r="I11858" s="1063"/>
      <c r="J11858" s="1063"/>
      <c r="K11858" s="1063"/>
      <c r="L11858" s="1063"/>
    </row>
    <row r="11859" spans="5:12" x14ac:dyDescent="0.2">
      <c r="E11859" s="1063"/>
      <c r="H11859" s="1066"/>
      <c r="I11859" s="1063"/>
      <c r="J11859" s="1063"/>
      <c r="K11859" s="1063"/>
      <c r="L11859" s="1063"/>
    </row>
    <row r="11860" spans="5:12" x14ac:dyDescent="0.2">
      <c r="E11860" s="1063"/>
      <c r="H11860" s="1066"/>
      <c r="I11860" s="1063"/>
      <c r="J11860" s="1063"/>
      <c r="K11860" s="1063"/>
      <c r="L11860" s="1063"/>
    </row>
    <row r="11861" spans="5:12" x14ac:dyDescent="0.2">
      <c r="E11861" s="1063"/>
      <c r="H11861" s="1066"/>
      <c r="I11861" s="1063"/>
      <c r="J11861" s="1063"/>
      <c r="K11861" s="1063"/>
      <c r="L11861" s="1063"/>
    </row>
    <row r="11862" spans="5:12" x14ac:dyDescent="0.2">
      <c r="E11862" s="1063"/>
      <c r="H11862" s="1066"/>
      <c r="I11862" s="1063"/>
      <c r="J11862" s="1063"/>
      <c r="K11862" s="1063"/>
      <c r="L11862" s="1063"/>
    </row>
    <row r="11863" spans="5:12" x14ac:dyDescent="0.2">
      <c r="E11863" s="1063"/>
      <c r="H11863" s="1066"/>
      <c r="I11863" s="1063"/>
      <c r="J11863" s="1063"/>
      <c r="K11863" s="1063"/>
      <c r="L11863" s="1063"/>
    </row>
    <row r="11864" spans="5:12" x14ac:dyDescent="0.2">
      <c r="E11864" s="1063"/>
      <c r="H11864" s="1066"/>
      <c r="I11864" s="1063"/>
      <c r="J11864" s="1063"/>
      <c r="K11864" s="1063"/>
      <c r="L11864" s="1063"/>
    </row>
    <row r="11865" spans="5:12" x14ac:dyDescent="0.2">
      <c r="E11865" s="1063"/>
      <c r="H11865" s="1066"/>
      <c r="I11865" s="1063"/>
      <c r="J11865" s="1063"/>
      <c r="K11865" s="1063"/>
      <c r="L11865" s="1063"/>
    </row>
    <row r="11866" spans="5:12" x14ac:dyDescent="0.2">
      <c r="E11866" s="1063"/>
      <c r="H11866" s="1066"/>
      <c r="I11866" s="1063"/>
      <c r="J11866" s="1063"/>
      <c r="K11866" s="1063"/>
      <c r="L11866" s="1063"/>
    </row>
    <row r="11867" spans="5:12" x14ac:dyDescent="0.2">
      <c r="E11867" s="1063"/>
      <c r="H11867" s="1066"/>
      <c r="I11867" s="1063"/>
      <c r="J11867" s="1063"/>
      <c r="K11867" s="1063"/>
      <c r="L11867" s="1063"/>
    </row>
    <row r="11868" spans="5:12" x14ac:dyDescent="0.2">
      <c r="E11868" s="1063"/>
      <c r="H11868" s="1066"/>
      <c r="I11868" s="1063"/>
      <c r="J11868" s="1063"/>
      <c r="K11868" s="1063"/>
      <c r="L11868" s="1063"/>
    </row>
    <row r="11869" spans="5:12" x14ac:dyDescent="0.2">
      <c r="E11869" s="1063"/>
      <c r="H11869" s="1066"/>
      <c r="I11869" s="1063"/>
      <c r="J11869" s="1063"/>
      <c r="K11869" s="1063"/>
      <c r="L11869" s="1063"/>
    </row>
    <row r="11870" spans="5:12" x14ac:dyDescent="0.2">
      <c r="E11870" s="1063"/>
      <c r="H11870" s="1066"/>
      <c r="I11870" s="1063"/>
      <c r="J11870" s="1063"/>
      <c r="K11870" s="1063"/>
      <c r="L11870" s="1063"/>
    </row>
    <row r="11871" spans="5:12" x14ac:dyDescent="0.2">
      <c r="E11871" s="1063"/>
      <c r="H11871" s="1066"/>
      <c r="I11871" s="1063"/>
      <c r="J11871" s="1063"/>
      <c r="K11871" s="1063"/>
      <c r="L11871" s="1063"/>
    </row>
    <row r="11872" spans="5:12" x14ac:dyDescent="0.2">
      <c r="E11872" s="1063"/>
      <c r="H11872" s="1066"/>
      <c r="I11872" s="1063"/>
      <c r="J11872" s="1063"/>
      <c r="K11872" s="1063"/>
      <c r="L11872" s="1063"/>
    </row>
    <row r="11873" spans="5:12" x14ac:dyDescent="0.2">
      <c r="E11873" s="1063"/>
      <c r="H11873" s="1066"/>
      <c r="I11873" s="1063"/>
      <c r="J11873" s="1063"/>
      <c r="K11873" s="1063"/>
      <c r="L11873" s="1063"/>
    </row>
    <row r="11874" spans="5:12" x14ac:dyDescent="0.2">
      <c r="E11874" s="1063"/>
      <c r="H11874" s="1066"/>
      <c r="I11874" s="1063"/>
      <c r="J11874" s="1063"/>
      <c r="K11874" s="1063"/>
      <c r="L11874" s="1063"/>
    </row>
    <row r="11875" spans="5:12" x14ac:dyDescent="0.2">
      <c r="E11875" s="1063"/>
      <c r="H11875" s="1066"/>
      <c r="I11875" s="1063"/>
      <c r="J11875" s="1063"/>
      <c r="K11875" s="1063"/>
      <c r="L11875" s="1063"/>
    </row>
    <row r="11876" spans="5:12" x14ac:dyDescent="0.2">
      <c r="E11876" s="1063"/>
      <c r="H11876" s="1066"/>
      <c r="I11876" s="1063"/>
      <c r="J11876" s="1063"/>
      <c r="K11876" s="1063"/>
      <c r="L11876" s="1063"/>
    </row>
    <row r="11877" spans="5:12" x14ac:dyDescent="0.2">
      <c r="E11877" s="1063"/>
      <c r="H11877" s="1066"/>
      <c r="I11877" s="1063"/>
      <c r="J11877" s="1063"/>
      <c r="K11877" s="1063"/>
      <c r="L11877" s="1063"/>
    </row>
    <row r="11878" spans="5:12" x14ac:dyDescent="0.2">
      <c r="E11878" s="1063"/>
      <c r="H11878" s="1066"/>
      <c r="I11878" s="1063"/>
      <c r="J11878" s="1063"/>
      <c r="K11878" s="1063"/>
      <c r="L11878" s="1063"/>
    </row>
    <row r="11879" spans="5:12" x14ac:dyDescent="0.2">
      <c r="E11879" s="1063"/>
      <c r="H11879" s="1066"/>
      <c r="I11879" s="1063"/>
      <c r="J11879" s="1063"/>
      <c r="K11879" s="1063"/>
      <c r="L11879" s="1063"/>
    </row>
    <row r="11880" spans="5:12" x14ac:dyDescent="0.2">
      <c r="E11880" s="1063"/>
      <c r="H11880" s="1066"/>
      <c r="I11880" s="1063"/>
      <c r="J11880" s="1063"/>
      <c r="K11880" s="1063"/>
      <c r="L11880" s="1063"/>
    </row>
    <row r="11881" spans="5:12" x14ac:dyDescent="0.2">
      <c r="E11881" s="1063"/>
      <c r="H11881" s="1066"/>
      <c r="I11881" s="1063"/>
      <c r="J11881" s="1063"/>
      <c r="K11881" s="1063"/>
      <c r="L11881" s="1063"/>
    </row>
    <row r="11882" spans="5:12" x14ac:dyDescent="0.2">
      <c r="E11882" s="1063"/>
      <c r="H11882" s="1066"/>
      <c r="I11882" s="1063"/>
      <c r="J11882" s="1063"/>
      <c r="K11882" s="1063"/>
      <c r="L11882" s="1063"/>
    </row>
    <row r="11883" spans="5:12" x14ac:dyDescent="0.2">
      <c r="E11883" s="1063"/>
      <c r="H11883" s="1066"/>
      <c r="I11883" s="1063"/>
      <c r="J11883" s="1063"/>
      <c r="K11883" s="1063"/>
      <c r="L11883" s="1063"/>
    </row>
    <row r="11884" spans="5:12" x14ac:dyDescent="0.2">
      <c r="E11884" s="1063"/>
      <c r="H11884" s="1066"/>
      <c r="I11884" s="1063"/>
      <c r="J11884" s="1063"/>
      <c r="K11884" s="1063"/>
      <c r="L11884" s="1063"/>
    </row>
    <row r="11885" spans="5:12" x14ac:dyDescent="0.2">
      <c r="E11885" s="1063"/>
      <c r="H11885" s="1066"/>
      <c r="I11885" s="1063"/>
      <c r="J11885" s="1063"/>
      <c r="K11885" s="1063"/>
      <c r="L11885" s="1063"/>
    </row>
    <row r="11886" spans="5:12" x14ac:dyDescent="0.2">
      <c r="E11886" s="1063"/>
      <c r="H11886" s="1066"/>
      <c r="I11886" s="1063"/>
      <c r="J11886" s="1063"/>
      <c r="K11886" s="1063"/>
      <c r="L11886" s="1063"/>
    </row>
    <row r="11887" spans="5:12" x14ac:dyDescent="0.2">
      <c r="E11887" s="1063"/>
      <c r="H11887" s="1066"/>
      <c r="I11887" s="1063"/>
      <c r="J11887" s="1063"/>
      <c r="K11887" s="1063"/>
      <c r="L11887" s="1063"/>
    </row>
    <row r="11888" spans="5:12" x14ac:dyDescent="0.2">
      <c r="E11888" s="1063"/>
      <c r="H11888" s="1066"/>
      <c r="I11888" s="1063"/>
      <c r="J11888" s="1063"/>
      <c r="K11888" s="1063"/>
      <c r="L11888" s="1063"/>
    </row>
    <row r="11889" spans="5:12" x14ac:dyDescent="0.2">
      <c r="E11889" s="1063"/>
      <c r="H11889" s="1066"/>
      <c r="I11889" s="1063"/>
      <c r="J11889" s="1063"/>
      <c r="K11889" s="1063"/>
      <c r="L11889" s="1063"/>
    </row>
    <row r="11890" spans="5:12" x14ac:dyDescent="0.2">
      <c r="E11890" s="1063"/>
      <c r="H11890" s="1066"/>
      <c r="I11890" s="1063"/>
      <c r="J11890" s="1063"/>
      <c r="K11890" s="1063"/>
      <c r="L11890" s="1063"/>
    </row>
    <row r="11891" spans="5:12" x14ac:dyDescent="0.2">
      <c r="E11891" s="1063"/>
      <c r="H11891" s="1066"/>
      <c r="I11891" s="1063"/>
      <c r="J11891" s="1063"/>
      <c r="K11891" s="1063"/>
      <c r="L11891" s="1063"/>
    </row>
    <row r="11892" spans="5:12" x14ac:dyDescent="0.2">
      <c r="E11892" s="1063"/>
      <c r="H11892" s="1066"/>
      <c r="I11892" s="1063"/>
      <c r="J11892" s="1063"/>
      <c r="K11892" s="1063"/>
      <c r="L11892" s="1063"/>
    </row>
    <row r="11893" spans="5:12" x14ac:dyDescent="0.2">
      <c r="E11893" s="1063"/>
      <c r="H11893" s="1066"/>
      <c r="I11893" s="1063"/>
      <c r="J11893" s="1063"/>
      <c r="K11893" s="1063"/>
      <c r="L11893" s="1063"/>
    </row>
    <row r="11894" spans="5:12" x14ac:dyDescent="0.2">
      <c r="E11894" s="1063"/>
      <c r="H11894" s="1066"/>
      <c r="I11894" s="1063"/>
      <c r="J11894" s="1063"/>
      <c r="K11894" s="1063"/>
      <c r="L11894" s="1063"/>
    </row>
    <row r="11895" spans="5:12" x14ac:dyDescent="0.2">
      <c r="E11895" s="1063"/>
      <c r="H11895" s="1066"/>
      <c r="I11895" s="1063"/>
      <c r="J11895" s="1063"/>
      <c r="K11895" s="1063"/>
      <c r="L11895" s="1063"/>
    </row>
    <row r="11896" spans="5:12" x14ac:dyDescent="0.2">
      <c r="E11896" s="1063"/>
      <c r="H11896" s="1066"/>
      <c r="I11896" s="1063"/>
      <c r="J11896" s="1063"/>
      <c r="K11896" s="1063"/>
      <c r="L11896" s="1063"/>
    </row>
    <row r="11897" spans="5:12" x14ac:dyDescent="0.2">
      <c r="E11897" s="1063"/>
      <c r="H11897" s="1066"/>
      <c r="I11897" s="1063"/>
      <c r="J11897" s="1063"/>
      <c r="K11897" s="1063"/>
      <c r="L11897" s="1063"/>
    </row>
    <row r="11898" spans="5:12" x14ac:dyDescent="0.2">
      <c r="E11898" s="1063"/>
      <c r="H11898" s="1066"/>
      <c r="I11898" s="1063"/>
      <c r="J11898" s="1063"/>
      <c r="K11898" s="1063"/>
      <c r="L11898" s="1063"/>
    </row>
    <row r="11899" spans="5:12" x14ac:dyDescent="0.2">
      <c r="E11899" s="1063"/>
      <c r="H11899" s="1066"/>
      <c r="I11899" s="1063"/>
      <c r="J11899" s="1063"/>
      <c r="K11899" s="1063"/>
      <c r="L11899" s="1063"/>
    </row>
    <row r="11900" spans="5:12" x14ac:dyDescent="0.2">
      <c r="E11900" s="1063"/>
      <c r="H11900" s="1066"/>
      <c r="I11900" s="1063"/>
      <c r="J11900" s="1063"/>
      <c r="K11900" s="1063"/>
      <c r="L11900" s="1063"/>
    </row>
    <row r="11901" spans="5:12" x14ac:dyDescent="0.2">
      <c r="E11901" s="1063"/>
      <c r="H11901" s="1066"/>
      <c r="I11901" s="1063"/>
      <c r="J11901" s="1063"/>
      <c r="K11901" s="1063"/>
      <c r="L11901" s="1063"/>
    </row>
    <row r="11902" spans="5:12" x14ac:dyDescent="0.2">
      <c r="E11902" s="1063"/>
      <c r="H11902" s="1066"/>
      <c r="I11902" s="1063"/>
      <c r="J11902" s="1063"/>
      <c r="K11902" s="1063"/>
      <c r="L11902" s="1063"/>
    </row>
    <row r="11903" spans="5:12" x14ac:dyDescent="0.2">
      <c r="E11903" s="1063"/>
      <c r="H11903" s="1066"/>
      <c r="I11903" s="1063"/>
      <c r="J11903" s="1063"/>
      <c r="K11903" s="1063"/>
      <c r="L11903" s="1063"/>
    </row>
    <row r="11904" spans="5:12" x14ac:dyDescent="0.2">
      <c r="E11904" s="1063"/>
      <c r="H11904" s="1066"/>
      <c r="I11904" s="1063"/>
      <c r="J11904" s="1063"/>
      <c r="K11904" s="1063"/>
      <c r="L11904" s="1063"/>
    </row>
    <row r="11905" spans="5:12" x14ac:dyDescent="0.2">
      <c r="E11905" s="1063"/>
      <c r="H11905" s="1066"/>
      <c r="I11905" s="1063"/>
      <c r="J11905" s="1063"/>
      <c r="K11905" s="1063"/>
      <c r="L11905" s="1063"/>
    </row>
    <row r="11906" spans="5:12" x14ac:dyDescent="0.2">
      <c r="E11906" s="1063"/>
      <c r="H11906" s="1066"/>
      <c r="I11906" s="1063"/>
      <c r="J11906" s="1063"/>
      <c r="K11906" s="1063"/>
      <c r="L11906" s="1063"/>
    </row>
    <row r="11907" spans="5:12" x14ac:dyDescent="0.2">
      <c r="E11907" s="1063"/>
      <c r="H11907" s="1066"/>
      <c r="I11907" s="1063"/>
      <c r="J11907" s="1063"/>
      <c r="K11907" s="1063"/>
      <c r="L11907" s="1063"/>
    </row>
    <row r="11908" spans="5:12" x14ac:dyDescent="0.2">
      <c r="E11908" s="1063"/>
      <c r="H11908" s="1066"/>
      <c r="I11908" s="1063"/>
      <c r="J11908" s="1063"/>
      <c r="K11908" s="1063"/>
      <c r="L11908" s="1063"/>
    </row>
    <row r="11909" spans="5:12" x14ac:dyDescent="0.2">
      <c r="E11909" s="1063"/>
      <c r="H11909" s="1066"/>
      <c r="I11909" s="1063"/>
      <c r="J11909" s="1063"/>
      <c r="K11909" s="1063"/>
      <c r="L11909" s="1063"/>
    </row>
    <row r="11910" spans="5:12" x14ac:dyDescent="0.2">
      <c r="E11910" s="1063"/>
      <c r="H11910" s="1066"/>
      <c r="I11910" s="1063"/>
      <c r="J11910" s="1063"/>
      <c r="K11910" s="1063"/>
      <c r="L11910" s="1063"/>
    </row>
    <row r="11911" spans="5:12" x14ac:dyDescent="0.2">
      <c r="E11911" s="1063"/>
      <c r="H11911" s="1066"/>
      <c r="I11911" s="1063"/>
      <c r="J11911" s="1063"/>
      <c r="K11911" s="1063"/>
      <c r="L11911" s="1063"/>
    </row>
    <row r="11912" spans="5:12" x14ac:dyDescent="0.2">
      <c r="E11912" s="1063"/>
      <c r="H11912" s="1066"/>
      <c r="I11912" s="1063"/>
      <c r="J11912" s="1063"/>
      <c r="K11912" s="1063"/>
      <c r="L11912" s="1063"/>
    </row>
    <row r="11913" spans="5:12" x14ac:dyDescent="0.2">
      <c r="E11913" s="1063"/>
      <c r="H11913" s="1066"/>
      <c r="I11913" s="1063"/>
      <c r="J11913" s="1063"/>
      <c r="K11913" s="1063"/>
      <c r="L11913" s="1063"/>
    </row>
    <row r="11914" spans="5:12" x14ac:dyDescent="0.2">
      <c r="E11914" s="1063"/>
      <c r="H11914" s="1066"/>
      <c r="I11914" s="1063"/>
      <c r="J11914" s="1063"/>
      <c r="K11914" s="1063"/>
      <c r="L11914" s="1063"/>
    </row>
    <row r="11915" spans="5:12" x14ac:dyDescent="0.2">
      <c r="E11915" s="1063"/>
      <c r="H11915" s="1066"/>
      <c r="I11915" s="1063"/>
      <c r="J11915" s="1063"/>
      <c r="K11915" s="1063"/>
      <c r="L11915" s="1063"/>
    </row>
    <row r="11916" spans="5:12" x14ac:dyDescent="0.2">
      <c r="E11916" s="1063"/>
      <c r="H11916" s="1066"/>
      <c r="I11916" s="1063"/>
      <c r="J11916" s="1063"/>
      <c r="K11916" s="1063"/>
      <c r="L11916" s="1063"/>
    </row>
    <row r="11917" spans="5:12" x14ac:dyDescent="0.2">
      <c r="E11917" s="1063"/>
      <c r="H11917" s="1066"/>
      <c r="I11917" s="1063"/>
      <c r="J11917" s="1063"/>
      <c r="K11917" s="1063"/>
      <c r="L11917" s="1063"/>
    </row>
    <row r="11918" spans="5:12" x14ac:dyDescent="0.2">
      <c r="E11918" s="1063"/>
      <c r="H11918" s="1066"/>
      <c r="I11918" s="1063"/>
      <c r="J11918" s="1063"/>
      <c r="K11918" s="1063"/>
      <c r="L11918" s="1063"/>
    </row>
    <row r="11919" spans="5:12" x14ac:dyDescent="0.2">
      <c r="E11919" s="1063"/>
      <c r="H11919" s="1066"/>
      <c r="I11919" s="1063"/>
      <c r="J11919" s="1063"/>
      <c r="K11919" s="1063"/>
      <c r="L11919" s="1063"/>
    </row>
    <row r="11920" spans="5:12" x14ac:dyDescent="0.2">
      <c r="E11920" s="1063"/>
      <c r="H11920" s="1066"/>
      <c r="I11920" s="1063"/>
      <c r="J11920" s="1063"/>
      <c r="K11920" s="1063"/>
      <c r="L11920" s="1063"/>
    </row>
    <row r="11921" spans="5:12" x14ac:dyDescent="0.2">
      <c r="E11921" s="1063"/>
      <c r="H11921" s="1066"/>
      <c r="I11921" s="1063"/>
      <c r="J11921" s="1063"/>
      <c r="K11921" s="1063"/>
      <c r="L11921" s="1063"/>
    </row>
    <row r="11922" spans="5:12" x14ac:dyDescent="0.2">
      <c r="E11922" s="1063"/>
      <c r="H11922" s="1066"/>
      <c r="I11922" s="1063"/>
      <c r="J11922" s="1063"/>
      <c r="K11922" s="1063"/>
      <c r="L11922" s="1063"/>
    </row>
    <row r="11923" spans="5:12" x14ac:dyDescent="0.2">
      <c r="E11923" s="1063"/>
      <c r="H11923" s="1066"/>
      <c r="I11923" s="1063"/>
      <c r="J11923" s="1063"/>
      <c r="K11923" s="1063"/>
      <c r="L11923" s="1063"/>
    </row>
    <row r="11924" spans="5:12" x14ac:dyDescent="0.2">
      <c r="E11924" s="1063"/>
      <c r="H11924" s="1066"/>
      <c r="I11924" s="1063"/>
      <c r="J11924" s="1063"/>
      <c r="K11924" s="1063"/>
      <c r="L11924" s="1063"/>
    </row>
    <row r="11925" spans="5:12" x14ac:dyDescent="0.2">
      <c r="E11925" s="1063"/>
      <c r="H11925" s="1066"/>
      <c r="I11925" s="1063"/>
      <c r="J11925" s="1063"/>
      <c r="K11925" s="1063"/>
      <c r="L11925" s="1063"/>
    </row>
    <row r="11926" spans="5:12" x14ac:dyDescent="0.2">
      <c r="E11926" s="1063"/>
      <c r="H11926" s="1066"/>
      <c r="I11926" s="1063"/>
      <c r="J11926" s="1063"/>
      <c r="K11926" s="1063"/>
      <c r="L11926" s="1063"/>
    </row>
    <row r="11927" spans="5:12" x14ac:dyDescent="0.2">
      <c r="E11927" s="1063"/>
      <c r="H11927" s="1066"/>
      <c r="I11927" s="1063"/>
      <c r="J11927" s="1063"/>
      <c r="K11927" s="1063"/>
      <c r="L11927" s="1063"/>
    </row>
    <row r="11928" spans="5:12" x14ac:dyDescent="0.2">
      <c r="E11928" s="1063"/>
      <c r="H11928" s="1066"/>
      <c r="I11928" s="1063"/>
      <c r="J11928" s="1063"/>
      <c r="K11928" s="1063"/>
      <c r="L11928" s="1063"/>
    </row>
    <row r="11929" spans="5:12" x14ac:dyDescent="0.2">
      <c r="E11929" s="1063"/>
      <c r="H11929" s="1066"/>
      <c r="I11929" s="1063"/>
      <c r="J11929" s="1063"/>
      <c r="K11929" s="1063"/>
      <c r="L11929" s="1063"/>
    </row>
    <row r="11930" spans="5:12" x14ac:dyDescent="0.2">
      <c r="E11930" s="1063"/>
      <c r="H11930" s="1066"/>
      <c r="I11930" s="1063"/>
      <c r="J11930" s="1063"/>
      <c r="K11930" s="1063"/>
      <c r="L11930" s="1063"/>
    </row>
    <row r="11931" spans="5:12" x14ac:dyDescent="0.2">
      <c r="E11931" s="1063"/>
      <c r="H11931" s="1066"/>
      <c r="I11931" s="1063"/>
      <c r="J11931" s="1063"/>
      <c r="K11931" s="1063"/>
      <c r="L11931" s="1063"/>
    </row>
    <row r="11932" spans="5:12" x14ac:dyDescent="0.2">
      <c r="E11932" s="1063"/>
      <c r="H11932" s="1066"/>
      <c r="I11932" s="1063"/>
      <c r="J11932" s="1063"/>
      <c r="K11932" s="1063"/>
      <c r="L11932" s="1063"/>
    </row>
    <row r="11933" spans="5:12" x14ac:dyDescent="0.2">
      <c r="E11933" s="1063"/>
      <c r="H11933" s="1066"/>
      <c r="I11933" s="1063"/>
      <c r="J11933" s="1063"/>
      <c r="K11933" s="1063"/>
      <c r="L11933" s="1063"/>
    </row>
    <row r="11934" spans="5:12" x14ac:dyDescent="0.2">
      <c r="E11934" s="1063"/>
      <c r="H11934" s="1066"/>
      <c r="I11934" s="1063"/>
      <c r="J11934" s="1063"/>
      <c r="K11934" s="1063"/>
      <c r="L11934" s="1063"/>
    </row>
    <row r="11935" spans="5:12" x14ac:dyDescent="0.2">
      <c r="E11935" s="1063"/>
      <c r="H11935" s="1066"/>
      <c r="I11935" s="1063"/>
      <c r="J11935" s="1063"/>
      <c r="K11935" s="1063"/>
      <c r="L11935" s="1063"/>
    </row>
    <row r="11936" spans="5:12" x14ac:dyDescent="0.2">
      <c r="E11936" s="1063"/>
      <c r="H11936" s="1066"/>
      <c r="I11936" s="1063"/>
      <c r="J11936" s="1063"/>
      <c r="K11936" s="1063"/>
      <c r="L11936" s="1063"/>
    </row>
    <row r="11937" spans="5:12" x14ac:dyDescent="0.2">
      <c r="E11937" s="1063"/>
      <c r="H11937" s="1066"/>
      <c r="I11937" s="1063"/>
      <c r="J11937" s="1063"/>
      <c r="K11937" s="1063"/>
      <c r="L11937" s="1063"/>
    </row>
    <row r="11938" spans="5:12" x14ac:dyDescent="0.2">
      <c r="E11938" s="1063"/>
      <c r="H11938" s="1066"/>
      <c r="I11938" s="1063"/>
      <c r="J11938" s="1063"/>
      <c r="K11938" s="1063"/>
      <c r="L11938" s="1063"/>
    </row>
    <row r="11939" spans="5:12" x14ac:dyDescent="0.2">
      <c r="E11939" s="1063"/>
      <c r="H11939" s="1066"/>
      <c r="I11939" s="1063"/>
      <c r="J11939" s="1063"/>
      <c r="K11939" s="1063"/>
      <c r="L11939" s="1063"/>
    </row>
    <row r="11940" spans="5:12" x14ac:dyDescent="0.2">
      <c r="E11940" s="1063"/>
      <c r="H11940" s="1066"/>
      <c r="I11940" s="1063"/>
      <c r="J11940" s="1063"/>
      <c r="K11940" s="1063"/>
      <c r="L11940" s="1063"/>
    </row>
    <row r="11941" spans="5:12" x14ac:dyDescent="0.2">
      <c r="E11941" s="1063"/>
      <c r="H11941" s="1066"/>
      <c r="I11941" s="1063"/>
      <c r="J11941" s="1063"/>
      <c r="K11941" s="1063"/>
      <c r="L11941" s="1063"/>
    </row>
    <row r="11942" spans="5:12" x14ac:dyDescent="0.2">
      <c r="E11942" s="1063"/>
      <c r="H11942" s="1066"/>
      <c r="I11942" s="1063"/>
      <c r="J11942" s="1063"/>
      <c r="K11942" s="1063"/>
      <c r="L11942" s="1063"/>
    </row>
    <row r="11943" spans="5:12" x14ac:dyDescent="0.2">
      <c r="E11943" s="1063"/>
      <c r="H11943" s="1066"/>
      <c r="I11943" s="1063"/>
      <c r="J11943" s="1063"/>
      <c r="K11943" s="1063"/>
      <c r="L11943" s="1063"/>
    </row>
    <row r="11944" spans="5:12" x14ac:dyDescent="0.2">
      <c r="E11944" s="1063"/>
      <c r="H11944" s="1066"/>
      <c r="I11944" s="1063"/>
      <c r="J11944" s="1063"/>
      <c r="K11944" s="1063"/>
      <c r="L11944" s="1063"/>
    </row>
    <row r="11945" spans="5:12" x14ac:dyDescent="0.2">
      <c r="E11945" s="1063"/>
      <c r="H11945" s="1066"/>
      <c r="I11945" s="1063"/>
      <c r="J11945" s="1063"/>
      <c r="K11945" s="1063"/>
      <c r="L11945" s="1063"/>
    </row>
    <row r="11946" spans="5:12" x14ac:dyDescent="0.2">
      <c r="E11946" s="1063"/>
      <c r="H11946" s="1066"/>
      <c r="I11946" s="1063"/>
      <c r="J11946" s="1063"/>
      <c r="K11946" s="1063"/>
      <c r="L11946" s="1063"/>
    </row>
    <row r="11947" spans="5:12" x14ac:dyDescent="0.2">
      <c r="E11947" s="1063"/>
      <c r="H11947" s="1066"/>
      <c r="I11947" s="1063"/>
      <c r="J11947" s="1063"/>
      <c r="K11947" s="1063"/>
      <c r="L11947" s="1063"/>
    </row>
    <row r="11948" spans="5:12" x14ac:dyDescent="0.2">
      <c r="E11948" s="1063"/>
      <c r="H11948" s="1066"/>
      <c r="I11948" s="1063"/>
      <c r="J11948" s="1063"/>
      <c r="K11948" s="1063"/>
      <c r="L11948" s="1063"/>
    </row>
    <row r="11949" spans="5:12" x14ac:dyDescent="0.2">
      <c r="E11949" s="1063"/>
      <c r="H11949" s="1066"/>
      <c r="I11949" s="1063"/>
      <c r="J11949" s="1063"/>
      <c r="K11949" s="1063"/>
      <c r="L11949" s="1063"/>
    </row>
    <row r="11950" spans="5:12" x14ac:dyDescent="0.2">
      <c r="E11950" s="1063"/>
      <c r="H11950" s="1066"/>
      <c r="I11950" s="1063"/>
      <c r="J11950" s="1063"/>
      <c r="K11950" s="1063"/>
      <c r="L11950" s="1063"/>
    </row>
    <row r="11951" spans="5:12" x14ac:dyDescent="0.2">
      <c r="E11951" s="1063"/>
      <c r="H11951" s="1066"/>
      <c r="I11951" s="1063"/>
      <c r="J11951" s="1063"/>
      <c r="K11951" s="1063"/>
      <c r="L11951" s="1063"/>
    </row>
    <row r="11952" spans="5:12" x14ac:dyDescent="0.2">
      <c r="E11952" s="1063"/>
      <c r="H11952" s="1066"/>
      <c r="I11952" s="1063"/>
      <c r="J11952" s="1063"/>
      <c r="K11952" s="1063"/>
      <c r="L11952" s="1063"/>
    </row>
    <row r="11953" spans="5:12" x14ac:dyDescent="0.2">
      <c r="E11953" s="1063"/>
      <c r="H11953" s="1066"/>
      <c r="I11953" s="1063"/>
      <c r="J11953" s="1063"/>
      <c r="K11953" s="1063"/>
      <c r="L11953" s="1063"/>
    </row>
    <row r="11954" spans="5:12" x14ac:dyDescent="0.2">
      <c r="E11954" s="1063"/>
      <c r="H11954" s="1066"/>
      <c r="I11954" s="1063"/>
      <c r="J11954" s="1063"/>
      <c r="K11954" s="1063"/>
      <c r="L11954" s="1063"/>
    </row>
    <row r="11955" spans="5:12" x14ac:dyDescent="0.2">
      <c r="E11955" s="1063"/>
      <c r="H11955" s="1066"/>
      <c r="I11955" s="1063"/>
      <c r="J11955" s="1063"/>
      <c r="K11955" s="1063"/>
      <c r="L11955" s="1063"/>
    </row>
    <row r="11956" spans="5:12" x14ac:dyDescent="0.2">
      <c r="E11956" s="1063"/>
      <c r="H11956" s="1066"/>
      <c r="I11956" s="1063"/>
      <c r="J11956" s="1063"/>
      <c r="K11956" s="1063"/>
      <c r="L11956" s="1063"/>
    </row>
    <row r="11957" spans="5:12" x14ac:dyDescent="0.2">
      <c r="E11957" s="1063"/>
      <c r="H11957" s="1066"/>
      <c r="I11957" s="1063"/>
      <c r="J11957" s="1063"/>
      <c r="K11957" s="1063"/>
      <c r="L11957" s="1063"/>
    </row>
    <row r="11958" spans="5:12" x14ac:dyDescent="0.2">
      <c r="E11958" s="1063"/>
      <c r="H11958" s="1066"/>
      <c r="I11958" s="1063"/>
      <c r="J11958" s="1063"/>
      <c r="K11958" s="1063"/>
      <c r="L11958" s="1063"/>
    </row>
    <row r="11959" spans="5:12" x14ac:dyDescent="0.2">
      <c r="E11959" s="1063"/>
      <c r="H11959" s="1066"/>
      <c r="I11959" s="1063"/>
      <c r="J11959" s="1063"/>
      <c r="K11959" s="1063"/>
      <c r="L11959" s="1063"/>
    </row>
    <row r="11960" spans="5:12" x14ac:dyDescent="0.2">
      <c r="E11960" s="1063"/>
      <c r="H11960" s="1066"/>
      <c r="I11960" s="1063"/>
      <c r="J11960" s="1063"/>
      <c r="K11960" s="1063"/>
      <c r="L11960" s="1063"/>
    </row>
    <row r="11961" spans="5:12" x14ac:dyDescent="0.2">
      <c r="E11961" s="1063"/>
      <c r="H11961" s="1066"/>
      <c r="I11961" s="1063"/>
      <c r="J11961" s="1063"/>
      <c r="K11961" s="1063"/>
      <c r="L11961" s="1063"/>
    </row>
    <row r="11962" spans="5:12" x14ac:dyDescent="0.2">
      <c r="E11962" s="1063"/>
      <c r="H11962" s="1066"/>
      <c r="I11962" s="1063"/>
      <c r="J11962" s="1063"/>
      <c r="K11962" s="1063"/>
      <c r="L11962" s="1063"/>
    </row>
    <row r="11963" spans="5:12" x14ac:dyDescent="0.2">
      <c r="E11963" s="1063"/>
      <c r="H11963" s="1066"/>
      <c r="I11963" s="1063"/>
      <c r="J11963" s="1063"/>
      <c r="K11963" s="1063"/>
      <c r="L11963" s="1063"/>
    </row>
    <row r="11964" spans="5:12" x14ac:dyDescent="0.2">
      <c r="E11964" s="1063"/>
      <c r="H11964" s="1066"/>
      <c r="I11964" s="1063"/>
      <c r="J11964" s="1063"/>
      <c r="K11964" s="1063"/>
      <c r="L11964" s="1063"/>
    </row>
    <row r="11965" spans="5:12" x14ac:dyDescent="0.2">
      <c r="E11965" s="1063"/>
      <c r="H11965" s="1066"/>
      <c r="I11965" s="1063"/>
      <c r="J11965" s="1063"/>
      <c r="K11965" s="1063"/>
      <c r="L11965" s="1063"/>
    </row>
    <row r="11966" spans="5:12" x14ac:dyDescent="0.2">
      <c r="E11966" s="1063"/>
      <c r="H11966" s="1066"/>
      <c r="I11966" s="1063"/>
      <c r="J11966" s="1063"/>
      <c r="K11966" s="1063"/>
      <c r="L11966" s="1063"/>
    </row>
    <row r="11967" spans="5:12" x14ac:dyDescent="0.2">
      <c r="E11967" s="1063"/>
      <c r="H11967" s="1066"/>
      <c r="I11967" s="1063"/>
      <c r="J11967" s="1063"/>
      <c r="K11967" s="1063"/>
      <c r="L11967" s="1063"/>
    </row>
    <row r="11968" spans="5:12" x14ac:dyDescent="0.2">
      <c r="E11968" s="1063"/>
      <c r="H11968" s="1066"/>
      <c r="I11968" s="1063"/>
      <c r="J11968" s="1063"/>
      <c r="K11968" s="1063"/>
      <c r="L11968" s="1063"/>
    </row>
    <row r="11969" spans="5:12" x14ac:dyDescent="0.2">
      <c r="E11969" s="1063"/>
      <c r="H11969" s="1066"/>
      <c r="I11969" s="1063"/>
      <c r="J11969" s="1063"/>
      <c r="K11969" s="1063"/>
      <c r="L11969" s="1063"/>
    </row>
    <row r="11970" spans="5:12" x14ac:dyDescent="0.2">
      <c r="E11970" s="1063"/>
      <c r="H11970" s="1066"/>
      <c r="I11970" s="1063"/>
      <c r="J11970" s="1063"/>
      <c r="K11970" s="1063"/>
      <c r="L11970" s="1063"/>
    </row>
    <row r="11971" spans="5:12" x14ac:dyDescent="0.2">
      <c r="E11971" s="1063"/>
      <c r="H11971" s="1066"/>
      <c r="I11971" s="1063"/>
      <c r="J11971" s="1063"/>
      <c r="K11971" s="1063"/>
      <c r="L11971" s="1063"/>
    </row>
    <row r="11972" spans="5:12" x14ac:dyDescent="0.2">
      <c r="E11972" s="1063"/>
      <c r="H11972" s="1066"/>
      <c r="I11972" s="1063"/>
      <c r="J11972" s="1063"/>
      <c r="K11972" s="1063"/>
      <c r="L11972" s="1063"/>
    </row>
    <row r="11973" spans="5:12" x14ac:dyDescent="0.2">
      <c r="E11973" s="1063"/>
      <c r="H11973" s="1066"/>
      <c r="I11973" s="1063"/>
      <c r="J11973" s="1063"/>
      <c r="K11973" s="1063"/>
      <c r="L11973" s="1063"/>
    </row>
    <row r="11974" spans="5:12" x14ac:dyDescent="0.2">
      <c r="E11974" s="1063"/>
      <c r="H11974" s="1066"/>
      <c r="I11974" s="1063"/>
      <c r="J11974" s="1063"/>
      <c r="K11974" s="1063"/>
      <c r="L11974" s="1063"/>
    </row>
    <row r="11975" spans="5:12" x14ac:dyDescent="0.2">
      <c r="E11975" s="1063"/>
      <c r="H11975" s="1066"/>
      <c r="I11975" s="1063"/>
      <c r="J11975" s="1063"/>
      <c r="K11975" s="1063"/>
      <c r="L11975" s="1063"/>
    </row>
    <row r="11976" spans="5:12" x14ac:dyDescent="0.2">
      <c r="E11976" s="1063"/>
      <c r="H11976" s="1066"/>
      <c r="I11976" s="1063"/>
      <c r="J11976" s="1063"/>
      <c r="K11976" s="1063"/>
      <c r="L11976" s="1063"/>
    </row>
    <row r="11977" spans="5:12" x14ac:dyDescent="0.2">
      <c r="E11977" s="1063"/>
      <c r="H11977" s="1066"/>
      <c r="I11977" s="1063"/>
      <c r="J11977" s="1063"/>
      <c r="K11977" s="1063"/>
      <c r="L11977" s="1063"/>
    </row>
    <row r="11978" spans="5:12" x14ac:dyDescent="0.2">
      <c r="E11978" s="1063"/>
      <c r="H11978" s="1066"/>
      <c r="I11978" s="1063"/>
      <c r="J11978" s="1063"/>
      <c r="K11978" s="1063"/>
      <c r="L11978" s="1063"/>
    </row>
    <row r="11979" spans="5:12" x14ac:dyDescent="0.2">
      <c r="E11979" s="1063"/>
      <c r="H11979" s="1066"/>
      <c r="I11979" s="1063"/>
      <c r="J11979" s="1063"/>
      <c r="K11979" s="1063"/>
      <c r="L11979" s="1063"/>
    </row>
    <row r="11980" spans="5:12" x14ac:dyDescent="0.2">
      <c r="E11980" s="1063"/>
      <c r="H11980" s="1066"/>
      <c r="I11980" s="1063"/>
      <c r="J11980" s="1063"/>
      <c r="K11980" s="1063"/>
      <c r="L11980" s="1063"/>
    </row>
    <row r="11981" spans="5:12" x14ac:dyDescent="0.2">
      <c r="E11981" s="1063"/>
      <c r="H11981" s="1066"/>
      <c r="I11981" s="1063"/>
      <c r="J11981" s="1063"/>
      <c r="K11981" s="1063"/>
      <c r="L11981" s="1063"/>
    </row>
    <row r="11982" spans="5:12" x14ac:dyDescent="0.2">
      <c r="E11982" s="1063"/>
      <c r="H11982" s="1066"/>
      <c r="I11982" s="1063"/>
      <c r="J11982" s="1063"/>
      <c r="K11982" s="1063"/>
      <c r="L11982" s="1063"/>
    </row>
    <row r="11983" spans="5:12" x14ac:dyDescent="0.2">
      <c r="E11983" s="1063"/>
      <c r="H11983" s="1066"/>
      <c r="I11983" s="1063"/>
      <c r="J11983" s="1063"/>
      <c r="K11983" s="1063"/>
      <c r="L11983" s="1063"/>
    </row>
    <row r="11984" spans="5:12" x14ac:dyDescent="0.2">
      <c r="E11984" s="1063"/>
      <c r="H11984" s="1066"/>
      <c r="I11984" s="1063"/>
      <c r="J11984" s="1063"/>
      <c r="K11984" s="1063"/>
      <c r="L11984" s="1063"/>
    </row>
    <row r="11985" spans="5:12" x14ac:dyDescent="0.2">
      <c r="E11985" s="1063"/>
      <c r="H11985" s="1066"/>
      <c r="I11985" s="1063"/>
      <c r="J11985" s="1063"/>
      <c r="K11985" s="1063"/>
      <c r="L11985" s="1063"/>
    </row>
    <row r="11986" spans="5:12" x14ac:dyDescent="0.2">
      <c r="E11986" s="1063"/>
      <c r="H11986" s="1066"/>
      <c r="I11986" s="1063"/>
      <c r="J11986" s="1063"/>
      <c r="K11986" s="1063"/>
      <c r="L11986" s="1063"/>
    </row>
    <row r="11987" spans="5:12" x14ac:dyDescent="0.2">
      <c r="E11987" s="1063"/>
      <c r="H11987" s="1066"/>
      <c r="I11987" s="1063"/>
      <c r="J11987" s="1063"/>
      <c r="K11987" s="1063"/>
      <c r="L11987" s="1063"/>
    </row>
    <row r="11988" spans="5:12" x14ac:dyDescent="0.2">
      <c r="E11988" s="1063"/>
      <c r="H11988" s="1066"/>
      <c r="I11988" s="1063"/>
      <c r="J11988" s="1063"/>
      <c r="K11988" s="1063"/>
      <c r="L11988" s="1063"/>
    </row>
    <row r="11989" spans="5:12" x14ac:dyDescent="0.2">
      <c r="E11989" s="1063"/>
      <c r="H11989" s="1066"/>
      <c r="I11989" s="1063"/>
      <c r="J11989" s="1063"/>
      <c r="K11989" s="1063"/>
      <c r="L11989" s="1063"/>
    </row>
    <row r="11990" spans="5:12" x14ac:dyDescent="0.2">
      <c r="E11990" s="1063"/>
      <c r="H11990" s="1066"/>
      <c r="I11990" s="1063"/>
      <c r="J11990" s="1063"/>
      <c r="K11990" s="1063"/>
      <c r="L11990" s="1063"/>
    </row>
    <row r="11991" spans="5:12" x14ac:dyDescent="0.2">
      <c r="E11991" s="1063"/>
      <c r="H11991" s="1066"/>
      <c r="I11991" s="1063"/>
      <c r="J11991" s="1063"/>
      <c r="K11991" s="1063"/>
      <c r="L11991" s="1063"/>
    </row>
    <row r="11992" spans="5:12" x14ac:dyDescent="0.2">
      <c r="E11992" s="1063"/>
      <c r="H11992" s="1066"/>
      <c r="I11992" s="1063"/>
      <c r="J11992" s="1063"/>
      <c r="K11992" s="1063"/>
      <c r="L11992" s="1063"/>
    </row>
    <row r="11993" spans="5:12" x14ac:dyDescent="0.2">
      <c r="E11993" s="1063"/>
      <c r="H11993" s="1066"/>
      <c r="I11993" s="1063"/>
      <c r="J11993" s="1063"/>
      <c r="K11993" s="1063"/>
      <c r="L11993" s="1063"/>
    </row>
    <row r="11994" spans="5:12" x14ac:dyDescent="0.2">
      <c r="E11994" s="1063"/>
      <c r="H11994" s="1066"/>
      <c r="I11994" s="1063"/>
      <c r="J11994" s="1063"/>
      <c r="K11994" s="1063"/>
      <c r="L11994" s="1063"/>
    </row>
    <row r="11995" spans="5:12" x14ac:dyDescent="0.2">
      <c r="E11995" s="1063"/>
      <c r="H11995" s="1066"/>
      <c r="I11995" s="1063"/>
      <c r="J11995" s="1063"/>
      <c r="K11995" s="1063"/>
      <c r="L11995" s="1063"/>
    </row>
    <row r="11996" spans="5:12" x14ac:dyDescent="0.2">
      <c r="E11996" s="1063"/>
      <c r="H11996" s="1066"/>
      <c r="I11996" s="1063"/>
      <c r="J11996" s="1063"/>
      <c r="K11996" s="1063"/>
      <c r="L11996" s="1063"/>
    </row>
    <row r="11997" spans="5:12" x14ac:dyDescent="0.2">
      <c r="E11997" s="1063"/>
      <c r="H11997" s="1066"/>
      <c r="I11997" s="1063"/>
      <c r="J11997" s="1063"/>
      <c r="K11997" s="1063"/>
      <c r="L11997" s="1063"/>
    </row>
    <row r="11998" spans="5:12" x14ac:dyDescent="0.2">
      <c r="E11998" s="1063"/>
      <c r="H11998" s="1066"/>
      <c r="I11998" s="1063"/>
      <c r="J11998" s="1063"/>
      <c r="K11998" s="1063"/>
      <c r="L11998" s="1063"/>
    </row>
    <row r="11999" spans="5:12" x14ac:dyDescent="0.2">
      <c r="E11999" s="1063"/>
      <c r="H11999" s="1066"/>
      <c r="I11999" s="1063"/>
      <c r="J11999" s="1063"/>
      <c r="K11999" s="1063"/>
      <c r="L11999" s="1063"/>
    </row>
    <row r="12000" spans="5:12" x14ac:dyDescent="0.2">
      <c r="E12000" s="1063"/>
      <c r="H12000" s="1066"/>
      <c r="I12000" s="1063"/>
      <c r="J12000" s="1063"/>
      <c r="K12000" s="1063"/>
      <c r="L12000" s="1063"/>
    </row>
    <row r="12001" spans="5:12" x14ac:dyDescent="0.2">
      <c r="E12001" s="1063"/>
      <c r="H12001" s="1066"/>
      <c r="I12001" s="1063"/>
      <c r="J12001" s="1063"/>
      <c r="K12001" s="1063"/>
      <c r="L12001" s="1063"/>
    </row>
    <row r="12002" spans="5:12" x14ac:dyDescent="0.2">
      <c r="E12002" s="1063"/>
      <c r="H12002" s="1066"/>
      <c r="I12002" s="1063"/>
      <c r="J12002" s="1063"/>
      <c r="K12002" s="1063"/>
      <c r="L12002" s="1063"/>
    </row>
    <row r="12003" spans="5:12" x14ac:dyDescent="0.2">
      <c r="E12003" s="1063"/>
      <c r="H12003" s="1066"/>
      <c r="I12003" s="1063"/>
      <c r="J12003" s="1063"/>
      <c r="K12003" s="1063"/>
      <c r="L12003" s="1063"/>
    </row>
    <row r="12004" spans="5:12" x14ac:dyDescent="0.2">
      <c r="E12004" s="1063"/>
      <c r="H12004" s="1066"/>
      <c r="I12004" s="1063"/>
      <c r="J12004" s="1063"/>
      <c r="K12004" s="1063"/>
      <c r="L12004" s="1063"/>
    </row>
    <row r="12005" spans="5:12" x14ac:dyDescent="0.2">
      <c r="E12005" s="1063"/>
      <c r="H12005" s="1066"/>
      <c r="I12005" s="1063"/>
      <c r="J12005" s="1063"/>
      <c r="K12005" s="1063"/>
      <c r="L12005" s="1063"/>
    </row>
    <row r="12006" spans="5:12" x14ac:dyDescent="0.2">
      <c r="E12006" s="1063"/>
      <c r="H12006" s="1066"/>
      <c r="I12006" s="1063"/>
      <c r="J12006" s="1063"/>
      <c r="K12006" s="1063"/>
      <c r="L12006" s="1063"/>
    </row>
    <row r="12007" spans="5:12" x14ac:dyDescent="0.2">
      <c r="E12007" s="1063"/>
      <c r="H12007" s="1066"/>
      <c r="I12007" s="1063"/>
      <c r="J12007" s="1063"/>
      <c r="K12007" s="1063"/>
      <c r="L12007" s="1063"/>
    </row>
    <row r="12008" spans="5:12" x14ac:dyDescent="0.2">
      <c r="E12008" s="1063"/>
      <c r="H12008" s="1066"/>
      <c r="I12008" s="1063"/>
      <c r="J12008" s="1063"/>
      <c r="K12008" s="1063"/>
      <c r="L12008" s="1063"/>
    </row>
    <row r="12009" spans="5:12" x14ac:dyDescent="0.2">
      <c r="E12009" s="1063"/>
      <c r="H12009" s="1066"/>
      <c r="I12009" s="1063"/>
      <c r="J12009" s="1063"/>
      <c r="K12009" s="1063"/>
      <c r="L12009" s="1063"/>
    </row>
    <row r="12010" spans="5:12" x14ac:dyDescent="0.2">
      <c r="E12010" s="1063"/>
      <c r="H12010" s="1066"/>
      <c r="I12010" s="1063"/>
      <c r="J12010" s="1063"/>
      <c r="K12010" s="1063"/>
      <c r="L12010" s="1063"/>
    </row>
    <row r="12011" spans="5:12" x14ac:dyDescent="0.2">
      <c r="E12011" s="1063"/>
      <c r="H12011" s="1066"/>
      <c r="I12011" s="1063"/>
      <c r="J12011" s="1063"/>
      <c r="K12011" s="1063"/>
      <c r="L12011" s="1063"/>
    </row>
    <row r="12012" spans="5:12" x14ac:dyDescent="0.2">
      <c r="E12012" s="1063"/>
      <c r="H12012" s="1066"/>
      <c r="I12012" s="1063"/>
      <c r="J12012" s="1063"/>
      <c r="K12012" s="1063"/>
      <c r="L12012" s="1063"/>
    </row>
    <row r="12013" spans="5:12" x14ac:dyDescent="0.2">
      <c r="E12013" s="1063"/>
      <c r="H12013" s="1066"/>
      <c r="I12013" s="1063"/>
      <c r="J12013" s="1063"/>
      <c r="K12013" s="1063"/>
      <c r="L12013" s="1063"/>
    </row>
    <row r="12014" spans="5:12" x14ac:dyDescent="0.2">
      <c r="E12014" s="1063"/>
      <c r="H12014" s="1066"/>
      <c r="I12014" s="1063"/>
      <c r="J12014" s="1063"/>
      <c r="K12014" s="1063"/>
      <c r="L12014" s="1063"/>
    </row>
    <row r="12015" spans="5:12" x14ac:dyDescent="0.2">
      <c r="E12015" s="1063"/>
      <c r="H12015" s="1066"/>
      <c r="I12015" s="1063"/>
      <c r="J12015" s="1063"/>
      <c r="K12015" s="1063"/>
      <c r="L12015" s="1063"/>
    </row>
    <row r="12016" spans="5:12" x14ac:dyDescent="0.2">
      <c r="E12016" s="1063"/>
      <c r="H12016" s="1066"/>
      <c r="I12016" s="1063"/>
      <c r="J12016" s="1063"/>
      <c r="K12016" s="1063"/>
      <c r="L12016" s="1063"/>
    </row>
    <row r="12017" spans="5:12" x14ac:dyDescent="0.2">
      <c r="E12017" s="1063"/>
      <c r="H12017" s="1066"/>
      <c r="I12017" s="1063"/>
      <c r="J12017" s="1063"/>
      <c r="K12017" s="1063"/>
      <c r="L12017" s="1063"/>
    </row>
    <row r="12018" spans="5:12" x14ac:dyDescent="0.2">
      <c r="E12018" s="1063"/>
      <c r="H12018" s="1066"/>
      <c r="I12018" s="1063"/>
      <c r="J12018" s="1063"/>
      <c r="K12018" s="1063"/>
      <c r="L12018" s="1063"/>
    </row>
    <row r="12019" spans="5:12" x14ac:dyDescent="0.2">
      <c r="E12019" s="1063"/>
      <c r="H12019" s="1066"/>
      <c r="I12019" s="1063"/>
      <c r="J12019" s="1063"/>
      <c r="K12019" s="1063"/>
      <c r="L12019" s="1063"/>
    </row>
    <row r="12020" spans="5:12" x14ac:dyDescent="0.2">
      <c r="E12020" s="1063"/>
      <c r="H12020" s="1066"/>
      <c r="I12020" s="1063"/>
      <c r="J12020" s="1063"/>
      <c r="K12020" s="1063"/>
      <c r="L12020" s="1063"/>
    </row>
    <row r="12021" spans="5:12" x14ac:dyDescent="0.2">
      <c r="E12021" s="1063"/>
      <c r="H12021" s="1066"/>
      <c r="I12021" s="1063"/>
      <c r="J12021" s="1063"/>
      <c r="K12021" s="1063"/>
      <c r="L12021" s="1063"/>
    </row>
    <row r="12022" spans="5:12" x14ac:dyDescent="0.2">
      <c r="E12022" s="1063"/>
      <c r="H12022" s="1066"/>
      <c r="I12022" s="1063"/>
      <c r="J12022" s="1063"/>
      <c r="K12022" s="1063"/>
      <c r="L12022" s="1063"/>
    </row>
    <row r="12023" spans="5:12" x14ac:dyDescent="0.2">
      <c r="E12023" s="1063"/>
      <c r="H12023" s="1066"/>
      <c r="I12023" s="1063"/>
      <c r="J12023" s="1063"/>
      <c r="K12023" s="1063"/>
      <c r="L12023" s="1063"/>
    </row>
    <row r="12024" spans="5:12" x14ac:dyDescent="0.2">
      <c r="E12024" s="1063"/>
      <c r="H12024" s="1066"/>
      <c r="I12024" s="1063"/>
      <c r="J12024" s="1063"/>
      <c r="K12024" s="1063"/>
      <c r="L12024" s="1063"/>
    </row>
    <row r="12025" spans="5:12" x14ac:dyDescent="0.2">
      <c r="E12025" s="1063"/>
      <c r="H12025" s="1066"/>
      <c r="I12025" s="1063"/>
      <c r="J12025" s="1063"/>
      <c r="K12025" s="1063"/>
      <c r="L12025" s="1063"/>
    </row>
    <row r="12026" spans="5:12" x14ac:dyDescent="0.2">
      <c r="E12026" s="1063"/>
      <c r="H12026" s="1066"/>
      <c r="I12026" s="1063"/>
      <c r="J12026" s="1063"/>
      <c r="K12026" s="1063"/>
      <c r="L12026" s="1063"/>
    </row>
    <row r="12027" spans="5:12" x14ac:dyDescent="0.2">
      <c r="E12027" s="1063"/>
      <c r="H12027" s="1066"/>
      <c r="I12027" s="1063"/>
      <c r="J12027" s="1063"/>
      <c r="K12027" s="1063"/>
      <c r="L12027" s="1063"/>
    </row>
    <row r="12028" spans="5:12" x14ac:dyDescent="0.2">
      <c r="E12028" s="1063"/>
      <c r="H12028" s="1066"/>
      <c r="I12028" s="1063"/>
      <c r="J12028" s="1063"/>
      <c r="K12028" s="1063"/>
      <c r="L12028" s="1063"/>
    </row>
    <row r="12029" spans="5:12" x14ac:dyDescent="0.2">
      <c r="E12029" s="1063"/>
      <c r="H12029" s="1066"/>
      <c r="I12029" s="1063"/>
      <c r="J12029" s="1063"/>
      <c r="K12029" s="1063"/>
      <c r="L12029" s="1063"/>
    </row>
    <row r="12030" spans="5:12" x14ac:dyDescent="0.2">
      <c r="E12030" s="1063"/>
      <c r="H12030" s="1066"/>
      <c r="I12030" s="1063"/>
      <c r="J12030" s="1063"/>
      <c r="K12030" s="1063"/>
      <c r="L12030" s="1063"/>
    </row>
    <row r="12031" spans="5:12" x14ac:dyDescent="0.2">
      <c r="E12031" s="1063"/>
      <c r="H12031" s="1066"/>
      <c r="I12031" s="1063"/>
      <c r="J12031" s="1063"/>
      <c r="K12031" s="1063"/>
      <c r="L12031" s="1063"/>
    </row>
    <row r="12032" spans="5:12" x14ac:dyDescent="0.2">
      <c r="E12032" s="1063"/>
      <c r="H12032" s="1066"/>
      <c r="I12032" s="1063"/>
      <c r="J12032" s="1063"/>
      <c r="K12032" s="1063"/>
      <c r="L12032" s="1063"/>
    </row>
    <row r="12033" spans="5:12" x14ac:dyDescent="0.2">
      <c r="E12033" s="1063"/>
      <c r="H12033" s="1066"/>
      <c r="I12033" s="1063"/>
      <c r="J12033" s="1063"/>
      <c r="K12033" s="1063"/>
      <c r="L12033" s="1063"/>
    </row>
    <row r="12034" spans="5:12" x14ac:dyDescent="0.2">
      <c r="E12034" s="1063"/>
      <c r="H12034" s="1066"/>
      <c r="I12034" s="1063"/>
      <c r="J12034" s="1063"/>
      <c r="K12034" s="1063"/>
      <c r="L12034" s="1063"/>
    </row>
    <row r="12035" spans="5:12" x14ac:dyDescent="0.2">
      <c r="E12035" s="1063"/>
      <c r="H12035" s="1066"/>
      <c r="I12035" s="1063"/>
      <c r="J12035" s="1063"/>
      <c r="K12035" s="1063"/>
      <c r="L12035" s="1063"/>
    </row>
    <row r="12036" spans="5:12" x14ac:dyDescent="0.2">
      <c r="E12036" s="1063"/>
      <c r="H12036" s="1066"/>
      <c r="I12036" s="1063"/>
      <c r="J12036" s="1063"/>
      <c r="K12036" s="1063"/>
      <c r="L12036" s="1063"/>
    </row>
    <row r="12037" spans="5:12" x14ac:dyDescent="0.2">
      <c r="E12037" s="1063"/>
      <c r="H12037" s="1066"/>
      <c r="I12037" s="1063"/>
      <c r="J12037" s="1063"/>
      <c r="K12037" s="1063"/>
      <c r="L12037" s="1063"/>
    </row>
    <row r="12038" spans="5:12" x14ac:dyDescent="0.2">
      <c r="E12038" s="1063"/>
      <c r="H12038" s="1066"/>
      <c r="I12038" s="1063"/>
      <c r="J12038" s="1063"/>
      <c r="K12038" s="1063"/>
      <c r="L12038" s="1063"/>
    </row>
    <row r="12039" spans="5:12" x14ac:dyDescent="0.2">
      <c r="E12039" s="1063"/>
      <c r="H12039" s="1066"/>
      <c r="I12039" s="1063"/>
      <c r="J12039" s="1063"/>
      <c r="K12039" s="1063"/>
      <c r="L12039" s="1063"/>
    </row>
    <row r="12040" spans="5:12" x14ac:dyDescent="0.2">
      <c r="E12040" s="1063"/>
      <c r="H12040" s="1066"/>
      <c r="I12040" s="1063"/>
      <c r="J12040" s="1063"/>
      <c r="K12040" s="1063"/>
      <c r="L12040" s="1063"/>
    </row>
    <row r="12041" spans="5:12" x14ac:dyDescent="0.2">
      <c r="E12041" s="1063"/>
      <c r="H12041" s="1066"/>
      <c r="I12041" s="1063"/>
      <c r="J12041" s="1063"/>
      <c r="K12041" s="1063"/>
      <c r="L12041" s="1063"/>
    </row>
    <row r="12042" spans="5:12" x14ac:dyDescent="0.2">
      <c r="E12042" s="1063"/>
      <c r="H12042" s="1066"/>
      <c r="I12042" s="1063"/>
      <c r="J12042" s="1063"/>
      <c r="K12042" s="1063"/>
      <c r="L12042" s="1063"/>
    </row>
    <row r="12043" spans="5:12" x14ac:dyDescent="0.2">
      <c r="E12043" s="1063"/>
      <c r="H12043" s="1066"/>
      <c r="I12043" s="1063"/>
      <c r="J12043" s="1063"/>
      <c r="K12043" s="1063"/>
      <c r="L12043" s="1063"/>
    </row>
    <row r="12044" spans="5:12" x14ac:dyDescent="0.2">
      <c r="E12044" s="1063"/>
      <c r="H12044" s="1066"/>
      <c r="I12044" s="1063"/>
      <c r="J12044" s="1063"/>
      <c r="K12044" s="1063"/>
      <c r="L12044" s="1063"/>
    </row>
    <row r="12045" spans="5:12" x14ac:dyDescent="0.2">
      <c r="E12045" s="1063"/>
      <c r="H12045" s="1066"/>
      <c r="I12045" s="1063"/>
      <c r="J12045" s="1063"/>
      <c r="K12045" s="1063"/>
      <c r="L12045" s="1063"/>
    </row>
    <row r="12046" spans="5:12" x14ac:dyDescent="0.2">
      <c r="E12046" s="1063"/>
      <c r="H12046" s="1066"/>
      <c r="I12046" s="1063"/>
      <c r="J12046" s="1063"/>
      <c r="K12046" s="1063"/>
      <c r="L12046" s="1063"/>
    </row>
    <row r="12047" spans="5:12" x14ac:dyDescent="0.2">
      <c r="E12047" s="1063"/>
      <c r="H12047" s="1066"/>
      <c r="I12047" s="1063"/>
      <c r="J12047" s="1063"/>
      <c r="K12047" s="1063"/>
      <c r="L12047" s="1063"/>
    </row>
    <row r="12048" spans="5:12" x14ac:dyDescent="0.2">
      <c r="E12048" s="1063"/>
      <c r="H12048" s="1066"/>
      <c r="I12048" s="1063"/>
      <c r="J12048" s="1063"/>
      <c r="K12048" s="1063"/>
      <c r="L12048" s="1063"/>
    </row>
    <row r="12049" spans="5:12" x14ac:dyDescent="0.2">
      <c r="E12049" s="1063"/>
      <c r="H12049" s="1066"/>
      <c r="I12049" s="1063"/>
      <c r="J12049" s="1063"/>
      <c r="K12049" s="1063"/>
      <c r="L12049" s="1063"/>
    </row>
    <row r="12050" spans="5:12" x14ac:dyDescent="0.2">
      <c r="E12050" s="1063"/>
      <c r="H12050" s="1066"/>
      <c r="I12050" s="1063"/>
      <c r="J12050" s="1063"/>
      <c r="K12050" s="1063"/>
      <c r="L12050" s="1063"/>
    </row>
    <row r="12051" spans="5:12" x14ac:dyDescent="0.2">
      <c r="E12051" s="1063"/>
      <c r="H12051" s="1066"/>
      <c r="I12051" s="1063"/>
      <c r="J12051" s="1063"/>
      <c r="K12051" s="1063"/>
      <c r="L12051" s="1063"/>
    </row>
    <row r="12052" spans="5:12" x14ac:dyDescent="0.2">
      <c r="E12052" s="1063"/>
      <c r="H12052" s="1066"/>
      <c r="I12052" s="1063"/>
      <c r="J12052" s="1063"/>
      <c r="K12052" s="1063"/>
      <c r="L12052" s="1063"/>
    </row>
    <row r="12053" spans="5:12" x14ac:dyDescent="0.2">
      <c r="E12053" s="1063"/>
      <c r="H12053" s="1066"/>
      <c r="I12053" s="1063"/>
      <c r="J12053" s="1063"/>
      <c r="K12053" s="1063"/>
      <c r="L12053" s="1063"/>
    </row>
    <row r="12054" spans="5:12" x14ac:dyDescent="0.2">
      <c r="E12054" s="1063"/>
      <c r="H12054" s="1066"/>
      <c r="I12054" s="1063"/>
      <c r="J12054" s="1063"/>
      <c r="K12054" s="1063"/>
      <c r="L12054" s="1063"/>
    </row>
    <row r="12055" spans="5:12" x14ac:dyDescent="0.2">
      <c r="E12055" s="1063"/>
      <c r="H12055" s="1066"/>
      <c r="I12055" s="1063"/>
      <c r="J12055" s="1063"/>
      <c r="K12055" s="1063"/>
      <c r="L12055" s="1063"/>
    </row>
    <row r="12056" spans="5:12" x14ac:dyDescent="0.2">
      <c r="E12056" s="1063"/>
      <c r="H12056" s="1066"/>
      <c r="I12056" s="1063"/>
      <c r="J12056" s="1063"/>
      <c r="K12056" s="1063"/>
      <c r="L12056" s="1063"/>
    </row>
    <row r="12057" spans="5:12" x14ac:dyDescent="0.2">
      <c r="E12057" s="1063"/>
      <c r="H12057" s="1066"/>
      <c r="I12057" s="1063"/>
      <c r="J12057" s="1063"/>
      <c r="K12057" s="1063"/>
      <c r="L12057" s="1063"/>
    </row>
    <row r="12058" spans="5:12" x14ac:dyDescent="0.2">
      <c r="E12058" s="1063"/>
      <c r="H12058" s="1066"/>
      <c r="I12058" s="1063"/>
      <c r="J12058" s="1063"/>
      <c r="K12058" s="1063"/>
      <c r="L12058" s="1063"/>
    </row>
    <row r="12059" spans="5:12" x14ac:dyDescent="0.2">
      <c r="E12059" s="1063"/>
      <c r="H12059" s="1066"/>
      <c r="I12059" s="1063"/>
      <c r="J12059" s="1063"/>
      <c r="K12059" s="1063"/>
      <c r="L12059" s="1063"/>
    </row>
    <row r="12060" spans="5:12" x14ac:dyDescent="0.2">
      <c r="E12060" s="1063"/>
      <c r="H12060" s="1066"/>
      <c r="I12060" s="1063"/>
      <c r="J12060" s="1063"/>
      <c r="K12060" s="1063"/>
      <c r="L12060" s="1063"/>
    </row>
    <row r="12061" spans="5:12" x14ac:dyDescent="0.2">
      <c r="E12061" s="1063"/>
      <c r="H12061" s="1066"/>
      <c r="I12061" s="1063"/>
      <c r="J12061" s="1063"/>
      <c r="K12061" s="1063"/>
      <c r="L12061" s="1063"/>
    </row>
    <row r="12062" spans="5:12" x14ac:dyDescent="0.2">
      <c r="E12062" s="1063"/>
      <c r="H12062" s="1066"/>
      <c r="I12062" s="1063"/>
      <c r="J12062" s="1063"/>
      <c r="K12062" s="1063"/>
      <c r="L12062" s="1063"/>
    </row>
    <row r="12063" spans="5:12" x14ac:dyDescent="0.2">
      <c r="E12063" s="1063"/>
      <c r="H12063" s="1066"/>
      <c r="I12063" s="1063"/>
      <c r="J12063" s="1063"/>
      <c r="K12063" s="1063"/>
      <c r="L12063" s="1063"/>
    </row>
    <row r="12064" spans="5:12" x14ac:dyDescent="0.2">
      <c r="E12064" s="1063"/>
      <c r="H12064" s="1066"/>
      <c r="I12064" s="1063"/>
      <c r="J12064" s="1063"/>
      <c r="K12064" s="1063"/>
      <c r="L12064" s="1063"/>
    </row>
    <row r="12065" spans="5:12" x14ac:dyDescent="0.2">
      <c r="E12065" s="1063"/>
      <c r="H12065" s="1066"/>
      <c r="I12065" s="1063"/>
      <c r="J12065" s="1063"/>
      <c r="K12065" s="1063"/>
      <c r="L12065" s="1063"/>
    </row>
    <row r="12066" spans="5:12" x14ac:dyDescent="0.2">
      <c r="E12066" s="1063"/>
      <c r="H12066" s="1066"/>
      <c r="I12066" s="1063"/>
      <c r="J12066" s="1063"/>
      <c r="K12066" s="1063"/>
      <c r="L12066" s="1063"/>
    </row>
    <row r="12067" spans="5:12" x14ac:dyDescent="0.2">
      <c r="E12067" s="1063"/>
      <c r="H12067" s="1066"/>
      <c r="I12067" s="1063"/>
      <c r="J12067" s="1063"/>
      <c r="K12067" s="1063"/>
      <c r="L12067" s="1063"/>
    </row>
    <row r="12068" spans="5:12" x14ac:dyDescent="0.2">
      <c r="E12068" s="1063"/>
      <c r="H12068" s="1066"/>
      <c r="I12068" s="1063"/>
      <c r="J12068" s="1063"/>
      <c r="K12068" s="1063"/>
      <c r="L12068" s="1063"/>
    </row>
    <row r="12069" spans="5:12" x14ac:dyDescent="0.2">
      <c r="E12069" s="1063"/>
      <c r="H12069" s="1066"/>
      <c r="I12069" s="1063"/>
      <c r="J12069" s="1063"/>
      <c r="K12069" s="1063"/>
      <c r="L12069" s="1063"/>
    </row>
    <row r="12070" spans="5:12" x14ac:dyDescent="0.2">
      <c r="E12070" s="1063"/>
      <c r="H12070" s="1066"/>
      <c r="I12070" s="1063"/>
      <c r="J12070" s="1063"/>
      <c r="K12070" s="1063"/>
      <c r="L12070" s="1063"/>
    </row>
    <row r="12071" spans="5:12" x14ac:dyDescent="0.2">
      <c r="E12071" s="1063"/>
      <c r="H12071" s="1066"/>
      <c r="I12071" s="1063"/>
      <c r="J12071" s="1063"/>
      <c r="K12071" s="1063"/>
      <c r="L12071" s="1063"/>
    </row>
    <row r="12072" spans="5:12" x14ac:dyDescent="0.2">
      <c r="E12072" s="1063"/>
      <c r="H12072" s="1066"/>
      <c r="I12072" s="1063"/>
      <c r="J12072" s="1063"/>
      <c r="K12072" s="1063"/>
      <c r="L12072" s="1063"/>
    </row>
    <row r="12073" spans="5:12" x14ac:dyDescent="0.2">
      <c r="E12073" s="1063"/>
      <c r="H12073" s="1066"/>
      <c r="I12073" s="1063"/>
      <c r="J12073" s="1063"/>
      <c r="K12073" s="1063"/>
      <c r="L12073" s="1063"/>
    </row>
    <row r="12074" spans="5:12" x14ac:dyDescent="0.2">
      <c r="E12074" s="1063"/>
      <c r="H12074" s="1066"/>
      <c r="I12074" s="1063"/>
      <c r="J12074" s="1063"/>
      <c r="K12074" s="1063"/>
      <c r="L12074" s="1063"/>
    </row>
    <row r="12075" spans="5:12" x14ac:dyDescent="0.2">
      <c r="E12075" s="1063"/>
      <c r="H12075" s="1066"/>
      <c r="I12075" s="1063"/>
      <c r="J12075" s="1063"/>
      <c r="K12075" s="1063"/>
      <c r="L12075" s="1063"/>
    </row>
    <row r="12076" spans="5:12" x14ac:dyDescent="0.2">
      <c r="E12076" s="1063"/>
      <c r="H12076" s="1066"/>
      <c r="I12076" s="1063"/>
      <c r="J12076" s="1063"/>
      <c r="K12076" s="1063"/>
      <c r="L12076" s="1063"/>
    </row>
    <row r="12077" spans="5:12" x14ac:dyDescent="0.2">
      <c r="E12077" s="1063"/>
      <c r="H12077" s="1066"/>
      <c r="I12077" s="1063"/>
      <c r="J12077" s="1063"/>
      <c r="K12077" s="1063"/>
      <c r="L12077" s="1063"/>
    </row>
    <row r="12078" spans="5:12" x14ac:dyDescent="0.2">
      <c r="E12078" s="1063"/>
      <c r="H12078" s="1066"/>
      <c r="I12078" s="1063"/>
      <c r="J12078" s="1063"/>
      <c r="K12078" s="1063"/>
      <c r="L12078" s="1063"/>
    </row>
    <row r="12079" spans="5:12" x14ac:dyDescent="0.2">
      <c r="E12079" s="1063"/>
      <c r="H12079" s="1066"/>
      <c r="I12079" s="1063"/>
      <c r="J12079" s="1063"/>
      <c r="K12079" s="1063"/>
      <c r="L12079" s="1063"/>
    </row>
    <row r="12080" spans="5:12" x14ac:dyDescent="0.2">
      <c r="E12080" s="1063"/>
      <c r="H12080" s="1066"/>
      <c r="I12080" s="1063"/>
      <c r="J12080" s="1063"/>
      <c r="K12080" s="1063"/>
      <c r="L12080" s="1063"/>
    </row>
    <row r="12081" spans="5:12" x14ac:dyDescent="0.2">
      <c r="E12081" s="1063"/>
      <c r="H12081" s="1066"/>
      <c r="I12081" s="1063"/>
      <c r="J12081" s="1063"/>
      <c r="K12081" s="1063"/>
      <c r="L12081" s="1063"/>
    </row>
    <row r="12082" spans="5:12" x14ac:dyDescent="0.2">
      <c r="E12082" s="1063"/>
      <c r="H12082" s="1066"/>
      <c r="I12082" s="1063"/>
      <c r="J12082" s="1063"/>
      <c r="K12082" s="1063"/>
      <c r="L12082" s="1063"/>
    </row>
    <row r="12083" spans="5:12" x14ac:dyDescent="0.2">
      <c r="E12083" s="1063"/>
      <c r="H12083" s="1066"/>
      <c r="I12083" s="1063"/>
      <c r="J12083" s="1063"/>
      <c r="K12083" s="1063"/>
      <c r="L12083" s="1063"/>
    </row>
    <row r="12084" spans="5:12" x14ac:dyDescent="0.2">
      <c r="E12084" s="1063"/>
      <c r="H12084" s="1066"/>
      <c r="I12084" s="1063"/>
      <c r="J12084" s="1063"/>
      <c r="K12084" s="1063"/>
      <c r="L12084" s="1063"/>
    </row>
    <row r="12085" spans="5:12" x14ac:dyDescent="0.2">
      <c r="E12085" s="1063"/>
      <c r="H12085" s="1066"/>
      <c r="I12085" s="1063"/>
      <c r="J12085" s="1063"/>
      <c r="K12085" s="1063"/>
      <c r="L12085" s="1063"/>
    </row>
    <row r="12086" spans="5:12" x14ac:dyDescent="0.2">
      <c r="E12086" s="1063"/>
      <c r="H12086" s="1066"/>
      <c r="I12086" s="1063"/>
      <c r="J12086" s="1063"/>
      <c r="K12086" s="1063"/>
      <c r="L12086" s="1063"/>
    </row>
    <row r="12087" spans="5:12" x14ac:dyDescent="0.2">
      <c r="E12087" s="1063"/>
      <c r="H12087" s="1066"/>
      <c r="I12087" s="1063"/>
      <c r="J12087" s="1063"/>
      <c r="K12087" s="1063"/>
      <c r="L12087" s="1063"/>
    </row>
    <row r="12088" spans="5:12" x14ac:dyDescent="0.2">
      <c r="E12088" s="1063"/>
      <c r="H12088" s="1066"/>
      <c r="I12088" s="1063"/>
      <c r="J12088" s="1063"/>
      <c r="K12088" s="1063"/>
      <c r="L12088" s="1063"/>
    </row>
    <row r="12089" spans="5:12" x14ac:dyDescent="0.2">
      <c r="E12089" s="1063"/>
      <c r="H12089" s="1066"/>
      <c r="I12089" s="1063"/>
      <c r="J12089" s="1063"/>
      <c r="K12089" s="1063"/>
      <c r="L12089" s="1063"/>
    </row>
    <row r="12090" spans="5:12" x14ac:dyDescent="0.2">
      <c r="E12090" s="1063"/>
      <c r="H12090" s="1066"/>
      <c r="I12090" s="1063"/>
      <c r="J12090" s="1063"/>
      <c r="K12090" s="1063"/>
      <c r="L12090" s="1063"/>
    </row>
    <row r="12091" spans="5:12" x14ac:dyDescent="0.2">
      <c r="E12091" s="1063"/>
      <c r="H12091" s="1066"/>
      <c r="I12091" s="1063"/>
      <c r="J12091" s="1063"/>
      <c r="K12091" s="1063"/>
      <c r="L12091" s="1063"/>
    </row>
    <row r="12092" spans="5:12" x14ac:dyDescent="0.2">
      <c r="E12092" s="1063"/>
      <c r="H12092" s="1066"/>
      <c r="I12092" s="1063"/>
      <c r="J12092" s="1063"/>
      <c r="K12092" s="1063"/>
      <c r="L12092" s="1063"/>
    </row>
    <row r="12093" spans="5:12" x14ac:dyDescent="0.2">
      <c r="E12093" s="1063"/>
      <c r="H12093" s="1066"/>
      <c r="I12093" s="1063"/>
      <c r="J12093" s="1063"/>
      <c r="K12093" s="1063"/>
      <c r="L12093" s="1063"/>
    </row>
    <row r="12094" spans="5:12" x14ac:dyDescent="0.2">
      <c r="E12094" s="1063"/>
      <c r="H12094" s="1066"/>
      <c r="I12094" s="1063"/>
      <c r="J12094" s="1063"/>
      <c r="K12094" s="1063"/>
      <c r="L12094" s="1063"/>
    </row>
    <row r="12095" spans="5:12" x14ac:dyDescent="0.2">
      <c r="E12095" s="1063"/>
      <c r="H12095" s="1066"/>
      <c r="I12095" s="1063"/>
      <c r="J12095" s="1063"/>
      <c r="K12095" s="1063"/>
      <c r="L12095" s="1063"/>
    </row>
    <row r="12096" spans="5:12" x14ac:dyDescent="0.2">
      <c r="E12096" s="1063"/>
      <c r="H12096" s="1066"/>
      <c r="I12096" s="1063"/>
      <c r="J12096" s="1063"/>
      <c r="K12096" s="1063"/>
      <c r="L12096" s="1063"/>
    </row>
    <row r="12097" spans="5:12" x14ac:dyDescent="0.2">
      <c r="E12097" s="1063"/>
      <c r="H12097" s="1066"/>
      <c r="I12097" s="1063"/>
      <c r="J12097" s="1063"/>
      <c r="K12097" s="1063"/>
      <c r="L12097" s="1063"/>
    </row>
    <row r="12098" spans="5:12" x14ac:dyDescent="0.2">
      <c r="E12098" s="1063"/>
      <c r="H12098" s="1066"/>
      <c r="I12098" s="1063"/>
      <c r="J12098" s="1063"/>
      <c r="K12098" s="1063"/>
      <c r="L12098" s="1063"/>
    </row>
    <row r="12099" spans="5:12" x14ac:dyDescent="0.2">
      <c r="E12099" s="1063"/>
      <c r="H12099" s="1066"/>
      <c r="I12099" s="1063"/>
      <c r="J12099" s="1063"/>
      <c r="K12099" s="1063"/>
      <c r="L12099" s="1063"/>
    </row>
    <row r="12100" spans="5:12" x14ac:dyDescent="0.2">
      <c r="E12100" s="1063"/>
      <c r="H12100" s="1066"/>
      <c r="I12100" s="1063"/>
      <c r="J12100" s="1063"/>
      <c r="K12100" s="1063"/>
      <c r="L12100" s="1063"/>
    </row>
    <row r="12101" spans="5:12" x14ac:dyDescent="0.2">
      <c r="E12101" s="1063"/>
      <c r="H12101" s="1066"/>
      <c r="I12101" s="1063"/>
      <c r="J12101" s="1063"/>
      <c r="K12101" s="1063"/>
      <c r="L12101" s="1063"/>
    </row>
    <row r="12102" spans="5:12" x14ac:dyDescent="0.2">
      <c r="E12102" s="1063"/>
      <c r="H12102" s="1066"/>
      <c r="I12102" s="1063"/>
      <c r="J12102" s="1063"/>
      <c r="K12102" s="1063"/>
      <c r="L12102" s="1063"/>
    </row>
    <row r="12103" spans="5:12" x14ac:dyDescent="0.2">
      <c r="E12103" s="1063"/>
      <c r="H12103" s="1066"/>
      <c r="I12103" s="1063"/>
      <c r="J12103" s="1063"/>
      <c r="K12103" s="1063"/>
      <c r="L12103" s="1063"/>
    </row>
    <row r="12104" spans="5:12" x14ac:dyDescent="0.2">
      <c r="E12104" s="1063"/>
      <c r="H12104" s="1066"/>
      <c r="I12104" s="1063"/>
      <c r="J12104" s="1063"/>
      <c r="K12104" s="1063"/>
      <c r="L12104" s="1063"/>
    </row>
    <row r="12105" spans="5:12" x14ac:dyDescent="0.2">
      <c r="E12105" s="1063"/>
      <c r="H12105" s="1066"/>
      <c r="I12105" s="1063"/>
      <c r="J12105" s="1063"/>
      <c r="K12105" s="1063"/>
      <c r="L12105" s="1063"/>
    </row>
    <row r="12106" spans="5:12" x14ac:dyDescent="0.2">
      <c r="E12106" s="1063"/>
      <c r="H12106" s="1066"/>
      <c r="I12106" s="1063"/>
      <c r="J12106" s="1063"/>
      <c r="K12106" s="1063"/>
      <c r="L12106" s="1063"/>
    </row>
    <row r="12107" spans="5:12" x14ac:dyDescent="0.2">
      <c r="E12107" s="1063"/>
      <c r="H12107" s="1066"/>
      <c r="I12107" s="1063"/>
      <c r="J12107" s="1063"/>
      <c r="K12107" s="1063"/>
      <c r="L12107" s="1063"/>
    </row>
    <row r="12108" spans="5:12" x14ac:dyDescent="0.2">
      <c r="E12108" s="1063"/>
      <c r="H12108" s="1066"/>
      <c r="I12108" s="1063"/>
      <c r="J12108" s="1063"/>
      <c r="K12108" s="1063"/>
      <c r="L12108" s="1063"/>
    </row>
    <row r="12109" spans="5:12" x14ac:dyDescent="0.2">
      <c r="E12109" s="1063"/>
      <c r="H12109" s="1066"/>
      <c r="I12109" s="1063"/>
      <c r="J12109" s="1063"/>
      <c r="K12109" s="1063"/>
      <c r="L12109" s="1063"/>
    </row>
    <row r="12110" spans="5:12" x14ac:dyDescent="0.2">
      <c r="E12110" s="1063"/>
      <c r="H12110" s="1066"/>
      <c r="I12110" s="1063"/>
      <c r="J12110" s="1063"/>
      <c r="K12110" s="1063"/>
      <c r="L12110" s="1063"/>
    </row>
    <row r="12111" spans="5:12" x14ac:dyDescent="0.2">
      <c r="E12111" s="1063"/>
      <c r="H12111" s="1066"/>
      <c r="I12111" s="1063"/>
      <c r="J12111" s="1063"/>
      <c r="K12111" s="1063"/>
      <c r="L12111" s="1063"/>
    </row>
    <row r="12112" spans="5:12" x14ac:dyDescent="0.2">
      <c r="E12112" s="1063"/>
      <c r="H12112" s="1066"/>
      <c r="I12112" s="1063"/>
      <c r="J12112" s="1063"/>
      <c r="K12112" s="1063"/>
      <c r="L12112" s="1063"/>
    </row>
    <row r="12113" spans="5:12" x14ac:dyDescent="0.2">
      <c r="E12113" s="1063"/>
      <c r="H12113" s="1066"/>
      <c r="I12113" s="1063"/>
      <c r="J12113" s="1063"/>
      <c r="K12113" s="1063"/>
      <c r="L12113" s="1063"/>
    </row>
    <row r="12114" spans="5:12" x14ac:dyDescent="0.2">
      <c r="E12114" s="1063"/>
      <c r="H12114" s="1066"/>
      <c r="I12114" s="1063"/>
      <c r="J12114" s="1063"/>
      <c r="K12114" s="1063"/>
      <c r="L12114" s="1063"/>
    </row>
    <row r="12115" spans="5:12" x14ac:dyDescent="0.2">
      <c r="E12115" s="1063"/>
      <c r="H12115" s="1066"/>
      <c r="I12115" s="1063"/>
      <c r="J12115" s="1063"/>
      <c r="K12115" s="1063"/>
      <c r="L12115" s="1063"/>
    </row>
    <row r="12116" spans="5:12" x14ac:dyDescent="0.2">
      <c r="E12116" s="1063"/>
      <c r="H12116" s="1066"/>
      <c r="I12116" s="1063"/>
      <c r="J12116" s="1063"/>
      <c r="K12116" s="1063"/>
      <c r="L12116" s="1063"/>
    </row>
    <row r="12117" spans="5:12" x14ac:dyDescent="0.2">
      <c r="E12117" s="1063"/>
      <c r="H12117" s="1066"/>
      <c r="I12117" s="1063"/>
      <c r="J12117" s="1063"/>
      <c r="K12117" s="1063"/>
      <c r="L12117" s="1063"/>
    </row>
    <row r="12118" spans="5:12" x14ac:dyDescent="0.2">
      <c r="E12118" s="1063"/>
      <c r="H12118" s="1066"/>
      <c r="I12118" s="1063"/>
      <c r="J12118" s="1063"/>
      <c r="K12118" s="1063"/>
      <c r="L12118" s="1063"/>
    </row>
    <row r="12119" spans="5:12" x14ac:dyDescent="0.2">
      <c r="E12119" s="1063"/>
      <c r="H12119" s="1066"/>
      <c r="I12119" s="1063"/>
      <c r="J12119" s="1063"/>
      <c r="K12119" s="1063"/>
      <c r="L12119" s="1063"/>
    </row>
    <row r="12120" spans="5:12" x14ac:dyDescent="0.2">
      <c r="E12120" s="1063"/>
      <c r="H12120" s="1066"/>
      <c r="I12120" s="1063"/>
      <c r="J12120" s="1063"/>
      <c r="K12120" s="1063"/>
      <c r="L12120" s="1063"/>
    </row>
    <row r="12121" spans="5:12" x14ac:dyDescent="0.2">
      <c r="E12121" s="1063"/>
      <c r="H12121" s="1066"/>
      <c r="I12121" s="1063"/>
      <c r="J12121" s="1063"/>
      <c r="K12121" s="1063"/>
      <c r="L12121" s="1063"/>
    </row>
    <row r="12122" spans="5:12" x14ac:dyDescent="0.2">
      <c r="E12122" s="1063"/>
      <c r="H12122" s="1066"/>
      <c r="I12122" s="1063"/>
      <c r="J12122" s="1063"/>
      <c r="K12122" s="1063"/>
      <c r="L12122" s="1063"/>
    </row>
    <row r="12123" spans="5:12" x14ac:dyDescent="0.2">
      <c r="E12123" s="1063"/>
      <c r="H12123" s="1066"/>
      <c r="I12123" s="1063"/>
      <c r="J12123" s="1063"/>
      <c r="K12123" s="1063"/>
      <c r="L12123" s="1063"/>
    </row>
    <row r="12124" spans="5:12" x14ac:dyDescent="0.2">
      <c r="E12124" s="1063"/>
      <c r="H12124" s="1066"/>
      <c r="I12124" s="1063"/>
      <c r="J12124" s="1063"/>
      <c r="K12124" s="1063"/>
      <c r="L12124" s="1063"/>
    </row>
    <row r="12125" spans="5:12" x14ac:dyDescent="0.2">
      <c r="E12125" s="1063"/>
      <c r="H12125" s="1066"/>
      <c r="I12125" s="1063"/>
      <c r="J12125" s="1063"/>
      <c r="K12125" s="1063"/>
      <c r="L12125" s="1063"/>
    </row>
    <row r="12126" spans="5:12" x14ac:dyDescent="0.2">
      <c r="E12126" s="1063"/>
      <c r="H12126" s="1066"/>
      <c r="I12126" s="1063"/>
      <c r="J12126" s="1063"/>
      <c r="K12126" s="1063"/>
      <c r="L12126" s="1063"/>
    </row>
    <row r="12127" spans="5:12" x14ac:dyDescent="0.2">
      <c r="E12127" s="1063"/>
      <c r="H12127" s="1066"/>
      <c r="I12127" s="1063"/>
      <c r="J12127" s="1063"/>
      <c r="K12127" s="1063"/>
      <c r="L12127" s="1063"/>
    </row>
    <row r="12128" spans="5:12" x14ac:dyDescent="0.2">
      <c r="E12128" s="1063"/>
      <c r="H12128" s="1066"/>
      <c r="I12128" s="1063"/>
      <c r="J12128" s="1063"/>
      <c r="K12128" s="1063"/>
      <c r="L12128" s="1063"/>
    </row>
    <row r="12129" spans="5:12" x14ac:dyDescent="0.2">
      <c r="E12129" s="1063"/>
      <c r="H12129" s="1066"/>
      <c r="I12129" s="1063"/>
      <c r="J12129" s="1063"/>
      <c r="K12129" s="1063"/>
      <c r="L12129" s="1063"/>
    </row>
    <row r="12130" spans="5:12" x14ac:dyDescent="0.2">
      <c r="E12130" s="1063"/>
      <c r="H12130" s="1066"/>
      <c r="I12130" s="1063"/>
      <c r="J12130" s="1063"/>
      <c r="K12130" s="1063"/>
      <c r="L12130" s="1063"/>
    </row>
    <row r="12131" spans="5:12" x14ac:dyDescent="0.2">
      <c r="E12131" s="1063"/>
      <c r="H12131" s="1066"/>
      <c r="I12131" s="1063"/>
      <c r="J12131" s="1063"/>
      <c r="K12131" s="1063"/>
      <c r="L12131" s="1063"/>
    </row>
    <row r="12132" spans="5:12" x14ac:dyDescent="0.2">
      <c r="E12132" s="1063"/>
      <c r="H12132" s="1066"/>
      <c r="I12132" s="1063"/>
      <c r="J12132" s="1063"/>
      <c r="K12132" s="1063"/>
      <c r="L12132" s="1063"/>
    </row>
    <row r="12133" spans="5:12" x14ac:dyDescent="0.2">
      <c r="E12133" s="1063"/>
      <c r="H12133" s="1066"/>
      <c r="I12133" s="1063"/>
      <c r="J12133" s="1063"/>
      <c r="K12133" s="1063"/>
      <c r="L12133" s="1063"/>
    </row>
    <row r="12134" spans="5:12" x14ac:dyDescent="0.2">
      <c r="E12134" s="1063"/>
      <c r="H12134" s="1066"/>
      <c r="I12134" s="1063"/>
      <c r="J12134" s="1063"/>
      <c r="K12134" s="1063"/>
      <c r="L12134" s="1063"/>
    </row>
    <row r="12135" spans="5:12" x14ac:dyDescent="0.2">
      <c r="E12135" s="1063"/>
      <c r="H12135" s="1066"/>
      <c r="I12135" s="1063"/>
      <c r="J12135" s="1063"/>
      <c r="K12135" s="1063"/>
      <c r="L12135" s="1063"/>
    </row>
    <row r="12136" spans="5:12" x14ac:dyDescent="0.2">
      <c r="E12136" s="1063"/>
      <c r="H12136" s="1066"/>
      <c r="I12136" s="1063"/>
      <c r="J12136" s="1063"/>
      <c r="K12136" s="1063"/>
      <c r="L12136" s="1063"/>
    </row>
    <row r="12137" spans="5:12" x14ac:dyDescent="0.2">
      <c r="E12137" s="1063"/>
      <c r="H12137" s="1066"/>
      <c r="I12137" s="1063"/>
      <c r="J12137" s="1063"/>
      <c r="K12137" s="1063"/>
      <c r="L12137" s="1063"/>
    </row>
    <row r="12138" spans="5:12" x14ac:dyDescent="0.2">
      <c r="E12138" s="1063"/>
      <c r="H12138" s="1066"/>
      <c r="I12138" s="1063"/>
      <c r="J12138" s="1063"/>
      <c r="K12138" s="1063"/>
      <c r="L12138" s="1063"/>
    </row>
    <row r="12139" spans="5:12" x14ac:dyDescent="0.2">
      <c r="E12139" s="1063"/>
      <c r="H12139" s="1066"/>
      <c r="I12139" s="1063"/>
      <c r="J12139" s="1063"/>
      <c r="K12139" s="1063"/>
      <c r="L12139" s="1063"/>
    </row>
    <row r="12140" spans="5:12" x14ac:dyDescent="0.2">
      <c r="E12140" s="1063"/>
      <c r="H12140" s="1066"/>
      <c r="I12140" s="1063"/>
      <c r="J12140" s="1063"/>
      <c r="K12140" s="1063"/>
      <c r="L12140" s="1063"/>
    </row>
    <row r="12141" spans="5:12" x14ac:dyDescent="0.2">
      <c r="E12141" s="1063"/>
      <c r="H12141" s="1066"/>
      <c r="I12141" s="1063"/>
      <c r="J12141" s="1063"/>
      <c r="K12141" s="1063"/>
      <c r="L12141" s="1063"/>
    </row>
    <row r="12142" spans="5:12" x14ac:dyDescent="0.2">
      <c r="E12142" s="1063"/>
      <c r="H12142" s="1066"/>
      <c r="I12142" s="1063"/>
      <c r="J12142" s="1063"/>
      <c r="K12142" s="1063"/>
      <c r="L12142" s="1063"/>
    </row>
    <row r="12143" spans="5:12" x14ac:dyDescent="0.2">
      <c r="E12143" s="1063"/>
      <c r="H12143" s="1066"/>
      <c r="I12143" s="1063"/>
      <c r="J12143" s="1063"/>
      <c r="K12143" s="1063"/>
      <c r="L12143" s="1063"/>
    </row>
    <row r="12144" spans="5:12" x14ac:dyDescent="0.2">
      <c r="E12144" s="1063"/>
      <c r="H12144" s="1066"/>
      <c r="I12144" s="1063"/>
      <c r="J12144" s="1063"/>
      <c r="K12144" s="1063"/>
      <c r="L12144" s="1063"/>
    </row>
    <row r="12145" spans="5:12" x14ac:dyDescent="0.2">
      <c r="E12145" s="1063"/>
      <c r="H12145" s="1066"/>
      <c r="I12145" s="1063"/>
      <c r="J12145" s="1063"/>
      <c r="K12145" s="1063"/>
      <c r="L12145" s="1063"/>
    </row>
    <row r="12146" spans="5:12" x14ac:dyDescent="0.2">
      <c r="E12146" s="1063"/>
      <c r="H12146" s="1066"/>
      <c r="I12146" s="1063"/>
      <c r="J12146" s="1063"/>
      <c r="K12146" s="1063"/>
      <c r="L12146" s="1063"/>
    </row>
    <row r="12147" spans="5:12" x14ac:dyDescent="0.2">
      <c r="E12147" s="1063"/>
      <c r="H12147" s="1066"/>
      <c r="I12147" s="1063"/>
      <c r="J12147" s="1063"/>
      <c r="K12147" s="1063"/>
      <c r="L12147" s="1063"/>
    </row>
    <row r="12148" spans="5:12" x14ac:dyDescent="0.2">
      <c r="E12148" s="1063"/>
      <c r="H12148" s="1066"/>
      <c r="I12148" s="1063"/>
      <c r="J12148" s="1063"/>
      <c r="K12148" s="1063"/>
      <c r="L12148" s="1063"/>
    </row>
    <row r="12149" spans="5:12" x14ac:dyDescent="0.2">
      <c r="E12149" s="1063"/>
      <c r="H12149" s="1066"/>
      <c r="I12149" s="1063"/>
      <c r="J12149" s="1063"/>
      <c r="K12149" s="1063"/>
      <c r="L12149" s="1063"/>
    </row>
    <row r="12150" spans="5:12" x14ac:dyDescent="0.2">
      <c r="E12150" s="1063"/>
      <c r="H12150" s="1066"/>
      <c r="I12150" s="1063"/>
      <c r="J12150" s="1063"/>
      <c r="K12150" s="1063"/>
      <c r="L12150" s="1063"/>
    </row>
    <row r="12151" spans="5:12" x14ac:dyDescent="0.2">
      <c r="E12151" s="1063"/>
      <c r="H12151" s="1066"/>
      <c r="I12151" s="1063"/>
      <c r="J12151" s="1063"/>
      <c r="K12151" s="1063"/>
      <c r="L12151" s="1063"/>
    </row>
    <row r="12152" spans="5:12" x14ac:dyDescent="0.2">
      <c r="E12152" s="1063"/>
      <c r="H12152" s="1066"/>
      <c r="I12152" s="1063"/>
      <c r="J12152" s="1063"/>
      <c r="K12152" s="1063"/>
      <c r="L12152" s="1063"/>
    </row>
    <row r="12153" spans="5:12" x14ac:dyDescent="0.2">
      <c r="E12153" s="1063"/>
      <c r="H12153" s="1066"/>
      <c r="I12153" s="1063"/>
      <c r="J12153" s="1063"/>
      <c r="K12153" s="1063"/>
      <c r="L12153" s="1063"/>
    </row>
    <row r="12154" spans="5:12" x14ac:dyDescent="0.2">
      <c r="E12154" s="1063"/>
      <c r="H12154" s="1066"/>
      <c r="I12154" s="1063"/>
      <c r="J12154" s="1063"/>
      <c r="K12154" s="1063"/>
      <c r="L12154" s="1063"/>
    </row>
    <row r="12155" spans="5:12" x14ac:dyDescent="0.2">
      <c r="E12155" s="1063"/>
      <c r="H12155" s="1066"/>
      <c r="I12155" s="1063"/>
      <c r="J12155" s="1063"/>
      <c r="K12155" s="1063"/>
      <c r="L12155" s="1063"/>
    </row>
    <row r="12156" spans="5:12" x14ac:dyDescent="0.2">
      <c r="E12156" s="1063"/>
      <c r="H12156" s="1066"/>
      <c r="I12156" s="1063"/>
      <c r="J12156" s="1063"/>
      <c r="K12156" s="1063"/>
      <c r="L12156" s="1063"/>
    </row>
    <row r="12157" spans="5:12" x14ac:dyDescent="0.2">
      <c r="E12157" s="1063"/>
      <c r="H12157" s="1066"/>
      <c r="I12157" s="1063"/>
      <c r="J12157" s="1063"/>
      <c r="K12157" s="1063"/>
      <c r="L12157" s="1063"/>
    </row>
    <row r="12158" spans="5:12" x14ac:dyDescent="0.2">
      <c r="E12158" s="1063"/>
      <c r="H12158" s="1066"/>
      <c r="I12158" s="1063"/>
      <c r="J12158" s="1063"/>
      <c r="K12158" s="1063"/>
      <c r="L12158" s="1063"/>
    </row>
    <row r="12159" spans="5:12" x14ac:dyDescent="0.2">
      <c r="E12159" s="1063"/>
      <c r="H12159" s="1066"/>
      <c r="I12159" s="1063"/>
      <c r="J12159" s="1063"/>
      <c r="K12159" s="1063"/>
      <c r="L12159" s="1063"/>
    </row>
    <row r="12160" spans="5:12" x14ac:dyDescent="0.2">
      <c r="E12160" s="1063"/>
      <c r="H12160" s="1066"/>
      <c r="I12160" s="1063"/>
      <c r="J12160" s="1063"/>
      <c r="K12160" s="1063"/>
      <c r="L12160" s="1063"/>
    </row>
    <row r="12161" spans="5:12" x14ac:dyDescent="0.2">
      <c r="E12161" s="1063"/>
      <c r="H12161" s="1066"/>
      <c r="I12161" s="1063"/>
      <c r="J12161" s="1063"/>
      <c r="K12161" s="1063"/>
      <c r="L12161" s="1063"/>
    </row>
    <row r="12162" spans="5:12" x14ac:dyDescent="0.2">
      <c r="E12162" s="1063"/>
      <c r="H12162" s="1066"/>
      <c r="I12162" s="1063"/>
      <c r="J12162" s="1063"/>
      <c r="K12162" s="1063"/>
      <c r="L12162" s="1063"/>
    </row>
    <row r="12163" spans="5:12" x14ac:dyDescent="0.2">
      <c r="E12163" s="1063"/>
      <c r="H12163" s="1066"/>
      <c r="I12163" s="1063"/>
      <c r="J12163" s="1063"/>
      <c r="K12163" s="1063"/>
      <c r="L12163" s="1063"/>
    </row>
    <row r="12164" spans="5:12" x14ac:dyDescent="0.2">
      <c r="E12164" s="1063"/>
      <c r="H12164" s="1066"/>
      <c r="I12164" s="1063"/>
      <c r="J12164" s="1063"/>
      <c r="K12164" s="1063"/>
      <c r="L12164" s="1063"/>
    </row>
    <row r="12165" spans="5:12" x14ac:dyDescent="0.2">
      <c r="E12165" s="1063"/>
      <c r="H12165" s="1066"/>
      <c r="I12165" s="1063"/>
      <c r="J12165" s="1063"/>
      <c r="K12165" s="1063"/>
      <c r="L12165" s="1063"/>
    </row>
    <row r="12166" spans="5:12" x14ac:dyDescent="0.2">
      <c r="E12166" s="1063"/>
      <c r="H12166" s="1066"/>
      <c r="I12166" s="1063"/>
      <c r="J12166" s="1063"/>
      <c r="K12166" s="1063"/>
      <c r="L12166" s="1063"/>
    </row>
    <row r="12167" spans="5:12" x14ac:dyDescent="0.2">
      <c r="E12167" s="1063"/>
      <c r="H12167" s="1066"/>
      <c r="I12167" s="1063"/>
      <c r="J12167" s="1063"/>
      <c r="K12167" s="1063"/>
      <c r="L12167" s="1063"/>
    </row>
    <row r="12168" spans="5:12" x14ac:dyDescent="0.2">
      <c r="E12168" s="1063"/>
      <c r="H12168" s="1066"/>
      <c r="I12168" s="1063"/>
      <c r="J12168" s="1063"/>
      <c r="K12168" s="1063"/>
      <c r="L12168" s="1063"/>
    </row>
    <row r="12169" spans="5:12" x14ac:dyDescent="0.2">
      <c r="E12169" s="1063"/>
      <c r="H12169" s="1066"/>
      <c r="I12169" s="1063"/>
      <c r="J12169" s="1063"/>
      <c r="K12169" s="1063"/>
      <c r="L12169" s="1063"/>
    </row>
    <row r="12170" spans="5:12" x14ac:dyDescent="0.2">
      <c r="E12170" s="1063"/>
      <c r="H12170" s="1066"/>
      <c r="I12170" s="1063"/>
      <c r="J12170" s="1063"/>
      <c r="K12170" s="1063"/>
      <c r="L12170" s="1063"/>
    </row>
    <row r="12171" spans="5:12" x14ac:dyDescent="0.2">
      <c r="E12171" s="1063"/>
      <c r="H12171" s="1066"/>
      <c r="I12171" s="1063"/>
      <c r="J12171" s="1063"/>
      <c r="K12171" s="1063"/>
      <c r="L12171" s="1063"/>
    </row>
    <row r="12172" spans="5:12" x14ac:dyDescent="0.2">
      <c r="E12172" s="1063"/>
      <c r="H12172" s="1066"/>
      <c r="I12172" s="1063"/>
      <c r="J12172" s="1063"/>
      <c r="K12172" s="1063"/>
      <c r="L12172" s="1063"/>
    </row>
    <row r="12173" spans="5:12" x14ac:dyDescent="0.2">
      <c r="E12173" s="1063"/>
      <c r="H12173" s="1066"/>
      <c r="I12173" s="1063"/>
      <c r="J12173" s="1063"/>
      <c r="K12173" s="1063"/>
      <c r="L12173" s="1063"/>
    </row>
    <row r="12174" spans="5:12" x14ac:dyDescent="0.2">
      <c r="E12174" s="1063"/>
      <c r="H12174" s="1066"/>
      <c r="I12174" s="1063"/>
      <c r="J12174" s="1063"/>
      <c r="K12174" s="1063"/>
      <c r="L12174" s="1063"/>
    </row>
    <row r="12175" spans="5:12" x14ac:dyDescent="0.2">
      <c r="E12175" s="1063"/>
      <c r="H12175" s="1066"/>
      <c r="I12175" s="1063"/>
      <c r="J12175" s="1063"/>
      <c r="K12175" s="1063"/>
      <c r="L12175" s="1063"/>
    </row>
    <row r="12176" spans="5:12" x14ac:dyDescent="0.2">
      <c r="E12176" s="1063"/>
      <c r="H12176" s="1066"/>
      <c r="I12176" s="1063"/>
      <c r="J12176" s="1063"/>
      <c r="K12176" s="1063"/>
      <c r="L12176" s="1063"/>
    </row>
    <row r="12177" spans="5:12" x14ac:dyDescent="0.2">
      <c r="E12177" s="1063"/>
      <c r="H12177" s="1066"/>
      <c r="I12177" s="1063"/>
      <c r="J12177" s="1063"/>
      <c r="K12177" s="1063"/>
      <c r="L12177" s="1063"/>
    </row>
    <row r="12178" spans="5:12" x14ac:dyDescent="0.2">
      <c r="E12178" s="1063"/>
      <c r="H12178" s="1066"/>
      <c r="I12178" s="1063"/>
      <c r="J12178" s="1063"/>
      <c r="K12178" s="1063"/>
      <c r="L12178" s="1063"/>
    </row>
    <row r="12179" spans="5:12" x14ac:dyDescent="0.2">
      <c r="E12179" s="1063"/>
      <c r="H12179" s="1066"/>
      <c r="I12179" s="1063"/>
      <c r="J12179" s="1063"/>
      <c r="K12179" s="1063"/>
      <c r="L12179" s="1063"/>
    </row>
    <row r="12180" spans="5:12" x14ac:dyDescent="0.2">
      <c r="E12180" s="1063"/>
      <c r="H12180" s="1066"/>
      <c r="I12180" s="1063"/>
      <c r="J12180" s="1063"/>
      <c r="K12180" s="1063"/>
      <c r="L12180" s="1063"/>
    </row>
    <row r="12181" spans="5:12" x14ac:dyDescent="0.2">
      <c r="E12181" s="1063"/>
      <c r="H12181" s="1066"/>
      <c r="I12181" s="1063"/>
      <c r="J12181" s="1063"/>
      <c r="K12181" s="1063"/>
      <c r="L12181" s="1063"/>
    </row>
    <row r="12182" spans="5:12" x14ac:dyDescent="0.2">
      <c r="E12182" s="1063"/>
      <c r="H12182" s="1066"/>
      <c r="I12182" s="1063"/>
      <c r="J12182" s="1063"/>
      <c r="K12182" s="1063"/>
      <c r="L12182" s="1063"/>
    </row>
    <row r="12183" spans="5:12" x14ac:dyDescent="0.2">
      <c r="E12183" s="1063"/>
      <c r="H12183" s="1066"/>
      <c r="I12183" s="1063"/>
      <c r="J12183" s="1063"/>
      <c r="K12183" s="1063"/>
      <c r="L12183" s="1063"/>
    </row>
    <row r="12184" spans="5:12" x14ac:dyDescent="0.2">
      <c r="E12184" s="1063"/>
      <c r="H12184" s="1066"/>
      <c r="I12184" s="1063"/>
      <c r="J12184" s="1063"/>
      <c r="K12184" s="1063"/>
      <c r="L12184" s="1063"/>
    </row>
    <row r="12185" spans="5:12" x14ac:dyDescent="0.2">
      <c r="E12185" s="1063"/>
      <c r="H12185" s="1066"/>
      <c r="I12185" s="1063"/>
      <c r="J12185" s="1063"/>
      <c r="K12185" s="1063"/>
      <c r="L12185" s="1063"/>
    </row>
    <row r="12186" spans="5:12" x14ac:dyDescent="0.2">
      <c r="E12186" s="1063"/>
      <c r="H12186" s="1066"/>
      <c r="I12186" s="1063"/>
      <c r="J12186" s="1063"/>
      <c r="K12186" s="1063"/>
      <c r="L12186" s="1063"/>
    </row>
    <row r="12187" spans="5:12" x14ac:dyDescent="0.2">
      <c r="E12187" s="1063"/>
      <c r="H12187" s="1066"/>
      <c r="I12187" s="1063"/>
      <c r="J12187" s="1063"/>
      <c r="K12187" s="1063"/>
      <c r="L12187" s="1063"/>
    </row>
    <row r="12188" spans="5:12" x14ac:dyDescent="0.2">
      <c r="E12188" s="1063"/>
      <c r="H12188" s="1066"/>
      <c r="I12188" s="1063"/>
      <c r="J12188" s="1063"/>
      <c r="K12188" s="1063"/>
      <c r="L12188" s="1063"/>
    </row>
    <row r="12189" spans="5:12" x14ac:dyDescent="0.2">
      <c r="E12189" s="1063"/>
      <c r="H12189" s="1066"/>
      <c r="I12189" s="1063"/>
      <c r="J12189" s="1063"/>
      <c r="K12189" s="1063"/>
      <c r="L12189" s="1063"/>
    </row>
    <row r="12190" spans="5:12" x14ac:dyDescent="0.2">
      <c r="E12190" s="1063"/>
      <c r="H12190" s="1066"/>
      <c r="I12190" s="1063"/>
      <c r="J12190" s="1063"/>
      <c r="K12190" s="1063"/>
      <c r="L12190" s="1063"/>
    </row>
    <row r="12191" spans="5:12" x14ac:dyDescent="0.2">
      <c r="E12191" s="1063"/>
      <c r="H12191" s="1066"/>
      <c r="I12191" s="1063"/>
      <c r="J12191" s="1063"/>
      <c r="K12191" s="1063"/>
      <c r="L12191" s="1063"/>
    </row>
    <row r="12192" spans="5:12" x14ac:dyDescent="0.2">
      <c r="E12192" s="1063"/>
      <c r="H12192" s="1066"/>
      <c r="I12192" s="1063"/>
      <c r="J12192" s="1063"/>
      <c r="K12192" s="1063"/>
      <c r="L12192" s="1063"/>
    </row>
    <row r="12193" spans="5:12" x14ac:dyDescent="0.2">
      <c r="E12193" s="1063"/>
      <c r="H12193" s="1066"/>
      <c r="I12193" s="1063"/>
      <c r="J12193" s="1063"/>
      <c r="K12193" s="1063"/>
      <c r="L12193" s="1063"/>
    </row>
    <row r="12194" spans="5:12" x14ac:dyDescent="0.2">
      <c r="E12194" s="1063"/>
      <c r="H12194" s="1066"/>
      <c r="I12194" s="1063"/>
      <c r="J12194" s="1063"/>
      <c r="K12194" s="1063"/>
      <c r="L12194" s="1063"/>
    </row>
    <row r="12195" spans="5:12" x14ac:dyDescent="0.2">
      <c r="E12195" s="1063"/>
      <c r="H12195" s="1066"/>
      <c r="I12195" s="1063"/>
      <c r="J12195" s="1063"/>
      <c r="K12195" s="1063"/>
      <c r="L12195" s="1063"/>
    </row>
    <row r="12196" spans="5:12" x14ac:dyDescent="0.2">
      <c r="E12196" s="1063"/>
      <c r="H12196" s="1066"/>
      <c r="I12196" s="1063"/>
      <c r="J12196" s="1063"/>
      <c r="K12196" s="1063"/>
      <c r="L12196" s="1063"/>
    </row>
    <row r="12197" spans="5:12" x14ac:dyDescent="0.2">
      <c r="E12197" s="1063"/>
      <c r="H12197" s="1066"/>
      <c r="I12197" s="1063"/>
      <c r="J12197" s="1063"/>
      <c r="K12197" s="1063"/>
      <c r="L12197" s="1063"/>
    </row>
    <row r="12198" spans="5:12" x14ac:dyDescent="0.2">
      <c r="E12198" s="1063"/>
      <c r="H12198" s="1066"/>
      <c r="I12198" s="1063"/>
      <c r="J12198" s="1063"/>
      <c r="K12198" s="1063"/>
      <c r="L12198" s="1063"/>
    </row>
    <row r="12199" spans="5:12" x14ac:dyDescent="0.2">
      <c r="E12199" s="1063"/>
      <c r="H12199" s="1066"/>
      <c r="I12199" s="1063"/>
      <c r="J12199" s="1063"/>
      <c r="K12199" s="1063"/>
      <c r="L12199" s="1063"/>
    </row>
    <row r="12200" spans="5:12" x14ac:dyDescent="0.2">
      <c r="E12200" s="1063"/>
      <c r="H12200" s="1066"/>
      <c r="I12200" s="1063"/>
      <c r="J12200" s="1063"/>
      <c r="K12200" s="1063"/>
      <c r="L12200" s="1063"/>
    </row>
    <row r="12201" spans="5:12" x14ac:dyDescent="0.2">
      <c r="E12201" s="1063"/>
      <c r="H12201" s="1066"/>
      <c r="I12201" s="1063"/>
      <c r="J12201" s="1063"/>
      <c r="K12201" s="1063"/>
      <c r="L12201" s="1063"/>
    </row>
    <row r="12202" spans="5:12" x14ac:dyDescent="0.2">
      <c r="E12202" s="1063"/>
      <c r="H12202" s="1066"/>
      <c r="I12202" s="1063"/>
      <c r="J12202" s="1063"/>
      <c r="K12202" s="1063"/>
      <c r="L12202" s="1063"/>
    </row>
    <row r="12203" spans="5:12" x14ac:dyDescent="0.2">
      <c r="E12203" s="1063"/>
      <c r="H12203" s="1066"/>
      <c r="I12203" s="1063"/>
      <c r="J12203" s="1063"/>
      <c r="K12203" s="1063"/>
      <c r="L12203" s="1063"/>
    </row>
    <row r="12204" spans="5:12" x14ac:dyDescent="0.2">
      <c r="E12204" s="1063"/>
      <c r="H12204" s="1066"/>
      <c r="I12204" s="1063"/>
      <c r="J12204" s="1063"/>
      <c r="K12204" s="1063"/>
      <c r="L12204" s="1063"/>
    </row>
    <row r="12205" spans="5:12" x14ac:dyDescent="0.2">
      <c r="E12205" s="1063"/>
      <c r="H12205" s="1066"/>
      <c r="I12205" s="1063"/>
      <c r="J12205" s="1063"/>
      <c r="K12205" s="1063"/>
      <c r="L12205" s="1063"/>
    </row>
    <row r="12206" spans="5:12" x14ac:dyDescent="0.2">
      <c r="E12206" s="1063"/>
      <c r="H12206" s="1066"/>
      <c r="I12206" s="1063"/>
      <c r="J12206" s="1063"/>
      <c r="K12206" s="1063"/>
      <c r="L12206" s="1063"/>
    </row>
    <row r="12207" spans="5:12" x14ac:dyDescent="0.2">
      <c r="E12207" s="1063"/>
      <c r="H12207" s="1066"/>
      <c r="I12207" s="1063"/>
      <c r="J12207" s="1063"/>
      <c r="K12207" s="1063"/>
      <c r="L12207" s="1063"/>
    </row>
    <row r="12208" spans="5:12" x14ac:dyDescent="0.2">
      <c r="E12208" s="1063"/>
      <c r="H12208" s="1066"/>
      <c r="I12208" s="1063"/>
      <c r="J12208" s="1063"/>
      <c r="K12208" s="1063"/>
      <c r="L12208" s="1063"/>
    </row>
    <row r="12209" spans="5:12" x14ac:dyDescent="0.2">
      <c r="E12209" s="1063"/>
      <c r="H12209" s="1066"/>
      <c r="I12209" s="1063"/>
      <c r="J12209" s="1063"/>
      <c r="K12209" s="1063"/>
      <c r="L12209" s="1063"/>
    </row>
    <row r="12210" spans="5:12" x14ac:dyDescent="0.2">
      <c r="E12210" s="1063"/>
      <c r="H12210" s="1066"/>
      <c r="I12210" s="1063"/>
      <c r="J12210" s="1063"/>
      <c r="K12210" s="1063"/>
      <c r="L12210" s="1063"/>
    </row>
    <row r="12211" spans="5:12" x14ac:dyDescent="0.2">
      <c r="E12211" s="1063"/>
      <c r="H12211" s="1066"/>
      <c r="I12211" s="1063"/>
      <c r="J12211" s="1063"/>
      <c r="K12211" s="1063"/>
      <c r="L12211" s="1063"/>
    </row>
    <row r="12212" spans="5:12" x14ac:dyDescent="0.2">
      <c r="E12212" s="1063"/>
      <c r="H12212" s="1066"/>
      <c r="I12212" s="1063"/>
      <c r="J12212" s="1063"/>
      <c r="K12212" s="1063"/>
      <c r="L12212" s="1063"/>
    </row>
    <row r="12213" spans="5:12" x14ac:dyDescent="0.2">
      <c r="E12213" s="1063"/>
      <c r="H12213" s="1066"/>
      <c r="I12213" s="1063"/>
      <c r="J12213" s="1063"/>
      <c r="K12213" s="1063"/>
      <c r="L12213" s="1063"/>
    </row>
    <row r="12214" spans="5:12" x14ac:dyDescent="0.2">
      <c r="E12214" s="1063"/>
      <c r="H12214" s="1066"/>
      <c r="I12214" s="1063"/>
      <c r="J12214" s="1063"/>
      <c r="K12214" s="1063"/>
      <c r="L12214" s="1063"/>
    </row>
    <row r="12215" spans="5:12" x14ac:dyDescent="0.2">
      <c r="E12215" s="1063"/>
      <c r="H12215" s="1066"/>
      <c r="I12215" s="1063"/>
      <c r="J12215" s="1063"/>
      <c r="K12215" s="1063"/>
      <c r="L12215" s="1063"/>
    </row>
    <row r="12216" spans="5:12" x14ac:dyDescent="0.2">
      <c r="E12216" s="1063"/>
      <c r="H12216" s="1066"/>
      <c r="I12216" s="1063"/>
      <c r="J12216" s="1063"/>
      <c r="K12216" s="1063"/>
      <c r="L12216" s="1063"/>
    </row>
    <row r="12217" spans="5:12" x14ac:dyDescent="0.2">
      <c r="E12217" s="1063"/>
      <c r="H12217" s="1066"/>
      <c r="I12217" s="1063"/>
      <c r="J12217" s="1063"/>
      <c r="K12217" s="1063"/>
      <c r="L12217" s="1063"/>
    </row>
    <row r="12218" spans="5:12" x14ac:dyDescent="0.2">
      <c r="E12218" s="1063"/>
      <c r="H12218" s="1066"/>
      <c r="I12218" s="1063"/>
      <c r="J12218" s="1063"/>
      <c r="K12218" s="1063"/>
      <c r="L12218" s="1063"/>
    </row>
    <row r="12219" spans="5:12" x14ac:dyDescent="0.2">
      <c r="E12219" s="1063"/>
      <c r="H12219" s="1066"/>
      <c r="I12219" s="1063"/>
      <c r="J12219" s="1063"/>
      <c r="K12219" s="1063"/>
      <c r="L12219" s="1063"/>
    </row>
    <row r="12220" spans="5:12" x14ac:dyDescent="0.2">
      <c r="E12220" s="1063"/>
      <c r="H12220" s="1066"/>
      <c r="I12220" s="1063"/>
      <c r="J12220" s="1063"/>
      <c r="K12220" s="1063"/>
      <c r="L12220" s="1063"/>
    </row>
    <row r="12221" spans="5:12" x14ac:dyDescent="0.2">
      <c r="E12221" s="1063"/>
      <c r="H12221" s="1066"/>
      <c r="I12221" s="1063"/>
      <c r="J12221" s="1063"/>
      <c r="K12221" s="1063"/>
      <c r="L12221" s="1063"/>
    </row>
    <row r="12222" spans="5:12" x14ac:dyDescent="0.2">
      <c r="E12222" s="1063"/>
      <c r="H12222" s="1066"/>
      <c r="I12222" s="1063"/>
      <c r="J12222" s="1063"/>
      <c r="K12222" s="1063"/>
      <c r="L12222" s="1063"/>
    </row>
    <row r="12223" spans="5:12" x14ac:dyDescent="0.2">
      <c r="E12223" s="1063"/>
      <c r="H12223" s="1066"/>
      <c r="I12223" s="1063"/>
      <c r="J12223" s="1063"/>
      <c r="K12223" s="1063"/>
      <c r="L12223" s="1063"/>
    </row>
    <row r="12224" spans="5:12" x14ac:dyDescent="0.2">
      <c r="E12224" s="1063"/>
      <c r="H12224" s="1066"/>
      <c r="I12224" s="1063"/>
      <c r="J12224" s="1063"/>
      <c r="K12224" s="1063"/>
      <c r="L12224" s="1063"/>
    </row>
    <row r="12225" spans="5:12" x14ac:dyDescent="0.2">
      <c r="E12225" s="1063"/>
      <c r="H12225" s="1066"/>
      <c r="I12225" s="1063"/>
      <c r="J12225" s="1063"/>
      <c r="K12225" s="1063"/>
      <c r="L12225" s="1063"/>
    </row>
    <row r="12226" spans="5:12" x14ac:dyDescent="0.2">
      <c r="E12226" s="1063"/>
      <c r="H12226" s="1066"/>
      <c r="I12226" s="1063"/>
      <c r="J12226" s="1063"/>
      <c r="K12226" s="1063"/>
      <c r="L12226" s="1063"/>
    </row>
    <row r="12227" spans="5:12" x14ac:dyDescent="0.2">
      <c r="E12227" s="1063"/>
      <c r="H12227" s="1066"/>
      <c r="I12227" s="1063"/>
      <c r="J12227" s="1063"/>
      <c r="K12227" s="1063"/>
      <c r="L12227" s="1063"/>
    </row>
    <row r="12228" spans="5:12" x14ac:dyDescent="0.2">
      <c r="E12228" s="1063"/>
      <c r="H12228" s="1066"/>
      <c r="I12228" s="1063"/>
      <c r="J12228" s="1063"/>
      <c r="K12228" s="1063"/>
      <c r="L12228" s="1063"/>
    </row>
    <row r="12229" spans="5:12" x14ac:dyDescent="0.2">
      <c r="E12229" s="1063"/>
      <c r="H12229" s="1066"/>
      <c r="I12229" s="1063"/>
      <c r="J12229" s="1063"/>
      <c r="K12229" s="1063"/>
      <c r="L12229" s="1063"/>
    </row>
    <row r="12230" spans="5:12" x14ac:dyDescent="0.2">
      <c r="E12230" s="1063"/>
      <c r="H12230" s="1066"/>
      <c r="I12230" s="1063"/>
      <c r="J12230" s="1063"/>
      <c r="K12230" s="1063"/>
      <c r="L12230" s="1063"/>
    </row>
    <row r="12231" spans="5:12" x14ac:dyDescent="0.2">
      <c r="E12231" s="1063"/>
      <c r="H12231" s="1066"/>
      <c r="I12231" s="1063"/>
      <c r="J12231" s="1063"/>
      <c r="K12231" s="1063"/>
      <c r="L12231" s="1063"/>
    </row>
    <row r="12232" spans="5:12" x14ac:dyDescent="0.2">
      <c r="E12232" s="1063"/>
      <c r="H12232" s="1066"/>
      <c r="I12232" s="1063"/>
      <c r="J12232" s="1063"/>
      <c r="K12232" s="1063"/>
      <c r="L12232" s="1063"/>
    </row>
    <row r="12233" spans="5:12" x14ac:dyDescent="0.2">
      <c r="E12233" s="1063"/>
      <c r="H12233" s="1066"/>
      <c r="I12233" s="1063"/>
      <c r="J12233" s="1063"/>
      <c r="K12233" s="1063"/>
      <c r="L12233" s="1063"/>
    </row>
    <row r="12234" spans="5:12" x14ac:dyDescent="0.2">
      <c r="E12234" s="1063"/>
      <c r="H12234" s="1066"/>
      <c r="I12234" s="1063"/>
      <c r="J12234" s="1063"/>
      <c r="K12234" s="1063"/>
      <c r="L12234" s="1063"/>
    </row>
    <row r="12235" spans="5:12" x14ac:dyDescent="0.2">
      <c r="E12235" s="1063"/>
      <c r="H12235" s="1066"/>
      <c r="I12235" s="1063"/>
      <c r="J12235" s="1063"/>
      <c r="K12235" s="1063"/>
      <c r="L12235" s="1063"/>
    </row>
    <row r="12236" spans="5:12" x14ac:dyDescent="0.2">
      <c r="E12236" s="1063"/>
      <c r="H12236" s="1066"/>
      <c r="I12236" s="1063"/>
      <c r="J12236" s="1063"/>
      <c r="K12236" s="1063"/>
      <c r="L12236" s="1063"/>
    </row>
    <row r="12237" spans="5:12" x14ac:dyDescent="0.2">
      <c r="E12237" s="1063"/>
      <c r="H12237" s="1066"/>
      <c r="I12237" s="1063"/>
      <c r="J12237" s="1063"/>
      <c r="K12237" s="1063"/>
      <c r="L12237" s="1063"/>
    </row>
    <row r="12238" spans="5:12" x14ac:dyDescent="0.2">
      <c r="E12238" s="1063"/>
      <c r="H12238" s="1066"/>
      <c r="I12238" s="1063"/>
      <c r="J12238" s="1063"/>
      <c r="K12238" s="1063"/>
      <c r="L12238" s="1063"/>
    </row>
    <row r="12239" spans="5:12" x14ac:dyDescent="0.2">
      <c r="E12239" s="1063"/>
      <c r="H12239" s="1066"/>
      <c r="I12239" s="1063"/>
      <c r="J12239" s="1063"/>
      <c r="K12239" s="1063"/>
      <c r="L12239" s="1063"/>
    </row>
    <row r="12240" spans="5:12" x14ac:dyDescent="0.2">
      <c r="E12240" s="1063"/>
      <c r="H12240" s="1066"/>
      <c r="I12240" s="1063"/>
      <c r="J12240" s="1063"/>
      <c r="K12240" s="1063"/>
      <c r="L12240" s="1063"/>
    </row>
    <row r="12241" spans="5:12" x14ac:dyDescent="0.2">
      <c r="E12241" s="1063"/>
      <c r="H12241" s="1066"/>
      <c r="I12241" s="1063"/>
      <c r="J12241" s="1063"/>
      <c r="K12241" s="1063"/>
      <c r="L12241" s="1063"/>
    </row>
    <row r="12242" spans="5:12" x14ac:dyDescent="0.2">
      <c r="E12242" s="1063"/>
      <c r="H12242" s="1066"/>
      <c r="I12242" s="1063"/>
      <c r="J12242" s="1063"/>
      <c r="K12242" s="1063"/>
      <c r="L12242" s="1063"/>
    </row>
    <row r="12243" spans="5:12" x14ac:dyDescent="0.2">
      <c r="E12243" s="1063"/>
      <c r="H12243" s="1066"/>
      <c r="I12243" s="1063"/>
      <c r="J12243" s="1063"/>
      <c r="K12243" s="1063"/>
      <c r="L12243" s="1063"/>
    </row>
    <row r="12244" spans="5:12" x14ac:dyDescent="0.2">
      <c r="E12244" s="1063"/>
      <c r="H12244" s="1066"/>
      <c r="I12244" s="1063"/>
      <c r="J12244" s="1063"/>
      <c r="K12244" s="1063"/>
      <c r="L12244" s="1063"/>
    </row>
    <row r="12245" spans="5:12" x14ac:dyDescent="0.2">
      <c r="E12245" s="1063"/>
      <c r="H12245" s="1066"/>
      <c r="I12245" s="1063"/>
      <c r="J12245" s="1063"/>
      <c r="K12245" s="1063"/>
      <c r="L12245" s="1063"/>
    </row>
    <row r="12246" spans="5:12" x14ac:dyDescent="0.2">
      <c r="E12246" s="1063"/>
      <c r="H12246" s="1066"/>
      <c r="I12246" s="1063"/>
      <c r="J12246" s="1063"/>
      <c r="K12246" s="1063"/>
      <c r="L12246" s="1063"/>
    </row>
    <row r="12247" spans="5:12" x14ac:dyDescent="0.2">
      <c r="E12247" s="1063"/>
      <c r="H12247" s="1066"/>
      <c r="I12247" s="1063"/>
      <c r="J12247" s="1063"/>
      <c r="K12247" s="1063"/>
      <c r="L12247" s="1063"/>
    </row>
    <row r="12248" spans="5:12" x14ac:dyDescent="0.2">
      <c r="E12248" s="1063"/>
      <c r="H12248" s="1066"/>
      <c r="I12248" s="1063"/>
      <c r="J12248" s="1063"/>
      <c r="K12248" s="1063"/>
      <c r="L12248" s="1063"/>
    </row>
    <row r="12249" spans="5:12" x14ac:dyDescent="0.2">
      <c r="E12249" s="1063"/>
      <c r="H12249" s="1066"/>
      <c r="I12249" s="1063"/>
      <c r="J12249" s="1063"/>
      <c r="K12249" s="1063"/>
      <c r="L12249" s="1063"/>
    </row>
    <row r="12250" spans="5:12" x14ac:dyDescent="0.2">
      <c r="E12250" s="1063"/>
      <c r="H12250" s="1066"/>
      <c r="I12250" s="1063"/>
      <c r="J12250" s="1063"/>
      <c r="K12250" s="1063"/>
      <c r="L12250" s="1063"/>
    </row>
    <row r="12251" spans="5:12" x14ac:dyDescent="0.2">
      <c r="E12251" s="1063"/>
      <c r="H12251" s="1066"/>
      <c r="I12251" s="1063"/>
      <c r="J12251" s="1063"/>
      <c r="K12251" s="1063"/>
      <c r="L12251" s="1063"/>
    </row>
    <row r="12252" spans="5:12" x14ac:dyDescent="0.2">
      <c r="E12252" s="1063"/>
      <c r="H12252" s="1066"/>
      <c r="I12252" s="1063"/>
      <c r="J12252" s="1063"/>
      <c r="K12252" s="1063"/>
      <c r="L12252" s="1063"/>
    </row>
    <row r="12253" spans="5:12" x14ac:dyDescent="0.2">
      <c r="E12253" s="1063"/>
      <c r="H12253" s="1066"/>
      <c r="I12253" s="1063"/>
      <c r="J12253" s="1063"/>
      <c r="K12253" s="1063"/>
      <c r="L12253" s="1063"/>
    </row>
    <row r="12254" spans="5:12" x14ac:dyDescent="0.2">
      <c r="E12254" s="1063"/>
      <c r="H12254" s="1066"/>
      <c r="I12254" s="1063"/>
      <c r="J12254" s="1063"/>
      <c r="K12254" s="1063"/>
      <c r="L12254" s="1063"/>
    </row>
    <row r="12255" spans="5:12" x14ac:dyDescent="0.2">
      <c r="E12255" s="1063"/>
      <c r="H12255" s="1066"/>
      <c r="I12255" s="1063"/>
      <c r="J12255" s="1063"/>
      <c r="K12255" s="1063"/>
      <c r="L12255" s="1063"/>
    </row>
    <row r="12256" spans="5:12" x14ac:dyDescent="0.2">
      <c r="E12256" s="1063"/>
      <c r="H12256" s="1066"/>
      <c r="I12256" s="1063"/>
      <c r="J12256" s="1063"/>
      <c r="K12256" s="1063"/>
      <c r="L12256" s="1063"/>
    </row>
    <row r="12257" spans="5:12" x14ac:dyDescent="0.2">
      <c r="E12257" s="1063"/>
      <c r="H12257" s="1066"/>
      <c r="I12257" s="1063"/>
      <c r="J12257" s="1063"/>
      <c r="K12257" s="1063"/>
      <c r="L12257" s="1063"/>
    </row>
    <row r="12258" spans="5:12" x14ac:dyDescent="0.2">
      <c r="E12258" s="1063"/>
      <c r="H12258" s="1066"/>
      <c r="I12258" s="1063"/>
      <c r="J12258" s="1063"/>
      <c r="K12258" s="1063"/>
      <c r="L12258" s="1063"/>
    </row>
    <row r="12259" spans="5:12" x14ac:dyDescent="0.2">
      <c r="E12259" s="1063"/>
      <c r="H12259" s="1066"/>
      <c r="I12259" s="1063"/>
      <c r="J12259" s="1063"/>
      <c r="K12259" s="1063"/>
      <c r="L12259" s="1063"/>
    </row>
    <row r="12260" spans="5:12" x14ac:dyDescent="0.2">
      <c r="E12260" s="1063"/>
      <c r="H12260" s="1066"/>
      <c r="I12260" s="1063"/>
      <c r="J12260" s="1063"/>
      <c r="K12260" s="1063"/>
      <c r="L12260" s="1063"/>
    </row>
    <row r="12261" spans="5:12" x14ac:dyDescent="0.2">
      <c r="E12261" s="1063"/>
      <c r="H12261" s="1066"/>
      <c r="I12261" s="1063"/>
      <c r="J12261" s="1063"/>
      <c r="K12261" s="1063"/>
      <c r="L12261" s="1063"/>
    </row>
    <row r="12262" spans="5:12" x14ac:dyDescent="0.2">
      <c r="E12262" s="1063"/>
      <c r="H12262" s="1066"/>
      <c r="I12262" s="1063"/>
      <c r="J12262" s="1063"/>
      <c r="K12262" s="1063"/>
      <c r="L12262" s="1063"/>
    </row>
    <row r="12263" spans="5:12" x14ac:dyDescent="0.2">
      <c r="E12263" s="1063"/>
      <c r="H12263" s="1066"/>
      <c r="I12263" s="1063"/>
      <c r="J12263" s="1063"/>
      <c r="K12263" s="1063"/>
      <c r="L12263" s="1063"/>
    </row>
    <row r="12264" spans="5:12" x14ac:dyDescent="0.2">
      <c r="E12264" s="1063"/>
      <c r="H12264" s="1066"/>
      <c r="I12264" s="1063"/>
      <c r="J12264" s="1063"/>
      <c r="K12264" s="1063"/>
      <c r="L12264" s="1063"/>
    </row>
    <row r="12265" spans="5:12" x14ac:dyDescent="0.2">
      <c r="E12265" s="1063"/>
      <c r="H12265" s="1066"/>
      <c r="I12265" s="1063"/>
      <c r="J12265" s="1063"/>
      <c r="K12265" s="1063"/>
      <c r="L12265" s="1063"/>
    </row>
    <row r="12266" spans="5:12" x14ac:dyDescent="0.2">
      <c r="E12266" s="1063"/>
      <c r="H12266" s="1066"/>
      <c r="I12266" s="1063"/>
      <c r="J12266" s="1063"/>
      <c r="K12266" s="1063"/>
      <c r="L12266" s="1063"/>
    </row>
    <row r="12267" spans="5:12" x14ac:dyDescent="0.2">
      <c r="E12267" s="1063"/>
      <c r="H12267" s="1066"/>
      <c r="I12267" s="1063"/>
      <c r="J12267" s="1063"/>
      <c r="K12267" s="1063"/>
      <c r="L12267" s="1063"/>
    </row>
    <row r="12268" spans="5:12" x14ac:dyDescent="0.2">
      <c r="E12268" s="1063"/>
      <c r="H12268" s="1066"/>
      <c r="I12268" s="1063"/>
      <c r="J12268" s="1063"/>
      <c r="K12268" s="1063"/>
      <c r="L12268" s="1063"/>
    </row>
    <row r="12269" spans="5:12" x14ac:dyDescent="0.2">
      <c r="E12269" s="1063"/>
      <c r="H12269" s="1066"/>
      <c r="I12269" s="1063"/>
      <c r="J12269" s="1063"/>
      <c r="K12269" s="1063"/>
      <c r="L12269" s="1063"/>
    </row>
    <row r="12270" spans="5:12" x14ac:dyDescent="0.2">
      <c r="E12270" s="1063"/>
      <c r="H12270" s="1066"/>
      <c r="I12270" s="1063"/>
      <c r="J12270" s="1063"/>
      <c r="K12270" s="1063"/>
      <c r="L12270" s="1063"/>
    </row>
    <row r="12271" spans="5:12" x14ac:dyDescent="0.2">
      <c r="E12271" s="1063"/>
      <c r="H12271" s="1066"/>
      <c r="I12271" s="1063"/>
      <c r="J12271" s="1063"/>
      <c r="K12271" s="1063"/>
      <c r="L12271" s="1063"/>
    </row>
    <row r="12272" spans="5:12" x14ac:dyDescent="0.2">
      <c r="E12272" s="1063"/>
      <c r="H12272" s="1066"/>
      <c r="I12272" s="1063"/>
      <c r="J12272" s="1063"/>
      <c r="K12272" s="1063"/>
      <c r="L12272" s="1063"/>
    </row>
    <row r="12273" spans="5:12" x14ac:dyDescent="0.2">
      <c r="E12273" s="1063"/>
      <c r="H12273" s="1066"/>
      <c r="I12273" s="1063"/>
      <c r="J12273" s="1063"/>
      <c r="K12273" s="1063"/>
      <c r="L12273" s="1063"/>
    </row>
    <row r="12274" spans="5:12" x14ac:dyDescent="0.2">
      <c r="E12274" s="1063"/>
      <c r="H12274" s="1066"/>
      <c r="I12274" s="1063"/>
      <c r="J12274" s="1063"/>
      <c r="K12274" s="1063"/>
      <c r="L12274" s="1063"/>
    </row>
    <row r="12275" spans="5:12" x14ac:dyDescent="0.2">
      <c r="E12275" s="1063"/>
      <c r="H12275" s="1066"/>
      <c r="I12275" s="1063"/>
      <c r="J12275" s="1063"/>
      <c r="K12275" s="1063"/>
      <c r="L12275" s="1063"/>
    </row>
    <row r="12276" spans="5:12" x14ac:dyDescent="0.2">
      <c r="E12276" s="1063"/>
      <c r="H12276" s="1066"/>
      <c r="I12276" s="1063"/>
      <c r="J12276" s="1063"/>
      <c r="K12276" s="1063"/>
      <c r="L12276" s="1063"/>
    </row>
    <row r="12277" spans="5:12" x14ac:dyDescent="0.2">
      <c r="E12277" s="1063"/>
      <c r="H12277" s="1066"/>
      <c r="I12277" s="1063"/>
      <c r="J12277" s="1063"/>
      <c r="K12277" s="1063"/>
      <c r="L12277" s="1063"/>
    </row>
    <row r="12278" spans="5:12" x14ac:dyDescent="0.2">
      <c r="E12278" s="1063"/>
      <c r="H12278" s="1066"/>
      <c r="I12278" s="1063"/>
      <c r="J12278" s="1063"/>
      <c r="K12278" s="1063"/>
      <c r="L12278" s="1063"/>
    </row>
    <row r="12279" spans="5:12" x14ac:dyDescent="0.2">
      <c r="E12279" s="1063"/>
      <c r="H12279" s="1066"/>
      <c r="I12279" s="1063"/>
      <c r="J12279" s="1063"/>
      <c r="K12279" s="1063"/>
      <c r="L12279" s="1063"/>
    </row>
    <row r="12280" spans="5:12" x14ac:dyDescent="0.2">
      <c r="E12280" s="1063"/>
      <c r="H12280" s="1066"/>
      <c r="I12280" s="1063"/>
      <c r="J12280" s="1063"/>
      <c r="K12280" s="1063"/>
      <c r="L12280" s="1063"/>
    </row>
    <row r="12281" spans="5:12" x14ac:dyDescent="0.2">
      <c r="E12281" s="1063"/>
      <c r="H12281" s="1066"/>
      <c r="I12281" s="1063"/>
      <c r="J12281" s="1063"/>
      <c r="K12281" s="1063"/>
      <c r="L12281" s="1063"/>
    </row>
    <row r="12282" spans="5:12" x14ac:dyDescent="0.2">
      <c r="E12282" s="1063"/>
      <c r="H12282" s="1066"/>
      <c r="I12282" s="1063"/>
      <c r="J12282" s="1063"/>
      <c r="K12282" s="1063"/>
      <c r="L12282" s="1063"/>
    </row>
    <row r="12283" spans="5:12" x14ac:dyDescent="0.2">
      <c r="E12283" s="1063"/>
      <c r="H12283" s="1066"/>
      <c r="I12283" s="1063"/>
      <c r="J12283" s="1063"/>
      <c r="K12283" s="1063"/>
      <c r="L12283" s="1063"/>
    </row>
    <row r="12284" spans="5:12" x14ac:dyDescent="0.2">
      <c r="E12284" s="1063"/>
      <c r="H12284" s="1066"/>
      <c r="I12284" s="1063"/>
      <c r="J12284" s="1063"/>
      <c r="K12284" s="1063"/>
      <c r="L12284" s="1063"/>
    </row>
    <row r="12285" spans="5:12" x14ac:dyDescent="0.2">
      <c r="E12285" s="1063"/>
      <c r="H12285" s="1066"/>
      <c r="I12285" s="1063"/>
      <c r="J12285" s="1063"/>
      <c r="K12285" s="1063"/>
      <c r="L12285" s="1063"/>
    </row>
    <row r="12286" spans="5:12" x14ac:dyDescent="0.2">
      <c r="E12286" s="1063"/>
      <c r="H12286" s="1066"/>
      <c r="I12286" s="1063"/>
      <c r="J12286" s="1063"/>
      <c r="K12286" s="1063"/>
      <c r="L12286" s="1063"/>
    </row>
    <row r="12287" spans="5:12" x14ac:dyDescent="0.2">
      <c r="E12287" s="1063"/>
      <c r="H12287" s="1066"/>
      <c r="I12287" s="1063"/>
      <c r="J12287" s="1063"/>
      <c r="K12287" s="1063"/>
      <c r="L12287" s="1063"/>
    </row>
    <row r="12288" spans="5:12" x14ac:dyDescent="0.2">
      <c r="E12288" s="1063"/>
      <c r="H12288" s="1066"/>
      <c r="I12288" s="1063"/>
      <c r="J12288" s="1063"/>
      <c r="K12288" s="1063"/>
      <c r="L12288" s="1063"/>
    </row>
    <row r="12289" spans="5:12" x14ac:dyDescent="0.2">
      <c r="E12289" s="1063"/>
      <c r="H12289" s="1066"/>
      <c r="I12289" s="1063"/>
      <c r="J12289" s="1063"/>
      <c r="K12289" s="1063"/>
      <c r="L12289" s="1063"/>
    </row>
    <row r="12290" spans="5:12" x14ac:dyDescent="0.2">
      <c r="E12290" s="1063"/>
      <c r="H12290" s="1066"/>
      <c r="I12290" s="1063"/>
      <c r="J12290" s="1063"/>
      <c r="K12290" s="1063"/>
      <c r="L12290" s="1063"/>
    </row>
    <row r="12291" spans="5:12" x14ac:dyDescent="0.2">
      <c r="E12291" s="1063"/>
      <c r="H12291" s="1066"/>
      <c r="I12291" s="1063"/>
      <c r="J12291" s="1063"/>
      <c r="K12291" s="1063"/>
      <c r="L12291" s="1063"/>
    </row>
    <row r="12292" spans="5:12" x14ac:dyDescent="0.2">
      <c r="E12292" s="1063"/>
      <c r="H12292" s="1066"/>
      <c r="I12292" s="1063"/>
      <c r="J12292" s="1063"/>
      <c r="K12292" s="1063"/>
      <c r="L12292" s="1063"/>
    </row>
    <row r="12293" spans="5:12" x14ac:dyDescent="0.2">
      <c r="E12293" s="1063"/>
      <c r="H12293" s="1066"/>
      <c r="I12293" s="1063"/>
      <c r="J12293" s="1063"/>
      <c r="K12293" s="1063"/>
      <c r="L12293" s="1063"/>
    </row>
    <row r="12294" spans="5:12" x14ac:dyDescent="0.2">
      <c r="E12294" s="1063"/>
      <c r="H12294" s="1066"/>
      <c r="I12294" s="1063"/>
      <c r="J12294" s="1063"/>
      <c r="K12294" s="1063"/>
      <c r="L12294" s="1063"/>
    </row>
    <row r="12295" spans="5:12" x14ac:dyDescent="0.2">
      <c r="E12295" s="1063"/>
      <c r="H12295" s="1066"/>
      <c r="I12295" s="1063"/>
      <c r="J12295" s="1063"/>
      <c r="K12295" s="1063"/>
      <c r="L12295" s="1063"/>
    </row>
    <row r="12296" spans="5:12" x14ac:dyDescent="0.2">
      <c r="E12296" s="1063"/>
      <c r="H12296" s="1066"/>
      <c r="I12296" s="1063"/>
      <c r="J12296" s="1063"/>
      <c r="K12296" s="1063"/>
      <c r="L12296" s="1063"/>
    </row>
    <row r="12297" spans="5:12" x14ac:dyDescent="0.2">
      <c r="E12297" s="1063"/>
      <c r="H12297" s="1066"/>
      <c r="I12297" s="1063"/>
      <c r="J12297" s="1063"/>
      <c r="K12297" s="1063"/>
      <c r="L12297" s="1063"/>
    </row>
    <row r="12298" spans="5:12" x14ac:dyDescent="0.2">
      <c r="E12298" s="1063"/>
      <c r="H12298" s="1066"/>
      <c r="I12298" s="1063"/>
      <c r="J12298" s="1063"/>
      <c r="K12298" s="1063"/>
      <c r="L12298" s="1063"/>
    </row>
    <row r="12299" spans="5:12" x14ac:dyDescent="0.2">
      <c r="E12299" s="1063"/>
      <c r="H12299" s="1066"/>
      <c r="I12299" s="1063"/>
      <c r="J12299" s="1063"/>
      <c r="K12299" s="1063"/>
      <c r="L12299" s="1063"/>
    </row>
    <row r="12300" spans="5:12" x14ac:dyDescent="0.2">
      <c r="E12300" s="1063"/>
      <c r="H12300" s="1066"/>
      <c r="I12300" s="1063"/>
      <c r="J12300" s="1063"/>
      <c r="K12300" s="1063"/>
      <c r="L12300" s="1063"/>
    </row>
    <row r="12301" spans="5:12" x14ac:dyDescent="0.2">
      <c r="E12301" s="1063"/>
      <c r="H12301" s="1066"/>
      <c r="I12301" s="1063"/>
      <c r="J12301" s="1063"/>
      <c r="K12301" s="1063"/>
      <c r="L12301" s="1063"/>
    </row>
    <row r="12302" spans="5:12" x14ac:dyDescent="0.2">
      <c r="E12302" s="1063"/>
      <c r="H12302" s="1066"/>
      <c r="I12302" s="1063"/>
      <c r="J12302" s="1063"/>
      <c r="K12302" s="1063"/>
      <c r="L12302" s="1063"/>
    </row>
    <row r="12303" spans="5:12" x14ac:dyDescent="0.2">
      <c r="E12303" s="1063"/>
      <c r="H12303" s="1066"/>
      <c r="I12303" s="1063"/>
      <c r="J12303" s="1063"/>
      <c r="K12303" s="1063"/>
      <c r="L12303" s="1063"/>
    </row>
    <row r="12304" spans="5:12" x14ac:dyDescent="0.2">
      <c r="E12304" s="1063"/>
      <c r="H12304" s="1066"/>
      <c r="I12304" s="1063"/>
      <c r="J12304" s="1063"/>
      <c r="K12304" s="1063"/>
      <c r="L12304" s="1063"/>
    </row>
    <row r="12305" spans="5:12" x14ac:dyDescent="0.2">
      <c r="E12305" s="1063"/>
      <c r="H12305" s="1066"/>
      <c r="I12305" s="1063"/>
      <c r="J12305" s="1063"/>
      <c r="K12305" s="1063"/>
      <c r="L12305" s="1063"/>
    </row>
    <row r="12306" spans="5:12" x14ac:dyDescent="0.2">
      <c r="E12306" s="1063"/>
      <c r="H12306" s="1066"/>
      <c r="I12306" s="1063"/>
      <c r="J12306" s="1063"/>
      <c r="K12306" s="1063"/>
      <c r="L12306" s="1063"/>
    </row>
    <row r="12307" spans="5:12" x14ac:dyDescent="0.2">
      <c r="E12307" s="1063"/>
      <c r="H12307" s="1066"/>
      <c r="I12307" s="1063"/>
      <c r="J12307" s="1063"/>
      <c r="K12307" s="1063"/>
      <c r="L12307" s="1063"/>
    </row>
    <row r="12308" spans="5:12" x14ac:dyDescent="0.2">
      <c r="E12308" s="1063"/>
      <c r="H12308" s="1066"/>
      <c r="I12308" s="1063"/>
      <c r="J12308" s="1063"/>
      <c r="K12308" s="1063"/>
      <c r="L12308" s="1063"/>
    </row>
    <row r="12309" spans="5:12" x14ac:dyDescent="0.2">
      <c r="E12309" s="1063"/>
      <c r="H12309" s="1066"/>
      <c r="I12309" s="1063"/>
      <c r="J12309" s="1063"/>
      <c r="K12309" s="1063"/>
      <c r="L12309" s="1063"/>
    </row>
    <row r="12310" spans="5:12" x14ac:dyDescent="0.2">
      <c r="E12310" s="1063"/>
      <c r="H12310" s="1066"/>
      <c r="I12310" s="1063"/>
      <c r="J12310" s="1063"/>
      <c r="K12310" s="1063"/>
      <c r="L12310" s="1063"/>
    </row>
    <row r="12311" spans="5:12" x14ac:dyDescent="0.2">
      <c r="E12311" s="1063"/>
      <c r="H12311" s="1066"/>
      <c r="I12311" s="1063"/>
      <c r="J12311" s="1063"/>
      <c r="K12311" s="1063"/>
      <c r="L12311" s="1063"/>
    </row>
    <row r="12312" spans="5:12" x14ac:dyDescent="0.2">
      <c r="E12312" s="1063"/>
      <c r="H12312" s="1066"/>
      <c r="I12312" s="1063"/>
      <c r="J12312" s="1063"/>
      <c r="K12312" s="1063"/>
      <c r="L12312" s="1063"/>
    </row>
    <row r="12313" spans="5:12" x14ac:dyDescent="0.2">
      <c r="E12313" s="1063"/>
      <c r="H12313" s="1066"/>
      <c r="I12313" s="1063"/>
      <c r="J12313" s="1063"/>
      <c r="K12313" s="1063"/>
      <c r="L12313" s="1063"/>
    </row>
    <row r="12314" spans="5:12" x14ac:dyDescent="0.2">
      <c r="E12314" s="1063"/>
      <c r="H12314" s="1066"/>
      <c r="I12314" s="1063"/>
      <c r="J12314" s="1063"/>
      <c r="K12314" s="1063"/>
      <c r="L12314" s="1063"/>
    </row>
    <row r="12315" spans="5:12" x14ac:dyDescent="0.2">
      <c r="E12315" s="1063"/>
      <c r="H12315" s="1066"/>
      <c r="I12315" s="1063"/>
      <c r="J12315" s="1063"/>
      <c r="K12315" s="1063"/>
      <c r="L12315" s="1063"/>
    </row>
    <row r="12316" spans="5:12" x14ac:dyDescent="0.2">
      <c r="E12316" s="1063"/>
      <c r="H12316" s="1066"/>
      <c r="I12316" s="1063"/>
      <c r="J12316" s="1063"/>
      <c r="K12316" s="1063"/>
      <c r="L12316" s="1063"/>
    </row>
    <row r="12317" spans="5:12" x14ac:dyDescent="0.2">
      <c r="E12317" s="1063"/>
      <c r="H12317" s="1066"/>
      <c r="I12317" s="1063"/>
      <c r="J12317" s="1063"/>
      <c r="K12317" s="1063"/>
      <c r="L12317" s="1063"/>
    </row>
    <row r="12318" spans="5:12" x14ac:dyDescent="0.2">
      <c r="E12318" s="1063"/>
      <c r="H12318" s="1066"/>
      <c r="I12318" s="1063"/>
      <c r="J12318" s="1063"/>
      <c r="K12318" s="1063"/>
      <c r="L12318" s="1063"/>
    </row>
    <row r="12319" spans="5:12" x14ac:dyDescent="0.2">
      <c r="E12319" s="1063"/>
      <c r="H12319" s="1066"/>
      <c r="I12319" s="1063"/>
      <c r="J12319" s="1063"/>
      <c r="K12319" s="1063"/>
      <c r="L12319" s="1063"/>
    </row>
    <row r="12320" spans="5:12" x14ac:dyDescent="0.2">
      <c r="E12320" s="1063"/>
      <c r="H12320" s="1066"/>
      <c r="I12320" s="1063"/>
      <c r="J12320" s="1063"/>
      <c r="K12320" s="1063"/>
      <c r="L12320" s="1063"/>
    </row>
    <row r="12321" spans="5:12" x14ac:dyDescent="0.2">
      <c r="E12321" s="1063"/>
      <c r="H12321" s="1066"/>
      <c r="I12321" s="1063"/>
      <c r="J12321" s="1063"/>
      <c r="K12321" s="1063"/>
      <c r="L12321" s="1063"/>
    </row>
    <row r="12322" spans="5:12" x14ac:dyDescent="0.2">
      <c r="E12322" s="1063"/>
      <c r="H12322" s="1066"/>
      <c r="I12322" s="1063"/>
      <c r="J12322" s="1063"/>
      <c r="K12322" s="1063"/>
      <c r="L12322" s="1063"/>
    </row>
    <row r="12323" spans="5:12" x14ac:dyDescent="0.2">
      <c r="E12323" s="1063"/>
      <c r="H12323" s="1066"/>
      <c r="I12323" s="1063"/>
      <c r="J12323" s="1063"/>
      <c r="K12323" s="1063"/>
      <c r="L12323" s="1063"/>
    </row>
    <row r="12324" spans="5:12" x14ac:dyDescent="0.2">
      <c r="E12324" s="1063"/>
      <c r="H12324" s="1066"/>
      <c r="I12324" s="1063"/>
      <c r="J12324" s="1063"/>
      <c r="K12324" s="1063"/>
      <c r="L12324" s="1063"/>
    </row>
    <row r="12325" spans="5:12" x14ac:dyDescent="0.2">
      <c r="E12325" s="1063"/>
      <c r="H12325" s="1066"/>
      <c r="I12325" s="1063"/>
      <c r="J12325" s="1063"/>
      <c r="K12325" s="1063"/>
      <c r="L12325" s="1063"/>
    </row>
    <row r="12326" spans="5:12" x14ac:dyDescent="0.2">
      <c r="E12326" s="1063"/>
      <c r="H12326" s="1066"/>
      <c r="I12326" s="1063"/>
      <c r="J12326" s="1063"/>
      <c r="K12326" s="1063"/>
      <c r="L12326" s="1063"/>
    </row>
    <row r="12327" spans="5:12" x14ac:dyDescent="0.2">
      <c r="E12327" s="1063"/>
      <c r="H12327" s="1066"/>
      <c r="I12327" s="1063"/>
      <c r="J12327" s="1063"/>
      <c r="K12327" s="1063"/>
      <c r="L12327" s="1063"/>
    </row>
    <row r="12328" spans="5:12" x14ac:dyDescent="0.2">
      <c r="E12328" s="1063"/>
      <c r="H12328" s="1066"/>
      <c r="I12328" s="1063"/>
      <c r="J12328" s="1063"/>
      <c r="K12328" s="1063"/>
      <c r="L12328" s="1063"/>
    </row>
    <row r="12329" spans="5:12" x14ac:dyDescent="0.2">
      <c r="E12329" s="1063"/>
      <c r="H12329" s="1066"/>
      <c r="I12329" s="1063"/>
      <c r="J12329" s="1063"/>
      <c r="K12329" s="1063"/>
      <c r="L12329" s="1063"/>
    </row>
    <row r="12330" spans="5:12" x14ac:dyDescent="0.2">
      <c r="E12330" s="1063"/>
      <c r="H12330" s="1066"/>
      <c r="I12330" s="1063"/>
      <c r="J12330" s="1063"/>
      <c r="K12330" s="1063"/>
      <c r="L12330" s="1063"/>
    </row>
    <row r="12331" spans="5:12" x14ac:dyDescent="0.2">
      <c r="E12331" s="1063"/>
      <c r="H12331" s="1066"/>
      <c r="I12331" s="1063"/>
      <c r="J12331" s="1063"/>
      <c r="K12331" s="1063"/>
      <c r="L12331" s="1063"/>
    </row>
    <row r="12332" spans="5:12" x14ac:dyDescent="0.2">
      <c r="E12332" s="1063"/>
      <c r="H12332" s="1066"/>
      <c r="I12332" s="1063"/>
      <c r="J12332" s="1063"/>
      <c r="K12332" s="1063"/>
      <c r="L12332" s="1063"/>
    </row>
    <row r="12333" spans="5:12" x14ac:dyDescent="0.2">
      <c r="E12333" s="1063"/>
      <c r="H12333" s="1066"/>
      <c r="I12333" s="1063"/>
      <c r="J12333" s="1063"/>
      <c r="K12333" s="1063"/>
      <c r="L12333" s="1063"/>
    </row>
    <row r="12334" spans="5:12" x14ac:dyDescent="0.2">
      <c r="E12334" s="1063"/>
      <c r="H12334" s="1066"/>
      <c r="I12334" s="1063"/>
      <c r="J12334" s="1063"/>
      <c r="K12334" s="1063"/>
      <c r="L12334" s="1063"/>
    </row>
    <row r="12335" spans="5:12" x14ac:dyDescent="0.2">
      <c r="E12335" s="1063"/>
      <c r="H12335" s="1066"/>
      <c r="I12335" s="1063"/>
      <c r="J12335" s="1063"/>
      <c r="K12335" s="1063"/>
      <c r="L12335" s="1063"/>
    </row>
    <row r="12336" spans="5:12" x14ac:dyDescent="0.2">
      <c r="E12336" s="1063"/>
      <c r="H12336" s="1066"/>
      <c r="I12336" s="1063"/>
      <c r="J12336" s="1063"/>
      <c r="K12336" s="1063"/>
      <c r="L12336" s="1063"/>
    </row>
    <row r="12337" spans="5:12" x14ac:dyDescent="0.2">
      <c r="E12337" s="1063"/>
      <c r="H12337" s="1066"/>
      <c r="I12337" s="1063"/>
      <c r="J12337" s="1063"/>
      <c r="K12337" s="1063"/>
      <c r="L12337" s="1063"/>
    </row>
    <row r="12338" spans="5:12" x14ac:dyDescent="0.2">
      <c r="E12338" s="1063"/>
      <c r="H12338" s="1066"/>
      <c r="I12338" s="1063"/>
      <c r="J12338" s="1063"/>
      <c r="K12338" s="1063"/>
      <c r="L12338" s="1063"/>
    </row>
    <row r="12339" spans="5:12" x14ac:dyDescent="0.2">
      <c r="E12339" s="1063"/>
      <c r="H12339" s="1066"/>
      <c r="I12339" s="1063"/>
      <c r="J12339" s="1063"/>
      <c r="K12339" s="1063"/>
      <c r="L12339" s="1063"/>
    </row>
    <row r="12340" spans="5:12" x14ac:dyDescent="0.2">
      <c r="E12340" s="1063"/>
      <c r="H12340" s="1066"/>
      <c r="I12340" s="1063"/>
      <c r="J12340" s="1063"/>
      <c r="K12340" s="1063"/>
      <c r="L12340" s="1063"/>
    </row>
    <row r="12341" spans="5:12" x14ac:dyDescent="0.2">
      <c r="E12341" s="1063"/>
      <c r="H12341" s="1066"/>
      <c r="I12341" s="1063"/>
      <c r="J12341" s="1063"/>
      <c r="K12341" s="1063"/>
      <c r="L12341" s="1063"/>
    </row>
    <row r="12342" spans="5:12" x14ac:dyDescent="0.2">
      <c r="E12342" s="1063"/>
      <c r="H12342" s="1066"/>
      <c r="I12342" s="1063"/>
      <c r="J12342" s="1063"/>
      <c r="K12342" s="1063"/>
      <c r="L12342" s="1063"/>
    </row>
    <row r="12343" spans="5:12" x14ac:dyDescent="0.2">
      <c r="E12343" s="1063"/>
      <c r="H12343" s="1066"/>
      <c r="I12343" s="1063"/>
      <c r="J12343" s="1063"/>
      <c r="K12343" s="1063"/>
      <c r="L12343" s="1063"/>
    </row>
    <row r="12344" spans="5:12" x14ac:dyDescent="0.2">
      <c r="E12344" s="1063"/>
      <c r="H12344" s="1066"/>
      <c r="I12344" s="1063"/>
      <c r="J12344" s="1063"/>
      <c r="K12344" s="1063"/>
      <c r="L12344" s="1063"/>
    </row>
    <row r="12345" spans="5:12" x14ac:dyDescent="0.2">
      <c r="E12345" s="1063"/>
      <c r="H12345" s="1066"/>
      <c r="I12345" s="1063"/>
      <c r="J12345" s="1063"/>
      <c r="K12345" s="1063"/>
      <c r="L12345" s="1063"/>
    </row>
    <row r="12346" spans="5:12" x14ac:dyDescent="0.2">
      <c r="E12346" s="1063"/>
      <c r="H12346" s="1066"/>
      <c r="I12346" s="1063"/>
      <c r="J12346" s="1063"/>
      <c r="K12346" s="1063"/>
      <c r="L12346" s="1063"/>
    </row>
    <row r="12347" spans="5:12" x14ac:dyDescent="0.2">
      <c r="E12347" s="1063"/>
      <c r="H12347" s="1066"/>
      <c r="I12347" s="1063"/>
      <c r="J12347" s="1063"/>
      <c r="K12347" s="1063"/>
      <c r="L12347" s="1063"/>
    </row>
    <row r="12348" spans="5:12" x14ac:dyDescent="0.2">
      <c r="E12348" s="1063"/>
      <c r="H12348" s="1066"/>
      <c r="I12348" s="1063"/>
      <c r="J12348" s="1063"/>
      <c r="K12348" s="1063"/>
      <c r="L12348" s="1063"/>
    </row>
    <row r="12349" spans="5:12" x14ac:dyDescent="0.2">
      <c r="E12349" s="1063"/>
      <c r="H12349" s="1066"/>
      <c r="I12349" s="1063"/>
      <c r="J12349" s="1063"/>
      <c r="K12349" s="1063"/>
      <c r="L12349" s="1063"/>
    </row>
    <row r="12350" spans="5:12" x14ac:dyDescent="0.2">
      <c r="E12350" s="1063"/>
      <c r="H12350" s="1066"/>
      <c r="I12350" s="1063"/>
      <c r="J12350" s="1063"/>
      <c r="K12350" s="1063"/>
      <c r="L12350" s="1063"/>
    </row>
    <row r="12351" spans="5:12" x14ac:dyDescent="0.2">
      <c r="E12351" s="1063"/>
      <c r="H12351" s="1066"/>
      <c r="I12351" s="1063"/>
      <c r="J12351" s="1063"/>
      <c r="K12351" s="1063"/>
      <c r="L12351" s="1063"/>
    </row>
    <row r="12352" spans="5:12" x14ac:dyDescent="0.2">
      <c r="E12352" s="1063"/>
      <c r="H12352" s="1066"/>
      <c r="I12352" s="1063"/>
      <c r="J12352" s="1063"/>
      <c r="K12352" s="1063"/>
      <c r="L12352" s="1063"/>
    </row>
    <row r="12353" spans="5:12" x14ac:dyDescent="0.2">
      <c r="E12353" s="1063"/>
      <c r="H12353" s="1066"/>
      <c r="I12353" s="1063"/>
      <c r="J12353" s="1063"/>
      <c r="K12353" s="1063"/>
      <c r="L12353" s="1063"/>
    </row>
    <row r="12354" spans="5:12" x14ac:dyDescent="0.2">
      <c r="E12354" s="1063"/>
      <c r="H12354" s="1066"/>
      <c r="I12354" s="1063"/>
      <c r="J12354" s="1063"/>
      <c r="K12354" s="1063"/>
      <c r="L12354" s="1063"/>
    </row>
    <row r="12355" spans="5:12" x14ac:dyDescent="0.2">
      <c r="E12355" s="1063"/>
      <c r="H12355" s="1066"/>
      <c r="I12355" s="1063"/>
      <c r="J12355" s="1063"/>
      <c r="K12355" s="1063"/>
      <c r="L12355" s="1063"/>
    </row>
    <row r="12356" spans="5:12" x14ac:dyDescent="0.2">
      <c r="E12356" s="1063"/>
      <c r="H12356" s="1066"/>
      <c r="I12356" s="1063"/>
      <c r="J12356" s="1063"/>
      <c r="K12356" s="1063"/>
      <c r="L12356" s="1063"/>
    </row>
    <row r="12357" spans="5:12" x14ac:dyDescent="0.2">
      <c r="E12357" s="1063"/>
      <c r="H12357" s="1066"/>
      <c r="I12357" s="1063"/>
      <c r="J12357" s="1063"/>
      <c r="K12357" s="1063"/>
      <c r="L12357" s="1063"/>
    </row>
    <row r="12358" spans="5:12" x14ac:dyDescent="0.2">
      <c r="E12358" s="1063"/>
      <c r="H12358" s="1066"/>
      <c r="I12358" s="1063"/>
      <c r="J12358" s="1063"/>
      <c r="K12358" s="1063"/>
      <c r="L12358" s="1063"/>
    </row>
    <row r="12359" spans="5:12" x14ac:dyDescent="0.2">
      <c r="E12359" s="1063"/>
      <c r="H12359" s="1066"/>
      <c r="I12359" s="1063"/>
      <c r="J12359" s="1063"/>
      <c r="K12359" s="1063"/>
      <c r="L12359" s="1063"/>
    </row>
    <row r="12360" spans="5:12" x14ac:dyDescent="0.2">
      <c r="E12360" s="1063"/>
      <c r="H12360" s="1066"/>
      <c r="I12360" s="1063"/>
      <c r="J12360" s="1063"/>
      <c r="K12360" s="1063"/>
      <c r="L12360" s="1063"/>
    </row>
    <row r="12361" spans="5:12" x14ac:dyDescent="0.2">
      <c r="E12361" s="1063"/>
      <c r="H12361" s="1066"/>
      <c r="I12361" s="1063"/>
      <c r="J12361" s="1063"/>
      <c r="K12361" s="1063"/>
      <c r="L12361" s="1063"/>
    </row>
    <row r="12362" spans="5:12" x14ac:dyDescent="0.2">
      <c r="E12362" s="1063"/>
      <c r="H12362" s="1066"/>
      <c r="I12362" s="1063"/>
      <c r="J12362" s="1063"/>
      <c r="K12362" s="1063"/>
      <c r="L12362" s="1063"/>
    </row>
    <row r="12363" spans="5:12" x14ac:dyDescent="0.2">
      <c r="E12363" s="1063"/>
      <c r="H12363" s="1066"/>
      <c r="I12363" s="1063"/>
      <c r="J12363" s="1063"/>
      <c r="K12363" s="1063"/>
      <c r="L12363" s="1063"/>
    </row>
    <row r="12364" spans="5:12" x14ac:dyDescent="0.2">
      <c r="E12364" s="1063"/>
      <c r="H12364" s="1066"/>
      <c r="I12364" s="1063"/>
      <c r="J12364" s="1063"/>
      <c r="K12364" s="1063"/>
      <c r="L12364" s="1063"/>
    </row>
    <row r="12365" spans="5:12" x14ac:dyDescent="0.2">
      <c r="E12365" s="1063"/>
      <c r="H12365" s="1066"/>
      <c r="I12365" s="1063"/>
      <c r="J12365" s="1063"/>
      <c r="K12365" s="1063"/>
      <c r="L12365" s="1063"/>
    </row>
    <row r="12366" spans="5:12" x14ac:dyDescent="0.2">
      <c r="E12366" s="1063"/>
      <c r="H12366" s="1066"/>
      <c r="I12366" s="1063"/>
      <c r="J12366" s="1063"/>
      <c r="K12366" s="1063"/>
      <c r="L12366" s="1063"/>
    </row>
    <row r="12367" spans="5:12" x14ac:dyDescent="0.2">
      <c r="E12367" s="1063"/>
      <c r="H12367" s="1066"/>
      <c r="I12367" s="1063"/>
      <c r="J12367" s="1063"/>
      <c r="K12367" s="1063"/>
      <c r="L12367" s="1063"/>
    </row>
    <row r="12368" spans="5:12" x14ac:dyDescent="0.2">
      <c r="E12368" s="1063"/>
      <c r="H12368" s="1066"/>
      <c r="I12368" s="1063"/>
      <c r="J12368" s="1063"/>
      <c r="K12368" s="1063"/>
      <c r="L12368" s="1063"/>
    </row>
    <row r="12369" spans="5:12" x14ac:dyDescent="0.2">
      <c r="E12369" s="1063"/>
      <c r="H12369" s="1066"/>
      <c r="I12369" s="1063"/>
      <c r="J12369" s="1063"/>
      <c r="K12369" s="1063"/>
      <c r="L12369" s="1063"/>
    </row>
    <row r="12370" spans="5:12" x14ac:dyDescent="0.2">
      <c r="E12370" s="1063"/>
      <c r="H12370" s="1066"/>
      <c r="I12370" s="1063"/>
      <c r="J12370" s="1063"/>
      <c r="K12370" s="1063"/>
      <c r="L12370" s="1063"/>
    </row>
    <row r="12371" spans="5:12" x14ac:dyDescent="0.2">
      <c r="E12371" s="1063"/>
      <c r="H12371" s="1066"/>
      <c r="I12371" s="1063"/>
      <c r="J12371" s="1063"/>
      <c r="K12371" s="1063"/>
      <c r="L12371" s="1063"/>
    </row>
    <row r="12372" spans="5:12" x14ac:dyDescent="0.2">
      <c r="E12372" s="1063"/>
      <c r="H12372" s="1066"/>
      <c r="I12372" s="1063"/>
      <c r="J12372" s="1063"/>
      <c r="K12372" s="1063"/>
      <c r="L12372" s="1063"/>
    </row>
    <row r="12373" spans="5:12" x14ac:dyDescent="0.2">
      <c r="E12373" s="1063"/>
      <c r="H12373" s="1066"/>
      <c r="I12373" s="1063"/>
      <c r="J12373" s="1063"/>
      <c r="K12373" s="1063"/>
      <c r="L12373" s="1063"/>
    </row>
    <row r="12374" spans="5:12" x14ac:dyDescent="0.2">
      <c r="E12374" s="1063"/>
      <c r="H12374" s="1066"/>
      <c r="I12374" s="1063"/>
      <c r="J12374" s="1063"/>
      <c r="K12374" s="1063"/>
      <c r="L12374" s="1063"/>
    </row>
    <row r="12375" spans="5:12" x14ac:dyDescent="0.2">
      <c r="E12375" s="1063"/>
      <c r="H12375" s="1066"/>
      <c r="I12375" s="1063"/>
      <c r="J12375" s="1063"/>
      <c r="K12375" s="1063"/>
      <c r="L12375" s="1063"/>
    </row>
    <row r="12376" spans="5:12" x14ac:dyDescent="0.2">
      <c r="E12376" s="1063"/>
      <c r="H12376" s="1066"/>
      <c r="I12376" s="1063"/>
      <c r="J12376" s="1063"/>
      <c r="K12376" s="1063"/>
      <c r="L12376" s="1063"/>
    </row>
    <row r="12377" spans="5:12" x14ac:dyDescent="0.2">
      <c r="E12377" s="1063"/>
      <c r="H12377" s="1066"/>
      <c r="I12377" s="1063"/>
      <c r="J12377" s="1063"/>
      <c r="K12377" s="1063"/>
      <c r="L12377" s="1063"/>
    </row>
    <row r="12378" spans="5:12" x14ac:dyDescent="0.2">
      <c r="E12378" s="1063"/>
      <c r="H12378" s="1066"/>
      <c r="I12378" s="1063"/>
      <c r="J12378" s="1063"/>
      <c r="K12378" s="1063"/>
      <c r="L12378" s="1063"/>
    </row>
    <row r="12379" spans="5:12" x14ac:dyDescent="0.2">
      <c r="E12379" s="1063"/>
      <c r="H12379" s="1066"/>
      <c r="I12379" s="1063"/>
      <c r="J12379" s="1063"/>
      <c r="K12379" s="1063"/>
      <c r="L12379" s="1063"/>
    </row>
    <row r="12380" spans="5:12" x14ac:dyDescent="0.2">
      <c r="E12380" s="1063"/>
      <c r="H12380" s="1066"/>
      <c r="I12380" s="1063"/>
      <c r="J12380" s="1063"/>
      <c r="K12380" s="1063"/>
      <c r="L12380" s="1063"/>
    </row>
    <row r="12381" spans="5:12" x14ac:dyDescent="0.2">
      <c r="E12381" s="1063"/>
      <c r="H12381" s="1066"/>
      <c r="I12381" s="1063"/>
      <c r="J12381" s="1063"/>
      <c r="K12381" s="1063"/>
      <c r="L12381" s="1063"/>
    </row>
    <row r="12382" spans="5:12" x14ac:dyDescent="0.2">
      <c r="E12382" s="1063"/>
      <c r="H12382" s="1066"/>
      <c r="I12382" s="1063"/>
      <c r="J12382" s="1063"/>
      <c r="K12382" s="1063"/>
      <c r="L12382" s="1063"/>
    </row>
    <row r="12383" spans="5:12" x14ac:dyDescent="0.2">
      <c r="E12383" s="1063"/>
      <c r="H12383" s="1066"/>
      <c r="I12383" s="1063"/>
      <c r="J12383" s="1063"/>
      <c r="K12383" s="1063"/>
      <c r="L12383" s="1063"/>
    </row>
    <row r="12384" spans="5:12" x14ac:dyDescent="0.2">
      <c r="E12384" s="1063"/>
      <c r="H12384" s="1066"/>
      <c r="I12384" s="1063"/>
      <c r="J12384" s="1063"/>
      <c r="K12384" s="1063"/>
      <c r="L12384" s="1063"/>
    </row>
    <row r="12385" spans="5:12" x14ac:dyDescent="0.2">
      <c r="E12385" s="1063"/>
      <c r="H12385" s="1066"/>
      <c r="I12385" s="1063"/>
      <c r="J12385" s="1063"/>
      <c r="K12385" s="1063"/>
      <c r="L12385" s="1063"/>
    </row>
    <row r="12386" spans="5:12" x14ac:dyDescent="0.2">
      <c r="E12386" s="1063"/>
      <c r="H12386" s="1066"/>
      <c r="I12386" s="1063"/>
      <c r="J12386" s="1063"/>
      <c r="K12386" s="1063"/>
      <c r="L12386" s="1063"/>
    </row>
    <row r="12387" spans="5:12" x14ac:dyDescent="0.2">
      <c r="E12387" s="1063"/>
      <c r="H12387" s="1066"/>
      <c r="I12387" s="1063"/>
      <c r="J12387" s="1063"/>
      <c r="K12387" s="1063"/>
      <c r="L12387" s="1063"/>
    </row>
    <row r="12388" spans="5:12" x14ac:dyDescent="0.2">
      <c r="E12388" s="1063"/>
      <c r="H12388" s="1066"/>
      <c r="I12388" s="1063"/>
      <c r="J12388" s="1063"/>
      <c r="K12388" s="1063"/>
      <c r="L12388" s="1063"/>
    </row>
    <row r="12389" spans="5:12" x14ac:dyDescent="0.2">
      <c r="E12389" s="1063"/>
      <c r="H12389" s="1066"/>
      <c r="I12389" s="1063"/>
      <c r="J12389" s="1063"/>
      <c r="K12389" s="1063"/>
      <c r="L12389" s="1063"/>
    </row>
    <row r="12390" spans="5:12" x14ac:dyDescent="0.2">
      <c r="E12390" s="1063"/>
      <c r="H12390" s="1066"/>
      <c r="I12390" s="1063"/>
      <c r="J12390" s="1063"/>
      <c r="K12390" s="1063"/>
      <c r="L12390" s="1063"/>
    </row>
    <row r="12391" spans="5:12" x14ac:dyDescent="0.2">
      <c r="E12391" s="1063"/>
      <c r="H12391" s="1066"/>
      <c r="I12391" s="1063"/>
      <c r="J12391" s="1063"/>
      <c r="K12391" s="1063"/>
      <c r="L12391" s="1063"/>
    </row>
    <row r="12392" spans="5:12" x14ac:dyDescent="0.2">
      <c r="E12392" s="1063"/>
      <c r="H12392" s="1066"/>
      <c r="I12392" s="1063"/>
      <c r="J12392" s="1063"/>
      <c r="K12392" s="1063"/>
      <c r="L12392" s="1063"/>
    </row>
    <row r="12393" spans="5:12" x14ac:dyDescent="0.2">
      <c r="E12393" s="1063"/>
      <c r="H12393" s="1066"/>
      <c r="I12393" s="1063"/>
      <c r="J12393" s="1063"/>
      <c r="K12393" s="1063"/>
      <c r="L12393" s="1063"/>
    </row>
    <row r="12394" spans="5:12" x14ac:dyDescent="0.2">
      <c r="E12394" s="1063"/>
      <c r="H12394" s="1066"/>
      <c r="I12394" s="1063"/>
      <c r="J12394" s="1063"/>
      <c r="K12394" s="1063"/>
      <c r="L12394" s="1063"/>
    </row>
    <row r="12395" spans="5:12" x14ac:dyDescent="0.2">
      <c r="E12395" s="1063"/>
      <c r="H12395" s="1066"/>
      <c r="I12395" s="1063"/>
      <c r="J12395" s="1063"/>
      <c r="K12395" s="1063"/>
      <c r="L12395" s="1063"/>
    </row>
    <row r="12396" spans="5:12" x14ac:dyDescent="0.2">
      <c r="E12396" s="1063"/>
      <c r="H12396" s="1066"/>
      <c r="I12396" s="1063"/>
      <c r="J12396" s="1063"/>
      <c r="K12396" s="1063"/>
      <c r="L12396" s="1063"/>
    </row>
    <row r="12397" spans="5:12" x14ac:dyDescent="0.2">
      <c r="E12397" s="1063"/>
      <c r="H12397" s="1066"/>
      <c r="I12397" s="1063"/>
      <c r="J12397" s="1063"/>
      <c r="K12397" s="1063"/>
      <c r="L12397" s="1063"/>
    </row>
    <row r="12398" spans="5:12" x14ac:dyDescent="0.2">
      <c r="E12398" s="1063"/>
      <c r="H12398" s="1066"/>
      <c r="I12398" s="1063"/>
      <c r="J12398" s="1063"/>
      <c r="K12398" s="1063"/>
      <c r="L12398" s="1063"/>
    </row>
    <row r="12399" spans="5:12" x14ac:dyDescent="0.2">
      <c r="E12399" s="1063"/>
      <c r="H12399" s="1066"/>
      <c r="I12399" s="1063"/>
      <c r="J12399" s="1063"/>
      <c r="K12399" s="1063"/>
      <c r="L12399" s="1063"/>
    </row>
    <row r="12400" spans="5:12" x14ac:dyDescent="0.2">
      <c r="E12400" s="1063"/>
      <c r="H12400" s="1066"/>
      <c r="I12400" s="1063"/>
      <c r="J12400" s="1063"/>
      <c r="K12400" s="1063"/>
      <c r="L12400" s="1063"/>
    </row>
    <row r="12401" spans="5:12" x14ac:dyDescent="0.2">
      <c r="E12401" s="1063"/>
      <c r="H12401" s="1066"/>
      <c r="I12401" s="1063"/>
      <c r="J12401" s="1063"/>
      <c r="K12401" s="1063"/>
      <c r="L12401" s="1063"/>
    </row>
    <row r="12402" spans="5:12" x14ac:dyDescent="0.2">
      <c r="E12402" s="1063"/>
      <c r="H12402" s="1066"/>
      <c r="I12402" s="1063"/>
      <c r="J12402" s="1063"/>
      <c r="K12402" s="1063"/>
      <c r="L12402" s="1063"/>
    </row>
    <row r="12403" spans="5:12" x14ac:dyDescent="0.2">
      <c r="E12403" s="1063"/>
      <c r="H12403" s="1066"/>
      <c r="I12403" s="1063"/>
      <c r="J12403" s="1063"/>
      <c r="K12403" s="1063"/>
      <c r="L12403" s="1063"/>
    </row>
    <row r="12404" spans="5:12" x14ac:dyDescent="0.2">
      <c r="E12404" s="1063"/>
      <c r="H12404" s="1066"/>
      <c r="I12404" s="1063"/>
      <c r="J12404" s="1063"/>
      <c r="K12404" s="1063"/>
      <c r="L12404" s="1063"/>
    </row>
    <row r="12405" spans="5:12" x14ac:dyDescent="0.2">
      <c r="E12405" s="1063"/>
      <c r="H12405" s="1066"/>
      <c r="I12405" s="1063"/>
      <c r="J12405" s="1063"/>
      <c r="K12405" s="1063"/>
      <c r="L12405" s="1063"/>
    </row>
    <row r="12406" spans="5:12" x14ac:dyDescent="0.2">
      <c r="E12406" s="1063"/>
      <c r="H12406" s="1066"/>
      <c r="I12406" s="1063"/>
      <c r="J12406" s="1063"/>
      <c r="K12406" s="1063"/>
      <c r="L12406" s="1063"/>
    </row>
    <row r="12407" spans="5:12" x14ac:dyDescent="0.2">
      <c r="E12407" s="1063"/>
      <c r="H12407" s="1066"/>
      <c r="I12407" s="1063"/>
      <c r="J12407" s="1063"/>
      <c r="K12407" s="1063"/>
      <c r="L12407" s="1063"/>
    </row>
    <row r="12408" spans="5:12" x14ac:dyDescent="0.2">
      <c r="E12408" s="1063"/>
      <c r="H12408" s="1066"/>
      <c r="I12408" s="1063"/>
      <c r="J12408" s="1063"/>
      <c r="K12408" s="1063"/>
      <c r="L12408" s="1063"/>
    </row>
    <row r="12409" spans="5:12" x14ac:dyDescent="0.2">
      <c r="E12409" s="1063"/>
      <c r="H12409" s="1066"/>
      <c r="I12409" s="1063"/>
      <c r="J12409" s="1063"/>
      <c r="K12409" s="1063"/>
      <c r="L12409" s="1063"/>
    </row>
    <row r="12410" spans="5:12" x14ac:dyDescent="0.2">
      <c r="E12410" s="1063"/>
      <c r="H12410" s="1066"/>
      <c r="I12410" s="1063"/>
      <c r="J12410" s="1063"/>
      <c r="K12410" s="1063"/>
      <c r="L12410" s="1063"/>
    </row>
    <row r="12411" spans="5:12" x14ac:dyDescent="0.2">
      <c r="E12411" s="1063"/>
      <c r="H12411" s="1066"/>
      <c r="I12411" s="1063"/>
      <c r="J12411" s="1063"/>
      <c r="K12411" s="1063"/>
      <c r="L12411" s="1063"/>
    </row>
    <row r="12412" spans="5:12" x14ac:dyDescent="0.2">
      <c r="E12412" s="1063"/>
      <c r="H12412" s="1066"/>
      <c r="I12412" s="1063"/>
      <c r="J12412" s="1063"/>
      <c r="K12412" s="1063"/>
      <c r="L12412" s="1063"/>
    </row>
    <row r="12413" spans="5:12" x14ac:dyDescent="0.2">
      <c r="E12413" s="1063"/>
      <c r="H12413" s="1066"/>
      <c r="I12413" s="1063"/>
      <c r="J12413" s="1063"/>
      <c r="K12413" s="1063"/>
      <c r="L12413" s="1063"/>
    </row>
    <row r="12414" spans="5:12" x14ac:dyDescent="0.2">
      <c r="E12414" s="1063"/>
      <c r="H12414" s="1066"/>
      <c r="I12414" s="1063"/>
      <c r="J12414" s="1063"/>
      <c r="K12414" s="1063"/>
      <c r="L12414" s="1063"/>
    </row>
    <row r="12415" spans="5:12" x14ac:dyDescent="0.2">
      <c r="E12415" s="1063"/>
      <c r="H12415" s="1066"/>
      <c r="I12415" s="1063"/>
      <c r="J12415" s="1063"/>
      <c r="K12415" s="1063"/>
      <c r="L12415" s="1063"/>
    </row>
    <row r="12416" spans="5:12" x14ac:dyDescent="0.2">
      <c r="E12416" s="1063"/>
      <c r="H12416" s="1066"/>
      <c r="I12416" s="1063"/>
      <c r="J12416" s="1063"/>
      <c r="K12416" s="1063"/>
      <c r="L12416" s="1063"/>
    </row>
    <row r="12417" spans="5:12" x14ac:dyDescent="0.2">
      <c r="E12417" s="1063"/>
      <c r="H12417" s="1066"/>
      <c r="I12417" s="1063"/>
      <c r="J12417" s="1063"/>
      <c r="K12417" s="1063"/>
      <c r="L12417" s="1063"/>
    </row>
    <row r="12418" spans="5:12" x14ac:dyDescent="0.2">
      <c r="E12418" s="1063"/>
      <c r="H12418" s="1066"/>
      <c r="I12418" s="1063"/>
      <c r="J12418" s="1063"/>
      <c r="K12418" s="1063"/>
      <c r="L12418" s="1063"/>
    </row>
    <row r="12419" spans="5:12" x14ac:dyDescent="0.2">
      <c r="E12419" s="1063"/>
      <c r="H12419" s="1066"/>
      <c r="I12419" s="1063"/>
      <c r="J12419" s="1063"/>
      <c r="K12419" s="1063"/>
      <c r="L12419" s="1063"/>
    </row>
    <row r="12420" spans="5:12" x14ac:dyDescent="0.2">
      <c r="E12420" s="1063"/>
      <c r="H12420" s="1066"/>
      <c r="I12420" s="1063"/>
      <c r="J12420" s="1063"/>
      <c r="K12420" s="1063"/>
      <c r="L12420" s="1063"/>
    </row>
    <row r="12421" spans="5:12" x14ac:dyDescent="0.2">
      <c r="E12421" s="1063"/>
      <c r="H12421" s="1066"/>
      <c r="I12421" s="1063"/>
      <c r="J12421" s="1063"/>
      <c r="K12421" s="1063"/>
      <c r="L12421" s="1063"/>
    </row>
    <row r="12422" spans="5:12" x14ac:dyDescent="0.2">
      <c r="E12422" s="1063"/>
      <c r="H12422" s="1066"/>
      <c r="I12422" s="1063"/>
      <c r="J12422" s="1063"/>
      <c r="K12422" s="1063"/>
      <c r="L12422" s="1063"/>
    </row>
    <row r="12423" spans="5:12" x14ac:dyDescent="0.2">
      <c r="E12423" s="1063"/>
      <c r="H12423" s="1066"/>
      <c r="I12423" s="1063"/>
      <c r="J12423" s="1063"/>
      <c r="K12423" s="1063"/>
      <c r="L12423" s="1063"/>
    </row>
    <row r="12424" spans="5:12" x14ac:dyDescent="0.2">
      <c r="E12424" s="1063"/>
      <c r="H12424" s="1066"/>
      <c r="I12424" s="1063"/>
      <c r="J12424" s="1063"/>
      <c r="K12424" s="1063"/>
      <c r="L12424" s="1063"/>
    </row>
    <row r="12425" spans="5:12" x14ac:dyDescent="0.2">
      <c r="E12425" s="1063"/>
      <c r="H12425" s="1066"/>
      <c r="I12425" s="1063"/>
      <c r="J12425" s="1063"/>
      <c r="K12425" s="1063"/>
      <c r="L12425" s="1063"/>
    </row>
    <row r="12426" spans="5:12" x14ac:dyDescent="0.2">
      <c r="E12426" s="1063"/>
      <c r="H12426" s="1066"/>
      <c r="I12426" s="1063"/>
      <c r="J12426" s="1063"/>
      <c r="K12426" s="1063"/>
      <c r="L12426" s="1063"/>
    </row>
    <row r="12427" spans="5:12" x14ac:dyDescent="0.2">
      <c r="E12427" s="1063"/>
      <c r="H12427" s="1066"/>
      <c r="I12427" s="1063"/>
      <c r="J12427" s="1063"/>
      <c r="K12427" s="1063"/>
      <c r="L12427" s="1063"/>
    </row>
    <row r="12428" spans="5:12" x14ac:dyDescent="0.2">
      <c r="E12428" s="1063"/>
      <c r="H12428" s="1066"/>
      <c r="I12428" s="1063"/>
      <c r="J12428" s="1063"/>
      <c r="K12428" s="1063"/>
      <c r="L12428" s="1063"/>
    </row>
    <row r="12429" spans="5:12" x14ac:dyDescent="0.2">
      <c r="E12429" s="1063"/>
      <c r="H12429" s="1066"/>
      <c r="I12429" s="1063"/>
      <c r="J12429" s="1063"/>
      <c r="K12429" s="1063"/>
      <c r="L12429" s="1063"/>
    </row>
    <row r="12430" spans="5:12" x14ac:dyDescent="0.2">
      <c r="E12430" s="1063"/>
      <c r="H12430" s="1066"/>
      <c r="I12430" s="1063"/>
      <c r="J12430" s="1063"/>
      <c r="K12430" s="1063"/>
      <c r="L12430" s="1063"/>
    </row>
    <row r="12431" spans="5:12" x14ac:dyDescent="0.2">
      <c r="E12431" s="1063"/>
      <c r="H12431" s="1066"/>
      <c r="I12431" s="1063"/>
      <c r="J12431" s="1063"/>
      <c r="K12431" s="1063"/>
      <c r="L12431" s="1063"/>
    </row>
    <row r="12432" spans="5:12" x14ac:dyDescent="0.2">
      <c r="E12432" s="1063"/>
      <c r="H12432" s="1066"/>
      <c r="I12432" s="1063"/>
      <c r="J12432" s="1063"/>
      <c r="K12432" s="1063"/>
      <c r="L12432" s="1063"/>
    </row>
    <row r="12433" spans="5:12" x14ac:dyDescent="0.2">
      <c r="E12433" s="1063"/>
      <c r="H12433" s="1066"/>
      <c r="I12433" s="1063"/>
      <c r="J12433" s="1063"/>
      <c r="K12433" s="1063"/>
      <c r="L12433" s="1063"/>
    </row>
    <row r="12434" spans="5:12" x14ac:dyDescent="0.2">
      <c r="E12434" s="1063"/>
      <c r="H12434" s="1066"/>
      <c r="I12434" s="1063"/>
      <c r="J12434" s="1063"/>
      <c r="K12434" s="1063"/>
      <c r="L12434" s="1063"/>
    </row>
    <row r="12435" spans="5:12" x14ac:dyDescent="0.2">
      <c r="E12435" s="1063"/>
      <c r="H12435" s="1066"/>
      <c r="I12435" s="1063"/>
      <c r="J12435" s="1063"/>
      <c r="K12435" s="1063"/>
      <c r="L12435" s="1063"/>
    </row>
    <row r="12436" spans="5:12" x14ac:dyDescent="0.2">
      <c r="E12436" s="1063"/>
      <c r="H12436" s="1066"/>
      <c r="I12436" s="1063"/>
      <c r="J12436" s="1063"/>
      <c r="K12436" s="1063"/>
      <c r="L12436" s="1063"/>
    </row>
    <row r="12437" spans="5:12" x14ac:dyDescent="0.2">
      <c r="E12437" s="1063"/>
      <c r="H12437" s="1066"/>
      <c r="I12437" s="1063"/>
      <c r="J12437" s="1063"/>
      <c r="K12437" s="1063"/>
      <c r="L12437" s="1063"/>
    </row>
    <row r="12438" spans="5:12" x14ac:dyDescent="0.2">
      <c r="E12438" s="1063"/>
      <c r="H12438" s="1066"/>
      <c r="I12438" s="1063"/>
      <c r="J12438" s="1063"/>
      <c r="K12438" s="1063"/>
      <c r="L12438" s="1063"/>
    </row>
    <row r="12439" spans="5:12" x14ac:dyDescent="0.2">
      <c r="E12439" s="1063"/>
      <c r="H12439" s="1066"/>
      <c r="I12439" s="1063"/>
      <c r="J12439" s="1063"/>
      <c r="K12439" s="1063"/>
      <c r="L12439" s="1063"/>
    </row>
    <row r="12440" spans="5:12" x14ac:dyDescent="0.2">
      <c r="E12440" s="1063"/>
      <c r="H12440" s="1066"/>
      <c r="I12440" s="1063"/>
      <c r="J12440" s="1063"/>
      <c r="K12440" s="1063"/>
      <c r="L12440" s="1063"/>
    </row>
    <row r="12441" spans="5:12" x14ac:dyDescent="0.2">
      <c r="E12441" s="1063"/>
      <c r="H12441" s="1066"/>
      <c r="I12441" s="1063"/>
      <c r="J12441" s="1063"/>
      <c r="K12441" s="1063"/>
      <c r="L12441" s="1063"/>
    </row>
    <row r="12442" spans="5:12" x14ac:dyDescent="0.2">
      <c r="E12442" s="1063"/>
      <c r="H12442" s="1066"/>
      <c r="I12442" s="1063"/>
      <c r="J12442" s="1063"/>
      <c r="K12442" s="1063"/>
      <c r="L12442" s="1063"/>
    </row>
    <row r="12443" spans="5:12" x14ac:dyDescent="0.2">
      <c r="E12443" s="1063"/>
      <c r="H12443" s="1066"/>
      <c r="I12443" s="1063"/>
      <c r="J12443" s="1063"/>
      <c r="K12443" s="1063"/>
      <c r="L12443" s="1063"/>
    </row>
    <row r="12444" spans="5:12" x14ac:dyDescent="0.2">
      <c r="E12444" s="1063"/>
      <c r="H12444" s="1066"/>
      <c r="I12444" s="1063"/>
      <c r="J12444" s="1063"/>
      <c r="K12444" s="1063"/>
      <c r="L12444" s="1063"/>
    </row>
    <row r="12445" spans="5:12" x14ac:dyDescent="0.2">
      <c r="E12445" s="1063"/>
      <c r="H12445" s="1066"/>
      <c r="I12445" s="1063"/>
      <c r="J12445" s="1063"/>
      <c r="K12445" s="1063"/>
      <c r="L12445" s="1063"/>
    </row>
    <row r="12446" spans="5:12" x14ac:dyDescent="0.2">
      <c r="E12446" s="1063"/>
      <c r="H12446" s="1066"/>
      <c r="I12446" s="1063"/>
      <c r="J12446" s="1063"/>
      <c r="K12446" s="1063"/>
      <c r="L12446" s="1063"/>
    </row>
    <row r="12447" spans="5:12" x14ac:dyDescent="0.2">
      <c r="E12447" s="1063"/>
      <c r="H12447" s="1066"/>
      <c r="I12447" s="1063"/>
      <c r="J12447" s="1063"/>
      <c r="K12447" s="1063"/>
      <c r="L12447" s="1063"/>
    </row>
    <row r="12448" spans="5:12" x14ac:dyDescent="0.2">
      <c r="E12448" s="1063"/>
      <c r="H12448" s="1066"/>
      <c r="I12448" s="1063"/>
      <c r="J12448" s="1063"/>
      <c r="K12448" s="1063"/>
      <c r="L12448" s="1063"/>
    </row>
    <row r="12449" spans="5:12" x14ac:dyDescent="0.2">
      <c r="E12449" s="1063"/>
      <c r="H12449" s="1066"/>
      <c r="I12449" s="1063"/>
      <c r="J12449" s="1063"/>
      <c r="K12449" s="1063"/>
      <c r="L12449" s="1063"/>
    </row>
    <row r="12450" spans="5:12" x14ac:dyDescent="0.2">
      <c r="E12450" s="1063"/>
      <c r="H12450" s="1066"/>
      <c r="I12450" s="1063"/>
      <c r="J12450" s="1063"/>
      <c r="K12450" s="1063"/>
      <c r="L12450" s="1063"/>
    </row>
    <row r="12451" spans="5:12" x14ac:dyDescent="0.2">
      <c r="E12451" s="1063"/>
      <c r="H12451" s="1066"/>
      <c r="I12451" s="1063"/>
      <c r="J12451" s="1063"/>
      <c r="K12451" s="1063"/>
      <c r="L12451" s="1063"/>
    </row>
    <row r="12452" spans="5:12" x14ac:dyDescent="0.2">
      <c r="E12452" s="1063"/>
      <c r="H12452" s="1066"/>
      <c r="I12452" s="1063"/>
      <c r="J12452" s="1063"/>
      <c r="K12452" s="1063"/>
      <c r="L12452" s="1063"/>
    </row>
    <row r="12453" spans="5:12" x14ac:dyDescent="0.2">
      <c r="E12453" s="1063"/>
      <c r="H12453" s="1066"/>
      <c r="I12453" s="1063"/>
      <c r="J12453" s="1063"/>
      <c r="K12453" s="1063"/>
      <c r="L12453" s="1063"/>
    </row>
    <row r="12454" spans="5:12" x14ac:dyDescent="0.2">
      <c r="E12454" s="1063"/>
      <c r="H12454" s="1066"/>
      <c r="I12454" s="1063"/>
      <c r="J12454" s="1063"/>
      <c r="K12454" s="1063"/>
      <c r="L12454" s="1063"/>
    </row>
    <row r="12455" spans="5:12" x14ac:dyDescent="0.2">
      <c r="E12455" s="1063"/>
      <c r="H12455" s="1066"/>
      <c r="I12455" s="1063"/>
      <c r="J12455" s="1063"/>
      <c r="K12455" s="1063"/>
      <c r="L12455" s="1063"/>
    </row>
    <row r="12456" spans="5:12" x14ac:dyDescent="0.2">
      <c r="E12456" s="1063"/>
      <c r="H12456" s="1066"/>
      <c r="I12456" s="1063"/>
      <c r="J12456" s="1063"/>
      <c r="K12456" s="1063"/>
      <c r="L12456" s="1063"/>
    </row>
    <row r="12457" spans="5:12" x14ac:dyDescent="0.2">
      <c r="E12457" s="1063"/>
      <c r="H12457" s="1066"/>
      <c r="I12457" s="1063"/>
      <c r="J12457" s="1063"/>
      <c r="K12457" s="1063"/>
      <c r="L12457" s="1063"/>
    </row>
    <row r="12458" spans="5:12" x14ac:dyDescent="0.2">
      <c r="E12458" s="1063"/>
      <c r="H12458" s="1066"/>
      <c r="I12458" s="1063"/>
      <c r="J12458" s="1063"/>
      <c r="K12458" s="1063"/>
      <c r="L12458" s="1063"/>
    </row>
    <row r="12459" spans="5:12" x14ac:dyDescent="0.2">
      <c r="E12459" s="1063"/>
      <c r="H12459" s="1066"/>
      <c r="I12459" s="1063"/>
      <c r="J12459" s="1063"/>
      <c r="K12459" s="1063"/>
      <c r="L12459" s="1063"/>
    </row>
    <row r="12460" spans="5:12" x14ac:dyDescent="0.2">
      <c r="E12460" s="1063"/>
      <c r="H12460" s="1066"/>
      <c r="I12460" s="1063"/>
      <c r="J12460" s="1063"/>
      <c r="K12460" s="1063"/>
      <c r="L12460" s="1063"/>
    </row>
    <row r="12461" spans="5:12" x14ac:dyDescent="0.2">
      <c r="E12461" s="1063"/>
      <c r="H12461" s="1066"/>
      <c r="I12461" s="1063"/>
      <c r="J12461" s="1063"/>
      <c r="K12461" s="1063"/>
      <c r="L12461" s="1063"/>
    </row>
    <row r="12462" spans="5:12" x14ac:dyDescent="0.2">
      <c r="E12462" s="1063"/>
      <c r="H12462" s="1066"/>
      <c r="I12462" s="1063"/>
      <c r="J12462" s="1063"/>
      <c r="K12462" s="1063"/>
      <c r="L12462" s="1063"/>
    </row>
    <row r="12463" spans="5:12" x14ac:dyDescent="0.2">
      <c r="E12463" s="1063"/>
      <c r="H12463" s="1066"/>
      <c r="I12463" s="1063"/>
      <c r="J12463" s="1063"/>
      <c r="K12463" s="1063"/>
      <c r="L12463" s="1063"/>
    </row>
    <row r="12464" spans="5:12" x14ac:dyDescent="0.2">
      <c r="E12464" s="1063"/>
      <c r="H12464" s="1066"/>
      <c r="I12464" s="1063"/>
      <c r="J12464" s="1063"/>
      <c r="K12464" s="1063"/>
      <c r="L12464" s="1063"/>
    </row>
    <row r="12465" spans="5:12" x14ac:dyDescent="0.2">
      <c r="E12465" s="1063"/>
      <c r="H12465" s="1066"/>
      <c r="I12465" s="1063"/>
      <c r="J12465" s="1063"/>
      <c r="K12465" s="1063"/>
      <c r="L12465" s="1063"/>
    </row>
    <row r="12466" spans="5:12" x14ac:dyDescent="0.2">
      <c r="E12466" s="1063"/>
      <c r="H12466" s="1066"/>
      <c r="I12466" s="1063"/>
      <c r="J12466" s="1063"/>
      <c r="K12466" s="1063"/>
      <c r="L12466" s="1063"/>
    </row>
    <row r="12467" spans="5:12" x14ac:dyDescent="0.2">
      <c r="E12467" s="1063"/>
      <c r="H12467" s="1066"/>
      <c r="I12467" s="1063"/>
      <c r="J12467" s="1063"/>
      <c r="K12467" s="1063"/>
      <c r="L12467" s="1063"/>
    </row>
    <row r="12468" spans="5:12" x14ac:dyDescent="0.2">
      <c r="E12468" s="1063"/>
      <c r="H12468" s="1066"/>
      <c r="I12468" s="1063"/>
      <c r="J12468" s="1063"/>
      <c r="K12468" s="1063"/>
      <c r="L12468" s="1063"/>
    </row>
    <row r="12469" spans="5:12" x14ac:dyDescent="0.2">
      <c r="E12469" s="1063"/>
      <c r="H12469" s="1066"/>
      <c r="I12469" s="1063"/>
      <c r="J12469" s="1063"/>
      <c r="K12469" s="1063"/>
      <c r="L12469" s="1063"/>
    </row>
    <row r="12470" spans="5:12" x14ac:dyDescent="0.2">
      <c r="E12470" s="1063"/>
      <c r="H12470" s="1066"/>
      <c r="I12470" s="1063"/>
      <c r="J12470" s="1063"/>
      <c r="K12470" s="1063"/>
      <c r="L12470" s="1063"/>
    </row>
    <row r="12471" spans="5:12" x14ac:dyDescent="0.2">
      <c r="E12471" s="1063"/>
      <c r="H12471" s="1066"/>
      <c r="I12471" s="1063"/>
      <c r="J12471" s="1063"/>
      <c r="K12471" s="1063"/>
      <c r="L12471" s="1063"/>
    </row>
    <row r="12472" spans="5:12" x14ac:dyDescent="0.2">
      <c r="E12472" s="1063"/>
      <c r="H12472" s="1066"/>
      <c r="I12472" s="1063"/>
      <c r="J12472" s="1063"/>
      <c r="K12472" s="1063"/>
      <c r="L12472" s="1063"/>
    </row>
    <row r="12473" spans="5:12" x14ac:dyDescent="0.2">
      <c r="E12473" s="1063"/>
      <c r="H12473" s="1066"/>
      <c r="I12473" s="1063"/>
      <c r="J12473" s="1063"/>
      <c r="K12473" s="1063"/>
      <c r="L12473" s="1063"/>
    </row>
    <row r="12474" spans="5:12" x14ac:dyDescent="0.2">
      <c r="E12474" s="1063"/>
      <c r="H12474" s="1066"/>
      <c r="I12474" s="1063"/>
      <c r="J12474" s="1063"/>
      <c r="K12474" s="1063"/>
      <c r="L12474" s="1063"/>
    </row>
    <row r="12475" spans="5:12" x14ac:dyDescent="0.2">
      <c r="E12475" s="1063"/>
      <c r="H12475" s="1066"/>
      <c r="I12475" s="1063"/>
      <c r="J12475" s="1063"/>
      <c r="K12475" s="1063"/>
      <c r="L12475" s="1063"/>
    </row>
    <row r="12476" spans="5:12" x14ac:dyDescent="0.2">
      <c r="E12476" s="1063"/>
      <c r="H12476" s="1066"/>
      <c r="I12476" s="1063"/>
      <c r="J12476" s="1063"/>
      <c r="K12476" s="1063"/>
      <c r="L12476" s="1063"/>
    </row>
    <row r="12477" spans="5:12" x14ac:dyDescent="0.2">
      <c r="E12477" s="1063"/>
      <c r="H12477" s="1066"/>
      <c r="I12477" s="1063"/>
      <c r="J12477" s="1063"/>
      <c r="K12477" s="1063"/>
      <c r="L12477" s="1063"/>
    </row>
    <row r="12478" spans="5:12" x14ac:dyDescent="0.2">
      <c r="E12478" s="1063"/>
      <c r="H12478" s="1066"/>
      <c r="I12478" s="1063"/>
      <c r="J12478" s="1063"/>
      <c r="K12478" s="1063"/>
      <c r="L12478" s="1063"/>
    </row>
    <row r="12479" spans="5:12" x14ac:dyDescent="0.2">
      <c r="E12479" s="1063"/>
      <c r="H12479" s="1066"/>
      <c r="I12479" s="1063"/>
      <c r="J12479" s="1063"/>
      <c r="K12479" s="1063"/>
      <c r="L12479" s="1063"/>
    </row>
    <row r="12480" spans="5:12" x14ac:dyDescent="0.2">
      <c r="E12480" s="1063"/>
      <c r="H12480" s="1066"/>
      <c r="I12480" s="1063"/>
      <c r="J12480" s="1063"/>
      <c r="K12480" s="1063"/>
      <c r="L12480" s="1063"/>
    </row>
    <row r="12481" spans="5:12" x14ac:dyDescent="0.2">
      <c r="E12481" s="1063"/>
      <c r="H12481" s="1066"/>
      <c r="I12481" s="1063"/>
      <c r="J12481" s="1063"/>
      <c r="K12481" s="1063"/>
      <c r="L12481" s="1063"/>
    </row>
    <row r="12482" spans="5:12" x14ac:dyDescent="0.2">
      <c r="E12482" s="1063"/>
      <c r="H12482" s="1066"/>
      <c r="I12482" s="1063"/>
      <c r="J12482" s="1063"/>
      <c r="K12482" s="1063"/>
      <c r="L12482" s="1063"/>
    </row>
    <row r="12483" spans="5:12" x14ac:dyDescent="0.2">
      <c r="E12483" s="1063"/>
      <c r="H12483" s="1066"/>
      <c r="I12483" s="1063"/>
      <c r="J12483" s="1063"/>
      <c r="K12483" s="1063"/>
      <c r="L12483" s="1063"/>
    </row>
    <row r="12484" spans="5:12" x14ac:dyDescent="0.2">
      <c r="E12484" s="1063"/>
      <c r="H12484" s="1066"/>
      <c r="I12484" s="1063"/>
      <c r="J12484" s="1063"/>
      <c r="K12484" s="1063"/>
      <c r="L12484" s="1063"/>
    </row>
    <row r="12485" spans="5:12" x14ac:dyDescent="0.2">
      <c r="E12485" s="1063"/>
      <c r="H12485" s="1066"/>
      <c r="I12485" s="1063"/>
      <c r="J12485" s="1063"/>
      <c r="K12485" s="1063"/>
      <c r="L12485" s="1063"/>
    </row>
    <row r="12486" spans="5:12" x14ac:dyDescent="0.2">
      <c r="E12486" s="1063"/>
      <c r="H12486" s="1066"/>
      <c r="I12486" s="1063"/>
      <c r="J12486" s="1063"/>
      <c r="K12486" s="1063"/>
      <c r="L12486" s="1063"/>
    </row>
    <row r="12487" spans="5:12" x14ac:dyDescent="0.2">
      <c r="E12487" s="1063"/>
      <c r="H12487" s="1066"/>
      <c r="I12487" s="1063"/>
      <c r="J12487" s="1063"/>
      <c r="K12487" s="1063"/>
      <c r="L12487" s="1063"/>
    </row>
    <row r="12488" spans="5:12" x14ac:dyDescent="0.2">
      <c r="E12488" s="1063"/>
      <c r="H12488" s="1066"/>
      <c r="I12488" s="1063"/>
      <c r="J12488" s="1063"/>
      <c r="K12488" s="1063"/>
      <c r="L12488" s="1063"/>
    </row>
    <row r="12489" spans="5:12" x14ac:dyDescent="0.2">
      <c r="E12489" s="1063"/>
      <c r="H12489" s="1066"/>
      <c r="I12489" s="1063"/>
      <c r="J12489" s="1063"/>
      <c r="K12489" s="1063"/>
      <c r="L12489" s="1063"/>
    </row>
    <row r="12490" spans="5:12" x14ac:dyDescent="0.2">
      <c r="E12490" s="1063"/>
      <c r="H12490" s="1066"/>
      <c r="I12490" s="1063"/>
      <c r="J12490" s="1063"/>
      <c r="K12490" s="1063"/>
      <c r="L12490" s="1063"/>
    </row>
    <row r="12491" spans="5:12" x14ac:dyDescent="0.2">
      <c r="E12491" s="1063"/>
      <c r="H12491" s="1066"/>
      <c r="I12491" s="1063"/>
      <c r="J12491" s="1063"/>
      <c r="K12491" s="1063"/>
      <c r="L12491" s="1063"/>
    </row>
    <row r="12492" spans="5:12" x14ac:dyDescent="0.2">
      <c r="E12492" s="1063"/>
      <c r="H12492" s="1066"/>
      <c r="I12492" s="1063"/>
      <c r="J12492" s="1063"/>
      <c r="K12492" s="1063"/>
      <c r="L12492" s="1063"/>
    </row>
    <row r="12493" spans="5:12" x14ac:dyDescent="0.2">
      <c r="E12493" s="1063"/>
      <c r="H12493" s="1066"/>
      <c r="I12493" s="1063"/>
      <c r="J12493" s="1063"/>
      <c r="K12493" s="1063"/>
      <c r="L12493" s="1063"/>
    </row>
    <row r="12494" spans="5:12" x14ac:dyDescent="0.2">
      <c r="E12494" s="1063"/>
      <c r="H12494" s="1066"/>
      <c r="I12494" s="1063"/>
      <c r="J12494" s="1063"/>
      <c r="K12494" s="1063"/>
      <c r="L12494" s="1063"/>
    </row>
    <row r="12495" spans="5:12" x14ac:dyDescent="0.2">
      <c r="E12495" s="1063"/>
      <c r="H12495" s="1066"/>
      <c r="I12495" s="1063"/>
      <c r="J12495" s="1063"/>
      <c r="K12495" s="1063"/>
      <c r="L12495" s="1063"/>
    </row>
    <row r="12496" spans="5:12" x14ac:dyDescent="0.2">
      <c r="E12496" s="1063"/>
      <c r="H12496" s="1066"/>
      <c r="I12496" s="1063"/>
      <c r="J12496" s="1063"/>
      <c r="K12496" s="1063"/>
      <c r="L12496" s="1063"/>
    </row>
    <row r="12497" spans="5:12" x14ac:dyDescent="0.2">
      <c r="E12497" s="1063"/>
      <c r="H12497" s="1066"/>
      <c r="I12497" s="1063"/>
      <c r="J12497" s="1063"/>
      <c r="K12497" s="1063"/>
      <c r="L12497" s="1063"/>
    </row>
    <row r="12498" spans="5:12" x14ac:dyDescent="0.2">
      <c r="E12498" s="1063"/>
      <c r="H12498" s="1066"/>
      <c r="I12498" s="1063"/>
      <c r="J12498" s="1063"/>
      <c r="K12498" s="1063"/>
      <c r="L12498" s="1063"/>
    </row>
    <row r="12499" spans="5:12" x14ac:dyDescent="0.2">
      <c r="E12499" s="1063"/>
      <c r="H12499" s="1066"/>
      <c r="I12499" s="1063"/>
      <c r="J12499" s="1063"/>
      <c r="K12499" s="1063"/>
      <c r="L12499" s="1063"/>
    </row>
    <row r="12500" spans="5:12" x14ac:dyDescent="0.2">
      <c r="E12500" s="1063"/>
      <c r="H12500" s="1066"/>
      <c r="I12500" s="1063"/>
      <c r="J12500" s="1063"/>
      <c r="K12500" s="1063"/>
      <c r="L12500" s="1063"/>
    </row>
    <row r="12501" spans="5:12" x14ac:dyDescent="0.2">
      <c r="E12501" s="1063"/>
      <c r="H12501" s="1066"/>
      <c r="I12501" s="1063"/>
      <c r="J12501" s="1063"/>
      <c r="K12501" s="1063"/>
      <c r="L12501" s="1063"/>
    </row>
    <row r="12502" spans="5:12" x14ac:dyDescent="0.2">
      <c r="E12502" s="1063"/>
      <c r="H12502" s="1066"/>
      <c r="I12502" s="1063"/>
      <c r="J12502" s="1063"/>
      <c r="K12502" s="1063"/>
      <c r="L12502" s="1063"/>
    </row>
    <row r="12503" spans="5:12" x14ac:dyDescent="0.2">
      <c r="E12503" s="1063"/>
      <c r="H12503" s="1066"/>
      <c r="I12503" s="1063"/>
      <c r="J12503" s="1063"/>
      <c r="K12503" s="1063"/>
      <c r="L12503" s="1063"/>
    </row>
    <row r="12504" spans="5:12" x14ac:dyDescent="0.2">
      <c r="E12504" s="1063"/>
      <c r="H12504" s="1066"/>
      <c r="I12504" s="1063"/>
      <c r="J12504" s="1063"/>
      <c r="K12504" s="1063"/>
      <c r="L12504" s="1063"/>
    </row>
    <row r="12505" spans="5:12" x14ac:dyDescent="0.2">
      <c r="E12505" s="1063"/>
      <c r="H12505" s="1066"/>
      <c r="I12505" s="1063"/>
      <c r="J12505" s="1063"/>
      <c r="K12505" s="1063"/>
      <c r="L12505" s="1063"/>
    </row>
    <row r="12506" spans="5:12" x14ac:dyDescent="0.2">
      <c r="E12506" s="1063"/>
      <c r="H12506" s="1066"/>
      <c r="I12506" s="1063"/>
      <c r="J12506" s="1063"/>
      <c r="K12506" s="1063"/>
      <c r="L12506" s="1063"/>
    </row>
    <row r="12507" spans="5:12" x14ac:dyDescent="0.2">
      <c r="E12507" s="1063"/>
      <c r="H12507" s="1066"/>
      <c r="I12507" s="1063"/>
      <c r="J12507" s="1063"/>
      <c r="K12507" s="1063"/>
      <c r="L12507" s="1063"/>
    </row>
    <row r="12508" spans="5:12" x14ac:dyDescent="0.2">
      <c r="E12508" s="1063"/>
      <c r="H12508" s="1066"/>
      <c r="I12508" s="1063"/>
      <c r="J12508" s="1063"/>
      <c r="K12508" s="1063"/>
      <c r="L12508" s="1063"/>
    </row>
    <row r="12509" spans="5:12" x14ac:dyDescent="0.2">
      <c r="E12509" s="1063"/>
      <c r="H12509" s="1066"/>
      <c r="I12509" s="1063"/>
      <c r="J12509" s="1063"/>
      <c r="K12509" s="1063"/>
      <c r="L12509" s="1063"/>
    </row>
    <row r="12510" spans="5:12" x14ac:dyDescent="0.2">
      <c r="E12510" s="1063"/>
      <c r="H12510" s="1066"/>
      <c r="I12510" s="1063"/>
      <c r="J12510" s="1063"/>
      <c r="K12510" s="1063"/>
      <c r="L12510" s="1063"/>
    </row>
    <row r="12511" spans="5:12" x14ac:dyDescent="0.2">
      <c r="E12511" s="1063"/>
      <c r="H12511" s="1066"/>
      <c r="I12511" s="1063"/>
      <c r="J12511" s="1063"/>
      <c r="K12511" s="1063"/>
      <c r="L12511" s="1063"/>
    </row>
    <row r="12512" spans="5:12" x14ac:dyDescent="0.2">
      <c r="E12512" s="1063"/>
      <c r="H12512" s="1066"/>
      <c r="I12512" s="1063"/>
      <c r="J12512" s="1063"/>
      <c r="K12512" s="1063"/>
      <c r="L12512" s="1063"/>
    </row>
    <row r="12513" spans="5:12" x14ac:dyDescent="0.2">
      <c r="E12513" s="1063"/>
      <c r="H12513" s="1066"/>
      <c r="I12513" s="1063"/>
      <c r="J12513" s="1063"/>
      <c r="K12513" s="1063"/>
      <c r="L12513" s="1063"/>
    </row>
    <row r="12514" spans="5:12" x14ac:dyDescent="0.2">
      <c r="E12514" s="1063"/>
      <c r="H12514" s="1066"/>
      <c r="I12514" s="1063"/>
      <c r="J12514" s="1063"/>
      <c r="K12514" s="1063"/>
      <c r="L12514" s="1063"/>
    </row>
    <row r="12515" spans="5:12" x14ac:dyDescent="0.2">
      <c r="E12515" s="1063"/>
      <c r="H12515" s="1066"/>
      <c r="I12515" s="1063"/>
      <c r="J12515" s="1063"/>
      <c r="K12515" s="1063"/>
      <c r="L12515" s="1063"/>
    </row>
    <row r="12516" spans="5:12" x14ac:dyDescent="0.2">
      <c r="E12516" s="1063"/>
      <c r="H12516" s="1066"/>
      <c r="I12516" s="1063"/>
      <c r="J12516" s="1063"/>
      <c r="K12516" s="1063"/>
      <c r="L12516" s="1063"/>
    </row>
    <row r="12517" spans="5:12" x14ac:dyDescent="0.2">
      <c r="E12517" s="1063"/>
      <c r="H12517" s="1066"/>
      <c r="I12517" s="1063"/>
      <c r="J12517" s="1063"/>
      <c r="K12517" s="1063"/>
      <c r="L12517" s="1063"/>
    </row>
    <row r="12518" spans="5:12" x14ac:dyDescent="0.2">
      <c r="E12518" s="1063"/>
      <c r="H12518" s="1066"/>
      <c r="I12518" s="1063"/>
      <c r="J12518" s="1063"/>
      <c r="K12518" s="1063"/>
      <c r="L12518" s="1063"/>
    </row>
    <row r="12519" spans="5:12" x14ac:dyDescent="0.2">
      <c r="E12519" s="1063"/>
      <c r="H12519" s="1066"/>
      <c r="I12519" s="1063"/>
      <c r="J12519" s="1063"/>
      <c r="K12519" s="1063"/>
      <c r="L12519" s="1063"/>
    </row>
    <row r="12520" spans="5:12" x14ac:dyDescent="0.2">
      <c r="E12520" s="1063"/>
      <c r="H12520" s="1066"/>
      <c r="I12520" s="1063"/>
      <c r="J12520" s="1063"/>
      <c r="K12520" s="1063"/>
      <c r="L12520" s="1063"/>
    </row>
    <row r="12521" spans="5:12" x14ac:dyDescent="0.2">
      <c r="E12521" s="1063"/>
      <c r="H12521" s="1066"/>
      <c r="I12521" s="1063"/>
      <c r="J12521" s="1063"/>
      <c r="K12521" s="1063"/>
      <c r="L12521" s="1063"/>
    </row>
    <row r="12522" spans="5:12" x14ac:dyDescent="0.2">
      <c r="E12522" s="1063"/>
      <c r="H12522" s="1066"/>
      <c r="I12522" s="1063"/>
      <c r="J12522" s="1063"/>
      <c r="K12522" s="1063"/>
      <c r="L12522" s="1063"/>
    </row>
    <row r="12523" spans="5:12" x14ac:dyDescent="0.2">
      <c r="E12523" s="1063"/>
      <c r="H12523" s="1066"/>
      <c r="I12523" s="1063"/>
      <c r="J12523" s="1063"/>
      <c r="K12523" s="1063"/>
      <c r="L12523" s="1063"/>
    </row>
    <row r="12524" spans="5:12" x14ac:dyDescent="0.2">
      <c r="E12524" s="1063"/>
      <c r="H12524" s="1066"/>
      <c r="I12524" s="1063"/>
      <c r="J12524" s="1063"/>
      <c r="K12524" s="1063"/>
      <c r="L12524" s="1063"/>
    </row>
    <row r="12525" spans="5:12" x14ac:dyDescent="0.2">
      <c r="E12525" s="1063"/>
      <c r="H12525" s="1066"/>
      <c r="I12525" s="1063"/>
      <c r="J12525" s="1063"/>
      <c r="K12525" s="1063"/>
      <c r="L12525" s="1063"/>
    </row>
    <row r="12526" spans="5:12" x14ac:dyDescent="0.2">
      <c r="E12526" s="1063"/>
      <c r="H12526" s="1066"/>
      <c r="I12526" s="1063"/>
      <c r="J12526" s="1063"/>
      <c r="K12526" s="1063"/>
      <c r="L12526" s="1063"/>
    </row>
    <row r="12527" spans="5:12" x14ac:dyDescent="0.2">
      <c r="E12527" s="1063"/>
      <c r="H12527" s="1066"/>
      <c r="I12527" s="1063"/>
      <c r="J12527" s="1063"/>
      <c r="K12527" s="1063"/>
      <c r="L12527" s="1063"/>
    </row>
    <row r="12528" spans="5:12" x14ac:dyDescent="0.2">
      <c r="E12528" s="1063"/>
      <c r="H12528" s="1066"/>
      <c r="I12528" s="1063"/>
      <c r="J12528" s="1063"/>
      <c r="K12528" s="1063"/>
      <c r="L12528" s="1063"/>
    </row>
    <row r="12529" spans="5:12" x14ac:dyDescent="0.2">
      <c r="E12529" s="1063"/>
      <c r="H12529" s="1066"/>
      <c r="I12529" s="1063"/>
      <c r="J12529" s="1063"/>
      <c r="K12529" s="1063"/>
      <c r="L12529" s="1063"/>
    </row>
    <row r="12530" spans="5:12" x14ac:dyDescent="0.2">
      <c r="E12530" s="1063"/>
      <c r="H12530" s="1066"/>
      <c r="I12530" s="1063"/>
      <c r="J12530" s="1063"/>
      <c r="K12530" s="1063"/>
      <c r="L12530" s="1063"/>
    </row>
    <row r="12531" spans="5:12" x14ac:dyDescent="0.2">
      <c r="E12531" s="1063"/>
      <c r="H12531" s="1066"/>
      <c r="I12531" s="1063"/>
      <c r="J12531" s="1063"/>
      <c r="K12531" s="1063"/>
      <c r="L12531" s="1063"/>
    </row>
    <row r="12532" spans="5:12" x14ac:dyDescent="0.2">
      <c r="E12532" s="1063"/>
      <c r="H12532" s="1066"/>
      <c r="I12532" s="1063"/>
      <c r="J12532" s="1063"/>
      <c r="K12532" s="1063"/>
      <c r="L12532" s="1063"/>
    </row>
    <row r="12533" spans="5:12" x14ac:dyDescent="0.2">
      <c r="E12533" s="1063"/>
      <c r="H12533" s="1066"/>
      <c r="I12533" s="1063"/>
      <c r="J12533" s="1063"/>
      <c r="K12533" s="1063"/>
      <c r="L12533" s="1063"/>
    </row>
    <row r="12534" spans="5:12" x14ac:dyDescent="0.2">
      <c r="E12534" s="1063"/>
      <c r="H12534" s="1066"/>
      <c r="I12534" s="1063"/>
      <c r="J12534" s="1063"/>
      <c r="K12534" s="1063"/>
      <c r="L12534" s="1063"/>
    </row>
    <row r="12535" spans="5:12" x14ac:dyDescent="0.2">
      <c r="E12535" s="1063"/>
      <c r="H12535" s="1066"/>
      <c r="I12535" s="1063"/>
      <c r="J12535" s="1063"/>
      <c r="K12535" s="1063"/>
      <c r="L12535" s="1063"/>
    </row>
    <row r="12536" spans="5:12" x14ac:dyDescent="0.2">
      <c r="E12536" s="1063"/>
      <c r="H12536" s="1066"/>
      <c r="I12536" s="1063"/>
      <c r="J12536" s="1063"/>
      <c r="K12536" s="1063"/>
      <c r="L12536" s="1063"/>
    </row>
    <row r="12537" spans="5:12" x14ac:dyDescent="0.2">
      <c r="E12537" s="1063"/>
      <c r="H12537" s="1066"/>
      <c r="I12537" s="1063"/>
      <c r="J12537" s="1063"/>
      <c r="K12537" s="1063"/>
      <c r="L12537" s="1063"/>
    </row>
    <row r="12538" spans="5:12" x14ac:dyDescent="0.2">
      <c r="E12538" s="1063"/>
      <c r="H12538" s="1066"/>
      <c r="I12538" s="1063"/>
      <c r="J12538" s="1063"/>
      <c r="K12538" s="1063"/>
      <c r="L12538" s="1063"/>
    </row>
    <row r="12539" spans="5:12" x14ac:dyDescent="0.2">
      <c r="E12539" s="1063"/>
      <c r="H12539" s="1066"/>
      <c r="I12539" s="1063"/>
      <c r="J12539" s="1063"/>
      <c r="K12539" s="1063"/>
      <c r="L12539" s="1063"/>
    </row>
    <row r="12540" spans="5:12" x14ac:dyDescent="0.2">
      <c r="E12540" s="1063"/>
      <c r="H12540" s="1066"/>
      <c r="I12540" s="1063"/>
      <c r="J12540" s="1063"/>
      <c r="K12540" s="1063"/>
      <c r="L12540" s="1063"/>
    </row>
    <row r="12541" spans="5:12" x14ac:dyDescent="0.2">
      <c r="E12541" s="1063"/>
      <c r="H12541" s="1066"/>
      <c r="I12541" s="1063"/>
      <c r="J12541" s="1063"/>
      <c r="K12541" s="1063"/>
      <c r="L12541" s="1063"/>
    </row>
    <row r="12542" spans="5:12" x14ac:dyDescent="0.2">
      <c r="E12542" s="1063"/>
      <c r="H12542" s="1066"/>
      <c r="I12542" s="1063"/>
      <c r="J12542" s="1063"/>
      <c r="K12542" s="1063"/>
      <c r="L12542" s="1063"/>
    </row>
    <row r="12543" spans="5:12" x14ac:dyDescent="0.2">
      <c r="E12543" s="1063"/>
      <c r="H12543" s="1066"/>
      <c r="I12543" s="1063"/>
      <c r="J12543" s="1063"/>
      <c r="K12543" s="1063"/>
      <c r="L12543" s="1063"/>
    </row>
    <row r="12544" spans="5:12" x14ac:dyDescent="0.2">
      <c r="E12544" s="1063"/>
      <c r="H12544" s="1066"/>
      <c r="I12544" s="1063"/>
      <c r="J12544" s="1063"/>
      <c r="K12544" s="1063"/>
      <c r="L12544" s="1063"/>
    </row>
    <row r="12545" spans="5:12" x14ac:dyDescent="0.2">
      <c r="E12545" s="1063"/>
      <c r="H12545" s="1066"/>
      <c r="I12545" s="1063"/>
      <c r="J12545" s="1063"/>
      <c r="K12545" s="1063"/>
      <c r="L12545" s="1063"/>
    </row>
    <row r="12546" spans="5:12" x14ac:dyDescent="0.2">
      <c r="E12546" s="1063"/>
      <c r="H12546" s="1066"/>
      <c r="I12546" s="1063"/>
      <c r="J12546" s="1063"/>
      <c r="K12546" s="1063"/>
      <c r="L12546" s="1063"/>
    </row>
    <row r="12547" spans="5:12" x14ac:dyDescent="0.2">
      <c r="E12547" s="1063"/>
      <c r="H12547" s="1066"/>
      <c r="I12547" s="1063"/>
      <c r="J12547" s="1063"/>
      <c r="K12547" s="1063"/>
      <c r="L12547" s="1063"/>
    </row>
    <row r="12548" spans="5:12" x14ac:dyDescent="0.2">
      <c r="E12548" s="1063"/>
      <c r="H12548" s="1066"/>
      <c r="I12548" s="1063"/>
      <c r="J12548" s="1063"/>
      <c r="K12548" s="1063"/>
      <c r="L12548" s="1063"/>
    </row>
    <row r="12549" spans="5:12" x14ac:dyDescent="0.2">
      <c r="E12549" s="1063"/>
      <c r="H12549" s="1066"/>
      <c r="I12549" s="1063"/>
      <c r="J12549" s="1063"/>
      <c r="K12549" s="1063"/>
      <c r="L12549" s="1063"/>
    </row>
    <row r="12550" spans="5:12" x14ac:dyDescent="0.2">
      <c r="E12550" s="1063"/>
      <c r="H12550" s="1066"/>
      <c r="I12550" s="1063"/>
      <c r="J12550" s="1063"/>
      <c r="K12550" s="1063"/>
      <c r="L12550" s="1063"/>
    </row>
    <row r="12551" spans="5:12" x14ac:dyDescent="0.2">
      <c r="E12551" s="1063"/>
      <c r="H12551" s="1066"/>
      <c r="I12551" s="1063"/>
      <c r="J12551" s="1063"/>
      <c r="K12551" s="1063"/>
      <c r="L12551" s="1063"/>
    </row>
    <row r="12552" spans="5:12" x14ac:dyDescent="0.2">
      <c r="E12552" s="1063"/>
      <c r="H12552" s="1066"/>
      <c r="I12552" s="1063"/>
      <c r="J12552" s="1063"/>
      <c r="K12552" s="1063"/>
      <c r="L12552" s="1063"/>
    </row>
    <row r="12553" spans="5:12" x14ac:dyDescent="0.2">
      <c r="E12553" s="1063"/>
      <c r="H12553" s="1066"/>
      <c r="I12553" s="1063"/>
      <c r="J12553" s="1063"/>
      <c r="K12553" s="1063"/>
      <c r="L12553" s="1063"/>
    </row>
    <row r="12554" spans="5:12" x14ac:dyDescent="0.2">
      <c r="E12554" s="1063"/>
      <c r="H12554" s="1066"/>
      <c r="I12554" s="1063"/>
      <c r="J12554" s="1063"/>
      <c r="K12554" s="1063"/>
      <c r="L12554" s="1063"/>
    </row>
    <row r="12555" spans="5:12" x14ac:dyDescent="0.2">
      <c r="E12555" s="1063"/>
      <c r="H12555" s="1066"/>
      <c r="I12555" s="1063"/>
      <c r="J12555" s="1063"/>
      <c r="K12555" s="1063"/>
      <c r="L12555" s="1063"/>
    </row>
    <row r="12556" spans="5:12" x14ac:dyDescent="0.2">
      <c r="E12556" s="1063"/>
      <c r="H12556" s="1066"/>
      <c r="I12556" s="1063"/>
      <c r="J12556" s="1063"/>
      <c r="K12556" s="1063"/>
      <c r="L12556" s="1063"/>
    </row>
    <row r="12557" spans="5:12" x14ac:dyDescent="0.2">
      <c r="E12557" s="1063"/>
      <c r="H12557" s="1066"/>
      <c r="I12557" s="1063"/>
      <c r="J12557" s="1063"/>
      <c r="K12557" s="1063"/>
      <c r="L12557" s="1063"/>
    </row>
    <row r="12558" spans="5:12" x14ac:dyDescent="0.2">
      <c r="E12558" s="1063"/>
      <c r="H12558" s="1066"/>
      <c r="I12558" s="1063"/>
      <c r="J12558" s="1063"/>
      <c r="K12558" s="1063"/>
      <c r="L12558" s="1063"/>
    </row>
    <row r="12559" spans="5:12" x14ac:dyDescent="0.2">
      <c r="E12559" s="1063"/>
      <c r="H12559" s="1066"/>
      <c r="I12559" s="1063"/>
      <c r="J12559" s="1063"/>
      <c r="K12559" s="1063"/>
      <c r="L12559" s="1063"/>
    </row>
    <row r="12560" spans="5:12" x14ac:dyDescent="0.2">
      <c r="E12560" s="1063"/>
      <c r="H12560" s="1066"/>
      <c r="I12560" s="1063"/>
      <c r="J12560" s="1063"/>
      <c r="K12560" s="1063"/>
      <c r="L12560" s="1063"/>
    </row>
    <row r="12561" spans="5:12" x14ac:dyDescent="0.2">
      <c r="E12561" s="1063"/>
      <c r="H12561" s="1066"/>
      <c r="I12561" s="1063"/>
      <c r="J12561" s="1063"/>
      <c r="K12561" s="1063"/>
      <c r="L12561" s="1063"/>
    </row>
    <row r="12562" spans="5:12" x14ac:dyDescent="0.2">
      <c r="E12562" s="1063"/>
      <c r="H12562" s="1066"/>
      <c r="I12562" s="1063"/>
      <c r="J12562" s="1063"/>
      <c r="K12562" s="1063"/>
      <c r="L12562" s="1063"/>
    </row>
    <row r="12563" spans="5:12" x14ac:dyDescent="0.2">
      <c r="E12563" s="1063"/>
      <c r="H12563" s="1066"/>
      <c r="I12563" s="1063"/>
      <c r="J12563" s="1063"/>
      <c r="K12563" s="1063"/>
      <c r="L12563" s="1063"/>
    </row>
    <row r="12564" spans="5:12" x14ac:dyDescent="0.2">
      <c r="E12564" s="1063"/>
      <c r="H12564" s="1066"/>
      <c r="I12564" s="1063"/>
      <c r="J12564" s="1063"/>
      <c r="K12564" s="1063"/>
      <c r="L12564" s="1063"/>
    </row>
    <row r="12565" spans="5:12" x14ac:dyDescent="0.2">
      <c r="E12565" s="1063"/>
      <c r="H12565" s="1066"/>
      <c r="I12565" s="1063"/>
      <c r="J12565" s="1063"/>
      <c r="K12565" s="1063"/>
      <c r="L12565" s="1063"/>
    </row>
    <row r="12566" spans="5:12" x14ac:dyDescent="0.2">
      <c r="E12566" s="1063"/>
      <c r="H12566" s="1066"/>
      <c r="I12566" s="1063"/>
      <c r="J12566" s="1063"/>
      <c r="K12566" s="1063"/>
      <c r="L12566" s="1063"/>
    </row>
    <row r="12567" spans="5:12" x14ac:dyDescent="0.2">
      <c r="E12567" s="1063"/>
      <c r="H12567" s="1066"/>
      <c r="I12567" s="1063"/>
      <c r="J12567" s="1063"/>
      <c r="K12567" s="1063"/>
      <c r="L12567" s="1063"/>
    </row>
    <row r="12568" spans="5:12" x14ac:dyDescent="0.2">
      <c r="E12568" s="1063"/>
      <c r="H12568" s="1066"/>
      <c r="I12568" s="1063"/>
      <c r="J12568" s="1063"/>
      <c r="K12568" s="1063"/>
      <c r="L12568" s="1063"/>
    </row>
    <row r="12569" spans="5:12" x14ac:dyDescent="0.2">
      <c r="E12569" s="1063"/>
      <c r="H12569" s="1066"/>
      <c r="I12569" s="1063"/>
      <c r="J12569" s="1063"/>
      <c r="K12569" s="1063"/>
      <c r="L12569" s="1063"/>
    </row>
    <row r="12570" spans="5:12" x14ac:dyDescent="0.2">
      <c r="E12570" s="1063"/>
      <c r="H12570" s="1066"/>
      <c r="I12570" s="1063"/>
      <c r="J12570" s="1063"/>
      <c r="K12570" s="1063"/>
      <c r="L12570" s="1063"/>
    </row>
    <row r="12571" spans="5:12" x14ac:dyDescent="0.2">
      <c r="E12571" s="1063"/>
      <c r="H12571" s="1066"/>
      <c r="I12571" s="1063"/>
      <c r="J12571" s="1063"/>
      <c r="K12571" s="1063"/>
      <c r="L12571" s="1063"/>
    </row>
    <row r="12572" spans="5:12" x14ac:dyDescent="0.2">
      <c r="E12572" s="1063"/>
      <c r="H12572" s="1066"/>
      <c r="I12572" s="1063"/>
      <c r="J12572" s="1063"/>
      <c r="K12572" s="1063"/>
      <c r="L12572" s="1063"/>
    </row>
    <row r="12573" spans="5:12" x14ac:dyDescent="0.2">
      <c r="E12573" s="1063"/>
      <c r="H12573" s="1066"/>
      <c r="I12573" s="1063"/>
      <c r="J12573" s="1063"/>
      <c r="K12573" s="1063"/>
      <c r="L12573" s="1063"/>
    </row>
    <row r="12574" spans="5:12" x14ac:dyDescent="0.2">
      <c r="E12574" s="1063"/>
      <c r="H12574" s="1066"/>
      <c r="I12574" s="1063"/>
      <c r="J12574" s="1063"/>
      <c r="K12574" s="1063"/>
      <c r="L12574" s="1063"/>
    </row>
    <row r="12575" spans="5:12" x14ac:dyDescent="0.2">
      <c r="E12575" s="1063"/>
      <c r="H12575" s="1066"/>
      <c r="I12575" s="1063"/>
      <c r="J12575" s="1063"/>
      <c r="K12575" s="1063"/>
      <c r="L12575" s="1063"/>
    </row>
    <row r="12576" spans="5:12" x14ac:dyDescent="0.2">
      <c r="E12576" s="1063"/>
      <c r="H12576" s="1066"/>
      <c r="I12576" s="1063"/>
      <c r="J12576" s="1063"/>
      <c r="K12576" s="1063"/>
      <c r="L12576" s="1063"/>
    </row>
    <row r="12577" spans="5:12" x14ac:dyDescent="0.2">
      <c r="E12577" s="1063"/>
      <c r="H12577" s="1066"/>
      <c r="I12577" s="1063"/>
      <c r="J12577" s="1063"/>
      <c r="K12577" s="1063"/>
      <c r="L12577" s="1063"/>
    </row>
    <row r="12578" spans="5:12" x14ac:dyDescent="0.2">
      <c r="E12578" s="1063"/>
      <c r="H12578" s="1066"/>
      <c r="I12578" s="1063"/>
      <c r="J12578" s="1063"/>
      <c r="K12578" s="1063"/>
      <c r="L12578" s="1063"/>
    </row>
    <row r="12579" spans="5:12" x14ac:dyDescent="0.2">
      <c r="E12579" s="1063"/>
      <c r="H12579" s="1066"/>
      <c r="I12579" s="1063"/>
      <c r="J12579" s="1063"/>
      <c r="K12579" s="1063"/>
      <c r="L12579" s="1063"/>
    </row>
    <row r="12580" spans="5:12" x14ac:dyDescent="0.2">
      <c r="E12580" s="1063"/>
      <c r="H12580" s="1066"/>
      <c r="I12580" s="1063"/>
      <c r="J12580" s="1063"/>
      <c r="K12580" s="1063"/>
      <c r="L12580" s="1063"/>
    </row>
    <row r="12581" spans="5:12" x14ac:dyDescent="0.2">
      <c r="E12581" s="1063"/>
      <c r="H12581" s="1066"/>
      <c r="I12581" s="1063"/>
      <c r="J12581" s="1063"/>
      <c r="K12581" s="1063"/>
      <c r="L12581" s="1063"/>
    </row>
    <row r="12582" spans="5:12" x14ac:dyDescent="0.2">
      <c r="E12582" s="1063"/>
      <c r="H12582" s="1066"/>
      <c r="I12582" s="1063"/>
      <c r="J12582" s="1063"/>
      <c r="K12582" s="1063"/>
      <c r="L12582" s="1063"/>
    </row>
    <row r="12583" spans="5:12" x14ac:dyDescent="0.2">
      <c r="E12583" s="1063"/>
      <c r="H12583" s="1066"/>
      <c r="I12583" s="1063"/>
      <c r="J12583" s="1063"/>
      <c r="K12583" s="1063"/>
      <c r="L12583" s="1063"/>
    </row>
    <row r="12584" spans="5:12" x14ac:dyDescent="0.2">
      <c r="E12584" s="1063"/>
      <c r="H12584" s="1066"/>
      <c r="I12584" s="1063"/>
      <c r="J12584" s="1063"/>
      <c r="K12584" s="1063"/>
      <c r="L12584" s="1063"/>
    </row>
    <row r="12585" spans="5:12" x14ac:dyDescent="0.2">
      <c r="E12585" s="1063"/>
      <c r="H12585" s="1066"/>
      <c r="I12585" s="1063"/>
      <c r="J12585" s="1063"/>
      <c r="K12585" s="1063"/>
      <c r="L12585" s="1063"/>
    </row>
    <row r="12586" spans="5:12" x14ac:dyDescent="0.2">
      <c r="E12586" s="1063"/>
      <c r="H12586" s="1066"/>
      <c r="I12586" s="1063"/>
      <c r="J12586" s="1063"/>
      <c r="K12586" s="1063"/>
      <c r="L12586" s="1063"/>
    </row>
    <row r="12587" spans="5:12" x14ac:dyDescent="0.2">
      <c r="E12587" s="1063"/>
      <c r="H12587" s="1066"/>
      <c r="I12587" s="1063"/>
      <c r="J12587" s="1063"/>
      <c r="K12587" s="1063"/>
      <c r="L12587" s="1063"/>
    </row>
    <row r="12588" spans="5:12" x14ac:dyDescent="0.2">
      <c r="E12588" s="1063"/>
      <c r="H12588" s="1066"/>
      <c r="I12588" s="1063"/>
      <c r="J12588" s="1063"/>
      <c r="K12588" s="1063"/>
      <c r="L12588" s="1063"/>
    </row>
    <row r="12589" spans="5:12" x14ac:dyDescent="0.2">
      <c r="E12589" s="1063"/>
      <c r="H12589" s="1066"/>
      <c r="I12589" s="1063"/>
      <c r="J12589" s="1063"/>
      <c r="K12589" s="1063"/>
      <c r="L12589" s="1063"/>
    </row>
    <row r="12590" spans="5:12" x14ac:dyDescent="0.2">
      <c r="E12590" s="1063"/>
      <c r="H12590" s="1066"/>
      <c r="I12590" s="1063"/>
      <c r="J12590" s="1063"/>
      <c r="K12590" s="1063"/>
      <c r="L12590" s="1063"/>
    </row>
    <row r="12591" spans="5:12" x14ac:dyDescent="0.2">
      <c r="E12591" s="1063"/>
      <c r="H12591" s="1066"/>
      <c r="I12591" s="1063"/>
      <c r="J12591" s="1063"/>
      <c r="K12591" s="1063"/>
      <c r="L12591" s="1063"/>
    </row>
    <row r="12592" spans="5:12" x14ac:dyDescent="0.2">
      <c r="E12592" s="1063"/>
      <c r="H12592" s="1066"/>
      <c r="I12592" s="1063"/>
      <c r="J12592" s="1063"/>
      <c r="K12592" s="1063"/>
      <c r="L12592" s="1063"/>
    </row>
    <row r="12593" spans="5:12" x14ac:dyDescent="0.2">
      <c r="E12593" s="1063"/>
      <c r="H12593" s="1066"/>
      <c r="I12593" s="1063"/>
      <c r="J12593" s="1063"/>
      <c r="K12593" s="1063"/>
      <c r="L12593" s="1063"/>
    </row>
    <row r="12594" spans="5:12" x14ac:dyDescent="0.2">
      <c r="E12594" s="1063"/>
      <c r="H12594" s="1066"/>
      <c r="I12594" s="1063"/>
      <c r="J12594" s="1063"/>
      <c r="K12594" s="1063"/>
      <c r="L12594" s="1063"/>
    </row>
    <row r="12595" spans="5:12" x14ac:dyDescent="0.2">
      <c r="E12595" s="1063"/>
      <c r="H12595" s="1066"/>
      <c r="I12595" s="1063"/>
      <c r="J12595" s="1063"/>
      <c r="K12595" s="1063"/>
      <c r="L12595" s="1063"/>
    </row>
    <row r="12596" spans="5:12" x14ac:dyDescent="0.2">
      <c r="E12596" s="1063"/>
      <c r="H12596" s="1066"/>
      <c r="I12596" s="1063"/>
      <c r="J12596" s="1063"/>
      <c r="K12596" s="1063"/>
      <c r="L12596" s="1063"/>
    </row>
    <row r="12597" spans="5:12" x14ac:dyDescent="0.2">
      <c r="E12597" s="1063"/>
      <c r="H12597" s="1066"/>
      <c r="I12597" s="1063"/>
      <c r="J12597" s="1063"/>
      <c r="K12597" s="1063"/>
      <c r="L12597" s="1063"/>
    </row>
    <row r="12598" spans="5:12" x14ac:dyDescent="0.2">
      <c r="E12598" s="1063"/>
      <c r="H12598" s="1066"/>
      <c r="I12598" s="1063"/>
      <c r="J12598" s="1063"/>
      <c r="K12598" s="1063"/>
      <c r="L12598" s="1063"/>
    </row>
    <row r="12599" spans="5:12" x14ac:dyDescent="0.2">
      <c r="E12599" s="1063"/>
      <c r="H12599" s="1066"/>
      <c r="I12599" s="1063"/>
      <c r="J12599" s="1063"/>
      <c r="K12599" s="1063"/>
      <c r="L12599" s="1063"/>
    </row>
    <row r="12600" spans="5:12" x14ac:dyDescent="0.2">
      <c r="E12600" s="1063"/>
      <c r="H12600" s="1066"/>
      <c r="I12600" s="1063"/>
      <c r="J12600" s="1063"/>
      <c r="K12600" s="1063"/>
      <c r="L12600" s="1063"/>
    </row>
    <row r="12601" spans="5:12" x14ac:dyDescent="0.2">
      <c r="E12601" s="1063"/>
      <c r="H12601" s="1066"/>
      <c r="I12601" s="1063"/>
      <c r="J12601" s="1063"/>
      <c r="K12601" s="1063"/>
      <c r="L12601" s="1063"/>
    </row>
    <row r="12602" spans="5:12" x14ac:dyDescent="0.2">
      <c r="E12602" s="1063"/>
      <c r="H12602" s="1066"/>
      <c r="I12602" s="1063"/>
      <c r="J12602" s="1063"/>
      <c r="K12602" s="1063"/>
      <c r="L12602" s="1063"/>
    </row>
    <row r="12603" spans="5:12" x14ac:dyDescent="0.2">
      <c r="E12603" s="1063"/>
      <c r="H12603" s="1066"/>
      <c r="I12603" s="1063"/>
      <c r="J12603" s="1063"/>
      <c r="K12603" s="1063"/>
      <c r="L12603" s="1063"/>
    </row>
    <row r="12604" spans="5:12" x14ac:dyDescent="0.2">
      <c r="E12604" s="1063"/>
      <c r="H12604" s="1066"/>
      <c r="I12604" s="1063"/>
      <c r="J12604" s="1063"/>
      <c r="K12604" s="1063"/>
      <c r="L12604" s="1063"/>
    </row>
    <row r="12605" spans="5:12" x14ac:dyDescent="0.2">
      <c r="E12605" s="1063"/>
      <c r="H12605" s="1066"/>
      <c r="I12605" s="1063"/>
      <c r="J12605" s="1063"/>
      <c r="K12605" s="1063"/>
      <c r="L12605" s="1063"/>
    </row>
    <row r="12606" spans="5:12" x14ac:dyDescent="0.2">
      <c r="E12606" s="1063"/>
      <c r="H12606" s="1066"/>
      <c r="I12606" s="1063"/>
      <c r="J12606" s="1063"/>
      <c r="K12606" s="1063"/>
      <c r="L12606" s="1063"/>
    </row>
    <row r="12607" spans="5:12" x14ac:dyDescent="0.2">
      <c r="E12607" s="1063"/>
      <c r="H12607" s="1066"/>
      <c r="I12607" s="1063"/>
      <c r="J12607" s="1063"/>
      <c r="K12607" s="1063"/>
      <c r="L12607" s="1063"/>
    </row>
    <row r="12608" spans="5:12" x14ac:dyDescent="0.2">
      <c r="E12608" s="1063"/>
      <c r="H12608" s="1066"/>
      <c r="I12608" s="1063"/>
      <c r="J12608" s="1063"/>
      <c r="K12608" s="1063"/>
      <c r="L12608" s="1063"/>
    </row>
    <row r="12609" spans="5:12" x14ac:dyDescent="0.2">
      <c r="E12609" s="1063"/>
      <c r="H12609" s="1066"/>
      <c r="I12609" s="1063"/>
      <c r="J12609" s="1063"/>
      <c r="K12609" s="1063"/>
      <c r="L12609" s="1063"/>
    </row>
    <row r="12610" spans="5:12" x14ac:dyDescent="0.2">
      <c r="E12610" s="1063"/>
      <c r="H12610" s="1066"/>
      <c r="I12610" s="1063"/>
      <c r="J12610" s="1063"/>
      <c r="K12610" s="1063"/>
      <c r="L12610" s="1063"/>
    </row>
    <row r="12611" spans="5:12" x14ac:dyDescent="0.2">
      <c r="E12611" s="1063"/>
      <c r="H12611" s="1066"/>
      <c r="I12611" s="1063"/>
      <c r="J12611" s="1063"/>
      <c r="K12611" s="1063"/>
      <c r="L12611" s="1063"/>
    </row>
    <row r="12612" spans="5:12" x14ac:dyDescent="0.2">
      <c r="E12612" s="1063"/>
      <c r="H12612" s="1066"/>
      <c r="I12612" s="1063"/>
      <c r="J12612" s="1063"/>
      <c r="K12612" s="1063"/>
      <c r="L12612" s="1063"/>
    </row>
    <row r="12613" spans="5:12" x14ac:dyDescent="0.2">
      <c r="E12613" s="1063"/>
      <c r="H12613" s="1066"/>
      <c r="I12613" s="1063"/>
      <c r="J12613" s="1063"/>
      <c r="K12613" s="1063"/>
      <c r="L12613" s="1063"/>
    </row>
    <row r="12614" spans="5:12" x14ac:dyDescent="0.2">
      <c r="E12614" s="1063"/>
      <c r="H12614" s="1066"/>
      <c r="I12614" s="1063"/>
      <c r="J12614" s="1063"/>
      <c r="K12614" s="1063"/>
      <c r="L12614" s="1063"/>
    </row>
    <row r="12615" spans="5:12" x14ac:dyDescent="0.2">
      <c r="E12615" s="1063"/>
      <c r="H12615" s="1066"/>
      <c r="I12615" s="1063"/>
      <c r="J12615" s="1063"/>
      <c r="K12615" s="1063"/>
      <c r="L12615" s="1063"/>
    </row>
    <row r="12616" spans="5:12" x14ac:dyDescent="0.2">
      <c r="E12616" s="1063"/>
      <c r="H12616" s="1066"/>
      <c r="I12616" s="1063"/>
      <c r="J12616" s="1063"/>
      <c r="K12616" s="1063"/>
      <c r="L12616" s="1063"/>
    </row>
    <row r="12617" spans="5:12" x14ac:dyDescent="0.2">
      <c r="E12617" s="1063"/>
      <c r="H12617" s="1066"/>
      <c r="I12617" s="1063"/>
      <c r="J12617" s="1063"/>
      <c r="K12617" s="1063"/>
      <c r="L12617" s="1063"/>
    </row>
    <row r="12618" spans="5:12" x14ac:dyDescent="0.2">
      <c r="E12618" s="1063"/>
      <c r="H12618" s="1066"/>
      <c r="I12618" s="1063"/>
      <c r="J12618" s="1063"/>
      <c r="K12618" s="1063"/>
      <c r="L12618" s="1063"/>
    </row>
    <row r="12619" spans="5:12" x14ac:dyDescent="0.2">
      <c r="E12619" s="1063"/>
      <c r="H12619" s="1066"/>
      <c r="I12619" s="1063"/>
      <c r="J12619" s="1063"/>
      <c r="K12619" s="1063"/>
      <c r="L12619" s="1063"/>
    </row>
    <row r="12620" spans="5:12" x14ac:dyDescent="0.2">
      <c r="E12620" s="1063"/>
      <c r="H12620" s="1066"/>
      <c r="I12620" s="1063"/>
      <c r="J12620" s="1063"/>
      <c r="K12620" s="1063"/>
      <c r="L12620" s="1063"/>
    </row>
    <row r="12621" spans="5:12" x14ac:dyDescent="0.2">
      <c r="E12621" s="1063"/>
      <c r="H12621" s="1066"/>
      <c r="I12621" s="1063"/>
      <c r="J12621" s="1063"/>
      <c r="K12621" s="1063"/>
      <c r="L12621" s="1063"/>
    </row>
    <row r="12622" spans="5:12" x14ac:dyDescent="0.2">
      <c r="E12622" s="1063"/>
      <c r="H12622" s="1066"/>
      <c r="I12622" s="1063"/>
      <c r="J12622" s="1063"/>
      <c r="K12622" s="1063"/>
      <c r="L12622" s="1063"/>
    </row>
    <row r="12623" spans="5:12" x14ac:dyDescent="0.2">
      <c r="E12623" s="1063"/>
      <c r="H12623" s="1066"/>
      <c r="I12623" s="1063"/>
      <c r="J12623" s="1063"/>
      <c r="K12623" s="1063"/>
      <c r="L12623" s="1063"/>
    </row>
    <row r="12624" spans="5:12" x14ac:dyDescent="0.2">
      <c r="E12624" s="1063"/>
      <c r="H12624" s="1066"/>
      <c r="I12624" s="1063"/>
      <c r="J12624" s="1063"/>
      <c r="K12624" s="1063"/>
      <c r="L12624" s="1063"/>
    </row>
    <row r="12625" spans="5:12" x14ac:dyDescent="0.2">
      <c r="E12625" s="1063"/>
      <c r="H12625" s="1066"/>
      <c r="I12625" s="1063"/>
      <c r="J12625" s="1063"/>
      <c r="K12625" s="1063"/>
      <c r="L12625" s="1063"/>
    </row>
    <row r="12626" spans="5:12" x14ac:dyDescent="0.2">
      <c r="E12626" s="1063"/>
      <c r="H12626" s="1066"/>
      <c r="I12626" s="1063"/>
      <c r="J12626" s="1063"/>
      <c r="K12626" s="1063"/>
      <c r="L12626" s="1063"/>
    </row>
    <row r="12627" spans="5:12" x14ac:dyDescent="0.2">
      <c r="E12627" s="1063"/>
      <c r="H12627" s="1066"/>
      <c r="I12627" s="1063"/>
      <c r="J12627" s="1063"/>
      <c r="K12627" s="1063"/>
      <c r="L12627" s="1063"/>
    </row>
    <row r="12628" spans="5:12" x14ac:dyDescent="0.2">
      <c r="E12628" s="1063"/>
      <c r="H12628" s="1066"/>
      <c r="I12628" s="1063"/>
      <c r="J12628" s="1063"/>
      <c r="K12628" s="1063"/>
      <c r="L12628" s="1063"/>
    </row>
    <row r="12629" spans="5:12" x14ac:dyDescent="0.2">
      <c r="E12629" s="1063"/>
      <c r="H12629" s="1066"/>
      <c r="I12629" s="1063"/>
      <c r="J12629" s="1063"/>
      <c r="K12629" s="1063"/>
      <c r="L12629" s="1063"/>
    </row>
    <row r="12630" spans="5:12" x14ac:dyDescent="0.2">
      <c r="E12630" s="1063"/>
      <c r="H12630" s="1066"/>
      <c r="I12630" s="1063"/>
      <c r="J12630" s="1063"/>
      <c r="K12630" s="1063"/>
      <c r="L12630" s="1063"/>
    </row>
    <row r="12631" spans="5:12" x14ac:dyDescent="0.2">
      <c r="E12631" s="1063"/>
      <c r="H12631" s="1066"/>
      <c r="I12631" s="1063"/>
      <c r="J12631" s="1063"/>
      <c r="K12631" s="1063"/>
      <c r="L12631" s="1063"/>
    </row>
    <row r="12632" spans="5:12" x14ac:dyDescent="0.2">
      <c r="E12632" s="1063"/>
      <c r="H12632" s="1066"/>
      <c r="I12632" s="1063"/>
      <c r="J12632" s="1063"/>
      <c r="K12632" s="1063"/>
      <c r="L12632" s="1063"/>
    </row>
    <row r="12633" spans="5:12" x14ac:dyDescent="0.2">
      <c r="E12633" s="1063"/>
      <c r="H12633" s="1066"/>
      <c r="I12633" s="1063"/>
      <c r="J12633" s="1063"/>
      <c r="K12633" s="1063"/>
      <c r="L12633" s="1063"/>
    </row>
    <row r="12634" spans="5:12" x14ac:dyDescent="0.2">
      <c r="E12634" s="1063"/>
      <c r="H12634" s="1066"/>
      <c r="I12634" s="1063"/>
      <c r="J12634" s="1063"/>
      <c r="K12634" s="1063"/>
      <c r="L12634" s="1063"/>
    </row>
    <row r="12635" spans="5:12" x14ac:dyDescent="0.2">
      <c r="E12635" s="1063"/>
      <c r="H12635" s="1066"/>
      <c r="I12635" s="1063"/>
      <c r="J12635" s="1063"/>
      <c r="K12635" s="1063"/>
      <c r="L12635" s="1063"/>
    </row>
    <row r="12636" spans="5:12" x14ac:dyDescent="0.2">
      <c r="E12636" s="1063"/>
      <c r="H12636" s="1066"/>
      <c r="I12636" s="1063"/>
      <c r="J12636" s="1063"/>
      <c r="K12636" s="1063"/>
      <c r="L12636" s="1063"/>
    </row>
    <row r="12637" spans="5:12" x14ac:dyDescent="0.2">
      <c r="E12637" s="1063"/>
      <c r="H12637" s="1066"/>
      <c r="I12637" s="1063"/>
      <c r="J12637" s="1063"/>
      <c r="K12637" s="1063"/>
      <c r="L12637" s="1063"/>
    </row>
    <row r="12638" spans="5:12" x14ac:dyDescent="0.2">
      <c r="E12638" s="1063"/>
      <c r="H12638" s="1066"/>
      <c r="I12638" s="1063"/>
      <c r="J12638" s="1063"/>
      <c r="K12638" s="1063"/>
      <c r="L12638" s="1063"/>
    </row>
    <row r="12639" spans="5:12" x14ac:dyDescent="0.2">
      <c r="E12639" s="1063"/>
      <c r="H12639" s="1066"/>
      <c r="I12639" s="1063"/>
      <c r="J12639" s="1063"/>
      <c r="K12639" s="1063"/>
      <c r="L12639" s="1063"/>
    </row>
    <row r="12640" spans="5:12" x14ac:dyDescent="0.2">
      <c r="E12640" s="1063"/>
      <c r="H12640" s="1066"/>
      <c r="I12640" s="1063"/>
      <c r="J12640" s="1063"/>
      <c r="K12640" s="1063"/>
      <c r="L12640" s="1063"/>
    </row>
    <row r="12641" spans="5:12" x14ac:dyDescent="0.2">
      <c r="E12641" s="1063"/>
      <c r="H12641" s="1066"/>
      <c r="I12641" s="1063"/>
      <c r="J12641" s="1063"/>
      <c r="K12641" s="1063"/>
      <c r="L12641" s="1063"/>
    </row>
    <row r="12642" spans="5:12" x14ac:dyDescent="0.2">
      <c r="E12642" s="1063"/>
      <c r="H12642" s="1066"/>
      <c r="I12642" s="1063"/>
      <c r="J12642" s="1063"/>
      <c r="K12642" s="1063"/>
      <c r="L12642" s="1063"/>
    </row>
    <row r="12643" spans="5:12" x14ac:dyDescent="0.2">
      <c r="E12643" s="1063"/>
      <c r="H12643" s="1066"/>
      <c r="I12643" s="1063"/>
      <c r="J12643" s="1063"/>
      <c r="K12643" s="1063"/>
      <c r="L12643" s="1063"/>
    </row>
    <row r="12644" spans="5:12" x14ac:dyDescent="0.2">
      <c r="E12644" s="1063"/>
      <c r="H12644" s="1066"/>
      <c r="I12644" s="1063"/>
      <c r="J12644" s="1063"/>
      <c r="K12644" s="1063"/>
      <c r="L12644" s="1063"/>
    </row>
    <row r="12645" spans="5:12" x14ac:dyDescent="0.2">
      <c r="E12645" s="1063"/>
      <c r="H12645" s="1066"/>
      <c r="I12645" s="1063"/>
      <c r="J12645" s="1063"/>
      <c r="K12645" s="1063"/>
      <c r="L12645" s="1063"/>
    </row>
    <row r="12646" spans="5:12" x14ac:dyDescent="0.2">
      <c r="E12646" s="1063"/>
      <c r="H12646" s="1066"/>
      <c r="I12646" s="1063"/>
      <c r="J12646" s="1063"/>
      <c r="K12646" s="1063"/>
      <c r="L12646" s="1063"/>
    </row>
    <row r="12647" spans="5:12" x14ac:dyDescent="0.2">
      <c r="E12647" s="1063"/>
      <c r="H12647" s="1066"/>
      <c r="I12647" s="1063"/>
      <c r="J12647" s="1063"/>
      <c r="K12647" s="1063"/>
      <c r="L12647" s="1063"/>
    </row>
    <row r="12648" spans="5:12" x14ac:dyDescent="0.2">
      <c r="E12648" s="1063"/>
      <c r="H12648" s="1066"/>
      <c r="I12648" s="1063"/>
      <c r="J12648" s="1063"/>
      <c r="K12648" s="1063"/>
      <c r="L12648" s="1063"/>
    </row>
    <row r="12649" spans="5:12" x14ac:dyDescent="0.2">
      <c r="E12649" s="1063"/>
      <c r="H12649" s="1066"/>
      <c r="I12649" s="1063"/>
      <c r="J12649" s="1063"/>
      <c r="K12649" s="1063"/>
      <c r="L12649" s="1063"/>
    </row>
    <row r="12650" spans="5:12" x14ac:dyDescent="0.2">
      <c r="E12650" s="1063"/>
      <c r="H12650" s="1066"/>
      <c r="I12650" s="1063"/>
      <c r="J12650" s="1063"/>
      <c r="K12650" s="1063"/>
      <c r="L12650" s="1063"/>
    </row>
    <row r="12651" spans="5:12" x14ac:dyDescent="0.2">
      <c r="E12651" s="1063"/>
      <c r="H12651" s="1066"/>
      <c r="I12651" s="1063"/>
      <c r="J12651" s="1063"/>
      <c r="K12651" s="1063"/>
      <c r="L12651" s="1063"/>
    </row>
    <row r="12652" spans="5:12" x14ac:dyDescent="0.2">
      <c r="E12652" s="1063"/>
      <c r="H12652" s="1066"/>
      <c r="I12652" s="1063"/>
      <c r="J12652" s="1063"/>
      <c r="K12652" s="1063"/>
      <c r="L12652" s="1063"/>
    </row>
    <row r="12653" spans="5:12" x14ac:dyDescent="0.2">
      <c r="E12653" s="1063"/>
      <c r="H12653" s="1066"/>
      <c r="I12653" s="1063"/>
      <c r="J12653" s="1063"/>
      <c r="K12653" s="1063"/>
      <c r="L12653" s="1063"/>
    </row>
    <row r="12654" spans="5:12" x14ac:dyDescent="0.2">
      <c r="E12654" s="1063"/>
      <c r="H12654" s="1066"/>
      <c r="I12654" s="1063"/>
      <c r="J12654" s="1063"/>
      <c r="K12654" s="1063"/>
      <c r="L12654" s="1063"/>
    </row>
    <row r="12655" spans="5:12" x14ac:dyDescent="0.2">
      <c r="E12655" s="1063"/>
      <c r="H12655" s="1066"/>
      <c r="I12655" s="1063"/>
      <c r="J12655" s="1063"/>
      <c r="K12655" s="1063"/>
      <c r="L12655" s="1063"/>
    </row>
    <row r="12656" spans="5:12" x14ac:dyDescent="0.2">
      <c r="E12656" s="1063"/>
      <c r="H12656" s="1066"/>
      <c r="I12656" s="1063"/>
      <c r="J12656" s="1063"/>
      <c r="K12656" s="1063"/>
      <c r="L12656" s="1063"/>
    </row>
    <row r="12657" spans="5:12" x14ac:dyDescent="0.2">
      <c r="E12657" s="1063"/>
      <c r="H12657" s="1066"/>
      <c r="I12657" s="1063"/>
      <c r="J12657" s="1063"/>
      <c r="K12657" s="1063"/>
      <c r="L12657" s="1063"/>
    </row>
    <row r="12658" spans="5:12" x14ac:dyDescent="0.2">
      <c r="E12658" s="1063"/>
      <c r="H12658" s="1066"/>
      <c r="I12658" s="1063"/>
      <c r="J12658" s="1063"/>
      <c r="K12658" s="1063"/>
      <c r="L12658" s="1063"/>
    </row>
    <row r="12659" spans="5:12" x14ac:dyDescent="0.2">
      <c r="E12659" s="1063"/>
      <c r="H12659" s="1066"/>
      <c r="I12659" s="1063"/>
      <c r="J12659" s="1063"/>
      <c r="K12659" s="1063"/>
      <c r="L12659" s="1063"/>
    </row>
    <row r="12660" spans="5:12" x14ac:dyDescent="0.2">
      <c r="E12660" s="1063"/>
      <c r="H12660" s="1066"/>
      <c r="I12660" s="1063"/>
      <c r="J12660" s="1063"/>
      <c r="K12660" s="1063"/>
      <c r="L12660" s="1063"/>
    </row>
    <row r="12661" spans="5:12" x14ac:dyDescent="0.2">
      <c r="E12661" s="1063"/>
      <c r="H12661" s="1066"/>
      <c r="I12661" s="1063"/>
      <c r="J12661" s="1063"/>
      <c r="K12661" s="1063"/>
      <c r="L12661" s="1063"/>
    </row>
    <row r="12662" spans="5:12" x14ac:dyDescent="0.2">
      <c r="E12662" s="1063"/>
      <c r="H12662" s="1066"/>
      <c r="I12662" s="1063"/>
      <c r="J12662" s="1063"/>
      <c r="K12662" s="1063"/>
      <c r="L12662" s="1063"/>
    </row>
    <row r="12663" spans="5:12" x14ac:dyDescent="0.2">
      <c r="E12663" s="1063"/>
      <c r="H12663" s="1066"/>
      <c r="I12663" s="1063"/>
      <c r="J12663" s="1063"/>
      <c r="K12663" s="1063"/>
      <c r="L12663" s="1063"/>
    </row>
    <row r="12664" spans="5:12" x14ac:dyDescent="0.2">
      <c r="E12664" s="1063"/>
      <c r="H12664" s="1066"/>
      <c r="I12664" s="1063"/>
      <c r="J12664" s="1063"/>
      <c r="K12664" s="1063"/>
      <c r="L12664" s="1063"/>
    </row>
    <row r="12665" spans="5:12" x14ac:dyDescent="0.2">
      <c r="E12665" s="1063"/>
      <c r="H12665" s="1066"/>
      <c r="I12665" s="1063"/>
      <c r="J12665" s="1063"/>
      <c r="K12665" s="1063"/>
      <c r="L12665" s="1063"/>
    </row>
    <row r="12666" spans="5:12" x14ac:dyDescent="0.2">
      <c r="E12666" s="1063"/>
      <c r="H12666" s="1066"/>
      <c r="I12666" s="1063"/>
      <c r="J12666" s="1063"/>
      <c r="K12666" s="1063"/>
      <c r="L12666" s="1063"/>
    </row>
    <row r="12667" spans="5:12" x14ac:dyDescent="0.2">
      <c r="E12667" s="1063"/>
      <c r="H12667" s="1066"/>
      <c r="I12667" s="1063"/>
      <c r="J12667" s="1063"/>
      <c r="K12667" s="1063"/>
      <c r="L12667" s="1063"/>
    </row>
    <row r="12668" spans="5:12" x14ac:dyDescent="0.2">
      <c r="E12668" s="1063"/>
      <c r="H12668" s="1066"/>
      <c r="I12668" s="1063"/>
      <c r="J12668" s="1063"/>
      <c r="K12668" s="1063"/>
      <c r="L12668" s="1063"/>
    </row>
    <row r="12669" spans="5:12" x14ac:dyDescent="0.2">
      <c r="E12669" s="1063"/>
      <c r="H12669" s="1066"/>
      <c r="I12669" s="1063"/>
      <c r="J12669" s="1063"/>
      <c r="K12669" s="1063"/>
      <c r="L12669" s="1063"/>
    </row>
    <row r="12670" spans="5:12" x14ac:dyDescent="0.2">
      <c r="E12670" s="1063"/>
      <c r="H12670" s="1066"/>
      <c r="I12670" s="1063"/>
      <c r="J12670" s="1063"/>
      <c r="K12670" s="1063"/>
      <c r="L12670" s="1063"/>
    </row>
    <row r="12671" spans="5:12" x14ac:dyDescent="0.2">
      <c r="E12671" s="1063"/>
      <c r="H12671" s="1066"/>
      <c r="I12671" s="1063"/>
      <c r="J12671" s="1063"/>
      <c r="K12671" s="1063"/>
      <c r="L12671" s="1063"/>
    </row>
    <row r="12672" spans="5:12" x14ac:dyDescent="0.2">
      <c r="E12672" s="1063"/>
      <c r="H12672" s="1066"/>
      <c r="I12672" s="1063"/>
      <c r="J12672" s="1063"/>
      <c r="K12672" s="1063"/>
      <c r="L12672" s="1063"/>
    </row>
    <row r="12673" spans="5:12" x14ac:dyDescent="0.2">
      <c r="E12673" s="1063"/>
      <c r="H12673" s="1066"/>
      <c r="I12673" s="1063"/>
      <c r="J12673" s="1063"/>
      <c r="K12673" s="1063"/>
      <c r="L12673" s="1063"/>
    </row>
    <row r="12674" spans="5:12" x14ac:dyDescent="0.2">
      <c r="E12674" s="1063"/>
      <c r="H12674" s="1066"/>
      <c r="I12674" s="1063"/>
      <c r="J12674" s="1063"/>
      <c r="K12674" s="1063"/>
      <c r="L12674" s="1063"/>
    </row>
    <row r="12675" spans="5:12" x14ac:dyDescent="0.2">
      <c r="E12675" s="1063"/>
      <c r="H12675" s="1066"/>
      <c r="I12675" s="1063"/>
      <c r="J12675" s="1063"/>
      <c r="K12675" s="1063"/>
      <c r="L12675" s="1063"/>
    </row>
    <row r="12676" spans="5:12" x14ac:dyDescent="0.2">
      <c r="E12676" s="1063"/>
      <c r="H12676" s="1066"/>
      <c r="I12676" s="1063"/>
      <c r="J12676" s="1063"/>
      <c r="K12676" s="1063"/>
      <c r="L12676" s="1063"/>
    </row>
    <row r="12677" spans="5:12" x14ac:dyDescent="0.2">
      <c r="E12677" s="1063"/>
      <c r="H12677" s="1066"/>
      <c r="I12677" s="1063"/>
      <c r="J12677" s="1063"/>
      <c r="K12677" s="1063"/>
      <c r="L12677" s="1063"/>
    </row>
    <row r="12678" spans="5:12" x14ac:dyDescent="0.2">
      <c r="E12678" s="1063"/>
      <c r="H12678" s="1066"/>
      <c r="I12678" s="1063"/>
      <c r="J12678" s="1063"/>
      <c r="K12678" s="1063"/>
      <c r="L12678" s="1063"/>
    </row>
    <row r="12679" spans="5:12" x14ac:dyDescent="0.2">
      <c r="E12679" s="1063"/>
      <c r="H12679" s="1066"/>
      <c r="I12679" s="1063"/>
      <c r="J12679" s="1063"/>
      <c r="K12679" s="1063"/>
      <c r="L12679" s="1063"/>
    </row>
    <row r="12680" spans="5:12" x14ac:dyDescent="0.2">
      <c r="E12680" s="1063"/>
      <c r="H12680" s="1066"/>
      <c r="I12680" s="1063"/>
      <c r="J12680" s="1063"/>
      <c r="K12680" s="1063"/>
      <c r="L12680" s="1063"/>
    </row>
    <row r="12681" spans="5:12" x14ac:dyDescent="0.2">
      <c r="E12681" s="1063"/>
      <c r="H12681" s="1066"/>
      <c r="I12681" s="1063"/>
      <c r="J12681" s="1063"/>
      <c r="K12681" s="1063"/>
      <c r="L12681" s="1063"/>
    </row>
    <row r="12682" spans="5:12" x14ac:dyDescent="0.2">
      <c r="E12682" s="1063"/>
      <c r="H12682" s="1066"/>
      <c r="I12682" s="1063"/>
      <c r="J12682" s="1063"/>
      <c r="K12682" s="1063"/>
      <c r="L12682" s="1063"/>
    </row>
    <row r="12683" spans="5:12" x14ac:dyDescent="0.2">
      <c r="E12683" s="1063"/>
      <c r="H12683" s="1066"/>
      <c r="I12683" s="1063"/>
      <c r="J12683" s="1063"/>
      <c r="K12683" s="1063"/>
      <c r="L12683" s="1063"/>
    </row>
    <row r="12684" spans="5:12" x14ac:dyDescent="0.2">
      <c r="E12684" s="1063"/>
      <c r="H12684" s="1066"/>
      <c r="I12684" s="1063"/>
      <c r="J12684" s="1063"/>
      <c r="K12684" s="1063"/>
      <c r="L12684" s="1063"/>
    </row>
    <row r="12685" spans="5:12" x14ac:dyDescent="0.2">
      <c r="E12685" s="1063"/>
      <c r="H12685" s="1066"/>
      <c r="I12685" s="1063"/>
      <c r="J12685" s="1063"/>
      <c r="K12685" s="1063"/>
      <c r="L12685" s="1063"/>
    </row>
    <row r="12686" spans="5:12" x14ac:dyDescent="0.2">
      <c r="E12686" s="1063"/>
      <c r="H12686" s="1066"/>
      <c r="I12686" s="1063"/>
      <c r="J12686" s="1063"/>
      <c r="K12686" s="1063"/>
      <c r="L12686" s="1063"/>
    </row>
    <row r="12687" spans="5:12" x14ac:dyDescent="0.2">
      <c r="E12687" s="1063"/>
      <c r="H12687" s="1066"/>
      <c r="I12687" s="1063"/>
      <c r="J12687" s="1063"/>
      <c r="K12687" s="1063"/>
      <c r="L12687" s="1063"/>
    </row>
    <row r="12688" spans="5:12" x14ac:dyDescent="0.2">
      <c r="E12688" s="1063"/>
      <c r="H12688" s="1066"/>
      <c r="I12688" s="1063"/>
      <c r="J12688" s="1063"/>
      <c r="K12688" s="1063"/>
      <c r="L12688" s="1063"/>
    </row>
    <row r="12689" spans="5:12" x14ac:dyDescent="0.2">
      <c r="E12689" s="1063"/>
      <c r="H12689" s="1066"/>
      <c r="I12689" s="1063"/>
      <c r="J12689" s="1063"/>
      <c r="K12689" s="1063"/>
      <c r="L12689" s="1063"/>
    </row>
    <row r="12690" spans="5:12" x14ac:dyDescent="0.2">
      <c r="E12690" s="1063"/>
      <c r="H12690" s="1066"/>
      <c r="I12690" s="1063"/>
      <c r="J12690" s="1063"/>
      <c r="K12690" s="1063"/>
      <c r="L12690" s="1063"/>
    </row>
    <row r="12691" spans="5:12" x14ac:dyDescent="0.2">
      <c r="E12691" s="1063"/>
      <c r="H12691" s="1066"/>
      <c r="I12691" s="1063"/>
      <c r="J12691" s="1063"/>
      <c r="K12691" s="1063"/>
      <c r="L12691" s="1063"/>
    </row>
    <row r="12692" spans="5:12" x14ac:dyDescent="0.2">
      <c r="E12692" s="1063"/>
      <c r="H12692" s="1066"/>
      <c r="I12692" s="1063"/>
      <c r="J12692" s="1063"/>
      <c r="K12692" s="1063"/>
      <c r="L12692" s="1063"/>
    </row>
    <row r="12693" spans="5:12" x14ac:dyDescent="0.2">
      <c r="E12693" s="1063"/>
      <c r="H12693" s="1066"/>
      <c r="I12693" s="1063"/>
      <c r="J12693" s="1063"/>
      <c r="K12693" s="1063"/>
      <c r="L12693" s="1063"/>
    </row>
    <row r="12694" spans="5:12" x14ac:dyDescent="0.2">
      <c r="E12694" s="1063"/>
      <c r="H12694" s="1066"/>
      <c r="I12694" s="1063"/>
      <c r="J12694" s="1063"/>
      <c r="K12694" s="1063"/>
      <c r="L12694" s="1063"/>
    </row>
    <row r="12695" spans="5:12" x14ac:dyDescent="0.2">
      <c r="E12695" s="1063"/>
      <c r="H12695" s="1066"/>
      <c r="I12695" s="1063"/>
      <c r="J12695" s="1063"/>
      <c r="K12695" s="1063"/>
      <c r="L12695" s="1063"/>
    </row>
    <row r="12696" spans="5:12" x14ac:dyDescent="0.2">
      <c r="E12696" s="1063"/>
      <c r="H12696" s="1066"/>
      <c r="I12696" s="1063"/>
      <c r="J12696" s="1063"/>
      <c r="K12696" s="1063"/>
      <c r="L12696" s="1063"/>
    </row>
    <row r="12697" spans="5:12" x14ac:dyDescent="0.2">
      <c r="E12697" s="1063"/>
      <c r="H12697" s="1066"/>
      <c r="I12697" s="1063"/>
      <c r="J12697" s="1063"/>
      <c r="K12697" s="1063"/>
      <c r="L12697" s="1063"/>
    </row>
    <row r="12698" spans="5:12" x14ac:dyDescent="0.2">
      <c r="E12698" s="1063"/>
      <c r="H12698" s="1066"/>
      <c r="I12698" s="1063"/>
      <c r="J12698" s="1063"/>
      <c r="K12698" s="1063"/>
      <c r="L12698" s="1063"/>
    </row>
    <row r="12699" spans="5:12" x14ac:dyDescent="0.2">
      <c r="E12699" s="1063"/>
      <c r="H12699" s="1066"/>
      <c r="I12699" s="1063"/>
      <c r="J12699" s="1063"/>
      <c r="K12699" s="1063"/>
      <c r="L12699" s="1063"/>
    </row>
    <row r="12700" spans="5:12" x14ac:dyDescent="0.2">
      <c r="E12700" s="1063"/>
      <c r="H12700" s="1066"/>
      <c r="I12700" s="1063"/>
      <c r="J12700" s="1063"/>
      <c r="K12700" s="1063"/>
      <c r="L12700" s="1063"/>
    </row>
    <row r="12701" spans="5:12" x14ac:dyDescent="0.2">
      <c r="E12701" s="1063"/>
      <c r="H12701" s="1066"/>
      <c r="I12701" s="1063"/>
      <c r="J12701" s="1063"/>
      <c r="K12701" s="1063"/>
      <c r="L12701" s="1063"/>
    </row>
    <row r="12702" spans="5:12" x14ac:dyDescent="0.2">
      <c r="E12702" s="1063"/>
      <c r="H12702" s="1066"/>
      <c r="I12702" s="1063"/>
      <c r="J12702" s="1063"/>
      <c r="K12702" s="1063"/>
      <c r="L12702" s="1063"/>
    </row>
    <row r="12703" spans="5:12" x14ac:dyDescent="0.2">
      <c r="E12703" s="1063"/>
      <c r="H12703" s="1066"/>
      <c r="I12703" s="1063"/>
      <c r="J12703" s="1063"/>
      <c r="K12703" s="1063"/>
      <c r="L12703" s="1063"/>
    </row>
    <row r="12704" spans="5:12" x14ac:dyDescent="0.2">
      <c r="E12704" s="1063"/>
      <c r="H12704" s="1066"/>
      <c r="I12704" s="1063"/>
      <c r="J12704" s="1063"/>
      <c r="K12704" s="1063"/>
      <c r="L12704" s="1063"/>
    </row>
    <row r="12705" spans="5:12" x14ac:dyDescent="0.2">
      <c r="E12705" s="1063"/>
      <c r="H12705" s="1066"/>
      <c r="I12705" s="1063"/>
      <c r="J12705" s="1063"/>
      <c r="K12705" s="1063"/>
      <c r="L12705" s="1063"/>
    </row>
    <row r="12706" spans="5:12" x14ac:dyDescent="0.2">
      <c r="E12706" s="1063"/>
      <c r="H12706" s="1066"/>
      <c r="I12706" s="1063"/>
      <c r="J12706" s="1063"/>
      <c r="K12706" s="1063"/>
      <c r="L12706" s="1063"/>
    </row>
    <row r="12707" spans="5:12" x14ac:dyDescent="0.2">
      <c r="E12707" s="1063"/>
      <c r="H12707" s="1066"/>
      <c r="I12707" s="1063"/>
      <c r="J12707" s="1063"/>
      <c r="K12707" s="1063"/>
      <c r="L12707" s="1063"/>
    </row>
    <row r="12708" spans="5:12" x14ac:dyDescent="0.2">
      <c r="E12708" s="1063"/>
      <c r="H12708" s="1066"/>
      <c r="I12708" s="1063"/>
      <c r="J12708" s="1063"/>
      <c r="K12708" s="1063"/>
      <c r="L12708" s="1063"/>
    </row>
    <row r="12709" spans="5:12" x14ac:dyDescent="0.2">
      <c r="E12709" s="1063"/>
      <c r="H12709" s="1066"/>
      <c r="I12709" s="1063"/>
      <c r="J12709" s="1063"/>
      <c r="K12709" s="1063"/>
      <c r="L12709" s="1063"/>
    </row>
    <row r="12710" spans="5:12" x14ac:dyDescent="0.2">
      <c r="E12710" s="1063"/>
      <c r="H12710" s="1066"/>
      <c r="I12710" s="1063"/>
      <c r="J12710" s="1063"/>
      <c r="K12710" s="1063"/>
      <c r="L12710" s="1063"/>
    </row>
    <row r="12711" spans="5:12" x14ac:dyDescent="0.2">
      <c r="E12711" s="1063"/>
      <c r="H12711" s="1066"/>
      <c r="I12711" s="1063"/>
      <c r="J12711" s="1063"/>
      <c r="K12711" s="1063"/>
      <c r="L12711" s="1063"/>
    </row>
    <row r="12712" spans="5:12" x14ac:dyDescent="0.2">
      <c r="E12712" s="1063"/>
      <c r="H12712" s="1066"/>
      <c r="I12712" s="1063"/>
      <c r="J12712" s="1063"/>
      <c r="K12712" s="1063"/>
      <c r="L12712" s="1063"/>
    </row>
    <row r="12713" spans="5:12" x14ac:dyDescent="0.2">
      <c r="E12713" s="1063"/>
      <c r="H12713" s="1066"/>
      <c r="I12713" s="1063"/>
      <c r="J12713" s="1063"/>
      <c r="K12713" s="1063"/>
      <c r="L12713" s="1063"/>
    </row>
    <row r="12714" spans="5:12" x14ac:dyDescent="0.2">
      <c r="E12714" s="1063"/>
      <c r="H12714" s="1066"/>
      <c r="I12714" s="1063"/>
      <c r="J12714" s="1063"/>
      <c r="K12714" s="1063"/>
      <c r="L12714" s="1063"/>
    </row>
    <row r="12715" spans="5:12" x14ac:dyDescent="0.2">
      <c r="E12715" s="1063"/>
      <c r="H12715" s="1066"/>
      <c r="I12715" s="1063"/>
      <c r="J12715" s="1063"/>
      <c r="K12715" s="1063"/>
      <c r="L12715" s="1063"/>
    </row>
    <row r="12716" spans="5:12" x14ac:dyDescent="0.2">
      <c r="E12716" s="1063"/>
      <c r="H12716" s="1066"/>
      <c r="I12716" s="1063"/>
      <c r="J12716" s="1063"/>
      <c r="K12716" s="1063"/>
      <c r="L12716" s="1063"/>
    </row>
    <row r="12717" spans="5:12" x14ac:dyDescent="0.2">
      <c r="E12717" s="1063"/>
      <c r="H12717" s="1066"/>
      <c r="I12717" s="1063"/>
      <c r="J12717" s="1063"/>
      <c r="K12717" s="1063"/>
      <c r="L12717" s="1063"/>
    </row>
    <row r="12718" spans="5:12" x14ac:dyDescent="0.2">
      <c r="E12718" s="1063"/>
      <c r="H12718" s="1066"/>
      <c r="I12718" s="1063"/>
      <c r="J12718" s="1063"/>
      <c r="K12718" s="1063"/>
      <c r="L12718" s="1063"/>
    </row>
    <row r="12719" spans="5:12" x14ac:dyDescent="0.2">
      <c r="E12719" s="1063"/>
      <c r="H12719" s="1066"/>
      <c r="I12719" s="1063"/>
      <c r="J12719" s="1063"/>
      <c r="K12719" s="1063"/>
      <c r="L12719" s="1063"/>
    </row>
    <row r="12720" spans="5:12" x14ac:dyDescent="0.2">
      <c r="E12720" s="1063"/>
      <c r="H12720" s="1066"/>
      <c r="I12720" s="1063"/>
      <c r="J12720" s="1063"/>
      <c r="K12720" s="1063"/>
      <c r="L12720" s="1063"/>
    </row>
    <row r="12721" spans="5:12" x14ac:dyDescent="0.2">
      <c r="E12721" s="1063"/>
      <c r="H12721" s="1066"/>
      <c r="I12721" s="1063"/>
      <c r="J12721" s="1063"/>
      <c r="K12721" s="1063"/>
      <c r="L12721" s="1063"/>
    </row>
    <row r="12722" spans="5:12" x14ac:dyDescent="0.2">
      <c r="E12722" s="1063"/>
      <c r="H12722" s="1066"/>
      <c r="I12722" s="1063"/>
      <c r="J12722" s="1063"/>
      <c r="K12722" s="1063"/>
      <c r="L12722" s="1063"/>
    </row>
    <row r="12723" spans="5:12" x14ac:dyDescent="0.2">
      <c r="E12723" s="1063"/>
      <c r="H12723" s="1066"/>
      <c r="I12723" s="1063"/>
      <c r="J12723" s="1063"/>
      <c r="K12723" s="1063"/>
      <c r="L12723" s="1063"/>
    </row>
    <row r="12724" spans="5:12" x14ac:dyDescent="0.2">
      <c r="E12724" s="1063"/>
      <c r="H12724" s="1066"/>
      <c r="I12724" s="1063"/>
      <c r="J12724" s="1063"/>
      <c r="K12724" s="1063"/>
      <c r="L12724" s="1063"/>
    </row>
    <row r="12725" spans="5:12" x14ac:dyDescent="0.2">
      <c r="E12725" s="1063"/>
      <c r="H12725" s="1066"/>
      <c r="I12725" s="1063"/>
      <c r="J12725" s="1063"/>
      <c r="K12725" s="1063"/>
      <c r="L12725" s="1063"/>
    </row>
    <row r="12726" spans="5:12" x14ac:dyDescent="0.2">
      <c r="E12726" s="1063"/>
      <c r="H12726" s="1066"/>
      <c r="I12726" s="1063"/>
      <c r="J12726" s="1063"/>
      <c r="K12726" s="1063"/>
      <c r="L12726" s="1063"/>
    </row>
    <row r="12727" spans="5:12" x14ac:dyDescent="0.2">
      <c r="E12727" s="1063"/>
      <c r="H12727" s="1066"/>
      <c r="I12727" s="1063"/>
      <c r="J12727" s="1063"/>
      <c r="K12727" s="1063"/>
      <c r="L12727" s="1063"/>
    </row>
    <row r="12728" spans="5:12" x14ac:dyDescent="0.2">
      <c r="E12728" s="1063"/>
      <c r="H12728" s="1066"/>
      <c r="I12728" s="1063"/>
      <c r="J12728" s="1063"/>
      <c r="K12728" s="1063"/>
      <c r="L12728" s="1063"/>
    </row>
    <row r="12729" spans="5:12" x14ac:dyDescent="0.2">
      <c r="E12729" s="1063"/>
      <c r="H12729" s="1066"/>
      <c r="I12729" s="1063"/>
      <c r="J12729" s="1063"/>
      <c r="K12729" s="1063"/>
      <c r="L12729" s="1063"/>
    </row>
    <row r="12730" spans="5:12" x14ac:dyDescent="0.2">
      <c r="E12730" s="1063"/>
      <c r="H12730" s="1066"/>
      <c r="I12730" s="1063"/>
      <c r="J12730" s="1063"/>
      <c r="K12730" s="1063"/>
      <c r="L12730" s="1063"/>
    </row>
    <row r="12731" spans="5:12" x14ac:dyDescent="0.2">
      <c r="E12731" s="1063"/>
      <c r="H12731" s="1066"/>
      <c r="I12731" s="1063"/>
      <c r="J12731" s="1063"/>
      <c r="K12731" s="1063"/>
      <c r="L12731" s="1063"/>
    </row>
    <row r="12732" spans="5:12" x14ac:dyDescent="0.2">
      <c r="E12732" s="1063"/>
      <c r="H12732" s="1066"/>
      <c r="I12732" s="1063"/>
      <c r="J12732" s="1063"/>
      <c r="K12732" s="1063"/>
      <c r="L12732" s="1063"/>
    </row>
    <row r="12733" spans="5:12" x14ac:dyDescent="0.2">
      <c r="E12733" s="1063"/>
      <c r="H12733" s="1066"/>
      <c r="I12733" s="1063"/>
      <c r="J12733" s="1063"/>
      <c r="K12733" s="1063"/>
      <c r="L12733" s="1063"/>
    </row>
    <row r="12734" spans="5:12" x14ac:dyDescent="0.2">
      <c r="E12734" s="1063"/>
      <c r="H12734" s="1066"/>
      <c r="I12734" s="1063"/>
      <c r="J12734" s="1063"/>
      <c r="K12734" s="1063"/>
      <c r="L12734" s="1063"/>
    </row>
    <row r="12735" spans="5:12" x14ac:dyDescent="0.2">
      <c r="E12735" s="1063"/>
      <c r="H12735" s="1066"/>
      <c r="I12735" s="1063"/>
      <c r="J12735" s="1063"/>
      <c r="K12735" s="1063"/>
      <c r="L12735" s="1063"/>
    </row>
    <row r="12736" spans="5:12" x14ac:dyDescent="0.2">
      <c r="E12736" s="1063"/>
      <c r="H12736" s="1066"/>
      <c r="I12736" s="1063"/>
      <c r="J12736" s="1063"/>
      <c r="K12736" s="1063"/>
      <c r="L12736" s="1063"/>
    </row>
    <row r="12737" spans="5:12" x14ac:dyDescent="0.2">
      <c r="E12737" s="1063"/>
      <c r="H12737" s="1066"/>
      <c r="I12737" s="1063"/>
      <c r="J12737" s="1063"/>
      <c r="K12737" s="1063"/>
      <c r="L12737" s="1063"/>
    </row>
    <row r="12738" spans="5:12" x14ac:dyDescent="0.2">
      <c r="E12738" s="1063"/>
      <c r="H12738" s="1066"/>
      <c r="I12738" s="1063"/>
      <c r="J12738" s="1063"/>
      <c r="K12738" s="1063"/>
      <c r="L12738" s="1063"/>
    </row>
    <row r="12739" spans="5:12" x14ac:dyDescent="0.2">
      <c r="E12739" s="1063"/>
      <c r="H12739" s="1066"/>
      <c r="I12739" s="1063"/>
      <c r="J12739" s="1063"/>
      <c r="K12739" s="1063"/>
      <c r="L12739" s="1063"/>
    </row>
    <row r="12740" spans="5:12" x14ac:dyDescent="0.2">
      <c r="E12740" s="1063"/>
      <c r="H12740" s="1066"/>
      <c r="I12740" s="1063"/>
      <c r="J12740" s="1063"/>
      <c r="K12740" s="1063"/>
      <c r="L12740" s="1063"/>
    </row>
    <row r="12741" spans="5:12" x14ac:dyDescent="0.2">
      <c r="E12741" s="1063"/>
      <c r="H12741" s="1066"/>
      <c r="I12741" s="1063"/>
      <c r="J12741" s="1063"/>
      <c r="K12741" s="1063"/>
      <c r="L12741" s="1063"/>
    </row>
    <row r="12742" spans="5:12" x14ac:dyDescent="0.2">
      <c r="E12742" s="1063"/>
      <c r="H12742" s="1066"/>
      <c r="I12742" s="1063"/>
      <c r="J12742" s="1063"/>
      <c r="K12742" s="1063"/>
      <c r="L12742" s="1063"/>
    </row>
    <row r="12743" spans="5:12" x14ac:dyDescent="0.2">
      <c r="E12743" s="1063"/>
      <c r="H12743" s="1066"/>
      <c r="I12743" s="1063"/>
      <c r="J12743" s="1063"/>
      <c r="K12743" s="1063"/>
      <c r="L12743" s="1063"/>
    </row>
    <row r="12744" spans="5:12" x14ac:dyDescent="0.2">
      <c r="E12744" s="1063"/>
      <c r="H12744" s="1066"/>
      <c r="I12744" s="1063"/>
      <c r="J12744" s="1063"/>
      <c r="K12744" s="1063"/>
      <c r="L12744" s="1063"/>
    </row>
    <row r="12745" spans="5:12" x14ac:dyDescent="0.2">
      <c r="E12745" s="1063"/>
      <c r="H12745" s="1066"/>
      <c r="I12745" s="1063"/>
      <c r="J12745" s="1063"/>
      <c r="K12745" s="1063"/>
      <c r="L12745" s="1063"/>
    </row>
    <row r="12746" spans="5:12" x14ac:dyDescent="0.2">
      <c r="E12746" s="1063"/>
      <c r="H12746" s="1066"/>
      <c r="I12746" s="1063"/>
      <c r="J12746" s="1063"/>
      <c r="K12746" s="1063"/>
      <c r="L12746" s="1063"/>
    </row>
    <row r="12747" spans="5:12" x14ac:dyDescent="0.2">
      <c r="E12747" s="1063"/>
      <c r="H12747" s="1066"/>
      <c r="I12747" s="1063"/>
      <c r="J12747" s="1063"/>
      <c r="K12747" s="1063"/>
      <c r="L12747" s="1063"/>
    </row>
    <row r="12748" spans="5:12" x14ac:dyDescent="0.2">
      <c r="E12748" s="1063"/>
      <c r="H12748" s="1066"/>
      <c r="I12748" s="1063"/>
      <c r="J12748" s="1063"/>
      <c r="K12748" s="1063"/>
      <c r="L12748" s="1063"/>
    </row>
    <row r="12749" spans="5:12" x14ac:dyDescent="0.2">
      <c r="E12749" s="1063"/>
      <c r="H12749" s="1066"/>
      <c r="I12749" s="1063"/>
      <c r="J12749" s="1063"/>
      <c r="K12749" s="1063"/>
      <c r="L12749" s="1063"/>
    </row>
    <row r="12750" spans="5:12" x14ac:dyDescent="0.2">
      <c r="E12750" s="1063"/>
      <c r="H12750" s="1066"/>
      <c r="I12750" s="1063"/>
      <c r="J12750" s="1063"/>
      <c r="K12750" s="1063"/>
      <c r="L12750" s="1063"/>
    </row>
    <row r="12751" spans="5:12" x14ac:dyDescent="0.2">
      <c r="E12751" s="1063"/>
      <c r="H12751" s="1066"/>
      <c r="I12751" s="1063"/>
      <c r="J12751" s="1063"/>
      <c r="K12751" s="1063"/>
      <c r="L12751" s="1063"/>
    </row>
    <row r="12752" spans="5:12" x14ac:dyDescent="0.2">
      <c r="E12752" s="1063"/>
      <c r="H12752" s="1066"/>
      <c r="I12752" s="1063"/>
      <c r="J12752" s="1063"/>
      <c r="K12752" s="1063"/>
      <c r="L12752" s="1063"/>
    </row>
    <row r="12753" spans="5:12" x14ac:dyDescent="0.2">
      <c r="E12753" s="1063"/>
      <c r="H12753" s="1066"/>
      <c r="I12753" s="1063"/>
      <c r="J12753" s="1063"/>
      <c r="K12753" s="1063"/>
      <c r="L12753" s="1063"/>
    </row>
    <row r="12754" spans="5:12" x14ac:dyDescent="0.2">
      <c r="E12754" s="1063"/>
      <c r="H12754" s="1066"/>
      <c r="I12754" s="1063"/>
      <c r="J12754" s="1063"/>
      <c r="K12754" s="1063"/>
      <c r="L12754" s="1063"/>
    </row>
    <row r="12755" spans="5:12" x14ac:dyDescent="0.2">
      <c r="E12755" s="1063"/>
      <c r="H12755" s="1066"/>
      <c r="I12755" s="1063"/>
      <c r="J12755" s="1063"/>
      <c r="K12755" s="1063"/>
      <c r="L12755" s="1063"/>
    </row>
    <row r="12756" spans="5:12" x14ac:dyDescent="0.2">
      <c r="E12756" s="1063"/>
      <c r="H12756" s="1066"/>
      <c r="I12756" s="1063"/>
      <c r="J12756" s="1063"/>
      <c r="K12756" s="1063"/>
      <c r="L12756" s="1063"/>
    </row>
    <row r="12757" spans="5:12" x14ac:dyDescent="0.2">
      <c r="E12757" s="1063"/>
      <c r="H12757" s="1066"/>
      <c r="I12757" s="1063"/>
      <c r="J12757" s="1063"/>
      <c r="K12757" s="1063"/>
      <c r="L12757" s="1063"/>
    </row>
    <row r="12758" spans="5:12" x14ac:dyDescent="0.2">
      <c r="E12758" s="1063"/>
      <c r="H12758" s="1066"/>
      <c r="I12758" s="1063"/>
      <c r="J12758" s="1063"/>
      <c r="K12758" s="1063"/>
      <c r="L12758" s="1063"/>
    </row>
    <row r="12759" spans="5:12" x14ac:dyDescent="0.2">
      <c r="E12759" s="1063"/>
      <c r="H12759" s="1066"/>
      <c r="I12759" s="1063"/>
      <c r="J12759" s="1063"/>
      <c r="K12759" s="1063"/>
      <c r="L12759" s="1063"/>
    </row>
    <row r="12760" spans="5:12" x14ac:dyDescent="0.2">
      <c r="E12760" s="1063"/>
      <c r="H12760" s="1066"/>
      <c r="I12760" s="1063"/>
      <c r="J12760" s="1063"/>
      <c r="K12760" s="1063"/>
      <c r="L12760" s="1063"/>
    </row>
    <row r="12761" spans="5:12" x14ac:dyDescent="0.2">
      <c r="E12761" s="1063"/>
      <c r="H12761" s="1066"/>
      <c r="I12761" s="1063"/>
      <c r="J12761" s="1063"/>
      <c r="K12761" s="1063"/>
      <c r="L12761" s="1063"/>
    </row>
    <row r="12762" spans="5:12" x14ac:dyDescent="0.2">
      <c r="E12762" s="1063"/>
      <c r="H12762" s="1066"/>
      <c r="I12762" s="1063"/>
      <c r="J12762" s="1063"/>
      <c r="K12762" s="1063"/>
      <c r="L12762" s="1063"/>
    </row>
    <row r="12763" spans="5:12" x14ac:dyDescent="0.2">
      <c r="E12763" s="1063"/>
      <c r="H12763" s="1066"/>
      <c r="I12763" s="1063"/>
      <c r="J12763" s="1063"/>
      <c r="K12763" s="1063"/>
      <c r="L12763" s="1063"/>
    </row>
    <row r="12764" spans="5:12" x14ac:dyDescent="0.2">
      <c r="E12764" s="1063"/>
      <c r="H12764" s="1066"/>
      <c r="I12764" s="1063"/>
      <c r="J12764" s="1063"/>
      <c r="K12764" s="1063"/>
      <c r="L12764" s="1063"/>
    </row>
    <row r="12765" spans="5:12" x14ac:dyDescent="0.2">
      <c r="E12765" s="1063"/>
      <c r="H12765" s="1066"/>
      <c r="I12765" s="1063"/>
      <c r="J12765" s="1063"/>
      <c r="K12765" s="1063"/>
      <c r="L12765" s="1063"/>
    </row>
    <row r="12766" spans="5:12" x14ac:dyDescent="0.2">
      <c r="E12766" s="1063"/>
      <c r="H12766" s="1066"/>
      <c r="I12766" s="1063"/>
      <c r="J12766" s="1063"/>
      <c r="K12766" s="1063"/>
      <c r="L12766" s="1063"/>
    </row>
    <row r="12767" spans="5:12" x14ac:dyDescent="0.2">
      <c r="E12767" s="1063"/>
      <c r="H12767" s="1066"/>
      <c r="I12767" s="1063"/>
      <c r="J12767" s="1063"/>
      <c r="K12767" s="1063"/>
      <c r="L12767" s="1063"/>
    </row>
    <row r="12768" spans="5:12" x14ac:dyDescent="0.2">
      <c r="E12768" s="1063"/>
      <c r="H12768" s="1066"/>
      <c r="I12768" s="1063"/>
      <c r="J12768" s="1063"/>
      <c r="K12768" s="1063"/>
      <c r="L12768" s="1063"/>
    </row>
    <row r="12769" spans="5:12" x14ac:dyDescent="0.2">
      <c r="E12769" s="1063"/>
      <c r="H12769" s="1066"/>
      <c r="I12769" s="1063"/>
      <c r="J12769" s="1063"/>
      <c r="K12769" s="1063"/>
      <c r="L12769" s="1063"/>
    </row>
    <row r="12770" spans="5:12" x14ac:dyDescent="0.2">
      <c r="E12770" s="1063"/>
      <c r="H12770" s="1066"/>
      <c r="I12770" s="1063"/>
      <c r="J12770" s="1063"/>
      <c r="K12770" s="1063"/>
      <c r="L12770" s="1063"/>
    </row>
    <row r="12771" spans="5:12" x14ac:dyDescent="0.2">
      <c r="E12771" s="1063"/>
      <c r="H12771" s="1066"/>
      <c r="I12771" s="1063"/>
      <c r="J12771" s="1063"/>
      <c r="K12771" s="1063"/>
      <c r="L12771" s="1063"/>
    </row>
    <row r="12772" spans="5:12" x14ac:dyDescent="0.2">
      <c r="E12772" s="1063"/>
      <c r="H12772" s="1066"/>
      <c r="I12772" s="1063"/>
      <c r="J12772" s="1063"/>
      <c r="K12772" s="1063"/>
      <c r="L12772" s="1063"/>
    </row>
    <row r="12773" spans="5:12" x14ac:dyDescent="0.2">
      <c r="E12773" s="1063"/>
      <c r="H12773" s="1066"/>
      <c r="I12773" s="1063"/>
      <c r="J12773" s="1063"/>
      <c r="K12773" s="1063"/>
      <c r="L12773" s="1063"/>
    </row>
    <row r="12774" spans="5:12" x14ac:dyDescent="0.2">
      <c r="E12774" s="1063"/>
      <c r="H12774" s="1066"/>
      <c r="I12774" s="1063"/>
      <c r="J12774" s="1063"/>
      <c r="K12774" s="1063"/>
      <c r="L12774" s="1063"/>
    </row>
    <row r="12775" spans="5:12" x14ac:dyDescent="0.2">
      <c r="E12775" s="1063"/>
      <c r="H12775" s="1066"/>
      <c r="I12775" s="1063"/>
      <c r="J12775" s="1063"/>
      <c r="K12775" s="1063"/>
      <c r="L12775" s="1063"/>
    </row>
    <row r="12776" spans="5:12" x14ac:dyDescent="0.2">
      <c r="E12776" s="1063"/>
      <c r="H12776" s="1066"/>
      <c r="I12776" s="1063"/>
      <c r="J12776" s="1063"/>
      <c r="K12776" s="1063"/>
      <c r="L12776" s="1063"/>
    </row>
    <row r="12777" spans="5:12" x14ac:dyDescent="0.2">
      <c r="E12777" s="1063"/>
      <c r="H12777" s="1066"/>
      <c r="I12777" s="1063"/>
      <c r="J12777" s="1063"/>
      <c r="K12777" s="1063"/>
      <c r="L12777" s="1063"/>
    </row>
    <row r="12778" spans="5:12" x14ac:dyDescent="0.2">
      <c r="E12778" s="1063"/>
      <c r="H12778" s="1066"/>
      <c r="I12778" s="1063"/>
      <c r="J12778" s="1063"/>
      <c r="K12778" s="1063"/>
      <c r="L12778" s="1063"/>
    </row>
    <row r="12779" spans="5:12" x14ac:dyDescent="0.2">
      <c r="E12779" s="1063"/>
      <c r="H12779" s="1066"/>
      <c r="I12779" s="1063"/>
      <c r="J12779" s="1063"/>
      <c r="K12779" s="1063"/>
      <c r="L12779" s="1063"/>
    </row>
    <row r="12780" spans="5:12" x14ac:dyDescent="0.2">
      <c r="E12780" s="1063"/>
      <c r="H12780" s="1066"/>
      <c r="I12780" s="1063"/>
      <c r="J12780" s="1063"/>
      <c r="K12780" s="1063"/>
      <c r="L12780" s="1063"/>
    </row>
    <row r="12781" spans="5:12" x14ac:dyDescent="0.2">
      <c r="E12781" s="1063"/>
      <c r="H12781" s="1066"/>
      <c r="I12781" s="1063"/>
      <c r="J12781" s="1063"/>
      <c r="K12781" s="1063"/>
      <c r="L12781" s="1063"/>
    </row>
    <row r="12782" spans="5:12" x14ac:dyDescent="0.2">
      <c r="E12782" s="1063"/>
      <c r="H12782" s="1066"/>
      <c r="I12782" s="1063"/>
      <c r="J12782" s="1063"/>
      <c r="K12782" s="1063"/>
      <c r="L12782" s="1063"/>
    </row>
    <row r="12783" spans="5:12" x14ac:dyDescent="0.2">
      <c r="E12783" s="1063"/>
      <c r="H12783" s="1066"/>
      <c r="I12783" s="1063"/>
      <c r="J12783" s="1063"/>
      <c r="K12783" s="1063"/>
      <c r="L12783" s="1063"/>
    </row>
    <row r="12784" spans="5:12" x14ac:dyDescent="0.2">
      <c r="E12784" s="1063"/>
      <c r="H12784" s="1066"/>
      <c r="I12784" s="1063"/>
      <c r="J12784" s="1063"/>
      <c r="K12784" s="1063"/>
      <c r="L12784" s="1063"/>
    </row>
    <row r="12785" spans="5:12" x14ac:dyDescent="0.2">
      <c r="E12785" s="1063"/>
      <c r="H12785" s="1066"/>
      <c r="I12785" s="1063"/>
      <c r="J12785" s="1063"/>
      <c r="K12785" s="1063"/>
      <c r="L12785" s="1063"/>
    </row>
    <row r="12786" spans="5:12" x14ac:dyDescent="0.2">
      <c r="E12786" s="1063"/>
      <c r="H12786" s="1066"/>
      <c r="I12786" s="1063"/>
      <c r="J12786" s="1063"/>
      <c r="K12786" s="1063"/>
      <c r="L12786" s="1063"/>
    </row>
    <row r="12787" spans="5:12" x14ac:dyDescent="0.2">
      <c r="E12787" s="1063"/>
      <c r="H12787" s="1066"/>
      <c r="I12787" s="1063"/>
      <c r="J12787" s="1063"/>
      <c r="K12787" s="1063"/>
      <c r="L12787" s="1063"/>
    </row>
    <row r="12788" spans="5:12" x14ac:dyDescent="0.2">
      <c r="E12788" s="1063"/>
      <c r="H12788" s="1066"/>
      <c r="I12788" s="1063"/>
      <c r="J12788" s="1063"/>
      <c r="K12788" s="1063"/>
      <c r="L12788" s="1063"/>
    </row>
    <row r="12789" spans="5:12" x14ac:dyDescent="0.2">
      <c r="E12789" s="1063"/>
      <c r="H12789" s="1066"/>
      <c r="I12789" s="1063"/>
      <c r="J12789" s="1063"/>
      <c r="K12789" s="1063"/>
      <c r="L12789" s="1063"/>
    </row>
    <row r="12790" spans="5:12" x14ac:dyDescent="0.2">
      <c r="E12790" s="1063"/>
      <c r="H12790" s="1066"/>
      <c r="I12790" s="1063"/>
      <c r="J12790" s="1063"/>
      <c r="K12790" s="1063"/>
      <c r="L12790" s="1063"/>
    </row>
    <row r="12791" spans="5:12" x14ac:dyDescent="0.2">
      <c r="E12791" s="1063"/>
      <c r="H12791" s="1066"/>
      <c r="I12791" s="1063"/>
      <c r="J12791" s="1063"/>
      <c r="K12791" s="1063"/>
      <c r="L12791" s="1063"/>
    </row>
    <row r="12792" spans="5:12" x14ac:dyDescent="0.2">
      <c r="E12792" s="1063"/>
      <c r="H12792" s="1066"/>
      <c r="I12792" s="1063"/>
      <c r="J12792" s="1063"/>
      <c r="K12792" s="1063"/>
      <c r="L12792" s="1063"/>
    </row>
    <row r="12793" spans="5:12" x14ac:dyDescent="0.2">
      <c r="E12793" s="1063"/>
      <c r="H12793" s="1066"/>
      <c r="I12793" s="1063"/>
      <c r="J12793" s="1063"/>
      <c r="K12793" s="1063"/>
      <c r="L12793" s="1063"/>
    </row>
    <row r="12794" spans="5:12" x14ac:dyDescent="0.2">
      <c r="E12794" s="1063"/>
      <c r="H12794" s="1066"/>
      <c r="I12794" s="1063"/>
      <c r="J12794" s="1063"/>
      <c r="K12794" s="1063"/>
      <c r="L12794" s="1063"/>
    </row>
    <row r="12795" spans="5:12" x14ac:dyDescent="0.2">
      <c r="E12795" s="1063"/>
      <c r="H12795" s="1066"/>
      <c r="I12795" s="1063"/>
      <c r="J12795" s="1063"/>
      <c r="K12795" s="1063"/>
      <c r="L12795" s="1063"/>
    </row>
    <row r="12796" spans="5:12" x14ac:dyDescent="0.2">
      <c r="E12796" s="1063"/>
      <c r="H12796" s="1066"/>
      <c r="I12796" s="1063"/>
      <c r="J12796" s="1063"/>
      <c r="K12796" s="1063"/>
      <c r="L12796" s="1063"/>
    </row>
    <row r="12797" spans="5:12" x14ac:dyDescent="0.2">
      <c r="E12797" s="1063"/>
      <c r="H12797" s="1066"/>
      <c r="I12797" s="1063"/>
      <c r="J12797" s="1063"/>
      <c r="K12797" s="1063"/>
      <c r="L12797" s="1063"/>
    </row>
    <row r="12798" spans="5:12" x14ac:dyDescent="0.2">
      <c r="E12798" s="1063"/>
      <c r="H12798" s="1066"/>
      <c r="I12798" s="1063"/>
      <c r="J12798" s="1063"/>
      <c r="K12798" s="1063"/>
      <c r="L12798" s="1063"/>
    </row>
    <row r="12799" spans="5:12" x14ac:dyDescent="0.2">
      <c r="E12799" s="1063"/>
      <c r="H12799" s="1066"/>
      <c r="I12799" s="1063"/>
      <c r="J12799" s="1063"/>
      <c r="K12799" s="1063"/>
      <c r="L12799" s="1063"/>
    </row>
    <row r="12800" spans="5:12" x14ac:dyDescent="0.2">
      <c r="E12800" s="1063"/>
      <c r="H12800" s="1066"/>
      <c r="I12800" s="1063"/>
      <c r="J12800" s="1063"/>
      <c r="K12800" s="1063"/>
      <c r="L12800" s="1063"/>
    </row>
    <row r="12801" spans="5:12" x14ac:dyDescent="0.2">
      <c r="E12801" s="1063"/>
      <c r="H12801" s="1066"/>
      <c r="I12801" s="1063"/>
      <c r="J12801" s="1063"/>
      <c r="K12801" s="1063"/>
      <c r="L12801" s="1063"/>
    </row>
    <row r="12802" spans="5:12" x14ac:dyDescent="0.2">
      <c r="E12802" s="1063"/>
      <c r="H12802" s="1066"/>
      <c r="I12802" s="1063"/>
      <c r="J12802" s="1063"/>
      <c r="K12802" s="1063"/>
      <c r="L12802" s="1063"/>
    </row>
    <row r="12803" spans="5:12" x14ac:dyDescent="0.2">
      <c r="E12803" s="1063"/>
      <c r="H12803" s="1066"/>
      <c r="I12803" s="1063"/>
      <c r="J12803" s="1063"/>
      <c r="K12803" s="1063"/>
      <c r="L12803" s="1063"/>
    </row>
    <row r="12804" spans="5:12" x14ac:dyDescent="0.2">
      <c r="E12804" s="1063"/>
      <c r="H12804" s="1066"/>
      <c r="I12804" s="1063"/>
      <c r="J12804" s="1063"/>
      <c r="K12804" s="1063"/>
      <c r="L12804" s="1063"/>
    </row>
    <row r="12805" spans="5:12" x14ac:dyDescent="0.2">
      <c r="E12805" s="1063"/>
      <c r="H12805" s="1066"/>
      <c r="I12805" s="1063"/>
      <c r="J12805" s="1063"/>
      <c r="K12805" s="1063"/>
      <c r="L12805" s="1063"/>
    </row>
    <row r="12806" spans="5:12" x14ac:dyDescent="0.2">
      <c r="E12806" s="1063"/>
      <c r="H12806" s="1066"/>
      <c r="I12806" s="1063"/>
      <c r="J12806" s="1063"/>
      <c r="K12806" s="1063"/>
      <c r="L12806" s="1063"/>
    </row>
    <row r="12807" spans="5:12" x14ac:dyDescent="0.2">
      <c r="E12807" s="1063"/>
      <c r="H12807" s="1066"/>
      <c r="I12807" s="1063"/>
      <c r="J12807" s="1063"/>
      <c r="K12807" s="1063"/>
      <c r="L12807" s="1063"/>
    </row>
    <row r="12808" spans="5:12" x14ac:dyDescent="0.2">
      <c r="E12808" s="1063"/>
      <c r="H12808" s="1066"/>
      <c r="I12808" s="1063"/>
      <c r="J12808" s="1063"/>
      <c r="K12808" s="1063"/>
      <c r="L12808" s="1063"/>
    </row>
    <row r="12809" spans="5:12" x14ac:dyDescent="0.2">
      <c r="E12809" s="1063"/>
      <c r="H12809" s="1066"/>
      <c r="I12809" s="1063"/>
      <c r="J12809" s="1063"/>
      <c r="K12809" s="1063"/>
      <c r="L12809" s="1063"/>
    </row>
    <row r="12810" spans="5:12" x14ac:dyDescent="0.2">
      <c r="E12810" s="1063"/>
      <c r="H12810" s="1066"/>
      <c r="I12810" s="1063"/>
      <c r="J12810" s="1063"/>
      <c r="K12810" s="1063"/>
      <c r="L12810" s="1063"/>
    </row>
    <row r="12811" spans="5:12" x14ac:dyDescent="0.2">
      <c r="E12811" s="1063"/>
      <c r="H12811" s="1066"/>
      <c r="I12811" s="1063"/>
      <c r="J12811" s="1063"/>
      <c r="K12811" s="1063"/>
      <c r="L12811" s="1063"/>
    </row>
    <row r="12812" spans="5:12" x14ac:dyDescent="0.2">
      <c r="E12812" s="1063"/>
      <c r="H12812" s="1066"/>
      <c r="I12812" s="1063"/>
      <c r="J12812" s="1063"/>
      <c r="K12812" s="1063"/>
      <c r="L12812" s="1063"/>
    </row>
    <row r="12813" spans="5:12" x14ac:dyDescent="0.2">
      <c r="E12813" s="1063"/>
      <c r="H12813" s="1066"/>
      <c r="I12813" s="1063"/>
      <c r="J12813" s="1063"/>
      <c r="K12813" s="1063"/>
      <c r="L12813" s="1063"/>
    </row>
    <row r="12814" spans="5:12" x14ac:dyDescent="0.2">
      <c r="E12814" s="1063"/>
      <c r="H12814" s="1066"/>
      <c r="I12814" s="1063"/>
      <c r="J12814" s="1063"/>
      <c r="K12814" s="1063"/>
      <c r="L12814" s="1063"/>
    </row>
    <row r="12815" spans="5:12" x14ac:dyDescent="0.2">
      <c r="E12815" s="1063"/>
      <c r="H12815" s="1066"/>
      <c r="I12815" s="1063"/>
      <c r="J12815" s="1063"/>
      <c r="K12815" s="1063"/>
      <c r="L12815" s="1063"/>
    </row>
    <row r="12816" spans="5:12" x14ac:dyDescent="0.2">
      <c r="E12816" s="1063"/>
      <c r="H12816" s="1066"/>
      <c r="I12816" s="1063"/>
      <c r="J12816" s="1063"/>
      <c r="K12816" s="1063"/>
      <c r="L12816" s="1063"/>
    </row>
    <row r="12817" spans="5:12" x14ac:dyDescent="0.2">
      <c r="E12817" s="1063"/>
      <c r="H12817" s="1066"/>
      <c r="I12817" s="1063"/>
      <c r="J12817" s="1063"/>
      <c r="K12817" s="1063"/>
      <c r="L12817" s="1063"/>
    </row>
    <row r="12818" spans="5:12" x14ac:dyDescent="0.2">
      <c r="E12818" s="1063"/>
      <c r="H12818" s="1066"/>
      <c r="I12818" s="1063"/>
      <c r="J12818" s="1063"/>
      <c r="K12818" s="1063"/>
      <c r="L12818" s="1063"/>
    </row>
    <row r="12819" spans="5:12" x14ac:dyDescent="0.2">
      <c r="E12819" s="1063"/>
      <c r="H12819" s="1066"/>
      <c r="I12819" s="1063"/>
      <c r="J12819" s="1063"/>
      <c r="K12819" s="1063"/>
      <c r="L12819" s="1063"/>
    </row>
    <row r="12820" spans="5:12" x14ac:dyDescent="0.2">
      <c r="E12820" s="1063"/>
      <c r="H12820" s="1066"/>
      <c r="I12820" s="1063"/>
      <c r="J12820" s="1063"/>
      <c r="K12820" s="1063"/>
      <c r="L12820" s="1063"/>
    </row>
    <row r="12821" spans="5:12" x14ac:dyDescent="0.2">
      <c r="E12821" s="1063"/>
      <c r="H12821" s="1066"/>
      <c r="I12821" s="1063"/>
      <c r="J12821" s="1063"/>
      <c r="K12821" s="1063"/>
      <c r="L12821" s="1063"/>
    </row>
    <row r="12822" spans="5:12" x14ac:dyDescent="0.2">
      <c r="E12822" s="1063"/>
      <c r="H12822" s="1066"/>
      <c r="I12822" s="1063"/>
      <c r="J12822" s="1063"/>
      <c r="K12822" s="1063"/>
      <c r="L12822" s="1063"/>
    </row>
    <row r="12823" spans="5:12" x14ac:dyDescent="0.2">
      <c r="E12823" s="1063"/>
      <c r="H12823" s="1066"/>
      <c r="I12823" s="1063"/>
      <c r="J12823" s="1063"/>
      <c r="K12823" s="1063"/>
      <c r="L12823" s="1063"/>
    </row>
    <row r="12824" spans="5:12" x14ac:dyDescent="0.2">
      <c r="E12824" s="1063"/>
      <c r="H12824" s="1066"/>
      <c r="I12824" s="1063"/>
      <c r="J12824" s="1063"/>
      <c r="K12824" s="1063"/>
      <c r="L12824" s="1063"/>
    </row>
    <row r="12825" spans="5:12" x14ac:dyDescent="0.2">
      <c r="E12825" s="1063"/>
      <c r="H12825" s="1066"/>
      <c r="I12825" s="1063"/>
      <c r="J12825" s="1063"/>
      <c r="K12825" s="1063"/>
      <c r="L12825" s="1063"/>
    </row>
    <row r="12826" spans="5:12" x14ac:dyDescent="0.2">
      <c r="E12826" s="1063"/>
      <c r="H12826" s="1066"/>
      <c r="I12826" s="1063"/>
      <c r="J12826" s="1063"/>
      <c r="K12826" s="1063"/>
      <c r="L12826" s="1063"/>
    </row>
    <row r="12827" spans="5:12" x14ac:dyDescent="0.2">
      <c r="E12827" s="1063"/>
      <c r="H12827" s="1066"/>
      <c r="I12827" s="1063"/>
      <c r="J12827" s="1063"/>
      <c r="K12827" s="1063"/>
      <c r="L12827" s="1063"/>
    </row>
    <row r="12828" spans="5:12" x14ac:dyDescent="0.2">
      <c r="E12828" s="1063"/>
      <c r="H12828" s="1066"/>
      <c r="I12828" s="1063"/>
      <c r="J12828" s="1063"/>
      <c r="K12828" s="1063"/>
      <c r="L12828" s="1063"/>
    </row>
    <row r="12829" spans="5:12" x14ac:dyDescent="0.2">
      <c r="E12829" s="1063"/>
      <c r="H12829" s="1066"/>
      <c r="I12829" s="1063"/>
      <c r="J12829" s="1063"/>
      <c r="K12829" s="1063"/>
      <c r="L12829" s="1063"/>
    </row>
    <row r="12830" spans="5:12" x14ac:dyDescent="0.2">
      <c r="E12830" s="1063"/>
      <c r="H12830" s="1066"/>
      <c r="I12830" s="1063"/>
      <c r="J12830" s="1063"/>
      <c r="K12830" s="1063"/>
      <c r="L12830" s="1063"/>
    </row>
    <row r="12831" spans="5:12" x14ac:dyDescent="0.2">
      <c r="E12831" s="1063"/>
      <c r="H12831" s="1066"/>
      <c r="I12831" s="1063"/>
      <c r="J12831" s="1063"/>
      <c r="K12831" s="1063"/>
      <c r="L12831" s="1063"/>
    </row>
    <row r="12832" spans="5:12" x14ac:dyDescent="0.2">
      <c r="E12832" s="1063"/>
      <c r="H12832" s="1066"/>
      <c r="I12832" s="1063"/>
      <c r="J12832" s="1063"/>
      <c r="K12832" s="1063"/>
      <c r="L12832" s="1063"/>
    </row>
    <row r="12833" spans="5:12" x14ac:dyDescent="0.2">
      <c r="E12833" s="1063"/>
      <c r="H12833" s="1066"/>
      <c r="I12833" s="1063"/>
      <c r="J12833" s="1063"/>
      <c r="K12833" s="1063"/>
      <c r="L12833" s="1063"/>
    </row>
    <row r="12834" spans="5:12" x14ac:dyDescent="0.2">
      <c r="E12834" s="1063"/>
      <c r="H12834" s="1066"/>
      <c r="I12834" s="1063"/>
      <c r="J12834" s="1063"/>
      <c r="K12834" s="1063"/>
      <c r="L12834" s="1063"/>
    </row>
    <row r="12835" spans="5:12" x14ac:dyDescent="0.2">
      <c r="E12835" s="1063"/>
      <c r="H12835" s="1066"/>
      <c r="I12835" s="1063"/>
      <c r="J12835" s="1063"/>
      <c r="K12835" s="1063"/>
      <c r="L12835" s="1063"/>
    </row>
    <row r="12836" spans="5:12" x14ac:dyDescent="0.2">
      <c r="E12836" s="1063"/>
      <c r="H12836" s="1066"/>
      <c r="I12836" s="1063"/>
      <c r="J12836" s="1063"/>
      <c r="K12836" s="1063"/>
      <c r="L12836" s="1063"/>
    </row>
    <row r="12837" spans="5:12" x14ac:dyDescent="0.2">
      <c r="E12837" s="1063"/>
      <c r="H12837" s="1066"/>
      <c r="I12837" s="1063"/>
      <c r="J12837" s="1063"/>
      <c r="K12837" s="1063"/>
      <c r="L12837" s="1063"/>
    </row>
    <row r="12838" spans="5:12" x14ac:dyDescent="0.2">
      <c r="E12838" s="1063"/>
      <c r="H12838" s="1066"/>
      <c r="I12838" s="1063"/>
      <c r="J12838" s="1063"/>
      <c r="K12838" s="1063"/>
      <c r="L12838" s="1063"/>
    </row>
    <row r="12839" spans="5:12" x14ac:dyDescent="0.2">
      <c r="E12839" s="1063"/>
      <c r="H12839" s="1066"/>
      <c r="I12839" s="1063"/>
      <c r="J12839" s="1063"/>
      <c r="K12839" s="1063"/>
      <c r="L12839" s="1063"/>
    </row>
    <row r="12840" spans="5:12" x14ac:dyDescent="0.2">
      <c r="E12840" s="1063"/>
      <c r="H12840" s="1066"/>
      <c r="I12840" s="1063"/>
      <c r="J12840" s="1063"/>
      <c r="K12840" s="1063"/>
      <c r="L12840" s="1063"/>
    </row>
    <row r="12841" spans="5:12" x14ac:dyDescent="0.2">
      <c r="E12841" s="1063"/>
      <c r="H12841" s="1066"/>
      <c r="I12841" s="1063"/>
      <c r="J12841" s="1063"/>
      <c r="K12841" s="1063"/>
      <c r="L12841" s="1063"/>
    </row>
    <row r="12842" spans="5:12" x14ac:dyDescent="0.2">
      <c r="E12842" s="1063"/>
      <c r="H12842" s="1066"/>
      <c r="I12842" s="1063"/>
      <c r="J12842" s="1063"/>
      <c r="K12842" s="1063"/>
      <c r="L12842" s="1063"/>
    </row>
    <row r="12843" spans="5:12" x14ac:dyDescent="0.2">
      <c r="E12843" s="1063"/>
      <c r="H12843" s="1066"/>
      <c r="I12843" s="1063"/>
      <c r="J12843" s="1063"/>
      <c r="K12843" s="1063"/>
      <c r="L12843" s="1063"/>
    </row>
    <row r="12844" spans="5:12" x14ac:dyDescent="0.2">
      <c r="E12844" s="1063"/>
      <c r="H12844" s="1066"/>
      <c r="I12844" s="1063"/>
      <c r="J12844" s="1063"/>
      <c r="K12844" s="1063"/>
      <c r="L12844" s="1063"/>
    </row>
    <row r="12845" spans="5:12" x14ac:dyDescent="0.2">
      <c r="E12845" s="1063"/>
      <c r="H12845" s="1066"/>
      <c r="I12845" s="1063"/>
      <c r="J12845" s="1063"/>
      <c r="K12845" s="1063"/>
      <c r="L12845" s="1063"/>
    </row>
    <row r="12846" spans="5:12" x14ac:dyDescent="0.2">
      <c r="E12846" s="1063"/>
      <c r="H12846" s="1066"/>
      <c r="I12846" s="1063"/>
      <c r="J12846" s="1063"/>
      <c r="K12846" s="1063"/>
      <c r="L12846" s="1063"/>
    </row>
    <row r="12847" spans="5:12" x14ac:dyDescent="0.2">
      <c r="E12847" s="1063"/>
      <c r="H12847" s="1066"/>
      <c r="I12847" s="1063"/>
      <c r="J12847" s="1063"/>
      <c r="K12847" s="1063"/>
      <c r="L12847" s="1063"/>
    </row>
    <row r="12848" spans="5:12" x14ac:dyDescent="0.2">
      <c r="E12848" s="1063"/>
      <c r="H12848" s="1066"/>
      <c r="I12848" s="1063"/>
      <c r="J12848" s="1063"/>
      <c r="K12848" s="1063"/>
      <c r="L12848" s="1063"/>
    </row>
    <row r="12849" spans="5:12" x14ac:dyDescent="0.2">
      <c r="E12849" s="1063"/>
      <c r="H12849" s="1066"/>
      <c r="I12849" s="1063"/>
      <c r="J12849" s="1063"/>
      <c r="K12849" s="1063"/>
      <c r="L12849" s="1063"/>
    </row>
    <row r="12850" spans="5:12" x14ac:dyDescent="0.2">
      <c r="E12850" s="1063"/>
      <c r="H12850" s="1066"/>
      <c r="I12850" s="1063"/>
      <c r="J12850" s="1063"/>
      <c r="K12850" s="1063"/>
      <c r="L12850" s="1063"/>
    </row>
    <row r="12851" spans="5:12" x14ac:dyDescent="0.2">
      <c r="E12851" s="1063"/>
      <c r="H12851" s="1066"/>
      <c r="I12851" s="1063"/>
      <c r="J12851" s="1063"/>
      <c r="K12851" s="1063"/>
      <c r="L12851" s="1063"/>
    </row>
    <row r="12852" spans="5:12" x14ac:dyDescent="0.2">
      <c r="E12852" s="1063"/>
      <c r="H12852" s="1066"/>
      <c r="I12852" s="1063"/>
      <c r="J12852" s="1063"/>
      <c r="K12852" s="1063"/>
      <c r="L12852" s="1063"/>
    </row>
    <row r="12853" spans="5:12" x14ac:dyDescent="0.2">
      <c r="E12853" s="1063"/>
      <c r="H12853" s="1066"/>
      <c r="I12853" s="1063"/>
      <c r="J12853" s="1063"/>
      <c r="K12853" s="1063"/>
      <c r="L12853" s="1063"/>
    </row>
    <row r="12854" spans="5:12" x14ac:dyDescent="0.2">
      <c r="E12854" s="1063"/>
      <c r="H12854" s="1066"/>
      <c r="I12854" s="1063"/>
      <c r="J12854" s="1063"/>
      <c r="K12854" s="1063"/>
      <c r="L12854" s="1063"/>
    </row>
    <row r="12855" spans="5:12" x14ac:dyDescent="0.2">
      <c r="E12855" s="1063"/>
      <c r="H12855" s="1066"/>
      <c r="I12855" s="1063"/>
      <c r="J12855" s="1063"/>
      <c r="K12855" s="1063"/>
      <c r="L12855" s="1063"/>
    </row>
    <row r="12856" spans="5:12" x14ac:dyDescent="0.2">
      <c r="E12856" s="1063"/>
      <c r="H12856" s="1066"/>
      <c r="I12856" s="1063"/>
      <c r="J12856" s="1063"/>
      <c r="K12856" s="1063"/>
      <c r="L12856" s="1063"/>
    </row>
    <row r="12857" spans="5:12" x14ac:dyDescent="0.2">
      <c r="E12857" s="1063"/>
      <c r="H12857" s="1066"/>
      <c r="I12857" s="1063"/>
      <c r="J12857" s="1063"/>
      <c r="K12857" s="1063"/>
      <c r="L12857" s="1063"/>
    </row>
    <row r="12858" spans="5:12" x14ac:dyDescent="0.2">
      <c r="E12858" s="1063"/>
      <c r="H12858" s="1066"/>
      <c r="I12858" s="1063"/>
      <c r="J12858" s="1063"/>
      <c r="K12858" s="1063"/>
      <c r="L12858" s="1063"/>
    </row>
    <row r="12859" spans="5:12" x14ac:dyDescent="0.2">
      <c r="E12859" s="1063"/>
      <c r="H12859" s="1066"/>
      <c r="I12859" s="1063"/>
      <c r="J12859" s="1063"/>
      <c r="K12859" s="1063"/>
      <c r="L12859" s="1063"/>
    </row>
    <row r="12860" spans="5:12" x14ac:dyDescent="0.2">
      <c r="E12860" s="1063"/>
      <c r="H12860" s="1066"/>
      <c r="I12860" s="1063"/>
      <c r="J12860" s="1063"/>
      <c r="K12860" s="1063"/>
      <c r="L12860" s="1063"/>
    </row>
    <row r="12861" spans="5:12" x14ac:dyDescent="0.2">
      <c r="E12861" s="1063"/>
      <c r="H12861" s="1066"/>
      <c r="I12861" s="1063"/>
      <c r="J12861" s="1063"/>
      <c r="K12861" s="1063"/>
      <c r="L12861" s="1063"/>
    </row>
    <row r="12862" spans="5:12" x14ac:dyDescent="0.2">
      <c r="E12862" s="1063"/>
      <c r="H12862" s="1066"/>
      <c r="I12862" s="1063"/>
      <c r="J12862" s="1063"/>
      <c r="K12862" s="1063"/>
      <c r="L12862" s="1063"/>
    </row>
    <row r="12863" spans="5:12" x14ac:dyDescent="0.2">
      <c r="E12863" s="1063"/>
      <c r="H12863" s="1066"/>
      <c r="I12863" s="1063"/>
      <c r="J12863" s="1063"/>
      <c r="K12863" s="1063"/>
      <c r="L12863" s="1063"/>
    </row>
    <row r="12864" spans="5:12" x14ac:dyDescent="0.2">
      <c r="E12864" s="1063"/>
      <c r="H12864" s="1066"/>
      <c r="I12864" s="1063"/>
      <c r="J12864" s="1063"/>
      <c r="K12864" s="1063"/>
      <c r="L12864" s="1063"/>
    </row>
    <row r="12865" spans="5:12" x14ac:dyDescent="0.2">
      <c r="E12865" s="1063"/>
      <c r="H12865" s="1066"/>
      <c r="I12865" s="1063"/>
      <c r="J12865" s="1063"/>
      <c r="K12865" s="1063"/>
      <c r="L12865" s="1063"/>
    </row>
    <row r="12866" spans="5:12" x14ac:dyDescent="0.2">
      <c r="E12866" s="1063"/>
      <c r="H12866" s="1066"/>
      <c r="I12866" s="1063"/>
      <c r="J12866" s="1063"/>
      <c r="K12866" s="1063"/>
      <c r="L12866" s="1063"/>
    </row>
    <row r="12867" spans="5:12" x14ac:dyDescent="0.2">
      <c r="E12867" s="1063"/>
      <c r="H12867" s="1066"/>
      <c r="I12867" s="1063"/>
      <c r="J12867" s="1063"/>
      <c r="K12867" s="1063"/>
      <c r="L12867" s="1063"/>
    </row>
    <row r="12868" spans="5:12" x14ac:dyDescent="0.2">
      <c r="E12868" s="1063"/>
      <c r="H12868" s="1066"/>
      <c r="I12868" s="1063"/>
      <c r="J12868" s="1063"/>
      <c r="K12868" s="1063"/>
      <c r="L12868" s="1063"/>
    </row>
    <row r="12869" spans="5:12" x14ac:dyDescent="0.2">
      <c r="E12869" s="1063"/>
      <c r="H12869" s="1066"/>
      <c r="I12869" s="1063"/>
      <c r="J12869" s="1063"/>
      <c r="K12869" s="1063"/>
      <c r="L12869" s="1063"/>
    </row>
    <row r="12870" spans="5:12" x14ac:dyDescent="0.2">
      <c r="E12870" s="1063"/>
      <c r="H12870" s="1066"/>
      <c r="I12870" s="1063"/>
      <c r="J12870" s="1063"/>
      <c r="K12870" s="1063"/>
      <c r="L12870" s="1063"/>
    </row>
    <row r="12871" spans="5:12" x14ac:dyDescent="0.2">
      <c r="E12871" s="1063"/>
      <c r="H12871" s="1066"/>
      <c r="I12871" s="1063"/>
      <c r="J12871" s="1063"/>
      <c r="K12871" s="1063"/>
      <c r="L12871" s="1063"/>
    </row>
    <row r="12872" spans="5:12" x14ac:dyDescent="0.2">
      <c r="E12872" s="1063"/>
      <c r="H12872" s="1066"/>
      <c r="I12872" s="1063"/>
      <c r="J12872" s="1063"/>
      <c r="K12872" s="1063"/>
      <c r="L12872" s="1063"/>
    </row>
    <row r="12873" spans="5:12" x14ac:dyDescent="0.2">
      <c r="E12873" s="1063"/>
      <c r="H12873" s="1066"/>
      <c r="I12873" s="1063"/>
      <c r="J12873" s="1063"/>
      <c r="K12873" s="1063"/>
      <c r="L12873" s="1063"/>
    </row>
    <row r="12874" spans="5:12" x14ac:dyDescent="0.2">
      <c r="E12874" s="1063"/>
      <c r="H12874" s="1066"/>
      <c r="I12874" s="1063"/>
      <c r="J12874" s="1063"/>
      <c r="K12874" s="1063"/>
      <c r="L12874" s="1063"/>
    </row>
    <row r="12875" spans="5:12" x14ac:dyDescent="0.2">
      <c r="E12875" s="1063"/>
      <c r="H12875" s="1066"/>
      <c r="I12875" s="1063"/>
      <c r="J12875" s="1063"/>
      <c r="K12875" s="1063"/>
      <c r="L12875" s="1063"/>
    </row>
    <row r="12876" spans="5:12" x14ac:dyDescent="0.2">
      <c r="E12876" s="1063"/>
      <c r="H12876" s="1066"/>
      <c r="I12876" s="1063"/>
      <c r="J12876" s="1063"/>
      <c r="K12876" s="1063"/>
      <c r="L12876" s="1063"/>
    </row>
    <row r="12877" spans="5:12" x14ac:dyDescent="0.2">
      <c r="E12877" s="1063"/>
      <c r="H12877" s="1066"/>
      <c r="I12877" s="1063"/>
      <c r="J12877" s="1063"/>
      <c r="K12877" s="1063"/>
      <c r="L12877" s="1063"/>
    </row>
    <row r="12878" spans="5:12" x14ac:dyDescent="0.2">
      <c r="E12878" s="1063"/>
      <c r="H12878" s="1066"/>
      <c r="I12878" s="1063"/>
      <c r="J12878" s="1063"/>
      <c r="K12878" s="1063"/>
      <c r="L12878" s="1063"/>
    </row>
    <row r="12879" spans="5:12" x14ac:dyDescent="0.2">
      <c r="E12879" s="1063"/>
      <c r="H12879" s="1066"/>
      <c r="I12879" s="1063"/>
      <c r="J12879" s="1063"/>
      <c r="K12879" s="1063"/>
      <c r="L12879" s="1063"/>
    </row>
    <row r="12880" spans="5:12" x14ac:dyDescent="0.2">
      <c r="E12880" s="1063"/>
      <c r="H12880" s="1066"/>
      <c r="I12880" s="1063"/>
      <c r="J12880" s="1063"/>
      <c r="K12880" s="1063"/>
      <c r="L12880" s="1063"/>
    </row>
    <row r="12881" spans="5:12" x14ac:dyDescent="0.2">
      <c r="E12881" s="1063"/>
      <c r="H12881" s="1066"/>
      <c r="I12881" s="1063"/>
      <c r="J12881" s="1063"/>
      <c r="K12881" s="1063"/>
      <c r="L12881" s="1063"/>
    </row>
    <row r="12882" spans="5:12" x14ac:dyDescent="0.2">
      <c r="E12882" s="1063"/>
      <c r="H12882" s="1066"/>
      <c r="I12882" s="1063"/>
      <c r="J12882" s="1063"/>
      <c r="K12882" s="1063"/>
      <c r="L12882" s="1063"/>
    </row>
    <row r="12883" spans="5:12" x14ac:dyDescent="0.2">
      <c r="E12883" s="1063"/>
      <c r="H12883" s="1066"/>
      <c r="I12883" s="1063"/>
      <c r="J12883" s="1063"/>
      <c r="K12883" s="1063"/>
      <c r="L12883" s="1063"/>
    </row>
    <row r="12884" spans="5:12" x14ac:dyDescent="0.2">
      <c r="E12884" s="1063"/>
      <c r="H12884" s="1066"/>
      <c r="I12884" s="1063"/>
      <c r="J12884" s="1063"/>
      <c r="K12884" s="1063"/>
      <c r="L12884" s="1063"/>
    </row>
    <row r="12885" spans="5:12" x14ac:dyDescent="0.2">
      <c r="E12885" s="1063"/>
      <c r="H12885" s="1066"/>
      <c r="I12885" s="1063"/>
      <c r="J12885" s="1063"/>
      <c r="K12885" s="1063"/>
      <c r="L12885" s="1063"/>
    </row>
    <row r="12886" spans="5:12" x14ac:dyDescent="0.2">
      <c r="E12886" s="1063"/>
      <c r="H12886" s="1066"/>
      <c r="I12886" s="1063"/>
      <c r="J12886" s="1063"/>
      <c r="K12886" s="1063"/>
      <c r="L12886" s="1063"/>
    </row>
    <row r="12887" spans="5:12" x14ac:dyDescent="0.2">
      <c r="E12887" s="1063"/>
      <c r="H12887" s="1066"/>
      <c r="I12887" s="1063"/>
      <c r="J12887" s="1063"/>
      <c r="K12887" s="1063"/>
      <c r="L12887" s="1063"/>
    </row>
    <row r="12888" spans="5:12" x14ac:dyDescent="0.2">
      <c r="E12888" s="1063"/>
      <c r="H12888" s="1066"/>
      <c r="I12888" s="1063"/>
      <c r="J12888" s="1063"/>
      <c r="K12888" s="1063"/>
      <c r="L12888" s="1063"/>
    </row>
    <row r="12889" spans="5:12" x14ac:dyDescent="0.2">
      <c r="E12889" s="1063"/>
      <c r="H12889" s="1066"/>
      <c r="I12889" s="1063"/>
      <c r="J12889" s="1063"/>
      <c r="K12889" s="1063"/>
      <c r="L12889" s="1063"/>
    </row>
    <row r="12890" spans="5:12" x14ac:dyDescent="0.2">
      <c r="E12890" s="1063"/>
      <c r="H12890" s="1066"/>
      <c r="I12890" s="1063"/>
      <c r="J12890" s="1063"/>
      <c r="K12890" s="1063"/>
      <c r="L12890" s="1063"/>
    </row>
    <row r="12891" spans="5:12" x14ac:dyDescent="0.2">
      <c r="E12891" s="1063"/>
      <c r="H12891" s="1066"/>
      <c r="I12891" s="1063"/>
      <c r="J12891" s="1063"/>
      <c r="K12891" s="1063"/>
      <c r="L12891" s="1063"/>
    </row>
    <row r="12892" spans="5:12" x14ac:dyDescent="0.2">
      <c r="E12892" s="1063"/>
      <c r="H12892" s="1066"/>
      <c r="I12892" s="1063"/>
      <c r="J12892" s="1063"/>
      <c r="K12892" s="1063"/>
      <c r="L12892" s="1063"/>
    </row>
    <row r="12893" spans="5:12" x14ac:dyDescent="0.2">
      <c r="E12893" s="1063"/>
      <c r="H12893" s="1066"/>
      <c r="I12893" s="1063"/>
      <c r="J12893" s="1063"/>
      <c r="K12893" s="1063"/>
      <c r="L12893" s="1063"/>
    </row>
    <row r="12894" spans="5:12" x14ac:dyDescent="0.2">
      <c r="E12894" s="1063"/>
      <c r="H12894" s="1066"/>
      <c r="I12894" s="1063"/>
      <c r="J12894" s="1063"/>
      <c r="K12894" s="1063"/>
      <c r="L12894" s="1063"/>
    </row>
    <row r="12895" spans="5:12" x14ac:dyDescent="0.2">
      <c r="E12895" s="1063"/>
      <c r="H12895" s="1066"/>
      <c r="I12895" s="1063"/>
      <c r="J12895" s="1063"/>
      <c r="K12895" s="1063"/>
      <c r="L12895" s="1063"/>
    </row>
    <row r="12896" spans="5:12" x14ac:dyDescent="0.2">
      <c r="E12896" s="1063"/>
      <c r="H12896" s="1066"/>
      <c r="I12896" s="1063"/>
      <c r="J12896" s="1063"/>
      <c r="K12896" s="1063"/>
      <c r="L12896" s="1063"/>
    </row>
    <row r="12897" spans="5:12" x14ac:dyDescent="0.2">
      <c r="E12897" s="1063"/>
      <c r="H12897" s="1066"/>
      <c r="I12897" s="1063"/>
      <c r="J12897" s="1063"/>
      <c r="K12897" s="1063"/>
      <c r="L12897" s="1063"/>
    </row>
    <row r="12898" spans="5:12" x14ac:dyDescent="0.2">
      <c r="E12898" s="1063"/>
      <c r="H12898" s="1066"/>
      <c r="I12898" s="1063"/>
      <c r="J12898" s="1063"/>
      <c r="K12898" s="1063"/>
      <c r="L12898" s="1063"/>
    </row>
    <row r="12899" spans="5:12" x14ac:dyDescent="0.2">
      <c r="E12899" s="1063"/>
      <c r="H12899" s="1066"/>
      <c r="I12899" s="1063"/>
      <c r="J12899" s="1063"/>
      <c r="K12899" s="1063"/>
      <c r="L12899" s="1063"/>
    </row>
    <row r="12900" spans="5:12" x14ac:dyDescent="0.2">
      <c r="E12900" s="1063"/>
      <c r="H12900" s="1066"/>
      <c r="I12900" s="1063"/>
      <c r="J12900" s="1063"/>
      <c r="K12900" s="1063"/>
      <c r="L12900" s="1063"/>
    </row>
    <row r="12901" spans="5:12" x14ac:dyDescent="0.2">
      <c r="E12901" s="1063"/>
      <c r="H12901" s="1066"/>
      <c r="I12901" s="1063"/>
      <c r="J12901" s="1063"/>
      <c r="K12901" s="1063"/>
      <c r="L12901" s="1063"/>
    </row>
    <row r="12902" spans="5:12" x14ac:dyDescent="0.2">
      <c r="E12902" s="1063"/>
      <c r="H12902" s="1066"/>
      <c r="I12902" s="1063"/>
      <c r="J12902" s="1063"/>
      <c r="K12902" s="1063"/>
      <c r="L12902" s="1063"/>
    </row>
    <row r="12903" spans="5:12" x14ac:dyDescent="0.2">
      <c r="E12903" s="1063"/>
      <c r="H12903" s="1066"/>
      <c r="I12903" s="1063"/>
      <c r="J12903" s="1063"/>
      <c r="K12903" s="1063"/>
      <c r="L12903" s="1063"/>
    </row>
    <row r="12904" spans="5:12" x14ac:dyDescent="0.2">
      <c r="E12904" s="1063"/>
      <c r="H12904" s="1066"/>
      <c r="I12904" s="1063"/>
      <c r="J12904" s="1063"/>
      <c r="K12904" s="1063"/>
      <c r="L12904" s="1063"/>
    </row>
    <row r="12905" spans="5:12" x14ac:dyDescent="0.2">
      <c r="E12905" s="1063"/>
      <c r="H12905" s="1066"/>
      <c r="I12905" s="1063"/>
      <c r="J12905" s="1063"/>
      <c r="K12905" s="1063"/>
      <c r="L12905" s="1063"/>
    </row>
    <row r="12906" spans="5:12" x14ac:dyDescent="0.2">
      <c r="E12906" s="1063"/>
      <c r="H12906" s="1066"/>
      <c r="I12906" s="1063"/>
      <c r="J12906" s="1063"/>
      <c r="K12906" s="1063"/>
      <c r="L12906" s="1063"/>
    </row>
    <row r="12907" spans="5:12" x14ac:dyDescent="0.2">
      <c r="E12907" s="1063"/>
      <c r="H12907" s="1066"/>
      <c r="I12907" s="1063"/>
      <c r="J12907" s="1063"/>
      <c r="K12907" s="1063"/>
      <c r="L12907" s="1063"/>
    </row>
    <row r="12908" spans="5:12" x14ac:dyDescent="0.2">
      <c r="E12908" s="1063"/>
      <c r="H12908" s="1066"/>
      <c r="I12908" s="1063"/>
      <c r="J12908" s="1063"/>
      <c r="K12908" s="1063"/>
      <c r="L12908" s="1063"/>
    </row>
    <row r="12909" spans="5:12" x14ac:dyDescent="0.2">
      <c r="E12909" s="1063"/>
      <c r="H12909" s="1066"/>
      <c r="I12909" s="1063"/>
      <c r="J12909" s="1063"/>
      <c r="K12909" s="1063"/>
      <c r="L12909" s="1063"/>
    </row>
    <row r="12910" spans="5:12" x14ac:dyDescent="0.2">
      <c r="E12910" s="1063"/>
      <c r="H12910" s="1066"/>
      <c r="I12910" s="1063"/>
      <c r="J12910" s="1063"/>
      <c r="K12910" s="1063"/>
      <c r="L12910" s="1063"/>
    </row>
    <row r="12911" spans="5:12" x14ac:dyDescent="0.2">
      <c r="E12911" s="1063"/>
      <c r="H12911" s="1066"/>
      <c r="I12911" s="1063"/>
      <c r="J12911" s="1063"/>
      <c r="K12911" s="1063"/>
      <c r="L12911" s="1063"/>
    </row>
    <row r="12912" spans="5:12" x14ac:dyDescent="0.2">
      <c r="E12912" s="1063"/>
      <c r="H12912" s="1066"/>
      <c r="I12912" s="1063"/>
      <c r="J12912" s="1063"/>
      <c r="K12912" s="1063"/>
      <c r="L12912" s="1063"/>
    </row>
    <row r="12913" spans="5:12" x14ac:dyDescent="0.2">
      <c r="E12913" s="1063"/>
      <c r="H12913" s="1066"/>
      <c r="I12913" s="1063"/>
      <c r="J12913" s="1063"/>
      <c r="K12913" s="1063"/>
      <c r="L12913" s="1063"/>
    </row>
    <row r="12914" spans="5:12" x14ac:dyDescent="0.2">
      <c r="E12914" s="1063"/>
      <c r="H12914" s="1066"/>
      <c r="I12914" s="1063"/>
      <c r="J12914" s="1063"/>
      <c r="K12914" s="1063"/>
      <c r="L12914" s="1063"/>
    </row>
    <row r="12915" spans="5:12" x14ac:dyDescent="0.2">
      <c r="E12915" s="1063"/>
      <c r="H12915" s="1066"/>
      <c r="I12915" s="1063"/>
      <c r="J12915" s="1063"/>
      <c r="K12915" s="1063"/>
      <c r="L12915" s="1063"/>
    </row>
    <row r="12916" spans="5:12" x14ac:dyDescent="0.2">
      <c r="E12916" s="1063"/>
      <c r="H12916" s="1066"/>
      <c r="I12916" s="1063"/>
      <c r="J12916" s="1063"/>
      <c r="K12916" s="1063"/>
      <c r="L12916" s="1063"/>
    </row>
    <row r="12917" spans="5:12" x14ac:dyDescent="0.2">
      <c r="E12917" s="1063"/>
      <c r="H12917" s="1066"/>
      <c r="I12917" s="1063"/>
      <c r="J12917" s="1063"/>
      <c r="K12917" s="1063"/>
      <c r="L12917" s="1063"/>
    </row>
    <row r="12918" spans="5:12" x14ac:dyDescent="0.2">
      <c r="E12918" s="1063"/>
      <c r="H12918" s="1066"/>
      <c r="I12918" s="1063"/>
      <c r="J12918" s="1063"/>
      <c r="K12918" s="1063"/>
      <c r="L12918" s="1063"/>
    </row>
    <row r="12919" spans="5:12" x14ac:dyDescent="0.2">
      <c r="E12919" s="1063"/>
      <c r="H12919" s="1066"/>
      <c r="I12919" s="1063"/>
      <c r="J12919" s="1063"/>
      <c r="K12919" s="1063"/>
      <c r="L12919" s="1063"/>
    </row>
    <row r="12920" spans="5:12" x14ac:dyDescent="0.2">
      <c r="E12920" s="1063"/>
      <c r="H12920" s="1066"/>
      <c r="I12920" s="1063"/>
      <c r="J12920" s="1063"/>
      <c r="K12920" s="1063"/>
      <c r="L12920" s="1063"/>
    </row>
    <row r="12921" spans="5:12" x14ac:dyDescent="0.2">
      <c r="E12921" s="1063"/>
      <c r="H12921" s="1066"/>
      <c r="I12921" s="1063"/>
      <c r="J12921" s="1063"/>
      <c r="K12921" s="1063"/>
      <c r="L12921" s="1063"/>
    </row>
    <row r="12922" spans="5:12" x14ac:dyDescent="0.2">
      <c r="E12922" s="1063"/>
      <c r="H12922" s="1066"/>
      <c r="I12922" s="1063"/>
      <c r="J12922" s="1063"/>
      <c r="K12922" s="1063"/>
      <c r="L12922" s="1063"/>
    </row>
    <row r="12923" spans="5:12" x14ac:dyDescent="0.2">
      <c r="E12923" s="1063"/>
      <c r="H12923" s="1066"/>
      <c r="I12923" s="1063"/>
      <c r="J12923" s="1063"/>
      <c r="K12923" s="1063"/>
      <c r="L12923" s="1063"/>
    </row>
    <row r="12924" spans="5:12" x14ac:dyDescent="0.2">
      <c r="E12924" s="1063"/>
      <c r="H12924" s="1066"/>
      <c r="I12924" s="1063"/>
      <c r="J12924" s="1063"/>
      <c r="K12924" s="1063"/>
      <c r="L12924" s="1063"/>
    </row>
    <row r="12925" spans="5:12" x14ac:dyDescent="0.2">
      <c r="E12925" s="1063"/>
      <c r="H12925" s="1066"/>
      <c r="I12925" s="1063"/>
      <c r="J12925" s="1063"/>
      <c r="K12925" s="1063"/>
      <c r="L12925" s="1063"/>
    </row>
    <row r="12926" spans="5:12" x14ac:dyDescent="0.2">
      <c r="E12926" s="1063"/>
      <c r="H12926" s="1066"/>
      <c r="I12926" s="1063"/>
      <c r="J12926" s="1063"/>
      <c r="K12926" s="1063"/>
      <c r="L12926" s="1063"/>
    </row>
    <row r="12927" spans="5:12" x14ac:dyDescent="0.2">
      <c r="E12927" s="1063"/>
      <c r="H12927" s="1066"/>
      <c r="I12927" s="1063"/>
      <c r="J12927" s="1063"/>
      <c r="K12927" s="1063"/>
      <c r="L12927" s="1063"/>
    </row>
    <row r="12928" spans="5:12" x14ac:dyDescent="0.2">
      <c r="E12928" s="1063"/>
      <c r="H12928" s="1066"/>
      <c r="I12928" s="1063"/>
      <c r="J12928" s="1063"/>
      <c r="K12928" s="1063"/>
      <c r="L12928" s="1063"/>
    </row>
    <row r="12929" spans="5:12" x14ac:dyDescent="0.2">
      <c r="E12929" s="1063"/>
      <c r="H12929" s="1066"/>
      <c r="I12929" s="1063"/>
      <c r="J12929" s="1063"/>
      <c r="K12929" s="1063"/>
      <c r="L12929" s="1063"/>
    </row>
    <row r="12930" spans="5:12" x14ac:dyDescent="0.2">
      <c r="E12930" s="1063"/>
      <c r="H12930" s="1066"/>
      <c r="I12930" s="1063"/>
      <c r="J12930" s="1063"/>
      <c r="K12930" s="1063"/>
      <c r="L12930" s="1063"/>
    </row>
    <row r="12931" spans="5:12" x14ac:dyDescent="0.2">
      <c r="E12931" s="1063"/>
      <c r="H12931" s="1066"/>
      <c r="I12931" s="1063"/>
      <c r="J12931" s="1063"/>
      <c r="K12931" s="1063"/>
      <c r="L12931" s="1063"/>
    </row>
    <row r="12932" spans="5:12" x14ac:dyDescent="0.2">
      <c r="E12932" s="1063"/>
      <c r="H12932" s="1066"/>
      <c r="I12932" s="1063"/>
      <c r="J12932" s="1063"/>
      <c r="K12932" s="1063"/>
      <c r="L12932" s="1063"/>
    </row>
    <row r="12933" spans="5:12" x14ac:dyDescent="0.2">
      <c r="E12933" s="1063"/>
      <c r="H12933" s="1066"/>
      <c r="I12933" s="1063"/>
      <c r="J12933" s="1063"/>
      <c r="K12933" s="1063"/>
      <c r="L12933" s="1063"/>
    </row>
    <row r="12934" spans="5:12" x14ac:dyDescent="0.2">
      <c r="E12934" s="1063"/>
      <c r="H12934" s="1066"/>
      <c r="I12934" s="1063"/>
      <c r="J12934" s="1063"/>
      <c r="K12934" s="1063"/>
      <c r="L12934" s="1063"/>
    </row>
    <row r="12935" spans="5:12" x14ac:dyDescent="0.2">
      <c r="E12935" s="1063"/>
      <c r="H12935" s="1066"/>
      <c r="I12935" s="1063"/>
      <c r="J12935" s="1063"/>
      <c r="K12935" s="1063"/>
      <c r="L12935" s="1063"/>
    </row>
    <row r="12936" spans="5:12" x14ac:dyDescent="0.2">
      <c r="E12936" s="1063"/>
      <c r="H12936" s="1066"/>
      <c r="I12936" s="1063"/>
      <c r="J12936" s="1063"/>
      <c r="K12936" s="1063"/>
      <c r="L12936" s="1063"/>
    </row>
    <row r="12937" spans="5:12" x14ac:dyDescent="0.2">
      <c r="E12937" s="1063"/>
      <c r="H12937" s="1066"/>
      <c r="I12937" s="1063"/>
      <c r="J12937" s="1063"/>
      <c r="K12937" s="1063"/>
      <c r="L12937" s="1063"/>
    </row>
    <row r="12938" spans="5:12" x14ac:dyDescent="0.2">
      <c r="E12938" s="1063"/>
      <c r="H12938" s="1066"/>
      <c r="I12938" s="1063"/>
      <c r="J12938" s="1063"/>
      <c r="K12938" s="1063"/>
      <c r="L12938" s="1063"/>
    </row>
    <row r="12939" spans="5:12" x14ac:dyDescent="0.2">
      <c r="E12939" s="1063"/>
      <c r="H12939" s="1066"/>
      <c r="I12939" s="1063"/>
      <c r="J12939" s="1063"/>
      <c r="K12939" s="1063"/>
      <c r="L12939" s="1063"/>
    </row>
    <row r="12940" spans="5:12" x14ac:dyDescent="0.2">
      <c r="E12940" s="1063"/>
      <c r="H12940" s="1066"/>
      <c r="I12940" s="1063"/>
      <c r="J12940" s="1063"/>
      <c r="K12940" s="1063"/>
      <c r="L12940" s="1063"/>
    </row>
    <row r="12941" spans="5:12" x14ac:dyDescent="0.2">
      <c r="E12941" s="1063"/>
      <c r="H12941" s="1066"/>
      <c r="I12941" s="1063"/>
      <c r="J12941" s="1063"/>
      <c r="K12941" s="1063"/>
      <c r="L12941" s="1063"/>
    </row>
    <row r="12942" spans="5:12" x14ac:dyDescent="0.2">
      <c r="E12942" s="1063"/>
      <c r="H12942" s="1066"/>
      <c r="I12942" s="1063"/>
      <c r="J12942" s="1063"/>
      <c r="K12942" s="1063"/>
      <c r="L12942" s="1063"/>
    </row>
    <row r="12943" spans="5:12" x14ac:dyDescent="0.2">
      <c r="E12943" s="1063"/>
      <c r="H12943" s="1066"/>
      <c r="I12943" s="1063"/>
      <c r="J12943" s="1063"/>
      <c r="K12943" s="1063"/>
      <c r="L12943" s="1063"/>
    </row>
    <row r="12944" spans="5:12" x14ac:dyDescent="0.2">
      <c r="E12944" s="1063"/>
      <c r="H12944" s="1066"/>
      <c r="I12944" s="1063"/>
      <c r="J12944" s="1063"/>
      <c r="K12944" s="1063"/>
      <c r="L12944" s="1063"/>
    </row>
    <row r="12945" spans="5:12" x14ac:dyDescent="0.2">
      <c r="E12945" s="1063"/>
      <c r="H12945" s="1066"/>
      <c r="I12945" s="1063"/>
      <c r="J12945" s="1063"/>
      <c r="K12945" s="1063"/>
      <c r="L12945" s="1063"/>
    </row>
    <row r="12946" spans="5:12" x14ac:dyDescent="0.2">
      <c r="E12946" s="1063"/>
      <c r="H12946" s="1066"/>
      <c r="I12946" s="1063"/>
      <c r="J12946" s="1063"/>
      <c r="K12946" s="1063"/>
      <c r="L12946" s="1063"/>
    </row>
    <row r="12947" spans="5:12" x14ac:dyDescent="0.2">
      <c r="E12947" s="1063"/>
      <c r="H12947" s="1066"/>
      <c r="I12947" s="1063"/>
      <c r="J12947" s="1063"/>
      <c r="K12947" s="1063"/>
      <c r="L12947" s="1063"/>
    </row>
    <row r="12948" spans="5:12" x14ac:dyDescent="0.2">
      <c r="E12948" s="1063"/>
      <c r="H12948" s="1066"/>
      <c r="I12948" s="1063"/>
      <c r="J12948" s="1063"/>
      <c r="K12948" s="1063"/>
      <c r="L12948" s="1063"/>
    </row>
    <row r="12949" spans="5:12" x14ac:dyDescent="0.2">
      <c r="E12949" s="1063"/>
      <c r="H12949" s="1066"/>
      <c r="I12949" s="1063"/>
      <c r="J12949" s="1063"/>
      <c r="K12949" s="1063"/>
      <c r="L12949" s="1063"/>
    </row>
    <row r="12950" spans="5:12" x14ac:dyDescent="0.2">
      <c r="E12950" s="1063"/>
      <c r="H12950" s="1066"/>
      <c r="I12950" s="1063"/>
      <c r="J12950" s="1063"/>
      <c r="K12950" s="1063"/>
      <c r="L12950" s="1063"/>
    </row>
    <row r="12951" spans="5:12" x14ac:dyDescent="0.2">
      <c r="E12951" s="1063"/>
      <c r="H12951" s="1066"/>
      <c r="I12951" s="1063"/>
      <c r="J12951" s="1063"/>
      <c r="K12951" s="1063"/>
      <c r="L12951" s="1063"/>
    </row>
    <row r="12952" spans="5:12" x14ac:dyDescent="0.2">
      <c r="E12952" s="1063"/>
      <c r="H12952" s="1066"/>
      <c r="I12952" s="1063"/>
      <c r="J12952" s="1063"/>
      <c r="K12952" s="1063"/>
      <c r="L12952" s="1063"/>
    </row>
    <row r="12953" spans="5:12" x14ac:dyDescent="0.2">
      <c r="E12953" s="1063"/>
      <c r="H12953" s="1066"/>
      <c r="I12953" s="1063"/>
      <c r="J12953" s="1063"/>
      <c r="K12953" s="1063"/>
      <c r="L12953" s="1063"/>
    </row>
    <row r="12954" spans="5:12" x14ac:dyDescent="0.2">
      <c r="E12954" s="1063"/>
      <c r="H12954" s="1066"/>
      <c r="I12954" s="1063"/>
      <c r="J12954" s="1063"/>
      <c r="K12954" s="1063"/>
      <c r="L12954" s="1063"/>
    </row>
    <row r="12955" spans="5:12" x14ac:dyDescent="0.2">
      <c r="E12955" s="1063"/>
      <c r="H12955" s="1066"/>
      <c r="I12955" s="1063"/>
      <c r="J12955" s="1063"/>
      <c r="K12955" s="1063"/>
      <c r="L12955" s="1063"/>
    </row>
    <row r="12956" spans="5:12" x14ac:dyDescent="0.2">
      <c r="E12956" s="1063"/>
      <c r="H12956" s="1066"/>
      <c r="I12956" s="1063"/>
      <c r="J12956" s="1063"/>
      <c r="K12956" s="1063"/>
      <c r="L12956" s="1063"/>
    </row>
    <row r="12957" spans="5:12" x14ac:dyDescent="0.2">
      <c r="E12957" s="1063"/>
      <c r="H12957" s="1066"/>
      <c r="I12957" s="1063"/>
      <c r="J12957" s="1063"/>
      <c r="K12957" s="1063"/>
      <c r="L12957" s="1063"/>
    </row>
    <row r="12958" spans="5:12" x14ac:dyDescent="0.2">
      <c r="E12958" s="1063"/>
      <c r="H12958" s="1066"/>
      <c r="I12958" s="1063"/>
      <c r="J12958" s="1063"/>
      <c r="K12958" s="1063"/>
      <c r="L12958" s="1063"/>
    </row>
    <row r="12959" spans="5:12" x14ac:dyDescent="0.2">
      <c r="E12959" s="1063"/>
      <c r="H12959" s="1066"/>
      <c r="I12959" s="1063"/>
      <c r="J12959" s="1063"/>
      <c r="K12959" s="1063"/>
      <c r="L12959" s="1063"/>
    </row>
    <row r="12960" spans="5:12" x14ac:dyDescent="0.2">
      <c r="E12960" s="1063"/>
      <c r="H12960" s="1066"/>
      <c r="I12960" s="1063"/>
      <c r="J12960" s="1063"/>
      <c r="K12960" s="1063"/>
      <c r="L12960" s="1063"/>
    </row>
    <row r="12961" spans="5:12" x14ac:dyDescent="0.2">
      <c r="E12961" s="1063"/>
      <c r="H12961" s="1066"/>
      <c r="I12961" s="1063"/>
      <c r="J12961" s="1063"/>
      <c r="K12961" s="1063"/>
      <c r="L12961" s="1063"/>
    </row>
    <row r="12962" spans="5:12" x14ac:dyDescent="0.2">
      <c r="E12962" s="1063"/>
      <c r="H12962" s="1066"/>
      <c r="I12962" s="1063"/>
      <c r="J12962" s="1063"/>
      <c r="K12962" s="1063"/>
      <c r="L12962" s="1063"/>
    </row>
    <row r="12963" spans="5:12" x14ac:dyDescent="0.2">
      <c r="E12963" s="1063"/>
      <c r="H12963" s="1066"/>
      <c r="I12963" s="1063"/>
      <c r="J12963" s="1063"/>
      <c r="K12963" s="1063"/>
      <c r="L12963" s="1063"/>
    </row>
    <row r="12964" spans="5:12" x14ac:dyDescent="0.2">
      <c r="E12964" s="1063"/>
      <c r="H12964" s="1066"/>
      <c r="I12964" s="1063"/>
      <c r="J12964" s="1063"/>
      <c r="K12964" s="1063"/>
      <c r="L12964" s="1063"/>
    </row>
    <row r="12965" spans="5:12" x14ac:dyDescent="0.2">
      <c r="E12965" s="1063"/>
      <c r="H12965" s="1066"/>
      <c r="I12965" s="1063"/>
      <c r="J12965" s="1063"/>
      <c r="K12965" s="1063"/>
      <c r="L12965" s="1063"/>
    </row>
    <row r="12966" spans="5:12" x14ac:dyDescent="0.2">
      <c r="E12966" s="1063"/>
      <c r="H12966" s="1066"/>
      <c r="I12966" s="1063"/>
      <c r="J12966" s="1063"/>
      <c r="K12966" s="1063"/>
      <c r="L12966" s="1063"/>
    </row>
    <row r="12967" spans="5:12" x14ac:dyDescent="0.2">
      <c r="E12967" s="1063"/>
      <c r="H12967" s="1066"/>
      <c r="I12967" s="1063"/>
      <c r="J12967" s="1063"/>
      <c r="K12967" s="1063"/>
      <c r="L12967" s="1063"/>
    </row>
    <row r="12968" spans="5:12" x14ac:dyDescent="0.2">
      <c r="E12968" s="1063"/>
      <c r="H12968" s="1066"/>
      <c r="I12968" s="1063"/>
      <c r="J12968" s="1063"/>
      <c r="K12968" s="1063"/>
      <c r="L12968" s="1063"/>
    </row>
    <row r="12969" spans="5:12" x14ac:dyDescent="0.2">
      <c r="E12969" s="1063"/>
      <c r="H12969" s="1066"/>
      <c r="I12969" s="1063"/>
      <c r="J12969" s="1063"/>
      <c r="K12969" s="1063"/>
      <c r="L12969" s="1063"/>
    </row>
    <row r="12970" spans="5:12" x14ac:dyDescent="0.2">
      <c r="E12970" s="1063"/>
      <c r="H12970" s="1066"/>
      <c r="I12970" s="1063"/>
      <c r="J12970" s="1063"/>
      <c r="K12970" s="1063"/>
      <c r="L12970" s="1063"/>
    </row>
    <row r="12971" spans="5:12" x14ac:dyDescent="0.2">
      <c r="E12971" s="1063"/>
      <c r="H12971" s="1066"/>
      <c r="I12971" s="1063"/>
      <c r="J12971" s="1063"/>
      <c r="K12971" s="1063"/>
      <c r="L12971" s="1063"/>
    </row>
    <row r="12972" spans="5:12" x14ac:dyDescent="0.2">
      <c r="E12972" s="1063"/>
      <c r="H12972" s="1066"/>
      <c r="I12972" s="1063"/>
      <c r="J12972" s="1063"/>
      <c r="K12972" s="1063"/>
      <c r="L12972" s="1063"/>
    </row>
    <row r="12973" spans="5:12" x14ac:dyDescent="0.2">
      <c r="E12973" s="1063"/>
      <c r="H12973" s="1066"/>
      <c r="I12973" s="1063"/>
      <c r="J12973" s="1063"/>
      <c r="K12973" s="1063"/>
      <c r="L12973" s="1063"/>
    </row>
    <row r="12974" spans="5:12" x14ac:dyDescent="0.2">
      <c r="E12974" s="1063"/>
      <c r="H12974" s="1066"/>
      <c r="I12974" s="1063"/>
      <c r="J12974" s="1063"/>
      <c r="K12974" s="1063"/>
      <c r="L12974" s="1063"/>
    </row>
    <row r="12975" spans="5:12" x14ac:dyDescent="0.2">
      <c r="E12975" s="1063"/>
      <c r="H12975" s="1066"/>
      <c r="I12975" s="1063"/>
      <c r="J12975" s="1063"/>
      <c r="K12975" s="1063"/>
      <c r="L12975" s="1063"/>
    </row>
    <row r="12976" spans="5:12" x14ac:dyDescent="0.2">
      <c r="E12976" s="1063"/>
      <c r="H12976" s="1066"/>
      <c r="I12976" s="1063"/>
      <c r="J12976" s="1063"/>
      <c r="K12976" s="1063"/>
      <c r="L12976" s="1063"/>
    </row>
    <row r="12977" spans="5:12" x14ac:dyDescent="0.2">
      <c r="E12977" s="1063"/>
      <c r="H12977" s="1066"/>
      <c r="I12977" s="1063"/>
      <c r="J12977" s="1063"/>
      <c r="K12977" s="1063"/>
      <c r="L12977" s="1063"/>
    </row>
    <row r="12978" spans="5:12" x14ac:dyDescent="0.2">
      <c r="E12978" s="1063"/>
      <c r="H12978" s="1066"/>
      <c r="I12978" s="1063"/>
      <c r="J12978" s="1063"/>
      <c r="K12978" s="1063"/>
      <c r="L12978" s="1063"/>
    </row>
    <row r="12979" spans="5:12" x14ac:dyDescent="0.2">
      <c r="E12979" s="1063"/>
      <c r="H12979" s="1066"/>
      <c r="I12979" s="1063"/>
      <c r="J12979" s="1063"/>
      <c r="K12979" s="1063"/>
      <c r="L12979" s="1063"/>
    </row>
    <row r="12980" spans="5:12" x14ac:dyDescent="0.2">
      <c r="E12980" s="1063"/>
      <c r="H12980" s="1066"/>
      <c r="I12980" s="1063"/>
      <c r="J12980" s="1063"/>
      <c r="K12980" s="1063"/>
      <c r="L12980" s="1063"/>
    </row>
    <row r="12981" spans="5:12" x14ac:dyDescent="0.2">
      <c r="E12981" s="1063"/>
      <c r="H12981" s="1066"/>
      <c r="I12981" s="1063"/>
      <c r="J12981" s="1063"/>
      <c r="K12981" s="1063"/>
      <c r="L12981" s="1063"/>
    </row>
    <row r="12982" spans="5:12" x14ac:dyDescent="0.2">
      <c r="E12982" s="1063"/>
      <c r="H12982" s="1066"/>
      <c r="I12982" s="1063"/>
      <c r="J12982" s="1063"/>
      <c r="K12982" s="1063"/>
      <c r="L12982" s="1063"/>
    </row>
    <row r="12983" spans="5:12" x14ac:dyDescent="0.2">
      <c r="E12983" s="1063"/>
      <c r="H12983" s="1066"/>
      <c r="I12983" s="1063"/>
      <c r="J12983" s="1063"/>
      <c r="K12983" s="1063"/>
      <c r="L12983" s="1063"/>
    </row>
    <row r="12984" spans="5:12" x14ac:dyDescent="0.2">
      <c r="E12984" s="1063"/>
      <c r="H12984" s="1066"/>
      <c r="I12984" s="1063"/>
      <c r="J12984" s="1063"/>
      <c r="K12984" s="1063"/>
      <c r="L12984" s="1063"/>
    </row>
    <row r="12985" spans="5:12" x14ac:dyDescent="0.2">
      <c r="E12985" s="1063"/>
      <c r="H12985" s="1066"/>
      <c r="I12985" s="1063"/>
      <c r="J12985" s="1063"/>
      <c r="K12985" s="1063"/>
      <c r="L12985" s="1063"/>
    </row>
    <row r="12986" spans="5:12" x14ac:dyDescent="0.2">
      <c r="E12986" s="1063"/>
      <c r="H12986" s="1066"/>
      <c r="I12986" s="1063"/>
      <c r="J12986" s="1063"/>
      <c r="K12986" s="1063"/>
      <c r="L12986" s="1063"/>
    </row>
    <row r="12987" spans="5:12" x14ac:dyDescent="0.2">
      <c r="E12987" s="1063"/>
      <c r="H12987" s="1066"/>
      <c r="I12987" s="1063"/>
      <c r="J12987" s="1063"/>
      <c r="K12987" s="1063"/>
      <c r="L12987" s="1063"/>
    </row>
    <row r="12988" spans="5:12" x14ac:dyDescent="0.2">
      <c r="E12988" s="1063"/>
      <c r="H12988" s="1066"/>
      <c r="I12988" s="1063"/>
      <c r="J12988" s="1063"/>
      <c r="K12988" s="1063"/>
      <c r="L12988" s="1063"/>
    </row>
    <row r="12989" spans="5:12" x14ac:dyDescent="0.2">
      <c r="E12989" s="1063"/>
      <c r="H12989" s="1066"/>
      <c r="I12989" s="1063"/>
      <c r="J12989" s="1063"/>
      <c r="K12989" s="1063"/>
      <c r="L12989" s="1063"/>
    </row>
    <row r="12990" spans="5:12" x14ac:dyDescent="0.2">
      <c r="E12990" s="1063"/>
      <c r="H12990" s="1066"/>
      <c r="I12990" s="1063"/>
      <c r="J12990" s="1063"/>
      <c r="K12990" s="1063"/>
      <c r="L12990" s="1063"/>
    </row>
    <row r="12991" spans="5:12" x14ac:dyDescent="0.2">
      <c r="E12991" s="1063"/>
      <c r="H12991" s="1066"/>
      <c r="I12991" s="1063"/>
      <c r="J12991" s="1063"/>
      <c r="K12991" s="1063"/>
      <c r="L12991" s="1063"/>
    </row>
    <row r="12992" spans="5:12" x14ac:dyDescent="0.2">
      <c r="E12992" s="1063"/>
      <c r="H12992" s="1066"/>
      <c r="I12992" s="1063"/>
      <c r="J12992" s="1063"/>
      <c r="K12992" s="1063"/>
      <c r="L12992" s="1063"/>
    </row>
    <row r="12993" spans="5:12" x14ac:dyDescent="0.2">
      <c r="E12993" s="1063"/>
      <c r="H12993" s="1066"/>
      <c r="I12993" s="1063"/>
      <c r="J12993" s="1063"/>
      <c r="K12993" s="1063"/>
      <c r="L12993" s="1063"/>
    </row>
    <row r="12994" spans="5:12" x14ac:dyDescent="0.2">
      <c r="E12994" s="1063"/>
      <c r="H12994" s="1066"/>
      <c r="I12994" s="1063"/>
      <c r="J12994" s="1063"/>
      <c r="K12994" s="1063"/>
      <c r="L12994" s="1063"/>
    </row>
    <row r="12995" spans="5:12" x14ac:dyDescent="0.2">
      <c r="E12995" s="1063"/>
      <c r="H12995" s="1066"/>
      <c r="I12995" s="1063"/>
      <c r="J12995" s="1063"/>
      <c r="K12995" s="1063"/>
      <c r="L12995" s="1063"/>
    </row>
    <row r="12996" spans="5:12" x14ac:dyDescent="0.2">
      <c r="E12996" s="1063"/>
      <c r="H12996" s="1066"/>
      <c r="I12996" s="1063"/>
      <c r="J12996" s="1063"/>
      <c r="K12996" s="1063"/>
      <c r="L12996" s="1063"/>
    </row>
    <row r="12997" spans="5:12" x14ac:dyDescent="0.2">
      <c r="E12997" s="1063"/>
      <c r="H12997" s="1066"/>
      <c r="I12997" s="1063"/>
      <c r="J12997" s="1063"/>
      <c r="K12997" s="1063"/>
      <c r="L12997" s="1063"/>
    </row>
    <row r="12998" spans="5:12" x14ac:dyDescent="0.2">
      <c r="E12998" s="1063"/>
      <c r="H12998" s="1066"/>
      <c r="I12998" s="1063"/>
      <c r="J12998" s="1063"/>
      <c r="K12998" s="1063"/>
      <c r="L12998" s="1063"/>
    </row>
    <row r="12999" spans="5:12" x14ac:dyDescent="0.2">
      <c r="E12999" s="1063"/>
      <c r="H12999" s="1066"/>
      <c r="I12999" s="1063"/>
      <c r="J12999" s="1063"/>
      <c r="K12999" s="1063"/>
      <c r="L12999" s="1063"/>
    </row>
    <row r="13000" spans="5:12" x14ac:dyDescent="0.2">
      <c r="E13000" s="1063"/>
      <c r="H13000" s="1066"/>
      <c r="I13000" s="1063"/>
      <c r="J13000" s="1063"/>
      <c r="K13000" s="1063"/>
      <c r="L13000" s="1063"/>
    </row>
    <row r="13001" spans="5:12" x14ac:dyDescent="0.2">
      <c r="E13001" s="1063"/>
      <c r="H13001" s="1066"/>
      <c r="I13001" s="1063"/>
      <c r="J13001" s="1063"/>
      <c r="K13001" s="1063"/>
      <c r="L13001" s="1063"/>
    </row>
    <row r="13002" spans="5:12" x14ac:dyDescent="0.2">
      <c r="E13002" s="1063"/>
      <c r="H13002" s="1066"/>
      <c r="I13002" s="1063"/>
      <c r="J13002" s="1063"/>
      <c r="K13002" s="1063"/>
      <c r="L13002" s="1063"/>
    </row>
    <row r="13003" spans="5:12" x14ac:dyDescent="0.2">
      <c r="E13003" s="1063"/>
      <c r="H13003" s="1066"/>
      <c r="I13003" s="1063"/>
      <c r="J13003" s="1063"/>
      <c r="K13003" s="1063"/>
      <c r="L13003" s="1063"/>
    </row>
    <row r="13004" spans="5:12" x14ac:dyDescent="0.2">
      <c r="E13004" s="1063"/>
      <c r="H13004" s="1066"/>
      <c r="I13004" s="1063"/>
      <c r="J13004" s="1063"/>
      <c r="K13004" s="1063"/>
      <c r="L13004" s="1063"/>
    </row>
    <row r="13005" spans="5:12" x14ac:dyDescent="0.2">
      <c r="E13005" s="1063"/>
      <c r="H13005" s="1066"/>
      <c r="I13005" s="1063"/>
      <c r="J13005" s="1063"/>
      <c r="K13005" s="1063"/>
      <c r="L13005" s="1063"/>
    </row>
    <row r="13006" spans="5:12" x14ac:dyDescent="0.2">
      <c r="E13006" s="1063"/>
      <c r="H13006" s="1066"/>
      <c r="I13006" s="1063"/>
      <c r="J13006" s="1063"/>
      <c r="K13006" s="1063"/>
      <c r="L13006" s="1063"/>
    </row>
    <row r="13007" spans="5:12" x14ac:dyDescent="0.2">
      <c r="E13007" s="1063"/>
      <c r="H13007" s="1066"/>
      <c r="I13007" s="1063"/>
      <c r="J13007" s="1063"/>
      <c r="K13007" s="1063"/>
      <c r="L13007" s="1063"/>
    </row>
    <row r="13008" spans="5:12" x14ac:dyDescent="0.2">
      <c r="E13008" s="1063"/>
      <c r="H13008" s="1066"/>
      <c r="I13008" s="1063"/>
      <c r="J13008" s="1063"/>
      <c r="K13008" s="1063"/>
      <c r="L13008" s="1063"/>
    </row>
    <row r="13009" spans="5:12" x14ac:dyDescent="0.2">
      <c r="E13009" s="1063"/>
      <c r="H13009" s="1066"/>
      <c r="I13009" s="1063"/>
      <c r="J13009" s="1063"/>
      <c r="K13009" s="1063"/>
      <c r="L13009" s="1063"/>
    </row>
    <row r="13010" spans="5:12" x14ac:dyDescent="0.2">
      <c r="E13010" s="1063"/>
      <c r="H13010" s="1066"/>
      <c r="I13010" s="1063"/>
      <c r="J13010" s="1063"/>
      <c r="K13010" s="1063"/>
      <c r="L13010" s="1063"/>
    </row>
    <row r="13011" spans="5:12" x14ac:dyDescent="0.2">
      <c r="E13011" s="1063"/>
      <c r="H13011" s="1066"/>
      <c r="I13011" s="1063"/>
      <c r="J13011" s="1063"/>
      <c r="K13011" s="1063"/>
      <c r="L13011" s="1063"/>
    </row>
    <row r="13012" spans="5:12" x14ac:dyDescent="0.2">
      <c r="E13012" s="1063"/>
      <c r="H13012" s="1066"/>
      <c r="I13012" s="1063"/>
      <c r="J13012" s="1063"/>
      <c r="K13012" s="1063"/>
      <c r="L13012" s="1063"/>
    </row>
    <row r="13013" spans="5:12" x14ac:dyDescent="0.2">
      <c r="E13013" s="1063"/>
      <c r="H13013" s="1066"/>
      <c r="I13013" s="1063"/>
      <c r="J13013" s="1063"/>
      <c r="K13013" s="1063"/>
      <c r="L13013" s="1063"/>
    </row>
    <row r="13014" spans="5:12" x14ac:dyDescent="0.2">
      <c r="E13014" s="1063"/>
      <c r="H13014" s="1066"/>
      <c r="I13014" s="1063"/>
      <c r="J13014" s="1063"/>
      <c r="K13014" s="1063"/>
      <c r="L13014" s="1063"/>
    </row>
    <row r="13015" spans="5:12" x14ac:dyDescent="0.2">
      <c r="E13015" s="1063"/>
      <c r="H13015" s="1066"/>
      <c r="I13015" s="1063"/>
      <c r="J13015" s="1063"/>
      <c r="K13015" s="1063"/>
      <c r="L13015" s="1063"/>
    </row>
    <row r="13016" spans="5:12" x14ac:dyDescent="0.2">
      <c r="E13016" s="1063"/>
      <c r="H13016" s="1066"/>
      <c r="I13016" s="1063"/>
      <c r="J13016" s="1063"/>
      <c r="K13016" s="1063"/>
      <c r="L13016" s="1063"/>
    </row>
    <row r="13017" spans="5:12" x14ac:dyDescent="0.2">
      <c r="E13017" s="1063"/>
      <c r="H13017" s="1066"/>
      <c r="I13017" s="1063"/>
      <c r="J13017" s="1063"/>
      <c r="K13017" s="1063"/>
      <c r="L13017" s="1063"/>
    </row>
    <row r="13018" spans="5:12" x14ac:dyDescent="0.2">
      <c r="E13018" s="1063"/>
      <c r="H13018" s="1066"/>
      <c r="I13018" s="1063"/>
      <c r="J13018" s="1063"/>
      <c r="K13018" s="1063"/>
      <c r="L13018" s="1063"/>
    </row>
    <row r="13019" spans="5:12" x14ac:dyDescent="0.2">
      <c r="E13019" s="1063"/>
      <c r="H13019" s="1066"/>
      <c r="I13019" s="1063"/>
      <c r="J13019" s="1063"/>
      <c r="K13019" s="1063"/>
      <c r="L13019" s="1063"/>
    </row>
    <row r="13020" spans="5:12" x14ac:dyDescent="0.2">
      <c r="E13020" s="1063"/>
      <c r="H13020" s="1066"/>
      <c r="I13020" s="1063"/>
      <c r="J13020" s="1063"/>
      <c r="K13020" s="1063"/>
      <c r="L13020" s="1063"/>
    </row>
    <row r="13021" spans="5:12" x14ac:dyDescent="0.2">
      <c r="E13021" s="1063"/>
      <c r="H13021" s="1066"/>
      <c r="I13021" s="1063"/>
      <c r="J13021" s="1063"/>
      <c r="K13021" s="1063"/>
      <c r="L13021" s="1063"/>
    </row>
    <row r="13022" spans="5:12" x14ac:dyDescent="0.2">
      <c r="E13022" s="1063"/>
      <c r="H13022" s="1066"/>
      <c r="I13022" s="1063"/>
      <c r="J13022" s="1063"/>
      <c r="K13022" s="1063"/>
      <c r="L13022" s="1063"/>
    </row>
    <row r="13023" spans="5:12" x14ac:dyDescent="0.2">
      <c r="E13023" s="1063"/>
      <c r="H13023" s="1066"/>
      <c r="I13023" s="1063"/>
      <c r="J13023" s="1063"/>
      <c r="K13023" s="1063"/>
      <c r="L13023" s="1063"/>
    </row>
    <row r="13024" spans="5:12" x14ac:dyDescent="0.2">
      <c r="E13024" s="1063"/>
      <c r="H13024" s="1066"/>
      <c r="I13024" s="1063"/>
      <c r="J13024" s="1063"/>
      <c r="K13024" s="1063"/>
      <c r="L13024" s="1063"/>
    </row>
    <row r="13025" spans="5:12" x14ac:dyDescent="0.2">
      <c r="E13025" s="1063"/>
      <c r="H13025" s="1066"/>
      <c r="I13025" s="1063"/>
      <c r="J13025" s="1063"/>
      <c r="K13025" s="1063"/>
      <c r="L13025" s="1063"/>
    </row>
    <row r="13026" spans="5:12" x14ac:dyDescent="0.2">
      <c r="E13026" s="1063"/>
      <c r="H13026" s="1066"/>
      <c r="I13026" s="1063"/>
      <c r="J13026" s="1063"/>
      <c r="K13026" s="1063"/>
      <c r="L13026" s="1063"/>
    </row>
    <row r="13027" spans="5:12" x14ac:dyDescent="0.2">
      <c r="E13027" s="1063"/>
      <c r="H13027" s="1066"/>
      <c r="I13027" s="1063"/>
      <c r="J13027" s="1063"/>
      <c r="K13027" s="1063"/>
      <c r="L13027" s="1063"/>
    </row>
    <row r="13028" spans="5:12" x14ac:dyDescent="0.2">
      <c r="E13028" s="1063"/>
      <c r="H13028" s="1066"/>
      <c r="I13028" s="1063"/>
      <c r="J13028" s="1063"/>
      <c r="K13028" s="1063"/>
      <c r="L13028" s="1063"/>
    </row>
    <row r="13029" spans="5:12" x14ac:dyDescent="0.2">
      <c r="E13029" s="1063"/>
      <c r="H13029" s="1066"/>
      <c r="I13029" s="1063"/>
      <c r="J13029" s="1063"/>
      <c r="K13029" s="1063"/>
      <c r="L13029" s="1063"/>
    </row>
    <row r="13030" spans="5:12" x14ac:dyDescent="0.2">
      <c r="E13030" s="1063"/>
      <c r="H13030" s="1066"/>
      <c r="I13030" s="1063"/>
      <c r="J13030" s="1063"/>
      <c r="K13030" s="1063"/>
      <c r="L13030" s="1063"/>
    </row>
    <row r="13031" spans="5:12" x14ac:dyDescent="0.2">
      <c r="E13031" s="1063"/>
      <c r="H13031" s="1066"/>
      <c r="I13031" s="1063"/>
      <c r="J13031" s="1063"/>
      <c r="K13031" s="1063"/>
      <c r="L13031" s="1063"/>
    </row>
    <row r="13032" spans="5:12" x14ac:dyDescent="0.2">
      <c r="E13032" s="1063"/>
      <c r="H13032" s="1066"/>
      <c r="I13032" s="1063"/>
      <c r="J13032" s="1063"/>
      <c r="K13032" s="1063"/>
      <c r="L13032" s="1063"/>
    </row>
    <row r="13033" spans="5:12" x14ac:dyDescent="0.2">
      <c r="E13033" s="1063"/>
      <c r="H13033" s="1066"/>
      <c r="I13033" s="1063"/>
      <c r="J13033" s="1063"/>
      <c r="K13033" s="1063"/>
      <c r="L13033" s="1063"/>
    </row>
    <row r="13034" spans="5:12" x14ac:dyDescent="0.2">
      <c r="E13034" s="1063"/>
      <c r="H13034" s="1066"/>
      <c r="I13034" s="1063"/>
      <c r="J13034" s="1063"/>
      <c r="K13034" s="1063"/>
      <c r="L13034" s="1063"/>
    </row>
    <row r="13035" spans="5:12" x14ac:dyDescent="0.2">
      <c r="E13035" s="1063"/>
      <c r="H13035" s="1066"/>
      <c r="I13035" s="1063"/>
      <c r="J13035" s="1063"/>
      <c r="K13035" s="1063"/>
      <c r="L13035" s="1063"/>
    </row>
    <row r="13036" spans="5:12" x14ac:dyDescent="0.2">
      <c r="E13036" s="1063"/>
      <c r="H13036" s="1066"/>
      <c r="I13036" s="1063"/>
      <c r="J13036" s="1063"/>
      <c r="K13036" s="1063"/>
      <c r="L13036" s="1063"/>
    </row>
    <row r="13037" spans="5:12" x14ac:dyDescent="0.2">
      <c r="E13037" s="1063"/>
      <c r="H13037" s="1066"/>
      <c r="I13037" s="1063"/>
      <c r="J13037" s="1063"/>
      <c r="K13037" s="1063"/>
      <c r="L13037" s="1063"/>
    </row>
    <row r="13038" spans="5:12" x14ac:dyDescent="0.2">
      <c r="E13038" s="1063"/>
      <c r="H13038" s="1066"/>
      <c r="I13038" s="1063"/>
      <c r="J13038" s="1063"/>
      <c r="K13038" s="1063"/>
      <c r="L13038" s="1063"/>
    </row>
    <row r="13039" spans="5:12" x14ac:dyDescent="0.2">
      <c r="E13039" s="1063"/>
      <c r="H13039" s="1066"/>
      <c r="I13039" s="1063"/>
      <c r="J13039" s="1063"/>
      <c r="K13039" s="1063"/>
      <c r="L13039" s="1063"/>
    </row>
    <row r="13040" spans="5:12" x14ac:dyDescent="0.2">
      <c r="E13040" s="1063"/>
      <c r="H13040" s="1066"/>
      <c r="I13040" s="1063"/>
      <c r="J13040" s="1063"/>
      <c r="K13040" s="1063"/>
      <c r="L13040" s="1063"/>
    </row>
    <row r="13041" spans="5:12" x14ac:dyDescent="0.2">
      <c r="E13041" s="1063"/>
      <c r="H13041" s="1066"/>
      <c r="I13041" s="1063"/>
      <c r="J13041" s="1063"/>
      <c r="K13041" s="1063"/>
      <c r="L13041" s="1063"/>
    </row>
    <row r="13042" spans="5:12" x14ac:dyDescent="0.2">
      <c r="E13042" s="1063"/>
      <c r="H13042" s="1066"/>
      <c r="I13042" s="1063"/>
      <c r="J13042" s="1063"/>
      <c r="K13042" s="1063"/>
      <c r="L13042" s="1063"/>
    </row>
    <row r="13043" spans="5:12" x14ac:dyDescent="0.2">
      <c r="E13043" s="1063"/>
      <c r="H13043" s="1066"/>
      <c r="I13043" s="1063"/>
      <c r="J13043" s="1063"/>
      <c r="K13043" s="1063"/>
      <c r="L13043" s="1063"/>
    </row>
    <row r="13044" spans="5:12" x14ac:dyDescent="0.2">
      <c r="E13044" s="1063"/>
      <c r="H13044" s="1066"/>
      <c r="I13044" s="1063"/>
      <c r="J13044" s="1063"/>
      <c r="K13044" s="1063"/>
      <c r="L13044" s="1063"/>
    </row>
    <row r="13045" spans="5:12" x14ac:dyDescent="0.2">
      <c r="E13045" s="1063"/>
      <c r="H13045" s="1066"/>
      <c r="I13045" s="1063"/>
      <c r="J13045" s="1063"/>
      <c r="K13045" s="1063"/>
      <c r="L13045" s="1063"/>
    </row>
    <row r="13046" spans="5:12" x14ac:dyDescent="0.2">
      <c r="E13046" s="1063"/>
      <c r="H13046" s="1066"/>
      <c r="I13046" s="1063"/>
      <c r="J13046" s="1063"/>
      <c r="K13046" s="1063"/>
      <c r="L13046" s="1063"/>
    </row>
    <row r="13047" spans="5:12" x14ac:dyDescent="0.2">
      <c r="E13047" s="1063"/>
      <c r="H13047" s="1066"/>
      <c r="I13047" s="1063"/>
      <c r="J13047" s="1063"/>
      <c r="K13047" s="1063"/>
      <c r="L13047" s="1063"/>
    </row>
    <row r="13048" spans="5:12" x14ac:dyDescent="0.2">
      <c r="E13048" s="1063"/>
      <c r="H13048" s="1066"/>
      <c r="I13048" s="1063"/>
      <c r="J13048" s="1063"/>
      <c r="K13048" s="1063"/>
      <c r="L13048" s="1063"/>
    </row>
    <row r="13049" spans="5:12" x14ac:dyDescent="0.2">
      <c r="E13049" s="1063"/>
      <c r="H13049" s="1066"/>
      <c r="I13049" s="1063"/>
      <c r="J13049" s="1063"/>
      <c r="K13049" s="1063"/>
      <c r="L13049" s="1063"/>
    </row>
    <row r="13050" spans="5:12" x14ac:dyDescent="0.2">
      <c r="E13050" s="1063"/>
      <c r="H13050" s="1066"/>
      <c r="I13050" s="1063"/>
      <c r="J13050" s="1063"/>
      <c r="K13050" s="1063"/>
      <c r="L13050" s="1063"/>
    </row>
    <row r="13051" spans="5:12" x14ac:dyDescent="0.2">
      <c r="E13051" s="1063"/>
      <c r="H13051" s="1066"/>
      <c r="I13051" s="1063"/>
      <c r="J13051" s="1063"/>
      <c r="K13051" s="1063"/>
      <c r="L13051" s="1063"/>
    </row>
    <row r="13052" spans="5:12" x14ac:dyDescent="0.2">
      <c r="E13052" s="1063"/>
      <c r="H13052" s="1066"/>
      <c r="I13052" s="1063"/>
      <c r="J13052" s="1063"/>
      <c r="K13052" s="1063"/>
      <c r="L13052" s="1063"/>
    </row>
    <row r="13053" spans="5:12" x14ac:dyDescent="0.2">
      <c r="E13053" s="1063"/>
      <c r="H13053" s="1066"/>
      <c r="I13053" s="1063"/>
      <c r="J13053" s="1063"/>
      <c r="K13053" s="1063"/>
      <c r="L13053" s="1063"/>
    </row>
    <row r="13054" spans="5:12" x14ac:dyDescent="0.2">
      <c r="E13054" s="1063"/>
      <c r="H13054" s="1066"/>
      <c r="I13054" s="1063"/>
      <c r="J13054" s="1063"/>
      <c r="K13054" s="1063"/>
      <c r="L13054" s="1063"/>
    </row>
    <row r="13055" spans="5:12" x14ac:dyDescent="0.2">
      <c r="E13055" s="1063"/>
      <c r="H13055" s="1066"/>
      <c r="I13055" s="1063"/>
      <c r="J13055" s="1063"/>
      <c r="K13055" s="1063"/>
      <c r="L13055" s="1063"/>
    </row>
    <row r="13056" spans="5:12" x14ac:dyDescent="0.2">
      <c r="E13056" s="1063"/>
      <c r="H13056" s="1066"/>
      <c r="I13056" s="1063"/>
      <c r="J13056" s="1063"/>
      <c r="K13056" s="1063"/>
      <c r="L13056" s="1063"/>
    </row>
    <row r="13057" spans="5:12" x14ac:dyDescent="0.2">
      <c r="E13057" s="1063"/>
      <c r="H13057" s="1066"/>
      <c r="I13057" s="1063"/>
      <c r="J13057" s="1063"/>
      <c r="K13057" s="1063"/>
      <c r="L13057" s="1063"/>
    </row>
    <row r="13058" spans="5:12" x14ac:dyDescent="0.2">
      <c r="E13058" s="1063"/>
      <c r="H13058" s="1066"/>
      <c r="I13058" s="1063"/>
      <c r="J13058" s="1063"/>
      <c r="K13058" s="1063"/>
      <c r="L13058" s="1063"/>
    </row>
    <row r="13059" spans="5:12" x14ac:dyDescent="0.2">
      <c r="E13059" s="1063"/>
      <c r="H13059" s="1066"/>
      <c r="I13059" s="1063"/>
      <c r="J13059" s="1063"/>
      <c r="K13059" s="1063"/>
      <c r="L13059" s="1063"/>
    </row>
    <row r="13060" spans="5:12" x14ac:dyDescent="0.2">
      <c r="E13060" s="1063"/>
      <c r="H13060" s="1066"/>
      <c r="I13060" s="1063"/>
      <c r="J13060" s="1063"/>
      <c r="K13060" s="1063"/>
      <c r="L13060" s="1063"/>
    </row>
    <row r="13061" spans="5:12" x14ac:dyDescent="0.2">
      <c r="E13061" s="1063"/>
      <c r="H13061" s="1066"/>
      <c r="I13061" s="1063"/>
      <c r="J13061" s="1063"/>
      <c r="K13061" s="1063"/>
      <c r="L13061" s="1063"/>
    </row>
    <row r="13062" spans="5:12" x14ac:dyDescent="0.2">
      <c r="E13062" s="1063"/>
      <c r="H13062" s="1066"/>
      <c r="I13062" s="1063"/>
      <c r="J13062" s="1063"/>
      <c r="K13062" s="1063"/>
      <c r="L13062" s="1063"/>
    </row>
    <row r="13063" spans="5:12" x14ac:dyDescent="0.2">
      <c r="E13063" s="1063"/>
      <c r="H13063" s="1066"/>
      <c r="I13063" s="1063"/>
      <c r="J13063" s="1063"/>
      <c r="K13063" s="1063"/>
      <c r="L13063" s="1063"/>
    </row>
    <row r="13064" spans="5:12" x14ac:dyDescent="0.2">
      <c r="E13064" s="1063"/>
      <c r="H13064" s="1066"/>
      <c r="I13064" s="1063"/>
      <c r="J13064" s="1063"/>
      <c r="K13064" s="1063"/>
      <c r="L13064" s="1063"/>
    </row>
    <row r="13065" spans="5:12" x14ac:dyDescent="0.2">
      <c r="E13065" s="1063"/>
      <c r="H13065" s="1066"/>
      <c r="I13065" s="1063"/>
      <c r="J13065" s="1063"/>
      <c r="K13065" s="1063"/>
      <c r="L13065" s="1063"/>
    </row>
    <row r="13066" spans="5:12" x14ac:dyDescent="0.2">
      <c r="E13066" s="1063"/>
      <c r="H13066" s="1066"/>
      <c r="I13066" s="1063"/>
      <c r="J13066" s="1063"/>
      <c r="K13066" s="1063"/>
      <c r="L13066" s="1063"/>
    </row>
    <row r="13067" spans="5:12" x14ac:dyDescent="0.2">
      <c r="E13067" s="1063"/>
      <c r="H13067" s="1066"/>
      <c r="I13067" s="1063"/>
      <c r="J13067" s="1063"/>
      <c r="K13067" s="1063"/>
      <c r="L13067" s="1063"/>
    </row>
    <row r="13068" spans="5:12" x14ac:dyDescent="0.2">
      <c r="E13068" s="1063"/>
      <c r="H13068" s="1066"/>
      <c r="I13068" s="1063"/>
      <c r="J13068" s="1063"/>
      <c r="K13068" s="1063"/>
      <c r="L13068" s="1063"/>
    </row>
    <row r="13069" spans="5:12" x14ac:dyDescent="0.2">
      <c r="E13069" s="1063"/>
      <c r="H13069" s="1066"/>
      <c r="I13069" s="1063"/>
      <c r="J13069" s="1063"/>
      <c r="K13069" s="1063"/>
      <c r="L13069" s="1063"/>
    </row>
    <row r="13070" spans="5:12" x14ac:dyDescent="0.2">
      <c r="E13070" s="1063"/>
      <c r="H13070" s="1066"/>
      <c r="I13070" s="1063"/>
      <c r="J13070" s="1063"/>
      <c r="K13070" s="1063"/>
      <c r="L13070" s="1063"/>
    </row>
    <row r="13071" spans="5:12" x14ac:dyDescent="0.2">
      <c r="E13071" s="1063"/>
      <c r="H13071" s="1066"/>
      <c r="I13071" s="1063"/>
      <c r="J13071" s="1063"/>
      <c r="K13071" s="1063"/>
      <c r="L13071" s="1063"/>
    </row>
    <row r="13072" spans="5:12" x14ac:dyDescent="0.2">
      <c r="E13072" s="1063"/>
      <c r="H13072" s="1066"/>
      <c r="I13072" s="1063"/>
      <c r="J13072" s="1063"/>
      <c r="K13072" s="1063"/>
      <c r="L13072" s="1063"/>
    </row>
    <row r="13073" spans="5:12" x14ac:dyDescent="0.2">
      <c r="E13073" s="1063"/>
      <c r="H13073" s="1066"/>
      <c r="I13073" s="1063"/>
      <c r="J13073" s="1063"/>
      <c r="K13073" s="1063"/>
      <c r="L13073" s="1063"/>
    </row>
    <row r="13074" spans="5:12" x14ac:dyDescent="0.2">
      <c r="E13074" s="1063"/>
      <c r="H13074" s="1066"/>
      <c r="I13074" s="1063"/>
      <c r="J13074" s="1063"/>
      <c r="K13074" s="1063"/>
      <c r="L13074" s="1063"/>
    </row>
    <row r="13075" spans="5:12" x14ac:dyDescent="0.2">
      <c r="E13075" s="1063"/>
      <c r="H13075" s="1066"/>
      <c r="I13075" s="1063"/>
      <c r="J13075" s="1063"/>
      <c r="K13075" s="1063"/>
      <c r="L13075" s="1063"/>
    </row>
    <row r="13076" spans="5:12" x14ac:dyDescent="0.2">
      <c r="E13076" s="1063"/>
      <c r="H13076" s="1066"/>
      <c r="I13076" s="1063"/>
      <c r="J13076" s="1063"/>
      <c r="K13076" s="1063"/>
      <c r="L13076" s="1063"/>
    </row>
    <row r="13077" spans="5:12" x14ac:dyDescent="0.2">
      <c r="E13077" s="1063"/>
      <c r="H13077" s="1066"/>
      <c r="I13077" s="1063"/>
      <c r="J13077" s="1063"/>
      <c r="K13077" s="1063"/>
      <c r="L13077" s="1063"/>
    </row>
    <row r="13078" spans="5:12" x14ac:dyDescent="0.2">
      <c r="E13078" s="1063"/>
      <c r="H13078" s="1066"/>
      <c r="I13078" s="1063"/>
      <c r="J13078" s="1063"/>
      <c r="K13078" s="1063"/>
      <c r="L13078" s="1063"/>
    </row>
    <row r="13079" spans="5:12" x14ac:dyDescent="0.2">
      <c r="E13079" s="1063"/>
      <c r="H13079" s="1066"/>
      <c r="I13079" s="1063"/>
      <c r="J13079" s="1063"/>
      <c r="K13079" s="1063"/>
      <c r="L13079" s="1063"/>
    </row>
    <row r="13080" spans="5:12" x14ac:dyDescent="0.2">
      <c r="E13080" s="1063"/>
      <c r="H13080" s="1066"/>
      <c r="I13080" s="1063"/>
      <c r="J13080" s="1063"/>
      <c r="K13080" s="1063"/>
      <c r="L13080" s="1063"/>
    </row>
    <row r="13081" spans="5:12" x14ac:dyDescent="0.2">
      <c r="E13081" s="1063"/>
      <c r="H13081" s="1066"/>
      <c r="I13081" s="1063"/>
      <c r="J13081" s="1063"/>
      <c r="K13081" s="1063"/>
      <c r="L13081" s="1063"/>
    </row>
    <row r="13082" spans="5:12" x14ac:dyDescent="0.2">
      <c r="E13082" s="1063"/>
      <c r="H13082" s="1066"/>
      <c r="I13082" s="1063"/>
      <c r="J13082" s="1063"/>
      <c r="K13082" s="1063"/>
      <c r="L13082" s="1063"/>
    </row>
    <row r="13083" spans="5:12" x14ac:dyDescent="0.2">
      <c r="E13083" s="1063"/>
      <c r="H13083" s="1066"/>
      <c r="I13083" s="1063"/>
      <c r="J13083" s="1063"/>
      <c r="K13083" s="1063"/>
      <c r="L13083" s="1063"/>
    </row>
    <row r="13084" spans="5:12" x14ac:dyDescent="0.2">
      <c r="E13084" s="1063"/>
      <c r="H13084" s="1066"/>
      <c r="I13084" s="1063"/>
      <c r="J13084" s="1063"/>
      <c r="K13084" s="1063"/>
      <c r="L13084" s="1063"/>
    </row>
    <row r="13085" spans="5:12" x14ac:dyDescent="0.2">
      <c r="E13085" s="1063"/>
      <c r="H13085" s="1066"/>
      <c r="I13085" s="1063"/>
      <c r="J13085" s="1063"/>
      <c r="K13085" s="1063"/>
      <c r="L13085" s="1063"/>
    </row>
    <row r="13086" spans="5:12" x14ac:dyDescent="0.2">
      <c r="E13086" s="1063"/>
      <c r="H13086" s="1066"/>
      <c r="I13086" s="1063"/>
      <c r="J13086" s="1063"/>
      <c r="K13086" s="1063"/>
      <c r="L13086" s="1063"/>
    </row>
    <row r="13087" spans="5:12" x14ac:dyDescent="0.2">
      <c r="E13087" s="1063"/>
      <c r="H13087" s="1066"/>
      <c r="I13087" s="1063"/>
      <c r="J13087" s="1063"/>
      <c r="K13087" s="1063"/>
      <c r="L13087" s="1063"/>
    </row>
    <row r="13088" spans="5:12" x14ac:dyDescent="0.2">
      <c r="E13088" s="1063"/>
      <c r="H13088" s="1066"/>
      <c r="I13088" s="1063"/>
      <c r="J13088" s="1063"/>
      <c r="K13088" s="1063"/>
      <c r="L13088" s="1063"/>
    </row>
    <row r="13089" spans="5:12" x14ac:dyDescent="0.2">
      <c r="E13089" s="1063"/>
      <c r="H13089" s="1066"/>
      <c r="I13089" s="1063"/>
      <c r="J13089" s="1063"/>
      <c r="K13089" s="1063"/>
      <c r="L13089" s="1063"/>
    </row>
    <row r="13090" spans="5:12" x14ac:dyDescent="0.2">
      <c r="E13090" s="1063"/>
      <c r="H13090" s="1066"/>
      <c r="I13090" s="1063"/>
      <c r="J13090" s="1063"/>
      <c r="K13090" s="1063"/>
      <c r="L13090" s="1063"/>
    </row>
    <row r="13091" spans="5:12" x14ac:dyDescent="0.2">
      <c r="E13091" s="1063"/>
      <c r="H13091" s="1066"/>
      <c r="I13091" s="1063"/>
      <c r="J13091" s="1063"/>
      <c r="K13091" s="1063"/>
      <c r="L13091" s="1063"/>
    </row>
    <row r="13092" spans="5:12" x14ac:dyDescent="0.2">
      <c r="E13092" s="1063"/>
      <c r="H13092" s="1066"/>
      <c r="I13092" s="1063"/>
      <c r="J13092" s="1063"/>
      <c r="K13092" s="1063"/>
      <c r="L13092" s="1063"/>
    </row>
    <row r="13093" spans="5:12" x14ac:dyDescent="0.2">
      <c r="E13093" s="1063"/>
      <c r="H13093" s="1066"/>
      <c r="I13093" s="1063"/>
      <c r="J13093" s="1063"/>
      <c r="K13093" s="1063"/>
      <c r="L13093" s="1063"/>
    </row>
    <row r="13094" spans="5:12" x14ac:dyDescent="0.2">
      <c r="E13094" s="1063"/>
      <c r="H13094" s="1066"/>
      <c r="I13094" s="1063"/>
      <c r="J13094" s="1063"/>
      <c r="K13094" s="1063"/>
      <c r="L13094" s="1063"/>
    </row>
    <row r="13095" spans="5:12" x14ac:dyDescent="0.2">
      <c r="E13095" s="1063"/>
      <c r="H13095" s="1066"/>
      <c r="I13095" s="1063"/>
      <c r="J13095" s="1063"/>
      <c r="K13095" s="1063"/>
      <c r="L13095" s="1063"/>
    </row>
    <row r="13096" spans="5:12" x14ac:dyDescent="0.2">
      <c r="E13096" s="1063"/>
      <c r="H13096" s="1066"/>
      <c r="I13096" s="1063"/>
      <c r="J13096" s="1063"/>
      <c r="K13096" s="1063"/>
      <c r="L13096" s="1063"/>
    </row>
    <row r="13097" spans="5:12" x14ac:dyDescent="0.2">
      <c r="E13097" s="1063"/>
      <c r="H13097" s="1066"/>
      <c r="I13097" s="1063"/>
      <c r="J13097" s="1063"/>
      <c r="K13097" s="1063"/>
      <c r="L13097" s="1063"/>
    </row>
    <row r="13098" spans="5:12" x14ac:dyDescent="0.2">
      <c r="E13098" s="1063"/>
      <c r="H13098" s="1066"/>
      <c r="I13098" s="1063"/>
      <c r="J13098" s="1063"/>
      <c r="K13098" s="1063"/>
      <c r="L13098" s="1063"/>
    </row>
    <row r="13099" spans="5:12" x14ac:dyDescent="0.2">
      <c r="E13099" s="1063"/>
      <c r="H13099" s="1066"/>
      <c r="I13099" s="1063"/>
      <c r="J13099" s="1063"/>
      <c r="K13099" s="1063"/>
      <c r="L13099" s="1063"/>
    </row>
    <row r="13100" spans="5:12" x14ac:dyDescent="0.2">
      <c r="E13100" s="1063"/>
      <c r="H13100" s="1066"/>
      <c r="I13100" s="1063"/>
      <c r="J13100" s="1063"/>
      <c r="K13100" s="1063"/>
      <c r="L13100" s="1063"/>
    </row>
    <row r="13101" spans="5:12" x14ac:dyDescent="0.2">
      <c r="E13101" s="1063"/>
      <c r="H13101" s="1066"/>
      <c r="I13101" s="1063"/>
      <c r="J13101" s="1063"/>
      <c r="K13101" s="1063"/>
      <c r="L13101" s="1063"/>
    </row>
    <row r="13102" spans="5:12" x14ac:dyDescent="0.2">
      <c r="E13102" s="1063"/>
      <c r="H13102" s="1066"/>
      <c r="I13102" s="1063"/>
      <c r="J13102" s="1063"/>
      <c r="K13102" s="1063"/>
      <c r="L13102" s="1063"/>
    </row>
    <row r="13103" spans="5:12" x14ac:dyDescent="0.2">
      <c r="E13103" s="1063"/>
      <c r="H13103" s="1066"/>
      <c r="I13103" s="1063"/>
      <c r="J13103" s="1063"/>
      <c r="K13103" s="1063"/>
      <c r="L13103" s="1063"/>
    </row>
    <row r="13104" spans="5:12" x14ac:dyDescent="0.2">
      <c r="E13104" s="1063"/>
      <c r="H13104" s="1066"/>
      <c r="I13104" s="1063"/>
      <c r="J13104" s="1063"/>
      <c r="K13104" s="1063"/>
      <c r="L13104" s="1063"/>
    </row>
    <row r="13105" spans="5:12" x14ac:dyDescent="0.2">
      <c r="E13105" s="1063"/>
      <c r="H13105" s="1066"/>
      <c r="I13105" s="1063"/>
      <c r="J13105" s="1063"/>
      <c r="K13105" s="1063"/>
      <c r="L13105" s="1063"/>
    </row>
    <row r="13106" spans="5:12" x14ac:dyDescent="0.2">
      <c r="E13106" s="1063"/>
      <c r="H13106" s="1066"/>
      <c r="I13106" s="1063"/>
      <c r="J13106" s="1063"/>
      <c r="K13106" s="1063"/>
      <c r="L13106" s="1063"/>
    </row>
    <row r="13107" spans="5:12" x14ac:dyDescent="0.2">
      <c r="E13107" s="1063"/>
      <c r="H13107" s="1066"/>
      <c r="I13107" s="1063"/>
      <c r="J13107" s="1063"/>
      <c r="K13107" s="1063"/>
      <c r="L13107" s="1063"/>
    </row>
    <row r="13108" spans="5:12" x14ac:dyDescent="0.2">
      <c r="E13108" s="1063"/>
      <c r="H13108" s="1066"/>
      <c r="I13108" s="1063"/>
      <c r="J13108" s="1063"/>
      <c r="K13108" s="1063"/>
      <c r="L13108" s="1063"/>
    </row>
    <row r="13109" spans="5:12" x14ac:dyDescent="0.2">
      <c r="E13109" s="1063"/>
      <c r="H13109" s="1066"/>
      <c r="I13109" s="1063"/>
      <c r="J13109" s="1063"/>
      <c r="K13109" s="1063"/>
      <c r="L13109" s="1063"/>
    </row>
    <row r="13110" spans="5:12" x14ac:dyDescent="0.2">
      <c r="E13110" s="1063"/>
      <c r="H13110" s="1066"/>
      <c r="I13110" s="1063"/>
      <c r="J13110" s="1063"/>
      <c r="K13110" s="1063"/>
      <c r="L13110" s="1063"/>
    </row>
    <row r="13111" spans="5:12" x14ac:dyDescent="0.2">
      <c r="E13111" s="1063"/>
      <c r="H13111" s="1066"/>
      <c r="I13111" s="1063"/>
      <c r="J13111" s="1063"/>
      <c r="K13111" s="1063"/>
      <c r="L13111" s="1063"/>
    </row>
    <row r="13112" spans="5:12" x14ac:dyDescent="0.2">
      <c r="E13112" s="1063"/>
      <c r="H13112" s="1066"/>
      <c r="I13112" s="1063"/>
      <c r="J13112" s="1063"/>
      <c r="K13112" s="1063"/>
      <c r="L13112" s="1063"/>
    </row>
    <row r="13113" spans="5:12" x14ac:dyDescent="0.2">
      <c r="E13113" s="1063"/>
      <c r="H13113" s="1066"/>
      <c r="I13113" s="1063"/>
      <c r="J13113" s="1063"/>
      <c r="K13113" s="1063"/>
      <c r="L13113" s="1063"/>
    </row>
    <row r="13114" spans="5:12" x14ac:dyDescent="0.2">
      <c r="E13114" s="1063"/>
      <c r="H13114" s="1066"/>
      <c r="I13114" s="1063"/>
      <c r="J13114" s="1063"/>
      <c r="K13114" s="1063"/>
      <c r="L13114" s="1063"/>
    </row>
    <row r="13115" spans="5:12" x14ac:dyDescent="0.2">
      <c r="E13115" s="1063"/>
      <c r="H13115" s="1066"/>
      <c r="I13115" s="1063"/>
      <c r="J13115" s="1063"/>
      <c r="K13115" s="1063"/>
      <c r="L13115" s="1063"/>
    </row>
    <row r="13116" spans="5:12" x14ac:dyDescent="0.2">
      <c r="E13116" s="1063"/>
      <c r="H13116" s="1066"/>
      <c r="I13116" s="1063"/>
      <c r="J13116" s="1063"/>
      <c r="K13116" s="1063"/>
      <c r="L13116" s="1063"/>
    </row>
    <row r="13117" spans="5:12" x14ac:dyDescent="0.2">
      <c r="E13117" s="1063"/>
      <c r="H13117" s="1066"/>
      <c r="I13117" s="1063"/>
      <c r="J13117" s="1063"/>
      <c r="K13117" s="1063"/>
      <c r="L13117" s="1063"/>
    </row>
    <row r="13118" spans="5:12" x14ac:dyDescent="0.2">
      <c r="E13118" s="1063"/>
      <c r="H13118" s="1066"/>
      <c r="I13118" s="1063"/>
      <c r="J13118" s="1063"/>
      <c r="K13118" s="1063"/>
      <c r="L13118" s="1063"/>
    </row>
    <row r="13119" spans="5:12" x14ac:dyDescent="0.2">
      <c r="E13119" s="1063"/>
      <c r="H13119" s="1066"/>
      <c r="I13119" s="1063"/>
      <c r="J13119" s="1063"/>
      <c r="K13119" s="1063"/>
      <c r="L13119" s="1063"/>
    </row>
    <row r="13120" spans="5:12" x14ac:dyDescent="0.2">
      <c r="E13120" s="1063"/>
      <c r="H13120" s="1066"/>
      <c r="I13120" s="1063"/>
      <c r="J13120" s="1063"/>
      <c r="K13120" s="1063"/>
      <c r="L13120" s="1063"/>
    </row>
    <row r="13121" spans="5:12" x14ac:dyDescent="0.2">
      <c r="E13121" s="1063"/>
      <c r="H13121" s="1066"/>
      <c r="I13121" s="1063"/>
      <c r="J13121" s="1063"/>
      <c r="K13121" s="1063"/>
      <c r="L13121" s="1063"/>
    </row>
    <row r="13122" spans="5:12" x14ac:dyDescent="0.2">
      <c r="E13122" s="1063"/>
      <c r="H13122" s="1066"/>
      <c r="I13122" s="1063"/>
      <c r="J13122" s="1063"/>
      <c r="K13122" s="1063"/>
      <c r="L13122" s="1063"/>
    </row>
    <row r="13123" spans="5:12" x14ac:dyDescent="0.2">
      <c r="E13123" s="1063"/>
      <c r="H13123" s="1066"/>
      <c r="I13123" s="1063"/>
      <c r="J13123" s="1063"/>
      <c r="K13123" s="1063"/>
      <c r="L13123" s="1063"/>
    </row>
    <row r="13124" spans="5:12" x14ac:dyDescent="0.2">
      <c r="E13124" s="1063"/>
      <c r="H13124" s="1066"/>
      <c r="I13124" s="1063"/>
      <c r="J13124" s="1063"/>
      <c r="K13124" s="1063"/>
      <c r="L13124" s="1063"/>
    </row>
    <row r="13125" spans="5:12" x14ac:dyDescent="0.2">
      <c r="E13125" s="1063"/>
      <c r="H13125" s="1066"/>
      <c r="I13125" s="1063"/>
      <c r="J13125" s="1063"/>
      <c r="K13125" s="1063"/>
      <c r="L13125" s="1063"/>
    </row>
    <row r="13126" spans="5:12" x14ac:dyDescent="0.2">
      <c r="E13126" s="1063"/>
      <c r="H13126" s="1066"/>
      <c r="I13126" s="1063"/>
      <c r="J13126" s="1063"/>
      <c r="K13126" s="1063"/>
      <c r="L13126" s="1063"/>
    </row>
    <row r="13127" spans="5:12" x14ac:dyDescent="0.2">
      <c r="E13127" s="1063"/>
      <c r="H13127" s="1066"/>
      <c r="I13127" s="1063"/>
      <c r="J13127" s="1063"/>
      <c r="K13127" s="1063"/>
      <c r="L13127" s="1063"/>
    </row>
    <row r="13128" spans="5:12" x14ac:dyDescent="0.2">
      <c r="E13128" s="1063"/>
      <c r="H13128" s="1066"/>
      <c r="I13128" s="1063"/>
      <c r="J13128" s="1063"/>
      <c r="K13128" s="1063"/>
      <c r="L13128" s="1063"/>
    </row>
    <row r="13129" spans="5:12" x14ac:dyDescent="0.2">
      <c r="E13129" s="1063"/>
      <c r="H13129" s="1066"/>
      <c r="I13129" s="1063"/>
      <c r="J13129" s="1063"/>
      <c r="K13129" s="1063"/>
      <c r="L13129" s="1063"/>
    </row>
    <row r="13130" spans="5:12" x14ac:dyDescent="0.2">
      <c r="E13130" s="1063"/>
      <c r="H13130" s="1066"/>
      <c r="I13130" s="1063"/>
      <c r="J13130" s="1063"/>
      <c r="K13130" s="1063"/>
      <c r="L13130" s="1063"/>
    </row>
    <row r="13131" spans="5:12" x14ac:dyDescent="0.2">
      <c r="E13131" s="1063"/>
      <c r="H13131" s="1066"/>
      <c r="I13131" s="1063"/>
      <c r="J13131" s="1063"/>
      <c r="K13131" s="1063"/>
      <c r="L13131" s="1063"/>
    </row>
    <row r="13132" spans="5:12" x14ac:dyDescent="0.2">
      <c r="E13132" s="1063"/>
      <c r="H13132" s="1066"/>
      <c r="I13132" s="1063"/>
      <c r="J13132" s="1063"/>
      <c r="K13132" s="1063"/>
      <c r="L13132" s="1063"/>
    </row>
    <row r="13133" spans="5:12" x14ac:dyDescent="0.2">
      <c r="E13133" s="1063"/>
      <c r="H13133" s="1066"/>
      <c r="I13133" s="1063"/>
      <c r="J13133" s="1063"/>
      <c r="K13133" s="1063"/>
      <c r="L13133" s="1063"/>
    </row>
    <row r="13134" spans="5:12" x14ac:dyDescent="0.2">
      <c r="E13134" s="1063"/>
      <c r="H13134" s="1066"/>
      <c r="I13134" s="1063"/>
      <c r="J13134" s="1063"/>
      <c r="K13134" s="1063"/>
      <c r="L13134" s="1063"/>
    </row>
    <row r="13135" spans="5:12" x14ac:dyDescent="0.2">
      <c r="E13135" s="1063"/>
      <c r="H13135" s="1066"/>
      <c r="I13135" s="1063"/>
      <c r="J13135" s="1063"/>
      <c r="K13135" s="1063"/>
      <c r="L13135" s="1063"/>
    </row>
    <row r="13136" spans="5:12" x14ac:dyDescent="0.2">
      <c r="E13136" s="1063"/>
      <c r="H13136" s="1066"/>
      <c r="I13136" s="1063"/>
      <c r="J13136" s="1063"/>
      <c r="K13136" s="1063"/>
      <c r="L13136" s="1063"/>
    </row>
    <row r="13137" spans="5:12" x14ac:dyDescent="0.2">
      <c r="E13137" s="1063"/>
      <c r="H13137" s="1066"/>
      <c r="I13137" s="1063"/>
      <c r="J13137" s="1063"/>
      <c r="K13137" s="1063"/>
      <c r="L13137" s="1063"/>
    </row>
    <row r="13138" spans="5:12" x14ac:dyDescent="0.2">
      <c r="E13138" s="1063"/>
      <c r="H13138" s="1066"/>
      <c r="I13138" s="1063"/>
      <c r="J13138" s="1063"/>
      <c r="K13138" s="1063"/>
      <c r="L13138" s="1063"/>
    </row>
    <row r="13139" spans="5:12" x14ac:dyDescent="0.2">
      <c r="E13139" s="1063"/>
      <c r="H13139" s="1066"/>
      <c r="I13139" s="1063"/>
      <c r="J13139" s="1063"/>
      <c r="K13139" s="1063"/>
      <c r="L13139" s="1063"/>
    </row>
    <row r="13140" spans="5:12" x14ac:dyDescent="0.2">
      <c r="E13140" s="1063"/>
      <c r="H13140" s="1066"/>
      <c r="I13140" s="1063"/>
      <c r="J13140" s="1063"/>
      <c r="K13140" s="1063"/>
      <c r="L13140" s="1063"/>
    </row>
    <row r="13141" spans="5:12" x14ac:dyDescent="0.2">
      <c r="E13141" s="1063"/>
      <c r="H13141" s="1066"/>
      <c r="I13141" s="1063"/>
      <c r="J13141" s="1063"/>
      <c r="K13141" s="1063"/>
      <c r="L13141" s="1063"/>
    </row>
    <row r="13142" spans="5:12" x14ac:dyDescent="0.2">
      <c r="E13142" s="1063"/>
      <c r="H13142" s="1066"/>
      <c r="I13142" s="1063"/>
      <c r="J13142" s="1063"/>
      <c r="K13142" s="1063"/>
      <c r="L13142" s="1063"/>
    </row>
    <row r="13143" spans="5:12" x14ac:dyDescent="0.2">
      <c r="E13143" s="1063"/>
      <c r="H13143" s="1066"/>
      <c r="I13143" s="1063"/>
      <c r="J13143" s="1063"/>
      <c r="K13143" s="1063"/>
      <c r="L13143" s="1063"/>
    </row>
    <row r="13144" spans="5:12" x14ac:dyDescent="0.2">
      <c r="E13144" s="1063"/>
      <c r="H13144" s="1066"/>
      <c r="I13144" s="1063"/>
      <c r="J13144" s="1063"/>
      <c r="K13144" s="1063"/>
      <c r="L13144" s="1063"/>
    </row>
    <row r="13145" spans="5:12" x14ac:dyDescent="0.2">
      <c r="E13145" s="1063"/>
      <c r="H13145" s="1066"/>
      <c r="I13145" s="1063"/>
      <c r="J13145" s="1063"/>
      <c r="K13145" s="1063"/>
      <c r="L13145" s="1063"/>
    </row>
    <row r="13146" spans="5:12" x14ac:dyDescent="0.2">
      <c r="E13146" s="1063"/>
      <c r="H13146" s="1066"/>
      <c r="I13146" s="1063"/>
      <c r="J13146" s="1063"/>
      <c r="K13146" s="1063"/>
      <c r="L13146" s="1063"/>
    </row>
    <row r="13147" spans="5:12" x14ac:dyDescent="0.2">
      <c r="E13147" s="1063"/>
      <c r="H13147" s="1066"/>
      <c r="I13147" s="1063"/>
      <c r="J13147" s="1063"/>
      <c r="K13147" s="1063"/>
      <c r="L13147" s="1063"/>
    </row>
    <row r="13148" spans="5:12" x14ac:dyDescent="0.2">
      <c r="E13148" s="1063"/>
      <c r="H13148" s="1066"/>
      <c r="I13148" s="1063"/>
      <c r="J13148" s="1063"/>
      <c r="K13148" s="1063"/>
      <c r="L13148" s="1063"/>
    </row>
    <row r="13149" spans="5:12" x14ac:dyDescent="0.2">
      <c r="E13149" s="1063"/>
      <c r="H13149" s="1066"/>
      <c r="I13149" s="1063"/>
      <c r="J13149" s="1063"/>
      <c r="K13149" s="1063"/>
      <c r="L13149" s="1063"/>
    </row>
    <row r="13150" spans="5:12" x14ac:dyDescent="0.2">
      <c r="E13150" s="1063"/>
      <c r="H13150" s="1066"/>
      <c r="I13150" s="1063"/>
      <c r="J13150" s="1063"/>
      <c r="K13150" s="1063"/>
      <c r="L13150" s="1063"/>
    </row>
    <row r="13151" spans="5:12" x14ac:dyDescent="0.2">
      <c r="E13151" s="1063"/>
      <c r="H13151" s="1066"/>
      <c r="I13151" s="1063"/>
      <c r="J13151" s="1063"/>
      <c r="K13151" s="1063"/>
      <c r="L13151" s="1063"/>
    </row>
    <row r="13152" spans="5:12" x14ac:dyDescent="0.2">
      <c r="E13152" s="1063"/>
      <c r="H13152" s="1066"/>
      <c r="I13152" s="1063"/>
      <c r="J13152" s="1063"/>
      <c r="K13152" s="1063"/>
      <c r="L13152" s="1063"/>
    </row>
    <row r="13153" spans="5:12" x14ac:dyDescent="0.2">
      <c r="E13153" s="1063"/>
      <c r="H13153" s="1066"/>
      <c r="I13153" s="1063"/>
      <c r="J13153" s="1063"/>
      <c r="K13153" s="1063"/>
      <c r="L13153" s="1063"/>
    </row>
    <row r="13154" spans="5:12" x14ac:dyDescent="0.2">
      <c r="E13154" s="1063"/>
      <c r="H13154" s="1066"/>
      <c r="I13154" s="1063"/>
      <c r="J13154" s="1063"/>
      <c r="K13154" s="1063"/>
      <c r="L13154" s="1063"/>
    </row>
    <row r="13155" spans="5:12" x14ac:dyDescent="0.2">
      <c r="E13155" s="1063"/>
      <c r="H13155" s="1066"/>
      <c r="I13155" s="1063"/>
      <c r="J13155" s="1063"/>
      <c r="K13155" s="1063"/>
      <c r="L13155" s="1063"/>
    </row>
    <row r="13156" spans="5:12" x14ac:dyDescent="0.2">
      <c r="E13156" s="1063"/>
      <c r="H13156" s="1066"/>
      <c r="I13156" s="1063"/>
      <c r="J13156" s="1063"/>
      <c r="K13156" s="1063"/>
      <c r="L13156" s="1063"/>
    </row>
    <row r="13157" spans="5:12" x14ac:dyDescent="0.2">
      <c r="E13157" s="1063"/>
      <c r="H13157" s="1066"/>
      <c r="I13157" s="1063"/>
      <c r="J13157" s="1063"/>
      <c r="K13157" s="1063"/>
      <c r="L13157" s="1063"/>
    </row>
    <row r="13158" spans="5:12" x14ac:dyDescent="0.2">
      <c r="E13158" s="1063"/>
      <c r="H13158" s="1066"/>
      <c r="I13158" s="1063"/>
      <c r="J13158" s="1063"/>
      <c r="K13158" s="1063"/>
      <c r="L13158" s="1063"/>
    </row>
    <row r="13159" spans="5:12" x14ac:dyDescent="0.2">
      <c r="E13159" s="1063"/>
      <c r="H13159" s="1066"/>
      <c r="I13159" s="1063"/>
      <c r="J13159" s="1063"/>
      <c r="K13159" s="1063"/>
      <c r="L13159" s="1063"/>
    </row>
    <row r="13160" spans="5:12" x14ac:dyDescent="0.2">
      <c r="E13160" s="1063"/>
      <c r="H13160" s="1066"/>
      <c r="I13160" s="1063"/>
      <c r="J13160" s="1063"/>
      <c r="K13160" s="1063"/>
      <c r="L13160" s="1063"/>
    </row>
    <row r="13161" spans="5:12" x14ac:dyDescent="0.2">
      <c r="E13161" s="1063"/>
      <c r="H13161" s="1066"/>
      <c r="I13161" s="1063"/>
      <c r="J13161" s="1063"/>
      <c r="K13161" s="1063"/>
      <c r="L13161" s="1063"/>
    </row>
    <row r="13162" spans="5:12" x14ac:dyDescent="0.2">
      <c r="E13162" s="1063"/>
      <c r="H13162" s="1066"/>
      <c r="I13162" s="1063"/>
      <c r="J13162" s="1063"/>
      <c r="K13162" s="1063"/>
      <c r="L13162" s="1063"/>
    </row>
    <row r="13163" spans="5:12" x14ac:dyDescent="0.2">
      <c r="E13163" s="1063"/>
      <c r="H13163" s="1066"/>
      <c r="I13163" s="1063"/>
      <c r="J13163" s="1063"/>
      <c r="K13163" s="1063"/>
      <c r="L13163" s="1063"/>
    </row>
    <row r="13164" spans="5:12" x14ac:dyDescent="0.2">
      <c r="E13164" s="1063"/>
      <c r="H13164" s="1066"/>
      <c r="I13164" s="1063"/>
      <c r="J13164" s="1063"/>
      <c r="K13164" s="1063"/>
      <c r="L13164" s="1063"/>
    </row>
    <row r="13165" spans="5:12" x14ac:dyDescent="0.2">
      <c r="E13165" s="1063"/>
      <c r="H13165" s="1066"/>
      <c r="I13165" s="1063"/>
      <c r="J13165" s="1063"/>
      <c r="K13165" s="1063"/>
      <c r="L13165" s="1063"/>
    </row>
    <row r="13166" spans="5:12" x14ac:dyDescent="0.2">
      <c r="E13166" s="1063"/>
      <c r="H13166" s="1066"/>
      <c r="I13166" s="1063"/>
      <c r="J13166" s="1063"/>
      <c r="K13166" s="1063"/>
      <c r="L13166" s="1063"/>
    </row>
    <row r="13167" spans="5:12" x14ac:dyDescent="0.2">
      <c r="E13167" s="1063"/>
      <c r="H13167" s="1066"/>
      <c r="I13167" s="1063"/>
      <c r="J13167" s="1063"/>
      <c r="K13167" s="1063"/>
      <c r="L13167" s="1063"/>
    </row>
    <row r="13168" spans="5:12" x14ac:dyDescent="0.2">
      <c r="E13168" s="1063"/>
      <c r="H13168" s="1066"/>
      <c r="I13168" s="1063"/>
      <c r="J13168" s="1063"/>
      <c r="K13168" s="1063"/>
      <c r="L13168" s="1063"/>
    </row>
    <row r="13169" spans="5:12" x14ac:dyDescent="0.2">
      <c r="E13169" s="1063"/>
      <c r="H13169" s="1066"/>
      <c r="I13169" s="1063"/>
      <c r="J13169" s="1063"/>
      <c r="K13169" s="1063"/>
      <c r="L13169" s="1063"/>
    </row>
    <row r="13170" spans="5:12" x14ac:dyDescent="0.2">
      <c r="E13170" s="1063"/>
      <c r="H13170" s="1066"/>
      <c r="I13170" s="1063"/>
      <c r="J13170" s="1063"/>
      <c r="K13170" s="1063"/>
      <c r="L13170" s="1063"/>
    </row>
    <row r="13171" spans="5:12" x14ac:dyDescent="0.2">
      <c r="E13171" s="1063"/>
      <c r="H13171" s="1066"/>
      <c r="I13171" s="1063"/>
      <c r="J13171" s="1063"/>
      <c r="K13171" s="1063"/>
      <c r="L13171" s="1063"/>
    </row>
    <row r="13172" spans="5:12" x14ac:dyDescent="0.2">
      <c r="E13172" s="1063"/>
      <c r="H13172" s="1066"/>
      <c r="I13172" s="1063"/>
      <c r="J13172" s="1063"/>
      <c r="K13172" s="1063"/>
      <c r="L13172" s="1063"/>
    </row>
    <row r="13173" spans="5:12" x14ac:dyDescent="0.2">
      <c r="E13173" s="1063"/>
      <c r="H13173" s="1066"/>
      <c r="I13173" s="1063"/>
      <c r="J13173" s="1063"/>
      <c r="K13173" s="1063"/>
      <c r="L13173" s="1063"/>
    </row>
    <row r="13174" spans="5:12" x14ac:dyDescent="0.2">
      <c r="E13174" s="1063"/>
      <c r="H13174" s="1066"/>
      <c r="I13174" s="1063"/>
      <c r="J13174" s="1063"/>
      <c r="K13174" s="1063"/>
      <c r="L13174" s="1063"/>
    </row>
    <row r="13175" spans="5:12" x14ac:dyDescent="0.2">
      <c r="E13175" s="1063"/>
      <c r="H13175" s="1066"/>
      <c r="I13175" s="1063"/>
      <c r="J13175" s="1063"/>
      <c r="K13175" s="1063"/>
      <c r="L13175" s="1063"/>
    </row>
    <row r="13176" spans="5:12" x14ac:dyDescent="0.2">
      <c r="E13176" s="1063"/>
      <c r="H13176" s="1066"/>
      <c r="I13176" s="1063"/>
      <c r="J13176" s="1063"/>
      <c r="K13176" s="1063"/>
      <c r="L13176" s="1063"/>
    </row>
    <row r="13177" spans="5:12" x14ac:dyDescent="0.2">
      <c r="E13177" s="1063"/>
      <c r="H13177" s="1066"/>
      <c r="I13177" s="1063"/>
      <c r="J13177" s="1063"/>
      <c r="K13177" s="1063"/>
      <c r="L13177" s="1063"/>
    </row>
    <row r="13178" spans="5:12" x14ac:dyDescent="0.2">
      <c r="E13178" s="1063"/>
      <c r="H13178" s="1066"/>
      <c r="I13178" s="1063"/>
      <c r="J13178" s="1063"/>
      <c r="K13178" s="1063"/>
      <c r="L13178" s="1063"/>
    </row>
    <row r="13179" spans="5:12" x14ac:dyDescent="0.2">
      <c r="E13179" s="1063"/>
      <c r="H13179" s="1066"/>
      <c r="I13179" s="1063"/>
      <c r="J13179" s="1063"/>
      <c r="K13179" s="1063"/>
      <c r="L13179" s="1063"/>
    </row>
    <row r="13180" spans="5:12" x14ac:dyDescent="0.2">
      <c r="E13180" s="1063"/>
      <c r="H13180" s="1066"/>
      <c r="I13180" s="1063"/>
      <c r="J13180" s="1063"/>
      <c r="K13180" s="1063"/>
      <c r="L13180" s="1063"/>
    </row>
    <row r="13181" spans="5:12" x14ac:dyDescent="0.2">
      <c r="E13181" s="1063"/>
      <c r="H13181" s="1066"/>
      <c r="I13181" s="1063"/>
      <c r="J13181" s="1063"/>
      <c r="K13181" s="1063"/>
      <c r="L13181" s="1063"/>
    </row>
    <row r="13182" spans="5:12" x14ac:dyDescent="0.2">
      <c r="E13182" s="1063"/>
      <c r="H13182" s="1066"/>
      <c r="I13182" s="1063"/>
      <c r="J13182" s="1063"/>
      <c r="K13182" s="1063"/>
      <c r="L13182" s="1063"/>
    </row>
    <row r="13183" spans="5:12" x14ac:dyDescent="0.2">
      <c r="E13183" s="1063"/>
      <c r="H13183" s="1066"/>
      <c r="I13183" s="1063"/>
      <c r="J13183" s="1063"/>
      <c r="K13183" s="1063"/>
      <c r="L13183" s="1063"/>
    </row>
    <row r="13184" spans="5:12" x14ac:dyDescent="0.2">
      <c r="E13184" s="1063"/>
      <c r="H13184" s="1066"/>
      <c r="I13184" s="1063"/>
      <c r="J13184" s="1063"/>
      <c r="K13184" s="1063"/>
      <c r="L13184" s="1063"/>
    </row>
    <row r="13185" spans="5:12" x14ac:dyDescent="0.2">
      <c r="E13185" s="1063"/>
      <c r="H13185" s="1066"/>
      <c r="I13185" s="1063"/>
      <c r="J13185" s="1063"/>
      <c r="K13185" s="1063"/>
      <c r="L13185" s="1063"/>
    </row>
    <row r="13186" spans="5:12" x14ac:dyDescent="0.2">
      <c r="E13186" s="1063"/>
      <c r="H13186" s="1066"/>
      <c r="I13186" s="1063"/>
      <c r="J13186" s="1063"/>
      <c r="K13186" s="1063"/>
      <c r="L13186" s="1063"/>
    </row>
    <row r="13187" spans="5:12" x14ac:dyDescent="0.2">
      <c r="E13187" s="1063"/>
      <c r="H13187" s="1066"/>
      <c r="I13187" s="1063"/>
      <c r="J13187" s="1063"/>
      <c r="K13187" s="1063"/>
      <c r="L13187" s="1063"/>
    </row>
    <row r="13188" spans="5:12" x14ac:dyDescent="0.2">
      <c r="E13188" s="1063"/>
      <c r="H13188" s="1066"/>
      <c r="I13188" s="1063"/>
      <c r="J13188" s="1063"/>
      <c r="K13188" s="1063"/>
      <c r="L13188" s="1063"/>
    </row>
    <row r="13189" spans="5:12" x14ac:dyDescent="0.2">
      <c r="E13189" s="1063"/>
      <c r="H13189" s="1066"/>
      <c r="I13189" s="1063"/>
      <c r="J13189" s="1063"/>
      <c r="K13189" s="1063"/>
      <c r="L13189" s="1063"/>
    </row>
    <row r="13190" spans="5:12" x14ac:dyDescent="0.2">
      <c r="E13190" s="1063"/>
      <c r="H13190" s="1066"/>
      <c r="I13190" s="1063"/>
      <c r="J13190" s="1063"/>
      <c r="K13190" s="1063"/>
      <c r="L13190" s="1063"/>
    </row>
    <row r="13191" spans="5:12" x14ac:dyDescent="0.2">
      <c r="E13191" s="1063"/>
      <c r="H13191" s="1066"/>
      <c r="I13191" s="1063"/>
      <c r="J13191" s="1063"/>
      <c r="K13191" s="1063"/>
      <c r="L13191" s="1063"/>
    </row>
    <row r="13192" spans="5:12" x14ac:dyDescent="0.2">
      <c r="E13192" s="1063"/>
      <c r="H13192" s="1066"/>
      <c r="I13192" s="1063"/>
      <c r="J13192" s="1063"/>
      <c r="K13192" s="1063"/>
      <c r="L13192" s="1063"/>
    </row>
    <row r="13193" spans="5:12" x14ac:dyDescent="0.2">
      <c r="E13193" s="1063"/>
      <c r="H13193" s="1066"/>
      <c r="I13193" s="1063"/>
      <c r="J13193" s="1063"/>
      <c r="K13193" s="1063"/>
      <c r="L13193" s="1063"/>
    </row>
    <row r="13194" spans="5:12" x14ac:dyDescent="0.2">
      <c r="E13194" s="1063"/>
      <c r="H13194" s="1066"/>
      <c r="I13194" s="1063"/>
      <c r="J13194" s="1063"/>
      <c r="K13194" s="1063"/>
      <c r="L13194" s="1063"/>
    </row>
    <row r="13195" spans="5:12" x14ac:dyDescent="0.2">
      <c r="E13195" s="1063"/>
      <c r="H13195" s="1066"/>
      <c r="I13195" s="1063"/>
      <c r="J13195" s="1063"/>
      <c r="K13195" s="1063"/>
      <c r="L13195" s="1063"/>
    </row>
    <row r="13196" spans="5:12" x14ac:dyDescent="0.2">
      <c r="E13196" s="1063"/>
      <c r="H13196" s="1066"/>
      <c r="I13196" s="1063"/>
      <c r="J13196" s="1063"/>
      <c r="K13196" s="1063"/>
      <c r="L13196" s="1063"/>
    </row>
    <row r="13197" spans="5:12" x14ac:dyDescent="0.2">
      <c r="E13197" s="1063"/>
      <c r="H13197" s="1066"/>
      <c r="I13197" s="1063"/>
      <c r="J13197" s="1063"/>
      <c r="K13197" s="1063"/>
      <c r="L13197" s="1063"/>
    </row>
    <row r="13198" spans="5:12" x14ac:dyDescent="0.2">
      <c r="E13198" s="1063"/>
      <c r="H13198" s="1066"/>
      <c r="I13198" s="1063"/>
      <c r="J13198" s="1063"/>
      <c r="K13198" s="1063"/>
      <c r="L13198" s="1063"/>
    </row>
    <row r="13199" spans="5:12" x14ac:dyDescent="0.2">
      <c r="E13199" s="1063"/>
      <c r="H13199" s="1066"/>
      <c r="I13199" s="1063"/>
      <c r="J13199" s="1063"/>
      <c r="K13199" s="1063"/>
      <c r="L13199" s="1063"/>
    </row>
    <row r="13200" spans="5:12" x14ac:dyDescent="0.2">
      <c r="E13200" s="1063"/>
      <c r="H13200" s="1066"/>
      <c r="I13200" s="1063"/>
      <c r="J13200" s="1063"/>
      <c r="K13200" s="1063"/>
      <c r="L13200" s="1063"/>
    </row>
    <row r="13201" spans="5:12" x14ac:dyDescent="0.2">
      <c r="E13201" s="1063"/>
      <c r="H13201" s="1066"/>
      <c r="I13201" s="1063"/>
      <c r="J13201" s="1063"/>
      <c r="K13201" s="1063"/>
      <c r="L13201" s="1063"/>
    </row>
    <row r="13202" spans="5:12" x14ac:dyDescent="0.2">
      <c r="E13202" s="1063"/>
      <c r="H13202" s="1066"/>
      <c r="I13202" s="1063"/>
      <c r="J13202" s="1063"/>
      <c r="K13202" s="1063"/>
      <c r="L13202" s="1063"/>
    </row>
    <row r="13203" spans="5:12" x14ac:dyDescent="0.2">
      <c r="E13203" s="1063"/>
      <c r="H13203" s="1066"/>
      <c r="I13203" s="1063"/>
      <c r="J13203" s="1063"/>
      <c r="K13203" s="1063"/>
      <c r="L13203" s="1063"/>
    </row>
    <row r="13204" spans="5:12" x14ac:dyDescent="0.2">
      <c r="E13204" s="1063"/>
      <c r="H13204" s="1066"/>
      <c r="I13204" s="1063"/>
      <c r="J13204" s="1063"/>
      <c r="K13204" s="1063"/>
      <c r="L13204" s="1063"/>
    </row>
    <row r="13205" spans="5:12" x14ac:dyDescent="0.2">
      <c r="E13205" s="1063"/>
      <c r="H13205" s="1066"/>
      <c r="I13205" s="1063"/>
      <c r="J13205" s="1063"/>
      <c r="K13205" s="1063"/>
      <c r="L13205" s="1063"/>
    </row>
    <row r="13206" spans="5:12" x14ac:dyDescent="0.2">
      <c r="E13206" s="1063"/>
      <c r="H13206" s="1066"/>
      <c r="I13206" s="1063"/>
      <c r="J13206" s="1063"/>
      <c r="K13206" s="1063"/>
      <c r="L13206" s="1063"/>
    </row>
    <row r="13207" spans="5:12" x14ac:dyDescent="0.2">
      <c r="E13207" s="1063"/>
      <c r="H13207" s="1066"/>
      <c r="I13207" s="1063"/>
      <c r="J13207" s="1063"/>
      <c r="K13207" s="1063"/>
      <c r="L13207" s="1063"/>
    </row>
    <row r="13208" spans="5:12" x14ac:dyDescent="0.2">
      <c r="E13208" s="1063"/>
      <c r="H13208" s="1066"/>
      <c r="I13208" s="1063"/>
      <c r="J13208" s="1063"/>
      <c r="K13208" s="1063"/>
      <c r="L13208" s="1063"/>
    </row>
    <row r="13209" spans="5:12" x14ac:dyDescent="0.2">
      <c r="E13209" s="1063"/>
      <c r="H13209" s="1066"/>
      <c r="I13209" s="1063"/>
      <c r="J13209" s="1063"/>
      <c r="K13209" s="1063"/>
      <c r="L13209" s="1063"/>
    </row>
    <row r="13210" spans="5:12" x14ac:dyDescent="0.2">
      <c r="E13210" s="1063"/>
      <c r="H13210" s="1066"/>
      <c r="I13210" s="1063"/>
      <c r="J13210" s="1063"/>
      <c r="K13210" s="1063"/>
      <c r="L13210" s="1063"/>
    </row>
    <row r="13211" spans="5:12" x14ac:dyDescent="0.2">
      <c r="E13211" s="1063"/>
      <c r="H13211" s="1066"/>
      <c r="I13211" s="1063"/>
      <c r="J13211" s="1063"/>
      <c r="K13211" s="1063"/>
      <c r="L13211" s="1063"/>
    </row>
    <row r="13212" spans="5:12" x14ac:dyDescent="0.2">
      <c r="E13212" s="1063"/>
      <c r="H13212" s="1066"/>
      <c r="I13212" s="1063"/>
      <c r="J13212" s="1063"/>
      <c r="K13212" s="1063"/>
      <c r="L13212" s="1063"/>
    </row>
    <row r="13213" spans="5:12" x14ac:dyDescent="0.2">
      <c r="E13213" s="1063"/>
      <c r="H13213" s="1066"/>
      <c r="I13213" s="1063"/>
      <c r="J13213" s="1063"/>
      <c r="K13213" s="1063"/>
      <c r="L13213" s="1063"/>
    </row>
    <row r="13214" spans="5:12" x14ac:dyDescent="0.2">
      <c r="E13214" s="1063"/>
      <c r="H13214" s="1066"/>
      <c r="I13214" s="1063"/>
      <c r="J13214" s="1063"/>
      <c r="K13214" s="1063"/>
      <c r="L13214" s="1063"/>
    </row>
    <row r="13215" spans="5:12" x14ac:dyDescent="0.2">
      <c r="E13215" s="1063"/>
      <c r="H13215" s="1066"/>
      <c r="I13215" s="1063"/>
      <c r="J13215" s="1063"/>
      <c r="K13215" s="1063"/>
      <c r="L13215" s="1063"/>
    </row>
    <row r="13216" spans="5:12" x14ac:dyDescent="0.2">
      <c r="E13216" s="1063"/>
      <c r="H13216" s="1066"/>
      <c r="I13216" s="1063"/>
      <c r="J13216" s="1063"/>
      <c r="K13216" s="1063"/>
      <c r="L13216" s="1063"/>
    </row>
    <row r="13217" spans="5:12" x14ac:dyDescent="0.2">
      <c r="E13217" s="1063"/>
      <c r="H13217" s="1066"/>
      <c r="I13217" s="1063"/>
      <c r="J13217" s="1063"/>
      <c r="K13217" s="1063"/>
      <c r="L13217" s="1063"/>
    </row>
    <row r="13218" spans="5:12" x14ac:dyDescent="0.2">
      <c r="E13218" s="1063"/>
      <c r="H13218" s="1066"/>
      <c r="I13218" s="1063"/>
      <c r="J13218" s="1063"/>
      <c r="K13218" s="1063"/>
      <c r="L13218" s="1063"/>
    </row>
    <row r="13219" spans="5:12" x14ac:dyDescent="0.2">
      <c r="E13219" s="1063"/>
      <c r="H13219" s="1066"/>
      <c r="I13219" s="1063"/>
      <c r="J13219" s="1063"/>
      <c r="K13219" s="1063"/>
      <c r="L13219" s="1063"/>
    </row>
    <row r="13220" spans="5:12" x14ac:dyDescent="0.2">
      <c r="E13220" s="1063"/>
      <c r="H13220" s="1066"/>
      <c r="I13220" s="1063"/>
      <c r="J13220" s="1063"/>
      <c r="K13220" s="1063"/>
      <c r="L13220" s="1063"/>
    </row>
    <row r="13221" spans="5:12" x14ac:dyDescent="0.2">
      <c r="E13221" s="1063"/>
      <c r="H13221" s="1066"/>
      <c r="I13221" s="1063"/>
      <c r="J13221" s="1063"/>
      <c r="K13221" s="1063"/>
      <c r="L13221" s="1063"/>
    </row>
    <row r="13222" spans="5:12" x14ac:dyDescent="0.2">
      <c r="E13222" s="1063"/>
      <c r="H13222" s="1066"/>
      <c r="I13222" s="1063"/>
      <c r="J13222" s="1063"/>
      <c r="K13222" s="1063"/>
      <c r="L13222" s="1063"/>
    </row>
    <row r="13223" spans="5:12" x14ac:dyDescent="0.2">
      <c r="E13223" s="1063"/>
      <c r="H13223" s="1066"/>
      <c r="I13223" s="1063"/>
      <c r="J13223" s="1063"/>
      <c r="K13223" s="1063"/>
      <c r="L13223" s="1063"/>
    </row>
    <row r="13224" spans="5:12" x14ac:dyDescent="0.2">
      <c r="E13224" s="1063"/>
      <c r="H13224" s="1066"/>
      <c r="I13224" s="1063"/>
      <c r="J13224" s="1063"/>
      <c r="K13224" s="1063"/>
      <c r="L13224" s="1063"/>
    </row>
    <row r="13225" spans="5:12" x14ac:dyDescent="0.2">
      <c r="E13225" s="1063"/>
      <c r="H13225" s="1066"/>
      <c r="I13225" s="1063"/>
      <c r="J13225" s="1063"/>
      <c r="K13225" s="1063"/>
      <c r="L13225" s="1063"/>
    </row>
    <row r="13226" spans="5:12" x14ac:dyDescent="0.2">
      <c r="E13226" s="1063"/>
      <c r="H13226" s="1066"/>
      <c r="I13226" s="1063"/>
      <c r="J13226" s="1063"/>
      <c r="K13226" s="1063"/>
      <c r="L13226" s="1063"/>
    </row>
    <row r="13227" spans="5:12" x14ac:dyDescent="0.2">
      <c r="E13227" s="1063"/>
      <c r="H13227" s="1066"/>
      <c r="I13227" s="1063"/>
      <c r="J13227" s="1063"/>
      <c r="K13227" s="1063"/>
      <c r="L13227" s="1063"/>
    </row>
    <row r="13228" spans="5:12" x14ac:dyDescent="0.2">
      <c r="E13228" s="1063"/>
      <c r="H13228" s="1066"/>
      <c r="I13228" s="1063"/>
      <c r="J13228" s="1063"/>
      <c r="K13228" s="1063"/>
      <c r="L13228" s="1063"/>
    </row>
    <row r="13229" spans="5:12" x14ac:dyDescent="0.2">
      <c r="E13229" s="1063"/>
      <c r="H13229" s="1066"/>
      <c r="I13229" s="1063"/>
      <c r="J13229" s="1063"/>
      <c r="K13229" s="1063"/>
      <c r="L13229" s="1063"/>
    </row>
    <row r="13230" spans="5:12" x14ac:dyDescent="0.2">
      <c r="E13230" s="1063"/>
      <c r="H13230" s="1066"/>
      <c r="I13230" s="1063"/>
      <c r="J13230" s="1063"/>
      <c r="K13230" s="1063"/>
      <c r="L13230" s="1063"/>
    </row>
    <row r="13231" spans="5:12" x14ac:dyDescent="0.2">
      <c r="E13231" s="1063"/>
      <c r="H13231" s="1066"/>
      <c r="I13231" s="1063"/>
      <c r="J13231" s="1063"/>
      <c r="K13231" s="1063"/>
      <c r="L13231" s="1063"/>
    </row>
    <row r="13232" spans="5:12" x14ac:dyDescent="0.2">
      <c r="E13232" s="1063"/>
      <c r="H13232" s="1066"/>
      <c r="I13232" s="1063"/>
      <c r="J13232" s="1063"/>
      <c r="K13232" s="1063"/>
      <c r="L13232" s="1063"/>
    </row>
    <row r="13233" spans="5:12" x14ac:dyDescent="0.2">
      <c r="E13233" s="1063"/>
      <c r="H13233" s="1066"/>
      <c r="I13233" s="1063"/>
      <c r="J13233" s="1063"/>
      <c r="K13233" s="1063"/>
      <c r="L13233" s="1063"/>
    </row>
    <row r="13234" spans="5:12" x14ac:dyDescent="0.2">
      <c r="E13234" s="1063"/>
      <c r="H13234" s="1066"/>
      <c r="I13234" s="1063"/>
      <c r="J13234" s="1063"/>
      <c r="K13234" s="1063"/>
      <c r="L13234" s="1063"/>
    </row>
    <row r="13235" spans="5:12" x14ac:dyDescent="0.2">
      <c r="E13235" s="1063"/>
      <c r="H13235" s="1066"/>
      <c r="I13235" s="1063"/>
      <c r="J13235" s="1063"/>
      <c r="K13235" s="1063"/>
      <c r="L13235" s="1063"/>
    </row>
    <row r="13236" spans="5:12" x14ac:dyDescent="0.2">
      <c r="E13236" s="1063"/>
      <c r="H13236" s="1066"/>
      <c r="I13236" s="1063"/>
      <c r="J13236" s="1063"/>
      <c r="K13236" s="1063"/>
      <c r="L13236" s="1063"/>
    </row>
    <row r="13237" spans="5:12" x14ac:dyDescent="0.2">
      <c r="E13237" s="1063"/>
      <c r="H13237" s="1066"/>
      <c r="I13237" s="1063"/>
      <c r="J13237" s="1063"/>
      <c r="K13237" s="1063"/>
      <c r="L13237" s="1063"/>
    </row>
    <row r="13238" spans="5:12" x14ac:dyDescent="0.2">
      <c r="E13238" s="1063"/>
      <c r="H13238" s="1066"/>
      <c r="I13238" s="1063"/>
      <c r="J13238" s="1063"/>
      <c r="K13238" s="1063"/>
      <c r="L13238" s="1063"/>
    </row>
    <row r="13239" spans="5:12" x14ac:dyDescent="0.2">
      <c r="E13239" s="1063"/>
      <c r="H13239" s="1066"/>
      <c r="I13239" s="1063"/>
      <c r="J13239" s="1063"/>
      <c r="K13239" s="1063"/>
      <c r="L13239" s="1063"/>
    </row>
    <row r="13240" spans="5:12" x14ac:dyDescent="0.2">
      <c r="E13240" s="1063"/>
      <c r="H13240" s="1066"/>
      <c r="I13240" s="1063"/>
      <c r="J13240" s="1063"/>
      <c r="K13240" s="1063"/>
      <c r="L13240" s="1063"/>
    </row>
    <row r="13241" spans="5:12" x14ac:dyDescent="0.2">
      <c r="E13241" s="1063"/>
      <c r="H13241" s="1066"/>
      <c r="I13241" s="1063"/>
      <c r="J13241" s="1063"/>
      <c r="K13241" s="1063"/>
      <c r="L13241" s="1063"/>
    </row>
    <row r="13242" spans="5:12" x14ac:dyDescent="0.2">
      <c r="E13242" s="1063"/>
      <c r="H13242" s="1066"/>
      <c r="I13242" s="1063"/>
      <c r="J13242" s="1063"/>
      <c r="K13242" s="1063"/>
      <c r="L13242" s="1063"/>
    </row>
    <row r="13243" spans="5:12" x14ac:dyDescent="0.2">
      <c r="E13243" s="1063"/>
      <c r="H13243" s="1066"/>
      <c r="I13243" s="1063"/>
      <c r="J13243" s="1063"/>
      <c r="K13243" s="1063"/>
      <c r="L13243" s="1063"/>
    </row>
    <row r="13244" spans="5:12" x14ac:dyDescent="0.2">
      <c r="E13244" s="1063"/>
      <c r="H13244" s="1066"/>
      <c r="I13244" s="1063"/>
      <c r="J13244" s="1063"/>
      <c r="K13244" s="1063"/>
      <c r="L13244" s="1063"/>
    </row>
    <row r="13245" spans="5:12" x14ac:dyDescent="0.2">
      <c r="E13245" s="1063"/>
      <c r="H13245" s="1066"/>
      <c r="I13245" s="1063"/>
      <c r="J13245" s="1063"/>
      <c r="K13245" s="1063"/>
      <c r="L13245" s="1063"/>
    </row>
    <row r="13246" spans="5:12" x14ac:dyDescent="0.2">
      <c r="E13246" s="1063"/>
      <c r="H13246" s="1066"/>
      <c r="I13246" s="1063"/>
      <c r="J13246" s="1063"/>
      <c r="K13246" s="1063"/>
      <c r="L13246" s="1063"/>
    </row>
    <row r="13247" spans="5:12" x14ac:dyDescent="0.2">
      <c r="E13247" s="1063"/>
      <c r="H13247" s="1066"/>
      <c r="I13247" s="1063"/>
      <c r="J13247" s="1063"/>
      <c r="K13247" s="1063"/>
      <c r="L13247" s="1063"/>
    </row>
    <row r="13248" spans="5:12" x14ac:dyDescent="0.2">
      <c r="E13248" s="1063"/>
      <c r="H13248" s="1066"/>
      <c r="I13248" s="1063"/>
      <c r="J13248" s="1063"/>
      <c r="K13248" s="1063"/>
      <c r="L13248" s="1063"/>
    </row>
    <row r="13249" spans="5:12" x14ac:dyDescent="0.2">
      <c r="E13249" s="1063"/>
      <c r="H13249" s="1066"/>
      <c r="I13249" s="1063"/>
      <c r="J13249" s="1063"/>
      <c r="K13249" s="1063"/>
      <c r="L13249" s="1063"/>
    </row>
    <row r="13250" spans="5:12" x14ac:dyDescent="0.2">
      <c r="E13250" s="1063"/>
      <c r="H13250" s="1066"/>
      <c r="I13250" s="1063"/>
      <c r="J13250" s="1063"/>
      <c r="K13250" s="1063"/>
      <c r="L13250" s="1063"/>
    </row>
    <row r="13251" spans="5:12" x14ac:dyDescent="0.2">
      <c r="E13251" s="1063"/>
      <c r="H13251" s="1066"/>
      <c r="I13251" s="1063"/>
      <c r="J13251" s="1063"/>
      <c r="K13251" s="1063"/>
      <c r="L13251" s="1063"/>
    </row>
    <row r="13252" spans="5:12" x14ac:dyDescent="0.2">
      <c r="E13252" s="1063"/>
      <c r="H13252" s="1066"/>
      <c r="I13252" s="1063"/>
      <c r="J13252" s="1063"/>
      <c r="K13252" s="1063"/>
      <c r="L13252" s="1063"/>
    </row>
    <row r="13253" spans="5:12" x14ac:dyDescent="0.2">
      <c r="E13253" s="1063"/>
      <c r="H13253" s="1066"/>
      <c r="I13253" s="1063"/>
      <c r="J13253" s="1063"/>
      <c r="K13253" s="1063"/>
      <c r="L13253" s="1063"/>
    </row>
    <row r="13254" spans="5:12" x14ac:dyDescent="0.2">
      <c r="E13254" s="1063"/>
      <c r="H13254" s="1066"/>
      <c r="I13254" s="1063"/>
      <c r="J13254" s="1063"/>
      <c r="K13254" s="1063"/>
      <c r="L13254" s="1063"/>
    </row>
    <row r="13255" spans="5:12" x14ac:dyDescent="0.2">
      <c r="E13255" s="1063"/>
      <c r="H13255" s="1066"/>
      <c r="I13255" s="1063"/>
      <c r="J13255" s="1063"/>
      <c r="K13255" s="1063"/>
      <c r="L13255" s="1063"/>
    </row>
    <row r="13256" spans="5:12" x14ac:dyDescent="0.2">
      <c r="E13256" s="1063"/>
      <c r="H13256" s="1066"/>
      <c r="I13256" s="1063"/>
      <c r="J13256" s="1063"/>
      <c r="K13256" s="1063"/>
      <c r="L13256" s="1063"/>
    </row>
    <row r="13257" spans="5:12" x14ac:dyDescent="0.2">
      <c r="E13257" s="1063"/>
      <c r="H13257" s="1066"/>
      <c r="I13257" s="1063"/>
      <c r="J13257" s="1063"/>
      <c r="K13257" s="1063"/>
      <c r="L13257" s="1063"/>
    </row>
    <row r="13258" spans="5:12" x14ac:dyDescent="0.2">
      <c r="E13258" s="1063"/>
      <c r="H13258" s="1066"/>
      <c r="I13258" s="1063"/>
      <c r="J13258" s="1063"/>
      <c r="K13258" s="1063"/>
      <c r="L13258" s="1063"/>
    </row>
    <row r="13259" spans="5:12" x14ac:dyDescent="0.2">
      <c r="E13259" s="1063"/>
      <c r="H13259" s="1066"/>
      <c r="I13259" s="1063"/>
      <c r="J13259" s="1063"/>
      <c r="K13259" s="1063"/>
      <c r="L13259" s="1063"/>
    </row>
    <row r="13260" spans="5:12" x14ac:dyDescent="0.2">
      <c r="E13260" s="1063"/>
      <c r="H13260" s="1066"/>
      <c r="I13260" s="1063"/>
      <c r="J13260" s="1063"/>
      <c r="K13260" s="1063"/>
      <c r="L13260" s="1063"/>
    </row>
    <row r="13261" spans="5:12" x14ac:dyDescent="0.2">
      <c r="E13261" s="1063"/>
      <c r="H13261" s="1066"/>
      <c r="I13261" s="1063"/>
      <c r="J13261" s="1063"/>
      <c r="K13261" s="1063"/>
      <c r="L13261" s="1063"/>
    </row>
    <row r="13262" spans="5:12" x14ac:dyDescent="0.2">
      <c r="E13262" s="1063"/>
      <c r="H13262" s="1066"/>
      <c r="I13262" s="1063"/>
      <c r="J13262" s="1063"/>
      <c r="K13262" s="1063"/>
      <c r="L13262" s="1063"/>
    </row>
    <row r="13263" spans="5:12" x14ac:dyDescent="0.2">
      <c r="E13263" s="1063"/>
      <c r="H13263" s="1066"/>
      <c r="I13263" s="1063"/>
      <c r="J13263" s="1063"/>
      <c r="K13263" s="1063"/>
      <c r="L13263" s="1063"/>
    </row>
    <row r="13264" spans="5:12" x14ac:dyDescent="0.2">
      <c r="E13264" s="1063"/>
      <c r="H13264" s="1066"/>
      <c r="I13264" s="1063"/>
      <c r="J13264" s="1063"/>
      <c r="K13264" s="1063"/>
      <c r="L13264" s="1063"/>
    </row>
    <row r="13265" spans="5:12" x14ac:dyDescent="0.2">
      <c r="E13265" s="1063"/>
      <c r="H13265" s="1066"/>
      <c r="I13265" s="1063"/>
      <c r="J13265" s="1063"/>
      <c r="K13265" s="1063"/>
      <c r="L13265" s="1063"/>
    </row>
    <row r="13266" spans="5:12" x14ac:dyDescent="0.2">
      <c r="E13266" s="1063"/>
      <c r="H13266" s="1066"/>
      <c r="I13266" s="1063"/>
      <c r="J13266" s="1063"/>
      <c r="K13266" s="1063"/>
      <c r="L13266" s="1063"/>
    </row>
    <row r="13267" spans="5:12" x14ac:dyDescent="0.2">
      <c r="E13267" s="1063"/>
      <c r="H13267" s="1066"/>
      <c r="I13267" s="1063"/>
      <c r="J13267" s="1063"/>
      <c r="K13267" s="1063"/>
      <c r="L13267" s="1063"/>
    </row>
    <row r="13268" spans="5:12" x14ac:dyDescent="0.2">
      <c r="E13268" s="1063"/>
      <c r="H13268" s="1066"/>
      <c r="I13268" s="1063"/>
      <c r="J13268" s="1063"/>
      <c r="K13268" s="1063"/>
      <c r="L13268" s="1063"/>
    </row>
    <row r="13269" spans="5:12" x14ac:dyDescent="0.2">
      <c r="E13269" s="1063"/>
      <c r="H13269" s="1066"/>
      <c r="I13269" s="1063"/>
      <c r="J13269" s="1063"/>
      <c r="K13269" s="1063"/>
      <c r="L13269" s="1063"/>
    </row>
    <row r="13270" spans="5:12" x14ac:dyDescent="0.2">
      <c r="E13270" s="1063"/>
      <c r="H13270" s="1066"/>
      <c r="I13270" s="1063"/>
      <c r="J13270" s="1063"/>
      <c r="K13270" s="1063"/>
      <c r="L13270" s="1063"/>
    </row>
    <row r="13271" spans="5:12" x14ac:dyDescent="0.2">
      <c r="E13271" s="1063"/>
      <c r="H13271" s="1066"/>
      <c r="I13271" s="1063"/>
      <c r="J13271" s="1063"/>
      <c r="K13271" s="1063"/>
      <c r="L13271" s="1063"/>
    </row>
    <row r="13272" spans="5:12" x14ac:dyDescent="0.2">
      <c r="E13272" s="1063"/>
      <c r="H13272" s="1066"/>
      <c r="I13272" s="1063"/>
      <c r="J13272" s="1063"/>
      <c r="K13272" s="1063"/>
      <c r="L13272" s="1063"/>
    </row>
    <row r="13273" spans="5:12" x14ac:dyDescent="0.2">
      <c r="E13273" s="1063"/>
      <c r="H13273" s="1066"/>
      <c r="I13273" s="1063"/>
      <c r="J13273" s="1063"/>
      <c r="K13273" s="1063"/>
      <c r="L13273" s="1063"/>
    </row>
    <row r="13274" spans="5:12" x14ac:dyDescent="0.2">
      <c r="E13274" s="1063"/>
      <c r="H13274" s="1066"/>
      <c r="I13274" s="1063"/>
      <c r="J13274" s="1063"/>
      <c r="K13274" s="1063"/>
      <c r="L13274" s="1063"/>
    </row>
    <row r="13275" spans="5:12" x14ac:dyDescent="0.2">
      <c r="E13275" s="1063"/>
      <c r="H13275" s="1066"/>
      <c r="I13275" s="1063"/>
      <c r="J13275" s="1063"/>
      <c r="K13275" s="1063"/>
      <c r="L13275" s="1063"/>
    </row>
    <row r="13276" spans="5:12" x14ac:dyDescent="0.2">
      <c r="E13276" s="1063"/>
      <c r="H13276" s="1066"/>
      <c r="I13276" s="1063"/>
      <c r="J13276" s="1063"/>
      <c r="K13276" s="1063"/>
      <c r="L13276" s="1063"/>
    </row>
    <row r="13277" spans="5:12" x14ac:dyDescent="0.2">
      <c r="E13277" s="1063"/>
      <c r="H13277" s="1066"/>
      <c r="I13277" s="1063"/>
      <c r="J13277" s="1063"/>
      <c r="K13277" s="1063"/>
      <c r="L13277" s="1063"/>
    </row>
    <row r="13278" spans="5:12" x14ac:dyDescent="0.2">
      <c r="E13278" s="1063"/>
      <c r="H13278" s="1066"/>
      <c r="I13278" s="1063"/>
      <c r="J13278" s="1063"/>
      <c r="K13278" s="1063"/>
      <c r="L13278" s="1063"/>
    </row>
    <row r="13279" spans="5:12" x14ac:dyDescent="0.2">
      <c r="E13279" s="1063"/>
      <c r="H13279" s="1066"/>
      <c r="I13279" s="1063"/>
      <c r="J13279" s="1063"/>
      <c r="K13279" s="1063"/>
      <c r="L13279" s="1063"/>
    </row>
    <row r="13280" spans="5:12" x14ac:dyDescent="0.2">
      <c r="E13280" s="1063"/>
      <c r="H13280" s="1066"/>
      <c r="I13280" s="1063"/>
      <c r="J13280" s="1063"/>
      <c r="K13280" s="1063"/>
      <c r="L13280" s="1063"/>
    </row>
    <row r="13281" spans="5:12" x14ac:dyDescent="0.2">
      <c r="E13281" s="1063"/>
      <c r="H13281" s="1066"/>
      <c r="I13281" s="1063"/>
      <c r="J13281" s="1063"/>
      <c r="K13281" s="1063"/>
      <c r="L13281" s="1063"/>
    </row>
    <row r="13282" spans="5:12" x14ac:dyDescent="0.2">
      <c r="E13282" s="1063"/>
      <c r="H13282" s="1066"/>
      <c r="I13282" s="1063"/>
      <c r="J13282" s="1063"/>
      <c r="K13282" s="1063"/>
      <c r="L13282" s="1063"/>
    </row>
    <row r="13283" spans="5:12" x14ac:dyDescent="0.2">
      <c r="E13283" s="1063"/>
      <c r="H13283" s="1066"/>
      <c r="I13283" s="1063"/>
      <c r="J13283" s="1063"/>
      <c r="K13283" s="1063"/>
      <c r="L13283" s="1063"/>
    </row>
    <row r="13284" spans="5:12" x14ac:dyDescent="0.2">
      <c r="E13284" s="1063"/>
      <c r="H13284" s="1066"/>
      <c r="I13284" s="1063"/>
      <c r="J13284" s="1063"/>
      <c r="K13284" s="1063"/>
      <c r="L13284" s="1063"/>
    </row>
    <row r="13285" spans="5:12" x14ac:dyDescent="0.2">
      <c r="E13285" s="1063"/>
      <c r="H13285" s="1066"/>
      <c r="I13285" s="1063"/>
      <c r="J13285" s="1063"/>
      <c r="K13285" s="1063"/>
      <c r="L13285" s="1063"/>
    </row>
    <row r="13286" spans="5:12" x14ac:dyDescent="0.2">
      <c r="E13286" s="1063"/>
      <c r="H13286" s="1066"/>
      <c r="I13286" s="1063"/>
      <c r="J13286" s="1063"/>
      <c r="K13286" s="1063"/>
      <c r="L13286" s="1063"/>
    </row>
    <row r="13287" spans="5:12" x14ac:dyDescent="0.2">
      <c r="E13287" s="1063"/>
      <c r="H13287" s="1066"/>
      <c r="I13287" s="1063"/>
      <c r="J13287" s="1063"/>
      <c r="K13287" s="1063"/>
      <c r="L13287" s="1063"/>
    </row>
    <row r="13288" spans="5:12" x14ac:dyDescent="0.2">
      <c r="E13288" s="1063"/>
      <c r="H13288" s="1066"/>
      <c r="I13288" s="1063"/>
      <c r="J13288" s="1063"/>
      <c r="K13288" s="1063"/>
      <c r="L13288" s="1063"/>
    </row>
    <row r="13289" spans="5:12" x14ac:dyDescent="0.2">
      <c r="E13289" s="1063"/>
      <c r="H13289" s="1066"/>
      <c r="I13289" s="1063"/>
      <c r="J13289" s="1063"/>
      <c r="K13289" s="1063"/>
      <c r="L13289" s="1063"/>
    </row>
    <row r="13290" spans="5:12" x14ac:dyDescent="0.2">
      <c r="E13290" s="1063"/>
      <c r="H13290" s="1066"/>
      <c r="I13290" s="1063"/>
      <c r="J13290" s="1063"/>
      <c r="K13290" s="1063"/>
      <c r="L13290" s="1063"/>
    </row>
    <row r="13291" spans="5:12" x14ac:dyDescent="0.2">
      <c r="E13291" s="1063"/>
      <c r="H13291" s="1066"/>
      <c r="I13291" s="1063"/>
      <c r="J13291" s="1063"/>
      <c r="K13291" s="1063"/>
      <c r="L13291" s="1063"/>
    </row>
    <row r="13292" spans="5:12" x14ac:dyDescent="0.2">
      <c r="E13292" s="1063"/>
      <c r="H13292" s="1066"/>
      <c r="I13292" s="1063"/>
      <c r="J13292" s="1063"/>
      <c r="K13292" s="1063"/>
      <c r="L13292" s="1063"/>
    </row>
    <row r="13293" spans="5:12" x14ac:dyDescent="0.2">
      <c r="E13293" s="1063"/>
      <c r="H13293" s="1066"/>
      <c r="I13293" s="1063"/>
      <c r="J13293" s="1063"/>
      <c r="K13293" s="1063"/>
      <c r="L13293" s="1063"/>
    </row>
    <row r="13294" spans="5:12" x14ac:dyDescent="0.2">
      <c r="E13294" s="1063"/>
      <c r="H13294" s="1066"/>
      <c r="I13294" s="1063"/>
      <c r="J13294" s="1063"/>
      <c r="K13294" s="1063"/>
      <c r="L13294" s="1063"/>
    </row>
    <row r="13295" spans="5:12" x14ac:dyDescent="0.2">
      <c r="E13295" s="1063"/>
      <c r="H13295" s="1066"/>
      <c r="I13295" s="1063"/>
      <c r="J13295" s="1063"/>
      <c r="K13295" s="1063"/>
      <c r="L13295" s="1063"/>
    </row>
    <row r="13296" spans="5:12" x14ac:dyDescent="0.2">
      <c r="E13296" s="1063"/>
      <c r="H13296" s="1066"/>
      <c r="I13296" s="1063"/>
      <c r="J13296" s="1063"/>
      <c r="K13296" s="1063"/>
      <c r="L13296" s="1063"/>
    </row>
    <row r="13297" spans="5:12" x14ac:dyDescent="0.2">
      <c r="E13297" s="1063"/>
      <c r="H13297" s="1066"/>
      <c r="I13297" s="1063"/>
      <c r="J13297" s="1063"/>
      <c r="K13297" s="1063"/>
      <c r="L13297" s="1063"/>
    </row>
    <row r="13298" spans="5:12" x14ac:dyDescent="0.2">
      <c r="E13298" s="1063"/>
      <c r="H13298" s="1066"/>
      <c r="I13298" s="1063"/>
      <c r="J13298" s="1063"/>
      <c r="K13298" s="1063"/>
      <c r="L13298" s="1063"/>
    </row>
    <row r="13299" spans="5:12" x14ac:dyDescent="0.2">
      <c r="E13299" s="1063"/>
      <c r="H13299" s="1066"/>
      <c r="I13299" s="1063"/>
      <c r="J13299" s="1063"/>
      <c r="K13299" s="1063"/>
      <c r="L13299" s="1063"/>
    </row>
    <row r="13300" spans="5:12" x14ac:dyDescent="0.2">
      <c r="E13300" s="1063"/>
      <c r="H13300" s="1066"/>
      <c r="I13300" s="1063"/>
      <c r="J13300" s="1063"/>
      <c r="K13300" s="1063"/>
      <c r="L13300" s="1063"/>
    </row>
    <row r="13301" spans="5:12" x14ac:dyDescent="0.2">
      <c r="E13301" s="1063"/>
      <c r="H13301" s="1066"/>
      <c r="I13301" s="1063"/>
      <c r="J13301" s="1063"/>
      <c r="K13301" s="1063"/>
      <c r="L13301" s="1063"/>
    </row>
    <row r="13302" spans="5:12" x14ac:dyDescent="0.2">
      <c r="E13302" s="1063"/>
      <c r="H13302" s="1066"/>
      <c r="I13302" s="1063"/>
      <c r="J13302" s="1063"/>
      <c r="K13302" s="1063"/>
      <c r="L13302" s="1063"/>
    </row>
    <row r="13303" spans="5:12" x14ac:dyDescent="0.2">
      <c r="E13303" s="1063"/>
      <c r="H13303" s="1066"/>
      <c r="I13303" s="1063"/>
      <c r="J13303" s="1063"/>
      <c r="K13303" s="1063"/>
      <c r="L13303" s="1063"/>
    </row>
    <row r="13304" spans="5:12" x14ac:dyDescent="0.2">
      <c r="E13304" s="1063"/>
      <c r="H13304" s="1066"/>
      <c r="I13304" s="1063"/>
      <c r="J13304" s="1063"/>
      <c r="K13304" s="1063"/>
      <c r="L13304" s="1063"/>
    </row>
    <row r="13305" spans="5:12" x14ac:dyDescent="0.2">
      <c r="E13305" s="1063"/>
      <c r="H13305" s="1066"/>
      <c r="I13305" s="1063"/>
      <c r="J13305" s="1063"/>
      <c r="K13305" s="1063"/>
      <c r="L13305" s="1063"/>
    </row>
    <row r="13306" spans="5:12" x14ac:dyDescent="0.2">
      <c r="E13306" s="1063"/>
      <c r="H13306" s="1066"/>
      <c r="I13306" s="1063"/>
      <c r="J13306" s="1063"/>
      <c r="K13306" s="1063"/>
      <c r="L13306" s="1063"/>
    </row>
    <row r="13307" spans="5:12" x14ac:dyDescent="0.2">
      <c r="E13307" s="1063"/>
      <c r="H13307" s="1066"/>
      <c r="I13307" s="1063"/>
      <c r="J13307" s="1063"/>
      <c r="K13307" s="1063"/>
      <c r="L13307" s="1063"/>
    </row>
    <row r="13308" spans="5:12" x14ac:dyDescent="0.2">
      <c r="E13308" s="1063"/>
      <c r="H13308" s="1066"/>
      <c r="I13308" s="1063"/>
      <c r="J13308" s="1063"/>
      <c r="K13308" s="1063"/>
      <c r="L13308" s="1063"/>
    </row>
    <row r="13309" spans="5:12" x14ac:dyDescent="0.2">
      <c r="E13309" s="1063"/>
      <c r="H13309" s="1066"/>
      <c r="I13309" s="1063"/>
      <c r="J13309" s="1063"/>
      <c r="K13309" s="1063"/>
      <c r="L13309" s="1063"/>
    </row>
    <row r="13310" spans="5:12" x14ac:dyDescent="0.2">
      <c r="E13310" s="1063"/>
      <c r="H13310" s="1066"/>
      <c r="I13310" s="1063"/>
      <c r="J13310" s="1063"/>
      <c r="K13310" s="1063"/>
      <c r="L13310" s="1063"/>
    </row>
    <row r="13311" spans="5:12" x14ac:dyDescent="0.2">
      <c r="E13311" s="1063"/>
      <c r="H13311" s="1066"/>
      <c r="I13311" s="1063"/>
      <c r="J13311" s="1063"/>
      <c r="K13311" s="1063"/>
      <c r="L13311" s="1063"/>
    </row>
    <row r="13312" spans="5:12" x14ac:dyDescent="0.2">
      <c r="E13312" s="1063"/>
      <c r="H13312" s="1066"/>
      <c r="I13312" s="1063"/>
      <c r="J13312" s="1063"/>
      <c r="K13312" s="1063"/>
      <c r="L13312" s="1063"/>
    </row>
    <row r="13313" spans="5:12" x14ac:dyDescent="0.2">
      <c r="E13313" s="1063"/>
      <c r="H13313" s="1066"/>
      <c r="I13313" s="1063"/>
      <c r="J13313" s="1063"/>
      <c r="K13313" s="1063"/>
      <c r="L13313" s="1063"/>
    </row>
    <row r="13314" spans="5:12" x14ac:dyDescent="0.2">
      <c r="E13314" s="1063"/>
      <c r="H13314" s="1066"/>
      <c r="I13314" s="1063"/>
      <c r="J13314" s="1063"/>
      <c r="K13314" s="1063"/>
      <c r="L13314" s="1063"/>
    </row>
    <row r="13315" spans="5:12" x14ac:dyDescent="0.2">
      <c r="E13315" s="1063"/>
      <c r="H13315" s="1066"/>
      <c r="I13315" s="1063"/>
      <c r="J13315" s="1063"/>
      <c r="K13315" s="1063"/>
      <c r="L13315" s="1063"/>
    </row>
    <row r="13316" spans="5:12" x14ac:dyDescent="0.2">
      <c r="E13316" s="1063"/>
      <c r="H13316" s="1066"/>
      <c r="I13316" s="1063"/>
      <c r="J13316" s="1063"/>
      <c r="K13316" s="1063"/>
      <c r="L13316" s="1063"/>
    </row>
    <row r="13317" spans="5:12" x14ac:dyDescent="0.2">
      <c r="E13317" s="1063"/>
      <c r="H13317" s="1066"/>
      <c r="I13317" s="1063"/>
      <c r="J13317" s="1063"/>
      <c r="K13317" s="1063"/>
      <c r="L13317" s="1063"/>
    </row>
    <row r="13318" spans="5:12" x14ac:dyDescent="0.2">
      <c r="E13318" s="1063"/>
      <c r="H13318" s="1066"/>
      <c r="I13318" s="1063"/>
      <c r="J13318" s="1063"/>
      <c r="K13318" s="1063"/>
      <c r="L13318" s="1063"/>
    </row>
    <row r="13319" spans="5:12" x14ac:dyDescent="0.2">
      <c r="E13319" s="1063"/>
      <c r="H13319" s="1066"/>
      <c r="I13319" s="1063"/>
      <c r="J13319" s="1063"/>
      <c r="K13319" s="1063"/>
      <c r="L13319" s="1063"/>
    </row>
    <row r="13320" spans="5:12" x14ac:dyDescent="0.2">
      <c r="E13320" s="1063"/>
      <c r="H13320" s="1066"/>
      <c r="I13320" s="1063"/>
      <c r="J13320" s="1063"/>
      <c r="K13320" s="1063"/>
      <c r="L13320" s="1063"/>
    </row>
    <row r="13321" spans="5:12" x14ac:dyDescent="0.2">
      <c r="E13321" s="1063"/>
      <c r="H13321" s="1066"/>
      <c r="I13321" s="1063"/>
      <c r="J13321" s="1063"/>
      <c r="K13321" s="1063"/>
      <c r="L13321" s="1063"/>
    </row>
    <row r="13322" spans="5:12" x14ac:dyDescent="0.2">
      <c r="E13322" s="1063"/>
      <c r="H13322" s="1066"/>
      <c r="I13322" s="1063"/>
      <c r="J13322" s="1063"/>
      <c r="K13322" s="1063"/>
      <c r="L13322" s="1063"/>
    </row>
    <row r="13323" spans="5:12" x14ac:dyDescent="0.2">
      <c r="E13323" s="1063"/>
      <c r="H13323" s="1066"/>
      <c r="I13323" s="1063"/>
      <c r="J13323" s="1063"/>
      <c r="K13323" s="1063"/>
      <c r="L13323" s="1063"/>
    </row>
    <row r="13324" spans="5:12" x14ac:dyDescent="0.2">
      <c r="E13324" s="1063"/>
      <c r="H13324" s="1066"/>
      <c r="I13324" s="1063"/>
      <c r="J13324" s="1063"/>
      <c r="K13324" s="1063"/>
      <c r="L13324" s="1063"/>
    </row>
    <row r="13325" spans="5:12" x14ac:dyDescent="0.2">
      <c r="E13325" s="1063"/>
      <c r="H13325" s="1066"/>
      <c r="I13325" s="1063"/>
      <c r="J13325" s="1063"/>
      <c r="K13325" s="1063"/>
      <c r="L13325" s="1063"/>
    </row>
    <row r="13326" spans="5:12" x14ac:dyDescent="0.2">
      <c r="E13326" s="1063"/>
      <c r="H13326" s="1066"/>
      <c r="I13326" s="1063"/>
      <c r="J13326" s="1063"/>
      <c r="K13326" s="1063"/>
      <c r="L13326" s="1063"/>
    </row>
    <row r="13327" spans="5:12" x14ac:dyDescent="0.2">
      <c r="E13327" s="1063"/>
      <c r="H13327" s="1066"/>
      <c r="I13327" s="1063"/>
      <c r="J13327" s="1063"/>
      <c r="K13327" s="1063"/>
      <c r="L13327" s="1063"/>
    </row>
    <row r="13328" spans="5:12" x14ac:dyDescent="0.2">
      <c r="E13328" s="1063"/>
      <c r="H13328" s="1066"/>
      <c r="I13328" s="1063"/>
      <c r="J13328" s="1063"/>
      <c r="K13328" s="1063"/>
      <c r="L13328" s="1063"/>
    </row>
    <row r="13329" spans="5:12" x14ac:dyDescent="0.2">
      <c r="E13329" s="1063"/>
      <c r="H13329" s="1066"/>
      <c r="I13329" s="1063"/>
      <c r="J13329" s="1063"/>
      <c r="K13329" s="1063"/>
      <c r="L13329" s="1063"/>
    </row>
    <row r="13330" spans="5:12" x14ac:dyDescent="0.2">
      <c r="E13330" s="1063"/>
      <c r="H13330" s="1066"/>
      <c r="I13330" s="1063"/>
      <c r="J13330" s="1063"/>
      <c r="K13330" s="1063"/>
      <c r="L13330" s="1063"/>
    </row>
    <row r="13331" spans="5:12" x14ac:dyDescent="0.2">
      <c r="E13331" s="1063"/>
      <c r="H13331" s="1066"/>
      <c r="I13331" s="1063"/>
      <c r="J13331" s="1063"/>
      <c r="K13331" s="1063"/>
      <c r="L13331" s="1063"/>
    </row>
    <row r="13332" spans="5:12" x14ac:dyDescent="0.2">
      <c r="E13332" s="1063"/>
      <c r="H13332" s="1066"/>
      <c r="I13332" s="1063"/>
      <c r="J13332" s="1063"/>
      <c r="K13332" s="1063"/>
      <c r="L13332" s="1063"/>
    </row>
    <row r="13333" spans="5:12" x14ac:dyDescent="0.2">
      <c r="E13333" s="1063"/>
      <c r="H13333" s="1066"/>
      <c r="I13333" s="1063"/>
      <c r="J13333" s="1063"/>
      <c r="K13333" s="1063"/>
      <c r="L13333" s="1063"/>
    </row>
    <row r="13334" spans="5:12" x14ac:dyDescent="0.2">
      <c r="E13334" s="1063"/>
      <c r="H13334" s="1066"/>
      <c r="I13334" s="1063"/>
      <c r="J13334" s="1063"/>
      <c r="K13334" s="1063"/>
      <c r="L13334" s="1063"/>
    </row>
    <row r="13335" spans="5:12" x14ac:dyDescent="0.2">
      <c r="E13335" s="1063"/>
      <c r="H13335" s="1066"/>
      <c r="I13335" s="1063"/>
      <c r="J13335" s="1063"/>
      <c r="K13335" s="1063"/>
      <c r="L13335" s="1063"/>
    </row>
    <row r="13336" spans="5:12" x14ac:dyDescent="0.2">
      <c r="E13336" s="1063"/>
      <c r="H13336" s="1066"/>
      <c r="I13336" s="1063"/>
      <c r="J13336" s="1063"/>
      <c r="K13336" s="1063"/>
      <c r="L13336" s="1063"/>
    </row>
    <row r="13337" spans="5:12" x14ac:dyDescent="0.2">
      <c r="E13337" s="1063"/>
      <c r="H13337" s="1066"/>
      <c r="I13337" s="1063"/>
      <c r="J13337" s="1063"/>
      <c r="K13337" s="1063"/>
      <c r="L13337" s="1063"/>
    </row>
    <row r="13338" spans="5:12" x14ac:dyDescent="0.2">
      <c r="E13338" s="1063"/>
      <c r="H13338" s="1066"/>
      <c r="I13338" s="1063"/>
      <c r="J13338" s="1063"/>
      <c r="K13338" s="1063"/>
      <c r="L13338" s="1063"/>
    </row>
    <row r="13339" spans="5:12" x14ac:dyDescent="0.2">
      <c r="E13339" s="1063"/>
      <c r="H13339" s="1066"/>
      <c r="I13339" s="1063"/>
      <c r="J13339" s="1063"/>
      <c r="K13339" s="1063"/>
      <c r="L13339" s="1063"/>
    </row>
    <row r="13340" spans="5:12" x14ac:dyDescent="0.2">
      <c r="E13340" s="1063"/>
      <c r="H13340" s="1066"/>
      <c r="I13340" s="1063"/>
      <c r="J13340" s="1063"/>
      <c r="K13340" s="1063"/>
      <c r="L13340" s="1063"/>
    </row>
    <row r="13341" spans="5:12" x14ac:dyDescent="0.2">
      <c r="E13341" s="1063"/>
      <c r="H13341" s="1066"/>
      <c r="I13341" s="1063"/>
      <c r="J13341" s="1063"/>
      <c r="K13341" s="1063"/>
      <c r="L13341" s="1063"/>
    </row>
    <row r="13342" spans="5:12" x14ac:dyDescent="0.2">
      <c r="E13342" s="1063"/>
      <c r="H13342" s="1066"/>
      <c r="I13342" s="1063"/>
      <c r="J13342" s="1063"/>
      <c r="K13342" s="1063"/>
      <c r="L13342" s="1063"/>
    </row>
    <row r="13343" spans="5:12" x14ac:dyDescent="0.2">
      <c r="E13343" s="1063"/>
      <c r="H13343" s="1066"/>
      <c r="I13343" s="1063"/>
      <c r="J13343" s="1063"/>
      <c r="K13343" s="1063"/>
      <c r="L13343" s="1063"/>
    </row>
    <row r="13344" spans="5:12" x14ac:dyDescent="0.2">
      <c r="E13344" s="1063"/>
      <c r="H13344" s="1066"/>
      <c r="I13344" s="1063"/>
      <c r="J13344" s="1063"/>
      <c r="K13344" s="1063"/>
      <c r="L13344" s="1063"/>
    </row>
    <row r="13345" spans="5:12" x14ac:dyDescent="0.2">
      <c r="E13345" s="1063"/>
      <c r="H13345" s="1066"/>
      <c r="I13345" s="1063"/>
      <c r="J13345" s="1063"/>
      <c r="K13345" s="1063"/>
      <c r="L13345" s="1063"/>
    </row>
    <row r="13346" spans="5:12" x14ac:dyDescent="0.2">
      <c r="E13346" s="1063"/>
      <c r="H13346" s="1066"/>
      <c r="I13346" s="1063"/>
      <c r="J13346" s="1063"/>
      <c r="K13346" s="1063"/>
      <c r="L13346" s="1063"/>
    </row>
    <row r="13347" spans="5:12" x14ac:dyDescent="0.2">
      <c r="E13347" s="1063"/>
      <c r="H13347" s="1066"/>
      <c r="I13347" s="1063"/>
      <c r="J13347" s="1063"/>
      <c r="K13347" s="1063"/>
      <c r="L13347" s="1063"/>
    </row>
    <row r="13348" spans="5:12" x14ac:dyDescent="0.2">
      <c r="E13348" s="1063"/>
      <c r="H13348" s="1066"/>
      <c r="I13348" s="1063"/>
      <c r="J13348" s="1063"/>
      <c r="K13348" s="1063"/>
      <c r="L13348" s="1063"/>
    </row>
    <row r="13349" spans="5:12" x14ac:dyDescent="0.2">
      <c r="E13349" s="1063"/>
      <c r="H13349" s="1066"/>
      <c r="I13349" s="1063"/>
      <c r="J13349" s="1063"/>
      <c r="K13349" s="1063"/>
      <c r="L13349" s="1063"/>
    </row>
    <row r="13350" spans="5:12" x14ac:dyDescent="0.2">
      <c r="E13350" s="1063"/>
      <c r="H13350" s="1066"/>
      <c r="I13350" s="1063"/>
      <c r="J13350" s="1063"/>
      <c r="K13350" s="1063"/>
      <c r="L13350" s="1063"/>
    </row>
    <row r="13351" spans="5:12" x14ac:dyDescent="0.2">
      <c r="E13351" s="1063"/>
      <c r="H13351" s="1066"/>
      <c r="I13351" s="1063"/>
      <c r="J13351" s="1063"/>
      <c r="K13351" s="1063"/>
      <c r="L13351" s="1063"/>
    </row>
    <row r="13352" spans="5:12" x14ac:dyDescent="0.2">
      <c r="E13352" s="1063"/>
      <c r="H13352" s="1066"/>
      <c r="I13352" s="1063"/>
      <c r="J13352" s="1063"/>
      <c r="K13352" s="1063"/>
      <c r="L13352" s="1063"/>
    </row>
    <row r="13353" spans="5:12" x14ac:dyDescent="0.2">
      <c r="E13353" s="1063"/>
      <c r="H13353" s="1066"/>
      <c r="I13353" s="1063"/>
      <c r="J13353" s="1063"/>
      <c r="K13353" s="1063"/>
      <c r="L13353" s="1063"/>
    </row>
    <row r="13354" spans="5:12" x14ac:dyDescent="0.2">
      <c r="E13354" s="1063"/>
      <c r="H13354" s="1066"/>
      <c r="I13354" s="1063"/>
      <c r="J13354" s="1063"/>
      <c r="K13354" s="1063"/>
      <c r="L13354" s="1063"/>
    </row>
    <row r="13355" spans="5:12" x14ac:dyDescent="0.2">
      <c r="E13355" s="1063"/>
      <c r="H13355" s="1066"/>
      <c r="I13355" s="1063"/>
      <c r="J13355" s="1063"/>
      <c r="K13355" s="1063"/>
      <c r="L13355" s="1063"/>
    </row>
    <row r="13356" spans="5:12" x14ac:dyDescent="0.2">
      <c r="E13356" s="1063"/>
      <c r="H13356" s="1066"/>
      <c r="I13356" s="1063"/>
      <c r="J13356" s="1063"/>
      <c r="K13356" s="1063"/>
      <c r="L13356" s="1063"/>
    </row>
    <row r="13357" spans="5:12" x14ac:dyDescent="0.2">
      <c r="E13357" s="1063"/>
      <c r="H13357" s="1066"/>
      <c r="I13357" s="1063"/>
      <c r="J13357" s="1063"/>
      <c r="K13357" s="1063"/>
      <c r="L13357" s="1063"/>
    </row>
    <row r="13358" spans="5:12" x14ac:dyDescent="0.2">
      <c r="E13358" s="1063"/>
      <c r="H13358" s="1066"/>
      <c r="I13358" s="1063"/>
      <c r="J13358" s="1063"/>
      <c r="K13358" s="1063"/>
      <c r="L13358" s="1063"/>
    </row>
    <row r="13359" spans="5:12" x14ac:dyDescent="0.2">
      <c r="E13359" s="1063"/>
      <c r="H13359" s="1066"/>
      <c r="I13359" s="1063"/>
      <c r="J13359" s="1063"/>
      <c r="K13359" s="1063"/>
      <c r="L13359" s="1063"/>
    </row>
    <row r="13360" spans="5:12" x14ac:dyDescent="0.2">
      <c r="E13360" s="1063"/>
      <c r="H13360" s="1066"/>
      <c r="I13360" s="1063"/>
      <c r="J13360" s="1063"/>
      <c r="K13360" s="1063"/>
      <c r="L13360" s="1063"/>
    </row>
    <row r="13361" spans="5:12" x14ac:dyDescent="0.2">
      <c r="E13361" s="1063"/>
      <c r="H13361" s="1066"/>
      <c r="I13361" s="1063"/>
      <c r="J13361" s="1063"/>
      <c r="K13361" s="1063"/>
      <c r="L13361" s="1063"/>
    </row>
    <row r="13362" spans="5:12" x14ac:dyDescent="0.2">
      <c r="E13362" s="1063"/>
      <c r="H13362" s="1066"/>
      <c r="I13362" s="1063"/>
      <c r="J13362" s="1063"/>
      <c r="K13362" s="1063"/>
      <c r="L13362" s="1063"/>
    </row>
    <row r="13363" spans="5:12" x14ac:dyDescent="0.2">
      <c r="E13363" s="1063"/>
      <c r="H13363" s="1066"/>
      <c r="I13363" s="1063"/>
      <c r="J13363" s="1063"/>
      <c r="K13363" s="1063"/>
      <c r="L13363" s="1063"/>
    </row>
    <row r="13364" spans="5:12" x14ac:dyDescent="0.2">
      <c r="E13364" s="1063"/>
      <c r="H13364" s="1066"/>
      <c r="I13364" s="1063"/>
      <c r="J13364" s="1063"/>
      <c r="K13364" s="1063"/>
      <c r="L13364" s="1063"/>
    </row>
    <row r="13365" spans="5:12" x14ac:dyDescent="0.2">
      <c r="E13365" s="1063"/>
      <c r="H13365" s="1066"/>
      <c r="I13365" s="1063"/>
      <c r="J13365" s="1063"/>
      <c r="K13365" s="1063"/>
      <c r="L13365" s="1063"/>
    </row>
    <row r="13366" spans="5:12" x14ac:dyDescent="0.2">
      <c r="E13366" s="1063"/>
      <c r="H13366" s="1066"/>
      <c r="I13366" s="1063"/>
      <c r="J13366" s="1063"/>
      <c r="K13366" s="1063"/>
      <c r="L13366" s="1063"/>
    </row>
    <row r="13367" spans="5:12" x14ac:dyDescent="0.2">
      <c r="E13367" s="1063"/>
      <c r="H13367" s="1066"/>
      <c r="I13367" s="1063"/>
      <c r="J13367" s="1063"/>
      <c r="K13367" s="1063"/>
      <c r="L13367" s="1063"/>
    </row>
    <row r="13368" spans="5:12" x14ac:dyDescent="0.2">
      <c r="E13368" s="1063"/>
      <c r="H13368" s="1066"/>
      <c r="I13368" s="1063"/>
      <c r="J13368" s="1063"/>
      <c r="K13368" s="1063"/>
      <c r="L13368" s="1063"/>
    </row>
    <row r="13369" spans="5:12" x14ac:dyDescent="0.2">
      <c r="E13369" s="1063"/>
      <c r="H13369" s="1066"/>
      <c r="I13369" s="1063"/>
      <c r="J13369" s="1063"/>
      <c r="K13369" s="1063"/>
      <c r="L13369" s="1063"/>
    </row>
    <row r="13370" spans="5:12" x14ac:dyDescent="0.2">
      <c r="E13370" s="1063"/>
      <c r="H13370" s="1066"/>
      <c r="I13370" s="1063"/>
      <c r="J13370" s="1063"/>
      <c r="K13370" s="1063"/>
      <c r="L13370" s="1063"/>
    </row>
    <row r="13371" spans="5:12" x14ac:dyDescent="0.2">
      <c r="E13371" s="1063"/>
      <c r="H13371" s="1066"/>
      <c r="I13371" s="1063"/>
      <c r="J13371" s="1063"/>
      <c r="K13371" s="1063"/>
      <c r="L13371" s="1063"/>
    </row>
    <row r="13372" spans="5:12" x14ac:dyDescent="0.2">
      <c r="E13372" s="1063"/>
      <c r="H13372" s="1066"/>
      <c r="I13372" s="1063"/>
      <c r="J13372" s="1063"/>
      <c r="K13372" s="1063"/>
      <c r="L13372" s="1063"/>
    </row>
    <row r="13373" spans="5:12" x14ac:dyDescent="0.2">
      <c r="E13373" s="1063"/>
      <c r="H13373" s="1066"/>
      <c r="I13373" s="1063"/>
      <c r="J13373" s="1063"/>
      <c r="K13373" s="1063"/>
      <c r="L13373" s="1063"/>
    </row>
    <row r="13374" spans="5:12" x14ac:dyDescent="0.2">
      <c r="E13374" s="1063"/>
      <c r="H13374" s="1066"/>
      <c r="I13374" s="1063"/>
      <c r="J13374" s="1063"/>
      <c r="K13374" s="1063"/>
      <c r="L13374" s="1063"/>
    </row>
    <row r="13375" spans="5:12" x14ac:dyDescent="0.2">
      <c r="E13375" s="1063"/>
      <c r="H13375" s="1066"/>
      <c r="I13375" s="1063"/>
      <c r="J13375" s="1063"/>
      <c r="K13375" s="1063"/>
      <c r="L13375" s="1063"/>
    </row>
    <row r="13376" spans="5:12" x14ac:dyDescent="0.2">
      <c r="E13376" s="1063"/>
      <c r="H13376" s="1066"/>
      <c r="I13376" s="1063"/>
      <c r="J13376" s="1063"/>
      <c r="K13376" s="1063"/>
      <c r="L13376" s="1063"/>
    </row>
    <row r="13377" spans="5:12" x14ac:dyDescent="0.2">
      <c r="E13377" s="1063"/>
      <c r="H13377" s="1066"/>
      <c r="I13377" s="1063"/>
      <c r="J13377" s="1063"/>
      <c r="K13377" s="1063"/>
      <c r="L13377" s="1063"/>
    </row>
    <row r="13378" spans="5:12" x14ac:dyDescent="0.2">
      <c r="E13378" s="1063"/>
      <c r="H13378" s="1066"/>
      <c r="I13378" s="1063"/>
      <c r="J13378" s="1063"/>
      <c r="K13378" s="1063"/>
      <c r="L13378" s="1063"/>
    </row>
    <row r="13379" spans="5:12" x14ac:dyDescent="0.2">
      <c r="E13379" s="1063"/>
      <c r="H13379" s="1066"/>
      <c r="I13379" s="1063"/>
      <c r="J13379" s="1063"/>
      <c r="K13379" s="1063"/>
      <c r="L13379" s="1063"/>
    </row>
    <row r="13380" spans="5:12" x14ac:dyDescent="0.2">
      <c r="E13380" s="1063"/>
      <c r="H13380" s="1066"/>
      <c r="I13380" s="1063"/>
      <c r="J13380" s="1063"/>
      <c r="K13380" s="1063"/>
      <c r="L13380" s="1063"/>
    </row>
    <row r="13381" spans="5:12" x14ac:dyDescent="0.2">
      <c r="E13381" s="1063"/>
      <c r="H13381" s="1066"/>
      <c r="I13381" s="1063"/>
      <c r="J13381" s="1063"/>
      <c r="K13381" s="1063"/>
      <c r="L13381" s="1063"/>
    </row>
    <row r="13382" spans="5:12" x14ac:dyDescent="0.2">
      <c r="E13382" s="1063"/>
      <c r="H13382" s="1066"/>
      <c r="I13382" s="1063"/>
      <c r="J13382" s="1063"/>
      <c r="K13382" s="1063"/>
      <c r="L13382" s="1063"/>
    </row>
    <row r="13383" spans="5:12" x14ac:dyDescent="0.2">
      <c r="E13383" s="1063"/>
      <c r="H13383" s="1066"/>
      <c r="I13383" s="1063"/>
      <c r="J13383" s="1063"/>
      <c r="K13383" s="1063"/>
      <c r="L13383" s="1063"/>
    </row>
    <row r="13384" spans="5:12" x14ac:dyDescent="0.2">
      <c r="E13384" s="1063"/>
      <c r="H13384" s="1066"/>
      <c r="I13384" s="1063"/>
      <c r="J13384" s="1063"/>
      <c r="K13384" s="1063"/>
      <c r="L13384" s="1063"/>
    </row>
    <row r="13385" spans="5:12" x14ac:dyDescent="0.2">
      <c r="E13385" s="1063"/>
      <c r="H13385" s="1066"/>
      <c r="I13385" s="1063"/>
      <c r="J13385" s="1063"/>
      <c r="K13385" s="1063"/>
      <c r="L13385" s="1063"/>
    </row>
    <row r="13386" spans="5:12" x14ac:dyDescent="0.2">
      <c r="E13386" s="1063"/>
      <c r="H13386" s="1066"/>
      <c r="I13386" s="1063"/>
      <c r="J13386" s="1063"/>
      <c r="K13386" s="1063"/>
      <c r="L13386" s="1063"/>
    </row>
    <row r="13387" spans="5:12" x14ac:dyDescent="0.2">
      <c r="E13387" s="1063"/>
      <c r="H13387" s="1066"/>
      <c r="I13387" s="1063"/>
      <c r="J13387" s="1063"/>
      <c r="K13387" s="1063"/>
      <c r="L13387" s="1063"/>
    </row>
    <row r="13388" spans="5:12" x14ac:dyDescent="0.2">
      <c r="E13388" s="1063"/>
      <c r="H13388" s="1066"/>
      <c r="I13388" s="1063"/>
      <c r="J13388" s="1063"/>
      <c r="K13388" s="1063"/>
      <c r="L13388" s="1063"/>
    </row>
    <row r="13389" spans="5:12" x14ac:dyDescent="0.2">
      <c r="E13389" s="1063"/>
      <c r="H13389" s="1066"/>
      <c r="I13389" s="1063"/>
      <c r="J13389" s="1063"/>
      <c r="K13389" s="1063"/>
      <c r="L13389" s="1063"/>
    </row>
    <row r="13390" spans="5:12" x14ac:dyDescent="0.2">
      <c r="E13390" s="1063"/>
      <c r="H13390" s="1066"/>
      <c r="I13390" s="1063"/>
      <c r="J13390" s="1063"/>
      <c r="K13390" s="1063"/>
      <c r="L13390" s="1063"/>
    </row>
    <row r="13391" spans="5:12" x14ac:dyDescent="0.2">
      <c r="E13391" s="1063"/>
      <c r="H13391" s="1066"/>
      <c r="I13391" s="1063"/>
      <c r="J13391" s="1063"/>
      <c r="K13391" s="1063"/>
      <c r="L13391" s="1063"/>
    </row>
    <row r="13392" spans="5:12" x14ac:dyDescent="0.2">
      <c r="E13392" s="1063"/>
      <c r="H13392" s="1066"/>
      <c r="I13392" s="1063"/>
      <c r="J13392" s="1063"/>
      <c r="K13392" s="1063"/>
      <c r="L13392" s="1063"/>
    </row>
    <row r="13393" spans="5:12" x14ac:dyDescent="0.2">
      <c r="E13393" s="1063"/>
      <c r="H13393" s="1066"/>
      <c r="I13393" s="1063"/>
      <c r="J13393" s="1063"/>
      <c r="K13393" s="1063"/>
      <c r="L13393" s="1063"/>
    </row>
    <row r="13394" spans="5:12" x14ac:dyDescent="0.2">
      <c r="E13394" s="1063"/>
      <c r="H13394" s="1066"/>
      <c r="I13394" s="1063"/>
      <c r="J13394" s="1063"/>
      <c r="K13394" s="1063"/>
      <c r="L13394" s="1063"/>
    </row>
    <row r="13395" spans="5:12" x14ac:dyDescent="0.2">
      <c r="E13395" s="1063"/>
      <c r="H13395" s="1066"/>
      <c r="I13395" s="1063"/>
      <c r="J13395" s="1063"/>
      <c r="K13395" s="1063"/>
      <c r="L13395" s="1063"/>
    </row>
    <row r="13396" spans="5:12" x14ac:dyDescent="0.2">
      <c r="E13396" s="1063"/>
      <c r="H13396" s="1066"/>
      <c r="I13396" s="1063"/>
      <c r="J13396" s="1063"/>
      <c r="K13396" s="1063"/>
      <c r="L13396" s="1063"/>
    </row>
    <row r="13397" spans="5:12" x14ac:dyDescent="0.2">
      <c r="E13397" s="1063"/>
      <c r="H13397" s="1066"/>
      <c r="I13397" s="1063"/>
      <c r="J13397" s="1063"/>
      <c r="K13397" s="1063"/>
      <c r="L13397" s="1063"/>
    </row>
    <row r="13398" spans="5:12" x14ac:dyDescent="0.2">
      <c r="E13398" s="1063"/>
      <c r="H13398" s="1066"/>
      <c r="I13398" s="1063"/>
      <c r="J13398" s="1063"/>
      <c r="K13398" s="1063"/>
      <c r="L13398" s="1063"/>
    </row>
    <row r="13399" spans="5:12" x14ac:dyDescent="0.2">
      <c r="E13399" s="1063"/>
      <c r="H13399" s="1066"/>
      <c r="I13399" s="1063"/>
      <c r="J13399" s="1063"/>
      <c r="K13399" s="1063"/>
      <c r="L13399" s="1063"/>
    </row>
    <row r="13400" spans="5:12" x14ac:dyDescent="0.2">
      <c r="E13400" s="1063"/>
      <c r="H13400" s="1066"/>
      <c r="I13400" s="1063"/>
      <c r="J13400" s="1063"/>
      <c r="K13400" s="1063"/>
      <c r="L13400" s="1063"/>
    </row>
    <row r="13401" spans="5:12" x14ac:dyDescent="0.2">
      <c r="E13401" s="1063"/>
      <c r="H13401" s="1066"/>
      <c r="I13401" s="1063"/>
      <c r="J13401" s="1063"/>
      <c r="K13401" s="1063"/>
      <c r="L13401" s="1063"/>
    </row>
    <row r="13402" spans="5:12" x14ac:dyDescent="0.2">
      <c r="E13402" s="1063"/>
      <c r="H13402" s="1066"/>
      <c r="I13402" s="1063"/>
      <c r="J13402" s="1063"/>
      <c r="K13402" s="1063"/>
      <c r="L13402" s="1063"/>
    </row>
    <row r="13403" spans="5:12" x14ac:dyDescent="0.2">
      <c r="E13403" s="1063"/>
      <c r="H13403" s="1066"/>
      <c r="I13403" s="1063"/>
      <c r="J13403" s="1063"/>
      <c r="K13403" s="1063"/>
      <c r="L13403" s="1063"/>
    </row>
    <row r="13404" spans="5:12" x14ac:dyDescent="0.2">
      <c r="E13404" s="1063"/>
      <c r="H13404" s="1066"/>
      <c r="I13404" s="1063"/>
      <c r="J13404" s="1063"/>
      <c r="K13404" s="1063"/>
      <c r="L13404" s="1063"/>
    </row>
    <row r="13405" spans="5:12" x14ac:dyDescent="0.2">
      <c r="E13405" s="1063"/>
      <c r="H13405" s="1066"/>
      <c r="I13405" s="1063"/>
      <c r="J13405" s="1063"/>
      <c r="K13405" s="1063"/>
      <c r="L13405" s="1063"/>
    </row>
    <row r="13406" spans="5:12" x14ac:dyDescent="0.2">
      <c r="E13406" s="1063"/>
      <c r="H13406" s="1066"/>
      <c r="I13406" s="1063"/>
      <c r="J13406" s="1063"/>
      <c r="K13406" s="1063"/>
      <c r="L13406" s="1063"/>
    </row>
    <row r="13407" spans="5:12" x14ac:dyDescent="0.2">
      <c r="E13407" s="1063"/>
      <c r="H13407" s="1066"/>
      <c r="I13407" s="1063"/>
      <c r="J13407" s="1063"/>
      <c r="K13407" s="1063"/>
      <c r="L13407" s="1063"/>
    </row>
    <row r="13408" spans="5:12" x14ac:dyDescent="0.2">
      <c r="E13408" s="1063"/>
      <c r="H13408" s="1066"/>
      <c r="I13408" s="1063"/>
      <c r="J13408" s="1063"/>
      <c r="K13408" s="1063"/>
      <c r="L13408" s="1063"/>
    </row>
    <row r="13409" spans="5:12" x14ac:dyDescent="0.2">
      <c r="E13409" s="1063"/>
      <c r="H13409" s="1066"/>
      <c r="I13409" s="1063"/>
      <c r="J13409" s="1063"/>
      <c r="K13409" s="1063"/>
      <c r="L13409" s="1063"/>
    </row>
    <row r="13410" spans="5:12" x14ac:dyDescent="0.2">
      <c r="E13410" s="1063"/>
      <c r="H13410" s="1066"/>
      <c r="I13410" s="1063"/>
      <c r="J13410" s="1063"/>
      <c r="K13410" s="1063"/>
      <c r="L13410" s="1063"/>
    </row>
    <row r="13411" spans="5:12" x14ac:dyDescent="0.2">
      <c r="E13411" s="1063"/>
      <c r="H13411" s="1066"/>
      <c r="I13411" s="1063"/>
      <c r="J13411" s="1063"/>
      <c r="K13411" s="1063"/>
      <c r="L13411" s="1063"/>
    </row>
    <row r="13412" spans="5:12" x14ac:dyDescent="0.2">
      <c r="E13412" s="1063"/>
      <c r="H13412" s="1066"/>
      <c r="I13412" s="1063"/>
      <c r="J13412" s="1063"/>
      <c r="K13412" s="1063"/>
      <c r="L13412" s="1063"/>
    </row>
    <row r="13413" spans="5:12" x14ac:dyDescent="0.2">
      <c r="E13413" s="1063"/>
      <c r="H13413" s="1066"/>
      <c r="I13413" s="1063"/>
      <c r="J13413" s="1063"/>
      <c r="K13413" s="1063"/>
      <c r="L13413" s="1063"/>
    </row>
    <row r="13414" spans="5:12" x14ac:dyDescent="0.2">
      <c r="E13414" s="1063"/>
      <c r="H13414" s="1066"/>
      <c r="I13414" s="1063"/>
      <c r="J13414" s="1063"/>
      <c r="K13414" s="1063"/>
      <c r="L13414" s="1063"/>
    </row>
    <row r="13415" spans="5:12" x14ac:dyDescent="0.2">
      <c r="E13415" s="1063"/>
      <c r="H13415" s="1066"/>
      <c r="I13415" s="1063"/>
      <c r="J13415" s="1063"/>
      <c r="K13415" s="1063"/>
      <c r="L13415" s="1063"/>
    </row>
    <row r="13416" spans="5:12" x14ac:dyDescent="0.2">
      <c r="E13416" s="1063"/>
      <c r="H13416" s="1066"/>
      <c r="I13416" s="1063"/>
      <c r="J13416" s="1063"/>
      <c r="K13416" s="1063"/>
      <c r="L13416" s="1063"/>
    </row>
    <row r="13417" spans="5:12" x14ac:dyDescent="0.2">
      <c r="E13417" s="1063"/>
      <c r="H13417" s="1066"/>
      <c r="I13417" s="1063"/>
      <c r="J13417" s="1063"/>
      <c r="K13417" s="1063"/>
      <c r="L13417" s="1063"/>
    </row>
    <row r="13418" spans="5:12" x14ac:dyDescent="0.2">
      <c r="E13418" s="1063"/>
      <c r="H13418" s="1066"/>
      <c r="I13418" s="1063"/>
      <c r="J13418" s="1063"/>
      <c r="K13418" s="1063"/>
      <c r="L13418" s="1063"/>
    </row>
    <row r="13419" spans="5:12" x14ac:dyDescent="0.2">
      <c r="E13419" s="1063"/>
      <c r="H13419" s="1066"/>
      <c r="I13419" s="1063"/>
      <c r="J13419" s="1063"/>
      <c r="K13419" s="1063"/>
      <c r="L13419" s="1063"/>
    </row>
    <row r="13420" spans="5:12" x14ac:dyDescent="0.2">
      <c r="E13420" s="1063"/>
      <c r="H13420" s="1066"/>
      <c r="I13420" s="1063"/>
      <c r="J13420" s="1063"/>
      <c r="K13420" s="1063"/>
      <c r="L13420" s="1063"/>
    </row>
    <row r="13421" spans="5:12" x14ac:dyDescent="0.2">
      <c r="E13421" s="1063"/>
      <c r="H13421" s="1066"/>
      <c r="I13421" s="1063"/>
      <c r="J13421" s="1063"/>
      <c r="K13421" s="1063"/>
      <c r="L13421" s="1063"/>
    </row>
    <row r="13422" spans="5:12" x14ac:dyDescent="0.2">
      <c r="E13422" s="1063"/>
      <c r="H13422" s="1066"/>
      <c r="I13422" s="1063"/>
      <c r="J13422" s="1063"/>
      <c r="K13422" s="1063"/>
      <c r="L13422" s="1063"/>
    </row>
    <row r="13423" spans="5:12" x14ac:dyDescent="0.2">
      <c r="E13423" s="1063"/>
      <c r="H13423" s="1066"/>
      <c r="I13423" s="1063"/>
      <c r="J13423" s="1063"/>
      <c r="K13423" s="1063"/>
      <c r="L13423" s="1063"/>
    </row>
    <row r="13424" spans="5:12" x14ac:dyDescent="0.2">
      <c r="E13424" s="1063"/>
      <c r="H13424" s="1066"/>
      <c r="I13424" s="1063"/>
      <c r="J13424" s="1063"/>
      <c r="K13424" s="1063"/>
      <c r="L13424" s="1063"/>
    </row>
    <row r="13425" spans="5:12" x14ac:dyDescent="0.2">
      <c r="E13425" s="1063"/>
      <c r="H13425" s="1066"/>
      <c r="I13425" s="1063"/>
      <c r="J13425" s="1063"/>
      <c r="K13425" s="1063"/>
      <c r="L13425" s="1063"/>
    </row>
    <row r="13426" spans="5:12" x14ac:dyDescent="0.2">
      <c r="E13426" s="1063"/>
      <c r="H13426" s="1066"/>
      <c r="I13426" s="1063"/>
      <c r="J13426" s="1063"/>
      <c r="K13426" s="1063"/>
      <c r="L13426" s="1063"/>
    </row>
    <row r="13427" spans="5:12" x14ac:dyDescent="0.2">
      <c r="E13427" s="1063"/>
      <c r="H13427" s="1066"/>
      <c r="I13427" s="1063"/>
      <c r="J13427" s="1063"/>
      <c r="K13427" s="1063"/>
      <c r="L13427" s="1063"/>
    </row>
    <row r="13428" spans="5:12" x14ac:dyDescent="0.2">
      <c r="E13428" s="1063"/>
      <c r="H13428" s="1066"/>
      <c r="I13428" s="1063"/>
      <c r="J13428" s="1063"/>
      <c r="K13428" s="1063"/>
      <c r="L13428" s="1063"/>
    </row>
    <row r="13429" spans="5:12" x14ac:dyDescent="0.2">
      <c r="E13429" s="1063"/>
      <c r="H13429" s="1066"/>
      <c r="I13429" s="1063"/>
      <c r="J13429" s="1063"/>
      <c r="K13429" s="1063"/>
      <c r="L13429" s="1063"/>
    </row>
    <row r="13430" spans="5:12" x14ac:dyDescent="0.2">
      <c r="E13430" s="1063"/>
      <c r="H13430" s="1066"/>
      <c r="I13430" s="1063"/>
      <c r="J13430" s="1063"/>
      <c r="K13430" s="1063"/>
      <c r="L13430" s="1063"/>
    </row>
    <row r="13431" spans="5:12" x14ac:dyDescent="0.2">
      <c r="E13431" s="1063"/>
      <c r="H13431" s="1066"/>
      <c r="I13431" s="1063"/>
      <c r="J13431" s="1063"/>
      <c r="K13431" s="1063"/>
      <c r="L13431" s="1063"/>
    </row>
    <row r="13432" spans="5:12" x14ac:dyDescent="0.2">
      <c r="E13432" s="1063"/>
      <c r="H13432" s="1066"/>
      <c r="I13432" s="1063"/>
      <c r="J13432" s="1063"/>
      <c r="K13432" s="1063"/>
      <c r="L13432" s="1063"/>
    </row>
    <row r="13433" spans="5:12" x14ac:dyDescent="0.2">
      <c r="E13433" s="1063"/>
      <c r="H13433" s="1066"/>
      <c r="I13433" s="1063"/>
      <c r="J13433" s="1063"/>
      <c r="K13433" s="1063"/>
      <c r="L13433" s="1063"/>
    </row>
    <row r="13434" spans="5:12" x14ac:dyDescent="0.2">
      <c r="E13434" s="1063"/>
      <c r="H13434" s="1066"/>
      <c r="I13434" s="1063"/>
      <c r="J13434" s="1063"/>
      <c r="K13434" s="1063"/>
      <c r="L13434" s="1063"/>
    </row>
    <row r="13435" spans="5:12" x14ac:dyDescent="0.2">
      <c r="E13435" s="1063"/>
      <c r="H13435" s="1066"/>
      <c r="I13435" s="1063"/>
      <c r="J13435" s="1063"/>
      <c r="K13435" s="1063"/>
      <c r="L13435" s="1063"/>
    </row>
    <row r="13436" spans="5:12" x14ac:dyDescent="0.2">
      <c r="E13436" s="1063"/>
      <c r="H13436" s="1066"/>
      <c r="I13436" s="1063"/>
      <c r="J13436" s="1063"/>
      <c r="K13436" s="1063"/>
      <c r="L13436" s="1063"/>
    </row>
    <row r="13437" spans="5:12" x14ac:dyDescent="0.2">
      <c r="E13437" s="1063"/>
      <c r="H13437" s="1066"/>
      <c r="I13437" s="1063"/>
      <c r="J13437" s="1063"/>
      <c r="K13437" s="1063"/>
      <c r="L13437" s="1063"/>
    </row>
    <row r="13438" spans="5:12" x14ac:dyDescent="0.2">
      <c r="E13438" s="1063"/>
      <c r="H13438" s="1066"/>
      <c r="I13438" s="1063"/>
      <c r="J13438" s="1063"/>
      <c r="K13438" s="1063"/>
      <c r="L13438" s="1063"/>
    </row>
    <row r="13439" spans="5:12" x14ac:dyDescent="0.2">
      <c r="E13439" s="1063"/>
      <c r="H13439" s="1066"/>
      <c r="I13439" s="1063"/>
      <c r="J13439" s="1063"/>
      <c r="K13439" s="1063"/>
      <c r="L13439" s="1063"/>
    </row>
    <row r="13440" spans="5:12" x14ac:dyDescent="0.2">
      <c r="E13440" s="1063"/>
      <c r="H13440" s="1066"/>
      <c r="I13440" s="1063"/>
      <c r="J13440" s="1063"/>
      <c r="K13440" s="1063"/>
      <c r="L13440" s="1063"/>
    </row>
    <row r="13441" spans="5:12" x14ac:dyDescent="0.2">
      <c r="E13441" s="1063"/>
      <c r="H13441" s="1066"/>
      <c r="I13441" s="1063"/>
      <c r="J13441" s="1063"/>
      <c r="K13441" s="1063"/>
      <c r="L13441" s="1063"/>
    </row>
    <row r="13442" spans="5:12" x14ac:dyDescent="0.2">
      <c r="E13442" s="1063"/>
      <c r="H13442" s="1066"/>
      <c r="I13442" s="1063"/>
      <c r="J13442" s="1063"/>
      <c r="K13442" s="1063"/>
      <c r="L13442" s="1063"/>
    </row>
    <row r="13443" spans="5:12" x14ac:dyDescent="0.2">
      <c r="E13443" s="1063"/>
      <c r="H13443" s="1066"/>
      <c r="I13443" s="1063"/>
      <c r="J13443" s="1063"/>
      <c r="K13443" s="1063"/>
      <c r="L13443" s="1063"/>
    </row>
    <row r="13444" spans="5:12" x14ac:dyDescent="0.2">
      <c r="E13444" s="1063"/>
      <c r="H13444" s="1066"/>
      <c r="I13444" s="1063"/>
      <c r="J13444" s="1063"/>
      <c r="K13444" s="1063"/>
      <c r="L13444" s="1063"/>
    </row>
    <row r="13445" spans="5:12" x14ac:dyDescent="0.2">
      <c r="E13445" s="1063"/>
      <c r="H13445" s="1066"/>
      <c r="I13445" s="1063"/>
      <c r="J13445" s="1063"/>
      <c r="K13445" s="1063"/>
      <c r="L13445" s="1063"/>
    </row>
    <row r="13446" spans="5:12" x14ac:dyDescent="0.2">
      <c r="E13446" s="1063"/>
      <c r="H13446" s="1066"/>
      <c r="I13446" s="1063"/>
      <c r="J13446" s="1063"/>
      <c r="K13446" s="1063"/>
      <c r="L13446" s="1063"/>
    </row>
    <row r="13447" spans="5:12" x14ac:dyDescent="0.2">
      <c r="E13447" s="1063"/>
      <c r="H13447" s="1066"/>
      <c r="I13447" s="1063"/>
      <c r="J13447" s="1063"/>
      <c r="K13447" s="1063"/>
      <c r="L13447" s="1063"/>
    </row>
    <row r="13448" spans="5:12" x14ac:dyDescent="0.2">
      <c r="E13448" s="1063"/>
      <c r="H13448" s="1066"/>
      <c r="I13448" s="1063"/>
      <c r="J13448" s="1063"/>
      <c r="K13448" s="1063"/>
      <c r="L13448" s="1063"/>
    </row>
    <row r="13449" spans="5:12" x14ac:dyDescent="0.2">
      <c r="E13449" s="1063"/>
      <c r="H13449" s="1066"/>
      <c r="I13449" s="1063"/>
      <c r="J13449" s="1063"/>
      <c r="K13449" s="1063"/>
      <c r="L13449" s="1063"/>
    </row>
    <row r="13450" spans="5:12" x14ac:dyDescent="0.2">
      <c r="E13450" s="1063"/>
      <c r="H13450" s="1066"/>
      <c r="I13450" s="1063"/>
      <c r="J13450" s="1063"/>
      <c r="K13450" s="1063"/>
      <c r="L13450" s="1063"/>
    </row>
    <row r="13451" spans="5:12" x14ac:dyDescent="0.2">
      <c r="E13451" s="1063"/>
      <c r="H13451" s="1066"/>
      <c r="I13451" s="1063"/>
      <c r="J13451" s="1063"/>
      <c r="K13451" s="1063"/>
      <c r="L13451" s="1063"/>
    </row>
    <row r="13452" spans="5:12" x14ac:dyDescent="0.2">
      <c r="E13452" s="1063"/>
      <c r="H13452" s="1066"/>
      <c r="I13452" s="1063"/>
      <c r="J13452" s="1063"/>
      <c r="K13452" s="1063"/>
      <c r="L13452" s="1063"/>
    </row>
    <row r="13453" spans="5:12" x14ac:dyDescent="0.2">
      <c r="E13453" s="1063"/>
      <c r="H13453" s="1066"/>
      <c r="I13453" s="1063"/>
      <c r="J13453" s="1063"/>
      <c r="K13453" s="1063"/>
      <c r="L13453" s="1063"/>
    </row>
    <row r="13454" spans="5:12" x14ac:dyDescent="0.2">
      <c r="E13454" s="1063"/>
      <c r="H13454" s="1066"/>
      <c r="I13454" s="1063"/>
      <c r="J13454" s="1063"/>
      <c r="K13454" s="1063"/>
      <c r="L13454" s="1063"/>
    </row>
    <row r="13455" spans="5:12" x14ac:dyDescent="0.2">
      <c r="E13455" s="1063"/>
      <c r="H13455" s="1066"/>
      <c r="I13455" s="1063"/>
      <c r="J13455" s="1063"/>
      <c r="K13455" s="1063"/>
      <c r="L13455" s="1063"/>
    </row>
    <row r="13456" spans="5:12" x14ac:dyDescent="0.2">
      <c r="E13456" s="1063"/>
      <c r="H13456" s="1066"/>
      <c r="I13456" s="1063"/>
      <c r="J13456" s="1063"/>
      <c r="K13456" s="1063"/>
      <c r="L13456" s="1063"/>
    </row>
    <row r="13457" spans="5:12" x14ac:dyDescent="0.2">
      <c r="E13457" s="1063"/>
      <c r="H13457" s="1066"/>
      <c r="I13457" s="1063"/>
      <c r="J13457" s="1063"/>
      <c r="K13457" s="1063"/>
      <c r="L13457" s="1063"/>
    </row>
    <row r="13458" spans="5:12" x14ac:dyDescent="0.2">
      <c r="E13458" s="1063"/>
      <c r="H13458" s="1066"/>
      <c r="I13458" s="1063"/>
      <c r="J13458" s="1063"/>
      <c r="K13458" s="1063"/>
      <c r="L13458" s="1063"/>
    </row>
    <row r="13459" spans="5:12" x14ac:dyDescent="0.2">
      <c r="E13459" s="1063"/>
      <c r="H13459" s="1066"/>
      <c r="I13459" s="1063"/>
      <c r="J13459" s="1063"/>
      <c r="K13459" s="1063"/>
      <c r="L13459" s="1063"/>
    </row>
    <row r="13460" spans="5:12" x14ac:dyDescent="0.2">
      <c r="E13460" s="1063"/>
      <c r="H13460" s="1066"/>
      <c r="I13460" s="1063"/>
      <c r="J13460" s="1063"/>
      <c r="K13460" s="1063"/>
      <c r="L13460" s="1063"/>
    </row>
    <row r="13461" spans="5:12" x14ac:dyDescent="0.2">
      <c r="E13461" s="1063"/>
      <c r="H13461" s="1066"/>
      <c r="I13461" s="1063"/>
      <c r="J13461" s="1063"/>
      <c r="K13461" s="1063"/>
      <c r="L13461" s="1063"/>
    </row>
    <row r="13462" spans="5:12" x14ac:dyDescent="0.2">
      <c r="E13462" s="1063"/>
      <c r="H13462" s="1066"/>
      <c r="I13462" s="1063"/>
      <c r="J13462" s="1063"/>
      <c r="K13462" s="1063"/>
      <c r="L13462" s="1063"/>
    </row>
    <row r="13463" spans="5:12" x14ac:dyDescent="0.2">
      <c r="E13463" s="1063"/>
      <c r="H13463" s="1066"/>
      <c r="I13463" s="1063"/>
      <c r="J13463" s="1063"/>
      <c r="K13463" s="1063"/>
      <c r="L13463" s="1063"/>
    </row>
    <row r="13464" spans="5:12" x14ac:dyDescent="0.2">
      <c r="E13464" s="1063"/>
      <c r="H13464" s="1066"/>
      <c r="I13464" s="1063"/>
      <c r="J13464" s="1063"/>
      <c r="K13464" s="1063"/>
      <c r="L13464" s="1063"/>
    </row>
    <row r="13465" spans="5:12" x14ac:dyDescent="0.2">
      <c r="E13465" s="1063"/>
      <c r="H13465" s="1066"/>
      <c r="I13465" s="1063"/>
      <c r="J13465" s="1063"/>
      <c r="K13465" s="1063"/>
      <c r="L13465" s="1063"/>
    </row>
    <row r="13466" spans="5:12" x14ac:dyDescent="0.2">
      <c r="E13466" s="1063"/>
      <c r="H13466" s="1066"/>
      <c r="I13466" s="1063"/>
      <c r="J13466" s="1063"/>
      <c r="K13466" s="1063"/>
      <c r="L13466" s="1063"/>
    </row>
    <row r="13467" spans="5:12" x14ac:dyDescent="0.2">
      <c r="E13467" s="1063"/>
      <c r="H13467" s="1066"/>
      <c r="I13467" s="1063"/>
      <c r="J13467" s="1063"/>
      <c r="K13467" s="1063"/>
      <c r="L13467" s="1063"/>
    </row>
    <row r="13468" spans="5:12" x14ac:dyDescent="0.2">
      <c r="E13468" s="1063"/>
      <c r="H13468" s="1066"/>
      <c r="I13468" s="1063"/>
      <c r="J13468" s="1063"/>
      <c r="K13468" s="1063"/>
      <c r="L13468" s="1063"/>
    </row>
    <row r="13469" spans="5:12" x14ac:dyDescent="0.2">
      <c r="E13469" s="1063"/>
      <c r="H13469" s="1066"/>
      <c r="I13469" s="1063"/>
      <c r="J13469" s="1063"/>
      <c r="K13469" s="1063"/>
      <c r="L13469" s="1063"/>
    </row>
    <row r="13470" spans="5:12" x14ac:dyDescent="0.2">
      <c r="E13470" s="1063"/>
      <c r="H13470" s="1066"/>
      <c r="I13470" s="1063"/>
      <c r="J13470" s="1063"/>
      <c r="K13470" s="1063"/>
      <c r="L13470" s="1063"/>
    </row>
    <row r="13471" spans="5:12" x14ac:dyDescent="0.2">
      <c r="E13471" s="1063"/>
      <c r="H13471" s="1066"/>
      <c r="I13471" s="1063"/>
      <c r="J13471" s="1063"/>
      <c r="K13471" s="1063"/>
      <c r="L13471" s="1063"/>
    </row>
    <row r="13472" spans="5:12" x14ac:dyDescent="0.2">
      <c r="E13472" s="1063"/>
      <c r="H13472" s="1066"/>
      <c r="I13472" s="1063"/>
      <c r="J13472" s="1063"/>
      <c r="K13472" s="1063"/>
      <c r="L13472" s="1063"/>
    </row>
    <row r="13473" spans="5:12" x14ac:dyDescent="0.2">
      <c r="E13473" s="1063"/>
      <c r="H13473" s="1066"/>
      <c r="I13473" s="1063"/>
      <c r="J13473" s="1063"/>
      <c r="K13473" s="1063"/>
      <c r="L13473" s="1063"/>
    </row>
    <row r="13474" spans="5:12" x14ac:dyDescent="0.2">
      <c r="E13474" s="1063"/>
      <c r="H13474" s="1066"/>
      <c r="I13474" s="1063"/>
      <c r="J13474" s="1063"/>
      <c r="K13474" s="1063"/>
      <c r="L13474" s="1063"/>
    </row>
    <row r="13475" spans="5:12" x14ac:dyDescent="0.2">
      <c r="E13475" s="1063"/>
      <c r="H13475" s="1066"/>
      <c r="I13475" s="1063"/>
      <c r="J13475" s="1063"/>
      <c r="K13475" s="1063"/>
      <c r="L13475" s="1063"/>
    </row>
    <row r="13476" spans="5:12" x14ac:dyDescent="0.2">
      <c r="E13476" s="1063"/>
      <c r="H13476" s="1066"/>
      <c r="I13476" s="1063"/>
      <c r="J13476" s="1063"/>
      <c r="K13476" s="1063"/>
      <c r="L13476" s="1063"/>
    </row>
    <row r="13477" spans="5:12" x14ac:dyDescent="0.2">
      <c r="E13477" s="1063"/>
      <c r="H13477" s="1066"/>
      <c r="I13477" s="1063"/>
      <c r="J13477" s="1063"/>
      <c r="K13477" s="1063"/>
      <c r="L13477" s="1063"/>
    </row>
    <row r="13478" spans="5:12" x14ac:dyDescent="0.2">
      <c r="E13478" s="1063"/>
      <c r="H13478" s="1066"/>
      <c r="I13478" s="1063"/>
      <c r="J13478" s="1063"/>
      <c r="K13478" s="1063"/>
      <c r="L13478" s="1063"/>
    </row>
    <row r="13479" spans="5:12" x14ac:dyDescent="0.2">
      <c r="E13479" s="1063"/>
      <c r="H13479" s="1066"/>
      <c r="I13479" s="1063"/>
      <c r="J13479" s="1063"/>
      <c r="K13479" s="1063"/>
      <c r="L13479" s="1063"/>
    </row>
    <row r="13480" spans="5:12" x14ac:dyDescent="0.2">
      <c r="E13480" s="1063"/>
      <c r="H13480" s="1066"/>
      <c r="I13480" s="1063"/>
      <c r="J13480" s="1063"/>
      <c r="K13480" s="1063"/>
      <c r="L13480" s="1063"/>
    </row>
    <row r="13481" spans="5:12" x14ac:dyDescent="0.2">
      <c r="E13481" s="1063"/>
      <c r="H13481" s="1066"/>
      <c r="I13481" s="1063"/>
      <c r="J13481" s="1063"/>
      <c r="K13481" s="1063"/>
      <c r="L13481" s="1063"/>
    </row>
    <row r="13482" spans="5:12" x14ac:dyDescent="0.2">
      <c r="E13482" s="1063"/>
      <c r="H13482" s="1066"/>
      <c r="I13482" s="1063"/>
      <c r="J13482" s="1063"/>
      <c r="K13482" s="1063"/>
      <c r="L13482" s="1063"/>
    </row>
    <row r="13483" spans="5:12" x14ac:dyDescent="0.2">
      <c r="E13483" s="1063"/>
      <c r="H13483" s="1066"/>
      <c r="I13483" s="1063"/>
      <c r="J13483" s="1063"/>
      <c r="K13483" s="1063"/>
      <c r="L13483" s="1063"/>
    </row>
    <row r="13484" spans="5:12" x14ac:dyDescent="0.2">
      <c r="E13484" s="1063"/>
      <c r="H13484" s="1066"/>
      <c r="I13484" s="1063"/>
      <c r="J13484" s="1063"/>
      <c r="K13484" s="1063"/>
      <c r="L13484" s="1063"/>
    </row>
    <row r="13485" spans="5:12" x14ac:dyDescent="0.2">
      <c r="E13485" s="1063"/>
      <c r="H13485" s="1066"/>
      <c r="I13485" s="1063"/>
      <c r="J13485" s="1063"/>
      <c r="K13485" s="1063"/>
      <c r="L13485" s="1063"/>
    </row>
    <row r="13486" spans="5:12" x14ac:dyDescent="0.2">
      <c r="E13486" s="1063"/>
      <c r="H13486" s="1066"/>
      <c r="I13486" s="1063"/>
      <c r="J13486" s="1063"/>
      <c r="K13486" s="1063"/>
      <c r="L13486" s="1063"/>
    </row>
    <row r="13487" spans="5:12" x14ac:dyDescent="0.2">
      <c r="E13487" s="1063"/>
      <c r="H13487" s="1066"/>
      <c r="I13487" s="1063"/>
      <c r="J13487" s="1063"/>
      <c r="K13487" s="1063"/>
      <c r="L13487" s="1063"/>
    </row>
    <row r="13488" spans="5:12" x14ac:dyDescent="0.2">
      <c r="E13488" s="1063"/>
      <c r="H13488" s="1066"/>
      <c r="I13488" s="1063"/>
      <c r="J13488" s="1063"/>
      <c r="K13488" s="1063"/>
      <c r="L13488" s="1063"/>
    </row>
    <row r="13489" spans="5:12" x14ac:dyDescent="0.2">
      <c r="E13489" s="1063"/>
      <c r="H13489" s="1066"/>
      <c r="I13489" s="1063"/>
      <c r="J13489" s="1063"/>
      <c r="K13489" s="1063"/>
      <c r="L13489" s="1063"/>
    </row>
    <row r="13490" spans="5:12" x14ac:dyDescent="0.2">
      <c r="E13490" s="1063"/>
      <c r="H13490" s="1066"/>
      <c r="I13490" s="1063"/>
      <c r="J13490" s="1063"/>
      <c r="K13490" s="1063"/>
      <c r="L13490" s="1063"/>
    </row>
    <row r="13491" spans="5:12" x14ac:dyDescent="0.2">
      <c r="E13491" s="1063"/>
      <c r="H13491" s="1066"/>
      <c r="I13491" s="1063"/>
      <c r="J13491" s="1063"/>
      <c r="K13491" s="1063"/>
      <c r="L13491" s="1063"/>
    </row>
    <row r="13492" spans="5:12" x14ac:dyDescent="0.2">
      <c r="E13492" s="1063"/>
      <c r="H13492" s="1066"/>
      <c r="I13492" s="1063"/>
      <c r="J13492" s="1063"/>
      <c r="K13492" s="1063"/>
      <c r="L13492" s="1063"/>
    </row>
    <row r="13493" spans="5:12" x14ac:dyDescent="0.2">
      <c r="E13493" s="1063"/>
      <c r="H13493" s="1066"/>
      <c r="I13493" s="1063"/>
      <c r="J13493" s="1063"/>
      <c r="K13493" s="1063"/>
      <c r="L13493" s="1063"/>
    </row>
    <row r="13494" spans="5:12" x14ac:dyDescent="0.2">
      <c r="E13494" s="1063"/>
      <c r="H13494" s="1066"/>
      <c r="I13494" s="1063"/>
      <c r="J13494" s="1063"/>
      <c r="K13494" s="1063"/>
      <c r="L13494" s="1063"/>
    </row>
    <row r="13495" spans="5:12" x14ac:dyDescent="0.2">
      <c r="E13495" s="1063"/>
      <c r="H13495" s="1066"/>
      <c r="I13495" s="1063"/>
      <c r="J13495" s="1063"/>
      <c r="K13495" s="1063"/>
      <c r="L13495" s="1063"/>
    </row>
    <row r="13496" spans="5:12" x14ac:dyDescent="0.2">
      <c r="E13496" s="1063"/>
      <c r="H13496" s="1066"/>
      <c r="I13496" s="1063"/>
      <c r="J13496" s="1063"/>
      <c r="K13496" s="1063"/>
      <c r="L13496" s="1063"/>
    </row>
    <row r="13497" spans="5:12" x14ac:dyDescent="0.2">
      <c r="E13497" s="1063"/>
      <c r="H13497" s="1066"/>
      <c r="I13497" s="1063"/>
      <c r="J13497" s="1063"/>
      <c r="K13497" s="1063"/>
      <c r="L13497" s="1063"/>
    </row>
    <row r="13498" spans="5:12" x14ac:dyDescent="0.2">
      <c r="E13498" s="1063"/>
      <c r="H13498" s="1066"/>
      <c r="I13498" s="1063"/>
      <c r="J13498" s="1063"/>
      <c r="K13498" s="1063"/>
      <c r="L13498" s="1063"/>
    </row>
    <row r="13499" spans="5:12" x14ac:dyDescent="0.2">
      <c r="E13499" s="1063"/>
      <c r="H13499" s="1066"/>
      <c r="I13499" s="1063"/>
      <c r="J13499" s="1063"/>
      <c r="K13499" s="1063"/>
      <c r="L13499" s="1063"/>
    </row>
    <row r="13500" spans="5:12" x14ac:dyDescent="0.2">
      <c r="E13500" s="1063"/>
      <c r="H13500" s="1066"/>
      <c r="I13500" s="1063"/>
      <c r="J13500" s="1063"/>
      <c r="K13500" s="1063"/>
      <c r="L13500" s="1063"/>
    </row>
    <row r="13501" spans="5:12" x14ac:dyDescent="0.2">
      <c r="E13501" s="1063"/>
      <c r="H13501" s="1066"/>
      <c r="I13501" s="1063"/>
      <c r="J13501" s="1063"/>
      <c r="K13501" s="1063"/>
      <c r="L13501" s="1063"/>
    </row>
    <row r="13502" spans="5:12" x14ac:dyDescent="0.2">
      <c r="E13502" s="1063"/>
      <c r="H13502" s="1066"/>
      <c r="I13502" s="1063"/>
      <c r="J13502" s="1063"/>
      <c r="K13502" s="1063"/>
      <c r="L13502" s="1063"/>
    </row>
    <row r="13503" spans="5:12" x14ac:dyDescent="0.2">
      <c r="E13503" s="1063"/>
      <c r="H13503" s="1066"/>
      <c r="I13503" s="1063"/>
      <c r="J13503" s="1063"/>
      <c r="K13503" s="1063"/>
      <c r="L13503" s="1063"/>
    </row>
    <row r="13504" spans="5:12" x14ac:dyDescent="0.2">
      <c r="E13504" s="1063"/>
      <c r="H13504" s="1066"/>
      <c r="I13504" s="1063"/>
      <c r="J13504" s="1063"/>
      <c r="K13504" s="1063"/>
      <c r="L13504" s="1063"/>
    </row>
    <row r="13505" spans="5:12" x14ac:dyDescent="0.2">
      <c r="E13505" s="1063"/>
      <c r="H13505" s="1066"/>
      <c r="I13505" s="1063"/>
      <c r="J13505" s="1063"/>
      <c r="K13505" s="1063"/>
      <c r="L13505" s="1063"/>
    </row>
    <row r="13506" spans="5:12" x14ac:dyDescent="0.2">
      <c r="E13506" s="1063"/>
      <c r="H13506" s="1066"/>
      <c r="I13506" s="1063"/>
      <c r="J13506" s="1063"/>
      <c r="K13506" s="1063"/>
      <c r="L13506" s="1063"/>
    </row>
    <row r="13507" spans="5:12" x14ac:dyDescent="0.2">
      <c r="E13507" s="1063"/>
      <c r="H13507" s="1066"/>
      <c r="I13507" s="1063"/>
      <c r="J13507" s="1063"/>
      <c r="K13507" s="1063"/>
      <c r="L13507" s="1063"/>
    </row>
    <row r="13508" spans="5:12" x14ac:dyDescent="0.2">
      <c r="E13508" s="1063"/>
      <c r="H13508" s="1066"/>
      <c r="I13508" s="1063"/>
      <c r="J13508" s="1063"/>
      <c r="K13508" s="1063"/>
      <c r="L13508" s="1063"/>
    </row>
    <row r="13509" spans="5:12" x14ac:dyDescent="0.2">
      <c r="E13509" s="1063"/>
      <c r="H13509" s="1066"/>
      <c r="I13509" s="1063"/>
      <c r="J13509" s="1063"/>
      <c r="K13509" s="1063"/>
      <c r="L13509" s="1063"/>
    </row>
    <row r="13510" spans="5:12" x14ac:dyDescent="0.2">
      <c r="E13510" s="1063"/>
      <c r="H13510" s="1066"/>
      <c r="I13510" s="1063"/>
      <c r="J13510" s="1063"/>
      <c r="K13510" s="1063"/>
      <c r="L13510" s="1063"/>
    </row>
    <row r="13511" spans="5:12" x14ac:dyDescent="0.2">
      <c r="E13511" s="1063"/>
      <c r="H13511" s="1066"/>
      <c r="I13511" s="1063"/>
      <c r="J13511" s="1063"/>
      <c r="K13511" s="1063"/>
      <c r="L13511" s="1063"/>
    </row>
    <row r="13512" spans="5:12" x14ac:dyDescent="0.2">
      <c r="E13512" s="1063"/>
      <c r="H13512" s="1066"/>
      <c r="I13512" s="1063"/>
      <c r="J13512" s="1063"/>
      <c r="K13512" s="1063"/>
      <c r="L13512" s="1063"/>
    </row>
    <row r="13513" spans="5:12" x14ac:dyDescent="0.2">
      <c r="E13513" s="1063"/>
      <c r="H13513" s="1066"/>
      <c r="I13513" s="1063"/>
      <c r="J13513" s="1063"/>
      <c r="K13513" s="1063"/>
      <c r="L13513" s="1063"/>
    </row>
    <row r="13514" spans="5:12" x14ac:dyDescent="0.2">
      <c r="E13514" s="1063"/>
      <c r="H13514" s="1066"/>
      <c r="I13514" s="1063"/>
      <c r="J13514" s="1063"/>
      <c r="K13514" s="1063"/>
      <c r="L13514" s="1063"/>
    </row>
    <row r="13515" spans="5:12" x14ac:dyDescent="0.2">
      <c r="E13515" s="1063"/>
      <c r="H13515" s="1066"/>
      <c r="I13515" s="1063"/>
      <c r="J13515" s="1063"/>
      <c r="K13515" s="1063"/>
      <c r="L13515" s="1063"/>
    </row>
    <row r="13516" spans="5:12" x14ac:dyDescent="0.2">
      <c r="E13516" s="1063"/>
      <c r="H13516" s="1066"/>
      <c r="I13516" s="1063"/>
      <c r="J13516" s="1063"/>
      <c r="K13516" s="1063"/>
      <c r="L13516" s="1063"/>
    </row>
    <row r="13517" spans="5:12" x14ac:dyDescent="0.2">
      <c r="E13517" s="1063"/>
      <c r="H13517" s="1066"/>
      <c r="I13517" s="1063"/>
      <c r="J13517" s="1063"/>
      <c r="K13517" s="1063"/>
      <c r="L13517" s="1063"/>
    </row>
    <row r="13518" spans="5:12" x14ac:dyDescent="0.2">
      <c r="E13518" s="1063"/>
      <c r="H13518" s="1066"/>
      <c r="I13518" s="1063"/>
      <c r="J13518" s="1063"/>
      <c r="K13518" s="1063"/>
      <c r="L13518" s="1063"/>
    </row>
    <row r="13519" spans="5:12" x14ac:dyDescent="0.2">
      <c r="E13519" s="1063"/>
      <c r="H13519" s="1066"/>
      <c r="I13519" s="1063"/>
      <c r="J13519" s="1063"/>
      <c r="K13519" s="1063"/>
      <c r="L13519" s="1063"/>
    </row>
    <row r="13520" spans="5:12" x14ac:dyDescent="0.2">
      <c r="E13520" s="1063"/>
      <c r="H13520" s="1066"/>
      <c r="I13520" s="1063"/>
      <c r="J13520" s="1063"/>
      <c r="K13520" s="1063"/>
      <c r="L13520" s="1063"/>
    </row>
    <row r="13521" spans="5:12" x14ac:dyDescent="0.2">
      <c r="E13521" s="1063"/>
      <c r="H13521" s="1066"/>
      <c r="I13521" s="1063"/>
      <c r="J13521" s="1063"/>
      <c r="K13521" s="1063"/>
      <c r="L13521" s="1063"/>
    </row>
    <row r="13522" spans="5:12" x14ac:dyDescent="0.2">
      <c r="E13522" s="1063"/>
      <c r="H13522" s="1066"/>
      <c r="I13522" s="1063"/>
      <c r="J13522" s="1063"/>
      <c r="K13522" s="1063"/>
      <c r="L13522" s="1063"/>
    </row>
    <row r="13523" spans="5:12" x14ac:dyDescent="0.2">
      <c r="E13523" s="1063"/>
      <c r="H13523" s="1066"/>
      <c r="I13523" s="1063"/>
      <c r="J13523" s="1063"/>
      <c r="K13523" s="1063"/>
      <c r="L13523" s="1063"/>
    </row>
    <row r="13524" spans="5:12" x14ac:dyDescent="0.2">
      <c r="E13524" s="1063"/>
      <c r="H13524" s="1066"/>
      <c r="I13524" s="1063"/>
      <c r="J13524" s="1063"/>
      <c r="K13524" s="1063"/>
      <c r="L13524" s="1063"/>
    </row>
    <row r="13525" spans="5:12" x14ac:dyDescent="0.2">
      <c r="E13525" s="1063"/>
      <c r="H13525" s="1066"/>
      <c r="I13525" s="1063"/>
      <c r="J13525" s="1063"/>
      <c r="K13525" s="1063"/>
      <c r="L13525" s="1063"/>
    </row>
    <row r="13526" spans="5:12" x14ac:dyDescent="0.2">
      <c r="E13526" s="1063"/>
      <c r="H13526" s="1066"/>
      <c r="I13526" s="1063"/>
      <c r="J13526" s="1063"/>
      <c r="K13526" s="1063"/>
      <c r="L13526" s="1063"/>
    </row>
    <row r="13527" spans="5:12" x14ac:dyDescent="0.2">
      <c r="E13527" s="1063"/>
      <c r="H13527" s="1066"/>
      <c r="I13527" s="1063"/>
      <c r="J13527" s="1063"/>
      <c r="K13527" s="1063"/>
      <c r="L13527" s="1063"/>
    </row>
    <row r="13528" spans="5:12" x14ac:dyDescent="0.2">
      <c r="E13528" s="1063"/>
      <c r="H13528" s="1066"/>
      <c r="I13528" s="1063"/>
      <c r="J13528" s="1063"/>
      <c r="K13528" s="1063"/>
      <c r="L13528" s="1063"/>
    </row>
    <row r="13529" spans="5:12" x14ac:dyDescent="0.2">
      <c r="E13529" s="1063"/>
      <c r="H13529" s="1066"/>
      <c r="I13529" s="1063"/>
      <c r="J13529" s="1063"/>
      <c r="K13529" s="1063"/>
      <c r="L13529" s="1063"/>
    </row>
    <row r="13530" spans="5:12" x14ac:dyDescent="0.2">
      <c r="E13530" s="1063"/>
      <c r="H13530" s="1066"/>
      <c r="I13530" s="1063"/>
      <c r="J13530" s="1063"/>
      <c r="K13530" s="1063"/>
      <c r="L13530" s="1063"/>
    </row>
    <row r="13531" spans="5:12" x14ac:dyDescent="0.2">
      <c r="E13531" s="1063"/>
      <c r="H13531" s="1066"/>
      <c r="I13531" s="1063"/>
      <c r="J13531" s="1063"/>
      <c r="K13531" s="1063"/>
      <c r="L13531" s="1063"/>
    </row>
    <row r="13532" spans="5:12" x14ac:dyDescent="0.2">
      <c r="E13532" s="1063"/>
      <c r="H13532" s="1066"/>
      <c r="I13532" s="1063"/>
      <c r="J13532" s="1063"/>
      <c r="K13532" s="1063"/>
      <c r="L13532" s="1063"/>
    </row>
    <row r="13533" spans="5:12" x14ac:dyDescent="0.2">
      <c r="E13533" s="1063"/>
      <c r="H13533" s="1066"/>
      <c r="I13533" s="1063"/>
      <c r="J13533" s="1063"/>
      <c r="K13533" s="1063"/>
      <c r="L13533" s="1063"/>
    </row>
    <row r="13534" spans="5:12" x14ac:dyDescent="0.2">
      <c r="E13534" s="1063"/>
      <c r="H13534" s="1066"/>
      <c r="I13534" s="1063"/>
      <c r="J13534" s="1063"/>
      <c r="K13534" s="1063"/>
      <c r="L13534" s="1063"/>
    </row>
    <row r="13535" spans="5:12" x14ac:dyDescent="0.2">
      <c r="E13535" s="1063"/>
      <c r="H13535" s="1066"/>
      <c r="I13535" s="1063"/>
      <c r="J13535" s="1063"/>
      <c r="K13535" s="1063"/>
      <c r="L13535" s="1063"/>
    </row>
    <row r="13536" spans="5:12" x14ac:dyDescent="0.2">
      <c r="E13536" s="1063"/>
      <c r="H13536" s="1066"/>
      <c r="I13536" s="1063"/>
      <c r="J13536" s="1063"/>
      <c r="K13536" s="1063"/>
      <c r="L13536" s="1063"/>
    </row>
    <row r="13537" spans="5:12" x14ac:dyDescent="0.2">
      <c r="E13537" s="1063"/>
      <c r="H13537" s="1066"/>
      <c r="I13537" s="1063"/>
      <c r="J13537" s="1063"/>
      <c r="K13537" s="1063"/>
      <c r="L13537" s="1063"/>
    </row>
    <row r="13538" spans="5:12" x14ac:dyDescent="0.2">
      <c r="E13538" s="1063"/>
      <c r="H13538" s="1066"/>
      <c r="I13538" s="1063"/>
      <c r="J13538" s="1063"/>
      <c r="K13538" s="1063"/>
      <c r="L13538" s="1063"/>
    </row>
    <row r="13539" spans="5:12" x14ac:dyDescent="0.2">
      <c r="E13539" s="1063"/>
      <c r="H13539" s="1066"/>
      <c r="I13539" s="1063"/>
      <c r="J13539" s="1063"/>
      <c r="K13539" s="1063"/>
      <c r="L13539" s="1063"/>
    </row>
    <row r="13540" spans="5:12" x14ac:dyDescent="0.2">
      <c r="E13540" s="1063"/>
      <c r="H13540" s="1066"/>
      <c r="I13540" s="1063"/>
      <c r="J13540" s="1063"/>
      <c r="K13540" s="1063"/>
      <c r="L13540" s="1063"/>
    </row>
    <row r="13541" spans="5:12" x14ac:dyDescent="0.2">
      <c r="E13541" s="1063"/>
      <c r="H13541" s="1066"/>
      <c r="I13541" s="1063"/>
      <c r="J13541" s="1063"/>
      <c r="K13541" s="1063"/>
      <c r="L13541" s="1063"/>
    </row>
    <row r="13542" spans="5:12" x14ac:dyDescent="0.2">
      <c r="E13542" s="1063"/>
      <c r="H13542" s="1066"/>
      <c r="I13542" s="1063"/>
      <c r="J13542" s="1063"/>
      <c r="K13542" s="1063"/>
      <c r="L13542" s="1063"/>
    </row>
    <row r="13543" spans="5:12" x14ac:dyDescent="0.2">
      <c r="E13543" s="1063"/>
      <c r="H13543" s="1066"/>
      <c r="I13543" s="1063"/>
      <c r="J13543" s="1063"/>
      <c r="K13543" s="1063"/>
      <c r="L13543" s="1063"/>
    </row>
    <row r="13544" spans="5:12" x14ac:dyDescent="0.2">
      <c r="E13544" s="1063"/>
      <c r="H13544" s="1066"/>
      <c r="I13544" s="1063"/>
      <c r="J13544" s="1063"/>
      <c r="K13544" s="1063"/>
      <c r="L13544" s="1063"/>
    </row>
    <row r="13545" spans="5:12" x14ac:dyDescent="0.2">
      <c r="E13545" s="1063"/>
      <c r="H13545" s="1066"/>
      <c r="I13545" s="1063"/>
      <c r="J13545" s="1063"/>
      <c r="K13545" s="1063"/>
      <c r="L13545" s="1063"/>
    </row>
    <row r="13546" spans="5:12" x14ac:dyDescent="0.2">
      <c r="E13546" s="1063"/>
      <c r="H13546" s="1066"/>
      <c r="I13546" s="1063"/>
      <c r="J13546" s="1063"/>
      <c r="K13546" s="1063"/>
      <c r="L13546" s="1063"/>
    </row>
    <row r="13547" spans="5:12" x14ac:dyDescent="0.2">
      <c r="E13547" s="1063"/>
      <c r="H13547" s="1066"/>
      <c r="I13547" s="1063"/>
      <c r="J13547" s="1063"/>
      <c r="K13547" s="1063"/>
      <c r="L13547" s="1063"/>
    </row>
    <row r="13548" spans="5:12" x14ac:dyDescent="0.2">
      <c r="E13548" s="1063"/>
      <c r="H13548" s="1066"/>
      <c r="I13548" s="1063"/>
      <c r="J13548" s="1063"/>
      <c r="K13548" s="1063"/>
      <c r="L13548" s="1063"/>
    </row>
    <row r="13549" spans="5:12" x14ac:dyDescent="0.2">
      <c r="E13549" s="1063"/>
      <c r="H13549" s="1066"/>
      <c r="I13549" s="1063"/>
      <c r="J13549" s="1063"/>
      <c r="K13549" s="1063"/>
      <c r="L13549" s="1063"/>
    </row>
    <row r="13550" spans="5:12" x14ac:dyDescent="0.2">
      <c r="E13550" s="1063"/>
      <c r="H13550" s="1066"/>
      <c r="I13550" s="1063"/>
      <c r="J13550" s="1063"/>
      <c r="K13550" s="1063"/>
      <c r="L13550" s="1063"/>
    </row>
    <row r="13551" spans="5:12" x14ac:dyDescent="0.2">
      <c r="E13551" s="1063"/>
      <c r="H13551" s="1066"/>
      <c r="I13551" s="1063"/>
      <c r="J13551" s="1063"/>
      <c r="K13551" s="1063"/>
      <c r="L13551" s="1063"/>
    </row>
    <row r="13552" spans="5:12" x14ac:dyDescent="0.2">
      <c r="E13552" s="1063"/>
      <c r="H13552" s="1066"/>
      <c r="I13552" s="1063"/>
      <c r="J13552" s="1063"/>
      <c r="K13552" s="1063"/>
      <c r="L13552" s="1063"/>
    </row>
    <row r="13553" spans="5:12" x14ac:dyDescent="0.2">
      <c r="E13553" s="1063"/>
      <c r="H13553" s="1066"/>
      <c r="I13553" s="1063"/>
      <c r="J13553" s="1063"/>
      <c r="K13553" s="1063"/>
      <c r="L13553" s="1063"/>
    </row>
    <row r="13554" spans="5:12" x14ac:dyDescent="0.2">
      <c r="E13554" s="1063"/>
      <c r="H13554" s="1066"/>
      <c r="I13554" s="1063"/>
      <c r="J13554" s="1063"/>
      <c r="K13554" s="1063"/>
      <c r="L13554" s="1063"/>
    </row>
    <row r="13555" spans="5:12" x14ac:dyDescent="0.2">
      <c r="E13555" s="1063"/>
      <c r="H13555" s="1066"/>
      <c r="I13555" s="1063"/>
      <c r="J13555" s="1063"/>
      <c r="K13555" s="1063"/>
      <c r="L13555" s="1063"/>
    </row>
    <row r="13556" spans="5:12" x14ac:dyDescent="0.2">
      <c r="E13556" s="1063"/>
      <c r="H13556" s="1066"/>
      <c r="I13556" s="1063"/>
      <c r="J13556" s="1063"/>
      <c r="K13556" s="1063"/>
      <c r="L13556" s="1063"/>
    </row>
    <row r="13557" spans="5:12" x14ac:dyDescent="0.2">
      <c r="E13557" s="1063"/>
      <c r="H13557" s="1066"/>
      <c r="I13557" s="1063"/>
      <c r="J13557" s="1063"/>
      <c r="K13557" s="1063"/>
      <c r="L13557" s="1063"/>
    </row>
    <row r="13558" spans="5:12" x14ac:dyDescent="0.2">
      <c r="E13558" s="1063"/>
      <c r="H13558" s="1066"/>
      <c r="I13558" s="1063"/>
      <c r="J13558" s="1063"/>
      <c r="K13558" s="1063"/>
      <c r="L13558" s="1063"/>
    </row>
    <row r="13559" spans="5:12" x14ac:dyDescent="0.2">
      <c r="E13559" s="1063"/>
      <c r="H13559" s="1066"/>
      <c r="I13559" s="1063"/>
      <c r="J13559" s="1063"/>
      <c r="K13559" s="1063"/>
      <c r="L13559" s="1063"/>
    </row>
    <row r="13560" spans="5:12" x14ac:dyDescent="0.2">
      <c r="E13560" s="1063"/>
      <c r="H13560" s="1066"/>
      <c r="I13560" s="1063"/>
      <c r="J13560" s="1063"/>
      <c r="K13560" s="1063"/>
      <c r="L13560" s="1063"/>
    </row>
    <row r="13561" spans="5:12" x14ac:dyDescent="0.2">
      <c r="E13561" s="1063"/>
      <c r="H13561" s="1066"/>
      <c r="I13561" s="1063"/>
      <c r="J13561" s="1063"/>
      <c r="K13561" s="1063"/>
      <c r="L13561" s="1063"/>
    </row>
    <row r="13562" spans="5:12" x14ac:dyDescent="0.2">
      <c r="E13562" s="1063"/>
      <c r="H13562" s="1066"/>
      <c r="I13562" s="1063"/>
      <c r="J13562" s="1063"/>
      <c r="K13562" s="1063"/>
      <c r="L13562" s="1063"/>
    </row>
    <row r="13563" spans="5:12" x14ac:dyDescent="0.2">
      <c r="E13563" s="1063"/>
      <c r="H13563" s="1066"/>
      <c r="I13563" s="1063"/>
      <c r="J13563" s="1063"/>
      <c r="K13563" s="1063"/>
      <c r="L13563" s="1063"/>
    </row>
    <row r="13564" spans="5:12" x14ac:dyDescent="0.2">
      <c r="E13564" s="1063"/>
      <c r="H13564" s="1066"/>
      <c r="I13564" s="1063"/>
      <c r="J13564" s="1063"/>
      <c r="K13564" s="1063"/>
      <c r="L13564" s="1063"/>
    </row>
    <row r="13565" spans="5:12" x14ac:dyDescent="0.2">
      <c r="E13565" s="1063"/>
      <c r="H13565" s="1066"/>
      <c r="I13565" s="1063"/>
      <c r="J13565" s="1063"/>
      <c r="K13565" s="1063"/>
      <c r="L13565" s="1063"/>
    </row>
    <row r="13566" spans="5:12" x14ac:dyDescent="0.2">
      <c r="E13566" s="1063"/>
      <c r="H13566" s="1066"/>
      <c r="I13566" s="1063"/>
      <c r="J13566" s="1063"/>
      <c r="K13566" s="1063"/>
      <c r="L13566" s="1063"/>
    </row>
    <row r="13567" spans="5:12" x14ac:dyDescent="0.2">
      <c r="E13567" s="1063"/>
      <c r="H13567" s="1066"/>
      <c r="I13567" s="1063"/>
      <c r="J13567" s="1063"/>
      <c r="K13567" s="1063"/>
      <c r="L13567" s="1063"/>
    </row>
    <row r="13568" spans="5:12" x14ac:dyDescent="0.2">
      <c r="E13568" s="1063"/>
      <c r="H13568" s="1066"/>
      <c r="I13568" s="1063"/>
      <c r="J13568" s="1063"/>
      <c r="K13568" s="1063"/>
      <c r="L13568" s="1063"/>
    </row>
    <row r="13569" spans="5:12" x14ac:dyDescent="0.2">
      <c r="E13569" s="1063"/>
      <c r="H13569" s="1066"/>
      <c r="I13569" s="1063"/>
      <c r="J13569" s="1063"/>
      <c r="K13569" s="1063"/>
      <c r="L13569" s="1063"/>
    </row>
    <row r="13570" spans="5:12" x14ac:dyDescent="0.2">
      <c r="E13570" s="1063"/>
      <c r="H13570" s="1066"/>
      <c r="I13570" s="1063"/>
      <c r="J13570" s="1063"/>
      <c r="K13570" s="1063"/>
      <c r="L13570" s="1063"/>
    </row>
    <row r="13571" spans="5:12" x14ac:dyDescent="0.2">
      <c r="E13571" s="1063"/>
      <c r="H13571" s="1066"/>
      <c r="I13571" s="1063"/>
      <c r="J13571" s="1063"/>
      <c r="K13571" s="1063"/>
      <c r="L13571" s="1063"/>
    </row>
    <row r="13572" spans="5:12" x14ac:dyDescent="0.2">
      <c r="E13572" s="1063"/>
      <c r="H13572" s="1066"/>
      <c r="I13572" s="1063"/>
      <c r="J13572" s="1063"/>
      <c r="K13572" s="1063"/>
      <c r="L13572" s="1063"/>
    </row>
    <row r="13573" spans="5:12" x14ac:dyDescent="0.2">
      <c r="E13573" s="1063"/>
      <c r="H13573" s="1066"/>
      <c r="I13573" s="1063"/>
      <c r="J13573" s="1063"/>
      <c r="K13573" s="1063"/>
      <c r="L13573" s="1063"/>
    </row>
    <row r="13574" spans="5:12" x14ac:dyDescent="0.2">
      <c r="E13574" s="1063"/>
      <c r="H13574" s="1066"/>
      <c r="I13574" s="1063"/>
      <c r="J13574" s="1063"/>
      <c r="K13574" s="1063"/>
      <c r="L13574" s="1063"/>
    </row>
    <row r="13575" spans="5:12" x14ac:dyDescent="0.2">
      <c r="E13575" s="1063"/>
      <c r="H13575" s="1066"/>
      <c r="I13575" s="1063"/>
      <c r="J13575" s="1063"/>
      <c r="K13575" s="1063"/>
      <c r="L13575" s="1063"/>
    </row>
    <row r="13576" spans="5:12" x14ac:dyDescent="0.2">
      <c r="E13576" s="1063"/>
      <c r="H13576" s="1066"/>
      <c r="I13576" s="1063"/>
      <c r="J13576" s="1063"/>
      <c r="K13576" s="1063"/>
      <c r="L13576" s="1063"/>
    </row>
    <row r="13577" spans="5:12" x14ac:dyDescent="0.2">
      <c r="E13577" s="1063"/>
      <c r="H13577" s="1066"/>
      <c r="I13577" s="1063"/>
      <c r="J13577" s="1063"/>
      <c r="K13577" s="1063"/>
      <c r="L13577" s="1063"/>
    </row>
    <row r="13578" spans="5:12" x14ac:dyDescent="0.2">
      <c r="E13578" s="1063"/>
      <c r="H13578" s="1066"/>
      <c r="I13578" s="1063"/>
      <c r="J13578" s="1063"/>
      <c r="K13578" s="1063"/>
      <c r="L13578" s="1063"/>
    </row>
    <row r="13579" spans="5:12" x14ac:dyDescent="0.2">
      <c r="E13579" s="1063"/>
      <c r="H13579" s="1066"/>
      <c r="I13579" s="1063"/>
      <c r="J13579" s="1063"/>
      <c r="K13579" s="1063"/>
      <c r="L13579" s="1063"/>
    </row>
    <row r="13580" spans="5:12" x14ac:dyDescent="0.2">
      <c r="E13580" s="1063"/>
      <c r="H13580" s="1066"/>
      <c r="I13580" s="1063"/>
      <c r="J13580" s="1063"/>
      <c r="K13580" s="1063"/>
      <c r="L13580" s="1063"/>
    </row>
    <row r="13581" spans="5:12" x14ac:dyDescent="0.2">
      <c r="E13581" s="1063"/>
      <c r="H13581" s="1066"/>
      <c r="I13581" s="1063"/>
      <c r="J13581" s="1063"/>
      <c r="K13581" s="1063"/>
      <c r="L13581" s="1063"/>
    </row>
    <row r="13582" spans="5:12" x14ac:dyDescent="0.2">
      <c r="E13582" s="1063"/>
      <c r="H13582" s="1066"/>
      <c r="I13582" s="1063"/>
      <c r="J13582" s="1063"/>
      <c r="K13582" s="1063"/>
      <c r="L13582" s="1063"/>
    </row>
    <row r="13583" spans="5:12" x14ac:dyDescent="0.2">
      <c r="E13583" s="1063"/>
      <c r="H13583" s="1066"/>
      <c r="I13583" s="1063"/>
      <c r="J13583" s="1063"/>
      <c r="K13583" s="1063"/>
      <c r="L13583" s="1063"/>
    </row>
    <row r="13584" spans="5:12" x14ac:dyDescent="0.2">
      <c r="E13584" s="1063"/>
      <c r="H13584" s="1066"/>
      <c r="I13584" s="1063"/>
      <c r="J13584" s="1063"/>
      <c r="K13584" s="1063"/>
      <c r="L13584" s="1063"/>
    </row>
    <row r="13585" spans="5:12" x14ac:dyDescent="0.2">
      <c r="E13585" s="1063"/>
      <c r="H13585" s="1066"/>
      <c r="I13585" s="1063"/>
      <c r="J13585" s="1063"/>
      <c r="K13585" s="1063"/>
      <c r="L13585" s="1063"/>
    </row>
    <row r="13586" spans="5:12" x14ac:dyDescent="0.2">
      <c r="E13586" s="1063"/>
      <c r="H13586" s="1066"/>
      <c r="I13586" s="1063"/>
      <c r="J13586" s="1063"/>
      <c r="K13586" s="1063"/>
      <c r="L13586" s="1063"/>
    </row>
    <row r="13587" spans="5:12" x14ac:dyDescent="0.2">
      <c r="E13587" s="1063"/>
      <c r="H13587" s="1066"/>
      <c r="I13587" s="1063"/>
      <c r="J13587" s="1063"/>
      <c r="K13587" s="1063"/>
      <c r="L13587" s="1063"/>
    </row>
    <row r="13588" spans="5:12" x14ac:dyDescent="0.2">
      <c r="E13588" s="1063"/>
      <c r="H13588" s="1066"/>
      <c r="I13588" s="1063"/>
      <c r="J13588" s="1063"/>
      <c r="K13588" s="1063"/>
      <c r="L13588" s="1063"/>
    </row>
    <row r="13589" spans="5:12" x14ac:dyDescent="0.2">
      <c r="E13589" s="1063"/>
      <c r="H13589" s="1066"/>
      <c r="I13589" s="1063"/>
      <c r="J13589" s="1063"/>
      <c r="K13589" s="1063"/>
      <c r="L13589" s="1063"/>
    </row>
    <row r="13590" spans="5:12" x14ac:dyDescent="0.2">
      <c r="E13590" s="1063"/>
      <c r="H13590" s="1066"/>
      <c r="I13590" s="1063"/>
      <c r="J13590" s="1063"/>
      <c r="K13590" s="1063"/>
      <c r="L13590" s="1063"/>
    </row>
    <row r="13591" spans="5:12" x14ac:dyDescent="0.2">
      <c r="E13591" s="1063"/>
      <c r="H13591" s="1066"/>
      <c r="I13591" s="1063"/>
      <c r="J13591" s="1063"/>
      <c r="K13591" s="1063"/>
      <c r="L13591" s="1063"/>
    </row>
    <row r="13592" spans="5:12" x14ac:dyDescent="0.2">
      <c r="E13592" s="1063"/>
      <c r="H13592" s="1066"/>
      <c r="I13592" s="1063"/>
      <c r="J13592" s="1063"/>
      <c r="K13592" s="1063"/>
      <c r="L13592" s="1063"/>
    </row>
    <row r="13593" spans="5:12" x14ac:dyDescent="0.2">
      <c r="E13593" s="1063"/>
      <c r="H13593" s="1066"/>
      <c r="I13593" s="1063"/>
      <c r="J13593" s="1063"/>
      <c r="K13593" s="1063"/>
      <c r="L13593" s="1063"/>
    </row>
    <row r="13594" spans="5:12" x14ac:dyDescent="0.2">
      <c r="E13594" s="1063"/>
      <c r="H13594" s="1066"/>
      <c r="I13594" s="1063"/>
      <c r="J13594" s="1063"/>
      <c r="K13594" s="1063"/>
      <c r="L13594" s="1063"/>
    </row>
    <row r="13595" spans="5:12" x14ac:dyDescent="0.2">
      <c r="E13595" s="1063"/>
      <c r="H13595" s="1066"/>
      <c r="I13595" s="1063"/>
      <c r="J13595" s="1063"/>
      <c r="K13595" s="1063"/>
      <c r="L13595" s="1063"/>
    </row>
    <row r="13596" spans="5:12" x14ac:dyDescent="0.2">
      <c r="E13596" s="1063"/>
      <c r="H13596" s="1066"/>
      <c r="I13596" s="1063"/>
      <c r="J13596" s="1063"/>
      <c r="K13596" s="1063"/>
      <c r="L13596" s="1063"/>
    </row>
    <row r="13597" spans="5:12" x14ac:dyDescent="0.2">
      <c r="E13597" s="1063"/>
      <c r="H13597" s="1066"/>
      <c r="I13597" s="1063"/>
      <c r="J13597" s="1063"/>
      <c r="K13597" s="1063"/>
      <c r="L13597" s="1063"/>
    </row>
    <row r="13598" spans="5:12" x14ac:dyDescent="0.2">
      <c r="E13598" s="1063"/>
      <c r="H13598" s="1066"/>
      <c r="I13598" s="1063"/>
      <c r="J13598" s="1063"/>
      <c r="K13598" s="1063"/>
      <c r="L13598" s="1063"/>
    </row>
    <row r="13599" spans="5:12" x14ac:dyDescent="0.2">
      <c r="E13599" s="1063"/>
      <c r="H13599" s="1066"/>
      <c r="I13599" s="1063"/>
      <c r="J13599" s="1063"/>
      <c r="K13599" s="1063"/>
      <c r="L13599" s="1063"/>
    </row>
    <row r="13600" spans="5:12" x14ac:dyDescent="0.2">
      <c r="E13600" s="1063"/>
      <c r="H13600" s="1066"/>
      <c r="I13600" s="1063"/>
      <c r="J13600" s="1063"/>
      <c r="K13600" s="1063"/>
      <c r="L13600" s="1063"/>
    </row>
    <row r="13601" spans="5:12" x14ac:dyDescent="0.2">
      <c r="E13601" s="1063"/>
      <c r="H13601" s="1066"/>
      <c r="I13601" s="1063"/>
      <c r="J13601" s="1063"/>
      <c r="K13601" s="1063"/>
      <c r="L13601" s="1063"/>
    </row>
    <row r="13602" spans="5:12" x14ac:dyDescent="0.2">
      <c r="E13602" s="1063"/>
      <c r="H13602" s="1066"/>
      <c r="I13602" s="1063"/>
      <c r="J13602" s="1063"/>
      <c r="K13602" s="1063"/>
      <c r="L13602" s="1063"/>
    </row>
    <row r="13603" spans="5:12" x14ac:dyDescent="0.2">
      <c r="E13603" s="1063"/>
      <c r="H13603" s="1066"/>
      <c r="I13603" s="1063"/>
      <c r="J13603" s="1063"/>
      <c r="K13603" s="1063"/>
      <c r="L13603" s="1063"/>
    </row>
    <row r="13604" spans="5:12" x14ac:dyDescent="0.2">
      <c r="E13604" s="1063"/>
      <c r="H13604" s="1066"/>
      <c r="I13604" s="1063"/>
      <c r="J13604" s="1063"/>
      <c r="K13604" s="1063"/>
      <c r="L13604" s="1063"/>
    </row>
    <row r="13605" spans="5:12" x14ac:dyDescent="0.2">
      <c r="E13605" s="1063"/>
      <c r="H13605" s="1066"/>
      <c r="I13605" s="1063"/>
      <c r="J13605" s="1063"/>
      <c r="K13605" s="1063"/>
      <c r="L13605" s="1063"/>
    </row>
    <row r="13606" spans="5:12" x14ac:dyDescent="0.2">
      <c r="E13606" s="1063"/>
      <c r="H13606" s="1066"/>
      <c r="I13606" s="1063"/>
      <c r="J13606" s="1063"/>
      <c r="K13606" s="1063"/>
      <c r="L13606" s="1063"/>
    </row>
    <row r="13607" spans="5:12" x14ac:dyDescent="0.2">
      <c r="E13607" s="1063"/>
      <c r="H13607" s="1066"/>
      <c r="I13607" s="1063"/>
      <c r="J13607" s="1063"/>
      <c r="K13607" s="1063"/>
      <c r="L13607" s="1063"/>
    </row>
    <row r="13608" spans="5:12" x14ac:dyDescent="0.2">
      <c r="E13608" s="1063"/>
      <c r="H13608" s="1066"/>
      <c r="I13608" s="1063"/>
      <c r="J13608" s="1063"/>
      <c r="K13608" s="1063"/>
      <c r="L13608" s="1063"/>
    </row>
    <row r="13609" spans="5:12" x14ac:dyDescent="0.2">
      <c r="E13609" s="1063"/>
      <c r="H13609" s="1066"/>
      <c r="I13609" s="1063"/>
      <c r="J13609" s="1063"/>
      <c r="K13609" s="1063"/>
      <c r="L13609" s="1063"/>
    </row>
    <row r="13610" spans="5:12" x14ac:dyDescent="0.2">
      <c r="E13610" s="1063"/>
      <c r="H13610" s="1066"/>
      <c r="I13610" s="1063"/>
      <c r="J13610" s="1063"/>
      <c r="K13610" s="1063"/>
      <c r="L13610" s="1063"/>
    </row>
    <row r="13611" spans="5:12" x14ac:dyDescent="0.2">
      <c r="E13611" s="1063"/>
      <c r="H13611" s="1066"/>
      <c r="I13611" s="1063"/>
      <c r="J13611" s="1063"/>
      <c r="K13611" s="1063"/>
      <c r="L13611" s="1063"/>
    </row>
    <row r="13612" spans="5:12" x14ac:dyDescent="0.2">
      <c r="E13612" s="1063"/>
      <c r="H13612" s="1066"/>
      <c r="I13612" s="1063"/>
      <c r="J13612" s="1063"/>
      <c r="K13612" s="1063"/>
      <c r="L13612" s="1063"/>
    </row>
    <row r="13613" spans="5:12" x14ac:dyDescent="0.2">
      <c r="E13613" s="1063"/>
      <c r="H13613" s="1066"/>
      <c r="I13613" s="1063"/>
      <c r="J13613" s="1063"/>
      <c r="K13613" s="1063"/>
      <c r="L13613" s="1063"/>
    </row>
    <row r="13614" spans="5:12" x14ac:dyDescent="0.2">
      <c r="E13614" s="1063"/>
      <c r="H13614" s="1066"/>
      <c r="I13614" s="1063"/>
      <c r="J13614" s="1063"/>
      <c r="K13614" s="1063"/>
      <c r="L13614" s="1063"/>
    </row>
    <row r="13615" spans="5:12" x14ac:dyDescent="0.2">
      <c r="E13615" s="1063"/>
      <c r="H13615" s="1066"/>
      <c r="I13615" s="1063"/>
      <c r="J13615" s="1063"/>
      <c r="K13615" s="1063"/>
      <c r="L13615" s="1063"/>
    </row>
    <row r="13616" spans="5:12" x14ac:dyDescent="0.2">
      <c r="E13616" s="1063"/>
      <c r="H13616" s="1066"/>
      <c r="I13616" s="1063"/>
      <c r="J13616" s="1063"/>
      <c r="K13616" s="1063"/>
      <c r="L13616" s="1063"/>
    </row>
    <row r="13617" spans="5:12" x14ac:dyDescent="0.2">
      <c r="E13617" s="1063"/>
      <c r="H13617" s="1066"/>
      <c r="I13617" s="1063"/>
      <c r="J13617" s="1063"/>
      <c r="K13617" s="1063"/>
      <c r="L13617" s="1063"/>
    </row>
    <row r="13618" spans="5:12" x14ac:dyDescent="0.2">
      <c r="E13618" s="1063"/>
      <c r="H13618" s="1066"/>
      <c r="I13618" s="1063"/>
      <c r="J13618" s="1063"/>
      <c r="K13618" s="1063"/>
      <c r="L13618" s="1063"/>
    </row>
    <row r="13619" spans="5:12" x14ac:dyDescent="0.2">
      <c r="E13619" s="1063"/>
      <c r="H13619" s="1066"/>
      <c r="I13619" s="1063"/>
      <c r="J13619" s="1063"/>
      <c r="K13619" s="1063"/>
      <c r="L13619" s="1063"/>
    </row>
    <row r="13620" spans="5:12" x14ac:dyDescent="0.2">
      <c r="E13620" s="1063"/>
      <c r="H13620" s="1066"/>
      <c r="I13620" s="1063"/>
      <c r="J13620" s="1063"/>
      <c r="K13620" s="1063"/>
      <c r="L13620" s="1063"/>
    </row>
    <row r="13621" spans="5:12" x14ac:dyDescent="0.2">
      <c r="E13621" s="1063"/>
      <c r="H13621" s="1066"/>
      <c r="I13621" s="1063"/>
      <c r="J13621" s="1063"/>
      <c r="K13621" s="1063"/>
      <c r="L13621" s="1063"/>
    </row>
    <row r="13622" spans="5:12" x14ac:dyDescent="0.2">
      <c r="E13622" s="1063"/>
      <c r="H13622" s="1066"/>
      <c r="I13622" s="1063"/>
      <c r="J13622" s="1063"/>
      <c r="K13622" s="1063"/>
      <c r="L13622" s="1063"/>
    </row>
    <row r="13623" spans="5:12" x14ac:dyDescent="0.2">
      <c r="E13623" s="1063"/>
      <c r="H13623" s="1066"/>
      <c r="I13623" s="1063"/>
      <c r="J13623" s="1063"/>
      <c r="K13623" s="1063"/>
      <c r="L13623" s="1063"/>
    </row>
    <row r="13624" spans="5:12" x14ac:dyDescent="0.2">
      <c r="E13624" s="1063"/>
      <c r="H13624" s="1066"/>
      <c r="I13624" s="1063"/>
      <c r="J13624" s="1063"/>
      <c r="K13624" s="1063"/>
      <c r="L13624" s="1063"/>
    </row>
    <row r="13625" spans="5:12" x14ac:dyDescent="0.2">
      <c r="E13625" s="1063"/>
      <c r="H13625" s="1066"/>
      <c r="I13625" s="1063"/>
      <c r="J13625" s="1063"/>
      <c r="K13625" s="1063"/>
      <c r="L13625" s="1063"/>
    </row>
    <row r="13626" spans="5:12" x14ac:dyDescent="0.2">
      <c r="E13626" s="1063"/>
      <c r="H13626" s="1066"/>
      <c r="I13626" s="1063"/>
      <c r="J13626" s="1063"/>
      <c r="K13626" s="1063"/>
      <c r="L13626" s="1063"/>
    </row>
    <row r="13627" spans="5:12" x14ac:dyDescent="0.2">
      <c r="E13627" s="1063"/>
      <c r="H13627" s="1066"/>
      <c r="I13627" s="1063"/>
      <c r="J13627" s="1063"/>
      <c r="K13627" s="1063"/>
      <c r="L13627" s="1063"/>
    </row>
    <row r="13628" spans="5:12" x14ac:dyDescent="0.2">
      <c r="E13628" s="1063"/>
      <c r="H13628" s="1066"/>
      <c r="I13628" s="1063"/>
      <c r="J13628" s="1063"/>
      <c r="K13628" s="1063"/>
      <c r="L13628" s="1063"/>
    </row>
    <row r="13629" spans="5:12" x14ac:dyDescent="0.2">
      <c r="E13629" s="1063"/>
      <c r="H13629" s="1066"/>
      <c r="I13629" s="1063"/>
      <c r="J13629" s="1063"/>
      <c r="K13629" s="1063"/>
      <c r="L13629" s="1063"/>
    </row>
    <row r="13630" spans="5:12" x14ac:dyDescent="0.2">
      <c r="E13630" s="1063"/>
      <c r="H13630" s="1066"/>
      <c r="I13630" s="1063"/>
      <c r="J13630" s="1063"/>
      <c r="K13630" s="1063"/>
      <c r="L13630" s="1063"/>
    </row>
    <row r="13631" spans="5:12" x14ac:dyDescent="0.2">
      <c r="E13631" s="1063"/>
      <c r="H13631" s="1066"/>
      <c r="I13631" s="1063"/>
      <c r="J13631" s="1063"/>
      <c r="K13631" s="1063"/>
      <c r="L13631" s="1063"/>
    </row>
    <row r="13632" spans="5:12" x14ac:dyDescent="0.2">
      <c r="E13632" s="1063"/>
      <c r="H13632" s="1066"/>
      <c r="I13632" s="1063"/>
      <c r="J13632" s="1063"/>
      <c r="K13632" s="1063"/>
      <c r="L13632" s="1063"/>
    </row>
    <row r="13633" spans="5:12" x14ac:dyDescent="0.2">
      <c r="E13633" s="1063"/>
      <c r="H13633" s="1066"/>
      <c r="I13633" s="1063"/>
      <c r="J13633" s="1063"/>
      <c r="K13633" s="1063"/>
      <c r="L13633" s="1063"/>
    </row>
    <row r="13634" spans="5:12" x14ac:dyDescent="0.2">
      <c r="E13634" s="1063"/>
      <c r="H13634" s="1066"/>
      <c r="I13634" s="1063"/>
      <c r="J13634" s="1063"/>
      <c r="K13634" s="1063"/>
      <c r="L13634" s="1063"/>
    </row>
    <row r="13635" spans="5:12" x14ac:dyDescent="0.2">
      <c r="E13635" s="1063"/>
      <c r="H13635" s="1066"/>
      <c r="I13635" s="1063"/>
      <c r="J13635" s="1063"/>
      <c r="K13635" s="1063"/>
      <c r="L13635" s="1063"/>
    </row>
    <row r="13636" spans="5:12" x14ac:dyDescent="0.2">
      <c r="E13636" s="1063"/>
      <c r="H13636" s="1066"/>
      <c r="I13636" s="1063"/>
      <c r="J13636" s="1063"/>
      <c r="K13636" s="1063"/>
      <c r="L13636" s="1063"/>
    </row>
    <row r="13637" spans="5:12" x14ac:dyDescent="0.2">
      <c r="E13637" s="1063"/>
      <c r="H13637" s="1066"/>
      <c r="I13637" s="1063"/>
      <c r="J13637" s="1063"/>
      <c r="K13637" s="1063"/>
      <c r="L13637" s="1063"/>
    </row>
    <row r="13638" spans="5:12" x14ac:dyDescent="0.2">
      <c r="E13638" s="1063"/>
      <c r="H13638" s="1066"/>
      <c r="I13638" s="1063"/>
      <c r="J13638" s="1063"/>
      <c r="K13638" s="1063"/>
      <c r="L13638" s="1063"/>
    </row>
    <row r="13639" spans="5:12" x14ac:dyDescent="0.2">
      <c r="E13639" s="1063"/>
      <c r="H13639" s="1066"/>
      <c r="I13639" s="1063"/>
      <c r="J13639" s="1063"/>
      <c r="K13639" s="1063"/>
      <c r="L13639" s="1063"/>
    </row>
    <row r="13640" spans="5:12" x14ac:dyDescent="0.2">
      <c r="E13640" s="1063"/>
      <c r="H13640" s="1066"/>
      <c r="I13640" s="1063"/>
      <c r="J13640" s="1063"/>
      <c r="K13640" s="1063"/>
      <c r="L13640" s="1063"/>
    </row>
    <row r="13641" spans="5:12" x14ac:dyDescent="0.2">
      <c r="E13641" s="1063"/>
      <c r="H13641" s="1066"/>
      <c r="I13641" s="1063"/>
      <c r="J13641" s="1063"/>
      <c r="K13641" s="1063"/>
      <c r="L13641" s="1063"/>
    </row>
    <row r="13642" spans="5:12" x14ac:dyDescent="0.2">
      <c r="E13642" s="1063"/>
      <c r="H13642" s="1066"/>
      <c r="I13642" s="1063"/>
      <c r="J13642" s="1063"/>
      <c r="K13642" s="1063"/>
      <c r="L13642" s="1063"/>
    </row>
    <row r="13643" spans="5:12" x14ac:dyDescent="0.2">
      <c r="E13643" s="1063"/>
      <c r="H13643" s="1066"/>
      <c r="I13643" s="1063"/>
      <c r="J13643" s="1063"/>
      <c r="K13643" s="1063"/>
      <c r="L13643" s="1063"/>
    </row>
    <row r="13644" spans="5:12" x14ac:dyDescent="0.2">
      <c r="E13644" s="1063"/>
      <c r="H13644" s="1066"/>
      <c r="I13644" s="1063"/>
      <c r="J13644" s="1063"/>
      <c r="K13644" s="1063"/>
      <c r="L13644" s="1063"/>
    </row>
    <row r="13645" spans="5:12" x14ac:dyDescent="0.2">
      <c r="E13645" s="1063"/>
      <c r="H13645" s="1066"/>
      <c r="I13645" s="1063"/>
      <c r="J13645" s="1063"/>
      <c r="K13645" s="1063"/>
      <c r="L13645" s="1063"/>
    </row>
    <row r="13646" spans="5:12" x14ac:dyDescent="0.2">
      <c r="E13646" s="1063"/>
      <c r="H13646" s="1066"/>
      <c r="I13646" s="1063"/>
      <c r="J13646" s="1063"/>
      <c r="K13646" s="1063"/>
      <c r="L13646" s="1063"/>
    </row>
    <row r="13647" spans="5:12" x14ac:dyDescent="0.2">
      <c r="E13647" s="1063"/>
      <c r="H13647" s="1066"/>
      <c r="I13647" s="1063"/>
      <c r="J13647" s="1063"/>
      <c r="K13647" s="1063"/>
      <c r="L13647" s="1063"/>
    </row>
    <row r="13648" spans="5:12" x14ac:dyDescent="0.2">
      <c r="E13648" s="1063"/>
      <c r="H13648" s="1066"/>
      <c r="I13648" s="1063"/>
      <c r="J13648" s="1063"/>
      <c r="K13648" s="1063"/>
      <c r="L13648" s="1063"/>
    </row>
    <row r="13649" spans="5:12" x14ac:dyDescent="0.2">
      <c r="E13649" s="1063"/>
      <c r="H13649" s="1066"/>
      <c r="I13649" s="1063"/>
      <c r="J13649" s="1063"/>
      <c r="K13649" s="1063"/>
      <c r="L13649" s="1063"/>
    </row>
    <row r="13650" spans="5:12" x14ac:dyDescent="0.2">
      <c r="E13650" s="1063"/>
      <c r="H13650" s="1066"/>
      <c r="I13650" s="1063"/>
      <c r="J13650" s="1063"/>
      <c r="K13650" s="1063"/>
      <c r="L13650" s="1063"/>
    </row>
    <row r="13651" spans="5:12" x14ac:dyDescent="0.2">
      <c r="E13651" s="1063"/>
      <c r="H13651" s="1066"/>
      <c r="I13651" s="1063"/>
      <c r="J13651" s="1063"/>
      <c r="K13651" s="1063"/>
      <c r="L13651" s="1063"/>
    </row>
    <row r="13652" spans="5:12" x14ac:dyDescent="0.2">
      <c r="E13652" s="1063"/>
      <c r="H13652" s="1066"/>
      <c r="I13652" s="1063"/>
      <c r="J13652" s="1063"/>
      <c r="K13652" s="1063"/>
      <c r="L13652" s="1063"/>
    </row>
    <row r="13653" spans="5:12" x14ac:dyDescent="0.2">
      <c r="E13653" s="1063"/>
      <c r="H13653" s="1066"/>
      <c r="I13653" s="1063"/>
      <c r="J13653" s="1063"/>
      <c r="K13653" s="1063"/>
      <c r="L13653" s="1063"/>
    </row>
    <row r="13654" spans="5:12" x14ac:dyDescent="0.2">
      <c r="E13654" s="1063"/>
      <c r="H13654" s="1066"/>
      <c r="I13654" s="1063"/>
      <c r="J13654" s="1063"/>
      <c r="K13654" s="1063"/>
      <c r="L13654" s="1063"/>
    </row>
    <row r="13655" spans="5:12" x14ac:dyDescent="0.2">
      <c r="E13655" s="1063"/>
      <c r="H13655" s="1066"/>
      <c r="I13655" s="1063"/>
      <c r="J13655" s="1063"/>
      <c r="K13655" s="1063"/>
      <c r="L13655" s="1063"/>
    </row>
    <row r="13656" spans="5:12" x14ac:dyDescent="0.2">
      <c r="E13656" s="1063"/>
      <c r="H13656" s="1066"/>
      <c r="I13656" s="1063"/>
      <c r="J13656" s="1063"/>
      <c r="K13656" s="1063"/>
      <c r="L13656" s="1063"/>
    </row>
    <row r="13657" spans="5:12" x14ac:dyDescent="0.2">
      <c r="E13657" s="1063"/>
      <c r="H13657" s="1066"/>
      <c r="I13657" s="1063"/>
      <c r="J13657" s="1063"/>
      <c r="K13657" s="1063"/>
      <c r="L13657" s="1063"/>
    </row>
    <row r="13658" spans="5:12" x14ac:dyDescent="0.2">
      <c r="E13658" s="1063"/>
      <c r="H13658" s="1066"/>
      <c r="I13658" s="1063"/>
      <c r="J13658" s="1063"/>
      <c r="K13658" s="1063"/>
      <c r="L13658" s="1063"/>
    </row>
    <row r="13659" spans="5:12" x14ac:dyDescent="0.2">
      <c r="E13659" s="1063"/>
      <c r="H13659" s="1066"/>
      <c r="I13659" s="1063"/>
      <c r="J13659" s="1063"/>
      <c r="K13659" s="1063"/>
      <c r="L13659" s="1063"/>
    </row>
    <row r="13660" spans="5:12" x14ac:dyDescent="0.2">
      <c r="E13660" s="1063"/>
      <c r="H13660" s="1066"/>
      <c r="I13660" s="1063"/>
      <c r="J13660" s="1063"/>
      <c r="K13660" s="1063"/>
      <c r="L13660" s="1063"/>
    </row>
    <row r="13661" spans="5:12" x14ac:dyDescent="0.2">
      <c r="E13661" s="1063"/>
      <c r="H13661" s="1066"/>
      <c r="I13661" s="1063"/>
      <c r="J13661" s="1063"/>
      <c r="K13661" s="1063"/>
      <c r="L13661" s="1063"/>
    </row>
    <row r="13662" spans="5:12" x14ac:dyDescent="0.2">
      <c r="E13662" s="1063"/>
      <c r="H13662" s="1066"/>
      <c r="I13662" s="1063"/>
      <c r="J13662" s="1063"/>
      <c r="K13662" s="1063"/>
      <c r="L13662" s="1063"/>
    </row>
    <row r="13663" spans="5:12" x14ac:dyDescent="0.2">
      <c r="E13663" s="1063"/>
      <c r="H13663" s="1066"/>
      <c r="I13663" s="1063"/>
      <c r="J13663" s="1063"/>
      <c r="K13663" s="1063"/>
      <c r="L13663" s="1063"/>
    </row>
    <row r="13664" spans="5:12" x14ac:dyDescent="0.2">
      <c r="E13664" s="1063"/>
      <c r="H13664" s="1066"/>
      <c r="I13664" s="1063"/>
      <c r="J13664" s="1063"/>
      <c r="K13664" s="1063"/>
      <c r="L13664" s="1063"/>
    </row>
    <row r="13665" spans="5:12" x14ac:dyDescent="0.2">
      <c r="E13665" s="1063"/>
      <c r="H13665" s="1066"/>
      <c r="I13665" s="1063"/>
      <c r="J13665" s="1063"/>
      <c r="K13665" s="1063"/>
      <c r="L13665" s="1063"/>
    </row>
    <row r="13666" spans="5:12" x14ac:dyDescent="0.2">
      <c r="E13666" s="1063"/>
      <c r="H13666" s="1066"/>
      <c r="I13666" s="1063"/>
      <c r="J13666" s="1063"/>
      <c r="K13666" s="1063"/>
      <c r="L13666" s="1063"/>
    </row>
    <row r="13667" spans="5:12" x14ac:dyDescent="0.2">
      <c r="E13667" s="1063"/>
      <c r="H13667" s="1066"/>
      <c r="I13667" s="1063"/>
      <c r="J13667" s="1063"/>
      <c r="K13667" s="1063"/>
      <c r="L13667" s="1063"/>
    </row>
    <row r="13668" spans="5:12" x14ac:dyDescent="0.2">
      <c r="E13668" s="1063"/>
      <c r="H13668" s="1066"/>
      <c r="I13668" s="1063"/>
      <c r="J13668" s="1063"/>
      <c r="K13668" s="1063"/>
      <c r="L13668" s="1063"/>
    </row>
    <row r="13669" spans="5:12" x14ac:dyDescent="0.2">
      <c r="E13669" s="1063"/>
      <c r="H13669" s="1066"/>
      <c r="I13669" s="1063"/>
      <c r="J13669" s="1063"/>
      <c r="K13669" s="1063"/>
      <c r="L13669" s="1063"/>
    </row>
    <row r="13670" spans="5:12" x14ac:dyDescent="0.2">
      <c r="E13670" s="1063"/>
      <c r="H13670" s="1066"/>
      <c r="I13670" s="1063"/>
      <c r="J13670" s="1063"/>
      <c r="K13670" s="1063"/>
      <c r="L13670" s="1063"/>
    </row>
    <row r="13671" spans="5:12" x14ac:dyDescent="0.2">
      <c r="E13671" s="1063"/>
      <c r="H13671" s="1066"/>
      <c r="I13671" s="1063"/>
      <c r="J13671" s="1063"/>
      <c r="K13671" s="1063"/>
      <c r="L13671" s="1063"/>
    </row>
    <row r="13672" spans="5:12" x14ac:dyDescent="0.2">
      <c r="E13672" s="1063"/>
      <c r="H13672" s="1066"/>
      <c r="I13672" s="1063"/>
      <c r="J13672" s="1063"/>
      <c r="K13672" s="1063"/>
      <c r="L13672" s="1063"/>
    </row>
    <row r="13673" spans="5:12" x14ac:dyDescent="0.2">
      <c r="E13673" s="1063"/>
      <c r="H13673" s="1066"/>
      <c r="I13673" s="1063"/>
      <c r="J13673" s="1063"/>
      <c r="K13673" s="1063"/>
      <c r="L13673" s="1063"/>
    </row>
    <row r="13674" spans="5:12" x14ac:dyDescent="0.2">
      <c r="E13674" s="1063"/>
      <c r="H13674" s="1066"/>
      <c r="I13674" s="1063"/>
      <c r="J13674" s="1063"/>
      <c r="K13674" s="1063"/>
      <c r="L13674" s="1063"/>
    </row>
    <row r="13675" spans="5:12" x14ac:dyDescent="0.2">
      <c r="E13675" s="1063"/>
      <c r="H13675" s="1066"/>
      <c r="I13675" s="1063"/>
      <c r="J13675" s="1063"/>
      <c r="K13675" s="1063"/>
      <c r="L13675" s="1063"/>
    </row>
    <row r="13676" spans="5:12" x14ac:dyDescent="0.2">
      <c r="E13676" s="1063"/>
      <c r="H13676" s="1066"/>
      <c r="I13676" s="1063"/>
      <c r="J13676" s="1063"/>
      <c r="K13676" s="1063"/>
      <c r="L13676" s="1063"/>
    </row>
    <row r="13677" spans="5:12" x14ac:dyDescent="0.2">
      <c r="E13677" s="1063"/>
      <c r="H13677" s="1066"/>
      <c r="I13677" s="1063"/>
      <c r="J13677" s="1063"/>
      <c r="K13677" s="1063"/>
      <c r="L13677" s="1063"/>
    </row>
    <row r="13678" spans="5:12" x14ac:dyDescent="0.2">
      <c r="E13678" s="1063"/>
      <c r="H13678" s="1066"/>
      <c r="I13678" s="1063"/>
      <c r="J13678" s="1063"/>
      <c r="K13678" s="1063"/>
      <c r="L13678" s="1063"/>
    </row>
    <row r="13679" spans="5:12" x14ac:dyDescent="0.2">
      <c r="E13679" s="1063"/>
      <c r="H13679" s="1066"/>
      <c r="I13679" s="1063"/>
      <c r="J13679" s="1063"/>
      <c r="K13679" s="1063"/>
      <c r="L13679" s="1063"/>
    </row>
    <row r="13680" spans="5:12" x14ac:dyDescent="0.2">
      <c r="E13680" s="1063"/>
      <c r="H13680" s="1066"/>
      <c r="I13680" s="1063"/>
      <c r="J13680" s="1063"/>
      <c r="K13680" s="1063"/>
      <c r="L13680" s="1063"/>
    </row>
    <row r="13681" spans="5:12" x14ac:dyDescent="0.2">
      <c r="E13681" s="1063"/>
      <c r="H13681" s="1066"/>
      <c r="I13681" s="1063"/>
      <c r="J13681" s="1063"/>
      <c r="K13681" s="1063"/>
      <c r="L13681" s="1063"/>
    </row>
    <row r="13682" spans="5:12" x14ac:dyDescent="0.2">
      <c r="E13682" s="1063"/>
      <c r="H13682" s="1066"/>
      <c r="I13682" s="1063"/>
      <c r="J13682" s="1063"/>
      <c r="K13682" s="1063"/>
      <c r="L13682" s="1063"/>
    </row>
    <row r="13683" spans="5:12" x14ac:dyDescent="0.2">
      <c r="E13683" s="1063"/>
      <c r="H13683" s="1066"/>
      <c r="I13683" s="1063"/>
      <c r="J13683" s="1063"/>
      <c r="K13683" s="1063"/>
      <c r="L13683" s="1063"/>
    </row>
    <row r="13684" spans="5:12" x14ac:dyDescent="0.2">
      <c r="E13684" s="1063"/>
      <c r="H13684" s="1066"/>
      <c r="I13684" s="1063"/>
      <c r="J13684" s="1063"/>
      <c r="K13684" s="1063"/>
      <c r="L13684" s="1063"/>
    </row>
    <row r="13685" spans="5:12" x14ac:dyDescent="0.2">
      <c r="E13685" s="1063"/>
      <c r="H13685" s="1066"/>
      <c r="I13685" s="1063"/>
      <c r="J13685" s="1063"/>
      <c r="K13685" s="1063"/>
      <c r="L13685" s="1063"/>
    </row>
    <row r="13686" spans="5:12" x14ac:dyDescent="0.2">
      <c r="E13686" s="1063"/>
      <c r="H13686" s="1066"/>
      <c r="I13686" s="1063"/>
      <c r="J13686" s="1063"/>
      <c r="K13686" s="1063"/>
      <c r="L13686" s="1063"/>
    </row>
    <row r="13687" spans="5:12" x14ac:dyDescent="0.2">
      <c r="E13687" s="1063"/>
      <c r="H13687" s="1066"/>
      <c r="I13687" s="1063"/>
      <c r="J13687" s="1063"/>
      <c r="K13687" s="1063"/>
      <c r="L13687" s="1063"/>
    </row>
    <row r="13688" spans="5:12" x14ac:dyDescent="0.2">
      <c r="E13688" s="1063"/>
      <c r="H13688" s="1066"/>
      <c r="I13688" s="1063"/>
      <c r="J13688" s="1063"/>
      <c r="K13688" s="1063"/>
      <c r="L13688" s="1063"/>
    </row>
    <row r="13689" spans="5:12" x14ac:dyDescent="0.2">
      <c r="E13689" s="1063"/>
      <c r="H13689" s="1066"/>
      <c r="I13689" s="1063"/>
      <c r="J13689" s="1063"/>
      <c r="K13689" s="1063"/>
      <c r="L13689" s="1063"/>
    </row>
    <row r="13690" spans="5:12" x14ac:dyDescent="0.2">
      <c r="E13690" s="1063"/>
      <c r="H13690" s="1066"/>
      <c r="I13690" s="1063"/>
      <c r="J13690" s="1063"/>
      <c r="K13690" s="1063"/>
      <c r="L13690" s="1063"/>
    </row>
    <row r="13691" spans="5:12" x14ac:dyDescent="0.2">
      <c r="E13691" s="1063"/>
      <c r="H13691" s="1066"/>
      <c r="I13691" s="1063"/>
      <c r="J13691" s="1063"/>
      <c r="K13691" s="1063"/>
      <c r="L13691" s="1063"/>
    </row>
    <row r="13692" spans="5:12" x14ac:dyDescent="0.2">
      <c r="E13692" s="1063"/>
      <c r="H13692" s="1066"/>
      <c r="I13692" s="1063"/>
      <c r="J13692" s="1063"/>
      <c r="K13692" s="1063"/>
      <c r="L13692" s="1063"/>
    </row>
    <row r="13693" spans="5:12" x14ac:dyDescent="0.2">
      <c r="E13693" s="1063"/>
      <c r="H13693" s="1066"/>
      <c r="I13693" s="1063"/>
      <c r="J13693" s="1063"/>
      <c r="K13693" s="1063"/>
      <c r="L13693" s="1063"/>
    </row>
    <row r="13694" spans="5:12" x14ac:dyDescent="0.2">
      <c r="E13694" s="1063"/>
      <c r="H13694" s="1066"/>
      <c r="I13694" s="1063"/>
      <c r="J13694" s="1063"/>
      <c r="K13694" s="1063"/>
      <c r="L13694" s="1063"/>
    </row>
    <row r="13695" spans="5:12" x14ac:dyDescent="0.2">
      <c r="E13695" s="1063"/>
      <c r="H13695" s="1066"/>
      <c r="I13695" s="1063"/>
      <c r="J13695" s="1063"/>
      <c r="K13695" s="1063"/>
      <c r="L13695" s="1063"/>
    </row>
    <row r="13696" spans="5:12" x14ac:dyDescent="0.2">
      <c r="E13696" s="1063"/>
      <c r="H13696" s="1066"/>
      <c r="I13696" s="1063"/>
      <c r="J13696" s="1063"/>
      <c r="K13696" s="1063"/>
      <c r="L13696" s="1063"/>
    </row>
    <row r="13697" spans="5:12" x14ac:dyDescent="0.2">
      <c r="E13697" s="1063"/>
      <c r="H13697" s="1066"/>
      <c r="I13697" s="1063"/>
      <c r="J13697" s="1063"/>
      <c r="K13697" s="1063"/>
      <c r="L13697" s="1063"/>
    </row>
    <row r="13698" spans="5:12" x14ac:dyDescent="0.2">
      <c r="E13698" s="1063"/>
      <c r="H13698" s="1066"/>
      <c r="I13698" s="1063"/>
      <c r="J13698" s="1063"/>
      <c r="K13698" s="1063"/>
      <c r="L13698" s="1063"/>
    </row>
    <row r="13699" spans="5:12" x14ac:dyDescent="0.2">
      <c r="E13699" s="1063"/>
      <c r="H13699" s="1066"/>
      <c r="I13699" s="1063"/>
      <c r="J13699" s="1063"/>
      <c r="K13699" s="1063"/>
      <c r="L13699" s="1063"/>
    </row>
    <row r="13700" spans="5:12" x14ac:dyDescent="0.2">
      <c r="E13700" s="1063"/>
      <c r="H13700" s="1066"/>
      <c r="I13700" s="1063"/>
      <c r="J13700" s="1063"/>
      <c r="K13700" s="1063"/>
      <c r="L13700" s="1063"/>
    </row>
    <row r="13701" spans="5:12" x14ac:dyDescent="0.2">
      <c r="E13701" s="1063"/>
      <c r="H13701" s="1066"/>
      <c r="I13701" s="1063"/>
      <c r="J13701" s="1063"/>
      <c r="K13701" s="1063"/>
      <c r="L13701" s="1063"/>
    </row>
    <row r="13702" spans="5:12" x14ac:dyDescent="0.2">
      <c r="E13702" s="1063"/>
      <c r="H13702" s="1066"/>
      <c r="I13702" s="1063"/>
      <c r="J13702" s="1063"/>
      <c r="K13702" s="1063"/>
      <c r="L13702" s="1063"/>
    </row>
    <row r="13703" spans="5:12" x14ac:dyDescent="0.2">
      <c r="E13703" s="1063"/>
      <c r="H13703" s="1066"/>
      <c r="I13703" s="1063"/>
      <c r="J13703" s="1063"/>
      <c r="K13703" s="1063"/>
      <c r="L13703" s="1063"/>
    </row>
    <row r="13704" spans="5:12" x14ac:dyDescent="0.2">
      <c r="E13704" s="1063"/>
      <c r="H13704" s="1066"/>
      <c r="I13704" s="1063"/>
      <c r="J13704" s="1063"/>
      <c r="K13704" s="1063"/>
      <c r="L13704" s="1063"/>
    </row>
    <row r="13705" spans="5:12" x14ac:dyDescent="0.2">
      <c r="E13705" s="1063"/>
      <c r="H13705" s="1066"/>
      <c r="I13705" s="1063"/>
      <c r="J13705" s="1063"/>
      <c r="K13705" s="1063"/>
      <c r="L13705" s="1063"/>
    </row>
    <row r="13706" spans="5:12" x14ac:dyDescent="0.2">
      <c r="E13706" s="1063"/>
      <c r="H13706" s="1066"/>
      <c r="I13706" s="1063"/>
      <c r="J13706" s="1063"/>
      <c r="K13706" s="1063"/>
      <c r="L13706" s="1063"/>
    </row>
    <row r="13707" spans="5:12" x14ac:dyDescent="0.2">
      <c r="E13707" s="1063"/>
      <c r="H13707" s="1066"/>
      <c r="I13707" s="1063"/>
      <c r="J13707" s="1063"/>
      <c r="K13707" s="1063"/>
      <c r="L13707" s="1063"/>
    </row>
    <row r="13708" spans="5:12" x14ac:dyDescent="0.2">
      <c r="E13708" s="1063"/>
      <c r="H13708" s="1066"/>
      <c r="I13708" s="1063"/>
      <c r="J13708" s="1063"/>
      <c r="K13708" s="1063"/>
      <c r="L13708" s="1063"/>
    </row>
    <row r="13709" spans="5:12" x14ac:dyDescent="0.2">
      <c r="E13709" s="1063"/>
      <c r="H13709" s="1066"/>
      <c r="I13709" s="1063"/>
      <c r="J13709" s="1063"/>
      <c r="K13709" s="1063"/>
      <c r="L13709" s="1063"/>
    </row>
    <row r="13710" spans="5:12" x14ac:dyDescent="0.2">
      <c r="E13710" s="1063"/>
      <c r="H13710" s="1066"/>
      <c r="I13710" s="1063"/>
      <c r="J13710" s="1063"/>
      <c r="K13710" s="1063"/>
      <c r="L13710" s="1063"/>
    </row>
    <row r="13711" spans="5:12" x14ac:dyDescent="0.2">
      <c r="E13711" s="1063"/>
      <c r="H13711" s="1066"/>
      <c r="I13711" s="1063"/>
      <c r="J13711" s="1063"/>
      <c r="K13711" s="1063"/>
      <c r="L13711" s="1063"/>
    </row>
    <row r="13712" spans="5:12" x14ac:dyDescent="0.2">
      <c r="E13712" s="1063"/>
      <c r="H13712" s="1066"/>
      <c r="I13712" s="1063"/>
      <c r="J13712" s="1063"/>
      <c r="K13712" s="1063"/>
      <c r="L13712" s="1063"/>
    </row>
    <row r="13713" spans="5:12" x14ac:dyDescent="0.2">
      <c r="E13713" s="1063"/>
      <c r="H13713" s="1066"/>
      <c r="I13713" s="1063"/>
      <c r="J13713" s="1063"/>
      <c r="K13713" s="1063"/>
      <c r="L13713" s="1063"/>
    </row>
    <row r="13714" spans="5:12" x14ac:dyDescent="0.2">
      <c r="E13714" s="1063"/>
      <c r="H13714" s="1066"/>
      <c r="I13714" s="1063"/>
      <c r="J13714" s="1063"/>
      <c r="K13714" s="1063"/>
      <c r="L13714" s="1063"/>
    </row>
    <row r="13715" spans="5:12" x14ac:dyDescent="0.2">
      <c r="E13715" s="1063"/>
      <c r="H13715" s="1066"/>
      <c r="I13715" s="1063"/>
      <c r="J13715" s="1063"/>
      <c r="K13715" s="1063"/>
      <c r="L13715" s="1063"/>
    </row>
    <row r="13716" spans="5:12" x14ac:dyDescent="0.2">
      <c r="E13716" s="1063"/>
      <c r="H13716" s="1066"/>
      <c r="I13716" s="1063"/>
      <c r="J13716" s="1063"/>
      <c r="K13716" s="1063"/>
      <c r="L13716" s="1063"/>
    </row>
    <row r="13717" spans="5:12" x14ac:dyDescent="0.2">
      <c r="E13717" s="1063"/>
      <c r="H13717" s="1066"/>
      <c r="I13717" s="1063"/>
      <c r="J13717" s="1063"/>
      <c r="K13717" s="1063"/>
      <c r="L13717" s="1063"/>
    </row>
    <row r="13718" spans="5:12" x14ac:dyDescent="0.2">
      <c r="E13718" s="1063"/>
      <c r="H13718" s="1066"/>
      <c r="I13718" s="1063"/>
      <c r="J13718" s="1063"/>
      <c r="K13718" s="1063"/>
      <c r="L13718" s="1063"/>
    </row>
    <row r="13719" spans="5:12" x14ac:dyDescent="0.2">
      <c r="E13719" s="1063"/>
      <c r="H13719" s="1066"/>
      <c r="I13719" s="1063"/>
      <c r="J13719" s="1063"/>
      <c r="K13719" s="1063"/>
      <c r="L13719" s="1063"/>
    </row>
    <row r="13720" spans="5:12" x14ac:dyDescent="0.2">
      <c r="E13720" s="1063"/>
      <c r="H13720" s="1066"/>
      <c r="I13720" s="1063"/>
      <c r="J13720" s="1063"/>
      <c r="K13720" s="1063"/>
      <c r="L13720" s="1063"/>
    </row>
    <row r="13721" spans="5:12" x14ac:dyDescent="0.2">
      <c r="E13721" s="1063"/>
      <c r="H13721" s="1066"/>
      <c r="I13721" s="1063"/>
      <c r="J13721" s="1063"/>
      <c r="K13721" s="1063"/>
      <c r="L13721" s="1063"/>
    </row>
    <row r="13722" spans="5:12" x14ac:dyDescent="0.2">
      <c r="E13722" s="1063"/>
      <c r="H13722" s="1066"/>
      <c r="I13722" s="1063"/>
      <c r="J13722" s="1063"/>
      <c r="K13722" s="1063"/>
      <c r="L13722" s="1063"/>
    </row>
    <row r="13723" spans="5:12" x14ac:dyDescent="0.2">
      <c r="E13723" s="1063"/>
      <c r="H13723" s="1066"/>
      <c r="I13723" s="1063"/>
      <c r="J13723" s="1063"/>
      <c r="K13723" s="1063"/>
      <c r="L13723" s="1063"/>
    </row>
    <row r="13724" spans="5:12" x14ac:dyDescent="0.2">
      <c r="E13724" s="1063"/>
      <c r="H13724" s="1066"/>
      <c r="I13724" s="1063"/>
      <c r="J13724" s="1063"/>
      <c r="K13724" s="1063"/>
      <c r="L13724" s="1063"/>
    </row>
    <row r="13725" spans="5:12" x14ac:dyDescent="0.2">
      <c r="E13725" s="1063"/>
      <c r="H13725" s="1066"/>
      <c r="I13725" s="1063"/>
      <c r="J13725" s="1063"/>
      <c r="K13725" s="1063"/>
      <c r="L13725" s="1063"/>
    </row>
    <row r="13726" spans="5:12" x14ac:dyDescent="0.2">
      <c r="E13726" s="1063"/>
      <c r="H13726" s="1066"/>
      <c r="I13726" s="1063"/>
      <c r="J13726" s="1063"/>
      <c r="K13726" s="1063"/>
      <c r="L13726" s="1063"/>
    </row>
    <row r="13727" spans="5:12" x14ac:dyDescent="0.2">
      <c r="E13727" s="1063"/>
      <c r="H13727" s="1066"/>
      <c r="I13727" s="1063"/>
      <c r="J13727" s="1063"/>
      <c r="K13727" s="1063"/>
      <c r="L13727" s="1063"/>
    </row>
    <row r="13728" spans="5:12" x14ac:dyDescent="0.2">
      <c r="E13728" s="1063"/>
      <c r="H13728" s="1066"/>
      <c r="I13728" s="1063"/>
      <c r="J13728" s="1063"/>
      <c r="K13728" s="1063"/>
      <c r="L13728" s="1063"/>
    </row>
    <row r="13729" spans="5:12" x14ac:dyDescent="0.2">
      <c r="E13729" s="1063"/>
      <c r="H13729" s="1066"/>
      <c r="I13729" s="1063"/>
      <c r="J13729" s="1063"/>
      <c r="K13729" s="1063"/>
      <c r="L13729" s="1063"/>
    </row>
    <row r="13730" spans="5:12" x14ac:dyDescent="0.2">
      <c r="E13730" s="1063"/>
      <c r="H13730" s="1066"/>
      <c r="I13730" s="1063"/>
      <c r="J13730" s="1063"/>
      <c r="K13730" s="1063"/>
      <c r="L13730" s="1063"/>
    </row>
    <row r="13731" spans="5:12" x14ac:dyDescent="0.2">
      <c r="E13731" s="1063"/>
      <c r="H13731" s="1066"/>
      <c r="I13731" s="1063"/>
      <c r="J13731" s="1063"/>
      <c r="K13731" s="1063"/>
      <c r="L13731" s="1063"/>
    </row>
    <row r="13732" spans="5:12" x14ac:dyDescent="0.2">
      <c r="E13732" s="1063"/>
      <c r="H13732" s="1066"/>
      <c r="I13732" s="1063"/>
      <c r="J13732" s="1063"/>
      <c r="K13732" s="1063"/>
      <c r="L13732" s="1063"/>
    </row>
    <row r="13733" spans="5:12" x14ac:dyDescent="0.2">
      <c r="E13733" s="1063"/>
      <c r="H13733" s="1066"/>
      <c r="I13733" s="1063"/>
      <c r="J13733" s="1063"/>
      <c r="K13733" s="1063"/>
      <c r="L13733" s="1063"/>
    </row>
    <row r="13734" spans="5:12" x14ac:dyDescent="0.2">
      <c r="E13734" s="1063"/>
      <c r="H13734" s="1066"/>
      <c r="I13734" s="1063"/>
      <c r="J13734" s="1063"/>
      <c r="K13734" s="1063"/>
      <c r="L13734" s="1063"/>
    </row>
    <row r="13735" spans="5:12" x14ac:dyDescent="0.2">
      <c r="E13735" s="1063"/>
      <c r="H13735" s="1066"/>
      <c r="I13735" s="1063"/>
      <c r="J13735" s="1063"/>
      <c r="K13735" s="1063"/>
      <c r="L13735" s="1063"/>
    </row>
    <row r="13736" spans="5:12" x14ac:dyDescent="0.2">
      <c r="E13736" s="1063"/>
      <c r="H13736" s="1066"/>
      <c r="I13736" s="1063"/>
      <c r="J13736" s="1063"/>
      <c r="K13736" s="1063"/>
      <c r="L13736" s="1063"/>
    </row>
    <row r="13737" spans="5:12" x14ac:dyDescent="0.2">
      <c r="E13737" s="1063"/>
      <c r="H13737" s="1066"/>
      <c r="I13737" s="1063"/>
      <c r="J13737" s="1063"/>
      <c r="K13737" s="1063"/>
      <c r="L13737" s="1063"/>
    </row>
    <row r="13738" spans="5:12" x14ac:dyDescent="0.2">
      <c r="E13738" s="1063"/>
      <c r="H13738" s="1066"/>
      <c r="I13738" s="1063"/>
      <c r="J13738" s="1063"/>
      <c r="K13738" s="1063"/>
      <c r="L13738" s="1063"/>
    </row>
    <row r="13739" spans="5:12" x14ac:dyDescent="0.2">
      <c r="E13739" s="1063"/>
      <c r="H13739" s="1066"/>
      <c r="I13739" s="1063"/>
      <c r="J13739" s="1063"/>
      <c r="K13739" s="1063"/>
      <c r="L13739" s="1063"/>
    </row>
    <row r="13740" spans="5:12" x14ac:dyDescent="0.2">
      <c r="E13740" s="1063"/>
      <c r="H13740" s="1066"/>
      <c r="I13740" s="1063"/>
      <c r="J13740" s="1063"/>
      <c r="K13740" s="1063"/>
      <c r="L13740" s="1063"/>
    </row>
    <row r="13741" spans="5:12" x14ac:dyDescent="0.2">
      <c r="E13741" s="1063"/>
      <c r="H13741" s="1066"/>
      <c r="I13741" s="1063"/>
      <c r="J13741" s="1063"/>
      <c r="K13741" s="1063"/>
      <c r="L13741" s="1063"/>
    </row>
    <row r="13742" spans="5:12" x14ac:dyDescent="0.2">
      <c r="E13742" s="1063"/>
      <c r="H13742" s="1066"/>
      <c r="I13742" s="1063"/>
      <c r="J13742" s="1063"/>
      <c r="K13742" s="1063"/>
      <c r="L13742" s="1063"/>
    </row>
    <row r="13743" spans="5:12" x14ac:dyDescent="0.2">
      <c r="E13743" s="1063"/>
      <c r="H13743" s="1066"/>
      <c r="I13743" s="1063"/>
      <c r="J13743" s="1063"/>
      <c r="K13743" s="1063"/>
      <c r="L13743" s="1063"/>
    </row>
    <row r="13744" spans="5:12" x14ac:dyDescent="0.2">
      <c r="E13744" s="1063"/>
      <c r="H13744" s="1066"/>
      <c r="I13744" s="1063"/>
      <c r="J13744" s="1063"/>
      <c r="K13744" s="1063"/>
      <c r="L13744" s="1063"/>
    </row>
    <row r="13745" spans="5:12" x14ac:dyDescent="0.2">
      <c r="E13745" s="1063"/>
      <c r="H13745" s="1066"/>
      <c r="I13745" s="1063"/>
      <c r="J13745" s="1063"/>
      <c r="K13745" s="1063"/>
      <c r="L13745" s="1063"/>
    </row>
    <row r="13746" spans="5:12" x14ac:dyDescent="0.2">
      <c r="E13746" s="1063"/>
      <c r="H13746" s="1066"/>
      <c r="I13746" s="1063"/>
      <c r="J13746" s="1063"/>
      <c r="K13746" s="1063"/>
      <c r="L13746" s="1063"/>
    </row>
    <row r="13747" spans="5:12" x14ac:dyDescent="0.2">
      <c r="E13747" s="1063"/>
      <c r="H13747" s="1066"/>
      <c r="I13747" s="1063"/>
      <c r="J13747" s="1063"/>
      <c r="K13747" s="1063"/>
      <c r="L13747" s="1063"/>
    </row>
    <row r="13748" spans="5:12" x14ac:dyDescent="0.2">
      <c r="E13748" s="1063"/>
      <c r="H13748" s="1066"/>
      <c r="I13748" s="1063"/>
      <c r="J13748" s="1063"/>
      <c r="K13748" s="1063"/>
      <c r="L13748" s="1063"/>
    </row>
    <row r="13749" spans="5:12" x14ac:dyDescent="0.2">
      <c r="E13749" s="1063"/>
      <c r="H13749" s="1066"/>
      <c r="I13749" s="1063"/>
      <c r="J13749" s="1063"/>
      <c r="K13749" s="1063"/>
      <c r="L13749" s="1063"/>
    </row>
    <row r="13750" spans="5:12" x14ac:dyDescent="0.2">
      <c r="E13750" s="1063"/>
      <c r="H13750" s="1066"/>
      <c r="I13750" s="1063"/>
      <c r="J13750" s="1063"/>
      <c r="K13750" s="1063"/>
      <c r="L13750" s="1063"/>
    </row>
    <row r="13751" spans="5:12" x14ac:dyDescent="0.2">
      <c r="E13751" s="1063"/>
      <c r="H13751" s="1066"/>
      <c r="I13751" s="1063"/>
      <c r="J13751" s="1063"/>
      <c r="K13751" s="1063"/>
      <c r="L13751" s="1063"/>
    </row>
    <row r="13752" spans="5:12" x14ac:dyDescent="0.2">
      <c r="E13752" s="1063"/>
      <c r="H13752" s="1066"/>
      <c r="I13752" s="1063"/>
      <c r="J13752" s="1063"/>
      <c r="K13752" s="1063"/>
      <c r="L13752" s="1063"/>
    </row>
    <row r="13753" spans="5:12" x14ac:dyDescent="0.2">
      <c r="E13753" s="1063"/>
      <c r="H13753" s="1066"/>
      <c r="I13753" s="1063"/>
      <c r="J13753" s="1063"/>
      <c r="K13753" s="1063"/>
      <c r="L13753" s="1063"/>
    </row>
    <row r="13754" spans="5:12" x14ac:dyDescent="0.2">
      <c r="E13754" s="1063"/>
      <c r="H13754" s="1066"/>
      <c r="I13754" s="1063"/>
      <c r="J13754" s="1063"/>
      <c r="K13754" s="1063"/>
      <c r="L13754" s="1063"/>
    </row>
    <row r="13755" spans="5:12" x14ac:dyDescent="0.2">
      <c r="E13755" s="1063"/>
      <c r="H13755" s="1066"/>
      <c r="I13755" s="1063"/>
      <c r="J13755" s="1063"/>
      <c r="K13755" s="1063"/>
      <c r="L13755" s="1063"/>
    </row>
    <row r="13756" spans="5:12" x14ac:dyDescent="0.2">
      <c r="E13756" s="1063"/>
      <c r="H13756" s="1066"/>
      <c r="I13756" s="1063"/>
      <c r="J13756" s="1063"/>
      <c r="K13756" s="1063"/>
      <c r="L13756" s="1063"/>
    </row>
    <row r="13757" spans="5:12" x14ac:dyDescent="0.2">
      <c r="E13757" s="1063"/>
      <c r="H13757" s="1066"/>
      <c r="I13757" s="1063"/>
      <c r="J13757" s="1063"/>
      <c r="K13757" s="1063"/>
      <c r="L13757" s="1063"/>
    </row>
    <row r="13758" spans="5:12" x14ac:dyDescent="0.2">
      <c r="E13758" s="1063"/>
      <c r="H13758" s="1066"/>
      <c r="I13758" s="1063"/>
      <c r="J13758" s="1063"/>
      <c r="K13758" s="1063"/>
      <c r="L13758" s="1063"/>
    </row>
    <row r="13759" spans="5:12" x14ac:dyDescent="0.2">
      <c r="E13759" s="1063"/>
      <c r="H13759" s="1066"/>
      <c r="I13759" s="1063"/>
      <c r="J13759" s="1063"/>
      <c r="K13759" s="1063"/>
      <c r="L13759" s="1063"/>
    </row>
    <row r="13760" spans="5:12" x14ac:dyDescent="0.2">
      <c r="E13760" s="1063"/>
      <c r="H13760" s="1066"/>
      <c r="I13760" s="1063"/>
      <c r="J13760" s="1063"/>
      <c r="K13760" s="1063"/>
      <c r="L13760" s="1063"/>
    </row>
    <row r="13761" spans="5:12" x14ac:dyDescent="0.2">
      <c r="E13761" s="1063"/>
      <c r="H13761" s="1066"/>
      <c r="I13761" s="1063"/>
      <c r="J13761" s="1063"/>
      <c r="K13761" s="1063"/>
      <c r="L13761" s="1063"/>
    </row>
    <row r="13762" spans="5:12" x14ac:dyDescent="0.2">
      <c r="E13762" s="1063"/>
      <c r="H13762" s="1066"/>
      <c r="I13762" s="1063"/>
      <c r="J13762" s="1063"/>
      <c r="K13762" s="1063"/>
      <c r="L13762" s="1063"/>
    </row>
    <row r="13763" spans="5:12" x14ac:dyDescent="0.2">
      <c r="E13763" s="1063"/>
      <c r="H13763" s="1066"/>
      <c r="I13763" s="1063"/>
      <c r="J13763" s="1063"/>
      <c r="K13763" s="1063"/>
      <c r="L13763" s="1063"/>
    </row>
    <row r="13764" spans="5:12" x14ac:dyDescent="0.2">
      <c r="E13764" s="1063"/>
      <c r="H13764" s="1066"/>
      <c r="I13764" s="1063"/>
      <c r="J13764" s="1063"/>
      <c r="K13764" s="1063"/>
      <c r="L13764" s="1063"/>
    </row>
    <row r="13765" spans="5:12" x14ac:dyDescent="0.2">
      <c r="E13765" s="1063"/>
      <c r="H13765" s="1066"/>
      <c r="I13765" s="1063"/>
      <c r="J13765" s="1063"/>
      <c r="K13765" s="1063"/>
      <c r="L13765" s="1063"/>
    </row>
    <row r="13766" spans="5:12" x14ac:dyDescent="0.2">
      <c r="E13766" s="1063"/>
      <c r="H13766" s="1066"/>
      <c r="I13766" s="1063"/>
      <c r="J13766" s="1063"/>
      <c r="K13766" s="1063"/>
      <c r="L13766" s="1063"/>
    </row>
    <row r="13767" spans="5:12" x14ac:dyDescent="0.2">
      <c r="E13767" s="1063"/>
      <c r="H13767" s="1066"/>
      <c r="I13767" s="1063"/>
      <c r="J13767" s="1063"/>
      <c r="K13767" s="1063"/>
      <c r="L13767" s="1063"/>
    </row>
    <row r="13768" spans="5:12" x14ac:dyDescent="0.2">
      <c r="E13768" s="1063"/>
      <c r="H13768" s="1066"/>
      <c r="I13768" s="1063"/>
      <c r="J13768" s="1063"/>
      <c r="K13768" s="1063"/>
      <c r="L13768" s="1063"/>
    </row>
    <row r="13769" spans="5:12" x14ac:dyDescent="0.2">
      <c r="E13769" s="1063"/>
      <c r="H13769" s="1066"/>
      <c r="I13769" s="1063"/>
      <c r="J13769" s="1063"/>
      <c r="K13769" s="1063"/>
      <c r="L13769" s="1063"/>
    </row>
    <row r="13770" spans="5:12" x14ac:dyDescent="0.2">
      <c r="E13770" s="1063"/>
      <c r="H13770" s="1066"/>
      <c r="I13770" s="1063"/>
      <c r="J13770" s="1063"/>
      <c r="K13770" s="1063"/>
      <c r="L13770" s="1063"/>
    </row>
    <row r="13771" spans="5:12" x14ac:dyDescent="0.2">
      <c r="E13771" s="1063"/>
      <c r="H13771" s="1066"/>
      <c r="I13771" s="1063"/>
      <c r="J13771" s="1063"/>
      <c r="K13771" s="1063"/>
      <c r="L13771" s="1063"/>
    </row>
    <row r="13772" spans="5:12" x14ac:dyDescent="0.2">
      <c r="E13772" s="1063"/>
      <c r="H13772" s="1066"/>
      <c r="I13772" s="1063"/>
      <c r="J13772" s="1063"/>
      <c r="K13772" s="1063"/>
      <c r="L13772" s="1063"/>
    </row>
    <row r="13773" spans="5:12" x14ac:dyDescent="0.2">
      <c r="E13773" s="1063"/>
      <c r="H13773" s="1066"/>
      <c r="I13773" s="1063"/>
      <c r="J13773" s="1063"/>
      <c r="K13773" s="1063"/>
      <c r="L13773" s="1063"/>
    </row>
    <row r="13774" spans="5:12" x14ac:dyDescent="0.2">
      <c r="E13774" s="1063"/>
      <c r="H13774" s="1066"/>
      <c r="I13774" s="1063"/>
      <c r="J13774" s="1063"/>
      <c r="K13774" s="1063"/>
      <c r="L13774" s="1063"/>
    </row>
    <row r="13775" spans="5:12" x14ac:dyDescent="0.2">
      <c r="E13775" s="1063"/>
      <c r="H13775" s="1066"/>
      <c r="I13775" s="1063"/>
      <c r="J13775" s="1063"/>
      <c r="K13775" s="1063"/>
      <c r="L13775" s="1063"/>
    </row>
    <row r="13776" spans="5:12" x14ac:dyDescent="0.2">
      <c r="E13776" s="1063"/>
      <c r="H13776" s="1066"/>
      <c r="I13776" s="1063"/>
      <c r="J13776" s="1063"/>
      <c r="K13776" s="1063"/>
      <c r="L13776" s="1063"/>
    </row>
    <row r="13777" spans="5:12" x14ac:dyDescent="0.2">
      <c r="E13777" s="1063"/>
      <c r="H13777" s="1066"/>
      <c r="I13777" s="1063"/>
      <c r="J13777" s="1063"/>
      <c r="K13777" s="1063"/>
      <c r="L13777" s="1063"/>
    </row>
    <row r="13778" spans="5:12" x14ac:dyDescent="0.2">
      <c r="E13778" s="1063"/>
      <c r="H13778" s="1066"/>
      <c r="I13778" s="1063"/>
      <c r="J13778" s="1063"/>
      <c r="K13778" s="1063"/>
      <c r="L13778" s="1063"/>
    </row>
    <row r="13779" spans="5:12" x14ac:dyDescent="0.2">
      <c r="E13779" s="1063"/>
      <c r="H13779" s="1066"/>
      <c r="I13779" s="1063"/>
      <c r="J13779" s="1063"/>
      <c r="K13779" s="1063"/>
      <c r="L13779" s="1063"/>
    </row>
    <row r="13780" spans="5:12" x14ac:dyDescent="0.2">
      <c r="E13780" s="1063"/>
      <c r="H13780" s="1066"/>
      <c r="I13780" s="1063"/>
      <c r="J13780" s="1063"/>
      <c r="K13780" s="1063"/>
      <c r="L13780" s="1063"/>
    </row>
    <row r="13781" spans="5:12" x14ac:dyDescent="0.2">
      <c r="E13781" s="1063"/>
      <c r="H13781" s="1066"/>
      <c r="I13781" s="1063"/>
      <c r="J13781" s="1063"/>
      <c r="K13781" s="1063"/>
      <c r="L13781" s="1063"/>
    </row>
    <row r="13782" spans="5:12" x14ac:dyDescent="0.2">
      <c r="E13782" s="1063"/>
      <c r="H13782" s="1066"/>
      <c r="I13782" s="1063"/>
      <c r="J13782" s="1063"/>
      <c r="K13782" s="1063"/>
      <c r="L13782" s="1063"/>
    </row>
    <row r="13783" spans="5:12" x14ac:dyDescent="0.2">
      <c r="E13783" s="1063"/>
      <c r="H13783" s="1066"/>
      <c r="I13783" s="1063"/>
      <c r="J13783" s="1063"/>
      <c r="K13783" s="1063"/>
      <c r="L13783" s="1063"/>
    </row>
    <row r="13784" spans="5:12" x14ac:dyDescent="0.2">
      <c r="E13784" s="1063"/>
      <c r="H13784" s="1066"/>
      <c r="I13784" s="1063"/>
      <c r="J13784" s="1063"/>
      <c r="K13784" s="1063"/>
      <c r="L13784" s="1063"/>
    </row>
    <row r="13785" spans="5:12" x14ac:dyDescent="0.2">
      <c r="E13785" s="1063"/>
      <c r="H13785" s="1066"/>
      <c r="I13785" s="1063"/>
      <c r="J13785" s="1063"/>
      <c r="K13785" s="1063"/>
      <c r="L13785" s="1063"/>
    </row>
    <row r="13786" spans="5:12" x14ac:dyDescent="0.2">
      <c r="E13786" s="1063"/>
      <c r="H13786" s="1066"/>
      <c r="I13786" s="1063"/>
      <c r="J13786" s="1063"/>
      <c r="K13786" s="1063"/>
      <c r="L13786" s="1063"/>
    </row>
    <row r="13787" spans="5:12" x14ac:dyDescent="0.2">
      <c r="E13787" s="1063"/>
      <c r="H13787" s="1066"/>
      <c r="I13787" s="1063"/>
      <c r="J13787" s="1063"/>
      <c r="K13787" s="1063"/>
      <c r="L13787" s="1063"/>
    </row>
    <row r="13788" spans="5:12" x14ac:dyDescent="0.2">
      <c r="E13788" s="1063"/>
      <c r="H13788" s="1066"/>
      <c r="I13788" s="1063"/>
      <c r="J13788" s="1063"/>
      <c r="K13788" s="1063"/>
      <c r="L13788" s="1063"/>
    </row>
    <row r="13789" spans="5:12" x14ac:dyDescent="0.2">
      <c r="E13789" s="1063"/>
      <c r="H13789" s="1066"/>
      <c r="I13789" s="1063"/>
      <c r="J13789" s="1063"/>
      <c r="K13789" s="1063"/>
      <c r="L13789" s="1063"/>
    </row>
    <row r="13790" spans="5:12" x14ac:dyDescent="0.2">
      <c r="E13790" s="1063"/>
      <c r="H13790" s="1066"/>
      <c r="I13790" s="1063"/>
      <c r="J13790" s="1063"/>
      <c r="K13790" s="1063"/>
      <c r="L13790" s="1063"/>
    </row>
    <row r="13791" spans="5:12" x14ac:dyDescent="0.2">
      <c r="E13791" s="1063"/>
      <c r="H13791" s="1066"/>
      <c r="I13791" s="1063"/>
      <c r="J13791" s="1063"/>
      <c r="K13791" s="1063"/>
      <c r="L13791" s="1063"/>
    </row>
    <row r="13792" spans="5:12" x14ac:dyDescent="0.2">
      <c r="E13792" s="1063"/>
      <c r="H13792" s="1066"/>
      <c r="I13792" s="1063"/>
      <c r="J13792" s="1063"/>
      <c r="K13792" s="1063"/>
      <c r="L13792" s="1063"/>
    </row>
    <row r="13793" spans="5:12" x14ac:dyDescent="0.2">
      <c r="E13793" s="1063"/>
      <c r="H13793" s="1066"/>
      <c r="I13793" s="1063"/>
      <c r="J13793" s="1063"/>
      <c r="K13793" s="1063"/>
      <c r="L13793" s="1063"/>
    </row>
    <row r="13794" spans="5:12" x14ac:dyDescent="0.2">
      <c r="E13794" s="1063"/>
      <c r="H13794" s="1066"/>
      <c r="I13794" s="1063"/>
      <c r="J13794" s="1063"/>
      <c r="K13794" s="1063"/>
      <c r="L13794" s="1063"/>
    </row>
    <row r="13795" spans="5:12" x14ac:dyDescent="0.2">
      <c r="E13795" s="1063"/>
      <c r="H13795" s="1066"/>
      <c r="I13795" s="1063"/>
      <c r="J13795" s="1063"/>
      <c r="K13795" s="1063"/>
      <c r="L13795" s="1063"/>
    </row>
    <row r="13796" spans="5:12" x14ac:dyDescent="0.2">
      <c r="E13796" s="1063"/>
      <c r="H13796" s="1066"/>
      <c r="I13796" s="1063"/>
      <c r="J13796" s="1063"/>
      <c r="K13796" s="1063"/>
      <c r="L13796" s="1063"/>
    </row>
    <row r="13797" spans="5:12" x14ac:dyDescent="0.2">
      <c r="E13797" s="1063"/>
      <c r="H13797" s="1066"/>
      <c r="I13797" s="1063"/>
      <c r="J13797" s="1063"/>
      <c r="K13797" s="1063"/>
      <c r="L13797" s="1063"/>
    </row>
    <row r="13798" spans="5:12" x14ac:dyDescent="0.2">
      <c r="E13798" s="1063"/>
      <c r="H13798" s="1066"/>
      <c r="I13798" s="1063"/>
      <c r="J13798" s="1063"/>
      <c r="K13798" s="1063"/>
      <c r="L13798" s="1063"/>
    </row>
    <row r="13799" spans="5:12" x14ac:dyDescent="0.2">
      <c r="E13799" s="1063"/>
      <c r="H13799" s="1066"/>
      <c r="I13799" s="1063"/>
      <c r="J13799" s="1063"/>
      <c r="K13799" s="1063"/>
      <c r="L13799" s="1063"/>
    </row>
    <row r="13800" spans="5:12" x14ac:dyDescent="0.2">
      <c r="E13800" s="1063"/>
      <c r="H13800" s="1066"/>
      <c r="I13800" s="1063"/>
      <c r="J13800" s="1063"/>
      <c r="K13800" s="1063"/>
      <c r="L13800" s="1063"/>
    </row>
    <row r="13801" spans="5:12" x14ac:dyDescent="0.2">
      <c r="E13801" s="1063"/>
      <c r="H13801" s="1066"/>
      <c r="I13801" s="1063"/>
      <c r="J13801" s="1063"/>
      <c r="K13801" s="1063"/>
      <c r="L13801" s="1063"/>
    </row>
    <row r="13802" spans="5:12" x14ac:dyDescent="0.2">
      <c r="E13802" s="1063"/>
      <c r="H13802" s="1066"/>
      <c r="I13802" s="1063"/>
      <c r="J13802" s="1063"/>
      <c r="K13802" s="1063"/>
      <c r="L13802" s="1063"/>
    </row>
    <row r="13803" spans="5:12" x14ac:dyDescent="0.2">
      <c r="E13803" s="1063"/>
      <c r="H13803" s="1066"/>
      <c r="I13803" s="1063"/>
      <c r="J13803" s="1063"/>
      <c r="K13803" s="1063"/>
      <c r="L13803" s="1063"/>
    </row>
    <row r="13804" spans="5:12" x14ac:dyDescent="0.2">
      <c r="E13804" s="1063"/>
      <c r="H13804" s="1066"/>
      <c r="I13804" s="1063"/>
      <c r="J13804" s="1063"/>
      <c r="K13804" s="1063"/>
      <c r="L13804" s="1063"/>
    </row>
    <row r="13805" spans="5:12" x14ac:dyDescent="0.2">
      <c r="E13805" s="1063"/>
      <c r="H13805" s="1066"/>
      <c r="I13805" s="1063"/>
      <c r="J13805" s="1063"/>
      <c r="K13805" s="1063"/>
      <c r="L13805" s="1063"/>
    </row>
    <row r="13806" spans="5:12" x14ac:dyDescent="0.2">
      <c r="E13806" s="1063"/>
      <c r="H13806" s="1066"/>
      <c r="I13806" s="1063"/>
      <c r="J13806" s="1063"/>
      <c r="K13806" s="1063"/>
      <c r="L13806" s="1063"/>
    </row>
    <row r="13807" spans="5:12" x14ac:dyDescent="0.2">
      <c r="E13807" s="1063"/>
      <c r="H13807" s="1066"/>
      <c r="I13807" s="1063"/>
      <c r="J13807" s="1063"/>
      <c r="K13807" s="1063"/>
      <c r="L13807" s="1063"/>
    </row>
    <row r="13808" spans="5:12" x14ac:dyDescent="0.2">
      <c r="E13808" s="1063"/>
      <c r="H13808" s="1066"/>
      <c r="I13808" s="1063"/>
      <c r="J13808" s="1063"/>
      <c r="K13808" s="1063"/>
      <c r="L13808" s="1063"/>
    </row>
    <row r="13809" spans="5:12" x14ac:dyDescent="0.2">
      <c r="E13809" s="1063"/>
      <c r="H13809" s="1066"/>
      <c r="I13809" s="1063"/>
      <c r="J13809" s="1063"/>
      <c r="K13809" s="1063"/>
      <c r="L13809" s="1063"/>
    </row>
    <row r="13810" spans="5:12" x14ac:dyDescent="0.2">
      <c r="E13810" s="1063"/>
      <c r="H13810" s="1066"/>
      <c r="I13810" s="1063"/>
      <c r="J13810" s="1063"/>
      <c r="K13810" s="1063"/>
      <c r="L13810" s="1063"/>
    </row>
    <row r="13811" spans="5:12" x14ac:dyDescent="0.2">
      <c r="E13811" s="1063"/>
      <c r="H13811" s="1066"/>
      <c r="I13811" s="1063"/>
      <c r="J13811" s="1063"/>
      <c r="K13811" s="1063"/>
      <c r="L13811" s="1063"/>
    </row>
    <row r="13812" spans="5:12" x14ac:dyDescent="0.2">
      <c r="E13812" s="1063"/>
      <c r="H13812" s="1066"/>
      <c r="I13812" s="1063"/>
      <c r="J13812" s="1063"/>
      <c r="K13812" s="1063"/>
      <c r="L13812" s="1063"/>
    </row>
    <row r="13813" spans="5:12" x14ac:dyDescent="0.2">
      <c r="E13813" s="1063"/>
      <c r="H13813" s="1066"/>
      <c r="I13813" s="1063"/>
      <c r="J13813" s="1063"/>
      <c r="K13813" s="1063"/>
      <c r="L13813" s="1063"/>
    </row>
    <row r="13814" spans="5:12" x14ac:dyDescent="0.2">
      <c r="E13814" s="1063"/>
      <c r="H13814" s="1066"/>
      <c r="I13814" s="1063"/>
      <c r="J13814" s="1063"/>
      <c r="K13814" s="1063"/>
      <c r="L13814" s="1063"/>
    </row>
    <row r="13815" spans="5:12" x14ac:dyDescent="0.2">
      <c r="E13815" s="1063"/>
      <c r="H13815" s="1066"/>
      <c r="I13815" s="1063"/>
      <c r="J13815" s="1063"/>
      <c r="K13815" s="1063"/>
      <c r="L13815" s="1063"/>
    </row>
    <row r="13816" spans="5:12" x14ac:dyDescent="0.2">
      <c r="E13816" s="1063"/>
      <c r="H13816" s="1066"/>
      <c r="I13816" s="1063"/>
      <c r="J13816" s="1063"/>
      <c r="K13816" s="1063"/>
      <c r="L13816" s="1063"/>
    </row>
    <row r="13817" spans="5:12" x14ac:dyDescent="0.2">
      <c r="E13817" s="1063"/>
      <c r="H13817" s="1066"/>
      <c r="I13817" s="1063"/>
      <c r="J13817" s="1063"/>
      <c r="K13817" s="1063"/>
      <c r="L13817" s="1063"/>
    </row>
    <row r="13818" spans="5:12" x14ac:dyDescent="0.2">
      <c r="E13818" s="1063"/>
      <c r="H13818" s="1066"/>
      <c r="I13818" s="1063"/>
      <c r="J13818" s="1063"/>
      <c r="K13818" s="1063"/>
      <c r="L13818" s="1063"/>
    </row>
    <row r="13819" spans="5:12" x14ac:dyDescent="0.2">
      <c r="E13819" s="1063"/>
      <c r="H13819" s="1066"/>
      <c r="I13819" s="1063"/>
      <c r="J13819" s="1063"/>
      <c r="K13819" s="1063"/>
      <c r="L13819" s="1063"/>
    </row>
    <row r="13820" spans="5:12" x14ac:dyDescent="0.2">
      <c r="E13820" s="1063"/>
      <c r="H13820" s="1066"/>
      <c r="I13820" s="1063"/>
      <c r="J13820" s="1063"/>
      <c r="K13820" s="1063"/>
      <c r="L13820" s="1063"/>
    </row>
    <row r="13821" spans="5:12" x14ac:dyDescent="0.2">
      <c r="E13821" s="1063"/>
      <c r="H13821" s="1066"/>
      <c r="I13821" s="1063"/>
      <c r="J13821" s="1063"/>
      <c r="K13821" s="1063"/>
      <c r="L13821" s="1063"/>
    </row>
    <row r="13822" spans="5:12" x14ac:dyDescent="0.2">
      <c r="E13822" s="1063"/>
      <c r="H13822" s="1066"/>
      <c r="I13822" s="1063"/>
      <c r="J13822" s="1063"/>
      <c r="K13822" s="1063"/>
      <c r="L13822" s="1063"/>
    </row>
    <row r="13823" spans="5:12" x14ac:dyDescent="0.2">
      <c r="E13823" s="1063"/>
      <c r="H13823" s="1066"/>
      <c r="I13823" s="1063"/>
      <c r="J13823" s="1063"/>
      <c r="K13823" s="1063"/>
      <c r="L13823" s="1063"/>
    </row>
    <row r="13824" spans="5:12" x14ac:dyDescent="0.2">
      <c r="E13824" s="1063"/>
      <c r="H13824" s="1066"/>
      <c r="I13824" s="1063"/>
      <c r="J13824" s="1063"/>
      <c r="K13824" s="1063"/>
      <c r="L13824" s="1063"/>
    </row>
    <row r="13825" spans="5:12" x14ac:dyDescent="0.2">
      <c r="E13825" s="1063"/>
      <c r="H13825" s="1066"/>
      <c r="I13825" s="1063"/>
      <c r="J13825" s="1063"/>
      <c r="K13825" s="1063"/>
      <c r="L13825" s="1063"/>
    </row>
    <row r="13826" spans="5:12" x14ac:dyDescent="0.2">
      <c r="E13826" s="1063"/>
      <c r="H13826" s="1066"/>
      <c r="I13826" s="1063"/>
      <c r="J13826" s="1063"/>
      <c r="K13826" s="1063"/>
      <c r="L13826" s="1063"/>
    </row>
    <row r="13827" spans="5:12" x14ac:dyDescent="0.2">
      <c r="E13827" s="1063"/>
      <c r="H13827" s="1066"/>
      <c r="I13827" s="1063"/>
      <c r="J13827" s="1063"/>
      <c r="K13827" s="1063"/>
      <c r="L13827" s="1063"/>
    </row>
    <row r="13828" spans="5:12" x14ac:dyDescent="0.2">
      <c r="E13828" s="1063"/>
      <c r="H13828" s="1066"/>
      <c r="I13828" s="1063"/>
      <c r="J13828" s="1063"/>
      <c r="K13828" s="1063"/>
      <c r="L13828" s="1063"/>
    </row>
    <row r="13829" spans="5:12" x14ac:dyDescent="0.2">
      <c r="E13829" s="1063"/>
      <c r="H13829" s="1066"/>
      <c r="I13829" s="1063"/>
      <c r="J13829" s="1063"/>
      <c r="K13829" s="1063"/>
      <c r="L13829" s="1063"/>
    </row>
    <row r="13830" spans="5:12" x14ac:dyDescent="0.2">
      <c r="E13830" s="1063"/>
      <c r="H13830" s="1066"/>
      <c r="I13830" s="1063"/>
      <c r="J13830" s="1063"/>
      <c r="K13830" s="1063"/>
      <c r="L13830" s="1063"/>
    </row>
    <row r="13831" spans="5:12" x14ac:dyDescent="0.2">
      <c r="E13831" s="1063"/>
      <c r="H13831" s="1066"/>
      <c r="I13831" s="1063"/>
      <c r="J13831" s="1063"/>
      <c r="K13831" s="1063"/>
      <c r="L13831" s="1063"/>
    </row>
    <row r="13832" spans="5:12" x14ac:dyDescent="0.2">
      <c r="E13832" s="1063"/>
      <c r="H13832" s="1066"/>
      <c r="I13832" s="1063"/>
      <c r="J13832" s="1063"/>
      <c r="K13832" s="1063"/>
      <c r="L13832" s="1063"/>
    </row>
    <row r="13833" spans="5:12" x14ac:dyDescent="0.2">
      <c r="E13833" s="1063"/>
      <c r="H13833" s="1066"/>
      <c r="I13833" s="1063"/>
      <c r="J13833" s="1063"/>
      <c r="K13833" s="1063"/>
      <c r="L13833" s="1063"/>
    </row>
    <row r="13834" spans="5:12" x14ac:dyDescent="0.2">
      <c r="E13834" s="1063"/>
      <c r="H13834" s="1066"/>
      <c r="I13834" s="1063"/>
      <c r="J13834" s="1063"/>
      <c r="K13834" s="1063"/>
      <c r="L13834" s="1063"/>
    </row>
    <row r="13835" spans="5:12" x14ac:dyDescent="0.2">
      <c r="E13835" s="1063"/>
      <c r="H13835" s="1066"/>
      <c r="I13835" s="1063"/>
      <c r="J13835" s="1063"/>
      <c r="K13835" s="1063"/>
      <c r="L13835" s="1063"/>
    </row>
    <row r="13836" spans="5:12" x14ac:dyDescent="0.2">
      <c r="E13836" s="1063"/>
      <c r="H13836" s="1066"/>
      <c r="I13836" s="1063"/>
      <c r="J13836" s="1063"/>
      <c r="K13836" s="1063"/>
      <c r="L13836" s="1063"/>
    </row>
    <row r="13837" spans="5:12" x14ac:dyDescent="0.2">
      <c r="E13837" s="1063"/>
      <c r="H13837" s="1066"/>
      <c r="I13837" s="1063"/>
      <c r="J13837" s="1063"/>
      <c r="K13837" s="1063"/>
      <c r="L13837" s="1063"/>
    </row>
    <row r="13838" spans="5:12" x14ac:dyDescent="0.2">
      <c r="E13838" s="1063"/>
      <c r="H13838" s="1066"/>
      <c r="I13838" s="1063"/>
      <c r="J13838" s="1063"/>
      <c r="K13838" s="1063"/>
      <c r="L13838" s="1063"/>
    </row>
    <row r="13839" spans="5:12" x14ac:dyDescent="0.2">
      <c r="E13839" s="1063"/>
      <c r="H13839" s="1066"/>
      <c r="I13839" s="1063"/>
      <c r="J13839" s="1063"/>
      <c r="K13839" s="1063"/>
      <c r="L13839" s="1063"/>
    </row>
    <row r="13840" spans="5:12" x14ac:dyDescent="0.2">
      <c r="E13840" s="1063"/>
      <c r="H13840" s="1066"/>
      <c r="I13840" s="1063"/>
      <c r="J13840" s="1063"/>
      <c r="K13840" s="1063"/>
      <c r="L13840" s="1063"/>
    </row>
    <row r="13841" spans="5:12" x14ac:dyDescent="0.2">
      <c r="E13841" s="1063"/>
      <c r="H13841" s="1066"/>
      <c r="I13841" s="1063"/>
      <c r="J13841" s="1063"/>
      <c r="K13841" s="1063"/>
      <c r="L13841" s="1063"/>
    </row>
    <row r="13842" spans="5:12" x14ac:dyDescent="0.2">
      <c r="E13842" s="1063"/>
      <c r="H13842" s="1066"/>
      <c r="I13842" s="1063"/>
      <c r="J13842" s="1063"/>
      <c r="K13842" s="1063"/>
      <c r="L13842" s="1063"/>
    </row>
    <row r="13843" spans="5:12" x14ac:dyDescent="0.2">
      <c r="E13843" s="1063"/>
      <c r="H13843" s="1066"/>
      <c r="I13843" s="1063"/>
      <c r="J13843" s="1063"/>
      <c r="K13843" s="1063"/>
      <c r="L13843" s="1063"/>
    </row>
    <row r="13844" spans="5:12" x14ac:dyDescent="0.2">
      <c r="E13844" s="1063"/>
      <c r="H13844" s="1066"/>
      <c r="I13844" s="1063"/>
      <c r="J13844" s="1063"/>
      <c r="K13844" s="1063"/>
      <c r="L13844" s="1063"/>
    </row>
    <row r="13845" spans="5:12" x14ac:dyDescent="0.2">
      <c r="E13845" s="1063"/>
      <c r="H13845" s="1066"/>
      <c r="I13845" s="1063"/>
      <c r="J13845" s="1063"/>
      <c r="K13845" s="1063"/>
      <c r="L13845" s="1063"/>
    </row>
    <row r="13846" spans="5:12" x14ac:dyDescent="0.2">
      <c r="E13846" s="1063"/>
      <c r="H13846" s="1066"/>
      <c r="I13846" s="1063"/>
      <c r="J13846" s="1063"/>
      <c r="K13846" s="1063"/>
      <c r="L13846" s="1063"/>
    </row>
    <row r="13847" spans="5:12" x14ac:dyDescent="0.2">
      <c r="E13847" s="1063"/>
      <c r="H13847" s="1066"/>
      <c r="I13847" s="1063"/>
      <c r="J13847" s="1063"/>
      <c r="K13847" s="1063"/>
      <c r="L13847" s="1063"/>
    </row>
    <row r="13848" spans="5:12" x14ac:dyDescent="0.2">
      <c r="E13848" s="1063"/>
      <c r="H13848" s="1066"/>
      <c r="I13848" s="1063"/>
      <c r="J13848" s="1063"/>
      <c r="K13848" s="1063"/>
      <c r="L13848" s="1063"/>
    </row>
    <row r="13849" spans="5:12" x14ac:dyDescent="0.2">
      <c r="E13849" s="1063"/>
      <c r="H13849" s="1066"/>
      <c r="I13849" s="1063"/>
      <c r="J13849" s="1063"/>
      <c r="K13849" s="1063"/>
      <c r="L13849" s="1063"/>
    </row>
    <row r="13850" spans="5:12" x14ac:dyDescent="0.2">
      <c r="E13850" s="1063"/>
      <c r="H13850" s="1066"/>
      <c r="I13850" s="1063"/>
      <c r="J13850" s="1063"/>
      <c r="K13850" s="1063"/>
      <c r="L13850" s="1063"/>
    </row>
    <row r="13851" spans="5:12" x14ac:dyDescent="0.2">
      <c r="E13851" s="1063"/>
      <c r="H13851" s="1066"/>
      <c r="I13851" s="1063"/>
      <c r="J13851" s="1063"/>
      <c r="K13851" s="1063"/>
      <c r="L13851" s="1063"/>
    </row>
    <row r="13852" spans="5:12" x14ac:dyDescent="0.2">
      <c r="E13852" s="1063"/>
      <c r="H13852" s="1066"/>
      <c r="I13852" s="1063"/>
      <c r="J13852" s="1063"/>
      <c r="K13852" s="1063"/>
      <c r="L13852" s="1063"/>
    </row>
    <row r="13853" spans="5:12" x14ac:dyDescent="0.2">
      <c r="E13853" s="1063"/>
      <c r="H13853" s="1066"/>
      <c r="I13853" s="1063"/>
      <c r="J13853" s="1063"/>
      <c r="K13853" s="1063"/>
      <c r="L13853" s="1063"/>
    </row>
    <row r="13854" spans="5:12" x14ac:dyDescent="0.2">
      <c r="E13854" s="1063"/>
      <c r="H13854" s="1066"/>
      <c r="I13854" s="1063"/>
      <c r="J13854" s="1063"/>
      <c r="K13854" s="1063"/>
      <c r="L13854" s="1063"/>
    </row>
    <row r="13855" spans="5:12" x14ac:dyDescent="0.2">
      <c r="E13855" s="1063"/>
      <c r="H13855" s="1066"/>
      <c r="I13855" s="1063"/>
      <c r="J13855" s="1063"/>
      <c r="K13855" s="1063"/>
      <c r="L13855" s="1063"/>
    </row>
    <row r="13856" spans="5:12" x14ac:dyDescent="0.2">
      <c r="E13856" s="1063"/>
      <c r="H13856" s="1066"/>
      <c r="I13856" s="1063"/>
      <c r="J13856" s="1063"/>
      <c r="K13856" s="1063"/>
      <c r="L13856" s="1063"/>
    </row>
    <row r="13857" spans="5:12" x14ac:dyDescent="0.2">
      <c r="E13857" s="1063"/>
      <c r="H13857" s="1066"/>
      <c r="I13857" s="1063"/>
      <c r="J13857" s="1063"/>
      <c r="K13857" s="1063"/>
      <c r="L13857" s="1063"/>
    </row>
    <row r="13858" spans="5:12" x14ac:dyDescent="0.2">
      <c r="E13858" s="1063"/>
      <c r="H13858" s="1066"/>
      <c r="I13858" s="1063"/>
      <c r="J13858" s="1063"/>
      <c r="K13858" s="1063"/>
      <c r="L13858" s="1063"/>
    </row>
    <row r="13859" spans="5:12" x14ac:dyDescent="0.2">
      <c r="E13859" s="1063"/>
      <c r="H13859" s="1066"/>
      <c r="I13859" s="1063"/>
      <c r="J13859" s="1063"/>
      <c r="K13859" s="1063"/>
      <c r="L13859" s="1063"/>
    </row>
    <row r="13860" spans="5:12" x14ac:dyDescent="0.2">
      <c r="E13860" s="1063"/>
      <c r="H13860" s="1066"/>
      <c r="I13860" s="1063"/>
      <c r="J13860" s="1063"/>
      <c r="K13860" s="1063"/>
      <c r="L13860" s="1063"/>
    </row>
    <row r="13861" spans="5:12" x14ac:dyDescent="0.2">
      <c r="E13861" s="1063"/>
      <c r="H13861" s="1066"/>
      <c r="I13861" s="1063"/>
      <c r="J13861" s="1063"/>
      <c r="K13861" s="1063"/>
      <c r="L13861" s="1063"/>
    </row>
    <row r="13862" spans="5:12" x14ac:dyDescent="0.2">
      <c r="E13862" s="1063"/>
      <c r="H13862" s="1066"/>
      <c r="I13862" s="1063"/>
      <c r="J13862" s="1063"/>
      <c r="K13862" s="1063"/>
      <c r="L13862" s="1063"/>
    </row>
    <row r="13863" spans="5:12" x14ac:dyDescent="0.2">
      <c r="E13863" s="1063"/>
      <c r="H13863" s="1066"/>
      <c r="I13863" s="1063"/>
      <c r="J13863" s="1063"/>
      <c r="K13863" s="1063"/>
      <c r="L13863" s="1063"/>
    </row>
    <row r="13864" spans="5:12" x14ac:dyDescent="0.2">
      <c r="E13864" s="1063"/>
      <c r="H13864" s="1066"/>
      <c r="I13864" s="1063"/>
      <c r="J13864" s="1063"/>
      <c r="K13864" s="1063"/>
      <c r="L13864" s="1063"/>
    </row>
    <row r="13865" spans="5:12" x14ac:dyDescent="0.2">
      <c r="E13865" s="1063"/>
      <c r="H13865" s="1066"/>
      <c r="I13865" s="1063"/>
      <c r="J13865" s="1063"/>
      <c r="K13865" s="1063"/>
      <c r="L13865" s="1063"/>
    </row>
    <row r="13866" spans="5:12" x14ac:dyDescent="0.2">
      <c r="E13866" s="1063"/>
      <c r="H13866" s="1066"/>
      <c r="I13866" s="1063"/>
      <c r="J13866" s="1063"/>
      <c r="K13866" s="1063"/>
      <c r="L13866" s="1063"/>
    </row>
    <row r="13867" spans="5:12" x14ac:dyDescent="0.2">
      <c r="E13867" s="1063"/>
      <c r="H13867" s="1066"/>
      <c r="I13867" s="1063"/>
      <c r="J13867" s="1063"/>
      <c r="K13867" s="1063"/>
      <c r="L13867" s="1063"/>
    </row>
    <row r="13868" spans="5:12" x14ac:dyDescent="0.2">
      <c r="E13868" s="1063"/>
      <c r="H13868" s="1066"/>
      <c r="I13868" s="1063"/>
      <c r="J13868" s="1063"/>
      <c r="K13868" s="1063"/>
      <c r="L13868" s="1063"/>
    </row>
    <row r="13869" spans="5:12" x14ac:dyDescent="0.2">
      <c r="E13869" s="1063"/>
      <c r="H13869" s="1066"/>
      <c r="I13869" s="1063"/>
      <c r="J13869" s="1063"/>
      <c r="K13869" s="1063"/>
      <c r="L13869" s="1063"/>
    </row>
    <row r="13870" spans="5:12" x14ac:dyDescent="0.2">
      <c r="E13870" s="1063"/>
      <c r="H13870" s="1066"/>
      <c r="I13870" s="1063"/>
      <c r="J13870" s="1063"/>
      <c r="K13870" s="1063"/>
      <c r="L13870" s="1063"/>
    </row>
    <row r="13871" spans="5:12" x14ac:dyDescent="0.2">
      <c r="E13871" s="1063"/>
      <c r="H13871" s="1066"/>
      <c r="I13871" s="1063"/>
      <c r="J13871" s="1063"/>
      <c r="K13871" s="1063"/>
      <c r="L13871" s="1063"/>
    </row>
    <row r="13872" spans="5:12" x14ac:dyDescent="0.2">
      <c r="E13872" s="1063"/>
      <c r="H13872" s="1066"/>
      <c r="I13872" s="1063"/>
      <c r="J13872" s="1063"/>
      <c r="K13872" s="1063"/>
      <c r="L13872" s="1063"/>
    </row>
    <row r="13873" spans="5:12" x14ac:dyDescent="0.2">
      <c r="E13873" s="1063"/>
      <c r="H13873" s="1066"/>
      <c r="I13873" s="1063"/>
      <c r="J13873" s="1063"/>
      <c r="K13873" s="1063"/>
      <c r="L13873" s="1063"/>
    </row>
    <row r="13874" spans="5:12" x14ac:dyDescent="0.2">
      <c r="E13874" s="1063"/>
      <c r="H13874" s="1066"/>
      <c r="I13874" s="1063"/>
      <c r="J13874" s="1063"/>
      <c r="K13874" s="1063"/>
      <c r="L13874" s="1063"/>
    </row>
    <row r="13875" spans="5:12" x14ac:dyDescent="0.2">
      <c r="E13875" s="1063"/>
      <c r="H13875" s="1066"/>
      <c r="I13875" s="1063"/>
      <c r="J13875" s="1063"/>
      <c r="K13875" s="1063"/>
      <c r="L13875" s="1063"/>
    </row>
    <row r="13876" spans="5:12" x14ac:dyDescent="0.2">
      <c r="E13876" s="1063"/>
      <c r="H13876" s="1066"/>
      <c r="I13876" s="1063"/>
      <c r="J13876" s="1063"/>
      <c r="K13876" s="1063"/>
      <c r="L13876" s="1063"/>
    </row>
    <row r="13877" spans="5:12" x14ac:dyDescent="0.2">
      <c r="E13877" s="1063"/>
      <c r="H13877" s="1066"/>
      <c r="I13877" s="1063"/>
      <c r="J13877" s="1063"/>
      <c r="K13877" s="1063"/>
      <c r="L13877" s="1063"/>
    </row>
    <row r="13878" spans="5:12" x14ac:dyDescent="0.2">
      <c r="E13878" s="1063"/>
      <c r="H13878" s="1066"/>
      <c r="I13878" s="1063"/>
      <c r="J13878" s="1063"/>
      <c r="K13878" s="1063"/>
      <c r="L13878" s="1063"/>
    </row>
    <row r="13879" spans="5:12" x14ac:dyDescent="0.2">
      <c r="E13879" s="1063"/>
      <c r="H13879" s="1066"/>
      <c r="I13879" s="1063"/>
      <c r="J13879" s="1063"/>
      <c r="K13879" s="1063"/>
      <c r="L13879" s="1063"/>
    </row>
    <row r="13880" spans="5:12" x14ac:dyDescent="0.2">
      <c r="E13880" s="1063"/>
      <c r="H13880" s="1066"/>
      <c r="I13880" s="1063"/>
      <c r="J13880" s="1063"/>
      <c r="K13880" s="1063"/>
      <c r="L13880" s="1063"/>
    </row>
    <row r="13881" spans="5:12" x14ac:dyDescent="0.2">
      <c r="E13881" s="1063"/>
      <c r="H13881" s="1066"/>
      <c r="I13881" s="1063"/>
      <c r="J13881" s="1063"/>
      <c r="K13881" s="1063"/>
      <c r="L13881" s="1063"/>
    </row>
    <row r="13882" spans="5:12" x14ac:dyDescent="0.2">
      <c r="E13882" s="1063"/>
      <c r="H13882" s="1066"/>
      <c r="I13882" s="1063"/>
      <c r="J13882" s="1063"/>
      <c r="K13882" s="1063"/>
      <c r="L13882" s="1063"/>
    </row>
    <row r="13883" spans="5:12" x14ac:dyDescent="0.2">
      <c r="E13883" s="1063"/>
      <c r="H13883" s="1066"/>
      <c r="I13883" s="1063"/>
      <c r="J13883" s="1063"/>
      <c r="K13883" s="1063"/>
      <c r="L13883" s="1063"/>
    </row>
    <row r="13884" spans="5:12" x14ac:dyDescent="0.2">
      <c r="E13884" s="1063"/>
      <c r="H13884" s="1066"/>
      <c r="I13884" s="1063"/>
      <c r="J13884" s="1063"/>
      <c r="K13884" s="1063"/>
      <c r="L13884" s="1063"/>
    </row>
    <row r="13885" spans="5:12" x14ac:dyDescent="0.2">
      <c r="E13885" s="1063"/>
      <c r="H13885" s="1066"/>
      <c r="I13885" s="1063"/>
      <c r="J13885" s="1063"/>
      <c r="K13885" s="1063"/>
      <c r="L13885" s="1063"/>
    </row>
    <row r="13886" spans="5:12" x14ac:dyDescent="0.2">
      <c r="E13886" s="1063"/>
      <c r="H13886" s="1066"/>
      <c r="I13886" s="1063"/>
      <c r="J13886" s="1063"/>
      <c r="K13886" s="1063"/>
      <c r="L13886" s="1063"/>
    </row>
    <row r="13887" spans="5:12" x14ac:dyDescent="0.2">
      <c r="E13887" s="1063"/>
      <c r="H13887" s="1066"/>
      <c r="I13887" s="1063"/>
      <c r="J13887" s="1063"/>
      <c r="K13887" s="1063"/>
      <c r="L13887" s="1063"/>
    </row>
    <row r="13888" spans="5:12" x14ac:dyDescent="0.2">
      <c r="E13888" s="1063"/>
      <c r="H13888" s="1066"/>
      <c r="I13888" s="1063"/>
      <c r="J13888" s="1063"/>
      <c r="K13888" s="1063"/>
      <c r="L13888" s="1063"/>
    </row>
    <row r="13889" spans="5:12" x14ac:dyDescent="0.2">
      <c r="E13889" s="1063"/>
      <c r="H13889" s="1066"/>
      <c r="I13889" s="1063"/>
      <c r="J13889" s="1063"/>
      <c r="K13889" s="1063"/>
      <c r="L13889" s="1063"/>
    </row>
    <row r="13890" spans="5:12" x14ac:dyDescent="0.2">
      <c r="E13890" s="1063"/>
      <c r="H13890" s="1066"/>
      <c r="I13890" s="1063"/>
      <c r="J13890" s="1063"/>
      <c r="K13890" s="1063"/>
      <c r="L13890" s="1063"/>
    </row>
    <row r="13891" spans="5:12" x14ac:dyDescent="0.2">
      <c r="E13891" s="1063"/>
      <c r="H13891" s="1066"/>
      <c r="I13891" s="1063"/>
      <c r="J13891" s="1063"/>
      <c r="K13891" s="1063"/>
      <c r="L13891" s="1063"/>
    </row>
    <row r="13892" spans="5:12" x14ac:dyDescent="0.2">
      <c r="E13892" s="1063"/>
      <c r="H13892" s="1066"/>
      <c r="I13892" s="1063"/>
      <c r="J13892" s="1063"/>
      <c r="K13892" s="1063"/>
      <c r="L13892" s="1063"/>
    </row>
    <row r="13893" spans="5:12" x14ac:dyDescent="0.2">
      <c r="E13893" s="1063"/>
      <c r="H13893" s="1066"/>
      <c r="I13893" s="1063"/>
      <c r="J13893" s="1063"/>
      <c r="K13893" s="1063"/>
      <c r="L13893" s="1063"/>
    </row>
    <row r="13894" spans="5:12" x14ac:dyDescent="0.2">
      <c r="E13894" s="1063"/>
      <c r="H13894" s="1066"/>
      <c r="I13894" s="1063"/>
      <c r="J13894" s="1063"/>
      <c r="K13894" s="1063"/>
      <c r="L13894" s="1063"/>
    </row>
    <row r="13895" spans="5:12" x14ac:dyDescent="0.2">
      <c r="E13895" s="1063"/>
      <c r="H13895" s="1066"/>
      <c r="I13895" s="1063"/>
      <c r="J13895" s="1063"/>
      <c r="K13895" s="1063"/>
      <c r="L13895" s="1063"/>
    </row>
    <row r="13896" spans="5:12" x14ac:dyDescent="0.2">
      <c r="E13896" s="1063"/>
      <c r="H13896" s="1066"/>
      <c r="I13896" s="1063"/>
      <c r="J13896" s="1063"/>
      <c r="K13896" s="1063"/>
      <c r="L13896" s="1063"/>
    </row>
    <row r="13897" spans="5:12" x14ac:dyDescent="0.2">
      <c r="E13897" s="1063"/>
      <c r="H13897" s="1066"/>
      <c r="I13897" s="1063"/>
      <c r="J13897" s="1063"/>
      <c r="K13897" s="1063"/>
      <c r="L13897" s="1063"/>
    </row>
    <row r="13898" spans="5:12" x14ac:dyDescent="0.2">
      <c r="E13898" s="1063"/>
      <c r="H13898" s="1066"/>
      <c r="I13898" s="1063"/>
      <c r="J13898" s="1063"/>
      <c r="K13898" s="1063"/>
      <c r="L13898" s="1063"/>
    </row>
    <row r="13899" spans="5:12" x14ac:dyDescent="0.2">
      <c r="E13899" s="1063"/>
      <c r="H13899" s="1066"/>
      <c r="I13899" s="1063"/>
      <c r="J13899" s="1063"/>
      <c r="K13899" s="1063"/>
      <c r="L13899" s="1063"/>
    </row>
    <row r="13900" spans="5:12" x14ac:dyDescent="0.2">
      <c r="E13900" s="1063"/>
      <c r="H13900" s="1066"/>
      <c r="I13900" s="1063"/>
      <c r="J13900" s="1063"/>
      <c r="K13900" s="1063"/>
      <c r="L13900" s="1063"/>
    </row>
    <row r="13901" spans="5:12" x14ac:dyDescent="0.2">
      <c r="E13901" s="1063"/>
      <c r="H13901" s="1066"/>
      <c r="I13901" s="1063"/>
      <c r="J13901" s="1063"/>
      <c r="K13901" s="1063"/>
      <c r="L13901" s="1063"/>
    </row>
    <row r="13902" spans="5:12" x14ac:dyDescent="0.2">
      <c r="E13902" s="1063"/>
      <c r="H13902" s="1066"/>
      <c r="I13902" s="1063"/>
      <c r="J13902" s="1063"/>
      <c r="K13902" s="1063"/>
      <c r="L13902" s="1063"/>
    </row>
    <row r="13903" spans="5:12" x14ac:dyDescent="0.2">
      <c r="E13903" s="1063"/>
      <c r="H13903" s="1066"/>
      <c r="I13903" s="1063"/>
      <c r="J13903" s="1063"/>
      <c r="K13903" s="1063"/>
      <c r="L13903" s="1063"/>
    </row>
    <row r="13904" spans="5:12" x14ac:dyDescent="0.2">
      <c r="E13904" s="1063"/>
      <c r="H13904" s="1066"/>
      <c r="I13904" s="1063"/>
      <c r="J13904" s="1063"/>
      <c r="K13904" s="1063"/>
      <c r="L13904" s="1063"/>
    </row>
    <row r="13905" spans="5:12" x14ac:dyDescent="0.2">
      <c r="E13905" s="1063"/>
      <c r="H13905" s="1066"/>
      <c r="I13905" s="1063"/>
      <c r="J13905" s="1063"/>
      <c r="K13905" s="1063"/>
      <c r="L13905" s="1063"/>
    </row>
    <row r="13906" spans="5:12" x14ac:dyDescent="0.2">
      <c r="E13906" s="1063"/>
      <c r="H13906" s="1066"/>
      <c r="I13906" s="1063"/>
      <c r="J13906" s="1063"/>
      <c r="K13906" s="1063"/>
      <c r="L13906" s="1063"/>
    </row>
    <row r="13907" spans="5:12" x14ac:dyDescent="0.2">
      <c r="E13907" s="1063"/>
      <c r="H13907" s="1066"/>
      <c r="I13907" s="1063"/>
      <c r="J13907" s="1063"/>
      <c r="K13907" s="1063"/>
      <c r="L13907" s="1063"/>
    </row>
    <row r="13908" spans="5:12" x14ac:dyDescent="0.2">
      <c r="E13908" s="1063"/>
      <c r="H13908" s="1066"/>
      <c r="I13908" s="1063"/>
      <c r="J13908" s="1063"/>
      <c r="K13908" s="1063"/>
      <c r="L13908" s="1063"/>
    </row>
    <row r="13909" spans="5:12" x14ac:dyDescent="0.2">
      <c r="E13909" s="1063"/>
      <c r="H13909" s="1066"/>
      <c r="I13909" s="1063"/>
      <c r="J13909" s="1063"/>
      <c r="K13909" s="1063"/>
      <c r="L13909" s="1063"/>
    </row>
    <row r="13910" spans="5:12" x14ac:dyDescent="0.2">
      <c r="E13910" s="1063"/>
      <c r="H13910" s="1066"/>
      <c r="I13910" s="1063"/>
      <c r="J13910" s="1063"/>
      <c r="K13910" s="1063"/>
      <c r="L13910" s="1063"/>
    </row>
    <row r="13911" spans="5:12" x14ac:dyDescent="0.2">
      <c r="E13911" s="1063"/>
      <c r="H13911" s="1066"/>
      <c r="I13911" s="1063"/>
      <c r="J13911" s="1063"/>
      <c r="K13911" s="1063"/>
      <c r="L13911" s="1063"/>
    </row>
    <row r="13912" spans="5:12" x14ac:dyDescent="0.2">
      <c r="E13912" s="1063"/>
      <c r="H13912" s="1066"/>
      <c r="I13912" s="1063"/>
      <c r="J13912" s="1063"/>
      <c r="K13912" s="1063"/>
      <c r="L13912" s="1063"/>
    </row>
    <row r="13913" spans="5:12" x14ac:dyDescent="0.2">
      <c r="E13913" s="1063"/>
      <c r="H13913" s="1066"/>
      <c r="I13913" s="1063"/>
      <c r="J13913" s="1063"/>
      <c r="K13913" s="1063"/>
      <c r="L13913" s="1063"/>
    </row>
    <row r="13914" spans="5:12" x14ac:dyDescent="0.2">
      <c r="E13914" s="1063"/>
      <c r="H13914" s="1066"/>
      <c r="I13914" s="1063"/>
      <c r="J13914" s="1063"/>
      <c r="K13914" s="1063"/>
      <c r="L13914" s="1063"/>
    </row>
    <row r="13915" spans="5:12" x14ac:dyDescent="0.2">
      <c r="E13915" s="1063"/>
      <c r="H13915" s="1066"/>
      <c r="I13915" s="1063"/>
      <c r="J13915" s="1063"/>
      <c r="K13915" s="1063"/>
      <c r="L13915" s="1063"/>
    </row>
    <row r="13916" spans="5:12" x14ac:dyDescent="0.2">
      <c r="E13916" s="1063"/>
      <c r="H13916" s="1066"/>
      <c r="I13916" s="1063"/>
      <c r="J13916" s="1063"/>
      <c r="K13916" s="1063"/>
      <c r="L13916" s="1063"/>
    </row>
    <row r="13917" spans="5:12" x14ac:dyDescent="0.2">
      <c r="E13917" s="1063"/>
      <c r="H13917" s="1066"/>
      <c r="I13917" s="1063"/>
      <c r="J13917" s="1063"/>
      <c r="K13917" s="1063"/>
      <c r="L13917" s="1063"/>
    </row>
    <row r="13918" spans="5:12" x14ac:dyDescent="0.2">
      <c r="E13918" s="1063"/>
      <c r="H13918" s="1066"/>
      <c r="I13918" s="1063"/>
      <c r="J13918" s="1063"/>
      <c r="K13918" s="1063"/>
      <c r="L13918" s="1063"/>
    </row>
    <row r="13919" spans="5:12" x14ac:dyDescent="0.2">
      <c r="E13919" s="1063"/>
      <c r="H13919" s="1066"/>
      <c r="I13919" s="1063"/>
      <c r="J13919" s="1063"/>
      <c r="K13919" s="1063"/>
      <c r="L13919" s="1063"/>
    </row>
    <row r="13920" spans="5:12" x14ac:dyDescent="0.2">
      <c r="E13920" s="1063"/>
      <c r="H13920" s="1066"/>
      <c r="I13920" s="1063"/>
      <c r="J13920" s="1063"/>
      <c r="K13920" s="1063"/>
      <c r="L13920" s="1063"/>
    </row>
    <row r="13921" spans="5:12" x14ac:dyDescent="0.2">
      <c r="E13921" s="1063"/>
      <c r="H13921" s="1066"/>
      <c r="I13921" s="1063"/>
      <c r="J13921" s="1063"/>
      <c r="K13921" s="1063"/>
      <c r="L13921" s="1063"/>
    </row>
    <row r="13922" spans="5:12" x14ac:dyDescent="0.2">
      <c r="E13922" s="1063"/>
      <c r="H13922" s="1066"/>
      <c r="I13922" s="1063"/>
      <c r="J13922" s="1063"/>
      <c r="K13922" s="1063"/>
      <c r="L13922" s="1063"/>
    </row>
    <row r="13923" spans="5:12" x14ac:dyDescent="0.2">
      <c r="E13923" s="1063"/>
      <c r="H13923" s="1066"/>
      <c r="I13923" s="1063"/>
      <c r="J13923" s="1063"/>
      <c r="K13923" s="1063"/>
      <c r="L13923" s="1063"/>
    </row>
    <row r="13924" spans="5:12" x14ac:dyDescent="0.2">
      <c r="E13924" s="1063"/>
      <c r="H13924" s="1066"/>
      <c r="I13924" s="1063"/>
      <c r="J13924" s="1063"/>
      <c r="K13924" s="1063"/>
      <c r="L13924" s="1063"/>
    </row>
    <row r="13925" spans="5:12" x14ac:dyDescent="0.2">
      <c r="E13925" s="1063"/>
      <c r="H13925" s="1066"/>
      <c r="I13925" s="1063"/>
      <c r="J13925" s="1063"/>
      <c r="K13925" s="1063"/>
      <c r="L13925" s="1063"/>
    </row>
    <row r="13926" spans="5:12" x14ac:dyDescent="0.2">
      <c r="E13926" s="1063"/>
      <c r="H13926" s="1066"/>
      <c r="I13926" s="1063"/>
      <c r="J13926" s="1063"/>
      <c r="K13926" s="1063"/>
      <c r="L13926" s="1063"/>
    </row>
    <row r="13927" spans="5:12" x14ac:dyDescent="0.2">
      <c r="E13927" s="1063"/>
      <c r="H13927" s="1066"/>
      <c r="I13927" s="1063"/>
      <c r="J13927" s="1063"/>
      <c r="K13927" s="1063"/>
      <c r="L13927" s="1063"/>
    </row>
    <row r="13928" spans="5:12" x14ac:dyDescent="0.2">
      <c r="E13928" s="1063"/>
      <c r="H13928" s="1066"/>
      <c r="I13928" s="1063"/>
      <c r="J13928" s="1063"/>
      <c r="K13928" s="1063"/>
      <c r="L13928" s="1063"/>
    </row>
    <row r="13929" spans="5:12" x14ac:dyDescent="0.2">
      <c r="E13929" s="1063"/>
      <c r="H13929" s="1066"/>
      <c r="I13929" s="1063"/>
      <c r="J13929" s="1063"/>
      <c r="K13929" s="1063"/>
      <c r="L13929" s="1063"/>
    </row>
    <row r="13930" spans="5:12" x14ac:dyDescent="0.2">
      <c r="E13930" s="1063"/>
      <c r="H13930" s="1066"/>
      <c r="I13930" s="1063"/>
      <c r="J13930" s="1063"/>
      <c r="K13930" s="1063"/>
      <c r="L13930" s="1063"/>
    </row>
    <row r="13931" spans="5:12" x14ac:dyDescent="0.2">
      <c r="E13931" s="1063"/>
      <c r="H13931" s="1066"/>
      <c r="I13931" s="1063"/>
      <c r="J13931" s="1063"/>
      <c r="K13931" s="1063"/>
      <c r="L13931" s="1063"/>
    </row>
    <row r="13932" spans="5:12" x14ac:dyDescent="0.2">
      <c r="E13932" s="1063"/>
      <c r="H13932" s="1066"/>
      <c r="I13932" s="1063"/>
      <c r="J13932" s="1063"/>
      <c r="K13932" s="1063"/>
      <c r="L13932" s="1063"/>
    </row>
    <row r="13933" spans="5:12" x14ac:dyDescent="0.2">
      <c r="E13933" s="1063"/>
      <c r="H13933" s="1066"/>
      <c r="I13933" s="1063"/>
      <c r="J13933" s="1063"/>
      <c r="K13933" s="1063"/>
      <c r="L13933" s="1063"/>
    </row>
    <row r="13934" spans="5:12" x14ac:dyDescent="0.2">
      <c r="E13934" s="1063"/>
      <c r="H13934" s="1066"/>
      <c r="I13934" s="1063"/>
      <c r="J13934" s="1063"/>
      <c r="K13934" s="1063"/>
      <c r="L13934" s="1063"/>
    </row>
    <row r="13935" spans="5:12" x14ac:dyDescent="0.2">
      <c r="E13935" s="1063"/>
      <c r="H13935" s="1066"/>
      <c r="I13935" s="1063"/>
      <c r="J13935" s="1063"/>
      <c r="K13935" s="1063"/>
      <c r="L13935" s="1063"/>
    </row>
    <row r="13936" spans="5:12" x14ac:dyDescent="0.2">
      <c r="E13936" s="1063"/>
      <c r="H13936" s="1066"/>
      <c r="I13936" s="1063"/>
      <c r="J13936" s="1063"/>
      <c r="K13936" s="1063"/>
      <c r="L13936" s="1063"/>
    </row>
    <row r="13937" spans="5:12" x14ac:dyDescent="0.2">
      <c r="E13937" s="1063"/>
      <c r="H13937" s="1066"/>
      <c r="I13937" s="1063"/>
      <c r="J13937" s="1063"/>
      <c r="K13937" s="1063"/>
      <c r="L13937" s="1063"/>
    </row>
    <row r="13938" spans="5:12" x14ac:dyDescent="0.2">
      <c r="E13938" s="1063"/>
      <c r="H13938" s="1066"/>
      <c r="I13938" s="1063"/>
      <c r="J13938" s="1063"/>
      <c r="K13938" s="1063"/>
      <c r="L13938" s="1063"/>
    </row>
    <row r="13939" spans="5:12" x14ac:dyDescent="0.2">
      <c r="E13939" s="1063"/>
      <c r="H13939" s="1066"/>
      <c r="I13939" s="1063"/>
      <c r="J13939" s="1063"/>
      <c r="K13939" s="1063"/>
      <c r="L13939" s="1063"/>
    </row>
    <row r="13940" spans="5:12" x14ac:dyDescent="0.2">
      <c r="E13940" s="1063"/>
      <c r="H13940" s="1066"/>
      <c r="I13940" s="1063"/>
      <c r="J13940" s="1063"/>
      <c r="K13940" s="1063"/>
      <c r="L13940" s="1063"/>
    </row>
    <row r="13941" spans="5:12" x14ac:dyDescent="0.2">
      <c r="E13941" s="1063"/>
      <c r="H13941" s="1066"/>
      <c r="I13941" s="1063"/>
      <c r="J13941" s="1063"/>
      <c r="K13941" s="1063"/>
      <c r="L13941" s="1063"/>
    </row>
    <row r="13942" spans="5:12" x14ac:dyDescent="0.2">
      <c r="E13942" s="1063"/>
      <c r="H13942" s="1066"/>
      <c r="I13942" s="1063"/>
      <c r="J13942" s="1063"/>
      <c r="K13942" s="1063"/>
      <c r="L13942" s="1063"/>
    </row>
    <row r="13943" spans="5:12" x14ac:dyDescent="0.2">
      <c r="E13943" s="1063"/>
      <c r="H13943" s="1066"/>
      <c r="I13943" s="1063"/>
      <c r="J13943" s="1063"/>
      <c r="K13943" s="1063"/>
      <c r="L13943" s="1063"/>
    </row>
    <row r="13944" spans="5:12" x14ac:dyDescent="0.2">
      <c r="E13944" s="1063"/>
      <c r="H13944" s="1066"/>
      <c r="I13944" s="1063"/>
      <c r="J13944" s="1063"/>
      <c r="K13944" s="1063"/>
      <c r="L13944" s="1063"/>
    </row>
    <row r="13945" spans="5:12" x14ac:dyDescent="0.2">
      <c r="E13945" s="1063"/>
      <c r="H13945" s="1066"/>
      <c r="I13945" s="1063"/>
      <c r="J13945" s="1063"/>
      <c r="K13945" s="1063"/>
      <c r="L13945" s="1063"/>
    </row>
    <row r="13946" spans="5:12" x14ac:dyDescent="0.2">
      <c r="E13946" s="1063"/>
      <c r="H13946" s="1066"/>
      <c r="I13946" s="1063"/>
      <c r="J13946" s="1063"/>
      <c r="K13946" s="1063"/>
      <c r="L13946" s="1063"/>
    </row>
    <row r="13947" spans="5:12" x14ac:dyDescent="0.2">
      <c r="E13947" s="1063"/>
      <c r="H13947" s="1066"/>
      <c r="I13947" s="1063"/>
      <c r="J13947" s="1063"/>
      <c r="K13947" s="1063"/>
      <c r="L13947" s="1063"/>
    </row>
    <row r="13948" spans="5:12" x14ac:dyDescent="0.2">
      <c r="E13948" s="1063"/>
      <c r="H13948" s="1066"/>
      <c r="I13948" s="1063"/>
      <c r="J13948" s="1063"/>
      <c r="K13948" s="1063"/>
      <c r="L13948" s="1063"/>
    </row>
    <row r="13949" spans="5:12" x14ac:dyDescent="0.2">
      <c r="E13949" s="1063"/>
      <c r="H13949" s="1066"/>
      <c r="I13949" s="1063"/>
      <c r="J13949" s="1063"/>
      <c r="K13949" s="1063"/>
      <c r="L13949" s="1063"/>
    </row>
    <row r="13950" spans="5:12" x14ac:dyDescent="0.2">
      <c r="E13950" s="1063"/>
      <c r="H13950" s="1066"/>
      <c r="I13950" s="1063"/>
      <c r="J13950" s="1063"/>
      <c r="K13950" s="1063"/>
      <c r="L13950" s="1063"/>
    </row>
    <row r="13951" spans="5:12" x14ac:dyDescent="0.2">
      <c r="E13951" s="1063"/>
      <c r="H13951" s="1066"/>
      <c r="I13951" s="1063"/>
      <c r="J13951" s="1063"/>
      <c r="K13951" s="1063"/>
      <c r="L13951" s="1063"/>
    </row>
    <row r="13952" spans="5:12" x14ac:dyDescent="0.2">
      <c r="E13952" s="1063"/>
      <c r="H13952" s="1066"/>
      <c r="I13952" s="1063"/>
      <c r="J13952" s="1063"/>
      <c r="K13952" s="1063"/>
      <c r="L13952" s="1063"/>
    </row>
    <row r="13953" spans="5:12" x14ac:dyDescent="0.2">
      <c r="E13953" s="1063"/>
      <c r="H13953" s="1066"/>
      <c r="I13953" s="1063"/>
      <c r="J13953" s="1063"/>
      <c r="K13953" s="1063"/>
      <c r="L13953" s="1063"/>
    </row>
    <row r="13954" spans="5:12" x14ac:dyDescent="0.2">
      <c r="E13954" s="1063"/>
      <c r="H13954" s="1066"/>
      <c r="I13954" s="1063"/>
      <c r="J13954" s="1063"/>
      <c r="K13954" s="1063"/>
      <c r="L13954" s="1063"/>
    </row>
    <row r="13955" spans="5:12" x14ac:dyDescent="0.2">
      <c r="E13955" s="1063"/>
      <c r="H13955" s="1066"/>
      <c r="I13955" s="1063"/>
      <c r="J13955" s="1063"/>
      <c r="K13955" s="1063"/>
      <c r="L13955" s="1063"/>
    </row>
    <row r="13956" spans="5:12" x14ac:dyDescent="0.2">
      <c r="E13956" s="1063"/>
      <c r="H13956" s="1066"/>
      <c r="I13956" s="1063"/>
      <c r="J13956" s="1063"/>
      <c r="K13956" s="1063"/>
      <c r="L13956" s="1063"/>
    </row>
    <row r="13957" spans="5:12" x14ac:dyDescent="0.2">
      <c r="E13957" s="1063"/>
      <c r="H13957" s="1066"/>
      <c r="I13957" s="1063"/>
      <c r="J13957" s="1063"/>
      <c r="K13957" s="1063"/>
      <c r="L13957" s="1063"/>
    </row>
    <row r="13958" spans="5:12" x14ac:dyDescent="0.2">
      <c r="E13958" s="1063"/>
      <c r="H13958" s="1066"/>
      <c r="I13958" s="1063"/>
      <c r="J13958" s="1063"/>
      <c r="K13958" s="1063"/>
      <c r="L13958" s="1063"/>
    </row>
    <row r="13959" spans="5:12" x14ac:dyDescent="0.2">
      <c r="E13959" s="1063"/>
      <c r="H13959" s="1066"/>
      <c r="I13959" s="1063"/>
      <c r="J13959" s="1063"/>
      <c r="K13959" s="1063"/>
      <c r="L13959" s="1063"/>
    </row>
    <row r="13960" spans="5:12" x14ac:dyDescent="0.2">
      <c r="E13960" s="1063"/>
      <c r="H13960" s="1066"/>
      <c r="I13960" s="1063"/>
      <c r="J13960" s="1063"/>
      <c r="K13960" s="1063"/>
      <c r="L13960" s="1063"/>
    </row>
    <row r="13961" spans="5:12" x14ac:dyDescent="0.2">
      <c r="E13961" s="1063"/>
      <c r="H13961" s="1066"/>
      <c r="I13961" s="1063"/>
      <c r="J13961" s="1063"/>
      <c r="K13961" s="1063"/>
      <c r="L13961" s="1063"/>
    </row>
    <row r="13962" spans="5:12" x14ac:dyDescent="0.2">
      <c r="E13962" s="1063"/>
      <c r="H13962" s="1066"/>
      <c r="I13962" s="1063"/>
      <c r="J13962" s="1063"/>
      <c r="K13962" s="1063"/>
      <c r="L13962" s="1063"/>
    </row>
    <row r="13963" spans="5:12" x14ac:dyDescent="0.2">
      <c r="E13963" s="1063"/>
      <c r="H13963" s="1066"/>
      <c r="I13963" s="1063"/>
      <c r="J13963" s="1063"/>
      <c r="K13963" s="1063"/>
      <c r="L13963" s="1063"/>
    </row>
    <row r="13964" spans="5:12" x14ac:dyDescent="0.2">
      <c r="E13964" s="1063"/>
      <c r="H13964" s="1066"/>
      <c r="I13964" s="1063"/>
      <c r="J13964" s="1063"/>
      <c r="K13964" s="1063"/>
      <c r="L13964" s="1063"/>
    </row>
    <row r="13965" spans="5:12" x14ac:dyDescent="0.2">
      <c r="E13965" s="1063"/>
      <c r="H13965" s="1066"/>
      <c r="I13965" s="1063"/>
      <c r="J13965" s="1063"/>
      <c r="K13965" s="1063"/>
      <c r="L13965" s="1063"/>
    </row>
    <row r="13966" spans="5:12" x14ac:dyDescent="0.2">
      <c r="E13966" s="1063"/>
      <c r="H13966" s="1066"/>
      <c r="I13966" s="1063"/>
      <c r="J13966" s="1063"/>
      <c r="K13966" s="1063"/>
      <c r="L13966" s="1063"/>
    </row>
    <row r="13967" spans="5:12" x14ac:dyDescent="0.2">
      <c r="E13967" s="1063"/>
      <c r="H13967" s="1066"/>
      <c r="I13967" s="1063"/>
      <c r="J13967" s="1063"/>
      <c r="K13967" s="1063"/>
      <c r="L13967" s="1063"/>
    </row>
    <row r="13968" spans="5:12" x14ac:dyDescent="0.2">
      <c r="E13968" s="1063"/>
      <c r="H13968" s="1066"/>
      <c r="I13968" s="1063"/>
      <c r="J13968" s="1063"/>
      <c r="K13968" s="1063"/>
      <c r="L13968" s="1063"/>
    </row>
    <row r="13969" spans="5:12" x14ac:dyDescent="0.2">
      <c r="E13969" s="1063"/>
      <c r="H13969" s="1066"/>
      <c r="I13969" s="1063"/>
      <c r="J13969" s="1063"/>
      <c r="K13969" s="1063"/>
      <c r="L13969" s="1063"/>
    </row>
    <row r="13970" spans="5:12" x14ac:dyDescent="0.2">
      <c r="E13970" s="1063"/>
      <c r="H13970" s="1066"/>
      <c r="I13970" s="1063"/>
      <c r="J13970" s="1063"/>
      <c r="K13970" s="1063"/>
      <c r="L13970" s="1063"/>
    </row>
    <row r="13971" spans="5:12" x14ac:dyDescent="0.2">
      <c r="E13971" s="1063"/>
      <c r="H13971" s="1066"/>
      <c r="I13971" s="1063"/>
      <c r="J13971" s="1063"/>
      <c r="K13971" s="1063"/>
      <c r="L13971" s="1063"/>
    </row>
    <row r="13972" spans="5:12" x14ac:dyDescent="0.2">
      <c r="E13972" s="1063"/>
      <c r="H13972" s="1066"/>
      <c r="I13972" s="1063"/>
      <c r="J13972" s="1063"/>
      <c r="K13972" s="1063"/>
      <c r="L13972" s="1063"/>
    </row>
    <row r="13973" spans="5:12" x14ac:dyDescent="0.2">
      <c r="E13973" s="1063"/>
      <c r="H13973" s="1066"/>
      <c r="I13973" s="1063"/>
      <c r="J13973" s="1063"/>
      <c r="K13973" s="1063"/>
      <c r="L13973" s="1063"/>
    </row>
    <row r="13974" spans="5:12" x14ac:dyDescent="0.2">
      <c r="E13974" s="1063"/>
      <c r="H13974" s="1066"/>
      <c r="I13974" s="1063"/>
      <c r="J13974" s="1063"/>
      <c r="K13974" s="1063"/>
      <c r="L13974" s="1063"/>
    </row>
    <row r="13975" spans="5:12" x14ac:dyDescent="0.2">
      <c r="E13975" s="1063"/>
      <c r="H13975" s="1066"/>
      <c r="I13975" s="1063"/>
      <c r="J13975" s="1063"/>
      <c r="K13975" s="1063"/>
      <c r="L13975" s="1063"/>
    </row>
    <row r="13976" spans="5:12" x14ac:dyDescent="0.2">
      <c r="E13976" s="1063"/>
      <c r="H13976" s="1066"/>
      <c r="I13976" s="1063"/>
      <c r="J13976" s="1063"/>
      <c r="K13976" s="1063"/>
      <c r="L13976" s="1063"/>
    </row>
    <row r="13977" spans="5:12" x14ac:dyDescent="0.2">
      <c r="E13977" s="1063"/>
      <c r="H13977" s="1066"/>
      <c r="I13977" s="1063"/>
      <c r="J13977" s="1063"/>
      <c r="K13977" s="1063"/>
      <c r="L13977" s="1063"/>
    </row>
    <row r="13978" spans="5:12" x14ac:dyDescent="0.2">
      <c r="E13978" s="1063"/>
      <c r="H13978" s="1066"/>
      <c r="I13978" s="1063"/>
      <c r="J13978" s="1063"/>
      <c r="K13978" s="1063"/>
      <c r="L13978" s="1063"/>
    </row>
    <row r="13979" spans="5:12" x14ac:dyDescent="0.2">
      <c r="E13979" s="1063"/>
      <c r="H13979" s="1066"/>
      <c r="I13979" s="1063"/>
      <c r="J13979" s="1063"/>
      <c r="K13979" s="1063"/>
      <c r="L13979" s="1063"/>
    </row>
    <row r="13980" spans="5:12" x14ac:dyDescent="0.2">
      <c r="E13980" s="1063"/>
      <c r="H13980" s="1066"/>
      <c r="I13980" s="1063"/>
      <c r="J13980" s="1063"/>
      <c r="K13980" s="1063"/>
      <c r="L13980" s="1063"/>
    </row>
    <row r="13981" spans="5:12" x14ac:dyDescent="0.2">
      <c r="E13981" s="1063"/>
      <c r="H13981" s="1066"/>
      <c r="I13981" s="1063"/>
      <c r="J13981" s="1063"/>
      <c r="K13981" s="1063"/>
      <c r="L13981" s="1063"/>
    </row>
    <row r="13982" spans="5:12" x14ac:dyDescent="0.2">
      <c r="E13982" s="1063"/>
      <c r="H13982" s="1066"/>
      <c r="I13982" s="1063"/>
      <c r="J13982" s="1063"/>
      <c r="K13982" s="1063"/>
      <c r="L13982" s="1063"/>
    </row>
    <row r="13983" spans="5:12" x14ac:dyDescent="0.2">
      <c r="E13983" s="1063"/>
      <c r="H13983" s="1066"/>
      <c r="I13983" s="1063"/>
      <c r="J13983" s="1063"/>
      <c r="K13983" s="1063"/>
      <c r="L13983" s="1063"/>
    </row>
    <row r="13984" spans="5:12" x14ac:dyDescent="0.2">
      <c r="E13984" s="1063"/>
      <c r="H13984" s="1066"/>
      <c r="I13984" s="1063"/>
      <c r="J13984" s="1063"/>
      <c r="K13984" s="1063"/>
      <c r="L13984" s="1063"/>
    </row>
    <row r="13985" spans="5:12" x14ac:dyDescent="0.2">
      <c r="E13985" s="1063"/>
      <c r="H13985" s="1066"/>
      <c r="I13985" s="1063"/>
      <c r="J13985" s="1063"/>
      <c r="K13985" s="1063"/>
      <c r="L13985" s="1063"/>
    </row>
    <row r="13986" spans="5:12" x14ac:dyDescent="0.2">
      <c r="E13986" s="1063"/>
      <c r="H13986" s="1066"/>
      <c r="I13986" s="1063"/>
      <c r="J13986" s="1063"/>
      <c r="K13986" s="1063"/>
      <c r="L13986" s="1063"/>
    </row>
    <row r="13987" spans="5:12" x14ac:dyDescent="0.2">
      <c r="E13987" s="1063"/>
      <c r="H13987" s="1066"/>
      <c r="I13987" s="1063"/>
      <c r="J13987" s="1063"/>
      <c r="K13987" s="1063"/>
      <c r="L13987" s="1063"/>
    </row>
    <row r="13988" spans="5:12" x14ac:dyDescent="0.2">
      <c r="E13988" s="1063"/>
      <c r="H13988" s="1066"/>
      <c r="I13988" s="1063"/>
      <c r="J13988" s="1063"/>
      <c r="K13988" s="1063"/>
      <c r="L13988" s="1063"/>
    </row>
    <row r="13989" spans="5:12" x14ac:dyDescent="0.2">
      <c r="E13989" s="1063"/>
      <c r="H13989" s="1066"/>
      <c r="I13989" s="1063"/>
      <c r="J13989" s="1063"/>
      <c r="K13989" s="1063"/>
      <c r="L13989" s="1063"/>
    </row>
    <row r="13990" spans="5:12" x14ac:dyDescent="0.2">
      <c r="E13990" s="1063"/>
      <c r="H13990" s="1066"/>
      <c r="I13990" s="1063"/>
      <c r="J13990" s="1063"/>
      <c r="K13990" s="1063"/>
      <c r="L13990" s="1063"/>
    </row>
    <row r="13991" spans="5:12" x14ac:dyDescent="0.2">
      <c r="E13991" s="1063"/>
      <c r="H13991" s="1066"/>
      <c r="I13991" s="1063"/>
      <c r="J13991" s="1063"/>
      <c r="K13991" s="1063"/>
      <c r="L13991" s="1063"/>
    </row>
    <row r="13992" spans="5:12" x14ac:dyDescent="0.2">
      <c r="E13992" s="1063"/>
      <c r="H13992" s="1066"/>
      <c r="I13992" s="1063"/>
      <c r="J13992" s="1063"/>
      <c r="K13992" s="1063"/>
      <c r="L13992" s="1063"/>
    </row>
    <row r="13993" spans="5:12" x14ac:dyDescent="0.2">
      <c r="E13993" s="1063"/>
      <c r="H13993" s="1066"/>
      <c r="I13993" s="1063"/>
      <c r="J13993" s="1063"/>
      <c r="K13993" s="1063"/>
      <c r="L13993" s="1063"/>
    </row>
    <row r="13994" spans="5:12" x14ac:dyDescent="0.2">
      <c r="E13994" s="1063"/>
      <c r="H13994" s="1066"/>
      <c r="I13994" s="1063"/>
      <c r="J13994" s="1063"/>
      <c r="K13994" s="1063"/>
      <c r="L13994" s="1063"/>
    </row>
    <row r="13995" spans="5:12" x14ac:dyDescent="0.2">
      <c r="E13995" s="1063"/>
      <c r="H13995" s="1066"/>
      <c r="I13995" s="1063"/>
      <c r="J13995" s="1063"/>
      <c r="K13995" s="1063"/>
      <c r="L13995" s="1063"/>
    </row>
    <row r="13996" spans="5:12" x14ac:dyDescent="0.2">
      <c r="E13996" s="1063"/>
      <c r="H13996" s="1066"/>
      <c r="I13996" s="1063"/>
      <c r="J13996" s="1063"/>
      <c r="K13996" s="1063"/>
      <c r="L13996" s="1063"/>
    </row>
    <row r="13997" spans="5:12" x14ac:dyDescent="0.2">
      <c r="E13997" s="1063"/>
      <c r="H13997" s="1066"/>
      <c r="I13997" s="1063"/>
      <c r="J13997" s="1063"/>
      <c r="K13997" s="1063"/>
      <c r="L13997" s="1063"/>
    </row>
    <row r="13998" spans="5:12" x14ac:dyDescent="0.2">
      <c r="E13998" s="1063"/>
      <c r="H13998" s="1066"/>
      <c r="I13998" s="1063"/>
      <c r="J13998" s="1063"/>
      <c r="K13998" s="1063"/>
      <c r="L13998" s="1063"/>
    </row>
    <row r="13999" spans="5:12" x14ac:dyDescent="0.2">
      <c r="E13999" s="1063"/>
      <c r="H13999" s="1066"/>
      <c r="I13999" s="1063"/>
      <c r="J13999" s="1063"/>
      <c r="K13999" s="1063"/>
      <c r="L13999" s="1063"/>
    </row>
    <row r="14000" spans="5:12" x14ac:dyDescent="0.2">
      <c r="E14000" s="1063"/>
      <c r="H14000" s="1066"/>
      <c r="I14000" s="1063"/>
      <c r="J14000" s="1063"/>
      <c r="K14000" s="1063"/>
      <c r="L14000" s="1063"/>
    </row>
    <row r="14001" spans="5:12" x14ac:dyDescent="0.2">
      <c r="E14001" s="1063"/>
      <c r="H14001" s="1066"/>
      <c r="I14001" s="1063"/>
      <c r="J14001" s="1063"/>
      <c r="K14001" s="1063"/>
      <c r="L14001" s="1063"/>
    </row>
    <row r="14002" spans="5:12" x14ac:dyDescent="0.2">
      <c r="E14002" s="1063"/>
      <c r="H14002" s="1066"/>
      <c r="I14002" s="1063"/>
      <c r="J14002" s="1063"/>
      <c r="K14002" s="1063"/>
      <c r="L14002" s="1063"/>
    </row>
    <row r="14003" spans="5:12" x14ac:dyDescent="0.2">
      <c r="E14003" s="1063"/>
      <c r="H14003" s="1066"/>
      <c r="I14003" s="1063"/>
      <c r="J14003" s="1063"/>
      <c r="K14003" s="1063"/>
      <c r="L14003" s="1063"/>
    </row>
    <row r="14004" spans="5:12" x14ac:dyDescent="0.2">
      <c r="E14004" s="1063"/>
      <c r="H14004" s="1066"/>
      <c r="I14004" s="1063"/>
      <c r="J14004" s="1063"/>
      <c r="K14004" s="1063"/>
      <c r="L14004" s="1063"/>
    </row>
    <row r="14005" spans="5:12" x14ac:dyDescent="0.2">
      <c r="E14005" s="1063"/>
      <c r="H14005" s="1066"/>
      <c r="I14005" s="1063"/>
      <c r="J14005" s="1063"/>
      <c r="K14005" s="1063"/>
      <c r="L14005" s="1063"/>
    </row>
    <row r="14006" spans="5:12" x14ac:dyDescent="0.2">
      <c r="E14006" s="1063"/>
      <c r="H14006" s="1066"/>
      <c r="I14006" s="1063"/>
      <c r="J14006" s="1063"/>
      <c r="K14006" s="1063"/>
      <c r="L14006" s="1063"/>
    </row>
    <row r="14007" spans="5:12" x14ac:dyDescent="0.2">
      <c r="E14007" s="1063"/>
      <c r="H14007" s="1066"/>
      <c r="I14007" s="1063"/>
      <c r="J14007" s="1063"/>
      <c r="K14007" s="1063"/>
      <c r="L14007" s="1063"/>
    </row>
    <row r="14008" spans="5:12" x14ac:dyDescent="0.2">
      <c r="E14008" s="1063"/>
      <c r="H14008" s="1066"/>
      <c r="I14008" s="1063"/>
      <c r="J14008" s="1063"/>
      <c r="K14008" s="1063"/>
      <c r="L14008" s="1063"/>
    </row>
    <row r="14009" spans="5:12" x14ac:dyDescent="0.2">
      <c r="E14009" s="1063"/>
      <c r="H14009" s="1066"/>
      <c r="I14009" s="1063"/>
      <c r="J14009" s="1063"/>
      <c r="K14009" s="1063"/>
      <c r="L14009" s="1063"/>
    </row>
    <row r="14010" spans="5:12" x14ac:dyDescent="0.2">
      <c r="E14010" s="1063"/>
      <c r="H14010" s="1066"/>
      <c r="I14010" s="1063"/>
      <c r="J14010" s="1063"/>
      <c r="K14010" s="1063"/>
      <c r="L14010" s="1063"/>
    </row>
    <row r="14011" spans="5:12" x14ac:dyDescent="0.2">
      <c r="E14011" s="1063"/>
      <c r="H14011" s="1066"/>
      <c r="I14011" s="1063"/>
      <c r="J14011" s="1063"/>
      <c r="K14011" s="1063"/>
      <c r="L14011" s="1063"/>
    </row>
    <row r="14012" spans="5:12" x14ac:dyDescent="0.2">
      <c r="E14012" s="1063"/>
      <c r="H14012" s="1066"/>
      <c r="I14012" s="1063"/>
      <c r="J14012" s="1063"/>
      <c r="K14012" s="1063"/>
      <c r="L14012" s="1063"/>
    </row>
    <row r="14013" spans="5:12" x14ac:dyDescent="0.2">
      <c r="E14013" s="1063"/>
      <c r="H14013" s="1066"/>
      <c r="I14013" s="1063"/>
      <c r="J14013" s="1063"/>
      <c r="K14013" s="1063"/>
      <c r="L14013" s="1063"/>
    </row>
    <row r="14014" spans="5:12" x14ac:dyDescent="0.2">
      <c r="E14014" s="1063"/>
      <c r="H14014" s="1066"/>
      <c r="I14014" s="1063"/>
      <c r="J14014" s="1063"/>
      <c r="K14014" s="1063"/>
      <c r="L14014" s="1063"/>
    </row>
    <row r="14015" spans="5:12" x14ac:dyDescent="0.2">
      <c r="E14015" s="1063"/>
      <c r="H14015" s="1066"/>
      <c r="I14015" s="1063"/>
      <c r="J14015" s="1063"/>
      <c r="K14015" s="1063"/>
      <c r="L14015" s="1063"/>
    </row>
    <row r="14016" spans="5:12" x14ac:dyDescent="0.2">
      <c r="E14016" s="1063"/>
      <c r="H14016" s="1066"/>
      <c r="I14016" s="1063"/>
      <c r="J14016" s="1063"/>
      <c r="K14016" s="1063"/>
      <c r="L14016" s="1063"/>
    </row>
    <row r="14017" spans="5:12" x14ac:dyDescent="0.2">
      <c r="E14017" s="1063"/>
      <c r="H14017" s="1066"/>
      <c r="I14017" s="1063"/>
      <c r="J14017" s="1063"/>
      <c r="K14017" s="1063"/>
      <c r="L14017" s="1063"/>
    </row>
    <row r="14018" spans="5:12" x14ac:dyDescent="0.2">
      <c r="E14018" s="1063"/>
      <c r="H14018" s="1066"/>
      <c r="I14018" s="1063"/>
      <c r="J14018" s="1063"/>
      <c r="K14018" s="1063"/>
      <c r="L14018" s="1063"/>
    </row>
    <row r="14019" spans="5:12" x14ac:dyDescent="0.2">
      <c r="E14019" s="1063"/>
      <c r="H14019" s="1066"/>
      <c r="I14019" s="1063"/>
      <c r="J14019" s="1063"/>
      <c r="K14019" s="1063"/>
      <c r="L14019" s="1063"/>
    </row>
    <row r="14020" spans="5:12" x14ac:dyDescent="0.2">
      <c r="E14020" s="1063"/>
      <c r="H14020" s="1066"/>
      <c r="I14020" s="1063"/>
      <c r="J14020" s="1063"/>
      <c r="K14020" s="1063"/>
      <c r="L14020" s="1063"/>
    </row>
    <row r="14021" spans="5:12" x14ac:dyDescent="0.2">
      <c r="E14021" s="1063"/>
      <c r="H14021" s="1066"/>
      <c r="I14021" s="1063"/>
      <c r="J14021" s="1063"/>
      <c r="K14021" s="1063"/>
      <c r="L14021" s="1063"/>
    </row>
    <row r="14022" spans="5:12" x14ac:dyDescent="0.2">
      <c r="E14022" s="1063"/>
      <c r="H14022" s="1066"/>
      <c r="I14022" s="1063"/>
      <c r="J14022" s="1063"/>
      <c r="K14022" s="1063"/>
      <c r="L14022" s="1063"/>
    </row>
    <row r="14023" spans="5:12" x14ac:dyDescent="0.2">
      <c r="E14023" s="1063"/>
      <c r="H14023" s="1066"/>
      <c r="I14023" s="1063"/>
      <c r="J14023" s="1063"/>
      <c r="K14023" s="1063"/>
      <c r="L14023" s="1063"/>
    </row>
    <row r="14024" spans="5:12" x14ac:dyDescent="0.2">
      <c r="E14024" s="1063"/>
      <c r="H14024" s="1066"/>
      <c r="I14024" s="1063"/>
      <c r="J14024" s="1063"/>
      <c r="K14024" s="1063"/>
      <c r="L14024" s="1063"/>
    </row>
    <row r="14025" spans="5:12" x14ac:dyDescent="0.2">
      <c r="E14025" s="1063"/>
      <c r="H14025" s="1066"/>
      <c r="I14025" s="1063"/>
      <c r="J14025" s="1063"/>
      <c r="K14025" s="1063"/>
      <c r="L14025" s="1063"/>
    </row>
    <row r="14026" spans="5:12" x14ac:dyDescent="0.2">
      <c r="E14026" s="1063"/>
      <c r="H14026" s="1066"/>
      <c r="I14026" s="1063"/>
      <c r="J14026" s="1063"/>
      <c r="K14026" s="1063"/>
      <c r="L14026" s="1063"/>
    </row>
    <row r="14027" spans="5:12" x14ac:dyDescent="0.2">
      <c r="E14027" s="1063"/>
      <c r="H14027" s="1066"/>
      <c r="I14027" s="1063"/>
      <c r="J14027" s="1063"/>
      <c r="K14027" s="1063"/>
      <c r="L14027" s="1063"/>
    </row>
    <row r="14028" spans="5:12" x14ac:dyDescent="0.2">
      <c r="E14028" s="1063"/>
      <c r="H14028" s="1066"/>
      <c r="I14028" s="1063"/>
      <c r="J14028" s="1063"/>
      <c r="K14028" s="1063"/>
      <c r="L14028" s="1063"/>
    </row>
    <row r="14029" spans="5:12" x14ac:dyDescent="0.2">
      <c r="E14029" s="1063"/>
      <c r="H14029" s="1066"/>
      <c r="I14029" s="1063"/>
      <c r="J14029" s="1063"/>
      <c r="K14029" s="1063"/>
      <c r="L14029" s="1063"/>
    </row>
    <row r="14030" spans="5:12" x14ac:dyDescent="0.2">
      <c r="E14030" s="1063"/>
      <c r="H14030" s="1066"/>
      <c r="I14030" s="1063"/>
      <c r="J14030" s="1063"/>
      <c r="K14030" s="1063"/>
      <c r="L14030" s="1063"/>
    </row>
    <row r="14031" spans="5:12" x14ac:dyDescent="0.2">
      <c r="E14031" s="1063"/>
      <c r="H14031" s="1066"/>
      <c r="I14031" s="1063"/>
      <c r="J14031" s="1063"/>
      <c r="K14031" s="1063"/>
      <c r="L14031" s="1063"/>
    </row>
    <row r="14032" spans="5:12" x14ac:dyDescent="0.2">
      <c r="E14032" s="1063"/>
      <c r="H14032" s="1066"/>
      <c r="I14032" s="1063"/>
      <c r="J14032" s="1063"/>
      <c r="K14032" s="1063"/>
      <c r="L14032" s="1063"/>
    </row>
    <row r="14033" spans="5:12" x14ac:dyDescent="0.2">
      <c r="E14033" s="1063"/>
      <c r="H14033" s="1066"/>
      <c r="I14033" s="1063"/>
      <c r="J14033" s="1063"/>
      <c r="K14033" s="1063"/>
      <c r="L14033" s="1063"/>
    </row>
    <row r="14034" spans="5:12" x14ac:dyDescent="0.2">
      <c r="E14034" s="1063"/>
      <c r="H14034" s="1066"/>
      <c r="I14034" s="1063"/>
      <c r="J14034" s="1063"/>
      <c r="K14034" s="1063"/>
      <c r="L14034" s="1063"/>
    </row>
    <row r="14035" spans="5:12" x14ac:dyDescent="0.2">
      <c r="E14035" s="1063"/>
      <c r="H14035" s="1066"/>
      <c r="I14035" s="1063"/>
      <c r="J14035" s="1063"/>
      <c r="K14035" s="1063"/>
      <c r="L14035" s="1063"/>
    </row>
    <row r="14036" spans="5:12" x14ac:dyDescent="0.2">
      <c r="E14036" s="1063"/>
      <c r="H14036" s="1066"/>
      <c r="I14036" s="1063"/>
      <c r="J14036" s="1063"/>
      <c r="K14036" s="1063"/>
      <c r="L14036" s="1063"/>
    </row>
    <row r="14037" spans="5:12" x14ac:dyDescent="0.2">
      <c r="E14037" s="1063"/>
      <c r="H14037" s="1066"/>
      <c r="I14037" s="1063"/>
      <c r="J14037" s="1063"/>
      <c r="K14037" s="1063"/>
      <c r="L14037" s="1063"/>
    </row>
    <row r="14038" spans="5:12" x14ac:dyDescent="0.2">
      <c r="E14038" s="1063"/>
      <c r="H14038" s="1066"/>
      <c r="I14038" s="1063"/>
      <c r="J14038" s="1063"/>
      <c r="K14038" s="1063"/>
      <c r="L14038" s="1063"/>
    </row>
    <row r="14039" spans="5:12" x14ac:dyDescent="0.2">
      <c r="E14039" s="1063"/>
      <c r="H14039" s="1066"/>
      <c r="I14039" s="1063"/>
      <c r="J14039" s="1063"/>
      <c r="K14039" s="1063"/>
      <c r="L14039" s="1063"/>
    </row>
    <row r="14040" spans="5:12" x14ac:dyDescent="0.2">
      <c r="E14040" s="1063"/>
      <c r="H14040" s="1066"/>
      <c r="I14040" s="1063"/>
      <c r="J14040" s="1063"/>
      <c r="K14040" s="1063"/>
      <c r="L14040" s="1063"/>
    </row>
    <row r="14041" spans="5:12" x14ac:dyDescent="0.2">
      <c r="E14041" s="1063"/>
      <c r="H14041" s="1066"/>
      <c r="I14041" s="1063"/>
      <c r="J14041" s="1063"/>
      <c r="K14041" s="1063"/>
      <c r="L14041" s="1063"/>
    </row>
    <row r="14042" spans="5:12" x14ac:dyDescent="0.2">
      <c r="E14042" s="1063"/>
      <c r="H14042" s="1066"/>
      <c r="I14042" s="1063"/>
      <c r="J14042" s="1063"/>
      <c r="K14042" s="1063"/>
      <c r="L14042" s="1063"/>
    </row>
    <row r="14043" spans="5:12" x14ac:dyDescent="0.2">
      <c r="E14043" s="1063"/>
      <c r="H14043" s="1066"/>
      <c r="I14043" s="1063"/>
      <c r="J14043" s="1063"/>
      <c r="K14043" s="1063"/>
      <c r="L14043" s="1063"/>
    </row>
    <row r="14044" spans="5:12" x14ac:dyDescent="0.2">
      <c r="E14044" s="1063"/>
      <c r="H14044" s="1066"/>
      <c r="I14044" s="1063"/>
      <c r="J14044" s="1063"/>
      <c r="K14044" s="1063"/>
      <c r="L14044" s="1063"/>
    </row>
    <row r="14045" spans="5:12" x14ac:dyDescent="0.2">
      <c r="E14045" s="1063"/>
      <c r="H14045" s="1066"/>
      <c r="I14045" s="1063"/>
      <c r="J14045" s="1063"/>
      <c r="K14045" s="1063"/>
      <c r="L14045" s="1063"/>
    </row>
    <row r="14046" spans="5:12" x14ac:dyDescent="0.2">
      <c r="E14046" s="1063"/>
      <c r="H14046" s="1066"/>
      <c r="I14046" s="1063"/>
      <c r="J14046" s="1063"/>
      <c r="K14046" s="1063"/>
      <c r="L14046" s="1063"/>
    </row>
    <row r="14047" spans="5:12" x14ac:dyDescent="0.2">
      <c r="E14047" s="1063"/>
      <c r="H14047" s="1066"/>
      <c r="I14047" s="1063"/>
      <c r="J14047" s="1063"/>
      <c r="K14047" s="1063"/>
      <c r="L14047" s="1063"/>
    </row>
    <row r="14048" spans="5:12" x14ac:dyDescent="0.2">
      <c r="E14048" s="1063"/>
      <c r="H14048" s="1066"/>
      <c r="I14048" s="1063"/>
      <c r="J14048" s="1063"/>
      <c r="K14048" s="1063"/>
      <c r="L14048" s="1063"/>
    </row>
    <row r="14049" spans="5:12" x14ac:dyDescent="0.2">
      <c r="E14049" s="1063"/>
      <c r="H14049" s="1066"/>
      <c r="I14049" s="1063"/>
      <c r="J14049" s="1063"/>
      <c r="K14049" s="1063"/>
      <c r="L14049" s="1063"/>
    </row>
    <row r="14050" spans="5:12" x14ac:dyDescent="0.2">
      <c r="E14050" s="1063"/>
      <c r="H14050" s="1066"/>
      <c r="I14050" s="1063"/>
      <c r="J14050" s="1063"/>
      <c r="K14050" s="1063"/>
      <c r="L14050" s="1063"/>
    </row>
    <row r="14051" spans="5:12" x14ac:dyDescent="0.2">
      <c r="E14051" s="1063"/>
      <c r="H14051" s="1066"/>
      <c r="I14051" s="1063"/>
      <c r="J14051" s="1063"/>
      <c r="K14051" s="1063"/>
      <c r="L14051" s="1063"/>
    </row>
    <row r="14052" spans="5:12" x14ac:dyDescent="0.2">
      <c r="E14052" s="1063"/>
      <c r="H14052" s="1066"/>
      <c r="I14052" s="1063"/>
      <c r="J14052" s="1063"/>
      <c r="K14052" s="1063"/>
      <c r="L14052" s="1063"/>
    </row>
    <row r="14053" spans="5:12" x14ac:dyDescent="0.2">
      <c r="E14053" s="1063"/>
      <c r="H14053" s="1066"/>
      <c r="I14053" s="1063"/>
      <c r="J14053" s="1063"/>
      <c r="K14053" s="1063"/>
      <c r="L14053" s="1063"/>
    </row>
    <row r="14054" spans="5:12" x14ac:dyDescent="0.2">
      <c r="E14054" s="1063"/>
      <c r="H14054" s="1066"/>
      <c r="I14054" s="1063"/>
      <c r="J14054" s="1063"/>
      <c r="K14054" s="1063"/>
      <c r="L14054" s="1063"/>
    </row>
    <row r="14055" spans="5:12" x14ac:dyDescent="0.2">
      <c r="E14055" s="1063"/>
      <c r="H14055" s="1066"/>
      <c r="I14055" s="1063"/>
      <c r="J14055" s="1063"/>
      <c r="K14055" s="1063"/>
      <c r="L14055" s="1063"/>
    </row>
    <row r="14056" spans="5:12" x14ac:dyDescent="0.2">
      <c r="E14056" s="1063"/>
      <c r="H14056" s="1066"/>
      <c r="I14056" s="1063"/>
      <c r="J14056" s="1063"/>
      <c r="K14056" s="1063"/>
      <c r="L14056" s="1063"/>
    </row>
    <row r="14057" spans="5:12" x14ac:dyDescent="0.2">
      <c r="E14057" s="1063"/>
      <c r="H14057" s="1066"/>
      <c r="I14057" s="1063"/>
      <c r="J14057" s="1063"/>
      <c r="K14057" s="1063"/>
      <c r="L14057" s="1063"/>
    </row>
    <row r="14058" spans="5:12" x14ac:dyDescent="0.2">
      <c r="E14058" s="1063"/>
      <c r="H14058" s="1066"/>
      <c r="I14058" s="1063"/>
      <c r="J14058" s="1063"/>
      <c r="K14058" s="1063"/>
      <c r="L14058" s="1063"/>
    </row>
    <row r="14059" spans="5:12" x14ac:dyDescent="0.2">
      <c r="E14059" s="1063"/>
      <c r="H14059" s="1066"/>
      <c r="I14059" s="1063"/>
      <c r="J14059" s="1063"/>
      <c r="K14059" s="1063"/>
      <c r="L14059" s="1063"/>
    </row>
    <row r="14060" spans="5:12" x14ac:dyDescent="0.2">
      <c r="E14060" s="1063"/>
      <c r="H14060" s="1066"/>
      <c r="I14060" s="1063"/>
      <c r="J14060" s="1063"/>
      <c r="K14060" s="1063"/>
      <c r="L14060" s="1063"/>
    </row>
    <row r="14061" spans="5:12" x14ac:dyDescent="0.2">
      <c r="E14061" s="1063"/>
      <c r="H14061" s="1066"/>
      <c r="I14061" s="1063"/>
      <c r="J14061" s="1063"/>
      <c r="K14061" s="1063"/>
      <c r="L14061" s="1063"/>
    </row>
    <row r="14062" spans="5:12" x14ac:dyDescent="0.2">
      <c r="E14062" s="1063"/>
      <c r="H14062" s="1066"/>
      <c r="I14062" s="1063"/>
      <c r="J14062" s="1063"/>
      <c r="K14062" s="1063"/>
      <c r="L14062" s="1063"/>
    </row>
    <row r="14063" spans="5:12" x14ac:dyDescent="0.2">
      <c r="E14063" s="1063"/>
      <c r="H14063" s="1066"/>
      <c r="I14063" s="1063"/>
      <c r="J14063" s="1063"/>
      <c r="K14063" s="1063"/>
      <c r="L14063" s="1063"/>
    </row>
    <row r="14064" spans="5:12" x14ac:dyDescent="0.2">
      <c r="E14064" s="1063"/>
      <c r="H14064" s="1066"/>
      <c r="I14064" s="1063"/>
      <c r="J14064" s="1063"/>
      <c r="K14064" s="1063"/>
      <c r="L14064" s="1063"/>
    </row>
    <row r="14065" spans="5:12" x14ac:dyDescent="0.2">
      <c r="E14065" s="1063"/>
      <c r="H14065" s="1066"/>
      <c r="I14065" s="1063"/>
      <c r="J14065" s="1063"/>
      <c r="K14065" s="1063"/>
      <c r="L14065" s="1063"/>
    </row>
    <row r="14066" spans="5:12" x14ac:dyDescent="0.2">
      <c r="E14066" s="1063"/>
      <c r="H14066" s="1066"/>
      <c r="I14066" s="1063"/>
      <c r="J14066" s="1063"/>
      <c r="K14066" s="1063"/>
      <c r="L14066" s="1063"/>
    </row>
    <row r="14067" spans="5:12" x14ac:dyDescent="0.2">
      <c r="E14067" s="1063"/>
      <c r="H14067" s="1066"/>
      <c r="I14067" s="1063"/>
      <c r="J14067" s="1063"/>
      <c r="K14067" s="1063"/>
      <c r="L14067" s="1063"/>
    </row>
    <row r="14068" spans="5:12" x14ac:dyDescent="0.2">
      <c r="E14068" s="1063"/>
      <c r="H14068" s="1066"/>
      <c r="I14068" s="1063"/>
      <c r="J14068" s="1063"/>
      <c r="K14068" s="1063"/>
      <c r="L14068" s="1063"/>
    </row>
    <row r="14069" spans="5:12" x14ac:dyDescent="0.2">
      <c r="E14069" s="1063"/>
      <c r="H14069" s="1066"/>
      <c r="I14069" s="1063"/>
      <c r="J14069" s="1063"/>
      <c r="K14069" s="1063"/>
      <c r="L14069" s="1063"/>
    </row>
    <row r="14070" spans="5:12" x14ac:dyDescent="0.2">
      <c r="E14070" s="1063"/>
      <c r="H14070" s="1066"/>
      <c r="I14070" s="1063"/>
      <c r="J14070" s="1063"/>
      <c r="K14070" s="1063"/>
      <c r="L14070" s="1063"/>
    </row>
    <row r="14071" spans="5:12" x14ac:dyDescent="0.2">
      <c r="E14071" s="1063"/>
      <c r="H14071" s="1066"/>
      <c r="I14071" s="1063"/>
      <c r="J14071" s="1063"/>
      <c r="K14071" s="1063"/>
      <c r="L14071" s="1063"/>
    </row>
    <row r="14072" spans="5:12" x14ac:dyDescent="0.2">
      <c r="E14072" s="1063"/>
      <c r="H14072" s="1066"/>
      <c r="I14072" s="1063"/>
      <c r="J14072" s="1063"/>
      <c r="K14072" s="1063"/>
      <c r="L14072" s="1063"/>
    </row>
    <row r="14073" spans="5:12" x14ac:dyDescent="0.2">
      <c r="E14073" s="1063"/>
      <c r="H14073" s="1066"/>
      <c r="I14073" s="1063"/>
      <c r="J14073" s="1063"/>
      <c r="K14073" s="1063"/>
      <c r="L14073" s="1063"/>
    </row>
    <row r="14074" spans="5:12" x14ac:dyDescent="0.2">
      <c r="E14074" s="1063"/>
      <c r="H14074" s="1066"/>
      <c r="I14074" s="1063"/>
      <c r="J14074" s="1063"/>
      <c r="K14074" s="1063"/>
      <c r="L14074" s="1063"/>
    </row>
    <row r="14075" spans="5:12" x14ac:dyDescent="0.2">
      <c r="E14075" s="1063"/>
      <c r="H14075" s="1066"/>
      <c r="I14075" s="1063"/>
      <c r="J14075" s="1063"/>
      <c r="K14075" s="1063"/>
      <c r="L14075" s="1063"/>
    </row>
    <row r="14076" spans="5:12" x14ac:dyDescent="0.2">
      <c r="E14076" s="1063"/>
      <c r="H14076" s="1066"/>
      <c r="I14076" s="1063"/>
      <c r="J14076" s="1063"/>
      <c r="K14076" s="1063"/>
      <c r="L14076" s="1063"/>
    </row>
    <row r="14077" spans="5:12" x14ac:dyDescent="0.2">
      <c r="E14077" s="1063"/>
      <c r="H14077" s="1066"/>
      <c r="I14077" s="1063"/>
      <c r="J14077" s="1063"/>
      <c r="K14077" s="1063"/>
      <c r="L14077" s="1063"/>
    </row>
    <row r="14078" spans="5:12" x14ac:dyDescent="0.2">
      <c r="E14078" s="1063"/>
      <c r="H14078" s="1066"/>
      <c r="I14078" s="1063"/>
      <c r="J14078" s="1063"/>
      <c r="K14078" s="1063"/>
      <c r="L14078" s="1063"/>
    </row>
    <row r="14079" spans="5:12" x14ac:dyDescent="0.2">
      <c r="E14079" s="1063"/>
      <c r="H14079" s="1066"/>
      <c r="I14079" s="1063"/>
      <c r="J14079" s="1063"/>
      <c r="K14079" s="1063"/>
      <c r="L14079" s="1063"/>
    </row>
    <row r="14080" spans="5:12" x14ac:dyDescent="0.2">
      <c r="E14080" s="1063"/>
      <c r="H14080" s="1066"/>
      <c r="I14080" s="1063"/>
      <c r="J14080" s="1063"/>
      <c r="K14080" s="1063"/>
      <c r="L14080" s="1063"/>
    </row>
    <row r="14081" spans="5:12" x14ac:dyDescent="0.2">
      <c r="E14081" s="1063"/>
      <c r="H14081" s="1066"/>
      <c r="I14081" s="1063"/>
      <c r="J14081" s="1063"/>
      <c r="K14081" s="1063"/>
      <c r="L14081" s="1063"/>
    </row>
    <row r="14082" spans="5:12" x14ac:dyDescent="0.2">
      <c r="E14082" s="1063"/>
      <c r="H14082" s="1066"/>
      <c r="I14082" s="1063"/>
      <c r="J14082" s="1063"/>
      <c r="K14082" s="1063"/>
      <c r="L14082" s="1063"/>
    </row>
    <row r="14083" spans="5:12" x14ac:dyDescent="0.2">
      <c r="E14083" s="1063"/>
      <c r="H14083" s="1066"/>
      <c r="I14083" s="1063"/>
      <c r="J14083" s="1063"/>
      <c r="K14083" s="1063"/>
      <c r="L14083" s="1063"/>
    </row>
    <row r="14084" spans="5:12" x14ac:dyDescent="0.2">
      <c r="E14084" s="1063"/>
      <c r="H14084" s="1066"/>
      <c r="I14084" s="1063"/>
      <c r="J14084" s="1063"/>
      <c r="K14084" s="1063"/>
      <c r="L14084" s="1063"/>
    </row>
    <row r="14085" spans="5:12" x14ac:dyDescent="0.2">
      <c r="E14085" s="1063"/>
      <c r="H14085" s="1066"/>
      <c r="I14085" s="1063"/>
      <c r="J14085" s="1063"/>
      <c r="K14085" s="1063"/>
      <c r="L14085" s="1063"/>
    </row>
    <row r="14086" spans="5:12" x14ac:dyDescent="0.2">
      <c r="E14086" s="1063"/>
      <c r="H14086" s="1066"/>
      <c r="I14086" s="1063"/>
      <c r="J14086" s="1063"/>
      <c r="K14086" s="1063"/>
      <c r="L14086" s="1063"/>
    </row>
    <row r="14087" spans="5:12" x14ac:dyDescent="0.2">
      <c r="E14087" s="1063"/>
      <c r="H14087" s="1066"/>
      <c r="I14087" s="1063"/>
      <c r="J14087" s="1063"/>
      <c r="K14087" s="1063"/>
      <c r="L14087" s="1063"/>
    </row>
    <row r="14088" spans="5:12" x14ac:dyDescent="0.2">
      <c r="E14088" s="1063"/>
      <c r="H14088" s="1066"/>
      <c r="I14088" s="1063"/>
      <c r="J14088" s="1063"/>
      <c r="K14088" s="1063"/>
      <c r="L14088" s="1063"/>
    </row>
    <row r="14089" spans="5:12" x14ac:dyDescent="0.2">
      <c r="E14089" s="1063"/>
      <c r="H14089" s="1066"/>
      <c r="I14089" s="1063"/>
      <c r="J14089" s="1063"/>
      <c r="K14089" s="1063"/>
      <c r="L14089" s="1063"/>
    </row>
    <row r="14090" spans="5:12" x14ac:dyDescent="0.2">
      <c r="E14090" s="1063"/>
      <c r="H14090" s="1066"/>
      <c r="I14090" s="1063"/>
      <c r="J14090" s="1063"/>
      <c r="K14090" s="1063"/>
      <c r="L14090" s="1063"/>
    </row>
    <row r="14091" spans="5:12" x14ac:dyDescent="0.2">
      <c r="E14091" s="1063"/>
      <c r="H14091" s="1066"/>
      <c r="I14091" s="1063"/>
      <c r="J14091" s="1063"/>
      <c r="K14091" s="1063"/>
      <c r="L14091" s="1063"/>
    </row>
    <row r="14092" spans="5:12" x14ac:dyDescent="0.2">
      <c r="E14092" s="1063"/>
      <c r="H14092" s="1066"/>
      <c r="I14092" s="1063"/>
      <c r="J14092" s="1063"/>
      <c r="K14092" s="1063"/>
      <c r="L14092" s="1063"/>
    </row>
    <row r="14093" spans="5:12" x14ac:dyDescent="0.2">
      <c r="E14093" s="1063"/>
      <c r="H14093" s="1066"/>
      <c r="I14093" s="1063"/>
      <c r="J14093" s="1063"/>
      <c r="K14093" s="1063"/>
      <c r="L14093" s="1063"/>
    </row>
    <row r="14094" spans="5:12" x14ac:dyDescent="0.2">
      <c r="E14094" s="1063"/>
      <c r="H14094" s="1066"/>
      <c r="I14094" s="1063"/>
      <c r="J14094" s="1063"/>
      <c r="K14094" s="1063"/>
      <c r="L14094" s="1063"/>
    </row>
    <row r="14095" spans="5:12" x14ac:dyDescent="0.2">
      <c r="E14095" s="1063"/>
      <c r="H14095" s="1066"/>
      <c r="I14095" s="1063"/>
      <c r="J14095" s="1063"/>
      <c r="K14095" s="1063"/>
      <c r="L14095" s="1063"/>
    </row>
    <row r="14096" spans="5:12" x14ac:dyDescent="0.2">
      <c r="E14096" s="1063"/>
      <c r="H14096" s="1066"/>
      <c r="I14096" s="1063"/>
      <c r="J14096" s="1063"/>
      <c r="K14096" s="1063"/>
      <c r="L14096" s="1063"/>
    </row>
    <row r="14097" spans="5:12" x14ac:dyDescent="0.2">
      <c r="E14097" s="1063"/>
      <c r="H14097" s="1066"/>
      <c r="I14097" s="1063"/>
      <c r="J14097" s="1063"/>
      <c r="K14097" s="1063"/>
      <c r="L14097" s="1063"/>
    </row>
    <row r="14098" spans="5:12" x14ac:dyDescent="0.2">
      <c r="E14098" s="1063"/>
      <c r="H14098" s="1066"/>
      <c r="I14098" s="1063"/>
      <c r="J14098" s="1063"/>
      <c r="K14098" s="1063"/>
      <c r="L14098" s="1063"/>
    </row>
    <row r="14099" spans="5:12" x14ac:dyDescent="0.2">
      <c r="E14099" s="1063"/>
      <c r="H14099" s="1066"/>
      <c r="I14099" s="1063"/>
      <c r="J14099" s="1063"/>
      <c r="K14099" s="1063"/>
      <c r="L14099" s="1063"/>
    </row>
    <row r="14100" spans="5:12" x14ac:dyDescent="0.2">
      <c r="E14100" s="1063"/>
      <c r="H14100" s="1066"/>
      <c r="I14100" s="1063"/>
      <c r="J14100" s="1063"/>
      <c r="K14100" s="1063"/>
      <c r="L14100" s="1063"/>
    </row>
    <row r="14101" spans="5:12" x14ac:dyDescent="0.2">
      <c r="E14101" s="1063"/>
      <c r="H14101" s="1066"/>
      <c r="I14101" s="1063"/>
      <c r="J14101" s="1063"/>
      <c r="K14101" s="1063"/>
      <c r="L14101" s="1063"/>
    </row>
    <row r="14102" spans="5:12" x14ac:dyDescent="0.2">
      <c r="E14102" s="1063"/>
      <c r="H14102" s="1066"/>
      <c r="I14102" s="1063"/>
      <c r="J14102" s="1063"/>
      <c r="K14102" s="1063"/>
      <c r="L14102" s="1063"/>
    </row>
    <row r="14103" spans="5:12" x14ac:dyDescent="0.2">
      <c r="E14103" s="1063"/>
      <c r="H14103" s="1066"/>
      <c r="I14103" s="1063"/>
      <c r="J14103" s="1063"/>
      <c r="K14103" s="1063"/>
      <c r="L14103" s="1063"/>
    </row>
    <row r="14104" spans="5:12" x14ac:dyDescent="0.2">
      <c r="E14104" s="1063"/>
      <c r="H14104" s="1066"/>
      <c r="I14104" s="1063"/>
      <c r="J14104" s="1063"/>
      <c r="K14104" s="1063"/>
      <c r="L14104" s="1063"/>
    </row>
    <row r="14105" spans="5:12" x14ac:dyDescent="0.2">
      <c r="E14105" s="1063"/>
      <c r="H14105" s="1066"/>
      <c r="I14105" s="1063"/>
      <c r="J14105" s="1063"/>
      <c r="K14105" s="1063"/>
      <c r="L14105" s="1063"/>
    </row>
    <row r="14106" spans="5:12" x14ac:dyDescent="0.2">
      <c r="E14106" s="1063"/>
      <c r="H14106" s="1066"/>
      <c r="I14106" s="1063"/>
      <c r="J14106" s="1063"/>
      <c r="K14106" s="1063"/>
      <c r="L14106" s="1063"/>
    </row>
    <row r="14107" spans="5:12" x14ac:dyDescent="0.2">
      <c r="E14107" s="1063"/>
      <c r="H14107" s="1066"/>
      <c r="I14107" s="1063"/>
      <c r="J14107" s="1063"/>
      <c r="K14107" s="1063"/>
      <c r="L14107" s="1063"/>
    </row>
    <row r="14108" spans="5:12" x14ac:dyDescent="0.2">
      <c r="E14108" s="1063"/>
      <c r="H14108" s="1066"/>
      <c r="I14108" s="1063"/>
      <c r="J14108" s="1063"/>
      <c r="K14108" s="1063"/>
      <c r="L14108" s="1063"/>
    </row>
    <row r="14109" spans="5:12" x14ac:dyDescent="0.2">
      <c r="E14109" s="1063"/>
      <c r="H14109" s="1066"/>
      <c r="I14109" s="1063"/>
      <c r="J14109" s="1063"/>
      <c r="K14109" s="1063"/>
      <c r="L14109" s="1063"/>
    </row>
    <row r="14110" spans="5:12" x14ac:dyDescent="0.2">
      <c r="E14110" s="1063"/>
      <c r="H14110" s="1066"/>
      <c r="I14110" s="1063"/>
      <c r="J14110" s="1063"/>
      <c r="K14110" s="1063"/>
      <c r="L14110" s="1063"/>
    </row>
    <row r="14111" spans="5:12" x14ac:dyDescent="0.2">
      <c r="E14111" s="1063"/>
      <c r="H14111" s="1066"/>
      <c r="I14111" s="1063"/>
      <c r="J14111" s="1063"/>
      <c r="K14111" s="1063"/>
      <c r="L14111" s="1063"/>
    </row>
    <row r="14112" spans="5:12" x14ac:dyDescent="0.2">
      <c r="E14112" s="1063"/>
      <c r="H14112" s="1066"/>
      <c r="I14112" s="1063"/>
      <c r="J14112" s="1063"/>
      <c r="K14112" s="1063"/>
      <c r="L14112" s="1063"/>
    </row>
    <row r="14113" spans="5:12" x14ac:dyDescent="0.2">
      <c r="E14113" s="1063"/>
      <c r="H14113" s="1066"/>
      <c r="I14113" s="1063"/>
      <c r="J14113" s="1063"/>
      <c r="K14113" s="1063"/>
      <c r="L14113" s="1063"/>
    </row>
    <row r="14114" spans="5:12" x14ac:dyDescent="0.2">
      <c r="E14114" s="1063"/>
      <c r="H14114" s="1066"/>
      <c r="I14114" s="1063"/>
      <c r="J14114" s="1063"/>
      <c r="K14114" s="1063"/>
      <c r="L14114" s="1063"/>
    </row>
    <row r="14115" spans="5:12" x14ac:dyDescent="0.2">
      <c r="E14115" s="1063"/>
      <c r="H14115" s="1066"/>
      <c r="I14115" s="1063"/>
      <c r="J14115" s="1063"/>
      <c r="K14115" s="1063"/>
      <c r="L14115" s="1063"/>
    </row>
    <row r="14116" spans="5:12" x14ac:dyDescent="0.2">
      <c r="E14116" s="1063"/>
      <c r="H14116" s="1066"/>
      <c r="I14116" s="1063"/>
      <c r="J14116" s="1063"/>
      <c r="K14116" s="1063"/>
      <c r="L14116" s="1063"/>
    </row>
    <row r="14117" spans="5:12" x14ac:dyDescent="0.2">
      <c r="E14117" s="1063"/>
      <c r="H14117" s="1066"/>
      <c r="I14117" s="1063"/>
      <c r="J14117" s="1063"/>
      <c r="K14117" s="1063"/>
      <c r="L14117" s="1063"/>
    </row>
    <row r="14118" spans="5:12" x14ac:dyDescent="0.2">
      <c r="E14118" s="1063"/>
      <c r="H14118" s="1066"/>
      <c r="I14118" s="1063"/>
      <c r="J14118" s="1063"/>
      <c r="K14118" s="1063"/>
      <c r="L14118" s="1063"/>
    </row>
    <row r="14119" spans="5:12" x14ac:dyDescent="0.2">
      <c r="E14119" s="1063"/>
      <c r="H14119" s="1066"/>
      <c r="I14119" s="1063"/>
      <c r="J14119" s="1063"/>
      <c r="K14119" s="1063"/>
      <c r="L14119" s="1063"/>
    </row>
    <row r="14120" spans="5:12" x14ac:dyDescent="0.2">
      <c r="E14120" s="1063"/>
      <c r="H14120" s="1066"/>
      <c r="I14120" s="1063"/>
      <c r="J14120" s="1063"/>
      <c r="K14120" s="1063"/>
      <c r="L14120" s="1063"/>
    </row>
    <row r="14121" spans="5:12" x14ac:dyDescent="0.2">
      <c r="E14121" s="1063"/>
      <c r="H14121" s="1066"/>
      <c r="I14121" s="1063"/>
      <c r="J14121" s="1063"/>
      <c r="K14121" s="1063"/>
      <c r="L14121" s="1063"/>
    </row>
    <row r="14122" spans="5:12" x14ac:dyDescent="0.2">
      <c r="E14122" s="1063"/>
      <c r="H14122" s="1066"/>
      <c r="I14122" s="1063"/>
      <c r="J14122" s="1063"/>
      <c r="K14122" s="1063"/>
      <c r="L14122" s="1063"/>
    </row>
    <row r="14123" spans="5:12" x14ac:dyDescent="0.2">
      <c r="E14123" s="1063"/>
      <c r="H14123" s="1066"/>
      <c r="I14123" s="1063"/>
      <c r="J14123" s="1063"/>
      <c r="K14123" s="1063"/>
      <c r="L14123" s="1063"/>
    </row>
    <row r="14124" spans="5:12" x14ac:dyDescent="0.2">
      <c r="E14124" s="1063"/>
      <c r="H14124" s="1066"/>
      <c r="I14124" s="1063"/>
      <c r="J14124" s="1063"/>
      <c r="K14124" s="1063"/>
      <c r="L14124" s="1063"/>
    </row>
    <row r="14125" spans="5:12" x14ac:dyDescent="0.2">
      <c r="E14125" s="1063"/>
      <c r="H14125" s="1066"/>
      <c r="I14125" s="1063"/>
      <c r="J14125" s="1063"/>
      <c r="K14125" s="1063"/>
      <c r="L14125" s="1063"/>
    </row>
    <row r="14126" spans="5:12" x14ac:dyDescent="0.2">
      <c r="E14126" s="1063"/>
      <c r="H14126" s="1066"/>
      <c r="I14126" s="1063"/>
      <c r="J14126" s="1063"/>
      <c r="K14126" s="1063"/>
      <c r="L14126" s="1063"/>
    </row>
    <row r="14127" spans="5:12" x14ac:dyDescent="0.2">
      <c r="E14127" s="1063"/>
      <c r="H14127" s="1066"/>
      <c r="I14127" s="1063"/>
      <c r="J14127" s="1063"/>
      <c r="K14127" s="1063"/>
      <c r="L14127" s="1063"/>
    </row>
    <row r="14128" spans="5:12" x14ac:dyDescent="0.2">
      <c r="E14128" s="1063"/>
      <c r="H14128" s="1066"/>
      <c r="I14128" s="1063"/>
      <c r="J14128" s="1063"/>
      <c r="K14128" s="1063"/>
      <c r="L14128" s="1063"/>
    </row>
    <row r="14129" spans="5:12" x14ac:dyDescent="0.2">
      <c r="E14129" s="1063"/>
      <c r="H14129" s="1066"/>
      <c r="I14129" s="1063"/>
      <c r="J14129" s="1063"/>
      <c r="K14129" s="1063"/>
      <c r="L14129" s="1063"/>
    </row>
    <row r="14130" spans="5:12" x14ac:dyDescent="0.2">
      <c r="E14130" s="1063"/>
      <c r="H14130" s="1066"/>
      <c r="I14130" s="1063"/>
      <c r="J14130" s="1063"/>
      <c r="K14130" s="1063"/>
      <c r="L14130" s="1063"/>
    </row>
    <row r="14131" spans="5:12" x14ac:dyDescent="0.2">
      <c r="E14131" s="1063"/>
      <c r="H14131" s="1066"/>
      <c r="I14131" s="1063"/>
      <c r="J14131" s="1063"/>
      <c r="K14131" s="1063"/>
      <c r="L14131" s="1063"/>
    </row>
    <row r="14132" spans="5:12" x14ac:dyDescent="0.2">
      <c r="E14132" s="1063"/>
      <c r="H14132" s="1066"/>
      <c r="I14132" s="1063"/>
      <c r="J14132" s="1063"/>
      <c r="K14132" s="1063"/>
      <c r="L14132" s="1063"/>
    </row>
    <row r="14133" spans="5:12" x14ac:dyDescent="0.2">
      <c r="E14133" s="1063"/>
      <c r="H14133" s="1066"/>
      <c r="I14133" s="1063"/>
      <c r="J14133" s="1063"/>
      <c r="K14133" s="1063"/>
      <c r="L14133" s="1063"/>
    </row>
    <row r="14134" spans="5:12" x14ac:dyDescent="0.2">
      <c r="E14134" s="1063"/>
      <c r="H14134" s="1066"/>
      <c r="I14134" s="1063"/>
      <c r="J14134" s="1063"/>
      <c r="K14134" s="1063"/>
      <c r="L14134" s="1063"/>
    </row>
    <row r="14135" spans="5:12" x14ac:dyDescent="0.2">
      <c r="E14135" s="1063"/>
      <c r="H14135" s="1066"/>
      <c r="I14135" s="1063"/>
      <c r="J14135" s="1063"/>
      <c r="K14135" s="1063"/>
      <c r="L14135" s="1063"/>
    </row>
    <row r="14136" spans="5:12" x14ac:dyDescent="0.2">
      <c r="E14136" s="1063"/>
      <c r="H14136" s="1066"/>
      <c r="I14136" s="1063"/>
      <c r="J14136" s="1063"/>
      <c r="K14136" s="1063"/>
      <c r="L14136" s="1063"/>
    </row>
    <row r="14137" spans="5:12" x14ac:dyDescent="0.2">
      <c r="E14137" s="1063"/>
      <c r="H14137" s="1066"/>
      <c r="I14137" s="1063"/>
      <c r="J14137" s="1063"/>
      <c r="K14137" s="1063"/>
      <c r="L14137" s="1063"/>
    </row>
    <row r="14138" spans="5:12" x14ac:dyDescent="0.2">
      <c r="E14138" s="1063"/>
      <c r="H14138" s="1066"/>
      <c r="I14138" s="1063"/>
      <c r="J14138" s="1063"/>
      <c r="K14138" s="1063"/>
      <c r="L14138" s="1063"/>
    </row>
    <row r="14139" spans="5:12" x14ac:dyDescent="0.2">
      <c r="E14139" s="1063"/>
      <c r="H14139" s="1066"/>
      <c r="I14139" s="1063"/>
      <c r="J14139" s="1063"/>
      <c r="K14139" s="1063"/>
      <c r="L14139" s="1063"/>
    </row>
    <row r="14140" spans="5:12" x14ac:dyDescent="0.2">
      <c r="E14140" s="1063"/>
      <c r="H14140" s="1066"/>
      <c r="I14140" s="1063"/>
      <c r="J14140" s="1063"/>
      <c r="K14140" s="1063"/>
      <c r="L14140" s="1063"/>
    </row>
    <row r="14141" spans="5:12" x14ac:dyDescent="0.2">
      <c r="E14141" s="1063"/>
      <c r="H14141" s="1066"/>
      <c r="I14141" s="1063"/>
      <c r="J14141" s="1063"/>
      <c r="K14141" s="1063"/>
      <c r="L14141" s="1063"/>
    </row>
    <row r="14142" spans="5:12" x14ac:dyDescent="0.2">
      <c r="E14142" s="1063"/>
      <c r="H14142" s="1066"/>
      <c r="I14142" s="1063"/>
      <c r="J14142" s="1063"/>
      <c r="K14142" s="1063"/>
      <c r="L14142" s="1063"/>
    </row>
    <row r="14143" spans="5:12" x14ac:dyDescent="0.2">
      <c r="E14143" s="1063"/>
      <c r="H14143" s="1066"/>
      <c r="I14143" s="1063"/>
      <c r="J14143" s="1063"/>
      <c r="K14143" s="1063"/>
      <c r="L14143" s="1063"/>
    </row>
    <row r="14144" spans="5:12" x14ac:dyDescent="0.2">
      <c r="E14144" s="1063"/>
      <c r="H14144" s="1066"/>
      <c r="I14144" s="1063"/>
      <c r="J14144" s="1063"/>
      <c r="K14144" s="1063"/>
      <c r="L14144" s="1063"/>
    </row>
    <row r="14145" spans="5:12" x14ac:dyDescent="0.2">
      <c r="E14145" s="1063"/>
      <c r="H14145" s="1066"/>
      <c r="I14145" s="1063"/>
      <c r="J14145" s="1063"/>
      <c r="K14145" s="1063"/>
      <c r="L14145" s="1063"/>
    </row>
    <row r="14146" spans="5:12" x14ac:dyDescent="0.2">
      <c r="E14146" s="1063"/>
      <c r="H14146" s="1066"/>
      <c r="I14146" s="1063"/>
      <c r="J14146" s="1063"/>
      <c r="K14146" s="1063"/>
      <c r="L14146" s="1063"/>
    </row>
    <row r="14147" spans="5:12" x14ac:dyDescent="0.2">
      <c r="E14147" s="1063"/>
      <c r="H14147" s="1066"/>
      <c r="I14147" s="1063"/>
      <c r="J14147" s="1063"/>
      <c r="K14147" s="1063"/>
      <c r="L14147" s="1063"/>
    </row>
    <row r="14148" spans="5:12" x14ac:dyDescent="0.2">
      <c r="E14148" s="1063"/>
      <c r="H14148" s="1066"/>
      <c r="I14148" s="1063"/>
      <c r="J14148" s="1063"/>
      <c r="K14148" s="1063"/>
      <c r="L14148" s="1063"/>
    </row>
    <row r="14149" spans="5:12" x14ac:dyDescent="0.2">
      <c r="E14149" s="1063"/>
      <c r="H14149" s="1066"/>
      <c r="I14149" s="1063"/>
      <c r="J14149" s="1063"/>
      <c r="K14149" s="1063"/>
      <c r="L14149" s="1063"/>
    </row>
    <row r="14150" spans="5:12" x14ac:dyDescent="0.2">
      <c r="E14150" s="1063"/>
      <c r="H14150" s="1066"/>
      <c r="I14150" s="1063"/>
      <c r="J14150" s="1063"/>
      <c r="K14150" s="1063"/>
      <c r="L14150" s="1063"/>
    </row>
    <row r="14151" spans="5:12" x14ac:dyDescent="0.2">
      <c r="E14151" s="1063"/>
      <c r="H14151" s="1066"/>
      <c r="I14151" s="1063"/>
      <c r="J14151" s="1063"/>
      <c r="K14151" s="1063"/>
      <c r="L14151" s="1063"/>
    </row>
    <row r="14152" spans="5:12" x14ac:dyDescent="0.2">
      <c r="E14152" s="1063"/>
      <c r="H14152" s="1066"/>
      <c r="I14152" s="1063"/>
      <c r="J14152" s="1063"/>
      <c r="K14152" s="1063"/>
      <c r="L14152" s="1063"/>
    </row>
    <row r="14153" spans="5:12" x14ac:dyDescent="0.2">
      <c r="E14153" s="1063"/>
      <c r="H14153" s="1066"/>
      <c r="I14153" s="1063"/>
      <c r="J14153" s="1063"/>
      <c r="K14153" s="1063"/>
      <c r="L14153" s="1063"/>
    </row>
    <row r="14154" spans="5:12" x14ac:dyDescent="0.2">
      <c r="E14154" s="1063"/>
      <c r="H14154" s="1066"/>
      <c r="I14154" s="1063"/>
      <c r="J14154" s="1063"/>
      <c r="K14154" s="1063"/>
      <c r="L14154" s="1063"/>
    </row>
    <row r="14155" spans="5:12" x14ac:dyDescent="0.2">
      <c r="E14155" s="1063"/>
      <c r="H14155" s="1066"/>
      <c r="I14155" s="1063"/>
      <c r="J14155" s="1063"/>
      <c r="K14155" s="1063"/>
      <c r="L14155" s="1063"/>
    </row>
    <row r="14156" spans="5:12" x14ac:dyDescent="0.2">
      <c r="E14156" s="1063"/>
      <c r="H14156" s="1066"/>
      <c r="I14156" s="1063"/>
      <c r="J14156" s="1063"/>
      <c r="K14156" s="1063"/>
      <c r="L14156" s="1063"/>
    </row>
    <row r="14157" spans="5:12" x14ac:dyDescent="0.2">
      <c r="E14157" s="1063"/>
      <c r="H14157" s="1066"/>
      <c r="I14157" s="1063"/>
      <c r="J14157" s="1063"/>
      <c r="K14157" s="1063"/>
      <c r="L14157" s="1063"/>
    </row>
    <row r="14158" spans="5:12" x14ac:dyDescent="0.2">
      <c r="E14158" s="1063"/>
      <c r="H14158" s="1066"/>
      <c r="I14158" s="1063"/>
      <c r="J14158" s="1063"/>
      <c r="K14158" s="1063"/>
      <c r="L14158" s="1063"/>
    </row>
    <row r="14159" spans="5:12" x14ac:dyDescent="0.2">
      <c r="E14159" s="1063"/>
      <c r="H14159" s="1066"/>
      <c r="I14159" s="1063"/>
      <c r="J14159" s="1063"/>
      <c r="K14159" s="1063"/>
      <c r="L14159" s="1063"/>
    </row>
    <row r="14160" spans="5:12" x14ac:dyDescent="0.2">
      <c r="E14160" s="1063"/>
      <c r="H14160" s="1066"/>
      <c r="I14160" s="1063"/>
      <c r="J14160" s="1063"/>
      <c r="K14160" s="1063"/>
      <c r="L14160" s="1063"/>
    </row>
    <row r="14161" spans="5:12" x14ac:dyDescent="0.2">
      <c r="E14161" s="1063"/>
      <c r="H14161" s="1066"/>
      <c r="I14161" s="1063"/>
      <c r="J14161" s="1063"/>
      <c r="K14161" s="1063"/>
      <c r="L14161" s="1063"/>
    </row>
    <row r="14162" spans="5:12" x14ac:dyDescent="0.2">
      <c r="E14162" s="1063"/>
      <c r="H14162" s="1066"/>
      <c r="I14162" s="1063"/>
      <c r="J14162" s="1063"/>
      <c r="K14162" s="1063"/>
      <c r="L14162" s="1063"/>
    </row>
    <row r="14163" spans="5:12" x14ac:dyDescent="0.2">
      <c r="E14163" s="1063"/>
      <c r="H14163" s="1066"/>
      <c r="I14163" s="1063"/>
      <c r="J14163" s="1063"/>
      <c r="K14163" s="1063"/>
      <c r="L14163" s="1063"/>
    </row>
    <row r="14164" spans="5:12" x14ac:dyDescent="0.2">
      <c r="E14164" s="1063"/>
      <c r="H14164" s="1066"/>
      <c r="I14164" s="1063"/>
      <c r="J14164" s="1063"/>
      <c r="K14164" s="1063"/>
      <c r="L14164" s="1063"/>
    </row>
    <row r="14165" spans="5:12" x14ac:dyDescent="0.2">
      <c r="E14165" s="1063"/>
      <c r="H14165" s="1066"/>
      <c r="I14165" s="1063"/>
      <c r="J14165" s="1063"/>
      <c r="K14165" s="1063"/>
      <c r="L14165" s="1063"/>
    </row>
    <row r="14166" spans="5:12" x14ac:dyDescent="0.2">
      <c r="E14166" s="1063"/>
      <c r="H14166" s="1066"/>
      <c r="I14166" s="1063"/>
      <c r="J14166" s="1063"/>
      <c r="K14166" s="1063"/>
      <c r="L14166" s="1063"/>
    </row>
    <row r="14167" spans="5:12" x14ac:dyDescent="0.2">
      <c r="E14167" s="1063"/>
      <c r="H14167" s="1066"/>
      <c r="I14167" s="1063"/>
      <c r="J14167" s="1063"/>
      <c r="K14167" s="1063"/>
      <c r="L14167" s="1063"/>
    </row>
    <row r="14168" spans="5:12" x14ac:dyDescent="0.2">
      <c r="E14168" s="1063"/>
      <c r="H14168" s="1066"/>
      <c r="I14168" s="1063"/>
      <c r="J14168" s="1063"/>
      <c r="K14168" s="1063"/>
      <c r="L14168" s="1063"/>
    </row>
    <row r="14169" spans="5:12" x14ac:dyDescent="0.2">
      <c r="E14169" s="1063"/>
      <c r="H14169" s="1066"/>
      <c r="I14169" s="1063"/>
      <c r="J14169" s="1063"/>
      <c r="K14169" s="1063"/>
      <c r="L14169" s="1063"/>
    </row>
    <row r="14170" spans="5:12" x14ac:dyDescent="0.2">
      <c r="E14170" s="1063"/>
      <c r="H14170" s="1066"/>
      <c r="I14170" s="1063"/>
      <c r="J14170" s="1063"/>
      <c r="K14170" s="1063"/>
      <c r="L14170" s="1063"/>
    </row>
    <row r="14171" spans="5:12" x14ac:dyDescent="0.2">
      <c r="E14171" s="1063"/>
      <c r="H14171" s="1066"/>
      <c r="I14171" s="1063"/>
      <c r="J14171" s="1063"/>
      <c r="K14171" s="1063"/>
      <c r="L14171" s="1063"/>
    </row>
    <row r="14172" spans="5:12" x14ac:dyDescent="0.2">
      <c r="E14172" s="1063"/>
      <c r="H14172" s="1066"/>
      <c r="I14172" s="1063"/>
      <c r="J14172" s="1063"/>
      <c r="K14172" s="1063"/>
      <c r="L14172" s="1063"/>
    </row>
    <row r="14173" spans="5:12" x14ac:dyDescent="0.2">
      <c r="E14173" s="1063"/>
      <c r="H14173" s="1066"/>
      <c r="I14173" s="1063"/>
      <c r="J14173" s="1063"/>
      <c r="K14173" s="1063"/>
      <c r="L14173" s="1063"/>
    </row>
    <row r="14174" spans="5:12" x14ac:dyDescent="0.2">
      <c r="E14174" s="1063"/>
      <c r="H14174" s="1066"/>
      <c r="I14174" s="1063"/>
      <c r="J14174" s="1063"/>
      <c r="K14174" s="1063"/>
      <c r="L14174" s="1063"/>
    </row>
    <row r="14175" spans="5:12" x14ac:dyDescent="0.2">
      <c r="E14175" s="1063"/>
      <c r="H14175" s="1066"/>
      <c r="I14175" s="1063"/>
      <c r="J14175" s="1063"/>
      <c r="K14175" s="1063"/>
      <c r="L14175" s="1063"/>
    </row>
    <row r="14176" spans="5:12" x14ac:dyDescent="0.2">
      <c r="E14176" s="1063"/>
      <c r="H14176" s="1066"/>
      <c r="I14176" s="1063"/>
      <c r="J14176" s="1063"/>
      <c r="K14176" s="1063"/>
      <c r="L14176" s="1063"/>
    </row>
    <row r="14177" spans="5:12" x14ac:dyDescent="0.2">
      <c r="E14177" s="1063"/>
      <c r="H14177" s="1066"/>
      <c r="I14177" s="1063"/>
      <c r="J14177" s="1063"/>
      <c r="K14177" s="1063"/>
      <c r="L14177" s="1063"/>
    </row>
    <row r="14178" spans="5:12" x14ac:dyDescent="0.2">
      <c r="E14178" s="1063"/>
      <c r="H14178" s="1066"/>
      <c r="I14178" s="1063"/>
      <c r="J14178" s="1063"/>
      <c r="K14178" s="1063"/>
      <c r="L14178" s="1063"/>
    </row>
    <row r="14179" spans="5:12" x14ac:dyDescent="0.2">
      <c r="E14179" s="1063"/>
      <c r="H14179" s="1066"/>
      <c r="I14179" s="1063"/>
      <c r="J14179" s="1063"/>
      <c r="K14179" s="1063"/>
      <c r="L14179" s="1063"/>
    </row>
    <row r="14180" spans="5:12" x14ac:dyDescent="0.2">
      <c r="E14180" s="1063"/>
      <c r="H14180" s="1066"/>
      <c r="I14180" s="1063"/>
      <c r="J14180" s="1063"/>
      <c r="K14180" s="1063"/>
      <c r="L14180" s="1063"/>
    </row>
    <row r="14181" spans="5:12" x14ac:dyDescent="0.2">
      <c r="E14181" s="1063"/>
      <c r="H14181" s="1066"/>
      <c r="I14181" s="1063"/>
      <c r="J14181" s="1063"/>
      <c r="K14181" s="1063"/>
      <c r="L14181" s="1063"/>
    </row>
    <row r="14182" spans="5:12" x14ac:dyDescent="0.2">
      <c r="E14182" s="1063"/>
      <c r="H14182" s="1066"/>
      <c r="I14182" s="1063"/>
      <c r="J14182" s="1063"/>
      <c r="K14182" s="1063"/>
      <c r="L14182" s="1063"/>
    </row>
    <row r="14183" spans="5:12" x14ac:dyDescent="0.2">
      <c r="E14183" s="1063"/>
      <c r="H14183" s="1066"/>
      <c r="I14183" s="1063"/>
      <c r="J14183" s="1063"/>
      <c r="K14183" s="1063"/>
      <c r="L14183" s="1063"/>
    </row>
    <row r="14184" spans="5:12" x14ac:dyDescent="0.2">
      <c r="E14184" s="1063"/>
      <c r="H14184" s="1066"/>
      <c r="I14184" s="1063"/>
      <c r="J14184" s="1063"/>
      <c r="K14184" s="1063"/>
      <c r="L14184" s="1063"/>
    </row>
    <row r="14185" spans="5:12" x14ac:dyDescent="0.2">
      <c r="E14185" s="1063"/>
      <c r="H14185" s="1066"/>
      <c r="I14185" s="1063"/>
      <c r="J14185" s="1063"/>
      <c r="K14185" s="1063"/>
      <c r="L14185" s="1063"/>
    </row>
    <row r="14186" spans="5:12" x14ac:dyDescent="0.2">
      <c r="E14186" s="1063"/>
      <c r="H14186" s="1066"/>
      <c r="I14186" s="1063"/>
      <c r="J14186" s="1063"/>
      <c r="K14186" s="1063"/>
      <c r="L14186" s="1063"/>
    </row>
    <row r="14187" spans="5:12" x14ac:dyDescent="0.2">
      <c r="E14187" s="1063"/>
      <c r="H14187" s="1066"/>
      <c r="I14187" s="1063"/>
      <c r="J14187" s="1063"/>
      <c r="K14187" s="1063"/>
      <c r="L14187" s="1063"/>
    </row>
    <row r="14188" spans="5:12" x14ac:dyDescent="0.2">
      <c r="E14188" s="1063"/>
      <c r="H14188" s="1066"/>
      <c r="I14188" s="1063"/>
      <c r="J14188" s="1063"/>
      <c r="K14188" s="1063"/>
      <c r="L14188" s="1063"/>
    </row>
    <row r="14189" spans="5:12" x14ac:dyDescent="0.2">
      <c r="E14189" s="1063"/>
      <c r="H14189" s="1066"/>
      <c r="I14189" s="1063"/>
      <c r="J14189" s="1063"/>
      <c r="K14189" s="1063"/>
      <c r="L14189" s="1063"/>
    </row>
    <row r="14190" spans="5:12" x14ac:dyDescent="0.2">
      <c r="E14190" s="1063"/>
      <c r="H14190" s="1066"/>
      <c r="I14190" s="1063"/>
      <c r="J14190" s="1063"/>
      <c r="K14190" s="1063"/>
      <c r="L14190" s="1063"/>
    </row>
    <row r="14191" spans="5:12" x14ac:dyDescent="0.2">
      <c r="E14191" s="1063"/>
      <c r="H14191" s="1066"/>
      <c r="I14191" s="1063"/>
      <c r="J14191" s="1063"/>
      <c r="K14191" s="1063"/>
      <c r="L14191" s="1063"/>
    </row>
    <row r="14192" spans="5:12" x14ac:dyDescent="0.2">
      <c r="E14192" s="1063"/>
      <c r="H14192" s="1066"/>
      <c r="I14192" s="1063"/>
      <c r="J14192" s="1063"/>
      <c r="K14192" s="1063"/>
      <c r="L14192" s="1063"/>
    </row>
    <row r="14193" spans="5:12" x14ac:dyDescent="0.2">
      <c r="E14193" s="1063"/>
      <c r="H14193" s="1066"/>
      <c r="I14193" s="1063"/>
      <c r="J14193" s="1063"/>
      <c r="K14193" s="1063"/>
      <c r="L14193" s="1063"/>
    </row>
    <row r="14194" spans="5:12" x14ac:dyDescent="0.2">
      <c r="E14194" s="1063"/>
      <c r="H14194" s="1066"/>
      <c r="I14194" s="1063"/>
      <c r="J14194" s="1063"/>
      <c r="K14194" s="1063"/>
      <c r="L14194" s="1063"/>
    </row>
    <row r="14195" spans="5:12" x14ac:dyDescent="0.2">
      <c r="E14195" s="1063"/>
      <c r="H14195" s="1066"/>
      <c r="I14195" s="1063"/>
      <c r="J14195" s="1063"/>
      <c r="K14195" s="1063"/>
      <c r="L14195" s="1063"/>
    </row>
    <row r="14196" spans="5:12" x14ac:dyDescent="0.2">
      <c r="E14196" s="1063"/>
      <c r="H14196" s="1066"/>
      <c r="I14196" s="1063"/>
      <c r="J14196" s="1063"/>
      <c r="K14196" s="1063"/>
      <c r="L14196" s="1063"/>
    </row>
    <row r="14197" spans="5:12" x14ac:dyDescent="0.2">
      <c r="E14197" s="1063"/>
      <c r="H14197" s="1066"/>
      <c r="I14197" s="1063"/>
      <c r="J14197" s="1063"/>
      <c r="K14197" s="1063"/>
      <c r="L14197" s="1063"/>
    </row>
    <row r="14198" spans="5:12" x14ac:dyDescent="0.2">
      <c r="E14198" s="1063"/>
      <c r="H14198" s="1066"/>
      <c r="I14198" s="1063"/>
      <c r="J14198" s="1063"/>
      <c r="K14198" s="1063"/>
      <c r="L14198" s="1063"/>
    </row>
    <row r="14199" spans="5:12" x14ac:dyDescent="0.2">
      <c r="E14199" s="1063"/>
      <c r="H14199" s="1066"/>
      <c r="I14199" s="1063"/>
      <c r="J14199" s="1063"/>
      <c r="K14199" s="1063"/>
      <c r="L14199" s="1063"/>
    </row>
    <row r="14200" spans="5:12" x14ac:dyDescent="0.2">
      <c r="E14200" s="1063"/>
      <c r="H14200" s="1066"/>
      <c r="I14200" s="1063"/>
      <c r="J14200" s="1063"/>
      <c r="K14200" s="1063"/>
      <c r="L14200" s="1063"/>
    </row>
    <row r="14201" spans="5:12" x14ac:dyDescent="0.2">
      <c r="E14201" s="1063"/>
      <c r="H14201" s="1066"/>
      <c r="I14201" s="1063"/>
      <c r="J14201" s="1063"/>
      <c r="K14201" s="1063"/>
      <c r="L14201" s="1063"/>
    </row>
    <row r="14202" spans="5:12" x14ac:dyDescent="0.2">
      <c r="E14202" s="1063"/>
      <c r="H14202" s="1066"/>
      <c r="I14202" s="1063"/>
      <c r="J14202" s="1063"/>
      <c r="K14202" s="1063"/>
      <c r="L14202" s="1063"/>
    </row>
    <row r="14203" spans="5:12" x14ac:dyDescent="0.2">
      <c r="E14203" s="1063"/>
      <c r="H14203" s="1066"/>
      <c r="I14203" s="1063"/>
      <c r="J14203" s="1063"/>
      <c r="K14203" s="1063"/>
      <c r="L14203" s="1063"/>
    </row>
    <row r="14204" spans="5:12" x14ac:dyDescent="0.2">
      <c r="E14204" s="1063"/>
      <c r="H14204" s="1066"/>
      <c r="I14204" s="1063"/>
      <c r="J14204" s="1063"/>
      <c r="K14204" s="1063"/>
      <c r="L14204" s="1063"/>
    </row>
    <row r="14205" spans="5:12" x14ac:dyDescent="0.2">
      <c r="E14205" s="1063"/>
      <c r="H14205" s="1066"/>
      <c r="I14205" s="1063"/>
      <c r="J14205" s="1063"/>
      <c r="K14205" s="1063"/>
      <c r="L14205" s="1063"/>
    </row>
    <row r="14206" spans="5:12" x14ac:dyDescent="0.2">
      <c r="E14206" s="1063"/>
      <c r="H14206" s="1066"/>
      <c r="I14206" s="1063"/>
      <c r="J14206" s="1063"/>
      <c r="K14206" s="1063"/>
      <c r="L14206" s="1063"/>
    </row>
    <row r="14207" spans="5:12" x14ac:dyDescent="0.2">
      <c r="E14207" s="1063"/>
      <c r="H14207" s="1066"/>
      <c r="I14207" s="1063"/>
      <c r="J14207" s="1063"/>
      <c r="K14207" s="1063"/>
      <c r="L14207" s="1063"/>
    </row>
    <row r="14208" spans="5:12" x14ac:dyDescent="0.2">
      <c r="E14208" s="1063"/>
      <c r="H14208" s="1066"/>
      <c r="I14208" s="1063"/>
      <c r="J14208" s="1063"/>
      <c r="K14208" s="1063"/>
      <c r="L14208" s="1063"/>
    </row>
    <row r="14209" spans="5:12" x14ac:dyDescent="0.2">
      <c r="E14209" s="1063"/>
      <c r="H14209" s="1066"/>
      <c r="I14209" s="1063"/>
      <c r="J14209" s="1063"/>
      <c r="K14209" s="1063"/>
      <c r="L14209" s="1063"/>
    </row>
    <row r="14210" spans="5:12" x14ac:dyDescent="0.2">
      <c r="E14210" s="1063"/>
      <c r="H14210" s="1066"/>
      <c r="I14210" s="1063"/>
      <c r="J14210" s="1063"/>
      <c r="K14210" s="1063"/>
      <c r="L14210" s="1063"/>
    </row>
    <row r="14211" spans="5:12" x14ac:dyDescent="0.2">
      <c r="E14211" s="1063"/>
      <c r="H14211" s="1066"/>
      <c r="I14211" s="1063"/>
      <c r="J14211" s="1063"/>
      <c r="K14211" s="1063"/>
      <c r="L14211" s="1063"/>
    </row>
    <row r="14212" spans="5:12" x14ac:dyDescent="0.2">
      <c r="E14212" s="1063"/>
      <c r="H14212" s="1066"/>
      <c r="I14212" s="1063"/>
      <c r="J14212" s="1063"/>
      <c r="K14212" s="1063"/>
      <c r="L14212" s="1063"/>
    </row>
    <row r="14213" spans="5:12" x14ac:dyDescent="0.2">
      <c r="E14213" s="1063"/>
      <c r="H14213" s="1066"/>
      <c r="I14213" s="1063"/>
      <c r="J14213" s="1063"/>
      <c r="K14213" s="1063"/>
      <c r="L14213" s="1063"/>
    </row>
    <row r="14214" spans="5:12" x14ac:dyDescent="0.2">
      <c r="E14214" s="1063"/>
      <c r="H14214" s="1066"/>
      <c r="I14214" s="1063"/>
      <c r="J14214" s="1063"/>
      <c r="K14214" s="1063"/>
      <c r="L14214" s="1063"/>
    </row>
    <row r="14215" spans="5:12" x14ac:dyDescent="0.2">
      <c r="E14215" s="1063"/>
      <c r="H14215" s="1066"/>
      <c r="I14215" s="1063"/>
      <c r="J14215" s="1063"/>
      <c r="K14215" s="1063"/>
      <c r="L14215" s="1063"/>
    </row>
    <row r="14216" spans="5:12" x14ac:dyDescent="0.2">
      <c r="E14216" s="1063"/>
      <c r="H14216" s="1066"/>
      <c r="I14216" s="1063"/>
      <c r="J14216" s="1063"/>
      <c r="K14216" s="1063"/>
      <c r="L14216" s="1063"/>
    </row>
    <row r="14217" spans="5:12" x14ac:dyDescent="0.2">
      <c r="E14217" s="1063"/>
      <c r="H14217" s="1066"/>
      <c r="I14217" s="1063"/>
      <c r="J14217" s="1063"/>
      <c r="K14217" s="1063"/>
      <c r="L14217" s="1063"/>
    </row>
    <row r="14218" spans="5:12" x14ac:dyDescent="0.2">
      <c r="E14218" s="1063"/>
      <c r="H14218" s="1066"/>
      <c r="I14218" s="1063"/>
      <c r="J14218" s="1063"/>
      <c r="K14218" s="1063"/>
      <c r="L14218" s="1063"/>
    </row>
    <row r="14219" spans="5:12" x14ac:dyDescent="0.2">
      <c r="E14219" s="1063"/>
      <c r="H14219" s="1066"/>
      <c r="I14219" s="1063"/>
      <c r="J14219" s="1063"/>
      <c r="K14219" s="1063"/>
      <c r="L14219" s="1063"/>
    </row>
    <row r="14220" spans="5:12" x14ac:dyDescent="0.2">
      <c r="E14220" s="1063"/>
      <c r="H14220" s="1066"/>
      <c r="I14220" s="1063"/>
      <c r="J14220" s="1063"/>
      <c r="K14220" s="1063"/>
      <c r="L14220" s="1063"/>
    </row>
    <row r="14221" spans="5:12" x14ac:dyDescent="0.2">
      <c r="E14221" s="1063"/>
      <c r="H14221" s="1066"/>
      <c r="I14221" s="1063"/>
      <c r="J14221" s="1063"/>
      <c r="K14221" s="1063"/>
      <c r="L14221" s="1063"/>
    </row>
    <row r="14222" spans="5:12" x14ac:dyDescent="0.2">
      <c r="E14222" s="1063"/>
      <c r="H14222" s="1066"/>
      <c r="I14222" s="1063"/>
      <c r="J14222" s="1063"/>
      <c r="K14222" s="1063"/>
      <c r="L14222" s="1063"/>
    </row>
    <row r="14223" spans="5:12" x14ac:dyDescent="0.2">
      <c r="E14223" s="1063"/>
      <c r="H14223" s="1066"/>
      <c r="I14223" s="1063"/>
      <c r="J14223" s="1063"/>
      <c r="K14223" s="1063"/>
      <c r="L14223" s="1063"/>
    </row>
    <row r="14224" spans="5:12" x14ac:dyDescent="0.2">
      <c r="E14224" s="1063"/>
      <c r="H14224" s="1066"/>
      <c r="I14224" s="1063"/>
      <c r="J14224" s="1063"/>
      <c r="K14224" s="1063"/>
      <c r="L14224" s="1063"/>
    </row>
    <row r="14225" spans="5:12" x14ac:dyDescent="0.2">
      <c r="E14225" s="1063"/>
      <c r="H14225" s="1066"/>
      <c r="I14225" s="1063"/>
      <c r="J14225" s="1063"/>
      <c r="K14225" s="1063"/>
      <c r="L14225" s="1063"/>
    </row>
    <row r="14226" spans="5:12" x14ac:dyDescent="0.2">
      <c r="E14226" s="1063"/>
      <c r="H14226" s="1066"/>
      <c r="I14226" s="1063"/>
      <c r="J14226" s="1063"/>
      <c r="K14226" s="1063"/>
      <c r="L14226" s="1063"/>
    </row>
    <row r="14227" spans="5:12" x14ac:dyDescent="0.2">
      <c r="E14227" s="1063"/>
      <c r="H14227" s="1066"/>
      <c r="I14227" s="1063"/>
      <c r="J14227" s="1063"/>
      <c r="K14227" s="1063"/>
      <c r="L14227" s="1063"/>
    </row>
    <row r="14228" spans="5:12" x14ac:dyDescent="0.2">
      <c r="E14228" s="1063"/>
      <c r="H14228" s="1066"/>
      <c r="I14228" s="1063"/>
      <c r="J14228" s="1063"/>
      <c r="K14228" s="1063"/>
      <c r="L14228" s="1063"/>
    </row>
    <row r="14229" spans="5:12" x14ac:dyDescent="0.2">
      <c r="E14229" s="1063"/>
      <c r="H14229" s="1066"/>
      <c r="I14229" s="1063"/>
      <c r="J14229" s="1063"/>
      <c r="K14229" s="1063"/>
      <c r="L14229" s="1063"/>
    </row>
    <row r="14230" spans="5:12" x14ac:dyDescent="0.2">
      <c r="E14230" s="1063"/>
      <c r="H14230" s="1066"/>
      <c r="I14230" s="1063"/>
      <c r="J14230" s="1063"/>
      <c r="K14230" s="1063"/>
      <c r="L14230" s="1063"/>
    </row>
    <row r="14231" spans="5:12" x14ac:dyDescent="0.2">
      <c r="E14231" s="1063"/>
      <c r="H14231" s="1066"/>
      <c r="I14231" s="1063"/>
      <c r="J14231" s="1063"/>
      <c r="K14231" s="1063"/>
      <c r="L14231" s="1063"/>
    </row>
    <row r="14232" spans="5:12" x14ac:dyDescent="0.2">
      <c r="E14232" s="1063"/>
      <c r="H14232" s="1066"/>
      <c r="I14232" s="1063"/>
      <c r="J14232" s="1063"/>
      <c r="K14232" s="1063"/>
      <c r="L14232" s="1063"/>
    </row>
    <row r="14233" spans="5:12" x14ac:dyDescent="0.2">
      <c r="E14233" s="1063"/>
      <c r="H14233" s="1066"/>
      <c r="I14233" s="1063"/>
      <c r="J14233" s="1063"/>
      <c r="K14233" s="1063"/>
      <c r="L14233" s="1063"/>
    </row>
    <row r="14234" spans="5:12" x14ac:dyDescent="0.2">
      <c r="E14234" s="1063"/>
      <c r="H14234" s="1066"/>
      <c r="I14234" s="1063"/>
      <c r="J14234" s="1063"/>
      <c r="K14234" s="1063"/>
      <c r="L14234" s="1063"/>
    </row>
    <row r="14235" spans="5:12" x14ac:dyDescent="0.2">
      <c r="E14235" s="1063"/>
      <c r="H14235" s="1066"/>
      <c r="I14235" s="1063"/>
      <c r="J14235" s="1063"/>
      <c r="K14235" s="1063"/>
      <c r="L14235" s="1063"/>
    </row>
    <row r="14236" spans="5:12" x14ac:dyDescent="0.2">
      <c r="E14236" s="1063"/>
      <c r="H14236" s="1066"/>
      <c r="I14236" s="1063"/>
      <c r="J14236" s="1063"/>
      <c r="K14236" s="1063"/>
      <c r="L14236" s="1063"/>
    </row>
    <row r="14237" spans="5:12" x14ac:dyDescent="0.2">
      <c r="E14237" s="1063"/>
      <c r="H14237" s="1066"/>
      <c r="I14237" s="1063"/>
      <c r="J14237" s="1063"/>
      <c r="K14237" s="1063"/>
      <c r="L14237" s="1063"/>
    </row>
    <row r="14238" spans="5:12" x14ac:dyDescent="0.2">
      <c r="E14238" s="1063"/>
      <c r="H14238" s="1066"/>
      <c r="I14238" s="1063"/>
      <c r="J14238" s="1063"/>
      <c r="K14238" s="1063"/>
      <c r="L14238" s="1063"/>
    </row>
    <row r="14239" spans="5:12" x14ac:dyDescent="0.2">
      <c r="E14239" s="1063"/>
      <c r="H14239" s="1066"/>
      <c r="I14239" s="1063"/>
      <c r="J14239" s="1063"/>
      <c r="K14239" s="1063"/>
      <c r="L14239" s="1063"/>
    </row>
    <row r="14240" spans="5:12" x14ac:dyDescent="0.2">
      <c r="E14240" s="1063"/>
      <c r="H14240" s="1066"/>
      <c r="I14240" s="1063"/>
      <c r="J14240" s="1063"/>
      <c r="K14240" s="1063"/>
      <c r="L14240" s="1063"/>
    </row>
    <row r="14241" spans="5:12" x14ac:dyDescent="0.2">
      <c r="E14241" s="1063"/>
      <c r="H14241" s="1066"/>
      <c r="I14241" s="1063"/>
      <c r="J14241" s="1063"/>
      <c r="K14241" s="1063"/>
      <c r="L14241" s="1063"/>
    </row>
    <row r="14242" spans="5:12" x14ac:dyDescent="0.2">
      <c r="E14242" s="1063"/>
      <c r="H14242" s="1066"/>
      <c r="I14242" s="1063"/>
      <c r="J14242" s="1063"/>
      <c r="K14242" s="1063"/>
      <c r="L14242" s="1063"/>
    </row>
    <row r="14243" spans="5:12" x14ac:dyDescent="0.2">
      <c r="E14243" s="1063"/>
      <c r="H14243" s="1066"/>
      <c r="I14243" s="1063"/>
      <c r="J14243" s="1063"/>
      <c r="K14243" s="1063"/>
      <c r="L14243" s="1063"/>
    </row>
    <row r="14244" spans="5:12" x14ac:dyDescent="0.2">
      <c r="E14244" s="1063"/>
      <c r="H14244" s="1066"/>
      <c r="I14244" s="1063"/>
      <c r="J14244" s="1063"/>
      <c r="K14244" s="1063"/>
      <c r="L14244" s="1063"/>
    </row>
    <row r="14245" spans="5:12" x14ac:dyDescent="0.2">
      <c r="E14245" s="1063"/>
      <c r="H14245" s="1066"/>
      <c r="I14245" s="1063"/>
      <c r="J14245" s="1063"/>
      <c r="K14245" s="1063"/>
      <c r="L14245" s="1063"/>
    </row>
    <row r="14246" spans="5:12" x14ac:dyDescent="0.2">
      <c r="E14246" s="1063"/>
      <c r="H14246" s="1066"/>
      <c r="I14246" s="1063"/>
      <c r="J14246" s="1063"/>
      <c r="K14246" s="1063"/>
      <c r="L14246" s="1063"/>
    </row>
    <row r="14247" spans="5:12" x14ac:dyDescent="0.2">
      <c r="E14247" s="1063"/>
      <c r="H14247" s="1066"/>
      <c r="I14247" s="1063"/>
      <c r="J14247" s="1063"/>
      <c r="K14247" s="1063"/>
      <c r="L14247" s="1063"/>
    </row>
    <row r="14248" spans="5:12" x14ac:dyDescent="0.2">
      <c r="E14248" s="1063"/>
      <c r="H14248" s="1066"/>
      <c r="I14248" s="1063"/>
      <c r="J14248" s="1063"/>
      <c r="K14248" s="1063"/>
      <c r="L14248" s="1063"/>
    </row>
    <row r="14249" spans="5:12" x14ac:dyDescent="0.2">
      <c r="E14249" s="1063"/>
      <c r="H14249" s="1066"/>
      <c r="I14249" s="1063"/>
      <c r="J14249" s="1063"/>
      <c r="K14249" s="1063"/>
      <c r="L14249" s="1063"/>
    </row>
    <row r="14250" spans="5:12" x14ac:dyDescent="0.2">
      <c r="E14250" s="1063"/>
      <c r="H14250" s="1066"/>
      <c r="I14250" s="1063"/>
      <c r="J14250" s="1063"/>
      <c r="K14250" s="1063"/>
      <c r="L14250" s="1063"/>
    </row>
    <row r="14251" spans="5:12" x14ac:dyDescent="0.2">
      <c r="E14251" s="1063"/>
      <c r="H14251" s="1066"/>
      <c r="I14251" s="1063"/>
      <c r="J14251" s="1063"/>
      <c r="K14251" s="1063"/>
      <c r="L14251" s="1063"/>
    </row>
    <row r="14252" spans="5:12" x14ac:dyDescent="0.2">
      <c r="E14252" s="1063"/>
      <c r="H14252" s="1066"/>
      <c r="I14252" s="1063"/>
      <c r="J14252" s="1063"/>
      <c r="K14252" s="1063"/>
      <c r="L14252" s="1063"/>
    </row>
    <row r="14253" spans="5:12" x14ac:dyDescent="0.2">
      <c r="E14253" s="1063"/>
      <c r="H14253" s="1066"/>
      <c r="I14253" s="1063"/>
      <c r="J14253" s="1063"/>
      <c r="K14253" s="1063"/>
      <c r="L14253" s="1063"/>
    </row>
    <row r="14254" spans="5:12" x14ac:dyDescent="0.2">
      <c r="E14254" s="1063"/>
      <c r="H14254" s="1066"/>
      <c r="I14254" s="1063"/>
      <c r="J14254" s="1063"/>
      <c r="K14254" s="1063"/>
      <c r="L14254" s="1063"/>
    </row>
    <row r="14255" spans="5:12" x14ac:dyDescent="0.2">
      <c r="E14255" s="1063"/>
      <c r="H14255" s="1066"/>
      <c r="I14255" s="1063"/>
      <c r="J14255" s="1063"/>
      <c r="K14255" s="1063"/>
      <c r="L14255" s="1063"/>
    </row>
    <row r="14256" spans="5:12" x14ac:dyDescent="0.2">
      <c r="E14256" s="1063"/>
      <c r="H14256" s="1066"/>
      <c r="I14256" s="1063"/>
      <c r="J14256" s="1063"/>
      <c r="K14256" s="1063"/>
      <c r="L14256" s="1063"/>
    </row>
    <row r="14257" spans="5:12" x14ac:dyDescent="0.2">
      <c r="E14257" s="1063"/>
      <c r="H14257" s="1066"/>
      <c r="I14257" s="1063"/>
      <c r="J14257" s="1063"/>
      <c r="K14257" s="1063"/>
      <c r="L14257" s="1063"/>
    </row>
    <row r="14258" spans="5:12" x14ac:dyDescent="0.2">
      <c r="E14258" s="1063"/>
      <c r="H14258" s="1066"/>
      <c r="I14258" s="1063"/>
      <c r="J14258" s="1063"/>
      <c r="K14258" s="1063"/>
      <c r="L14258" s="1063"/>
    </row>
    <row r="14259" spans="5:12" x14ac:dyDescent="0.2">
      <c r="E14259" s="1063"/>
      <c r="H14259" s="1066"/>
      <c r="I14259" s="1063"/>
      <c r="J14259" s="1063"/>
      <c r="K14259" s="1063"/>
      <c r="L14259" s="1063"/>
    </row>
    <row r="14260" spans="5:12" x14ac:dyDescent="0.2">
      <c r="E14260" s="1063"/>
      <c r="H14260" s="1066"/>
      <c r="I14260" s="1063"/>
      <c r="J14260" s="1063"/>
      <c r="K14260" s="1063"/>
      <c r="L14260" s="1063"/>
    </row>
    <row r="14261" spans="5:12" x14ac:dyDescent="0.2">
      <c r="E14261" s="1063"/>
      <c r="H14261" s="1066"/>
      <c r="I14261" s="1063"/>
      <c r="J14261" s="1063"/>
      <c r="K14261" s="1063"/>
      <c r="L14261" s="1063"/>
    </row>
    <row r="14262" spans="5:12" x14ac:dyDescent="0.2">
      <c r="E14262" s="1063"/>
      <c r="H14262" s="1066"/>
      <c r="I14262" s="1063"/>
      <c r="J14262" s="1063"/>
      <c r="K14262" s="1063"/>
      <c r="L14262" s="1063"/>
    </row>
    <row r="14263" spans="5:12" x14ac:dyDescent="0.2">
      <c r="E14263" s="1063"/>
      <c r="H14263" s="1066"/>
      <c r="I14263" s="1063"/>
      <c r="J14263" s="1063"/>
      <c r="K14263" s="1063"/>
      <c r="L14263" s="1063"/>
    </row>
    <row r="14264" spans="5:12" x14ac:dyDescent="0.2">
      <c r="E14264" s="1063"/>
      <c r="H14264" s="1066"/>
      <c r="I14264" s="1063"/>
      <c r="J14264" s="1063"/>
      <c r="K14264" s="1063"/>
      <c r="L14264" s="1063"/>
    </row>
    <row r="14265" spans="5:12" x14ac:dyDescent="0.2">
      <c r="E14265" s="1063"/>
      <c r="H14265" s="1066"/>
      <c r="I14265" s="1063"/>
      <c r="J14265" s="1063"/>
      <c r="K14265" s="1063"/>
      <c r="L14265" s="1063"/>
    </row>
    <row r="14266" spans="5:12" x14ac:dyDescent="0.2">
      <c r="E14266" s="1063"/>
      <c r="H14266" s="1066"/>
      <c r="I14266" s="1063"/>
      <c r="J14266" s="1063"/>
      <c r="K14266" s="1063"/>
      <c r="L14266" s="1063"/>
    </row>
    <row r="14267" spans="5:12" x14ac:dyDescent="0.2">
      <c r="E14267" s="1063"/>
      <c r="H14267" s="1066"/>
      <c r="I14267" s="1063"/>
      <c r="J14267" s="1063"/>
      <c r="K14267" s="1063"/>
      <c r="L14267" s="1063"/>
    </row>
    <row r="14268" spans="5:12" x14ac:dyDescent="0.2">
      <c r="E14268" s="1063"/>
      <c r="H14268" s="1066"/>
      <c r="I14268" s="1063"/>
      <c r="J14268" s="1063"/>
      <c r="K14268" s="1063"/>
      <c r="L14268" s="1063"/>
    </row>
    <row r="14269" spans="5:12" x14ac:dyDescent="0.2">
      <c r="E14269" s="1063"/>
      <c r="H14269" s="1066"/>
      <c r="I14269" s="1063"/>
      <c r="J14269" s="1063"/>
      <c r="K14269" s="1063"/>
      <c r="L14269" s="1063"/>
    </row>
    <row r="14270" spans="5:12" x14ac:dyDescent="0.2">
      <c r="E14270" s="1063"/>
      <c r="H14270" s="1066"/>
      <c r="I14270" s="1063"/>
      <c r="J14270" s="1063"/>
      <c r="K14270" s="1063"/>
      <c r="L14270" s="1063"/>
    </row>
    <row r="14271" spans="5:12" x14ac:dyDescent="0.2">
      <c r="E14271" s="1063"/>
      <c r="H14271" s="1066"/>
      <c r="I14271" s="1063"/>
      <c r="J14271" s="1063"/>
      <c r="K14271" s="1063"/>
      <c r="L14271" s="1063"/>
    </row>
    <row r="14272" spans="5:12" x14ac:dyDescent="0.2">
      <c r="E14272" s="1063"/>
      <c r="H14272" s="1066"/>
      <c r="I14272" s="1063"/>
      <c r="J14272" s="1063"/>
      <c r="K14272" s="1063"/>
      <c r="L14272" s="1063"/>
    </row>
    <row r="14273" spans="5:12" x14ac:dyDescent="0.2">
      <c r="E14273" s="1063"/>
      <c r="H14273" s="1066"/>
      <c r="I14273" s="1063"/>
      <c r="J14273" s="1063"/>
      <c r="K14273" s="1063"/>
      <c r="L14273" s="1063"/>
    </row>
    <row r="14274" spans="5:12" x14ac:dyDescent="0.2">
      <c r="E14274" s="1063"/>
      <c r="H14274" s="1066"/>
      <c r="I14274" s="1063"/>
      <c r="J14274" s="1063"/>
      <c r="K14274" s="1063"/>
      <c r="L14274" s="1063"/>
    </row>
    <row r="14275" spans="5:12" x14ac:dyDescent="0.2">
      <c r="E14275" s="1063"/>
      <c r="H14275" s="1066"/>
      <c r="I14275" s="1063"/>
      <c r="J14275" s="1063"/>
      <c r="K14275" s="1063"/>
      <c r="L14275" s="1063"/>
    </row>
    <row r="14276" spans="5:12" x14ac:dyDescent="0.2">
      <c r="E14276" s="1063"/>
      <c r="H14276" s="1066"/>
      <c r="I14276" s="1063"/>
      <c r="J14276" s="1063"/>
      <c r="K14276" s="1063"/>
      <c r="L14276" s="1063"/>
    </row>
    <row r="14277" spans="5:12" x14ac:dyDescent="0.2">
      <c r="E14277" s="1063"/>
      <c r="H14277" s="1066"/>
      <c r="I14277" s="1063"/>
      <c r="J14277" s="1063"/>
      <c r="K14277" s="1063"/>
      <c r="L14277" s="1063"/>
    </row>
    <row r="14278" spans="5:12" x14ac:dyDescent="0.2">
      <c r="E14278" s="1063"/>
      <c r="H14278" s="1066"/>
      <c r="I14278" s="1063"/>
      <c r="J14278" s="1063"/>
      <c r="K14278" s="1063"/>
      <c r="L14278" s="1063"/>
    </row>
    <row r="14279" spans="5:12" x14ac:dyDescent="0.2">
      <c r="E14279" s="1063"/>
      <c r="H14279" s="1066"/>
      <c r="I14279" s="1063"/>
      <c r="J14279" s="1063"/>
      <c r="K14279" s="1063"/>
      <c r="L14279" s="1063"/>
    </row>
    <row r="14280" spans="5:12" x14ac:dyDescent="0.2">
      <c r="E14280" s="1063"/>
      <c r="H14280" s="1066"/>
      <c r="I14280" s="1063"/>
      <c r="J14280" s="1063"/>
      <c r="K14280" s="1063"/>
      <c r="L14280" s="1063"/>
    </row>
    <row r="14281" spans="5:12" x14ac:dyDescent="0.2">
      <c r="E14281" s="1063"/>
      <c r="H14281" s="1066"/>
      <c r="I14281" s="1063"/>
      <c r="J14281" s="1063"/>
      <c r="K14281" s="1063"/>
      <c r="L14281" s="1063"/>
    </row>
    <row r="14282" spans="5:12" x14ac:dyDescent="0.2">
      <c r="E14282" s="1063"/>
      <c r="H14282" s="1066"/>
      <c r="I14282" s="1063"/>
      <c r="J14282" s="1063"/>
      <c r="K14282" s="1063"/>
      <c r="L14282" s="1063"/>
    </row>
    <row r="14283" spans="5:12" x14ac:dyDescent="0.2">
      <c r="E14283" s="1063"/>
      <c r="H14283" s="1066"/>
      <c r="I14283" s="1063"/>
      <c r="J14283" s="1063"/>
      <c r="K14283" s="1063"/>
      <c r="L14283" s="1063"/>
    </row>
    <row r="14284" spans="5:12" x14ac:dyDescent="0.2">
      <c r="E14284" s="1063"/>
      <c r="H14284" s="1066"/>
      <c r="I14284" s="1063"/>
      <c r="J14284" s="1063"/>
      <c r="K14284" s="1063"/>
      <c r="L14284" s="1063"/>
    </row>
    <row r="14285" spans="5:12" x14ac:dyDescent="0.2">
      <c r="E14285" s="1063"/>
      <c r="H14285" s="1066"/>
      <c r="I14285" s="1063"/>
      <c r="J14285" s="1063"/>
      <c r="K14285" s="1063"/>
      <c r="L14285" s="1063"/>
    </row>
    <row r="14286" spans="5:12" x14ac:dyDescent="0.2">
      <c r="E14286" s="1063"/>
      <c r="H14286" s="1066"/>
      <c r="I14286" s="1063"/>
      <c r="J14286" s="1063"/>
      <c r="K14286" s="1063"/>
      <c r="L14286" s="1063"/>
    </row>
    <row r="14287" spans="5:12" x14ac:dyDescent="0.2">
      <c r="E14287" s="1063"/>
      <c r="H14287" s="1066"/>
      <c r="I14287" s="1063"/>
      <c r="J14287" s="1063"/>
      <c r="K14287" s="1063"/>
      <c r="L14287" s="1063"/>
    </row>
    <row r="14288" spans="5:12" x14ac:dyDescent="0.2">
      <c r="E14288" s="1063"/>
      <c r="H14288" s="1066"/>
      <c r="I14288" s="1063"/>
      <c r="J14288" s="1063"/>
      <c r="K14288" s="1063"/>
      <c r="L14288" s="1063"/>
    </row>
    <row r="14289" spans="5:12" x14ac:dyDescent="0.2">
      <c r="E14289" s="1063"/>
      <c r="H14289" s="1066"/>
      <c r="I14289" s="1063"/>
      <c r="J14289" s="1063"/>
      <c r="K14289" s="1063"/>
      <c r="L14289" s="1063"/>
    </row>
    <row r="14290" spans="5:12" x14ac:dyDescent="0.2">
      <c r="E14290" s="1063"/>
      <c r="H14290" s="1066"/>
      <c r="I14290" s="1063"/>
      <c r="J14290" s="1063"/>
      <c r="K14290" s="1063"/>
      <c r="L14290" s="1063"/>
    </row>
    <row r="14291" spans="5:12" x14ac:dyDescent="0.2">
      <c r="E14291" s="1063"/>
      <c r="H14291" s="1066"/>
      <c r="I14291" s="1063"/>
      <c r="J14291" s="1063"/>
      <c r="K14291" s="1063"/>
      <c r="L14291" s="1063"/>
    </row>
    <row r="14292" spans="5:12" x14ac:dyDescent="0.2">
      <c r="E14292" s="1063"/>
      <c r="H14292" s="1066"/>
      <c r="I14292" s="1063"/>
      <c r="J14292" s="1063"/>
      <c r="K14292" s="1063"/>
      <c r="L14292" s="1063"/>
    </row>
    <row r="14293" spans="5:12" x14ac:dyDescent="0.2">
      <c r="E14293" s="1063"/>
      <c r="H14293" s="1066"/>
      <c r="I14293" s="1063"/>
      <c r="J14293" s="1063"/>
      <c r="K14293" s="1063"/>
      <c r="L14293" s="1063"/>
    </row>
    <row r="14294" spans="5:12" x14ac:dyDescent="0.2">
      <c r="E14294" s="1063"/>
      <c r="H14294" s="1066"/>
      <c r="I14294" s="1063"/>
      <c r="J14294" s="1063"/>
      <c r="K14294" s="1063"/>
      <c r="L14294" s="1063"/>
    </row>
    <row r="14295" spans="5:12" x14ac:dyDescent="0.2">
      <c r="E14295" s="1063"/>
      <c r="H14295" s="1066"/>
      <c r="I14295" s="1063"/>
      <c r="J14295" s="1063"/>
      <c r="K14295" s="1063"/>
      <c r="L14295" s="1063"/>
    </row>
    <row r="14296" spans="5:12" x14ac:dyDescent="0.2">
      <c r="E14296" s="1063"/>
      <c r="H14296" s="1066"/>
      <c r="I14296" s="1063"/>
      <c r="J14296" s="1063"/>
      <c r="K14296" s="1063"/>
      <c r="L14296" s="1063"/>
    </row>
    <row r="14297" spans="5:12" x14ac:dyDescent="0.2">
      <c r="E14297" s="1063"/>
      <c r="H14297" s="1066"/>
      <c r="I14297" s="1063"/>
      <c r="J14297" s="1063"/>
      <c r="K14297" s="1063"/>
      <c r="L14297" s="1063"/>
    </row>
    <row r="14298" spans="5:12" x14ac:dyDescent="0.2">
      <c r="E14298" s="1063"/>
      <c r="H14298" s="1066"/>
      <c r="I14298" s="1063"/>
      <c r="J14298" s="1063"/>
      <c r="K14298" s="1063"/>
      <c r="L14298" s="1063"/>
    </row>
    <row r="14299" spans="5:12" x14ac:dyDescent="0.2">
      <c r="E14299" s="1063"/>
      <c r="H14299" s="1066"/>
      <c r="I14299" s="1063"/>
      <c r="J14299" s="1063"/>
      <c r="K14299" s="1063"/>
      <c r="L14299" s="1063"/>
    </row>
    <row r="14300" spans="5:12" x14ac:dyDescent="0.2">
      <c r="E14300" s="1063"/>
      <c r="H14300" s="1066"/>
      <c r="I14300" s="1063"/>
      <c r="J14300" s="1063"/>
      <c r="K14300" s="1063"/>
      <c r="L14300" s="1063"/>
    </row>
    <row r="14301" spans="5:12" x14ac:dyDescent="0.2">
      <c r="E14301" s="1063"/>
      <c r="H14301" s="1066"/>
      <c r="I14301" s="1063"/>
      <c r="J14301" s="1063"/>
      <c r="K14301" s="1063"/>
      <c r="L14301" s="1063"/>
    </row>
    <row r="14302" spans="5:12" x14ac:dyDescent="0.2">
      <c r="E14302" s="1063"/>
      <c r="H14302" s="1066"/>
      <c r="I14302" s="1063"/>
      <c r="J14302" s="1063"/>
      <c r="K14302" s="1063"/>
      <c r="L14302" s="1063"/>
    </row>
    <row r="14303" spans="5:12" x14ac:dyDescent="0.2">
      <c r="E14303" s="1063"/>
      <c r="H14303" s="1066"/>
      <c r="I14303" s="1063"/>
      <c r="J14303" s="1063"/>
      <c r="K14303" s="1063"/>
      <c r="L14303" s="1063"/>
    </row>
    <row r="14304" spans="5:12" x14ac:dyDescent="0.2">
      <c r="E14304" s="1063"/>
      <c r="H14304" s="1066"/>
      <c r="I14304" s="1063"/>
      <c r="J14304" s="1063"/>
      <c r="K14304" s="1063"/>
      <c r="L14304" s="1063"/>
    </row>
    <row r="14305" spans="5:12" x14ac:dyDescent="0.2">
      <c r="E14305" s="1063"/>
      <c r="H14305" s="1066"/>
      <c r="I14305" s="1063"/>
      <c r="J14305" s="1063"/>
      <c r="K14305" s="1063"/>
      <c r="L14305" s="1063"/>
    </row>
    <row r="14306" spans="5:12" x14ac:dyDescent="0.2">
      <c r="E14306" s="1063"/>
      <c r="H14306" s="1066"/>
      <c r="I14306" s="1063"/>
      <c r="J14306" s="1063"/>
      <c r="K14306" s="1063"/>
      <c r="L14306" s="1063"/>
    </row>
    <row r="14307" spans="5:12" x14ac:dyDescent="0.2">
      <c r="E14307" s="1063"/>
      <c r="H14307" s="1066"/>
      <c r="I14307" s="1063"/>
      <c r="J14307" s="1063"/>
      <c r="K14307" s="1063"/>
      <c r="L14307" s="1063"/>
    </row>
    <row r="14308" spans="5:12" x14ac:dyDescent="0.2">
      <c r="E14308" s="1063"/>
      <c r="H14308" s="1066"/>
      <c r="I14308" s="1063"/>
      <c r="J14308" s="1063"/>
      <c r="K14308" s="1063"/>
      <c r="L14308" s="1063"/>
    </row>
    <row r="14309" spans="5:12" x14ac:dyDescent="0.2">
      <c r="E14309" s="1063"/>
      <c r="H14309" s="1066"/>
      <c r="I14309" s="1063"/>
      <c r="J14309" s="1063"/>
      <c r="K14309" s="1063"/>
      <c r="L14309" s="1063"/>
    </row>
    <row r="14310" spans="5:12" x14ac:dyDescent="0.2">
      <c r="E14310" s="1063"/>
      <c r="H14310" s="1066"/>
      <c r="I14310" s="1063"/>
      <c r="J14310" s="1063"/>
      <c r="K14310" s="1063"/>
      <c r="L14310" s="1063"/>
    </row>
    <row r="14311" spans="5:12" x14ac:dyDescent="0.2">
      <c r="E14311" s="1063"/>
      <c r="H14311" s="1066"/>
      <c r="I14311" s="1063"/>
      <c r="J14311" s="1063"/>
      <c r="K14311" s="1063"/>
      <c r="L14311" s="1063"/>
    </row>
    <row r="14312" spans="5:12" x14ac:dyDescent="0.2">
      <c r="E14312" s="1063"/>
      <c r="H14312" s="1066"/>
      <c r="I14312" s="1063"/>
      <c r="J14312" s="1063"/>
      <c r="K14312" s="1063"/>
      <c r="L14312" s="1063"/>
    </row>
    <row r="14313" spans="5:12" x14ac:dyDescent="0.2">
      <c r="E14313" s="1063"/>
      <c r="H14313" s="1066"/>
      <c r="I14313" s="1063"/>
      <c r="J14313" s="1063"/>
      <c r="K14313" s="1063"/>
      <c r="L14313" s="1063"/>
    </row>
    <row r="14314" spans="5:12" x14ac:dyDescent="0.2">
      <c r="E14314" s="1063"/>
      <c r="H14314" s="1066"/>
      <c r="I14314" s="1063"/>
      <c r="J14314" s="1063"/>
      <c r="K14314" s="1063"/>
      <c r="L14314" s="1063"/>
    </row>
    <row r="14315" spans="5:12" x14ac:dyDescent="0.2">
      <c r="E14315" s="1063"/>
      <c r="H14315" s="1066"/>
      <c r="I14315" s="1063"/>
      <c r="J14315" s="1063"/>
      <c r="K14315" s="1063"/>
      <c r="L14315" s="1063"/>
    </row>
    <row r="14316" spans="5:12" x14ac:dyDescent="0.2">
      <c r="E14316" s="1063"/>
      <c r="H14316" s="1066"/>
      <c r="I14316" s="1063"/>
      <c r="J14316" s="1063"/>
      <c r="K14316" s="1063"/>
      <c r="L14316" s="1063"/>
    </row>
    <row r="14317" spans="5:12" x14ac:dyDescent="0.2">
      <c r="E14317" s="1063"/>
      <c r="H14317" s="1066"/>
      <c r="I14317" s="1063"/>
      <c r="J14317" s="1063"/>
      <c r="K14317" s="1063"/>
      <c r="L14317" s="1063"/>
    </row>
    <row r="14318" spans="5:12" x14ac:dyDescent="0.2">
      <c r="E14318" s="1063"/>
      <c r="H14318" s="1066"/>
      <c r="I14318" s="1063"/>
      <c r="J14318" s="1063"/>
      <c r="K14318" s="1063"/>
      <c r="L14318" s="1063"/>
    </row>
    <row r="14319" spans="5:12" x14ac:dyDescent="0.2">
      <c r="E14319" s="1063"/>
      <c r="H14319" s="1066"/>
      <c r="I14319" s="1063"/>
      <c r="J14319" s="1063"/>
      <c r="K14319" s="1063"/>
      <c r="L14319" s="1063"/>
    </row>
    <row r="14320" spans="5:12" x14ac:dyDescent="0.2">
      <c r="E14320" s="1063"/>
      <c r="H14320" s="1066"/>
      <c r="I14320" s="1063"/>
      <c r="J14320" s="1063"/>
      <c r="K14320" s="1063"/>
      <c r="L14320" s="1063"/>
    </row>
    <row r="14321" spans="5:12" x14ac:dyDescent="0.2">
      <c r="E14321" s="1063"/>
      <c r="H14321" s="1066"/>
      <c r="I14321" s="1063"/>
      <c r="J14321" s="1063"/>
      <c r="K14321" s="1063"/>
      <c r="L14321" s="1063"/>
    </row>
    <row r="14322" spans="5:12" x14ac:dyDescent="0.2">
      <c r="E14322" s="1063"/>
      <c r="H14322" s="1066"/>
      <c r="I14322" s="1063"/>
      <c r="J14322" s="1063"/>
      <c r="K14322" s="1063"/>
      <c r="L14322" s="1063"/>
    </row>
    <row r="14323" spans="5:12" x14ac:dyDescent="0.2">
      <c r="E14323" s="1063"/>
      <c r="H14323" s="1066"/>
      <c r="I14323" s="1063"/>
      <c r="J14323" s="1063"/>
      <c r="K14323" s="1063"/>
      <c r="L14323" s="1063"/>
    </row>
    <row r="14324" spans="5:12" x14ac:dyDescent="0.2">
      <c r="E14324" s="1063"/>
      <c r="H14324" s="1066"/>
      <c r="I14324" s="1063"/>
      <c r="J14324" s="1063"/>
      <c r="K14324" s="1063"/>
      <c r="L14324" s="1063"/>
    </row>
    <row r="14325" spans="5:12" x14ac:dyDescent="0.2">
      <c r="E14325" s="1063"/>
      <c r="H14325" s="1066"/>
      <c r="I14325" s="1063"/>
      <c r="J14325" s="1063"/>
      <c r="K14325" s="1063"/>
      <c r="L14325" s="1063"/>
    </row>
    <row r="14326" spans="5:12" x14ac:dyDescent="0.2">
      <c r="E14326" s="1063"/>
      <c r="H14326" s="1066"/>
      <c r="I14326" s="1063"/>
      <c r="J14326" s="1063"/>
      <c r="K14326" s="1063"/>
      <c r="L14326" s="1063"/>
    </row>
    <row r="14327" spans="5:12" x14ac:dyDescent="0.2">
      <c r="E14327" s="1063"/>
      <c r="H14327" s="1066"/>
      <c r="I14327" s="1063"/>
      <c r="J14327" s="1063"/>
      <c r="K14327" s="1063"/>
      <c r="L14327" s="1063"/>
    </row>
    <row r="14328" spans="5:12" x14ac:dyDescent="0.2">
      <c r="E14328" s="1063"/>
      <c r="H14328" s="1066"/>
      <c r="I14328" s="1063"/>
      <c r="J14328" s="1063"/>
      <c r="K14328" s="1063"/>
      <c r="L14328" s="1063"/>
    </row>
    <row r="14329" spans="5:12" x14ac:dyDescent="0.2">
      <c r="E14329" s="1063"/>
      <c r="H14329" s="1066"/>
      <c r="I14329" s="1063"/>
      <c r="J14329" s="1063"/>
      <c r="K14329" s="1063"/>
      <c r="L14329" s="1063"/>
    </row>
    <row r="14330" spans="5:12" x14ac:dyDescent="0.2">
      <c r="E14330" s="1063"/>
      <c r="H14330" s="1066"/>
      <c r="I14330" s="1063"/>
      <c r="J14330" s="1063"/>
      <c r="K14330" s="1063"/>
      <c r="L14330" s="1063"/>
    </row>
    <row r="14331" spans="5:12" x14ac:dyDescent="0.2">
      <c r="E14331" s="1063"/>
      <c r="H14331" s="1066"/>
      <c r="I14331" s="1063"/>
      <c r="J14331" s="1063"/>
      <c r="K14331" s="1063"/>
      <c r="L14331" s="1063"/>
    </row>
    <row r="14332" spans="5:12" x14ac:dyDescent="0.2">
      <c r="E14332" s="1063"/>
      <c r="H14332" s="1066"/>
      <c r="I14332" s="1063"/>
      <c r="J14332" s="1063"/>
      <c r="K14332" s="1063"/>
      <c r="L14332" s="1063"/>
    </row>
    <row r="14333" spans="5:12" x14ac:dyDescent="0.2">
      <c r="E14333" s="1063"/>
      <c r="H14333" s="1066"/>
      <c r="I14333" s="1063"/>
      <c r="J14333" s="1063"/>
      <c r="K14333" s="1063"/>
      <c r="L14333" s="1063"/>
    </row>
    <row r="14334" spans="5:12" x14ac:dyDescent="0.2">
      <c r="E14334" s="1063"/>
      <c r="H14334" s="1066"/>
      <c r="I14334" s="1063"/>
      <c r="J14334" s="1063"/>
      <c r="K14334" s="1063"/>
      <c r="L14334" s="1063"/>
    </row>
    <row r="14335" spans="5:12" x14ac:dyDescent="0.2">
      <c r="E14335" s="1063"/>
      <c r="H14335" s="1066"/>
      <c r="I14335" s="1063"/>
      <c r="J14335" s="1063"/>
      <c r="K14335" s="1063"/>
      <c r="L14335" s="1063"/>
    </row>
    <row r="14336" spans="5:12" x14ac:dyDescent="0.2">
      <c r="E14336" s="1063"/>
      <c r="H14336" s="1066"/>
      <c r="I14336" s="1063"/>
      <c r="J14336" s="1063"/>
      <c r="K14336" s="1063"/>
      <c r="L14336" s="1063"/>
    </row>
    <row r="14337" spans="5:12" x14ac:dyDescent="0.2">
      <c r="E14337" s="1063"/>
      <c r="H14337" s="1066"/>
      <c r="I14337" s="1063"/>
      <c r="J14337" s="1063"/>
      <c r="K14337" s="1063"/>
      <c r="L14337" s="1063"/>
    </row>
    <row r="14338" spans="5:12" x14ac:dyDescent="0.2">
      <c r="E14338" s="1063"/>
      <c r="H14338" s="1066"/>
      <c r="I14338" s="1063"/>
      <c r="J14338" s="1063"/>
      <c r="K14338" s="1063"/>
      <c r="L14338" s="1063"/>
    </row>
    <row r="14339" spans="5:12" x14ac:dyDescent="0.2">
      <c r="E14339" s="1063"/>
      <c r="H14339" s="1066"/>
      <c r="I14339" s="1063"/>
      <c r="J14339" s="1063"/>
      <c r="K14339" s="1063"/>
      <c r="L14339" s="1063"/>
    </row>
    <row r="14340" spans="5:12" x14ac:dyDescent="0.2">
      <c r="E14340" s="1063"/>
      <c r="H14340" s="1066"/>
      <c r="I14340" s="1063"/>
      <c r="J14340" s="1063"/>
      <c r="K14340" s="1063"/>
      <c r="L14340" s="1063"/>
    </row>
    <row r="14341" spans="5:12" x14ac:dyDescent="0.2">
      <c r="E14341" s="1063"/>
      <c r="H14341" s="1066"/>
      <c r="I14341" s="1063"/>
      <c r="J14341" s="1063"/>
      <c r="K14341" s="1063"/>
      <c r="L14341" s="1063"/>
    </row>
    <row r="14342" spans="5:12" x14ac:dyDescent="0.2">
      <c r="E14342" s="1063"/>
      <c r="H14342" s="1066"/>
      <c r="I14342" s="1063"/>
      <c r="J14342" s="1063"/>
      <c r="K14342" s="1063"/>
      <c r="L14342" s="1063"/>
    </row>
    <row r="14343" spans="5:12" x14ac:dyDescent="0.2">
      <c r="E14343" s="1063"/>
      <c r="H14343" s="1066"/>
      <c r="I14343" s="1063"/>
      <c r="J14343" s="1063"/>
      <c r="K14343" s="1063"/>
      <c r="L14343" s="1063"/>
    </row>
    <row r="14344" spans="5:12" x14ac:dyDescent="0.2">
      <c r="E14344" s="1063"/>
      <c r="H14344" s="1066"/>
      <c r="I14344" s="1063"/>
      <c r="J14344" s="1063"/>
      <c r="K14344" s="1063"/>
      <c r="L14344" s="1063"/>
    </row>
    <row r="14345" spans="5:12" x14ac:dyDescent="0.2">
      <c r="E14345" s="1063"/>
      <c r="H14345" s="1066"/>
      <c r="I14345" s="1063"/>
      <c r="J14345" s="1063"/>
      <c r="K14345" s="1063"/>
      <c r="L14345" s="1063"/>
    </row>
    <row r="14346" spans="5:12" x14ac:dyDescent="0.2">
      <c r="E14346" s="1063"/>
      <c r="H14346" s="1066"/>
      <c r="I14346" s="1063"/>
      <c r="J14346" s="1063"/>
      <c r="K14346" s="1063"/>
      <c r="L14346" s="1063"/>
    </row>
    <row r="14347" spans="5:12" x14ac:dyDescent="0.2">
      <c r="E14347" s="1063"/>
      <c r="H14347" s="1066"/>
      <c r="I14347" s="1063"/>
      <c r="J14347" s="1063"/>
      <c r="K14347" s="1063"/>
      <c r="L14347" s="1063"/>
    </row>
    <row r="14348" spans="5:12" x14ac:dyDescent="0.2">
      <c r="E14348" s="1063"/>
      <c r="H14348" s="1066"/>
      <c r="I14348" s="1063"/>
      <c r="J14348" s="1063"/>
      <c r="K14348" s="1063"/>
      <c r="L14348" s="1063"/>
    </row>
    <row r="14349" spans="5:12" x14ac:dyDescent="0.2">
      <c r="E14349" s="1063"/>
      <c r="H14349" s="1066"/>
      <c r="I14349" s="1063"/>
      <c r="J14349" s="1063"/>
      <c r="K14349" s="1063"/>
      <c r="L14349" s="1063"/>
    </row>
    <row r="14350" spans="5:12" x14ac:dyDescent="0.2">
      <c r="E14350" s="1063"/>
      <c r="H14350" s="1066"/>
      <c r="I14350" s="1063"/>
      <c r="J14350" s="1063"/>
      <c r="K14350" s="1063"/>
      <c r="L14350" s="1063"/>
    </row>
    <row r="14351" spans="5:12" x14ac:dyDescent="0.2">
      <c r="E14351" s="1063"/>
      <c r="H14351" s="1066"/>
      <c r="I14351" s="1063"/>
      <c r="J14351" s="1063"/>
      <c r="K14351" s="1063"/>
      <c r="L14351" s="1063"/>
    </row>
    <row r="14352" spans="5:12" x14ac:dyDescent="0.2">
      <c r="E14352" s="1063"/>
      <c r="H14352" s="1066"/>
      <c r="I14352" s="1063"/>
      <c r="J14352" s="1063"/>
      <c r="K14352" s="1063"/>
      <c r="L14352" s="1063"/>
    </row>
    <row r="14353" spans="5:12" x14ac:dyDescent="0.2">
      <c r="E14353" s="1063"/>
      <c r="H14353" s="1066"/>
      <c r="I14353" s="1063"/>
      <c r="J14353" s="1063"/>
      <c r="K14353" s="1063"/>
      <c r="L14353" s="1063"/>
    </row>
    <row r="14354" spans="5:12" x14ac:dyDescent="0.2">
      <c r="E14354" s="1063"/>
      <c r="H14354" s="1066"/>
      <c r="I14354" s="1063"/>
      <c r="J14354" s="1063"/>
      <c r="K14354" s="1063"/>
      <c r="L14354" s="1063"/>
    </row>
    <row r="14355" spans="5:12" x14ac:dyDescent="0.2">
      <c r="E14355" s="1063"/>
      <c r="H14355" s="1066"/>
      <c r="I14355" s="1063"/>
      <c r="J14355" s="1063"/>
      <c r="K14355" s="1063"/>
      <c r="L14355" s="1063"/>
    </row>
    <row r="14356" spans="5:12" x14ac:dyDescent="0.2">
      <c r="E14356" s="1063"/>
      <c r="H14356" s="1066"/>
      <c r="I14356" s="1063"/>
      <c r="J14356" s="1063"/>
      <c r="K14356" s="1063"/>
      <c r="L14356" s="1063"/>
    </row>
    <row r="14357" spans="5:12" x14ac:dyDescent="0.2">
      <c r="E14357" s="1063"/>
      <c r="H14357" s="1066"/>
      <c r="I14357" s="1063"/>
      <c r="J14357" s="1063"/>
      <c r="K14357" s="1063"/>
      <c r="L14357" s="1063"/>
    </row>
    <row r="14358" spans="5:12" x14ac:dyDescent="0.2">
      <c r="E14358" s="1063"/>
      <c r="H14358" s="1066"/>
      <c r="I14358" s="1063"/>
      <c r="J14358" s="1063"/>
      <c r="K14358" s="1063"/>
      <c r="L14358" s="1063"/>
    </row>
    <row r="14359" spans="5:12" x14ac:dyDescent="0.2">
      <c r="E14359" s="1063"/>
      <c r="H14359" s="1066"/>
      <c r="I14359" s="1063"/>
      <c r="J14359" s="1063"/>
      <c r="K14359" s="1063"/>
      <c r="L14359" s="1063"/>
    </row>
    <row r="14360" spans="5:12" x14ac:dyDescent="0.2">
      <c r="E14360" s="1063"/>
      <c r="H14360" s="1066"/>
      <c r="I14360" s="1063"/>
      <c r="J14360" s="1063"/>
      <c r="K14360" s="1063"/>
      <c r="L14360" s="1063"/>
    </row>
    <row r="14361" spans="5:12" x14ac:dyDescent="0.2">
      <c r="E14361" s="1063"/>
      <c r="H14361" s="1066"/>
      <c r="I14361" s="1063"/>
      <c r="J14361" s="1063"/>
      <c r="K14361" s="1063"/>
      <c r="L14361" s="1063"/>
    </row>
    <row r="14362" spans="5:12" x14ac:dyDescent="0.2">
      <c r="E14362" s="1063"/>
      <c r="H14362" s="1066"/>
      <c r="I14362" s="1063"/>
      <c r="J14362" s="1063"/>
      <c r="K14362" s="1063"/>
      <c r="L14362" s="1063"/>
    </row>
    <row r="14363" spans="5:12" x14ac:dyDescent="0.2">
      <c r="E14363" s="1063"/>
      <c r="H14363" s="1066"/>
      <c r="I14363" s="1063"/>
      <c r="J14363" s="1063"/>
      <c r="K14363" s="1063"/>
      <c r="L14363" s="1063"/>
    </row>
    <row r="14364" spans="5:12" x14ac:dyDescent="0.2">
      <c r="E14364" s="1063"/>
      <c r="H14364" s="1066"/>
      <c r="I14364" s="1063"/>
      <c r="J14364" s="1063"/>
      <c r="K14364" s="1063"/>
      <c r="L14364" s="1063"/>
    </row>
    <row r="14365" spans="5:12" x14ac:dyDescent="0.2">
      <c r="E14365" s="1063"/>
      <c r="H14365" s="1066"/>
      <c r="I14365" s="1063"/>
      <c r="J14365" s="1063"/>
      <c r="K14365" s="1063"/>
      <c r="L14365" s="1063"/>
    </row>
    <row r="14366" spans="5:12" x14ac:dyDescent="0.2">
      <c r="E14366" s="1063"/>
      <c r="H14366" s="1066"/>
      <c r="I14366" s="1063"/>
      <c r="J14366" s="1063"/>
      <c r="K14366" s="1063"/>
      <c r="L14366" s="1063"/>
    </row>
    <row r="14367" spans="5:12" x14ac:dyDescent="0.2">
      <c r="E14367" s="1063"/>
      <c r="H14367" s="1066"/>
      <c r="I14367" s="1063"/>
      <c r="J14367" s="1063"/>
      <c r="K14367" s="1063"/>
      <c r="L14367" s="1063"/>
    </row>
    <row r="14368" spans="5:12" x14ac:dyDescent="0.2">
      <c r="E14368" s="1063"/>
      <c r="H14368" s="1066"/>
      <c r="I14368" s="1063"/>
      <c r="J14368" s="1063"/>
      <c r="K14368" s="1063"/>
      <c r="L14368" s="1063"/>
    </row>
    <row r="14369" spans="5:12" x14ac:dyDescent="0.2">
      <c r="E14369" s="1063"/>
      <c r="H14369" s="1066"/>
      <c r="I14369" s="1063"/>
      <c r="J14369" s="1063"/>
      <c r="K14369" s="1063"/>
      <c r="L14369" s="1063"/>
    </row>
    <row r="14370" spans="5:12" x14ac:dyDescent="0.2">
      <c r="E14370" s="1063"/>
      <c r="H14370" s="1066"/>
      <c r="I14370" s="1063"/>
      <c r="J14370" s="1063"/>
      <c r="K14370" s="1063"/>
      <c r="L14370" s="1063"/>
    </row>
    <row r="14371" spans="5:12" x14ac:dyDescent="0.2">
      <c r="E14371" s="1063"/>
      <c r="H14371" s="1066"/>
      <c r="I14371" s="1063"/>
      <c r="J14371" s="1063"/>
      <c r="K14371" s="1063"/>
      <c r="L14371" s="1063"/>
    </row>
    <row r="14372" spans="5:12" x14ac:dyDescent="0.2">
      <c r="E14372" s="1063"/>
      <c r="H14372" s="1066"/>
      <c r="I14372" s="1063"/>
      <c r="J14372" s="1063"/>
      <c r="K14372" s="1063"/>
      <c r="L14372" s="1063"/>
    </row>
    <row r="14373" spans="5:12" x14ac:dyDescent="0.2">
      <c r="E14373" s="1063"/>
      <c r="H14373" s="1066"/>
      <c r="I14373" s="1063"/>
      <c r="J14373" s="1063"/>
      <c r="K14373" s="1063"/>
      <c r="L14373" s="1063"/>
    </row>
    <row r="14374" spans="5:12" x14ac:dyDescent="0.2">
      <c r="E14374" s="1063"/>
      <c r="H14374" s="1066"/>
      <c r="I14374" s="1063"/>
      <c r="J14374" s="1063"/>
      <c r="K14374" s="1063"/>
      <c r="L14374" s="1063"/>
    </row>
    <row r="14375" spans="5:12" x14ac:dyDescent="0.2">
      <c r="E14375" s="1063"/>
      <c r="H14375" s="1066"/>
      <c r="I14375" s="1063"/>
      <c r="J14375" s="1063"/>
      <c r="K14375" s="1063"/>
      <c r="L14375" s="1063"/>
    </row>
    <row r="14376" spans="5:12" x14ac:dyDescent="0.2">
      <c r="E14376" s="1063"/>
      <c r="H14376" s="1066"/>
      <c r="I14376" s="1063"/>
      <c r="J14376" s="1063"/>
      <c r="K14376" s="1063"/>
      <c r="L14376" s="1063"/>
    </row>
    <row r="14377" spans="5:12" x14ac:dyDescent="0.2">
      <c r="E14377" s="1063"/>
      <c r="H14377" s="1066"/>
      <c r="I14377" s="1063"/>
      <c r="J14377" s="1063"/>
      <c r="K14377" s="1063"/>
      <c r="L14377" s="1063"/>
    </row>
    <row r="14378" spans="5:12" x14ac:dyDescent="0.2">
      <c r="E14378" s="1063"/>
      <c r="H14378" s="1066"/>
      <c r="I14378" s="1063"/>
      <c r="J14378" s="1063"/>
      <c r="K14378" s="1063"/>
      <c r="L14378" s="1063"/>
    </row>
    <row r="14379" spans="5:12" x14ac:dyDescent="0.2">
      <c r="E14379" s="1063"/>
      <c r="H14379" s="1066"/>
      <c r="I14379" s="1063"/>
      <c r="J14379" s="1063"/>
      <c r="K14379" s="1063"/>
      <c r="L14379" s="1063"/>
    </row>
    <row r="14380" spans="5:12" x14ac:dyDescent="0.2">
      <c r="E14380" s="1063"/>
      <c r="H14380" s="1066"/>
      <c r="I14380" s="1063"/>
      <c r="J14380" s="1063"/>
      <c r="K14380" s="1063"/>
      <c r="L14380" s="1063"/>
    </row>
    <row r="14381" spans="5:12" x14ac:dyDescent="0.2">
      <c r="E14381" s="1063"/>
      <c r="H14381" s="1066"/>
      <c r="I14381" s="1063"/>
      <c r="J14381" s="1063"/>
      <c r="K14381" s="1063"/>
      <c r="L14381" s="1063"/>
    </row>
    <row r="14382" spans="5:12" x14ac:dyDescent="0.2">
      <c r="E14382" s="1063"/>
      <c r="H14382" s="1066"/>
      <c r="I14382" s="1063"/>
      <c r="J14382" s="1063"/>
      <c r="K14382" s="1063"/>
      <c r="L14382" s="1063"/>
    </row>
    <row r="14383" spans="5:12" x14ac:dyDescent="0.2">
      <c r="E14383" s="1063"/>
      <c r="H14383" s="1066"/>
      <c r="I14383" s="1063"/>
      <c r="J14383" s="1063"/>
      <c r="K14383" s="1063"/>
      <c r="L14383" s="1063"/>
    </row>
    <row r="14384" spans="5:12" x14ac:dyDescent="0.2">
      <c r="E14384" s="1063"/>
      <c r="H14384" s="1066"/>
      <c r="I14384" s="1063"/>
      <c r="J14384" s="1063"/>
      <c r="K14384" s="1063"/>
      <c r="L14384" s="1063"/>
    </row>
    <row r="14385" spans="5:12" x14ac:dyDescent="0.2">
      <c r="E14385" s="1063"/>
      <c r="H14385" s="1066"/>
      <c r="I14385" s="1063"/>
      <c r="J14385" s="1063"/>
      <c r="K14385" s="1063"/>
      <c r="L14385" s="1063"/>
    </row>
    <row r="14386" spans="5:12" x14ac:dyDescent="0.2">
      <c r="E14386" s="1063"/>
      <c r="H14386" s="1066"/>
      <c r="I14386" s="1063"/>
      <c r="J14386" s="1063"/>
      <c r="K14386" s="1063"/>
      <c r="L14386" s="1063"/>
    </row>
    <row r="14387" spans="5:12" x14ac:dyDescent="0.2">
      <c r="E14387" s="1063"/>
      <c r="H14387" s="1066"/>
      <c r="I14387" s="1063"/>
      <c r="J14387" s="1063"/>
      <c r="K14387" s="1063"/>
      <c r="L14387" s="1063"/>
    </row>
    <row r="14388" spans="5:12" x14ac:dyDescent="0.2">
      <c r="E14388" s="1063"/>
      <c r="H14388" s="1066"/>
      <c r="I14388" s="1063"/>
      <c r="J14388" s="1063"/>
      <c r="K14388" s="1063"/>
      <c r="L14388" s="1063"/>
    </row>
    <row r="14389" spans="5:12" x14ac:dyDescent="0.2">
      <c r="E14389" s="1063"/>
      <c r="H14389" s="1066"/>
      <c r="I14389" s="1063"/>
      <c r="J14389" s="1063"/>
      <c r="K14389" s="1063"/>
      <c r="L14389" s="1063"/>
    </row>
    <row r="14390" spans="5:12" x14ac:dyDescent="0.2">
      <c r="E14390" s="1063"/>
      <c r="H14390" s="1066"/>
      <c r="I14390" s="1063"/>
      <c r="J14390" s="1063"/>
      <c r="K14390" s="1063"/>
      <c r="L14390" s="1063"/>
    </row>
    <row r="14391" spans="5:12" x14ac:dyDescent="0.2">
      <c r="E14391" s="1063"/>
      <c r="H14391" s="1066"/>
      <c r="I14391" s="1063"/>
      <c r="J14391" s="1063"/>
      <c r="K14391" s="1063"/>
      <c r="L14391" s="1063"/>
    </row>
    <row r="14392" spans="5:12" x14ac:dyDescent="0.2">
      <c r="E14392" s="1063"/>
      <c r="H14392" s="1066"/>
      <c r="I14392" s="1063"/>
      <c r="J14392" s="1063"/>
      <c r="K14392" s="1063"/>
      <c r="L14392" s="1063"/>
    </row>
    <row r="14393" spans="5:12" x14ac:dyDescent="0.2">
      <c r="E14393" s="1063"/>
      <c r="H14393" s="1066"/>
      <c r="I14393" s="1063"/>
      <c r="J14393" s="1063"/>
      <c r="K14393" s="1063"/>
      <c r="L14393" s="1063"/>
    </row>
    <row r="14394" spans="5:12" x14ac:dyDescent="0.2">
      <c r="E14394" s="1063"/>
      <c r="H14394" s="1066"/>
      <c r="I14394" s="1063"/>
      <c r="J14394" s="1063"/>
      <c r="K14394" s="1063"/>
      <c r="L14394" s="1063"/>
    </row>
    <row r="14395" spans="5:12" x14ac:dyDescent="0.2">
      <c r="E14395" s="1063"/>
      <c r="H14395" s="1066"/>
      <c r="I14395" s="1063"/>
      <c r="J14395" s="1063"/>
      <c r="K14395" s="1063"/>
      <c r="L14395" s="1063"/>
    </row>
    <row r="14396" spans="5:12" x14ac:dyDescent="0.2">
      <c r="E14396" s="1063"/>
      <c r="H14396" s="1066"/>
      <c r="I14396" s="1063"/>
      <c r="J14396" s="1063"/>
      <c r="K14396" s="1063"/>
      <c r="L14396" s="1063"/>
    </row>
    <row r="14397" spans="5:12" x14ac:dyDescent="0.2">
      <c r="E14397" s="1063"/>
      <c r="H14397" s="1066"/>
      <c r="I14397" s="1063"/>
      <c r="J14397" s="1063"/>
      <c r="K14397" s="1063"/>
      <c r="L14397" s="1063"/>
    </row>
    <row r="14398" spans="5:12" x14ac:dyDescent="0.2">
      <c r="E14398" s="1063"/>
      <c r="H14398" s="1066"/>
      <c r="I14398" s="1063"/>
      <c r="J14398" s="1063"/>
      <c r="K14398" s="1063"/>
      <c r="L14398" s="1063"/>
    </row>
    <row r="14399" spans="5:12" x14ac:dyDescent="0.2">
      <c r="E14399" s="1063"/>
      <c r="H14399" s="1066"/>
      <c r="I14399" s="1063"/>
      <c r="J14399" s="1063"/>
      <c r="K14399" s="1063"/>
      <c r="L14399" s="1063"/>
    </row>
    <row r="14400" spans="5:12" x14ac:dyDescent="0.2">
      <c r="E14400" s="1063"/>
      <c r="H14400" s="1066"/>
      <c r="I14400" s="1063"/>
      <c r="J14400" s="1063"/>
      <c r="K14400" s="1063"/>
      <c r="L14400" s="1063"/>
    </row>
    <row r="14401" spans="5:12" x14ac:dyDescent="0.2">
      <c r="E14401" s="1063"/>
      <c r="H14401" s="1066"/>
      <c r="I14401" s="1063"/>
      <c r="J14401" s="1063"/>
      <c r="K14401" s="1063"/>
      <c r="L14401" s="1063"/>
    </row>
    <row r="14402" spans="5:12" x14ac:dyDescent="0.2">
      <c r="E14402" s="1063"/>
      <c r="H14402" s="1066"/>
      <c r="I14402" s="1063"/>
      <c r="J14402" s="1063"/>
      <c r="K14402" s="1063"/>
      <c r="L14402" s="1063"/>
    </row>
    <row r="14403" spans="5:12" x14ac:dyDescent="0.2">
      <c r="E14403" s="1063"/>
      <c r="H14403" s="1066"/>
      <c r="I14403" s="1063"/>
      <c r="J14403" s="1063"/>
      <c r="K14403" s="1063"/>
      <c r="L14403" s="1063"/>
    </row>
    <row r="14404" spans="5:12" x14ac:dyDescent="0.2">
      <c r="E14404" s="1063"/>
      <c r="H14404" s="1066"/>
      <c r="I14404" s="1063"/>
      <c r="J14404" s="1063"/>
      <c r="K14404" s="1063"/>
      <c r="L14404" s="1063"/>
    </row>
    <row r="14405" spans="5:12" x14ac:dyDescent="0.2">
      <c r="E14405" s="1063"/>
      <c r="H14405" s="1066"/>
      <c r="I14405" s="1063"/>
      <c r="J14405" s="1063"/>
      <c r="K14405" s="1063"/>
      <c r="L14405" s="1063"/>
    </row>
    <row r="14406" spans="5:12" x14ac:dyDescent="0.2">
      <c r="E14406" s="1063"/>
      <c r="H14406" s="1066"/>
      <c r="I14406" s="1063"/>
      <c r="J14406" s="1063"/>
      <c r="K14406" s="1063"/>
      <c r="L14406" s="1063"/>
    </row>
    <row r="14407" spans="5:12" x14ac:dyDescent="0.2">
      <c r="E14407" s="1063"/>
      <c r="H14407" s="1066"/>
      <c r="I14407" s="1063"/>
      <c r="J14407" s="1063"/>
      <c r="K14407" s="1063"/>
      <c r="L14407" s="1063"/>
    </row>
    <row r="14408" spans="5:12" x14ac:dyDescent="0.2">
      <c r="E14408" s="1063"/>
      <c r="H14408" s="1066"/>
      <c r="I14408" s="1063"/>
      <c r="J14408" s="1063"/>
      <c r="K14408" s="1063"/>
      <c r="L14408" s="1063"/>
    </row>
    <row r="14409" spans="5:12" x14ac:dyDescent="0.2">
      <c r="E14409" s="1063"/>
      <c r="H14409" s="1066"/>
      <c r="I14409" s="1063"/>
      <c r="J14409" s="1063"/>
      <c r="K14409" s="1063"/>
      <c r="L14409" s="1063"/>
    </row>
    <row r="14410" spans="5:12" x14ac:dyDescent="0.2">
      <c r="E14410" s="1063"/>
      <c r="H14410" s="1066"/>
      <c r="I14410" s="1063"/>
      <c r="J14410" s="1063"/>
      <c r="K14410" s="1063"/>
      <c r="L14410" s="1063"/>
    </row>
    <row r="14411" spans="5:12" x14ac:dyDescent="0.2">
      <c r="E14411" s="1063"/>
      <c r="H14411" s="1066"/>
      <c r="I14411" s="1063"/>
      <c r="J14411" s="1063"/>
      <c r="K14411" s="1063"/>
      <c r="L14411" s="1063"/>
    </row>
    <row r="14412" spans="5:12" x14ac:dyDescent="0.2">
      <c r="E14412" s="1063"/>
      <c r="H14412" s="1066"/>
      <c r="I14412" s="1063"/>
      <c r="J14412" s="1063"/>
      <c r="K14412" s="1063"/>
      <c r="L14412" s="1063"/>
    </row>
    <row r="14413" spans="5:12" x14ac:dyDescent="0.2">
      <c r="E14413" s="1063"/>
      <c r="H14413" s="1066"/>
      <c r="I14413" s="1063"/>
      <c r="J14413" s="1063"/>
      <c r="K14413" s="1063"/>
      <c r="L14413" s="1063"/>
    </row>
    <row r="14414" spans="5:12" x14ac:dyDescent="0.2">
      <c r="E14414" s="1063"/>
      <c r="H14414" s="1066"/>
      <c r="I14414" s="1063"/>
      <c r="J14414" s="1063"/>
      <c r="K14414" s="1063"/>
      <c r="L14414" s="1063"/>
    </row>
    <row r="14415" spans="5:12" x14ac:dyDescent="0.2">
      <c r="E14415" s="1063"/>
      <c r="H14415" s="1066"/>
      <c r="I14415" s="1063"/>
      <c r="J14415" s="1063"/>
      <c r="K14415" s="1063"/>
      <c r="L14415" s="1063"/>
    </row>
    <row r="14416" spans="5:12" x14ac:dyDescent="0.2">
      <c r="E14416" s="1063"/>
      <c r="H14416" s="1066"/>
      <c r="I14416" s="1063"/>
      <c r="J14416" s="1063"/>
      <c r="K14416" s="1063"/>
      <c r="L14416" s="1063"/>
    </row>
    <row r="14417" spans="5:12" x14ac:dyDescent="0.2">
      <c r="E14417" s="1063"/>
      <c r="H14417" s="1066"/>
      <c r="I14417" s="1063"/>
      <c r="J14417" s="1063"/>
      <c r="K14417" s="1063"/>
      <c r="L14417" s="1063"/>
    </row>
    <row r="14418" spans="5:12" x14ac:dyDescent="0.2">
      <c r="E14418" s="1063"/>
      <c r="H14418" s="1066"/>
      <c r="I14418" s="1063"/>
      <c r="J14418" s="1063"/>
      <c r="K14418" s="1063"/>
      <c r="L14418" s="1063"/>
    </row>
    <row r="14419" spans="5:12" x14ac:dyDescent="0.2">
      <c r="E14419" s="1063"/>
      <c r="H14419" s="1066"/>
      <c r="I14419" s="1063"/>
      <c r="J14419" s="1063"/>
      <c r="K14419" s="1063"/>
      <c r="L14419" s="1063"/>
    </row>
    <row r="14420" spans="5:12" x14ac:dyDescent="0.2">
      <c r="E14420" s="1063"/>
      <c r="H14420" s="1066"/>
      <c r="I14420" s="1063"/>
      <c r="J14420" s="1063"/>
      <c r="K14420" s="1063"/>
      <c r="L14420" s="1063"/>
    </row>
    <row r="14421" spans="5:12" x14ac:dyDescent="0.2">
      <c r="E14421" s="1063"/>
      <c r="H14421" s="1066"/>
      <c r="I14421" s="1063"/>
      <c r="J14421" s="1063"/>
      <c r="K14421" s="1063"/>
      <c r="L14421" s="1063"/>
    </row>
    <row r="14422" spans="5:12" x14ac:dyDescent="0.2">
      <c r="E14422" s="1063"/>
      <c r="H14422" s="1066"/>
      <c r="I14422" s="1063"/>
      <c r="J14422" s="1063"/>
      <c r="K14422" s="1063"/>
      <c r="L14422" s="1063"/>
    </row>
    <row r="14423" spans="5:12" x14ac:dyDescent="0.2">
      <c r="E14423" s="1063"/>
      <c r="H14423" s="1066"/>
      <c r="I14423" s="1063"/>
      <c r="J14423" s="1063"/>
      <c r="K14423" s="1063"/>
      <c r="L14423" s="1063"/>
    </row>
    <row r="14424" spans="5:12" x14ac:dyDescent="0.2">
      <c r="E14424" s="1063"/>
      <c r="H14424" s="1066"/>
      <c r="I14424" s="1063"/>
      <c r="J14424" s="1063"/>
      <c r="K14424" s="1063"/>
      <c r="L14424" s="1063"/>
    </row>
    <row r="14425" spans="5:12" x14ac:dyDescent="0.2">
      <c r="E14425" s="1063"/>
      <c r="H14425" s="1066"/>
      <c r="I14425" s="1063"/>
      <c r="J14425" s="1063"/>
      <c r="K14425" s="1063"/>
      <c r="L14425" s="1063"/>
    </row>
    <row r="14426" spans="5:12" x14ac:dyDescent="0.2">
      <c r="E14426" s="1063"/>
      <c r="H14426" s="1066"/>
      <c r="I14426" s="1063"/>
      <c r="J14426" s="1063"/>
      <c r="K14426" s="1063"/>
      <c r="L14426" s="1063"/>
    </row>
    <row r="14427" spans="5:12" x14ac:dyDescent="0.2">
      <c r="E14427" s="1063"/>
      <c r="H14427" s="1066"/>
      <c r="I14427" s="1063"/>
      <c r="J14427" s="1063"/>
      <c r="K14427" s="1063"/>
      <c r="L14427" s="1063"/>
    </row>
    <row r="14428" spans="5:12" x14ac:dyDescent="0.2">
      <c r="E14428" s="1063"/>
      <c r="H14428" s="1066"/>
      <c r="I14428" s="1063"/>
      <c r="J14428" s="1063"/>
      <c r="K14428" s="1063"/>
      <c r="L14428" s="1063"/>
    </row>
    <row r="14429" spans="5:12" x14ac:dyDescent="0.2">
      <c r="E14429" s="1063"/>
      <c r="H14429" s="1066"/>
      <c r="I14429" s="1063"/>
      <c r="J14429" s="1063"/>
      <c r="K14429" s="1063"/>
      <c r="L14429" s="1063"/>
    </row>
    <row r="14430" spans="5:12" x14ac:dyDescent="0.2">
      <c r="E14430" s="1063"/>
      <c r="H14430" s="1066"/>
      <c r="I14430" s="1063"/>
      <c r="J14430" s="1063"/>
      <c r="K14430" s="1063"/>
      <c r="L14430" s="1063"/>
    </row>
    <row r="14431" spans="5:12" x14ac:dyDescent="0.2">
      <c r="E14431" s="1063"/>
      <c r="H14431" s="1066"/>
      <c r="I14431" s="1063"/>
      <c r="J14431" s="1063"/>
      <c r="K14431" s="1063"/>
      <c r="L14431" s="1063"/>
    </row>
    <row r="14432" spans="5:12" x14ac:dyDescent="0.2">
      <c r="E14432" s="1063"/>
      <c r="H14432" s="1066"/>
      <c r="I14432" s="1063"/>
      <c r="J14432" s="1063"/>
      <c r="K14432" s="1063"/>
      <c r="L14432" s="1063"/>
    </row>
    <row r="14433" spans="5:12" x14ac:dyDescent="0.2">
      <c r="E14433" s="1063"/>
      <c r="H14433" s="1066"/>
      <c r="I14433" s="1063"/>
      <c r="J14433" s="1063"/>
      <c r="K14433" s="1063"/>
      <c r="L14433" s="1063"/>
    </row>
    <row r="14434" spans="5:12" x14ac:dyDescent="0.2">
      <c r="E14434" s="1063"/>
      <c r="H14434" s="1066"/>
      <c r="I14434" s="1063"/>
      <c r="J14434" s="1063"/>
      <c r="K14434" s="1063"/>
      <c r="L14434" s="1063"/>
    </row>
    <row r="14435" spans="5:12" x14ac:dyDescent="0.2">
      <c r="E14435" s="1063"/>
      <c r="H14435" s="1066"/>
      <c r="I14435" s="1063"/>
      <c r="J14435" s="1063"/>
      <c r="K14435" s="1063"/>
      <c r="L14435" s="1063"/>
    </row>
    <row r="14436" spans="5:12" x14ac:dyDescent="0.2">
      <c r="E14436" s="1063"/>
      <c r="H14436" s="1066"/>
      <c r="I14436" s="1063"/>
      <c r="J14436" s="1063"/>
      <c r="K14436" s="1063"/>
      <c r="L14436" s="1063"/>
    </row>
    <row r="14437" spans="5:12" x14ac:dyDescent="0.2">
      <c r="E14437" s="1063"/>
      <c r="H14437" s="1066"/>
      <c r="I14437" s="1063"/>
      <c r="J14437" s="1063"/>
      <c r="K14437" s="1063"/>
      <c r="L14437" s="1063"/>
    </row>
    <row r="14438" spans="5:12" x14ac:dyDescent="0.2">
      <c r="E14438" s="1063"/>
      <c r="H14438" s="1066"/>
      <c r="I14438" s="1063"/>
      <c r="J14438" s="1063"/>
      <c r="K14438" s="1063"/>
      <c r="L14438" s="1063"/>
    </row>
    <row r="14439" spans="5:12" x14ac:dyDescent="0.2">
      <c r="E14439" s="1063"/>
      <c r="H14439" s="1066"/>
      <c r="I14439" s="1063"/>
      <c r="J14439" s="1063"/>
      <c r="K14439" s="1063"/>
      <c r="L14439" s="1063"/>
    </row>
    <row r="14440" spans="5:12" x14ac:dyDescent="0.2">
      <c r="E14440" s="1063"/>
      <c r="H14440" s="1066"/>
      <c r="I14440" s="1063"/>
      <c r="J14440" s="1063"/>
      <c r="K14440" s="1063"/>
      <c r="L14440" s="1063"/>
    </row>
    <row r="14441" spans="5:12" x14ac:dyDescent="0.2">
      <c r="E14441" s="1063"/>
      <c r="H14441" s="1066"/>
      <c r="I14441" s="1063"/>
      <c r="J14441" s="1063"/>
      <c r="K14441" s="1063"/>
      <c r="L14441" s="1063"/>
    </row>
    <row r="14442" spans="5:12" x14ac:dyDescent="0.2">
      <c r="E14442" s="1063"/>
      <c r="H14442" s="1066"/>
      <c r="I14442" s="1063"/>
      <c r="J14442" s="1063"/>
      <c r="K14442" s="1063"/>
      <c r="L14442" s="1063"/>
    </row>
    <row r="14443" spans="5:12" x14ac:dyDescent="0.2">
      <c r="E14443" s="1063"/>
      <c r="H14443" s="1066"/>
      <c r="I14443" s="1063"/>
      <c r="J14443" s="1063"/>
      <c r="K14443" s="1063"/>
      <c r="L14443" s="1063"/>
    </row>
    <row r="14444" spans="5:12" x14ac:dyDescent="0.2">
      <c r="E14444" s="1063"/>
      <c r="H14444" s="1066"/>
      <c r="I14444" s="1063"/>
      <c r="J14444" s="1063"/>
      <c r="K14444" s="1063"/>
      <c r="L14444" s="1063"/>
    </row>
    <row r="14445" spans="5:12" x14ac:dyDescent="0.2">
      <c r="E14445" s="1063"/>
      <c r="H14445" s="1066"/>
      <c r="I14445" s="1063"/>
      <c r="J14445" s="1063"/>
      <c r="K14445" s="1063"/>
      <c r="L14445" s="1063"/>
    </row>
    <row r="14446" spans="5:12" x14ac:dyDescent="0.2">
      <c r="E14446" s="1063"/>
      <c r="H14446" s="1066"/>
      <c r="I14446" s="1063"/>
      <c r="J14446" s="1063"/>
      <c r="K14446" s="1063"/>
      <c r="L14446" s="1063"/>
    </row>
    <row r="14447" spans="5:12" x14ac:dyDescent="0.2">
      <c r="E14447" s="1063"/>
      <c r="H14447" s="1066"/>
      <c r="I14447" s="1063"/>
      <c r="J14447" s="1063"/>
      <c r="K14447" s="1063"/>
      <c r="L14447" s="1063"/>
    </row>
    <row r="14448" spans="5:12" x14ac:dyDescent="0.2">
      <c r="E14448" s="1063"/>
      <c r="H14448" s="1066"/>
      <c r="I14448" s="1063"/>
      <c r="J14448" s="1063"/>
      <c r="K14448" s="1063"/>
      <c r="L14448" s="1063"/>
    </row>
    <row r="14449" spans="5:12" x14ac:dyDescent="0.2">
      <c r="E14449" s="1063"/>
      <c r="H14449" s="1066"/>
      <c r="I14449" s="1063"/>
      <c r="J14449" s="1063"/>
      <c r="K14449" s="1063"/>
      <c r="L14449" s="1063"/>
    </row>
    <row r="14450" spans="5:12" x14ac:dyDescent="0.2">
      <c r="E14450" s="1063"/>
      <c r="H14450" s="1066"/>
      <c r="I14450" s="1063"/>
      <c r="J14450" s="1063"/>
      <c r="K14450" s="1063"/>
      <c r="L14450" s="1063"/>
    </row>
    <row r="14451" spans="5:12" x14ac:dyDescent="0.2">
      <c r="E14451" s="1063"/>
      <c r="H14451" s="1066"/>
      <c r="I14451" s="1063"/>
      <c r="J14451" s="1063"/>
      <c r="K14451" s="1063"/>
      <c r="L14451" s="1063"/>
    </row>
    <row r="14452" spans="5:12" x14ac:dyDescent="0.2">
      <c r="E14452" s="1063"/>
      <c r="H14452" s="1066"/>
      <c r="I14452" s="1063"/>
      <c r="J14452" s="1063"/>
      <c r="K14452" s="1063"/>
      <c r="L14452" s="1063"/>
    </row>
    <row r="14453" spans="5:12" x14ac:dyDescent="0.2">
      <c r="E14453" s="1063"/>
      <c r="H14453" s="1066"/>
      <c r="I14453" s="1063"/>
      <c r="J14453" s="1063"/>
      <c r="K14453" s="1063"/>
      <c r="L14453" s="1063"/>
    </row>
    <row r="14454" spans="5:12" x14ac:dyDescent="0.2">
      <c r="E14454" s="1063"/>
      <c r="H14454" s="1066"/>
      <c r="I14454" s="1063"/>
      <c r="J14454" s="1063"/>
      <c r="K14454" s="1063"/>
      <c r="L14454" s="1063"/>
    </row>
    <row r="14455" spans="5:12" x14ac:dyDescent="0.2">
      <c r="E14455" s="1063"/>
      <c r="H14455" s="1066"/>
      <c r="I14455" s="1063"/>
      <c r="J14455" s="1063"/>
      <c r="K14455" s="1063"/>
      <c r="L14455" s="1063"/>
    </row>
    <row r="14456" spans="5:12" x14ac:dyDescent="0.2">
      <c r="E14456" s="1063"/>
      <c r="H14456" s="1066"/>
      <c r="I14456" s="1063"/>
      <c r="J14456" s="1063"/>
      <c r="K14456" s="1063"/>
      <c r="L14456" s="1063"/>
    </row>
    <row r="14457" spans="5:12" x14ac:dyDescent="0.2">
      <c r="E14457" s="1063"/>
      <c r="H14457" s="1066"/>
      <c r="I14457" s="1063"/>
      <c r="J14457" s="1063"/>
      <c r="K14457" s="1063"/>
      <c r="L14457" s="1063"/>
    </row>
    <row r="14458" spans="5:12" x14ac:dyDescent="0.2">
      <c r="E14458" s="1063"/>
      <c r="H14458" s="1066"/>
      <c r="I14458" s="1063"/>
      <c r="J14458" s="1063"/>
      <c r="K14458" s="1063"/>
      <c r="L14458" s="1063"/>
    </row>
    <row r="14459" spans="5:12" x14ac:dyDescent="0.2">
      <c r="E14459" s="1063"/>
      <c r="H14459" s="1066"/>
      <c r="I14459" s="1063"/>
      <c r="J14459" s="1063"/>
      <c r="K14459" s="1063"/>
      <c r="L14459" s="1063"/>
    </row>
    <row r="14460" spans="5:12" x14ac:dyDescent="0.2">
      <c r="E14460" s="1063"/>
      <c r="H14460" s="1066"/>
      <c r="I14460" s="1063"/>
      <c r="J14460" s="1063"/>
      <c r="K14460" s="1063"/>
      <c r="L14460" s="1063"/>
    </row>
    <row r="14461" spans="5:12" x14ac:dyDescent="0.2">
      <c r="E14461" s="1063"/>
      <c r="H14461" s="1066"/>
      <c r="I14461" s="1063"/>
      <c r="J14461" s="1063"/>
      <c r="K14461" s="1063"/>
      <c r="L14461" s="1063"/>
    </row>
    <row r="14462" spans="5:12" x14ac:dyDescent="0.2">
      <c r="E14462" s="1063"/>
      <c r="H14462" s="1066"/>
      <c r="I14462" s="1063"/>
      <c r="J14462" s="1063"/>
      <c r="K14462" s="1063"/>
      <c r="L14462" s="1063"/>
    </row>
    <row r="14463" spans="5:12" x14ac:dyDescent="0.2">
      <c r="E14463" s="1063"/>
      <c r="H14463" s="1066"/>
      <c r="I14463" s="1063"/>
      <c r="J14463" s="1063"/>
      <c r="K14463" s="1063"/>
      <c r="L14463" s="1063"/>
    </row>
    <row r="14464" spans="5:12" x14ac:dyDescent="0.2">
      <c r="E14464" s="1063"/>
      <c r="H14464" s="1066"/>
      <c r="I14464" s="1063"/>
      <c r="J14464" s="1063"/>
      <c r="K14464" s="1063"/>
      <c r="L14464" s="1063"/>
    </row>
    <row r="14465" spans="5:12" x14ac:dyDescent="0.2">
      <c r="E14465" s="1063"/>
      <c r="H14465" s="1066"/>
      <c r="I14465" s="1063"/>
      <c r="J14465" s="1063"/>
      <c r="K14465" s="1063"/>
      <c r="L14465" s="1063"/>
    </row>
    <row r="14466" spans="5:12" x14ac:dyDescent="0.2">
      <c r="E14466" s="1063"/>
      <c r="H14466" s="1066"/>
      <c r="I14466" s="1063"/>
      <c r="J14466" s="1063"/>
      <c r="K14466" s="1063"/>
      <c r="L14466" s="1063"/>
    </row>
    <row r="14467" spans="5:12" x14ac:dyDescent="0.2">
      <c r="E14467" s="1063"/>
      <c r="H14467" s="1066"/>
      <c r="I14467" s="1063"/>
      <c r="J14467" s="1063"/>
      <c r="K14467" s="1063"/>
      <c r="L14467" s="1063"/>
    </row>
    <row r="14468" spans="5:12" x14ac:dyDescent="0.2">
      <c r="E14468" s="1063"/>
      <c r="H14468" s="1066"/>
      <c r="I14468" s="1063"/>
      <c r="J14468" s="1063"/>
      <c r="K14468" s="1063"/>
      <c r="L14468" s="1063"/>
    </row>
    <row r="14469" spans="5:12" x14ac:dyDescent="0.2">
      <c r="E14469" s="1063"/>
      <c r="H14469" s="1066"/>
      <c r="I14469" s="1063"/>
      <c r="J14469" s="1063"/>
      <c r="K14469" s="1063"/>
      <c r="L14469" s="1063"/>
    </row>
    <row r="14470" spans="5:12" x14ac:dyDescent="0.2">
      <c r="E14470" s="1063"/>
      <c r="H14470" s="1066"/>
      <c r="I14470" s="1063"/>
      <c r="J14470" s="1063"/>
      <c r="K14470" s="1063"/>
      <c r="L14470" s="1063"/>
    </row>
    <row r="14471" spans="5:12" x14ac:dyDescent="0.2">
      <c r="E14471" s="1063"/>
      <c r="H14471" s="1066"/>
      <c r="I14471" s="1063"/>
      <c r="J14471" s="1063"/>
      <c r="K14471" s="1063"/>
      <c r="L14471" s="1063"/>
    </row>
    <row r="14472" spans="5:12" x14ac:dyDescent="0.2">
      <c r="E14472" s="1063"/>
      <c r="H14472" s="1066"/>
      <c r="I14472" s="1063"/>
      <c r="J14472" s="1063"/>
      <c r="K14472" s="1063"/>
      <c r="L14472" s="1063"/>
    </row>
    <row r="14473" spans="5:12" x14ac:dyDescent="0.2">
      <c r="E14473" s="1063"/>
      <c r="H14473" s="1066"/>
      <c r="I14473" s="1063"/>
      <c r="J14473" s="1063"/>
      <c r="K14473" s="1063"/>
      <c r="L14473" s="1063"/>
    </row>
    <row r="14474" spans="5:12" x14ac:dyDescent="0.2">
      <c r="E14474" s="1063"/>
      <c r="H14474" s="1066"/>
      <c r="I14474" s="1063"/>
      <c r="J14474" s="1063"/>
      <c r="K14474" s="1063"/>
      <c r="L14474" s="1063"/>
    </row>
    <row r="14475" spans="5:12" x14ac:dyDescent="0.2">
      <c r="E14475" s="1063"/>
      <c r="H14475" s="1066"/>
      <c r="I14475" s="1063"/>
      <c r="J14475" s="1063"/>
      <c r="K14475" s="1063"/>
      <c r="L14475" s="1063"/>
    </row>
    <row r="14476" spans="5:12" x14ac:dyDescent="0.2">
      <c r="E14476" s="1063"/>
      <c r="H14476" s="1066"/>
      <c r="I14476" s="1063"/>
      <c r="J14476" s="1063"/>
      <c r="K14476" s="1063"/>
      <c r="L14476" s="1063"/>
    </row>
    <row r="14477" spans="5:12" x14ac:dyDescent="0.2">
      <c r="E14477" s="1063"/>
      <c r="H14477" s="1066"/>
      <c r="I14477" s="1063"/>
      <c r="J14477" s="1063"/>
      <c r="K14477" s="1063"/>
      <c r="L14477" s="1063"/>
    </row>
    <row r="14478" spans="5:12" x14ac:dyDescent="0.2">
      <c r="E14478" s="1063"/>
      <c r="H14478" s="1066"/>
      <c r="I14478" s="1063"/>
      <c r="J14478" s="1063"/>
      <c r="K14478" s="1063"/>
      <c r="L14478" s="1063"/>
    </row>
    <row r="14479" spans="5:12" x14ac:dyDescent="0.2">
      <c r="E14479" s="1063"/>
      <c r="H14479" s="1066"/>
      <c r="I14479" s="1063"/>
      <c r="J14479" s="1063"/>
      <c r="K14479" s="1063"/>
      <c r="L14479" s="1063"/>
    </row>
    <row r="14480" spans="5:12" x14ac:dyDescent="0.2">
      <c r="E14480" s="1063"/>
      <c r="H14480" s="1066"/>
      <c r="I14480" s="1063"/>
      <c r="J14480" s="1063"/>
      <c r="K14480" s="1063"/>
      <c r="L14480" s="1063"/>
    </row>
    <row r="14481" spans="5:12" x14ac:dyDescent="0.2">
      <c r="E14481" s="1063"/>
      <c r="H14481" s="1066"/>
      <c r="I14481" s="1063"/>
      <c r="J14481" s="1063"/>
      <c r="K14481" s="1063"/>
      <c r="L14481" s="1063"/>
    </row>
    <row r="14482" spans="5:12" x14ac:dyDescent="0.2">
      <c r="E14482" s="1063"/>
      <c r="H14482" s="1066"/>
      <c r="I14482" s="1063"/>
      <c r="J14482" s="1063"/>
      <c r="K14482" s="1063"/>
      <c r="L14482" s="1063"/>
    </row>
    <row r="14483" spans="5:12" x14ac:dyDescent="0.2">
      <c r="E14483" s="1063"/>
      <c r="H14483" s="1066"/>
      <c r="I14483" s="1063"/>
      <c r="J14483" s="1063"/>
      <c r="K14483" s="1063"/>
      <c r="L14483" s="1063"/>
    </row>
    <row r="14484" spans="5:12" x14ac:dyDescent="0.2">
      <c r="E14484" s="1063"/>
      <c r="H14484" s="1066"/>
      <c r="I14484" s="1063"/>
      <c r="J14484" s="1063"/>
      <c r="K14484" s="1063"/>
      <c r="L14484" s="1063"/>
    </row>
    <row r="14485" spans="5:12" x14ac:dyDescent="0.2">
      <c r="E14485" s="1063"/>
      <c r="H14485" s="1066"/>
      <c r="I14485" s="1063"/>
      <c r="J14485" s="1063"/>
      <c r="K14485" s="1063"/>
      <c r="L14485" s="1063"/>
    </row>
    <row r="14486" spans="5:12" x14ac:dyDescent="0.2">
      <c r="E14486" s="1063"/>
      <c r="H14486" s="1066"/>
      <c r="I14486" s="1063"/>
      <c r="J14486" s="1063"/>
      <c r="K14486" s="1063"/>
      <c r="L14486" s="1063"/>
    </row>
    <row r="14487" spans="5:12" x14ac:dyDescent="0.2">
      <c r="E14487" s="1063"/>
      <c r="H14487" s="1066"/>
      <c r="I14487" s="1063"/>
      <c r="J14487" s="1063"/>
      <c r="K14487" s="1063"/>
      <c r="L14487" s="1063"/>
    </row>
    <row r="14488" spans="5:12" x14ac:dyDescent="0.2">
      <c r="E14488" s="1063"/>
      <c r="H14488" s="1066"/>
      <c r="I14488" s="1063"/>
      <c r="J14488" s="1063"/>
      <c r="K14488" s="1063"/>
      <c r="L14488" s="1063"/>
    </row>
    <row r="14489" spans="5:12" x14ac:dyDescent="0.2">
      <c r="E14489" s="1063"/>
      <c r="H14489" s="1066"/>
      <c r="I14489" s="1063"/>
      <c r="J14489" s="1063"/>
      <c r="K14489" s="1063"/>
      <c r="L14489" s="1063"/>
    </row>
    <row r="14490" spans="5:12" x14ac:dyDescent="0.2">
      <c r="E14490" s="1063"/>
      <c r="H14490" s="1066"/>
      <c r="I14490" s="1063"/>
      <c r="J14490" s="1063"/>
      <c r="K14490" s="1063"/>
      <c r="L14490" s="1063"/>
    </row>
    <row r="14491" spans="5:12" x14ac:dyDescent="0.2">
      <c r="E14491" s="1063"/>
      <c r="H14491" s="1066"/>
      <c r="I14491" s="1063"/>
      <c r="J14491" s="1063"/>
      <c r="K14491" s="1063"/>
      <c r="L14491" s="1063"/>
    </row>
    <row r="14492" spans="5:12" x14ac:dyDescent="0.2">
      <c r="E14492" s="1063"/>
      <c r="H14492" s="1066"/>
      <c r="I14492" s="1063"/>
      <c r="J14492" s="1063"/>
      <c r="K14492" s="1063"/>
      <c r="L14492" s="1063"/>
    </row>
    <row r="14493" spans="5:12" x14ac:dyDescent="0.2">
      <c r="E14493" s="1063"/>
      <c r="H14493" s="1066"/>
      <c r="I14493" s="1063"/>
      <c r="J14493" s="1063"/>
      <c r="K14493" s="1063"/>
      <c r="L14493" s="1063"/>
    </row>
    <row r="14494" spans="5:12" x14ac:dyDescent="0.2">
      <c r="E14494" s="1063"/>
      <c r="H14494" s="1066"/>
      <c r="I14494" s="1063"/>
      <c r="J14494" s="1063"/>
      <c r="K14494" s="1063"/>
      <c r="L14494" s="1063"/>
    </row>
    <row r="14495" spans="5:12" x14ac:dyDescent="0.2">
      <c r="E14495" s="1063"/>
      <c r="H14495" s="1066"/>
      <c r="I14495" s="1063"/>
      <c r="J14495" s="1063"/>
      <c r="K14495" s="1063"/>
      <c r="L14495" s="1063"/>
    </row>
    <row r="14496" spans="5:12" x14ac:dyDescent="0.2">
      <c r="E14496" s="1063"/>
      <c r="H14496" s="1066"/>
      <c r="I14496" s="1063"/>
      <c r="J14496" s="1063"/>
      <c r="K14496" s="1063"/>
      <c r="L14496" s="1063"/>
    </row>
    <row r="14497" spans="5:12" x14ac:dyDescent="0.2">
      <c r="E14497" s="1063"/>
      <c r="H14497" s="1066"/>
      <c r="I14497" s="1063"/>
      <c r="J14497" s="1063"/>
      <c r="K14497" s="1063"/>
      <c r="L14497" s="1063"/>
    </row>
    <row r="14498" spans="5:12" x14ac:dyDescent="0.2">
      <c r="E14498" s="1063"/>
      <c r="H14498" s="1066"/>
      <c r="I14498" s="1063"/>
      <c r="J14498" s="1063"/>
      <c r="K14498" s="1063"/>
      <c r="L14498" s="1063"/>
    </row>
    <row r="14499" spans="5:12" x14ac:dyDescent="0.2">
      <c r="E14499" s="1063"/>
      <c r="H14499" s="1066"/>
      <c r="I14499" s="1063"/>
      <c r="J14499" s="1063"/>
      <c r="K14499" s="1063"/>
      <c r="L14499" s="1063"/>
    </row>
    <row r="14500" spans="5:12" x14ac:dyDescent="0.2">
      <c r="E14500" s="1063"/>
      <c r="H14500" s="1066"/>
      <c r="I14500" s="1063"/>
      <c r="J14500" s="1063"/>
      <c r="K14500" s="1063"/>
      <c r="L14500" s="1063"/>
    </row>
    <row r="14501" spans="5:12" x14ac:dyDescent="0.2">
      <c r="E14501" s="1063"/>
      <c r="H14501" s="1066"/>
      <c r="I14501" s="1063"/>
      <c r="J14501" s="1063"/>
      <c r="K14501" s="1063"/>
      <c r="L14501" s="1063"/>
    </row>
    <row r="14502" spans="5:12" x14ac:dyDescent="0.2">
      <c r="E14502" s="1063"/>
      <c r="H14502" s="1066"/>
      <c r="I14502" s="1063"/>
      <c r="J14502" s="1063"/>
      <c r="K14502" s="1063"/>
      <c r="L14502" s="1063"/>
    </row>
    <row r="14503" spans="5:12" x14ac:dyDescent="0.2">
      <c r="E14503" s="1063"/>
      <c r="H14503" s="1066"/>
      <c r="I14503" s="1063"/>
      <c r="J14503" s="1063"/>
      <c r="K14503" s="1063"/>
      <c r="L14503" s="1063"/>
    </row>
    <row r="14504" spans="5:12" x14ac:dyDescent="0.2">
      <c r="E14504" s="1063"/>
      <c r="H14504" s="1066"/>
      <c r="I14504" s="1063"/>
      <c r="J14504" s="1063"/>
      <c r="K14504" s="1063"/>
      <c r="L14504" s="1063"/>
    </row>
    <row r="14505" spans="5:12" x14ac:dyDescent="0.2">
      <c r="E14505" s="1063"/>
      <c r="H14505" s="1066"/>
      <c r="I14505" s="1063"/>
      <c r="J14505" s="1063"/>
      <c r="K14505" s="1063"/>
      <c r="L14505" s="1063"/>
    </row>
    <row r="14506" spans="5:12" x14ac:dyDescent="0.2">
      <c r="E14506" s="1063"/>
      <c r="H14506" s="1066"/>
      <c r="I14506" s="1063"/>
      <c r="J14506" s="1063"/>
      <c r="K14506" s="1063"/>
      <c r="L14506" s="1063"/>
    </row>
    <row r="14507" spans="5:12" x14ac:dyDescent="0.2">
      <c r="E14507" s="1063"/>
      <c r="H14507" s="1066"/>
      <c r="I14507" s="1063"/>
      <c r="J14507" s="1063"/>
      <c r="K14507" s="1063"/>
      <c r="L14507" s="1063"/>
    </row>
    <row r="14508" spans="5:12" x14ac:dyDescent="0.2">
      <c r="E14508" s="1063"/>
      <c r="H14508" s="1066"/>
      <c r="I14508" s="1063"/>
      <c r="J14508" s="1063"/>
      <c r="K14508" s="1063"/>
      <c r="L14508" s="1063"/>
    </row>
    <row r="14509" spans="5:12" x14ac:dyDescent="0.2">
      <c r="E14509" s="1063"/>
      <c r="H14509" s="1066"/>
      <c r="I14509" s="1063"/>
      <c r="J14509" s="1063"/>
      <c r="K14509" s="1063"/>
      <c r="L14509" s="1063"/>
    </row>
    <row r="14510" spans="5:12" x14ac:dyDescent="0.2">
      <c r="E14510" s="1063"/>
      <c r="H14510" s="1066"/>
      <c r="I14510" s="1063"/>
      <c r="J14510" s="1063"/>
      <c r="K14510" s="1063"/>
      <c r="L14510" s="1063"/>
    </row>
    <row r="14511" spans="5:12" x14ac:dyDescent="0.2">
      <c r="E14511" s="1063"/>
      <c r="H14511" s="1066"/>
      <c r="I14511" s="1063"/>
      <c r="J14511" s="1063"/>
      <c r="K14511" s="1063"/>
      <c r="L14511" s="1063"/>
    </row>
    <row r="14512" spans="5:12" x14ac:dyDescent="0.2">
      <c r="E14512" s="1063"/>
      <c r="H14512" s="1066"/>
      <c r="I14512" s="1063"/>
      <c r="J14512" s="1063"/>
      <c r="K14512" s="1063"/>
      <c r="L14512" s="1063"/>
    </row>
    <row r="14513" spans="5:12" x14ac:dyDescent="0.2">
      <c r="E14513" s="1063"/>
      <c r="H14513" s="1066"/>
      <c r="I14513" s="1063"/>
      <c r="J14513" s="1063"/>
      <c r="K14513" s="1063"/>
      <c r="L14513" s="1063"/>
    </row>
    <row r="14514" spans="5:12" x14ac:dyDescent="0.2">
      <c r="E14514" s="1063"/>
      <c r="H14514" s="1066"/>
      <c r="I14514" s="1063"/>
      <c r="J14514" s="1063"/>
      <c r="K14514" s="1063"/>
      <c r="L14514" s="1063"/>
    </row>
    <row r="14515" spans="5:12" x14ac:dyDescent="0.2">
      <c r="E14515" s="1063"/>
      <c r="H14515" s="1066"/>
      <c r="I14515" s="1063"/>
      <c r="J14515" s="1063"/>
      <c r="K14515" s="1063"/>
      <c r="L14515" s="1063"/>
    </row>
    <row r="14516" spans="5:12" x14ac:dyDescent="0.2">
      <c r="E14516" s="1063"/>
      <c r="H14516" s="1066"/>
      <c r="I14516" s="1063"/>
      <c r="J14516" s="1063"/>
      <c r="K14516" s="1063"/>
      <c r="L14516" s="1063"/>
    </row>
    <row r="14517" spans="5:12" x14ac:dyDescent="0.2">
      <c r="E14517" s="1063"/>
      <c r="H14517" s="1066"/>
      <c r="I14517" s="1063"/>
      <c r="J14517" s="1063"/>
      <c r="K14517" s="1063"/>
      <c r="L14517" s="1063"/>
    </row>
    <row r="14518" spans="5:12" x14ac:dyDescent="0.2">
      <c r="E14518" s="1063"/>
      <c r="H14518" s="1066"/>
      <c r="I14518" s="1063"/>
      <c r="J14518" s="1063"/>
      <c r="K14518" s="1063"/>
      <c r="L14518" s="1063"/>
    </row>
    <row r="14519" spans="5:12" x14ac:dyDescent="0.2">
      <c r="E14519" s="1063"/>
      <c r="H14519" s="1066"/>
      <c r="I14519" s="1063"/>
      <c r="J14519" s="1063"/>
      <c r="K14519" s="1063"/>
      <c r="L14519" s="1063"/>
    </row>
    <row r="14520" spans="5:12" x14ac:dyDescent="0.2">
      <c r="E14520" s="1063"/>
      <c r="H14520" s="1066"/>
      <c r="I14520" s="1063"/>
      <c r="J14520" s="1063"/>
      <c r="K14520" s="1063"/>
      <c r="L14520" s="1063"/>
    </row>
    <row r="14521" spans="5:12" x14ac:dyDescent="0.2">
      <c r="E14521" s="1063"/>
      <c r="H14521" s="1066"/>
      <c r="I14521" s="1063"/>
      <c r="J14521" s="1063"/>
      <c r="K14521" s="1063"/>
      <c r="L14521" s="1063"/>
    </row>
    <row r="14522" spans="5:12" x14ac:dyDescent="0.2">
      <c r="E14522" s="1063"/>
      <c r="H14522" s="1066"/>
      <c r="I14522" s="1063"/>
      <c r="J14522" s="1063"/>
      <c r="K14522" s="1063"/>
      <c r="L14522" s="1063"/>
    </row>
    <row r="14523" spans="5:12" x14ac:dyDescent="0.2">
      <c r="E14523" s="1063"/>
      <c r="H14523" s="1066"/>
      <c r="I14523" s="1063"/>
      <c r="J14523" s="1063"/>
      <c r="K14523" s="1063"/>
      <c r="L14523" s="1063"/>
    </row>
    <row r="14524" spans="5:12" x14ac:dyDescent="0.2">
      <c r="E14524" s="1063"/>
      <c r="H14524" s="1066"/>
      <c r="I14524" s="1063"/>
      <c r="J14524" s="1063"/>
      <c r="K14524" s="1063"/>
      <c r="L14524" s="1063"/>
    </row>
    <row r="14525" spans="5:12" x14ac:dyDescent="0.2">
      <c r="E14525" s="1063"/>
      <c r="H14525" s="1066"/>
      <c r="I14525" s="1063"/>
      <c r="J14525" s="1063"/>
      <c r="K14525" s="1063"/>
      <c r="L14525" s="1063"/>
    </row>
    <row r="14526" spans="5:12" x14ac:dyDescent="0.2">
      <c r="E14526" s="1063"/>
      <c r="H14526" s="1066"/>
      <c r="I14526" s="1063"/>
      <c r="J14526" s="1063"/>
      <c r="K14526" s="1063"/>
      <c r="L14526" s="1063"/>
    </row>
    <row r="14527" spans="5:12" x14ac:dyDescent="0.2">
      <c r="E14527" s="1063"/>
      <c r="H14527" s="1066"/>
      <c r="I14527" s="1063"/>
      <c r="J14527" s="1063"/>
      <c r="K14527" s="1063"/>
      <c r="L14527" s="1063"/>
    </row>
    <row r="14528" spans="5:12" x14ac:dyDescent="0.2">
      <c r="E14528" s="1063"/>
      <c r="H14528" s="1066"/>
      <c r="I14528" s="1063"/>
      <c r="J14528" s="1063"/>
      <c r="K14528" s="1063"/>
      <c r="L14528" s="1063"/>
    </row>
    <row r="14529" spans="5:12" x14ac:dyDescent="0.2">
      <c r="E14529" s="1063"/>
      <c r="H14529" s="1066"/>
      <c r="I14529" s="1063"/>
      <c r="J14529" s="1063"/>
      <c r="K14529" s="1063"/>
      <c r="L14529" s="1063"/>
    </row>
    <row r="14530" spans="5:12" x14ac:dyDescent="0.2">
      <c r="E14530" s="1063"/>
      <c r="H14530" s="1066"/>
      <c r="I14530" s="1063"/>
      <c r="J14530" s="1063"/>
      <c r="K14530" s="1063"/>
      <c r="L14530" s="1063"/>
    </row>
    <row r="14531" spans="5:12" x14ac:dyDescent="0.2">
      <c r="E14531" s="1063"/>
      <c r="H14531" s="1066"/>
      <c r="I14531" s="1063"/>
      <c r="J14531" s="1063"/>
      <c r="K14531" s="1063"/>
      <c r="L14531" s="1063"/>
    </row>
    <row r="14532" spans="5:12" x14ac:dyDescent="0.2">
      <c r="E14532" s="1063"/>
      <c r="H14532" s="1066"/>
      <c r="I14532" s="1063"/>
      <c r="J14532" s="1063"/>
      <c r="K14532" s="1063"/>
      <c r="L14532" s="1063"/>
    </row>
    <row r="14533" spans="5:12" x14ac:dyDescent="0.2">
      <c r="E14533" s="1063"/>
      <c r="H14533" s="1066"/>
      <c r="I14533" s="1063"/>
      <c r="J14533" s="1063"/>
      <c r="K14533" s="1063"/>
      <c r="L14533" s="1063"/>
    </row>
    <row r="14534" spans="5:12" x14ac:dyDescent="0.2">
      <c r="E14534" s="1063"/>
      <c r="H14534" s="1066"/>
      <c r="I14534" s="1063"/>
      <c r="J14534" s="1063"/>
      <c r="K14534" s="1063"/>
      <c r="L14534" s="1063"/>
    </row>
    <row r="14535" spans="5:12" x14ac:dyDescent="0.2">
      <c r="E14535" s="1063"/>
      <c r="H14535" s="1066"/>
      <c r="I14535" s="1063"/>
      <c r="J14535" s="1063"/>
      <c r="K14535" s="1063"/>
      <c r="L14535" s="1063"/>
    </row>
    <row r="14536" spans="5:12" x14ac:dyDescent="0.2">
      <c r="E14536" s="1063"/>
      <c r="H14536" s="1066"/>
      <c r="I14536" s="1063"/>
      <c r="J14536" s="1063"/>
      <c r="K14536" s="1063"/>
      <c r="L14536" s="1063"/>
    </row>
    <row r="14537" spans="5:12" x14ac:dyDescent="0.2">
      <c r="E14537" s="1063"/>
      <c r="H14537" s="1066"/>
      <c r="I14537" s="1063"/>
      <c r="J14537" s="1063"/>
      <c r="K14537" s="1063"/>
      <c r="L14537" s="1063"/>
    </row>
    <row r="14538" spans="5:12" x14ac:dyDescent="0.2">
      <c r="E14538" s="1063"/>
      <c r="H14538" s="1066"/>
      <c r="I14538" s="1063"/>
      <c r="J14538" s="1063"/>
      <c r="K14538" s="1063"/>
      <c r="L14538" s="1063"/>
    </row>
    <row r="14539" spans="5:12" x14ac:dyDescent="0.2">
      <c r="E14539" s="1063"/>
      <c r="H14539" s="1066"/>
      <c r="I14539" s="1063"/>
      <c r="J14539" s="1063"/>
      <c r="K14539" s="1063"/>
      <c r="L14539" s="1063"/>
    </row>
    <row r="14540" spans="5:12" x14ac:dyDescent="0.2">
      <c r="E14540" s="1063"/>
      <c r="H14540" s="1066"/>
      <c r="I14540" s="1063"/>
      <c r="J14540" s="1063"/>
      <c r="K14540" s="1063"/>
      <c r="L14540" s="1063"/>
    </row>
    <row r="14541" spans="5:12" x14ac:dyDescent="0.2">
      <c r="E14541" s="1063"/>
      <c r="H14541" s="1066"/>
      <c r="I14541" s="1063"/>
      <c r="J14541" s="1063"/>
      <c r="K14541" s="1063"/>
      <c r="L14541" s="1063"/>
    </row>
    <row r="14542" spans="5:12" x14ac:dyDescent="0.2">
      <c r="E14542" s="1063"/>
      <c r="H14542" s="1066"/>
      <c r="I14542" s="1063"/>
      <c r="J14542" s="1063"/>
      <c r="K14542" s="1063"/>
      <c r="L14542" s="1063"/>
    </row>
    <row r="14543" spans="5:12" x14ac:dyDescent="0.2">
      <c r="E14543" s="1063"/>
      <c r="H14543" s="1066"/>
      <c r="I14543" s="1063"/>
      <c r="J14543" s="1063"/>
      <c r="K14543" s="1063"/>
      <c r="L14543" s="1063"/>
    </row>
    <row r="14544" spans="5:12" x14ac:dyDescent="0.2">
      <c r="E14544" s="1063"/>
      <c r="H14544" s="1066"/>
      <c r="I14544" s="1063"/>
      <c r="J14544" s="1063"/>
      <c r="K14544" s="1063"/>
      <c r="L14544" s="1063"/>
    </row>
    <row r="14545" spans="5:12" x14ac:dyDescent="0.2">
      <c r="E14545" s="1063"/>
      <c r="H14545" s="1066"/>
      <c r="I14545" s="1063"/>
      <c r="J14545" s="1063"/>
      <c r="K14545" s="1063"/>
      <c r="L14545" s="1063"/>
    </row>
    <row r="14546" spans="5:12" x14ac:dyDescent="0.2">
      <c r="E14546" s="1063"/>
      <c r="H14546" s="1066"/>
      <c r="I14546" s="1063"/>
      <c r="J14546" s="1063"/>
      <c r="K14546" s="1063"/>
      <c r="L14546" s="1063"/>
    </row>
    <row r="14547" spans="5:12" x14ac:dyDescent="0.2">
      <c r="E14547" s="1063"/>
      <c r="H14547" s="1066"/>
      <c r="I14547" s="1063"/>
      <c r="J14547" s="1063"/>
      <c r="K14547" s="1063"/>
      <c r="L14547" s="1063"/>
    </row>
    <row r="14548" spans="5:12" x14ac:dyDescent="0.2">
      <c r="E14548" s="1063"/>
      <c r="H14548" s="1066"/>
      <c r="I14548" s="1063"/>
      <c r="J14548" s="1063"/>
      <c r="K14548" s="1063"/>
      <c r="L14548" s="1063"/>
    </row>
    <row r="14549" spans="5:12" x14ac:dyDescent="0.2">
      <c r="E14549" s="1063"/>
      <c r="H14549" s="1066"/>
      <c r="I14549" s="1063"/>
      <c r="J14549" s="1063"/>
      <c r="K14549" s="1063"/>
      <c r="L14549" s="1063"/>
    </row>
    <row r="14550" spans="5:12" x14ac:dyDescent="0.2">
      <c r="E14550" s="1063"/>
      <c r="H14550" s="1066"/>
      <c r="I14550" s="1063"/>
      <c r="J14550" s="1063"/>
      <c r="K14550" s="1063"/>
      <c r="L14550" s="1063"/>
    </row>
    <row r="14551" spans="5:12" x14ac:dyDescent="0.2">
      <c r="E14551" s="1063"/>
      <c r="H14551" s="1066"/>
      <c r="I14551" s="1063"/>
      <c r="J14551" s="1063"/>
      <c r="K14551" s="1063"/>
      <c r="L14551" s="1063"/>
    </row>
    <row r="14552" spans="5:12" x14ac:dyDescent="0.2">
      <c r="E14552" s="1063"/>
      <c r="H14552" s="1066"/>
      <c r="I14552" s="1063"/>
      <c r="J14552" s="1063"/>
      <c r="K14552" s="1063"/>
      <c r="L14552" s="1063"/>
    </row>
    <row r="14553" spans="5:12" x14ac:dyDescent="0.2">
      <c r="E14553" s="1063"/>
      <c r="H14553" s="1066"/>
      <c r="I14553" s="1063"/>
      <c r="J14553" s="1063"/>
      <c r="K14553" s="1063"/>
      <c r="L14553" s="1063"/>
    </row>
    <row r="14554" spans="5:12" x14ac:dyDescent="0.2">
      <c r="E14554" s="1063"/>
      <c r="H14554" s="1066"/>
      <c r="I14554" s="1063"/>
      <c r="J14554" s="1063"/>
      <c r="K14554" s="1063"/>
      <c r="L14554" s="1063"/>
    </row>
    <row r="14555" spans="5:12" x14ac:dyDescent="0.2">
      <c r="E14555" s="1063"/>
      <c r="H14555" s="1066"/>
      <c r="I14555" s="1063"/>
      <c r="J14555" s="1063"/>
      <c r="K14555" s="1063"/>
      <c r="L14555" s="1063"/>
    </row>
    <row r="14556" spans="5:12" x14ac:dyDescent="0.2">
      <c r="E14556" s="1063"/>
      <c r="H14556" s="1066"/>
      <c r="I14556" s="1063"/>
      <c r="J14556" s="1063"/>
      <c r="K14556" s="1063"/>
      <c r="L14556" s="1063"/>
    </row>
    <row r="14557" spans="5:12" x14ac:dyDescent="0.2">
      <c r="E14557" s="1063"/>
      <c r="H14557" s="1066"/>
      <c r="I14557" s="1063"/>
      <c r="J14557" s="1063"/>
      <c r="K14557" s="1063"/>
      <c r="L14557" s="1063"/>
    </row>
    <row r="14558" spans="5:12" x14ac:dyDescent="0.2">
      <c r="E14558" s="1063"/>
      <c r="H14558" s="1066"/>
      <c r="I14558" s="1063"/>
      <c r="J14558" s="1063"/>
      <c r="K14558" s="1063"/>
      <c r="L14558" s="1063"/>
    </row>
    <row r="14559" spans="5:12" x14ac:dyDescent="0.2">
      <c r="E14559" s="1063"/>
      <c r="H14559" s="1066"/>
      <c r="I14559" s="1063"/>
      <c r="J14559" s="1063"/>
      <c r="K14559" s="1063"/>
      <c r="L14559" s="1063"/>
    </row>
    <row r="14560" spans="5:12" x14ac:dyDescent="0.2">
      <c r="E14560" s="1063"/>
      <c r="H14560" s="1066"/>
      <c r="I14560" s="1063"/>
      <c r="J14560" s="1063"/>
      <c r="K14560" s="1063"/>
      <c r="L14560" s="1063"/>
    </row>
    <row r="14561" spans="5:12" x14ac:dyDescent="0.2">
      <c r="E14561" s="1063"/>
      <c r="H14561" s="1066"/>
      <c r="I14561" s="1063"/>
      <c r="J14561" s="1063"/>
      <c r="K14561" s="1063"/>
      <c r="L14561" s="1063"/>
    </row>
    <row r="14562" spans="5:12" x14ac:dyDescent="0.2">
      <c r="E14562" s="1063"/>
      <c r="H14562" s="1066"/>
      <c r="I14562" s="1063"/>
      <c r="J14562" s="1063"/>
      <c r="K14562" s="1063"/>
      <c r="L14562" s="1063"/>
    </row>
    <row r="14563" spans="5:12" x14ac:dyDescent="0.2">
      <c r="E14563" s="1063"/>
      <c r="H14563" s="1066"/>
      <c r="I14563" s="1063"/>
      <c r="J14563" s="1063"/>
      <c r="K14563" s="1063"/>
      <c r="L14563" s="1063"/>
    </row>
    <row r="14564" spans="5:12" x14ac:dyDescent="0.2">
      <c r="E14564" s="1063"/>
      <c r="H14564" s="1066"/>
      <c r="I14564" s="1063"/>
      <c r="J14564" s="1063"/>
      <c r="K14564" s="1063"/>
      <c r="L14564" s="1063"/>
    </row>
    <row r="14565" spans="5:12" x14ac:dyDescent="0.2">
      <c r="E14565" s="1063"/>
      <c r="H14565" s="1066"/>
      <c r="I14565" s="1063"/>
      <c r="J14565" s="1063"/>
      <c r="K14565" s="1063"/>
      <c r="L14565" s="1063"/>
    </row>
    <row r="14566" spans="5:12" x14ac:dyDescent="0.2">
      <c r="E14566" s="1063"/>
      <c r="H14566" s="1066"/>
      <c r="I14566" s="1063"/>
      <c r="J14566" s="1063"/>
      <c r="K14566" s="1063"/>
      <c r="L14566" s="1063"/>
    </row>
    <row r="14567" spans="5:12" x14ac:dyDescent="0.2">
      <c r="E14567" s="1063"/>
      <c r="H14567" s="1066"/>
      <c r="I14567" s="1063"/>
      <c r="J14567" s="1063"/>
      <c r="K14567" s="1063"/>
      <c r="L14567" s="1063"/>
    </row>
    <row r="14568" spans="5:12" x14ac:dyDescent="0.2">
      <c r="E14568" s="1063"/>
      <c r="H14568" s="1066"/>
      <c r="I14568" s="1063"/>
      <c r="J14568" s="1063"/>
      <c r="K14568" s="1063"/>
      <c r="L14568" s="1063"/>
    </row>
    <row r="14569" spans="5:12" x14ac:dyDescent="0.2">
      <c r="E14569" s="1063"/>
      <c r="H14569" s="1066"/>
      <c r="I14569" s="1063"/>
      <c r="J14569" s="1063"/>
      <c r="K14569" s="1063"/>
      <c r="L14569" s="1063"/>
    </row>
    <row r="14570" spans="5:12" x14ac:dyDescent="0.2">
      <c r="E14570" s="1063"/>
      <c r="H14570" s="1066"/>
      <c r="I14570" s="1063"/>
      <c r="J14570" s="1063"/>
      <c r="K14570" s="1063"/>
      <c r="L14570" s="1063"/>
    </row>
    <row r="14571" spans="5:12" x14ac:dyDescent="0.2">
      <c r="E14571" s="1063"/>
      <c r="H14571" s="1066"/>
      <c r="I14571" s="1063"/>
      <c r="J14571" s="1063"/>
      <c r="K14571" s="1063"/>
      <c r="L14571" s="1063"/>
    </row>
    <row r="14572" spans="5:12" x14ac:dyDescent="0.2">
      <c r="E14572" s="1063"/>
      <c r="H14572" s="1066"/>
      <c r="I14572" s="1063"/>
      <c r="J14572" s="1063"/>
      <c r="K14572" s="1063"/>
      <c r="L14572" s="1063"/>
    </row>
    <row r="14573" spans="5:12" x14ac:dyDescent="0.2">
      <c r="E14573" s="1063"/>
      <c r="H14573" s="1066"/>
      <c r="I14573" s="1063"/>
      <c r="J14573" s="1063"/>
      <c r="K14573" s="1063"/>
      <c r="L14573" s="1063"/>
    </row>
    <row r="14574" spans="5:12" x14ac:dyDescent="0.2">
      <c r="E14574" s="1063"/>
      <c r="H14574" s="1066"/>
      <c r="I14574" s="1063"/>
      <c r="J14574" s="1063"/>
      <c r="K14574" s="1063"/>
      <c r="L14574" s="1063"/>
    </row>
    <row r="14575" spans="5:12" x14ac:dyDescent="0.2">
      <c r="E14575" s="1063"/>
      <c r="H14575" s="1066"/>
      <c r="I14575" s="1063"/>
      <c r="J14575" s="1063"/>
      <c r="K14575" s="1063"/>
      <c r="L14575" s="1063"/>
    </row>
    <row r="14576" spans="5:12" x14ac:dyDescent="0.2">
      <c r="E14576" s="1063"/>
      <c r="H14576" s="1066"/>
      <c r="I14576" s="1063"/>
      <c r="J14576" s="1063"/>
      <c r="K14576" s="1063"/>
      <c r="L14576" s="1063"/>
    </row>
    <row r="14577" spans="5:12" x14ac:dyDescent="0.2">
      <c r="E14577" s="1063"/>
      <c r="H14577" s="1066"/>
      <c r="I14577" s="1063"/>
      <c r="J14577" s="1063"/>
      <c r="K14577" s="1063"/>
      <c r="L14577" s="1063"/>
    </row>
    <row r="14578" spans="5:12" x14ac:dyDescent="0.2">
      <c r="E14578" s="1063"/>
      <c r="H14578" s="1066"/>
      <c r="I14578" s="1063"/>
      <c r="J14578" s="1063"/>
      <c r="K14578" s="1063"/>
      <c r="L14578" s="1063"/>
    </row>
    <row r="14579" spans="5:12" x14ac:dyDescent="0.2">
      <c r="E14579" s="1063"/>
      <c r="H14579" s="1066"/>
      <c r="I14579" s="1063"/>
      <c r="J14579" s="1063"/>
      <c r="K14579" s="1063"/>
      <c r="L14579" s="1063"/>
    </row>
    <row r="14580" spans="5:12" x14ac:dyDescent="0.2">
      <c r="E14580" s="1063"/>
      <c r="H14580" s="1066"/>
      <c r="I14580" s="1063"/>
      <c r="J14580" s="1063"/>
      <c r="K14580" s="1063"/>
      <c r="L14580" s="1063"/>
    </row>
    <row r="14581" spans="5:12" x14ac:dyDescent="0.2">
      <c r="E14581" s="1063"/>
      <c r="H14581" s="1066"/>
      <c r="I14581" s="1063"/>
      <c r="J14581" s="1063"/>
      <c r="K14581" s="1063"/>
      <c r="L14581" s="1063"/>
    </row>
    <row r="14582" spans="5:12" x14ac:dyDescent="0.2">
      <c r="E14582" s="1063"/>
      <c r="H14582" s="1066"/>
      <c r="I14582" s="1063"/>
      <c r="J14582" s="1063"/>
      <c r="K14582" s="1063"/>
      <c r="L14582" s="1063"/>
    </row>
    <row r="14583" spans="5:12" x14ac:dyDescent="0.2">
      <c r="E14583" s="1063"/>
      <c r="H14583" s="1066"/>
      <c r="I14583" s="1063"/>
      <c r="J14583" s="1063"/>
      <c r="K14583" s="1063"/>
      <c r="L14583" s="1063"/>
    </row>
    <row r="14584" spans="5:12" x14ac:dyDescent="0.2">
      <c r="E14584" s="1063"/>
      <c r="H14584" s="1066"/>
      <c r="I14584" s="1063"/>
      <c r="J14584" s="1063"/>
      <c r="K14584" s="1063"/>
      <c r="L14584" s="1063"/>
    </row>
    <row r="14585" spans="5:12" x14ac:dyDescent="0.2">
      <c r="E14585" s="1063"/>
      <c r="H14585" s="1066"/>
      <c r="I14585" s="1063"/>
      <c r="J14585" s="1063"/>
      <c r="K14585" s="1063"/>
      <c r="L14585" s="1063"/>
    </row>
    <row r="14586" spans="5:12" x14ac:dyDescent="0.2">
      <c r="E14586" s="1063"/>
      <c r="H14586" s="1066"/>
      <c r="I14586" s="1063"/>
      <c r="J14586" s="1063"/>
      <c r="K14586" s="1063"/>
      <c r="L14586" s="1063"/>
    </row>
    <row r="14587" spans="5:12" x14ac:dyDescent="0.2">
      <c r="E14587" s="1063"/>
      <c r="H14587" s="1066"/>
      <c r="I14587" s="1063"/>
      <c r="J14587" s="1063"/>
      <c r="K14587" s="1063"/>
      <c r="L14587" s="1063"/>
    </row>
    <row r="14588" spans="5:12" x14ac:dyDescent="0.2">
      <c r="E14588" s="1063"/>
      <c r="H14588" s="1066"/>
      <c r="I14588" s="1063"/>
      <c r="J14588" s="1063"/>
      <c r="K14588" s="1063"/>
      <c r="L14588" s="1063"/>
    </row>
    <row r="14589" spans="5:12" x14ac:dyDescent="0.2">
      <c r="E14589" s="1063"/>
      <c r="H14589" s="1066"/>
      <c r="I14589" s="1063"/>
      <c r="J14589" s="1063"/>
      <c r="K14589" s="1063"/>
      <c r="L14589" s="1063"/>
    </row>
    <row r="14590" spans="5:12" x14ac:dyDescent="0.2">
      <c r="E14590" s="1063"/>
      <c r="H14590" s="1066"/>
      <c r="I14590" s="1063"/>
      <c r="J14590" s="1063"/>
      <c r="K14590" s="1063"/>
      <c r="L14590" s="1063"/>
    </row>
    <row r="14591" spans="5:12" x14ac:dyDescent="0.2">
      <c r="E14591" s="1063"/>
      <c r="H14591" s="1066"/>
      <c r="I14591" s="1063"/>
      <c r="J14591" s="1063"/>
      <c r="K14591" s="1063"/>
      <c r="L14591" s="1063"/>
    </row>
    <row r="14592" spans="5:12" x14ac:dyDescent="0.2">
      <c r="E14592" s="1063"/>
      <c r="H14592" s="1066"/>
      <c r="I14592" s="1063"/>
      <c r="J14592" s="1063"/>
      <c r="K14592" s="1063"/>
      <c r="L14592" s="1063"/>
    </row>
    <row r="14593" spans="5:12" x14ac:dyDescent="0.2">
      <c r="E14593" s="1063"/>
      <c r="H14593" s="1066"/>
      <c r="I14593" s="1063"/>
      <c r="J14593" s="1063"/>
      <c r="K14593" s="1063"/>
      <c r="L14593" s="1063"/>
    </row>
    <row r="14594" spans="5:12" x14ac:dyDescent="0.2">
      <c r="E14594" s="1063"/>
      <c r="H14594" s="1066"/>
      <c r="I14594" s="1063"/>
      <c r="J14594" s="1063"/>
      <c r="K14594" s="1063"/>
      <c r="L14594" s="1063"/>
    </row>
    <row r="14595" spans="5:12" x14ac:dyDescent="0.2">
      <c r="E14595" s="1063"/>
      <c r="H14595" s="1066"/>
      <c r="I14595" s="1063"/>
      <c r="J14595" s="1063"/>
      <c r="K14595" s="1063"/>
      <c r="L14595" s="1063"/>
    </row>
    <row r="14596" spans="5:12" x14ac:dyDescent="0.2">
      <c r="E14596" s="1063"/>
      <c r="H14596" s="1066"/>
      <c r="I14596" s="1063"/>
      <c r="J14596" s="1063"/>
      <c r="K14596" s="1063"/>
      <c r="L14596" s="1063"/>
    </row>
    <row r="14597" spans="5:12" x14ac:dyDescent="0.2">
      <c r="E14597" s="1063"/>
      <c r="H14597" s="1066"/>
      <c r="I14597" s="1063"/>
      <c r="J14597" s="1063"/>
      <c r="K14597" s="1063"/>
      <c r="L14597" s="1063"/>
    </row>
    <row r="14598" spans="5:12" x14ac:dyDescent="0.2">
      <c r="E14598" s="1063"/>
      <c r="H14598" s="1066"/>
      <c r="I14598" s="1063"/>
      <c r="J14598" s="1063"/>
      <c r="K14598" s="1063"/>
      <c r="L14598" s="1063"/>
    </row>
    <row r="14599" spans="5:12" x14ac:dyDescent="0.2">
      <c r="E14599" s="1063"/>
      <c r="H14599" s="1066"/>
      <c r="I14599" s="1063"/>
      <c r="J14599" s="1063"/>
      <c r="K14599" s="1063"/>
      <c r="L14599" s="1063"/>
    </row>
    <row r="14600" spans="5:12" x14ac:dyDescent="0.2">
      <c r="E14600" s="1063"/>
      <c r="H14600" s="1066"/>
      <c r="I14600" s="1063"/>
      <c r="J14600" s="1063"/>
      <c r="K14600" s="1063"/>
      <c r="L14600" s="1063"/>
    </row>
    <row r="14601" spans="5:12" x14ac:dyDescent="0.2">
      <c r="E14601" s="1063"/>
      <c r="H14601" s="1066"/>
      <c r="I14601" s="1063"/>
      <c r="J14601" s="1063"/>
      <c r="K14601" s="1063"/>
      <c r="L14601" s="1063"/>
    </row>
    <row r="14602" spans="5:12" x14ac:dyDescent="0.2">
      <c r="E14602" s="1063"/>
      <c r="H14602" s="1066"/>
      <c r="I14602" s="1063"/>
      <c r="J14602" s="1063"/>
      <c r="K14602" s="1063"/>
      <c r="L14602" s="1063"/>
    </row>
    <row r="14603" spans="5:12" x14ac:dyDescent="0.2">
      <c r="E14603" s="1063"/>
      <c r="H14603" s="1066"/>
      <c r="I14603" s="1063"/>
      <c r="J14603" s="1063"/>
      <c r="K14603" s="1063"/>
      <c r="L14603" s="1063"/>
    </row>
    <row r="14604" spans="5:12" x14ac:dyDescent="0.2">
      <c r="E14604" s="1063"/>
      <c r="H14604" s="1066"/>
      <c r="I14604" s="1063"/>
      <c r="J14604" s="1063"/>
      <c r="K14604" s="1063"/>
      <c r="L14604" s="1063"/>
    </row>
    <row r="14605" spans="5:12" x14ac:dyDescent="0.2">
      <c r="E14605" s="1063"/>
      <c r="H14605" s="1066"/>
      <c r="I14605" s="1063"/>
      <c r="J14605" s="1063"/>
      <c r="K14605" s="1063"/>
      <c r="L14605" s="1063"/>
    </row>
    <row r="14606" spans="5:12" x14ac:dyDescent="0.2">
      <c r="E14606" s="1063"/>
      <c r="H14606" s="1066"/>
      <c r="I14606" s="1063"/>
      <c r="J14606" s="1063"/>
      <c r="K14606" s="1063"/>
      <c r="L14606" s="1063"/>
    </row>
    <row r="14607" spans="5:12" x14ac:dyDescent="0.2">
      <c r="E14607" s="1063"/>
      <c r="H14607" s="1066"/>
      <c r="I14607" s="1063"/>
      <c r="J14607" s="1063"/>
      <c r="K14607" s="1063"/>
      <c r="L14607" s="1063"/>
    </row>
    <row r="14608" spans="5:12" x14ac:dyDescent="0.2">
      <c r="E14608" s="1063"/>
      <c r="H14608" s="1066"/>
      <c r="I14608" s="1063"/>
      <c r="J14608" s="1063"/>
      <c r="K14608" s="1063"/>
      <c r="L14608" s="1063"/>
    </row>
    <row r="14609" spans="5:12" x14ac:dyDescent="0.2">
      <c r="E14609" s="1063"/>
      <c r="H14609" s="1066"/>
      <c r="I14609" s="1063"/>
      <c r="J14609" s="1063"/>
      <c r="K14609" s="1063"/>
      <c r="L14609" s="1063"/>
    </row>
    <row r="14610" spans="5:12" x14ac:dyDescent="0.2">
      <c r="E14610" s="1063"/>
      <c r="H14610" s="1066"/>
      <c r="I14610" s="1063"/>
      <c r="J14610" s="1063"/>
      <c r="K14610" s="1063"/>
      <c r="L14610" s="1063"/>
    </row>
    <row r="14611" spans="5:12" x14ac:dyDescent="0.2">
      <c r="E14611" s="1063"/>
      <c r="H14611" s="1066"/>
      <c r="I14611" s="1063"/>
      <c r="J14611" s="1063"/>
      <c r="K14611" s="1063"/>
      <c r="L14611" s="1063"/>
    </row>
    <row r="14612" spans="5:12" x14ac:dyDescent="0.2">
      <c r="E14612" s="1063"/>
      <c r="H14612" s="1066"/>
      <c r="I14612" s="1063"/>
      <c r="J14612" s="1063"/>
      <c r="K14612" s="1063"/>
      <c r="L14612" s="1063"/>
    </row>
    <row r="14613" spans="5:12" x14ac:dyDescent="0.2">
      <c r="E14613" s="1063"/>
      <c r="H14613" s="1066"/>
      <c r="I14613" s="1063"/>
      <c r="J14613" s="1063"/>
      <c r="K14613" s="1063"/>
      <c r="L14613" s="1063"/>
    </row>
    <row r="14614" spans="5:12" x14ac:dyDescent="0.2">
      <c r="E14614" s="1063"/>
      <c r="H14614" s="1066"/>
      <c r="I14614" s="1063"/>
      <c r="J14614" s="1063"/>
      <c r="K14614" s="1063"/>
      <c r="L14614" s="1063"/>
    </row>
    <row r="14615" spans="5:12" x14ac:dyDescent="0.2">
      <c r="E14615" s="1063"/>
      <c r="H14615" s="1066"/>
      <c r="I14615" s="1063"/>
      <c r="J14615" s="1063"/>
      <c r="K14615" s="1063"/>
      <c r="L14615" s="1063"/>
    </row>
    <row r="14616" spans="5:12" x14ac:dyDescent="0.2">
      <c r="E14616" s="1063"/>
      <c r="H14616" s="1066"/>
      <c r="I14616" s="1063"/>
      <c r="J14616" s="1063"/>
      <c r="K14616" s="1063"/>
      <c r="L14616" s="1063"/>
    </row>
    <row r="14617" spans="5:12" x14ac:dyDescent="0.2">
      <c r="E14617" s="1063"/>
      <c r="H14617" s="1066"/>
      <c r="I14617" s="1063"/>
      <c r="J14617" s="1063"/>
      <c r="K14617" s="1063"/>
      <c r="L14617" s="1063"/>
    </row>
    <row r="14618" spans="5:12" x14ac:dyDescent="0.2">
      <c r="E14618" s="1063"/>
      <c r="H14618" s="1066"/>
      <c r="I14618" s="1063"/>
      <c r="J14618" s="1063"/>
      <c r="K14618" s="1063"/>
      <c r="L14618" s="1063"/>
    </row>
    <row r="14619" spans="5:12" x14ac:dyDescent="0.2">
      <c r="E14619" s="1063"/>
      <c r="H14619" s="1066"/>
      <c r="I14619" s="1063"/>
      <c r="J14619" s="1063"/>
      <c r="K14619" s="1063"/>
      <c r="L14619" s="1063"/>
    </row>
    <row r="14620" spans="5:12" x14ac:dyDescent="0.2">
      <c r="E14620" s="1063"/>
      <c r="H14620" s="1066"/>
      <c r="I14620" s="1063"/>
      <c r="J14620" s="1063"/>
      <c r="K14620" s="1063"/>
      <c r="L14620" s="1063"/>
    </row>
    <row r="14621" spans="5:12" x14ac:dyDescent="0.2">
      <c r="E14621" s="1063"/>
      <c r="H14621" s="1066"/>
      <c r="I14621" s="1063"/>
      <c r="J14621" s="1063"/>
      <c r="K14621" s="1063"/>
      <c r="L14621" s="1063"/>
    </row>
    <row r="14622" spans="5:12" x14ac:dyDescent="0.2">
      <c r="E14622" s="1063"/>
      <c r="H14622" s="1066"/>
      <c r="I14622" s="1063"/>
      <c r="J14622" s="1063"/>
      <c r="K14622" s="1063"/>
      <c r="L14622" s="1063"/>
    </row>
    <row r="14623" spans="5:12" x14ac:dyDescent="0.2">
      <c r="E14623" s="1063"/>
      <c r="H14623" s="1066"/>
      <c r="I14623" s="1063"/>
      <c r="J14623" s="1063"/>
      <c r="K14623" s="1063"/>
      <c r="L14623" s="1063"/>
    </row>
    <row r="14624" spans="5:12" x14ac:dyDescent="0.2">
      <c r="E14624" s="1063"/>
      <c r="H14624" s="1066"/>
      <c r="I14624" s="1063"/>
      <c r="J14624" s="1063"/>
      <c r="K14624" s="1063"/>
      <c r="L14624" s="1063"/>
    </row>
    <row r="14625" spans="5:12" x14ac:dyDescent="0.2">
      <c r="E14625" s="1063"/>
      <c r="H14625" s="1066"/>
      <c r="I14625" s="1063"/>
      <c r="J14625" s="1063"/>
      <c r="K14625" s="1063"/>
      <c r="L14625" s="1063"/>
    </row>
    <row r="14626" spans="5:12" x14ac:dyDescent="0.2">
      <c r="E14626" s="1063"/>
      <c r="H14626" s="1066"/>
      <c r="I14626" s="1063"/>
      <c r="J14626" s="1063"/>
      <c r="K14626" s="1063"/>
      <c r="L14626" s="1063"/>
    </row>
    <row r="14627" spans="5:12" x14ac:dyDescent="0.2">
      <c r="E14627" s="1063"/>
      <c r="H14627" s="1066"/>
      <c r="I14627" s="1063"/>
      <c r="J14627" s="1063"/>
      <c r="K14627" s="1063"/>
      <c r="L14627" s="1063"/>
    </row>
    <row r="14628" spans="5:12" x14ac:dyDescent="0.2">
      <c r="E14628" s="1063"/>
      <c r="H14628" s="1066"/>
      <c r="I14628" s="1063"/>
      <c r="J14628" s="1063"/>
      <c r="K14628" s="1063"/>
      <c r="L14628" s="1063"/>
    </row>
    <row r="14629" spans="5:12" x14ac:dyDescent="0.2">
      <c r="E14629" s="1063"/>
      <c r="H14629" s="1066"/>
      <c r="I14629" s="1063"/>
      <c r="J14629" s="1063"/>
      <c r="K14629" s="1063"/>
      <c r="L14629" s="1063"/>
    </row>
    <row r="14630" spans="5:12" x14ac:dyDescent="0.2">
      <c r="E14630" s="1063"/>
      <c r="H14630" s="1066"/>
      <c r="I14630" s="1063"/>
      <c r="J14630" s="1063"/>
      <c r="K14630" s="1063"/>
      <c r="L14630" s="1063"/>
    </row>
    <row r="14631" spans="5:12" x14ac:dyDescent="0.2">
      <c r="E14631" s="1063"/>
      <c r="H14631" s="1066"/>
      <c r="I14631" s="1063"/>
      <c r="J14631" s="1063"/>
      <c r="K14631" s="1063"/>
      <c r="L14631" s="1063"/>
    </row>
    <row r="14632" spans="5:12" x14ac:dyDescent="0.2">
      <c r="E14632" s="1063"/>
      <c r="H14632" s="1066"/>
      <c r="I14632" s="1063"/>
      <c r="J14632" s="1063"/>
      <c r="K14632" s="1063"/>
      <c r="L14632" s="1063"/>
    </row>
    <row r="14633" spans="5:12" x14ac:dyDescent="0.2">
      <c r="E14633" s="1063"/>
      <c r="H14633" s="1066"/>
      <c r="I14633" s="1063"/>
      <c r="J14633" s="1063"/>
      <c r="K14633" s="1063"/>
      <c r="L14633" s="1063"/>
    </row>
    <row r="14634" spans="5:12" x14ac:dyDescent="0.2">
      <c r="E14634" s="1063"/>
      <c r="H14634" s="1066"/>
      <c r="I14634" s="1063"/>
      <c r="J14634" s="1063"/>
      <c r="K14634" s="1063"/>
      <c r="L14634" s="1063"/>
    </row>
    <row r="14635" spans="5:12" x14ac:dyDescent="0.2">
      <c r="E14635" s="1063"/>
      <c r="H14635" s="1066"/>
      <c r="I14635" s="1063"/>
      <c r="J14635" s="1063"/>
      <c r="K14635" s="1063"/>
      <c r="L14635" s="1063"/>
    </row>
    <row r="14636" spans="5:12" x14ac:dyDescent="0.2">
      <c r="E14636" s="1063"/>
      <c r="H14636" s="1066"/>
      <c r="I14636" s="1063"/>
      <c r="J14636" s="1063"/>
      <c r="K14636" s="1063"/>
      <c r="L14636" s="1063"/>
    </row>
    <row r="14637" spans="5:12" x14ac:dyDescent="0.2">
      <c r="E14637" s="1063"/>
      <c r="H14637" s="1066"/>
      <c r="I14637" s="1063"/>
      <c r="J14637" s="1063"/>
      <c r="K14637" s="1063"/>
      <c r="L14637" s="1063"/>
    </row>
    <row r="14638" spans="5:12" x14ac:dyDescent="0.2">
      <c r="E14638" s="1063"/>
      <c r="H14638" s="1066"/>
      <c r="I14638" s="1063"/>
      <c r="J14638" s="1063"/>
      <c r="K14638" s="1063"/>
      <c r="L14638" s="1063"/>
    </row>
    <row r="14639" spans="5:12" x14ac:dyDescent="0.2">
      <c r="E14639" s="1063"/>
      <c r="H14639" s="1066"/>
      <c r="I14639" s="1063"/>
      <c r="J14639" s="1063"/>
      <c r="K14639" s="1063"/>
      <c r="L14639" s="1063"/>
    </row>
    <row r="14640" spans="5:12" x14ac:dyDescent="0.2">
      <c r="E14640" s="1063"/>
      <c r="H14640" s="1066"/>
      <c r="I14640" s="1063"/>
      <c r="J14640" s="1063"/>
      <c r="K14640" s="1063"/>
      <c r="L14640" s="1063"/>
    </row>
    <row r="14641" spans="5:12" x14ac:dyDescent="0.2">
      <c r="E14641" s="1063"/>
      <c r="H14641" s="1066"/>
      <c r="I14641" s="1063"/>
      <c r="J14641" s="1063"/>
      <c r="K14641" s="1063"/>
      <c r="L14641" s="1063"/>
    </row>
    <row r="14642" spans="5:12" x14ac:dyDescent="0.2">
      <c r="E14642" s="1063"/>
      <c r="H14642" s="1066"/>
      <c r="I14642" s="1063"/>
      <c r="J14642" s="1063"/>
      <c r="K14642" s="1063"/>
      <c r="L14642" s="1063"/>
    </row>
    <row r="14643" spans="5:12" x14ac:dyDescent="0.2">
      <c r="E14643" s="1063"/>
      <c r="H14643" s="1066"/>
      <c r="I14643" s="1063"/>
      <c r="J14643" s="1063"/>
      <c r="K14643" s="1063"/>
      <c r="L14643" s="1063"/>
    </row>
    <row r="14644" spans="5:12" x14ac:dyDescent="0.2">
      <c r="E14644" s="1063"/>
      <c r="H14644" s="1066"/>
      <c r="I14644" s="1063"/>
      <c r="J14644" s="1063"/>
      <c r="K14644" s="1063"/>
      <c r="L14644" s="1063"/>
    </row>
    <row r="14645" spans="5:12" x14ac:dyDescent="0.2">
      <c r="E14645" s="1063"/>
      <c r="H14645" s="1066"/>
      <c r="I14645" s="1063"/>
      <c r="J14645" s="1063"/>
      <c r="K14645" s="1063"/>
      <c r="L14645" s="1063"/>
    </row>
    <row r="14646" spans="5:12" x14ac:dyDescent="0.2">
      <c r="E14646" s="1063"/>
      <c r="H14646" s="1066"/>
      <c r="I14646" s="1063"/>
      <c r="J14646" s="1063"/>
      <c r="K14646" s="1063"/>
      <c r="L14646" s="1063"/>
    </row>
    <row r="14647" spans="5:12" x14ac:dyDescent="0.2">
      <c r="E14647" s="1063"/>
      <c r="H14647" s="1066"/>
      <c r="I14647" s="1063"/>
      <c r="J14647" s="1063"/>
      <c r="K14647" s="1063"/>
      <c r="L14647" s="1063"/>
    </row>
    <row r="14648" spans="5:12" x14ac:dyDescent="0.2">
      <c r="E14648" s="1063"/>
      <c r="H14648" s="1066"/>
      <c r="I14648" s="1063"/>
      <c r="J14648" s="1063"/>
      <c r="K14648" s="1063"/>
      <c r="L14648" s="1063"/>
    </row>
    <row r="14649" spans="5:12" x14ac:dyDescent="0.2">
      <c r="E14649" s="1063"/>
      <c r="H14649" s="1066"/>
      <c r="I14649" s="1063"/>
      <c r="J14649" s="1063"/>
      <c r="K14649" s="1063"/>
      <c r="L14649" s="1063"/>
    </row>
    <row r="14650" spans="5:12" x14ac:dyDescent="0.2">
      <c r="E14650" s="1063"/>
      <c r="H14650" s="1066"/>
      <c r="I14650" s="1063"/>
      <c r="J14650" s="1063"/>
      <c r="K14650" s="1063"/>
      <c r="L14650" s="1063"/>
    </row>
    <row r="14651" spans="5:12" x14ac:dyDescent="0.2">
      <c r="E14651" s="1063"/>
      <c r="H14651" s="1066"/>
      <c r="I14651" s="1063"/>
      <c r="J14651" s="1063"/>
      <c r="K14651" s="1063"/>
      <c r="L14651" s="1063"/>
    </row>
    <row r="14652" spans="5:12" x14ac:dyDescent="0.2">
      <c r="E14652" s="1063"/>
      <c r="H14652" s="1066"/>
      <c r="I14652" s="1063"/>
      <c r="J14652" s="1063"/>
      <c r="K14652" s="1063"/>
      <c r="L14652" s="1063"/>
    </row>
    <row r="14653" spans="5:12" x14ac:dyDescent="0.2">
      <c r="E14653" s="1063"/>
      <c r="H14653" s="1066"/>
      <c r="I14653" s="1063"/>
      <c r="J14653" s="1063"/>
      <c r="K14653" s="1063"/>
      <c r="L14653" s="1063"/>
    </row>
    <row r="14654" spans="5:12" x14ac:dyDescent="0.2">
      <c r="E14654" s="1063"/>
      <c r="H14654" s="1066"/>
      <c r="I14654" s="1063"/>
      <c r="J14654" s="1063"/>
      <c r="K14654" s="1063"/>
      <c r="L14654" s="1063"/>
    </row>
    <row r="14655" spans="5:12" x14ac:dyDescent="0.2">
      <c r="E14655" s="1063"/>
      <c r="H14655" s="1066"/>
      <c r="I14655" s="1063"/>
      <c r="J14655" s="1063"/>
      <c r="K14655" s="1063"/>
      <c r="L14655" s="1063"/>
    </row>
    <row r="14656" spans="5:12" x14ac:dyDescent="0.2">
      <c r="E14656" s="1063"/>
      <c r="H14656" s="1066"/>
      <c r="I14656" s="1063"/>
      <c r="J14656" s="1063"/>
      <c r="K14656" s="1063"/>
      <c r="L14656" s="1063"/>
    </row>
    <row r="14657" spans="5:12" x14ac:dyDescent="0.2">
      <c r="E14657" s="1063"/>
      <c r="H14657" s="1066"/>
      <c r="I14657" s="1063"/>
      <c r="J14657" s="1063"/>
      <c r="K14657" s="1063"/>
      <c r="L14657" s="1063"/>
    </row>
    <row r="14658" spans="5:12" x14ac:dyDescent="0.2">
      <c r="E14658" s="1063"/>
      <c r="H14658" s="1066"/>
      <c r="I14658" s="1063"/>
      <c r="J14658" s="1063"/>
      <c r="K14658" s="1063"/>
      <c r="L14658" s="1063"/>
    </row>
    <row r="14659" spans="5:12" x14ac:dyDescent="0.2">
      <c r="E14659" s="1063"/>
      <c r="H14659" s="1066"/>
      <c r="I14659" s="1063"/>
      <c r="J14659" s="1063"/>
      <c r="K14659" s="1063"/>
      <c r="L14659" s="1063"/>
    </row>
    <row r="14660" spans="5:12" x14ac:dyDescent="0.2">
      <c r="E14660" s="1063"/>
      <c r="H14660" s="1066"/>
      <c r="I14660" s="1063"/>
      <c r="J14660" s="1063"/>
      <c r="K14660" s="1063"/>
      <c r="L14660" s="1063"/>
    </row>
    <row r="14661" spans="5:12" x14ac:dyDescent="0.2">
      <c r="E14661" s="1063"/>
      <c r="H14661" s="1066"/>
      <c r="I14661" s="1063"/>
      <c r="J14661" s="1063"/>
      <c r="K14661" s="1063"/>
      <c r="L14661" s="1063"/>
    </row>
    <row r="14662" spans="5:12" x14ac:dyDescent="0.2">
      <c r="E14662" s="1063"/>
      <c r="H14662" s="1066"/>
      <c r="I14662" s="1063"/>
      <c r="J14662" s="1063"/>
      <c r="K14662" s="1063"/>
      <c r="L14662" s="1063"/>
    </row>
    <row r="14663" spans="5:12" x14ac:dyDescent="0.2">
      <c r="E14663" s="1063"/>
      <c r="H14663" s="1066"/>
      <c r="I14663" s="1063"/>
      <c r="J14663" s="1063"/>
      <c r="K14663" s="1063"/>
      <c r="L14663" s="1063"/>
    </row>
    <row r="14664" spans="5:12" x14ac:dyDescent="0.2">
      <c r="E14664" s="1063"/>
      <c r="H14664" s="1066"/>
      <c r="I14664" s="1063"/>
      <c r="J14664" s="1063"/>
      <c r="K14664" s="1063"/>
      <c r="L14664" s="1063"/>
    </row>
    <row r="14665" spans="5:12" x14ac:dyDescent="0.2">
      <c r="E14665" s="1063"/>
      <c r="H14665" s="1066"/>
      <c r="I14665" s="1063"/>
      <c r="J14665" s="1063"/>
      <c r="K14665" s="1063"/>
      <c r="L14665" s="1063"/>
    </row>
    <row r="14666" spans="5:12" x14ac:dyDescent="0.2">
      <c r="E14666" s="1063"/>
      <c r="H14666" s="1066"/>
      <c r="I14666" s="1063"/>
      <c r="J14666" s="1063"/>
      <c r="K14666" s="1063"/>
      <c r="L14666" s="1063"/>
    </row>
    <row r="14667" spans="5:12" x14ac:dyDescent="0.2">
      <c r="E14667" s="1063"/>
      <c r="H14667" s="1066"/>
      <c r="I14667" s="1063"/>
      <c r="J14667" s="1063"/>
      <c r="K14667" s="1063"/>
      <c r="L14667" s="1063"/>
    </row>
    <row r="14668" spans="5:12" x14ac:dyDescent="0.2">
      <c r="E14668" s="1063"/>
      <c r="H14668" s="1066"/>
      <c r="I14668" s="1063"/>
      <c r="J14668" s="1063"/>
      <c r="K14668" s="1063"/>
      <c r="L14668" s="1063"/>
    </row>
    <row r="14669" spans="5:12" x14ac:dyDescent="0.2">
      <c r="E14669" s="1063"/>
      <c r="H14669" s="1066"/>
      <c r="I14669" s="1063"/>
      <c r="J14669" s="1063"/>
      <c r="K14669" s="1063"/>
      <c r="L14669" s="1063"/>
    </row>
    <row r="14670" spans="5:12" x14ac:dyDescent="0.2">
      <c r="E14670" s="1063"/>
      <c r="H14670" s="1066"/>
      <c r="I14670" s="1063"/>
      <c r="J14670" s="1063"/>
      <c r="K14670" s="1063"/>
      <c r="L14670" s="1063"/>
    </row>
    <row r="14671" spans="5:12" x14ac:dyDescent="0.2">
      <c r="E14671" s="1063"/>
      <c r="H14671" s="1066"/>
      <c r="I14671" s="1063"/>
      <c r="J14671" s="1063"/>
      <c r="K14671" s="1063"/>
      <c r="L14671" s="1063"/>
    </row>
    <row r="14672" spans="5:12" x14ac:dyDescent="0.2">
      <c r="E14672" s="1063"/>
      <c r="H14672" s="1066"/>
      <c r="I14672" s="1063"/>
      <c r="J14672" s="1063"/>
      <c r="K14672" s="1063"/>
      <c r="L14672" s="1063"/>
    </row>
    <row r="14673" spans="5:12" x14ac:dyDescent="0.2">
      <c r="E14673" s="1063"/>
      <c r="H14673" s="1066"/>
      <c r="I14673" s="1063"/>
      <c r="J14673" s="1063"/>
      <c r="K14673" s="1063"/>
      <c r="L14673" s="1063"/>
    </row>
    <row r="14674" spans="5:12" x14ac:dyDescent="0.2">
      <c r="E14674" s="1063"/>
      <c r="H14674" s="1066"/>
      <c r="I14674" s="1063"/>
      <c r="J14674" s="1063"/>
      <c r="K14674" s="1063"/>
      <c r="L14674" s="1063"/>
    </row>
    <row r="14675" spans="5:12" x14ac:dyDescent="0.2">
      <c r="E14675" s="1063"/>
      <c r="H14675" s="1066"/>
      <c r="I14675" s="1063"/>
      <c r="J14675" s="1063"/>
      <c r="K14675" s="1063"/>
      <c r="L14675" s="1063"/>
    </row>
    <row r="14676" spans="5:12" x14ac:dyDescent="0.2">
      <c r="E14676" s="1063"/>
      <c r="H14676" s="1066"/>
      <c r="I14676" s="1063"/>
      <c r="J14676" s="1063"/>
      <c r="K14676" s="1063"/>
      <c r="L14676" s="1063"/>
    </row>
    <row r="14677" spans="5:12" x14ac:dyDescent="0.2">
      <c r="E14677" s="1063"/>
      <c r="H14677" s="1066"/>
      <c r="I14677" s="1063"/>
      <c r="J14677" s="1063"/>
      <c r="K14677" s="1063"/>
      <c r="L14677" s="1063"/>
    </row>
    <row r="14678" spans="5:12" x14ac:dyDescent="0.2">
      <c r="E14678" s="1063"/>
      <c r="H14678" s="1066"/>
      <c r="I14678" s="1063"/>
      <c r="J14678" s="1063"/>
      <c r="K14678" s="1063"/>
      <c r="L14678" s="1063"/>
    </row>
    <row r="14679" spans="5:12" x14ac:dyDescent="0.2">
      <c r="E14679" s="1063"/>
      <c r="H14679" s="1066"/>
      <c r="I14679" s="1063"/>
      <c r="J14679" s="1063"/>
      <c r="K14679" s="1063"/>
      <c r="L14679" s="1063"/>
    </row>
    <row r="14680" spans="5:12" x14ac:dyDescent="0.2">
      <c r="E14680" s="1063"/>
      <c r="H14680" s="1066"/>
      <c r="I14680" s="1063"/>
      <c r="J14680" s="1063"/>
      <c r="K14680" s="1063"/>
      <c r="L14680" s="1063"/>
    </row>
    <row r="14681" spans="5:12" x14ac:dyDescent="0.2">
      <c r="E14681" s="1063"/>
      <c r="H14681" s="1066"/>
      <c r="I14681" s="1063"/>
      <c r="J14681" s="1063"/>
      <c r="K14681" s="1063"/>
      <c r="L14681" s="1063"/>
    </row>
    <row r="14682" spans="5:12" x14ac:dyDescent="0.2">
      <c r="E14682" s="1063"/>
      <c r="H14682" s="1066"/>
      <c r="I14682" s="1063"/>
      <c r="J14682" s="1063"/>
      <c r="K14682" s="1063"/>
      <c r="L14682" s="1063"/>
    </row>
    <row r="14683" spans="5:12" x14ac:dyDescent="0.2">
      <c r="E14683" s="1063"/>
      <c r="H14683" s="1066"/>
      <c r="I14683" s="1063"/>
      <c r="J14683" s="1063"/>
      <c r="K14683" s="1063"/>
      <c r="L14683" s="1063"/>
    </row>
    <row r="14684" spans="5:12" x14ac:dyDescent="0.2">
      <c r="E14684" s="1063"/>
      <c r="H14684" s="1066"/>
      <c r="I14684" s="1063"/>
      <c r="J14684" s="1063"/>
      <c r="K14684" s="1063"/>
      <c r="L14684" s="1063"/>
    </row>
    <row r="14685" spans="5:12" x14ac:dyDescent="0.2">
      <c r="E14685" s="1063"/>
      <c r="H14685" s="1066"/>
      <c r="I14685" s="1063"/>
      <c r="J14685" s="1063"/>
      <c r="K14685" s="1063"/>
      <c r="L14685" s="1063"/>
    </row>
    <row r="14686" spans="5:12" x14ac:dyDescent="0.2">
      <c r="E14686" s="1063"/>
      <c r="H14686" s="1066"/>
      <c r="I14686" s="1063"/>
      <c r="J14686" s="1063"/>
      <c r="K14686" s="1063"/>
      <c r="L14686" s="1063"/>
    </row>
    <row r="14687" spans="5:12" x14ac:dyDescent="0.2">
      <c r="E14687" s="1063"/>
      <c r="H14687" s="1066"/>
      <c r="I14687" s="1063"/>
      <c r="J14687" s="1063"/>
      <c r="K14687" s="1063"/>
      <c r="L14687" s="1063"/>
    </row>
    <row r="14688" spans="5:12" x14ac:dyDescent="0.2">
      <c r="E14688" s="1063"/>
      <c r="H14688" s="1066"/>
      <c r="I14688" s="1063"/>
      <c r="J14688" s="1063"/>
      <c r="K14688" s="1063"/>
      <c r="L14688" s="1063"/>
    </row>
    <row r="14689" spans="5:12" x14ac:dyDescent="0.2">
      <c r="E14689" s="1063"/>
      <c r="H14689" s="1066"/>
      <c r="I14689" s="1063"/>
      <c r="J14689" s="1063"/>
      <c r="K14689" s="1063"/>
      <c r="L14689" s="1063"/>
    </row>
    <row r="14690" spans="5:12" x14ac:dyDescent="0.2">
      <c r="E14690" s="1063"/>
      <c r="H14690" s="1066"/>
      <c r="I14690" s="1063"/>
      <c r="J14690" s="1063"/>
      <c r="K14690" s="1063"/>
      <c r="L14690" s="1063"/>
    </row>
    <row r="14691" spans="5:12" x14ac:dyDescent="0.2">
      <c r="E14691" s="1063"/>
      <c r="H14691" s="1066"/>
      <c r="I14691" s="1063"/>
      <c r="J14691" s="1063"/>
      <c r="K14691" s="1063"/>
      <c r="L14691" s="1063"/>
    </row>
    <row r="14692" spans="5:12" x14ac:dyDescent="0.2">
      <c r="E14692" s="1063"/>
      <c r="H14692" s="1066"/>
      <c r="I14692" s="1063"/>
      <c r="J14692" s="1063"/>
      <c r="K14692" s="1063"/>
      <c r="L14692" s="1063"/>
    </row>
    <row r="14693" spans="5:12" x14ac:dyDescent="0.2">
      <c r="E14693" s="1063"/>
      <c r="H14693" s="1066"/>
      <c r="I14693" s="1063"/>
      <c r="J14693" s="1063"/>
      <c r="K14693" s="1063"/>
      <c r="L14693" s="1063"/>
    </row>
    <row r="14694" spans="5:12" x14ac:dyDescent="0.2">
      <c r="E14694" s="1063"/>
      <c r="H14694" s="1066"/>
      <c r="I14694" s="1063"/>
      <c r="J14694" s="1063"/>
      <c r="K14694" s="1063"/>
      <c r="L14694" s="1063"/>
    </row>
    <row r="14695" spans="5:12" x14ac:dyDescent="0.2">
      <c r="E14695" s="1063"/>
      <c r="H14695" s="1066"/>
      <c r="I14695" s="1063"/>
      <c r="J14695" s="1063"/>
      <c r="K14695" s="1063"/>
      <c r="L14695" s="1063"/>
    </row>
    <row r="14696" spans="5:12" x14ac:dyDescent="0.2">
      <c r="E14696" s="1063"/>
      <c r="H14696" s="1066"/>
      <c r="I14696" s="1063"/>
      <c r="J14696" s="1063"/>
      <c r="K14696" s="1063"/>
      <c r="L14696" s="1063"/>
    </row>
    <row r="14697" spans="5:12" x14ac:dyDescent="0.2">
      <c r="E14697" s="1063"/>
      <c r="H14697" s="1066"/>
      <c r="I14697" s="1063"/>
      <c r="J14697" s="1063"/>
      <c r="K14697" s="1063"/>
      <c r="L14697" s="1063"/>
    </row>
    <row r="14698" spans="5:12" x14ac:dyDescent="0.2">
      <c r="E14698" s="1063"/>
      <c r="H14698" s="1066"/>
      <c r="I14698" s="1063"/>
      <c r="J14698" s="1063"/>
      <c r="K14698" s="1063"/>
      <c r="L14698" s="1063"/>
    </row>
    <row r="14699" spans="5:12" x14ac:dyDescent="0.2">
      <c r="E14699" s="1063"/>
      <c r="H14699" s="1066"/>
      <c r="I14699" s="1063"/>
      <c r="J14699" s="1063"/>
      <c r="K14699" s="1063"/>
      <c r="L14699" s="1063"/>
    </row>
    <row r="14700" spans="5:12" x14ac:dyDescent="0.2">
      <c r="E14700" s="1063"/>
      <c r="H14700" s="1066"/>
      <c r="I14700" s="1063"/>
      <c r="J14700" s="1063"/>
      <c r="K14700" s="1063"/>
      <c r="L14700" s="1063"/>
    </row>
    <row r="14701" spans="5:12" x14ac:dyDescent="0.2">
      <c r="E14701" s="1063"/>
      <c r="H14701" s="1066"/>
      <c r="I14701" s="1063"/>
      <c r="J14701" s="1063"/>
      <c r="K14701" s="1063"/>
      <c r="L14701" s="1063"/>
    </row>
    <row r="14702" spans="5:12" x14ac:dyDescent="0.2">
      <c r="E14702" s="1063"/>
      <c r="H14702" s="1066"/>
      <c r="I14702" s="1063"/>
      <c r="J14702" s="1063"/>
      <c r="K14702" s="1063"/>
      <c r="L14702" s="1063"/>
    </row>
    <row r="14703" spans="5:12" x14ac:dyDescent="0.2">
      <c r="E14703" s="1063"/>
      <c r="H14703" s="1066"/>
      <c r="I14703" s="1063"/>
      <c r="J14703" s="1063"/>
      <c r="K14703" s="1063"/>
      <c r="L14703" s="1063"/>
    </row>
    <row r="14704" spans="5:12" x14ac:dyDescent="0.2">
      <c r="E14704" s="1063"/>
      <c r="H14704" s="1066"/>
      <c r="I14704" s="1063"/>
      <c r="J14704" s="1063"/>
      <c r="K14704" s="1063"/>
      <c r="L14704" s="1063"/>
    </row>
    <row r="14705" spans="5:12" x14ac:dyDescent="0.2">
      <c r="E14705" s="1063"/>
      <c r="H14705" s="1066"/>
      <c r="I14705" s="1063"/>
      <c r="J14705" s="1063"/>
      <c r="K14705" s="1063"/>
      <c r="L14705" s="1063"/>
    </row>
    <row r="14706" spans="5:12" x14ac:dyDescent="0.2">
      <c r="E14706" s="1063"/>
      <c r="H14706" s="1066"/>
      <c r="I14706" s="1063"/>
      <c r="J14706" s="1063"/>
      <c r="K14706" s="1063"/>
      <c r="L14706" s="1063"/>
    </row>
    <row r="14707" spans="5:12" x14ac:dyDescent="0.2">
      <c r="E14707" s="1063"/>
      <c r="H14707" s="1066"/>
      <c r="I14707" s="1063"/>
      <c r="J14707" s="1063"/>
      <c r="K14707" s="1063"/>
      <c r="L14707" s="1063"/>
    </row>
    <row r="14708" spans="5:12" x14ac:dyDescent="0.2">
      <c r="E14708" s="1063"/>
      <c r="H14708" s="1066"/>
      <c r="I14708" s="1063"/>
      <c r="J14708" s="1063"/>
      <c r="K14708" s="1063"/>
      <c r="L14708" s="1063"/>
    </row>
    <row r="14709" spans="5:12" x14ac:dyDescent="0.2">
      <c r="E14709" s="1063"/>
      <c r="H14709" s="1066"/>
      <c r="I14709" s="1063"/>
      <c r="J14709" s="1063"/>
      <c r="K14709" s="1063"/>
      <c r="L14709" s="1063"/>
    </row>
    <row r="14710" spans="5:12" x14ac:dyDescent="0.2">
      <c r="E14710" s="1063"/>
      <c r="H14710" s="1066"/>
      <c r="I14710" s="1063"/>
      <c r="J14710" s="1063"/>
      <c r="K14710" s="1063"/>
      <c r="L14710" s="1063"/>
    </row>
    <row r="14711" spans="5:12" x14ac:dyDescent="0.2">
      <c r="E14711" s="1063"/>
      <c r="H14711" s="1066"/>
      <c r="I14711" s="1063"/>
      <c r="J14711" s="1063"/>
      <c r="K14711" s="1063"/>
      <c r="L14711" s="1063"/>
    </row>
    <row r="14712" spans="5:12" x14ac:dyDescent="0.2">
      <c r="E14712" s="1063"/>
      <c r="H14712" s="1066"/>
      <c r="I14712" s="1063"/>
      <c r="J14712" s="1063"/>
      <c r="K14712" s="1063"/>
      <c r="L14712" s="1063"/>
    </row>
    <row r="14713" spans="5:12" x14ac:dyDescent="0.2">
      <c r="E14713" s="1063"/>
      <c r="H14713" s="1066"/>
      <c r="I14713" s="1063"/>
      <c r="J14713" s="1063"/>
      <c r="K14713" s="1063"/>
      <c r="L14713" s="1063"/>
    </row>
    <row r="14714" spans="5:12" x14ac:dyDescent="0.2">
      <c r="E14714" s="1063"/>
      <c r="H14714" s="1066"/>
      <c r="I14714" s="1063"/>
      <c r="J14714" s="1063"/>
      <c r="K14714" s="1063"/>
      <c r="L14714" s="1063"/>
    </row>
    <row r="14715" spans="5:12" x14ac:dyDescent="0.2">
      <c r="E14715" s="1063"/>
      <c r="H14715" s="1066"/>
      <c r="I14715" s="1063"/>
      <c r="J14715" s="1063"/>
      <c r="K14715" s="1063"/>
      <c r="L14715" s="1063"/>
    </row>
    <row r="14716" spans="5:12" x14ac:dyDescent="0.2">
      <c r="E14716" s="1063"/>
      <c r="H14716" s="1066"/>
      <c r="I14716" s="1063"/>
      <c r="J14716" s="1063"/>
      <c r="K14716" s="1063"/>
      <c r="L14716" s="1063"/>
    </row>
    <row r="14717" spans="5:12" x14ac:dyDescent="0.2">
      <c r="E14717" s="1063"/>
      <c r="H14717" s="1066"/>
      <c r="I14717" s="1063"/>
      <c r="J14717" s="1063"/>
      <c r="K14717" s="1063"/>
      <c r="L14717" s="1063"/>
    </row>
    <row r="14718" spans="5:12" x14ac:dyDescent="0.2">
      <c r="E14718" s="1063"/>
      <c r="H14718" s="1066"/>
      <c r="I14718" s="1063"/>
      <c r="J14718" s="1063"/>
      <c r="K14718" s="1063"/>
      <c r="L14718" s="1063"/>
    </row>
    <row r="14719" spans="5:12" x14ac:dyDescent="0.2">
      <c r="E14719" s="1063"/>
      <c r="H14719" s="1066"/>
      <c r="I14719" s="1063"/>
      <c r="J14719" s="1063"/>
      <c r="K14719" s="1063"/>
      <c r="L14719" s="1063"/>
    </row>
    <row r="14720" spans="5:12" x14ac:dyDescent="0.2">
      <c r="E14720" s="1063"/>
      <c r="H14720" s="1066"/>
      <c r="I14720" s="1063"/>
      <c r="J14720" s="1063"/>
      <c r="K14720" s="1063"/>
      <c r="L14720" s="1063"/>
    </row>
    <row r="14721" spans="5:12" x14ac:dyDescent="0.2">
      <c r="E14721" s="1063"/>
      <c r="H14721" s="1066"/>
      <c r="I14721" s="1063"/>
      <c r="J14721" s="1063"/>
      <c r="K14721" s="1063"/>
      <c r="L14721" s="1063"/>
    </row>
    <row r="14722" spans="5:12" x14ac:dyDescent="0.2">
      <c r="E14722" s="1063"/>
      <c r="H14722" s="1066"/>
      <c r="I14722" s="1063"/>
      <c r="J14722" s="1063"/>
      <c r="K14722" s="1063"/>
      <c r="L14722" s="1063"/>
    </row>
    <row r="14723" spans="5:12" x14ac:dyDescent="0.2">
      <c r="E14723" s="1063"/>
      <c r="H14723" s="1066"/>
      <c r="I14723" s="1063"/>
      <c r="J14723" s="1063"/>
      <c r="K14723" s="1063"/>
      <c r="L14723" s="1063"/>
    </row>
    <row r="14724" spans="5:12" x14ac:dyDescent="0.2">
      <c r="E14724" s="1063"/>
      <c r="H14724" s="1066"/>
      <c r="I14724" s="1063"/>
      <c r="J14724" s="1063"/>
      <c r="K14724" s="1063"/>
      <c r="L14724" s="1063"/>
    </row>
    <row r="14725" spans="5:12" x14ac:dyDescent="0.2">
      <c r="E14725" s="1063"/>
      <c r="H14725" s="1066"/>
      <c r="I14725" s="1063"/>
      <c r="J14725" s="1063"/>
      <c r="K14725" s="1063"/>
      <c r="L14725" s="1063"/>
    </row>
    <row r="14726" spans="5:12" x14ac:dyDescent="0.2">
      <c r="E14726" s="1063"/>
      <c r="H14726" s="1066"/>
      <c r="I14726" s="1063"/>
      <c r="J14726" s="1063"/>
      <c r="K14726" s="1063"/>
      <c r="L14726" s="1063"/>
    </row>
    <row r="14727" spans="5:12" x14ac:dyDescent="0.2">
      <c r="E14727" s="1063"/>
      <c r="H14727" s="1066"/>
      <c r="I14727" s="1063"/>
      <c r="J14727" s="1063"/>
      <c r="K14727" s="1063"/>
      <c r="L14727" s="1063"/>
    </row>
    <row r="14728" spans="5:12" x14ac:dyDescent="0.2">
      <c r="E14728" s="1063"/>
      <c r="H14728" s="1066"/>
      <c r="I14728" s="1063"/>
      <c r="J14728" s="1063"/>
      <c r="K14728" s="1063"/>
      <c r="L14728" s="1063"/>
    </row>
    <row r="14729" spans="5:12" x14ac:dyDescent="0.2">
      <c r="E14729" s="1063"/>
      <c r="H14729" s="1066"/>
      <c r="I14729" s="1063"/>
      <c r="J14729" s="1063"/>
      <c r="K14729" s="1063"/>
      <c r="L14729" s="1063"/>
    </row>
    <row r="14730" spans="5:12" x14ac:dyDescent="0.2">
      <c r="E14730" s="1063"/>
      <c r="H14730" s="1066"/>
      <c r="I14730" s="1063"/>
      <c r="J14730" s="1063"/>
      <c r="K14730" s="1063"/>
      <c r="L14730" s="1063"/>
    </row>
    <row r="14731" spans="5:12" x14ac:dyDescent="0.2">
      <c r="E14731" s="1063"/>
      <c r="H14731" s="1066"/>
      <c r="I14731" s="1063"/>
      <c r="J14731" s="1063"/>
      <c r="K14731" s="1063"/>
      <c r="L14731" s="1063"/>
    </row>
    <row r="14732" spans="5:12" x14ac:dyDescent="0.2">
      <c r="E14732" s="1063"/>
      <c r="H14732" s="1066"/>
      <c r="I14732" s="1063"/>
      <c r="J14732" s="1063"/>
      <c r="K14732" s="1063"/>
      <c r="L14732" s="1063"/>
    </row>
    <row r="14733" spans="5:12" x14ac:dyDescent="0.2">
      <c r="E14733" s="1063"/>
      <c r="H14733" s="1066"/>
      <c r="I14733" s="1063"/>
      <c r="J14733" s="1063"/>
      <c r="K14733" s="1063"/>
      <c r="L14733" s="1063"/>
    </row>
    <row r="14734" spans="5:12" x14ac:dyDescent="0.2">
      <c r="E14734" s="1063"/>
      <c r="H14734" s="1066"/>
      <c r="I14734" s="1063"/>
      <c r="J14734" s="1063"/>
      <c r="K14734" s="1063"/>
      <c r="L14734" s="1063"/>
    </row>
    <row r="14735" spans="5:12" x14ac:dyDescent="0.2">
      <c r="E14735" s="1063"/>
      <c r="H14735" s="1066"/>
      <c r="I14735" s="1063"/>
      <c r="J14735" s="1063"/>
      <c r="K14735" s="1063"/>
      <c r="L14735" s="1063"/>
    </row>
    <row r="14736" spans="5:12" x14ac:dyDescent="0.2">
      <c r="E14736" s="1063"/>
      <c r="H14736" s="1066"/>
      <c r="I14736" s="1063"/>
      <c r="J14736" s="1063"/>
      <c r="K14736" s="1063"/>
      <c r="L14736" s="1063"/>
    </row>
    <row r="14737" spans="5:12" x14ac:dyDescent="0.2">
      <c r="E14737" s="1063"/>
      <c r="H14737" s="1066"/>
      <c r="I14737" s="1063"/>
      <c r="J14737" s="1063"/>
      <c r="K14737" s="1063"/>
      <c r="L14737" s="1063"/>
    </row>
    <row r="14738" spans="5:12" x14ac:dyDescent="0.2">
      <c r="E14738" s="1063"/>
      <c r="H14738" s="1066"/>
      <c r="I14738" s="1063"/>
      <c r="J14738" s="1063"/>
      <c r="K14738" s="1063"/>
      <c r="L14738" s="1063"/>
    </row>
    <row r="14739" spans="5:12" x14ac:dyDescent="0.2">
      <c r="E14739" s="1063"/>
      <c r="H14739" s="1066"/>
      <c r="I14739" s="1063"/>
      <c r="J14739" s="1063"/>
      <c r="K14739" s="1063"/>
      <c r="L14739" s="1063"/>
    </row>
    <row r="14740" spans="5:12" x14ac:dyDescent="0.2">
      <c r="E14740" s="1063"/>
      <c r="H14740" s="1066"/>
      <c r="I14740" s="1063"/>
      <c r="J14740" s="1063"/>
      <c r="K14740" s="1063"/>
      <c r="L14740" s="1063"/>
    </row>
    <row r="14741" spans="5:12" x14ac:dyDescent="0.2">
      <c r="E14741" s="1063"/>
      <c r="H14741" s="1066"/>
      <c r="I14741" s="1063"/>
      <c r="J14741" s="1063"/>
      <c r="K14741" s="1063"/>
      <c r="L14741" s="1063"/>
    </row>
    <row r="14742" spans="5:12" x14ac:dyDescent="0.2">
      <c r="E14742" s="1063"/>
      <c r="H14742" s="1066"/>
      <c r="I14742" s="1063"/>
      <c r="J14742" s="1063"/>
      <c r="K14742" s="1063"/>
      <c r="L14742" s="1063"/>
    </row>
    <row r="14743" spans="5:12" x14ac:dyDescent="0.2">
      <c r="E14743" s="1063"/>
      <c r="H14743" s="1066"/>
      <c r="I14743" s="1063"/>
      <c r="J14743" s="1063"/>
      <c r="K14743" s="1063"/>
      <c r="L14743" s="1063"/>
    </row>
    <row r="14744" spans="5:12" x14ac:dyDescent="0.2">
      <c r="E14744" s="1063"/>
      <c r="H14744" s="1066"/>
      <c r="I14744" s="1063"/>
      <c r="J14744" s="1063"/>
      <c r="K14744" s="1063"/>
      <c r="L14744" s="1063"/>
    </row>
    <row r="14745" spans="5:12" x14ac:dyDescent="0.2">
      <c r="E14745" s="1063"/>
      <c r="H14745" s="1066"/>
      <c r="I14745" s="1063"/>
      <c r="J14745" s="1063"/>
      <c r="K14745" s="1063"/>
      <c r="L14745" s="1063"/>
    </row>
    <row r="14746" spans="5:12" x14ac:dyDescent="0.2">
      <c r="E14746" s="1063"/>
      <c r="H14746" s="1066"/>
      <c r="I14746" s="1063"/>
      <c r="J14746" s="1063"/>
      <c r="K14746" s="1063"/>
      <c r="L14746" s="1063"/>
    </row>
    <row r="14747" spans="5:12" x14ac:dyDescent="0.2">
      <c r="E14747" s="1063"/>
      <c r="H14747" s="1066"/>
      <c r="I14747" s="1063"/>
      <c r="J14747" s="1063"/>
      <c r="K14747" s="1063"/>
      <c r="L14747" s="1063"/>
    </row>
    <row r="14748" spans="5:12" x14ac:dyDescent="0.2">
      <c r="E14748" s="1063"/>
      <c r="H14748" s="1066"/>
      <c r="I14748" s="1063"/>
      <c r="J14748" s="1063"/>
      <c r="K14748" s="1063"/>
      <c r="L14748" s="1063"/>
    </row>
    <row r="14749" spans="5:12" x14ac:dyDescent="0.2">
      <c r="E14749" s="1063"/>
      <c r="H14749" s="1066"/>
      <c r="I14749" s="1063"/>
      <c r="J14749" s="1063"/>
      <c r="K14749" s="1063"/>
      <c r="L14749" s="1063"/>
    </row>
    <row r="14750" spans="5:12" x14ac:dyDescent="0.2">
      <c r="E14750" s="1063"/>
      <c r="H14750" s="1066"/>
      <c r="I14750" s="1063"/>
      <c r="J14750" s="1063"/>
      <c r="K14750" s="1063"/>
      <c r="L14750" s="1063"/>
    </row>
    <row r="14751" spans="5:12" x14ac:dyDescent="0.2">
      <c r="E14751" s="1063"/>
      <c r="H14751" s="1066"/>
      <c r="I14751" s="1063"/>
      <c r="J14751" s="1063"/>
      <c r="K14751" s="1063"/>
      <c r="L14751" s="1063"/>
    </row>
    <row r="14752" spans="5:12" x14ac:dyDescent="0.2">
      <c r="E14752" s="1063"/>
      <c r="H14752" s="1066"/>
      <c r="I14752" s="1063"/>
      <c r="J14752" s="1063"/>
      <c r="K14752" s="1063"/>
      <c r="L14752" s="1063"/>
    </row>
    <row r="14753" spans="5:12" x14ac:dyDescent="0.2">
      <c r="E14753" s="1063"/>
      <c r="H14753" s="1066"/>
      <c r="I14753" s="1063"/>
      <c r="J14753" s="1063"/>
      <c r="K14753" s="1063"/>
      <c r="L14753" s="1063"/>
    </row>
    <row r="14754" spans="5:12" x14ac:dyDescent="0.2">
      <c r="E14754" s="1063"/>
      <c r="H14754" s="1066"/>
      <c r="I14754" s="1063"/>
      <c r="J14754" s="1063"/>
      <c r="K14754" s="1063"/>
      <c r="L14754" s="1063"/>
    </row>
    <row r="14755" spans="5:12" x14ac:dyDescent="0.2">
      <c r="E14755" s="1063"/>
      <c r="H14755" s="1066"/>
      <c r="I14755" s="1063"/>
      <c r="J14755" s="1063"/>
      <c r="K14755" s="1063"/>
      <c r="L14755" s="1063"/>
    </row>
    <row r="14756" spans="5:12" x14ac:dyDescent="0.2">
      <c r="E14756" s="1063"/>
      <c r="H14756" s="1066"/>
      <c r="I14756" s="1063"/>
      <c r="J14756" s="1063"/>
      <c r="K14756" s="1063"/>
      <c r="L14756" s="1063"/>
    </row>
    <row r="14757" spans="5:12" x14ac:dyDescent="0.2">
      <c r="E14757" s="1063"/>
      <c r="H14757" s="1066"/>
      <c r="I14757" s="1063"/>
      <c r="J14757" s="1063"/>
      <c r="K14757" s="1063"/>
      <c r="L14757" s="1063"/>
    </row>
    <row r="14758" spans="5:12" x14ac:dyDescent="0.2">
      <c r="E14758" s="1063"/>
      <c r="H14758" s="1066"/>
      <c r="I14758" s="1063"/>
      <c r="J14758" s="1063"/>
      <c r="K14758" s="1063"/>
      <c r="L14758" s="1063"/>
    </row>
    <row r="14759" spans="5:12" x14ac:dyDescent="0.2">
      <c r="E14759" s="1063"/>
      <c r="H14759" s="1066"/>
      <c r="I14759" s="1063"/>
      <c r="J14759" s="1063"/>
      <c r="K14759" s="1063"/>
      <c r="L14759" s="1063"/>
    </row>
    <row r="14760" spans="5:12" x14ac:dyDescent="0.2">
      <c r="E14760" s="1063"/>
      <c r="H14760" s="1066"/>
      <c r="I14760" s="1063"/>
      <c r="J14760" s="1063"/>
      <c r="K14760" s="1063"/>
      <c r="L14760" s="1063"/>
    </row>
    <row r="14761" spans="5:12" x14ac:dyDescent="0.2">
      <c r="E14761" s="1063"/>
      <c r="H14761" s="1066"/>
      <c r="I14761" s="1063"/>
      <c r="J14761" s="1063"/>
      <c r="K14761" s="1063"/>
      <c r="L14761" s="1063"/>
    </row>
    <row r="14762" spans="5:12" x14ac:dyDescent="0.2">
      <c r="E14762" s="1063"/>
      <c r="H14762" s="1066"/>
      <c r="I14762" s="1063"/>
      <c r="J14762" s="1063"/>
      <c r="K14762" s="1063"/>
      <c r="L14762" s="1063"/>
    </row>
    <row r="14763" spans="5:12" x14ac:dyDescent="0.2">
      <c r="E14763" s="1063"/>
      <c r="H14763" s="1066"/>
      <c r="I14763" s="1063"/>
      <c r="J14763" s="1063"/>
      <c r="K14763" s="1063"/>
      <c r="L14763" s="1063"/>
    </row>
    <row r="14764" spans="5:12" x14ac:dyDescent="0.2">
      <c r="E14764" s="1063"/>
      <c r="H14764" s="1066"/>
      <c r="I14764" s="1063"/>
      <c r="J14764" s="1063"/>
      <c r="K14764" s="1063"/>
      <c r="L14764" s="1063"/>
    </row>
    <row r="14765" spans="5:12" x14ac:dyDescent="0.2">
      <c r="E14765" s="1063"/>
      <c r="H14765" s="1066"/>
      <c r="I14765" s="1063"/>
      <c r="J14765" s="1063"/>
      <c r="K14765" s="1063"/>
      <c r="L14765" s="1063"/>
    </row>
    <row r="14766" spans="5:12" x14ac:dyDescent="0.2">
      <c r="E14766" s="1063"/>
      <c r="H14766" s="1066"/>
      <c r="I14766" s="1063"/>
      <c r="J14766" s="1063"/>
      <c r="K14766" s="1063"/>
      <c r="L14766" s="1063"/>
    </row>
    <row r="14767" spans="5:12" x14ac:dyDescent="0.2">
      <c r="E14767" s="1063"/>
      <c r="H14767" s="1066"/>
      <c r="I14767" s="1063"/>
      <c r="J14767" s="1063"/>
      <c r="K14767" s="1063"/>
      <c r="L14767" s="1063"/>
    </row>
    <row r="14768" spans="5:12" x14ac:dyDescent="0.2">
      <c r="E14768" s="1063"/>
      <c r="H14768" s="1066"/>
      <c r="I14768" s="1063"/>
      <c r="J14768" s="1063"/>
      <c r="K14768" s="1063"/>
      <c r="L14768" s="1063"/>
    </row>
    <row r="14769" spans="5:12" x14ac:dyDescent="0.2">
      <c r="E14769" s="1063"/>
      <c r="H14769" s="1066"/>
      <c r="I14769" s="1063"/>
      <c r="J14769" s="1063"/>
      <c r="K14769" s="1063"/>
      <c r="L14769" s="1063"/>
    </row>
    <row r="14770" spans="5:12" x14ac:dyDescent="0.2">
      <c r="E14770" s="1063"/>
      <c r="H14770" s="1066"/>
      <c r="I14770" s="1063"/>
      <c r="J14770" s="1063"/>
      <c r="K14770" s="1063"/>
      <c r="L14770" s="1063"/>
    </row>
    <row r="14771" spans="5:12" x14ac:dyDescent="0.2">
      <c r="E14771" s="1063"/>
      <c r="H14771" s="1066"/>
      <c r="I14771" s="1063"/>
      <c r="J14771" s="1063"/>
      <c r="K14771" s="1063"/>
      <c r="L14771" s="1063"/>
    </row>
    <row r="14772" spans="5:12" x14ac:dyDescent="0.2">
      <c r="E14772" s="1063"/>
      <c r="H14772" s="1066"/>
      <c r="I14772" s="1063"/>
      <c r="J14772" s="1063"/>
      <c r="K14772" s="1063"/>
      <c r="L14772" s="1063"/>
    </row>
    <row r="14773" spans="5:12" x14ac:dyDescent="0.2">
      <c r="E14773" s="1063"/>
      <c r="H14773" s="1066"/>
      <c r="I14773" s="1063"/>
      <c r="J14773" s="1063"/>
      <c r="K14773" s="1063"/>
      <c r="L14773" s="1063"/>
    </row>
    <row r="14774" spans="5:12" x14ac:dyDescent="0.2">
      <c r="E14774" s="1063"/>
      <c r="H14774" s="1066"/>
      <c r="I14774" s="1063"/>
      <c r="J14774" s="1063"/>
      <c r="K14774" s="1063"/>
      <c r="L14774" s="1063"/>
    </row>
    <row r="14775" spans="5:12" x14ac:dyDescent="0.2">
      <c r="E14775" s="1063"/>
      <c r="H14775" s="1066"/>
      <c r="I14775" s="1063"/>
      <c r="J14775" s="1063"/>
      <c r="K14775" s="1063"/>
      <c r="L14775" s="1063"/>
    </row>
    <row r="14776" spans="5:12" x14ac:dyDescent="0.2">
      <c r="E14776" s="1063"/>
      <c r="H14776" s="1066"/>
      <c r="I14776" s="1063"/>
      <c r="J14776" s="1063"/>
      <c r="K14776" s="1063"/>
      <c r="L14776" s="1063"/>
    </row>
    <row r="14777" spans="5:12" x14ac:dyDescent="0.2">
      <c r="E14777" s="1063"/>
      <c r="H14777" s="1066"/>
      <c r="I14777" s="1063"/>
      <c r="J14777" s="1063"/>
      <c r="K14777" s="1063"/>
      <c r="L14777" s="1063"/>
    </row>
    <row r="14778" spans="5:12" x14ac:dyDescent="0.2">
      <c r="E14778" s="1063"/>
      <c r="H14778" s="1066"/>
      <c r="I14778" s="1063"/>
      <c r="J14778" s="1063"/>
      <c r="K14778" s="1063"/>
      <c r="L14778" s="1063"/>
    </row>
    <row r="14779" spans="5:12" x14ac:dyDescent="0.2">
      <c r="E14779" s="1063"/>
      <c r="H14779" s="1066"/>
      <c r="I14779" s="1063"/>
      <c r="J14779" s="1063"/>
      <c r="K14779" s="1063"/>
      <c r="L14779" s="1063"/>
    </row>
    <row r="14780" spans="5:12" x14ac:dyDescent="0.2">
      <c r="E14780" s="1063"/>
      <c r="H14780" s="1066"/>
      <c r="I14780" s="1063"/>
      <c r="J14780" s="1063"/>
      <c r="K14780" s="1063"/>
      <c r="L14780" s="1063"/>
    </row>
    <row r="14781" spans="5:12" x14ac:dyDescent="0.2">
      <c r="E14781" s="1063"/>
      <c r="H14781" s="1066"/>
      <c r="I14781" s="1063"/>
      <c r="J14781" s="1063"/>
      <c r="K14781" s="1063"/>
      <c r="L14781" s="1063"/>
    </row>
    <row r="14782" spans="5:12" x14ac:dyDescent="0.2">
      <c r="E14782" s="1063"/>
      <c r="H14782" s="1066"/>
      <c r="I14782" s="1063"/>
      <c r="J14782" s="1063"/>
      <c r="K14782" s="1063"/>
      <c r="L14782" s="1063"/>
    </row>
    <row r="14783" spans="5:12" x14ac:dyDescent="0.2">
      <c r="E14783" s="1063"/>
      <c r="H14783" s="1066"/>
      <c r="I14783" s="1063"/>
      <c r="J14783" s="1063"/>
      <c r="K14783" s="1063"/>
      <c r="L14783" s="1063"/>
    </row>
    <row r="14784" spans="5:12" x14ac:dyDescent="0.2">
      <c r="E14784" s="1063"/>
      <c r="H14784" s="1066"/>
      <c r="I14784" s="1063"/>
      <c r="J14784" s="1063"/>
      <c r="K14784" s="1063"/>
      <c r="L14784" s="1063"/>
    </row>
    <row r="14785" spans="5:12" x14ac:dyDescent="0.2">
      <c r="E14785" s="1063"/>
      <c r="H14785" s="1066"/>
      <c r="I14785" s="1063"/>
      <c r="J14785" s="1063"/>
      <c r="K14785" s="1063"/>
      <c r="L14785" s="1063"/>
    </row>
    <row r="14786" spans="5:12" x14ac:dyDescent="0.2">
      <c r="E14786" s="1063"/>
      <c r="H14786" s="1066"/>
      <c r="I14786" s="1063"/>
      <c r="J14786" s="1063"/>
      <c r="K14786" s="1063"/>
      <c r="L14786" s="1063"/>
    </row>
    <row r="14787" spans="5:12" x14ac:dyDescent="0.2">
      <c r="E14787" s="1063"/>
      <c r="H14787" s="1066"/>
      <c r="I14787" s="1063"/>
      <c r="J14787" s="1063"/>
      <c r="K14787" s="1063"/>
      <c r="L14787" s="1063"/>
    </row>
    <row r="14788" spans="5:12" x14ac:dyDescent="0.2">
      <c r="E14788" s="1063"/>
      <c r="H14788" s="1066"/>
      <c r="I14788" s="1063"/>
      <c r="J14788" s="1063"/>
      <c r="K14788" s="1063"/>
      <c r="L14788" s="1063"/>
    </row>
    <row r="14789" spans="5:12" x14ac:dyDescent="0.2">
      <c r="E14789" s="1063"/>
      <c r="H14789" s="1066"/>
      <c r="I14789" s="1063"/>
      <c r="J14789" s="1063"/>
      <c r="K14789" s="1063"/>
      <c r="L14789" s="1063"/>
    </row>
    <row r="14790" spans="5:12" x14ac:dyDescent="0.2">
      <c r="E14790" s="1063"/>
      <c r="H14790" s="1066"/>
      <c r="I14790" s="1063"/>
      <c r="J14790" s="1063"/>
      <c r="K14790" s="1063"/>
      <c r="L14790" s="1063"/>
    </row>
    <row r="14791" spans="5:12" x14ac:dyDescent="0.2">
      <c r="E14791" s="1063"/>
      <c r="H14791" s="1066"/>
      <c r="I14791" s="1063"/>
      <c r="J14791" s="1063"/>
      <c r="K14791" s="1063"/>
      <c r="L14791" s="1063"/>
    </row>
    <row r="14792" spans="5:12" x14ac:dyDescent="0.2">
      <c r="E14792" s="1063"/>
      <c r="H14792" s="1066"/>
      <c r="I14792" s="1063"/>
      <c r="J14792" s="1063"/>
      <c r="K14792" s="1063"/>
      <c r="L14792" s="1063"/>
    </row>
    <row r="14793" spans="5:12" x14ac:dyDescent="0.2">
      <c r="E14793" s="1063"/>
      <c r="H14793" s="1066"/>
      <c r="I14793" s="1063"/>
      <c r="J14793" s="1063"/>
      <c r="K14793" s="1063"/>
      <c r="L14793" s="1063"/>
    </row>
    <row r="14794" spans="5:12" x14ac:dyDescent="0.2">
      <c r="E14794" s="1063"/>
      <c r="H14794" s="1066"/>
      <c r="I14794" s="1063"/>
      <c r="J14794" s="1063"/>
      <c r="K14794" s="1063"/>
      <c r="L14794" s="1063"/>
    </row>
    <row r="14795" spans="5:12" x14ac:dyDescent="0.2">
      <c r="E14795" s="1063"/>
      <c r="H14795" s="1066"/>
      <c r="I14795" s="1063"/>
      <c r="J14795" s="1063"/>
      <c r="K14795" s="1063"/>
      <c r="L14795" s="1063"/>
    </row>
    <row r="14796" spans="5:12" x14ac:dyDescent="0.2">
      <c r="E14796" s="1063"/>
      <c r="H14796" s="1066"/>
      <c r="I14796" s="1063"/>
      <c r="J14796" s="1063"/>
      <c r="K14796" s="1063"/>
      <c r="L14796" s="1063"/>
    </row>
    <row r="14797" spans="5:12" x14ac:dyDescent="0.2">
      <c r="E14797" s="1063"/>
      <c r="H14797" s="1066"/>
      <c r="I14797" s="1063"/>
      <c r="J14797" s="1063"/>
      <c r="K14797" s="1063"/>
      <c r="L14797" s="1063"/>
    </row>
    <row r="14798" spans="5:12" x14ac:dyDescent="0.2">
      <c r="E14798" s="1063"/>
      <c r="H14798" s="1066"/>
      <c r="I14798" s="1063"/>
      <c r="J14798" s="1063"/>
      <c r="K14798" s="1063"/>
      <c r="L14798" s="1063"/>
    </row>
    <row r="14799" spans="5:12" x14ac:dyDescent="0.2">
      <c r="E14799" s="1063"/>
      <c r="H14799" s="1066"/>
      <c r="I14799" s="1063"/>
      <c r="J14799" s="1063"/>
      <c r="K14799" s="1063"/>
      <c r="L14799" s="1063"/>
    </row>
    <row r="14800" spans="5:12" x14ac:dyDescent="0.2">
      <c r="E14800" s="1063"/>
      <c r="H14800" s="1066"/>
      <c r="I14800" s="1063"/>
      <c r="J14800" s="1063"/>
      <c r="K14800" s="1063"/>
      <c r="L14800" s="1063"/>
    </row>
    <row r="14801" spans="5:12" x14ac:dyDescent="0.2">
      <c r="E14801" s="1063"/>
      <c r="H14801" s="1066"/>
      <c r="I14801" s="1063"/>
      <c r="J14801" s="1063"/>
      <c r="K14801" s="1063"/>
      <c r="L14801" s="1063"/>
    </row>
    <row r="14802" spans="5:12" x14ac:dyDescent="0.2">
      <c r="E14802" s="1063"/>
      <c r="H14802" s="1066"/>
      <c r="I14802" s="1063"/>
      <c r="J14802" s="1063"/>
      <c r="K14802" s="1063"/>
      <c r="L14802" s="1063"/>
    </row>
    <row r="14803" spans="5:12" x14ac:dyDescent="0.2">
      <c r="E14803" s="1063"/>
      <c r="H14803" s="1066"/>
      <c r="I14803" s="1063"/>
      <c r="J14803" s="1063"/>
      <c r="K14803" s="1063"/>
      <c r="L14803" s="1063"/>
    </row>
    <row r="14804" spans="5:12" x14ac:dyDescent="0.2">
      <c r="E14804" s="1063"/>
      <c r="H14804" s="1066"/>
      <c r="I14804" s="1063"/>
      <c r="J14804" s="1063"/>
      <c r="K14804" s="1063"/>
      <c r="L14804" s="1063"/>
    </row>
    <row r="14805" spans="5:12" x14ac:dyDescent="0.2">
      <c r="E14805" s="1063"/>
      <c r="H14805" s="1066"/>
      <c r="I14805" s="1063"/>
      <c r="J14805" s="1063"/>
      <c r="K14805" s="1063"/>
      <c r="L14805" s="1063"/>
    </row>
    <row r="14806" spans="5:12" x14ac:dyDescent="0.2">
      <c r="E14806" s="1063"/>
      <c r="H14806" s="1066"/>
      <c r="I14806" s="1063"/>
      <c r="J14806" s="1063"/>
      <c r="K14806" s="1063"/>
      <c r="L14806" s="1063"/>
    </row>
    <row r="14807" spans="5:12" x14ac:dyDescent="0.2">
      <c r="E14807" s="1063"/>
      <c r="H14807" s="1066"/>
      <c r="I14807" s="1063"/>
      <c r="J14807" s="1063"/>
      <c r="K14807" s="1063"/>
      <c r="L14807" s="1063"/>
    </row>
    <row r="14808" spans="5:12" x14ac:dyDescent="0.2">
      <c r="E14808" s="1063"/>
      <c r="H14808" s="1066"/>
      <c r="I14808" s="1063"/>
      <c r="J14808" s="1063"/>
      <c r="K14808" s="1063"/>
      <c r="L14808" s="1063"/>
    </row>
    <row r="14809" spans="5:12" x14ac:dyDescent="0.2">
      <c r="E14809" s="1063"/>
      <c r="H14809" s="1066"/>
      <c r="I14809" s="1063"/>
      <c r="J14809" s="1063"/>
      <c r="K14809" s="1063"/>
      <c r="L14809" s="1063"/>
    </row>
    <row r="14810" spans="5:12" x14ac:dyDescent="0.2">
      <c r="E14810" s="1063"/>
      <c r="H14810" s="1066"/>
      <c r="I14810" s="1063"/>
      <c r="J14810" s="1063"/>
      <c r="K14810" s="1063"/>
      <c r="L14810" s="1063"/>
    </row>
    <row r="14811" spans="5:12" x14ac:dyDescent="0.2">
      <c r="E14811" s="1063"/>
      <c r="H14811" s="1066"/>
      <c r="I14811" s="1063"/>
      <c r="J14811" s="1063"/>
      <c r="K14811" s="1063"/>
      <c r="L14811" s="1063"/>
    </row>
    <row r="14812" spans="5:12" x14ac:dyDescent="0.2">
      <c r="E14812" s="1063"/>
      <c r="H14812" s="1066"/>
      <c r="I14812" s="1063"/>
      <c r="J14812" s="1063"/>
      <c r="K14812" s="1063"/>
      <c r="L14812" s="1063"/>
    </row>
    <row r="14813" spans="5:12" x14ac:dyDescent="0.2">
      <c r="E14813" s="1063"/>
      <c r="H14813" s="1066"/>
      <c r="I14813" s="1063"/>
      <c r="J14813" s="1063"/>
      <c r="K14813" s="1063"/>
      <c r="L14813" s="1063"/>
    </row>
    <row r="14814" spans="5:12" x14ac:dyDescent="0.2">
      <c r="E14814" s="1063"/>
      <c r="H14814" s="1066"/>
      <c r="I14814" s="1063"/>
      <c r="J14814" s="1063"/>
      <c r="K14814" s="1063"/>
      <c r="L14814" s="1063"/>
    </row>
    <row r="14815" spans="5:12" x14ac:dyDescent="0.2">
      <c r="E14815" s="1063"/>
      <c r="H14815" s="1066"/>
      <c r="I14815" s="1063"/>
      <c r="J14815" s="1063"/>
      <c r="K14815" s="1063"/>
      <c r="L14815" s="1063"/>
    </row>
    <row r="14816" spans="5:12" x14ac:dyDescent="0.2">
      <c r="E14816" s="1063"/>
      <c r="H14816" s="1066"/>
      <c r="I14816" s="1063"/>
      <c r="J14816" s="1063"/>
      <c r="K14816" s="1063"/>
      <c r="L14816" s="1063"/>
    </row>
    <row r="14817" spans="5:12" x14ac:dyDescent="0.2">
      <c r="E14817" s="1063"/>
      <c r="H14817" s="1066"/>
      <c r="I14817" s="1063"/>
      <c r="J14817" s="1063"/>
      <c r="K14817" s="1063"/>
      <c r="L14817" s="1063"/>
    </row>
    <row r="14818" spans="5:12" x14ac:dyDescent="0.2">
      <c r="E14818" s="1063"/>
      <c r="H14818" s="1066"/>
      <c r="I14818" s="1063"/>
      <c r="J14818" s="1063"/>
      <c r="K14818" s="1063"/>
      <c r="L14818" s="1063"/>
    </row>
    <row r="14819" spans="5:12" x14ac:dyDescent="0.2">
      <c r="E14819" s="1063"/>
      <c r="H14819" s="1066"/>
      <c r="I14819" s="1063"/>
      <c r="J14819" s="1063"/>
      <c r="K14819" s="1063"/>
      <c r="L14819" s="1063"/>
    </row>
    <row r="14820" spans="5:12" x14ac:dyDescent="0.2">
      <c r="E14820" s="1063"/>
      <c r="H14820" s="1066"/>
      <c r="I14820" s="1063"/>
      <c r="J14820" s="1063"/>
      <c r="K14820" s="1063"/>
      <c r="L14820" s="1063"/>
    </row>
    <row r="14821" spans="5:12" x14ac:dyDescent="0.2">
      <c r="E14821" s="1063"/>
      <c r="H14821" s="1066"/>
      <c r="I14821" s="1063"/>
      <c r="J14821" s="1063"/>
      <c r="K14821" s="1063"/>
      <c r="L14821" s="1063"/>
    </row>
    <row r="14822" spans="5:12" x14ac:dyDescent="0.2">
      <c r="E14822" s="1063"/>
      <c r="H14822" s="1066"/>
      <c r="I14822" s="1063"/>
      <c r="J14822" s="1063"/>
      <c r="K14822" s="1063"/>
      <c r="L14822" s="1063"/>
    </row>
    <row r="14823" spans="5:12" x14ac:dyDescent="0.2">
      <c r="E14823" s="1063"/>
      <c r="H14823" s="1066"/>
      <c r="I14823" s="1063"/>
      <c r="J14823" s="1063"/>
      <c r="K14823" s="1063"/>
      <c r="L14823" s="1063"/>
    </row>
    <row r="14824" spans="5:12" x14ac:dyDescent="0.2">
      <c r="E14824" s="1063"/>
      <c r="H14824" s="1066"/>
      <c r="I14824" s="1063"/>
      <c r="J14824" s="1063"/>
      <c r="K14824" s="1063"/>
      <c r="L14824" s="1063"/>
    </row>
    <row r="14825" spans="5:12" x14ac:dyDescent="0.2">
      <c r="E14825" s="1063"/>
      <c r="H14825" s="1066"/>
      <c r="I14825" s="1063"/>
      <c r="J14825" s="1063"/>
      <c r="K14825" s="1063"/>
      <c r="L14825" s="1063"/>
    </row>
    <row r="14826" spans="5:12" x14ac:dyDescent="0.2">
      <c r="E14826" s="1063"/>
      <c r="H14826" s="1066"/>
      <c r="I14826" s="1063"/>
      <c r="J14826" s="1063"/>
      <c r="K14826" s="1063"/>
      <c r="L14826" s="1063"/>
    </row>
    <row r="14827" spans="5:12" x14ac:dyDescent="0.2">
      <c r="E14827" s="1063"/>
      <c r="H14827" s="1066"/>
      <c r="I14827" s="1063"/>
      <c r="J14827" s="1063"/>
      <c r="K14827" s="1063"/>
      <c r="L14827" s="1063"/>
    </row>
    <row r="14828" spans="5:12" x14ac:dyDescent="0.2">
      <c r="E14828" s="1063"/>
      <c r="H14828" s="1066"/>
      <c r="I14828" s="1063"/>
      <c r="J14828" s="1063"/>
      <c r="K14828" s="1063"/>
      <c r="L14828" s="1063"/>
    </row>
    <row r="14829" spans="5:12" x14ac:dyDescent="0.2">
      <c r="E14829" s="1063"/>
      <c r="H14829" s="1066"/>
      <c r="I14829" s="1063"/>
      <c r="J14829" s="1063"/>
      <c r="K14829" s="1063"/>
      <c r="L14829" s="1063"/>
    </row>
    <row r="14830" spans="5:12" x14ac:dyDescent="0.2">
      <c r="E14830" s="1063"/>
      <c r="H14830" s="1066"/>
      <c r="I14830" s="1063"/>
      <c r="J14830" s="1063"/>
      <c r="K14830" s="1063"/>
      <c r="L14830" s="1063"/>
    </row>
    <row r="14831" spans="5:12" x14ac:dyDescent="0.2">
      <c r="E14831" s="1063"/>
      <c r="H14831" s="1066"/>
      <c r="I14831" s="1063"/>
      <c r="J14831" s="1063"/>
      <c r="K14831" s="1063"/>
      <c r="L14831" s="1063"/>
    </row>
    <row r="14832" spans="5:12" x14ac:dyDescent="0.2">
      <c r="E14832" s="1063"/>
      <c r="H14832" s="1066"/>
      <c r="I14832" s="1063"/>
      <c r="J14832" s="1063"/>
      <c r="K14832" s="1063"/>
      <c r="L14832" s="1063"/>
    </row>
    <row r="14833" spans="5:12" x14ac:dyDescent="0.2">
      <c r="E14833" s="1063"/>
      <c r="H14833" s="1066"/>
      <c r="I14833" s="1063"/>
      <c r="J14833" s="1063"/>
      <c r="K14833" s="1063"/>
      <c r="L14833" s="1063"/>
    </row>
    <row r="14834" spans="5:12" x14ac:dyDescent="0.2">
      <c r="E14834" s="1063"/>
      <c r="H14834" s="1066"/>
      <c r="I14834" s="1063"/>
      <c r="J14834" s="1063"/>
      <c r="K14834" s="1063"/>
      <c r="L14834" s="1063"/>
    </row>
    <row r="14835" spans="5:12" x14ac:dyDescent="0.2">
      <c r="E14835" s="1063"/>
      <c r="H14835" s="1066"/>
      <c r="I14835" s="1063"/>
      <c r="J14835" s="1063"/>
      <c r="K14835" s="1063"/>
      <c r="L14835" s="1063"/>
    </row>
    <row r="14836" spans="5:12" x14ac:dyDescent="0.2">
      <c r="E14836" s="1063"/>
      <c r="H14836" s="1066"/>
      <c r="I14836" s="1063"/>
      <c r="J14836" s="1063"/>
      <c r="K14836" s="1063"/>
      <c r="L14836" s="1063"/>
    </row>
    <row r="14837" spans="5:12" x14ac:dyDescent="0.2">
      <c r="E14837" s="1063"/>
      <c r="H14837" s="1066"/>
      <c r="I14837" s="1063"/>
      <c r="J14837" s="1063"/>
      <c r="K14837" s="1063"/>
      <c r="L14837" s="1063"/>
    </row>
    <row r="14838" spans="5:12" x14ac:dyDescent="0.2">
      <c r="E14838" s="1063"/>
      <c r="H14838" s="1066"/>
      <c r="I14838" s="1063"/>
      <c r="J14838" s="1063"/>
      <c r="K14838" s="1063"/>
      <c r="L14838" s="1063"/>
    </row>
    <row r="14839" spans="5:12" x14ac:dyDescent="0.2">
      <c r="E14839" s="1063"/>
      <c r="H14839" s="1066"/>
      <c r="I14839" s="1063"/>
      <c r="J14839" s="1063"/>
      <c r="K14839" s="1063"/>
      <c r="L14839" s="1063"/>
    </row>
    <row r="14840" spans="5:12" x14ac:dyDescent="0.2">
      <c r="E14840" s="1063"/>
      <c r="H14840" s="1066"/>
      <c r="I14840" s="1063"/>
      <c r="J14840" s="1063"/>
      <c r="K14840" s="1063"/>
      <c r="L14840" s="1063"/>
    </row>
    <row r="14841" spans="5:12" x14ac:dyDescent="0.2">
      <c r="E14841" s="1063"/>
      <c r="H14841" s="1066"/>
      <c r="I14841" s="1063"/>
      <c r="J14841" s="1063"/>
      <c r="K14841" s="1063"/>
      <c r="L14841" s="1063"/>
    </row>
    <row r="14842" spans="5:12" x14ac:dyDescent="0.2">
      <c r="E14842" s="1063"/>
      <c r="H14842" s="1066"/>
      <c r="I14842" s="1063"/>
      <c r="J14842" s="1063"/>
      <c r="K14842" s="1063"/>
      <c r="L14842" s="1063"/>
    </row>
    <row r="14843" spans="5:12" x14ac:dyDescent="0.2">
      <c r="E14843" s="1063"/>
      <c r="H14843" s="1066"/>
      <c r="I14843" s="1063"/>
      <c r="J14843" s="1063"/>
      <c r="K14843" s="1063"/>
      <c r="L14843" s="1063"/>
    </row>
    <row r="14844" spans="5:12" x14ac:dyDescent="0.2">
      <c r="E14844" s="1063"/>
      <c r="H14844" s="1066"/>
      <c r="I14844" s="1063"/>
      <c r="J14844" s="1063"/>
      <c r="K14844" s="1063"/>
      <c r="L14844" s="1063"/>
    </row>
    <row r="14845" spans="5:12" x14ac:dyDescent="0.2">
      <c r="E14845" s="1063"/>
      <c r="H14845" s="1066"/>
      <c r="I14845" s="1063"/>
      <c r="J14845" s="1063"/>
      <c r="K14845" s="1063"/>
      <c r="L14845" s="1063"/>
    </row>
    <row r="14846" spans="5:12" x14ac:dyDescent="0.2">
      <c r="E14846" s="1063"/>
      <c r="H14846" s="1066"/>
      <c r="I14846" s="1063"/>
      <c r="J14846" s="1063"/>
      <c r="K14846" s="1063"/>
      <c r="L14846" s="1063"/>
    </row>
    <row r="14847" spans="5:12" x14ac:dyDescent="0.2">
      <c r="E14847" s="1063"/>
      <c r="H14847" s="1066"/>
      <c r="I14847" s="1063"/>
      <c r="J14847" s="1063"/>
      <c r="K14847" s="1063"/>
      <c r="L14847" s="1063"/>
    </row>
    <row r="14848" spans="5:12" x14ac:dyDescent="0.2">
      <c r="E14848" s="1063"/>
      <c r="H14848" s="1066"/>
      <c r="I14848" s="1063"/>
      <c r="J14848" s="1063"/>
      <c r="K14848" s="1063"/>
      <c r="L14848" s="1063"/>
    </row>
    <row r="14849" spans="5:12" x14ac:dyDescent="0.2">
      <c r="E14849" s="1063"/>
      <c r="H14849" s="1066"/>
      <c r="I14849" s="1063"/>
      <c r="J14849" s="1063"/>
      <c r="K14849" s="1063"/>
      <c r="L14849" s="1063"/>
    </row>
    <row r="14850" spans="5:12" x14ac:dyDescent="0.2">
      <c r="E14850" s="1063"/>
      <c r="H14850" s="1066"/>
      <c r="I14850" s="1063"/>
      <c r="J14850" s="1063"/>
      <c r="K14850" s="1063"/>
      <c r="L14850" s="1063"/>
    </row>
    <row r="14851" spans="5:12" x14ac:dyDescent="0.2">
      <c r="E14851" s="1063"/>
      <c r="H14851" s="1066"/>
      <c r="I14851" s="1063"/>
      <c r="J14851" s="1063"/>
      <c r="K14851" s="1063"/>
      <c r="L14851" s="1063"/>
    </row>
    <row r="14852" spans="5:12" x14ac:dyDescent="0.2">
      <c r="E14852" s="1063"/>
      <c r="H14852" s="1066"/>
      <c r="I14852" s="1063"/>
      <c r="J14852" s="1063"/>
      <c r="K14852" s="1063"/>
      <c r="L14852" s="1063"/>
    </row>
    <row r="14853" spans="5:12" x14ac:dyDescent="0.2">
      <c r="E14853" s="1063"/>
      <c r="H14853" s="1066"/>
      <c r="I14853" s="1063"/>
      <c r="J14853" s="1063"/>
      <c r="K14853" s="1063"/>
      <c r="L14853" s="1063"/>
    </row>
    <row r="14854" spans="5:12" x14ac:dyDescent="0.2">
      <c r="E14854" s="1063"/>
      <c r="H14854" s="1066"/>
      <c r="I14854" s="1063"/>
      <c r="J14854" s="1063"/>
      <c r="K14854" s="1063"/>
      <c r="L14854" s="1063"/>
    </row>
    <row r="14855" spans="5:12" x14ac:dyDescent="0.2">
      <c r="E14855" s="1063"/>
      <c r="H14855" s="1066"/>
      <c r="I14855" s="1063"/>
      <c r="J14855" s="1063"/>
      <c r="K14855" s="1063"/>
      <c r="L14855" s="1063"/>
    </row>
    <row r="14856" spans="5:12" x14ac:dyDescent="0.2">
      <c r="E14856" s="1063"/>
      <c r="H14856" s="1066"/>
      <c r="I14856" s="1063"/>
      <c r="J14856" s="1063"/>
      <c r="K14856" s="1063"/>
      <c r="L14856" s="1063"/>
    </row>
    <row r="14857" spans="5:12" x14ac:dyDescent="0.2">
      <c r="E14857" s="1063"/>
      <c r="H14857" s="1066"/>
      <c r="I14857" s="1063"/>
      <c r="J14857" s="1063"/>
      <c r="K14857" s="1063"/>
      <c r="L14857" s="1063"/>
    </row>
    <row r="14858" spans="5:12" x14ac:dyDescent="0.2">
      <c r="E14858" s="1063"/>
      <c r="H14858" s="1066"/>
      <c r="I14858" s="1063"/>
      <c r="J14858" s="1063"/>
      <c r="K14858" s="1063"/>
      <c r="L14858" s="1063"/>
    </row>
    <row r="14859" spans="5:12" x14ac:dyDescent="0.2">
      <c r="E14859" s="1063"/>
      <c r="H14859" s="1066"/>
      <c r="I14859" s="1063"/>
      <c r="J14859" s="1063"/>
      <c r="K14859" s="1063"/>
      <c r="L14859" s="1063"/>
    </row>
    <row r="14860" spans="5:12" x14ac:dyDescent="0.2">
      <c r="E14860" s="1063"/>
      <c r="H14860" s="1066"/>
      <c r="I14860" s="1063"/>
      <c r="J14860" s="1063"/>
      <c r="K14860" s="1063"/>
      <c r="L14860" s="1063"/>
    </row>
    <row r="14861" spans="5:12" x14ac:dyDescent="0.2">
      <c r="E14861" s="1063"/>
      <c r="H14861" s="1066"/>
      <c r="I14861" s="1063"/>
      <c r="J14861" s="1063"/>
      <c r="K14861" s="1063"/>
      <c r="L14861" s="1063"/>
    </row>
    <row r="14862" spans="5:12" x14ac:dyDescent="0.2">
      <c r="E14862" s="1063"/>
      <c r="H14862" s="1066"/>
      <c r="I14862" s="1063"/>
      <c r="J14862" s="1063"/>
      <c r="K14862" s="1063"/>
      <c r="L14862" s="1063"/>
    </row>
    <row r="14863" spans="5:12" x14ac:dyDescent="0.2">
      <c r="E14863" s="1063"/>
      <c r="H14863" s="1066"/>
      <c r="I14863" s="1063"/>
      <c r="J14863" s="1063"/>
      <c r="K14863" s="1063"/>
      <c r="L14863" s="1063"/>
    </row>
    <row r="14864" spans="5:12" x14ac:dyDescent="0.2">
      <c r="E14864" s="1063"/>
      <c r="H14864" s="1066"/>
      <c r="I14864" s="1063"/>
      <c r="J14864" s="1063"/>
      <c r="K14864" s="1063"/>
      <c r="L14864" s="1063"/>
    </row>
    <row r="14865" spans="5:12" x14ac:dyDescent="0.2">
      <c r="E14865" s="1063"/>
      <c r="H14865" s="1066"/>
      <c r="I14865" s="1063"/>
      <c r="J14865" s="1063"/>
      <c r="K14865" s="1063"/>
      <c r="L14865" s="1063"/>
    </row>
    <row r="14866" spans="5:12" x14ac:dyDescent="0.2">
      <c r="E14866" s="1063"/>
      <c r="H14866" s="1066"/>
      <c r="I14866" s="1063"/>
      <c r="J14866" s="1063"/>
      <c r="K14866" s="1063"/>
      <c r="L14866" s="1063"/>
    </row>
    <row r="14867" spans="5:12" x14ac:dyDescent="0.2">
      <c r="E14867" s="1063"/>
      <c r="H14867" s="1066"/>
      <c r="I14867" s="1063"/>
      <c r="J14867" s="1063"/>
      <c r="K14867" s="1063"/>
      <c r="L14867" s="1063"/>
    </row>
    <row r="14868" spans="5:12" x14ac:dyDescent="0.2">
      <c r="E14868" s="1063"/>
      <c r="H14868" s="1066"/>
      <c r="I14868" s="1063"/>
      <c r="J14868" s="1063"/>
      <c r="K14868" s="1063"/>
      <c r="L14868" s="1063"/>
    </row>
    <row r="14869" spans="5:12" x14ac:dyDescent="0.2">
      <c r="E14869" s="1063"/>
      <c r="H14869" s="1066"/>
      <c r="I14869" s="1063"/>
      <c r="J14869" s="1063"/>
      <c r="K14869" s="1063"/>
      <c r="L14869" s="1063"/>
    </row>
    <row r="14870" spans="5:12" x14ac:dyDescent="0.2">
      <c r="E14870" s="1063"/>
      <c r="H14870" s="1066"/>
      <c r="I14870" s="1063"/>
      <c r="J14870" s="1063"/>
      <c r="K14870" s="1063"/>
      <c r="L14870" s="1063"/>
    </row>
    <row r="14871" spans="5:12" x14ac:dyDescent="0.2">
      <c r="E14871" s="1063"/>
      <c r="H14871" s="1066"/>
      <c r="I14871" s="1063"/>
      <c r="J14871" s="1063"/>
      <c r="K14871" s="1063"/>
      <c r="L14871" s="1063"/>
    </row>
    <row r="14872" spans="5:12" x14ac:dyDescent="0.2">
      <c r="E14872" s="1063"/>
      <c r="H14872" s="1066"/>
      <c r="I14872" s="1063"/>
      <c r="J14872" s="1063"/>
      <c r="K14872" s="1063"/>
      <c r="L14872" s="1063"/>
    </row>
    <row r="14873" spans="5:12" x14ac:dyDescent="0.2">
      <c r="E14873" s="1063"/>
      <c r="H14873" s="1066"/>
      <c r="I14873" s="1063"/>
      <c r="J14873" s="1063"/>
      <c r="K14873" s="1063"/>
      <c r="L14873" s="1063"/>
    </row>
    <row r="14874" spans="5:12" x14ac:dyDescent="0.2">
      <c r="E14874" s="1063"/>
      <c r="H14874" s="1066"/>
      <c r="I14874" s="1063"/>
      <c r="J14874" s="1063"/>
      <c r="K14874" s="1063"/>
      <c r="L14874" s="1063"/>
    </row>
    <row r="14875" spans="5:12" x14ac:dyDescent="0.2">
      <c r="E14875" s="1063"/>
      <c r="H14875" s="1066"/>
      <c r="I14875" s="1063"/>
      <c r="J14875" s="1063"/>
      <c r="K14875" s="1063"/>
      <c r="L14875" s="1063"/>
    </row>
    <row r="14876" spans="5:12" x14ac:dyDescent="0.2">
      <c r="E14876" s="1063"/>
      <c r="H14876" s="1066"/>
      <c r="I14876" s="1063"/>
      <c r="J14876" s="1063"/>
      <c r="K14876" s="1063"/>
      <c r="L14876" s="1063"/>
    </row>
    <row r="14877" spans="5:12" x14ac:dyDescent="0.2">
      <c r="E14877" s="1063"/>
      <c r="H14877" s="1066"/>
      <c r="I14877" s="1063"/>
      <c r="J14877" s="1063"/>
      <c r="K14877" s="1063"/>
      <c r="L14877" s="1063"/>
    </row>
    <row r="14878" spans="5:12" x14ac:dyDescent="0.2">
      <c r="E14878" s="1063"/>
      <c r="H14878" s="1066"/>
      <c r="I14878" s="1063"/>
      <c r="J14878" s="1063"/>
      <c r="K14878" s="1063"/>
      <c r="L14878" s="1063"/>
    </row>
    <row r="14879" spans="5:12" x14ac:dyDescent="0.2">
      <c r="E14879" s="1063"/>
      <c r="H14879" s="1066"/>
      <c r="I14879" s="1063"/>
      <c r="J14879" s="1063"/>
      <c r="K14879" s="1063"/>
      <c r="L14879" s="1063"/>
    </row>
    <row r="14880" spans="5:12" x14ac:dyDescent="0.2">
      <c r="E14880" s="1063"/>
      <c r="H14880" s="1066"/>
      <c r="I14880" s="1063"/>
      <c r="J14880" s="1063"/>
      <c r="K14880" s="1063"/>
      <c r="L14880" s="1063"/>
    </row>
    <row r="14881" spans="5:12" x14ac:dyDescent="0.2">
      <c r="E14881" s="1063"/>
      <c r="H14881" s="1066"/>
      <c r="I14881" s="1063"/>
      <c r="J14881" s="1063"/>
      <c r="K14881" s="1063"/>
      <c r="L14881" s="1063"/>
    </row>
    <row r="14882" spans="5:12" x14ac:dyDescent="0.2">
      <c r="E14882" s="1063"/>
      <c r="H14882" s="1066"/>
      <c r="I14882" s="1063"/>
      <c r="J14882" s="1063"/>
      <c r="K14882" s="1063"/>
      <c r="L14882" s="1063"/>
    </row>
    <row r="14883" spans="5:12" x14ac:dyDescent="0.2">
      <c r="E14883" s="1063"/>
      <c r="H14883" s="1066"/>
      <c r="I14883" s="1063"/>
      <c r="J14883" s="1063"/>
      <c r="K14883" s="1063"/>
      <c r="L14883" s="1063"/>
    </row>
    <row r="14884" spans="5:12" x14ac:dyDescent="0.2">
      <c r="E14884" s="1063"/>
      <c r="H14884" s="1066"/>
      <c r="I14884" s="1063"/>
      <c r="J14884" s="1063"/>
      <c r="K14884" s="1063"/>
      <c r="L14884" s="1063"/>
    </row>
    <row r="14885" spans="5:12" x14ac:dyDescent="0.2">
      <c r="E14885" s="1063"/>
      <c r="H14885" s="1066"/>
      <c r="I14885" s="1063"/>
      <c r="J14885" s="1063"/>
      <c r="K14885" s="1063"/>
      <c r="L14885" s="1063"/>
    </row>
    <row r="14886" spans="5:12" x14ac:dyDescent="0.2">
      <c r="E14886" s="1063"/>
      <c r="H14886" s="1066"/>
      <c r="I14886" s="1063"/>
      <c r="J14886" s="1063"/>
      <c r="K14886" s="1063"/>
      <c r="L14886" s="1063"/>
    </row>
    <row r="14887" spans="5:12" x14ac:dyDescent="0.2">
      <c r="E14887" s="1063"/>
      <c r="H14887" s="1066"/>
      <c r="I14887" s="1063"/>
      <c r="J14887" s="1063"/>
      <c r="K14887" s="1063"/>
      <c r="L14887" s="1063"/>
    </row>
    <row r="14888" spans="5:12" x14ac:dyDescent="0.2">
      <c r="E14888" s="1063"/>
      <c r="H14888" s="1066"/>
      <c r="I14888" s="1063"/>
      <c r="J14888" s="1063"/>
      <c r="K14888" s="1063"/>
      <c r="L14888" s="1063"/>
    </row>
    <row r="14889" spans="5:12" x14ac:dyDescent="0.2">
      <c r="E14889" s="1063"/>
      <c r="H14889" s="1066"/>
      <c r="I14889" s="1063"/>
      <c r="J14889" s="1063"/>
      <c r="K14889" s="1063"/>
      <c r="L14889" s="1063"/>
    </row>
    <row r="14890" spans="5:12" x14ac:dyDescent="0.2">
      <c r="E14890" s="1063"/>
      <c r="H14890" s="1066"/>
      <c r="I14890" s="1063"/>
      <c r="J14890" s="1063"/>
      <c r="K14890" s="1063"/>
      <c r="L14890" s="1063"/>
    </row>
    <row r="14891" spans="5:12" x14ac:dyDescent="0.2">
      <c r="E14891" s="1063"/>
      <c r="H14891" s="1066"/>
      <c r="I14891" s="1063"/>
      <c r="J14891" s="1063"/>
      <c r="K14891" s="1063"/>
      <c r="L14891" s="1063"/>
    </row>
    <row r="14892" spans="5:12" x14ac:dyDescent="0.2">
      <c r="E14892" s="1063"/>
      <c r="H14892" s="1066"/>
      <c r="I14892" s="1063"/>
      <c r="J14892" s="1063"/>
      <c r="K14892" s="1063"/>
      <c r="L14892" s="1063"/>
    </row>
    <row r="14893" spans="5:12" x14ac:dyDescent="0.2">
      <c r="E14893" s="1063"/>
      <c r="H14893" s="1066"/>
      <c r="I14893" s="1063"/>
      <c r="J14893" s="1063"/>
      <c r="K14893" s="1063"/>
      <c r="L14893" s="1063"/>
    </row>
    <row r="14894" spans="5:12" x14ac:dyDescent="0.2">
      <c r="E14894" s="1063"/>
      <c r="H14894" s="1066"/>
      <c r="I14894" s="1063"/>
      <c r="J14894" s="1063"/>
      <c r="K14894" s="1063"/>
      <c r="L14894" s="1063"/>
    </row>
    <row r="14895" spans="5:12" x14ac:dyDescent="0.2">
      <c r="E14895" s="1063"/>
      <c r="H14895" s="1066"/>
      <c r="I14895" s="1063"/>
      <c r="J14895" s="1063"/>
      <c r="K14895" s="1063"/>
      <c r="L14895" s="1063"/>
    </row>
    <row r="14896" spans="5:12" x14ac:dyDescent="0.2">
      <c r="E14896" s="1063"/>
      <c r="H14896" s="1066"/>
      <c r="I14896" s="1063"/>
      <c r="J14896" s="1063"/>
      <c r="K14896" s="1063"/>
      <c r="L14896" s="1063"/>
    </row>
    <row r="14897" spans="5:12" x14ac:dyDescent="0.2">
      <c r="E14897" s="1063"/>
      <c r="H14897" s="1066"/>
      <c r="I14897" s="1063"/>
      <c r="J14897" s="1063"/>
      <c r="K14897" s="1063"/>
      <c r="L14897" s="1063"/>
    </row>
    <row r="14898" spans="5:12" x14ac:dyDescent="0.2">
      <c r="E14898" s="1063"/>
      <c r="H14898" s="1066"/>
      <c r="I14898" s="1063"/>
      <c r="J14898" s="1063"/>
      <c r="K14898" s="1063"/>
      <c r="L14898" s="1063"/>
    </row>
    <row r="14899" spans="5:12" x14ac:dyDescent="0.2">
      <c r="E14899" s="1063"/>
      <c r="H14899" s="1066"/>
      <c r="I14899" s="1063"/>
      <c r="J14899" s="1063"/>
      <c r="K14899" s="1063"/>
      <c r="L14899" s="1063"/>
    </row>
    <row r="14900" spans="5:12" x14ac:dyDescent="0.2">
      <c r="E14900" s="1063"/>
      <c r="H14900" s="1066"/>
      <c r="I14900" s="1063"/>
      <c r="J14900" s="1063"/>
      <c r="K14900" s="1063"/>
      <c r="L14900" s="1063"/>
    </row>
    <row r="14901" spans="5:12" x14ac:dyDescent="0.2">
      <c r="E14901" s="1063"/>
      <c r="H14901" s="1066"/>
      <c r="I14901" s="1063"/>
      <c r="J14901" s="1063"/>
      <c r="K14901" s="1063"/>
      <c r="L14901" s="1063"/>
    </row>
    <row r="14902" spans="5:12" x14ac:dyDescent="0.2">
      <c r="E14902" s="1063"/>
      <c r="H14902" s="1066"/>
      <c r="I14902" s="1063"/>
      <c r="J14902" s="1063"/>
      <c r="K14902" s="1063"/>
      <c r="L14902" s="1063"/>
    </row>
    <row r="14903" spans="5:12" x14ac:dyDescent="0.2">
      <c r="E14903" s="1063"/>
      <c r="H14903" s="1066"/>
      <c r="I14903" s="1063"/>
      <c r="J14903" s="1063"/>
      <c r="K14903" s="1063"/>
      <c r="L14903" s="1063"/>
    </row>
    <row r="14904" spans="5:12" x14ac:dyDescent="0.2">
      <c r="E14904" s="1063"/>
      <c r="H14904" s="1066"/>
      <c r="I14904" s="1063"/>
      <c r="J14904" s="1063"/>
      <c r="K14904" s="1063"/>
      <c r="L14904" s="1063"/>
    </row>
    <row r="14905" spans="5:12" x14ac:dyDescent="0.2">
      <c r="E14905" s="1063"/>
      <c r="H14905" s="1066"/>
      <c r="I14905" s="1063"/>
      <c r="J14905" s="1063"/>
      <c r="K14905" s="1063"/>
      <c r="L14905" s="1063"/>
    </row>
    <row r="14906" spans="5:12" x14ac:dyDescent="0.2">
      <c r="E14906" s="1063"/>
      <c r="H14906" s="1066"/>
      <c r="I14906" s="1063"/>
      <c r="J14906" s="1063"/>
      <c r="K14906" s="1063"/>
      <c r="L14906" s="1063"/>
    </row>
    <row r="14907" spans="5:12" x14ac:dyDescent="0.2">
      <c r="E14907" s="1063"/>
      <c r="H14907" s="1066"/>
      <c r="I14907" s="1063"/>
      <c r="J14907" s="1063"/>
      <c r="K14907" s="1063"/>
      <c r="L14907" s="1063"/>
    </row>
    <row r="14908" spans="5:12" x14ac:dyDescent="0.2">
      <c r="E14908" s="1063"/>
      <c r="H14908" s="1066"/>
      <c r="I14908" s="1063"/>
      <c r="J14908" s="1063"/>
      <c r="K14908" s="1063"/>
      <c r="L14908" s="1063"/>
    </row>
    <row r="14909" spans="5:12" x14ac:dyDescent="0.2">
      <c r="E14909" s="1063"/>
      <c r="H14909" s="1066"/>
      <c r="I14909" s="1063"/>
      <c r="J14909" s="1063"/>
      <c r="K14909" s="1063"/>
      <c r="L14909" s="1063"/>
    </row>
    <row r="14910" spans="5:12" x14ac:dyDescent="0.2">
      <c r="E14910" s="1063"/>
      <c r="H14910" s="1066"/>
      <c r="I14910" s="1063"/>
      <c r="J14910" s="1063"/>
      <c r="K14910" s="1063"/>
      <c r="L14910" s="1063"/>
    </row>
    <row r="14911" spans="5:12" x14ac:dyDescent="0.2">
      <c r="E14911" s="1063"/>
      <c r="H14911" s="1066"/>
      <c r="I14911" s="1063"/>
      <c r="J14911" s="1063"/>
      <c r="K14911" s="1063"/>
      <c r="L14911" s="1063"/>
    </row>
    <row r="14912" spans="5:12" x14ac:dyDescent="0.2">
      <c r="E14912" s="1063"/>
      <c r="H14912" s="1066"/>
      <c r="I14912" s="1063"/>
      <c r="J14912" s="1063"/>
      <c r="K14912" s="1063"/>
      <c r="L14912" s="1063"/>
    </row>
    <row r="14913" spans="5:12" x14ac:dyDescent="0.2">
      <c r="E14913" s="1063"/>
      <c r="H14913" s="1066"/>
      <c r="I14913" s="1063"/>
      <c r="J14913" s="1063"/>
      <c r="K14913" s="1063"/>
      <c r="L14913" s="1063"/>
    </row>
    <row r="14914" spans="5:12" x14ac:dyDescent="0.2">
      <c r="E14914" s="1063"/>
      <c r="H14914" s="1066"/>
      <c r="I14914" s="1063"/>
      <c r="J14914" s="1063"/>
      <c r="K14914" s="1063"/>
      <c r="L14914" s="1063"/>
    </row>
    <row r="14915" spans="5:12" x14ac:dyDescent="0.2">
      <c r="E14915" s="1063"/>
      <c r="H14915" s="1066"/>
      <c r="I14915" s="1063"/>
      <c r="J14915" s="1063"/>
      <c r="K14915" s="1063"/>
      <c r="L14915" s="1063"/>
    </row>
    <row r="14916" spans="5:12" x14ac:dyDescent="0.2">
      <c r="E14916" s="1063"/>
      <c r="H14916" s="1066"/>
      <c r="I14916" s="1063"/>
      <c r="J14916" s="1063"/>
      <c r="K14916" s="1063"/>
      <c r="L14916" s="1063"/>
    </row>
    <row r="14917" spans="5:12" x14ac:dyDescent="0.2">
      <c r="E14917" s="1063"/>
      <c r="H14917" s="1066"/>
      <c r="I14917" s="1063"/>
      <c r="J14917" s="1063"/>
      <c r="K14917" s="1063"/>
      <c r="L14917" s="1063"/>
    </row>
    <row r="14918" spans="5:12" x14ac:dyDescent="0.2">
      <c r="E14918" s="1063"/>
      <c r="H14918" s="1066"/>
      <c r="I14918" s="1063"/>
      <c r="J14918" s="1063"/>
      <c r="K14918" s="1063"/>
      <c r="L14918" s="1063"/>
    </row>
    <row r="14919" spans="5:12" x14ac:dyDescent="0.2">
      <c r="E14919" s="1063"/>
      <c r="H14919" s="1066"/>
      <c r="I14919" s="1063"/>
      <c r="J14919" s="1063"/>
      <c r="K14919" s="1063"/>
      <c r="L14919" s="1063"/>
    </row>
    <row r="14920" spans="5:12" x14ac:dyDescent="0.2">
      <c r="E14920" s="1063"/>
      <c r="H14920" s="1066"/>
      <c r="I14920" s="1063"/>
      <c r="J14920" s="1063"/>
      <c r="K14920" s="1063"/>
      <c r="L14920" s="1063"/>
    </row>
    <row r="14921" spans="5:12" x14ac:dyDescent="0.2">
      <c r="E14921" s="1063"/>
      <c r="H14921" s="1066"/>
      <c r="I14921" s="1063"/>
      <c r="J14921" s="1063"/>
      <c r="K14921" s="1063"/>
      <c r="L14921" s="1063"/>
    </row>
    <row r="14922" spans="5:12" x14ac:dyDescent="0.2">
      <c r="E14922" s="1063"/>
      <c r="H14922" s="1066"/>
      <c r="I14922" s="1063"/>
      <c r="J14922" s="1063"/>
      <c r="K14922" s="1063"/>
      <c r="L14922" s="1063"/>
    </row>
    <row r="14923" spans="5:12" x14ac:dyDescent="0.2">
      <c r="E14923" s="1063"/>
      <c r="H14923" s="1066"/>
      <c r="I14923" s="1063"/>
      <c r="J14923" s="1063"/>
      <c r="K14923" s="1063"/>
      <c r="L14923" s="1063"/>
    </row>
    <row r="14924" spans="5:12" x14ac:dyDescent="0.2">
      <c r="E14924" s="1063"/>
      <c r="H14924" s="1066"/>
      <c r="I14924" s="1063"/>
      <c r="J14924" s="1063"/>
      <c r="K14924" s="1063"/>
      <c r="L14924" s="1063"/>
    </row>
    <row r="14925" spans="5:12" x14ac:dyDescent="0.2">
      <c r="E14925" s="1063"/>
      <c r="H14925" s="1066"/>
      <c r="I14925" s="1063"/>
      <c r="J14925" s="1063"/>
      <c r="K14925" s="1063"/>
      <c r="L14925" s="1063"/>
    </row>
    <row r="14926" spans="5:12" x14ac:dyDescent="0.2">
      <c r="E14926" s="1063"/>
      <c r="H14926" s="1066"/>
      <c r="I14926" s="1063"/>
      <c r="J14926" s="1063"/>
      <c r="K14926" s="1063"/>
      <c r="L14926" s="1063"/>
    </row>
    <row r="14927" spans="5:12" x14ac:dyDescent="0.2">
      <c r="E14927" s="1063"/>
      <c r="H14927" s="1066"/>
      <c r="I14927" s="1063"/>
      <c r="J14927" s="1063"/>
      <c r="K14927" s="1063"/>
      <c r="L14927" s="1063"/>
    </row>
    <row r="14928" spans="5:12" x14ac:dyDescent="0.2">
      <c r="E14928" s="1063"/>
      <c r="H14928" s="1066"/>
      <c r="I14928" s="1063"/>
      <c r="J14928" s="1063"/>
      <c r="K14928" s="1063"/>
      <c r="L14928" s="1063"/>
    </row>
    <row r="14929" spans="5:12" x14ac:dyDescent="0.2">
      <c r="E14929" s="1063"/>
      <c r="H14929" s="1066"/>
      <c r="I14929" s="1063"/>
      <c r="J14929" s="1063"/>
      <c r="K14929" s="1063"/>
      <c r="L14929" s="1063"/>
    </row>
    <row r="14930" spans="5:12" x14ac:dyDescent="0.2">
      <c r="E14930" s="1063"/>
      <c r="H14930" s="1066"/>
      <c r="I14930" s="1063"/>
      <c r="J14930" s="1063"/>
      <c r="K14930" s="1063"/>
      <c r="L14930" s="1063"/>
    </row>
    <row r="14931" spans="5:12" x14ac:dyDescent="0.2">
      <c r="E14931" s="1063"/>
      <c r="H14931" s="1066"/>
      <c r="I14931" s="1063"/>
      <c r="J14931" s="1063"/>
      <c r="K14931" s="1063"/>
      <c r="L14931" s="1063"/>
    </row>
    <row r="14932" spans="5:12" x14ac:dyDescent="0.2">
      <c r="E14932" s="1063"/>
      <c r="H14932" s="1066"/>
      <c r="I14932" s="1063"/>
      <c r="J14932" s="1063"/>
      <c r="K14932" s="1063"/>
      <c r="L14932" s="1063"/>
    </row>
    <row r="14933" spans="5:12" x14ac:dyDescent="0.2">
      <c r="E14933" s="1063"/>
      <c r="H14933" s="1066"/>
      <c r="I14933" s="1063"/>
      <c r="J14933" s="1063"/>
      <c r="K14933" s="1063"/>
      <c r="L14933" s="1063"/>
    </row>
    <row r="14934" spans="5:12" x14ac:dyDescent="0.2">
      <c r="E14934" s="1063"/>
      <c r="H14934" s="1066"/>
      <c r="I14934" s="1063"/>
      <c r="J14934" s="1063"/>
      <c r="K14934" s="1063"/>
      <c r="L14934" s="1063"/>
    </row>
    <row r="14935" spans="5:12" x14ac:dyDescent="0.2">
      <c r="E14935" s="1063"/>
      <c r="H14935" s="1066"/>
      <c r="I14935" s="1063"/>
      <c r="J14935" s="1063"/>
      <c r="K14935" s="1063"/>
      <c r="L14935" s="1063"/>
    </row>
    <row r="14936" spans="5:12" x14ac:dyDescent="0.2">
      <c r="E14936" s="1063"/>
      <c r="H14936" s="1066"/>
      <c r="I14936" s="1063"/>
      <c r="J14936" s="1063"/>
      <c r="K14936" s="1063"/>
      <c r="L14936" s="1063"/>
    </row>
    <row r="14937" spans="5:12" x14ac:dyDescent="0.2">
      <c r="E14937" s="1063"/>
      <c r="H14937" s="1066"/>
      <c r="I14937" s="1063"/>
      <c r="J14937" s="1063"/>
      <c r="K14937" s="1063"/>
      <c r="L14937" s="1063"/>
    </row>
    <row r="14938" spans="5:12" x14ac:dyDescent="0.2">
      <c r="E14938" s="1063"/>
      <c r="H14938" s="1066"/>
      <c r="I14938" s="1063"/>
      <c r="J14938" s="1063"/>
      <c r="K14938" s="1063"/>
      <c r="L14938" s="1063"/>
    </row>
    <row r="14939" spans="5:12" x14ac:dyDescent="0.2">
      <c r="E14939" s="1063"/>
      <c r="H14939" s="1066"/>
      <c r="I14939" s="1063"/>
      <c r="J14939" s="1063"/>
      <c r="K14939" s="1063"/>
      <c r="L14939" s="1063"/>
    </row>
    <row r="14940" spans="5:12" x14ac:dyDescent="0.2">
      <c r="E14940" s="1063"/>
      <c r="H14940" s="1066"/>
      <c r="I14940" s="1063"/>
      <c r="J14940" s="1063"/>
      <c r="K14940" s="1063"/>
      <c r="L14940" s="1063"/>
    </row>
    <row r="14941" spans="5:12" x14ac:dyDescent="0.2">
      <c r="E14941" s="1063"/>
      <c r="H14941" s="1066"/>
      <c r="I14941" s="1063"/>
      <c r="J14941" s="1063"/>
      <c r="K14941" s="1063"/>
      <c r="L14941" s="1063"/>
    </row>
    <row r="14942" spans="5:12" x14ac:dyDescent="0.2">
      <c r="E14942" s="1063"/>
      <c r="H14942" s="1066"/>
      <c r="I14942" s="1063"/>
      <c r="J14942" s="1063"/>
      <c r="K14942" s="1063"/>
      <c r="L14942" s="1063"/>
    </row>
    <row r="14943" spans="5:12" x14ac:dyDescent="0.2">
      <c r="E14943" s="1063"/>
      <c r="H14943" s="1066"/>
      <c r="I14943" s="1063"/>
      <c r="J14943" s="1063"/>
      <c r="K14943" s="1063"/>
      <c r="L14943" s="1063"/>
    </row>
    <row r="14944" spans="5:12" x14ac:dyDescent="0.2">
      <c r="E14944" s="1063"/>
      <c r="H14944" s="1066"/>
      <c r="I14944" s="1063"/>
      <c r="J14944" s="1063"/>
      <c r="K14944" s="1063"/>
      <c r="L14944" s="1063"/>
    </row>
    <row r="14945" spans="5:12" x14ac:dyDescent="0.2">
      <c r="E14945" s="1063"/>
      <c r="H14945" s="1066"/>
      <c r="I14945" s="1063"/>
      <c r="J14945" s="1063"/>
      <c r="K14945" s="1063"/>
      <c r="L14945" s="1063"/>
    </row>
    <row r="14946" spans="5:12" x14ac:dyDescent="0.2">
      <c r="E14946" s="1063"/>
      <c r="H14946" s="1066"/>
      <c r="I14946" s="1063"/>
      <c r="J14946" s="1063"/>
      <c r="K14946" s="1063"/>
      <c r="L14946" s="1063"/>
    </row>
    <row r="14947" spans="5:12" x14ac:dyDescent="0.2">
      <c r="E14947" s="1063"/>
      <c r="H14947" s="1066"/>
      <c r="I14947" s="1063"/>
      <c r="J14947" s="1063"/>
      <c r="K14947" s="1063"/>
      <c r="L14947" s="1063"/>
    </row>
    <row r="14948" spans="5:12" x14ac:dyDescent="0.2">
      <c r="E14948" s="1063"/>
      <c r="H14948" s="1066"/>
      <c r="I14948" s="1063"/>
      <c r="J14948" s="1063"/>
      <c r="K14948" s="1063"/>
      <c r="L14948" s="1063"/>
    </row>
    <row r="14949" spans="5:12" x14ac:dyDescent="0.2">
      <c r="E14949" s="1063"/>
      <c r="H14949" s="1066"/>
      <c r="I14949" s="1063"/>
      <c r="J14949" s="1063"/>
      <c r="K14949" s="1063"/>
      <c r="L14949" s="1063"/>
    </row>
    <row r="14950" spans="5:12" x14ac:dyDescent="0.2">
      <c r="E14950" s="1063"/>
      <c r="H14950" s="1066"/>
      <c r="I14950" s="1063"/>
      <c r="J14950" s="1063"/>
      <c r="K14950" s="1063"/>
      <c r="L14950" s="1063"/>
    </row>
    <row r="14951" spans="5:12" x14ac:dyDescent="0.2">
      <c r="E14951" s="1063"/>
      <c r="H14951" s="1066"/>
      <c r="I14951" s="1063"/>
      <c r="J14951" s="1063"/>
      <c r="K14951" s="1063"/>
      <c r="L14951" s="1063"/>
    </row>
    <row r="14952" spans="5:12" x14ac:dyDescent="0.2">
      <c r="E14952" s="1063"/>
      <c r="H14952" s="1066"/>
      <c r="I14952" s="1063"/>
      <c r="J14952" s="1063"/>
      <c r="K14952" s="1063"/>
      <c r="L14952" s="1063"/>
    </row>
    <row r="14953" spans="5:12" x14ac:dyDescent="0.2">
      <c r="E14953" s="1063"/>
      <c r="H14953" s="1066"/>
      <c r="I14953" s="1063"/>
      <c r="J14953" s="1063"/>
      <c r="K14953" s="1063"/>
      <c r="L14953" s="1063"/>
    </row>
    <row r="14954" spans="5:12" x14ac:dyDescent="0.2">
      <c r="E14954" s="1063"/>
      <c r="H14954" s="1066"/>
      <c r="I14954" s="1063"/>
      <c r="J14954" s="1063"/>
      <c r="K14954" s="1063"/>
      <c r="L14954" s="1063"/>
    </row>
    <row r="14955" spans="5:12" x14ac:dyDescent="0.2">
      <c r="E14955" s="1063"/>
      <c r="H14955" s="1066"/>
      <c r="I14955" s="1063"/>
      <c r="J14955" s="1063"/>
      <c r="K14955" s="1063"/>
      <c r="L14955" s="1063"/>
    </row>
    <row r="14956" spans="5:12" x14ac:dyDescent="0.2">
      <c r="E14956" s="1063"/>
      <c r="H14956" s="1066"/>
      <c r="I14956" s="1063"/>
      <c r="J14956" s="1063"/>
      <c r="K14956" s="1063"/>
      <c r="L14956" s="1063"/>
    </row>
    <row r="14957" spans="5:12" x14ac:dyDescent="0.2">
      <c r="E14957" s="1063"/>
      <c r="H14957" s="1066"/>
      <c r="I14957" s="1063"/>
      <c r="J14957" s="1063"/>
      <c r="K14957" s="1063"/>
      <c r="L14957" s="1063"/>
    </row>
    <row r="14958" spans="5:12" x14ac:dyDescent="0.2">
      <c r="E14958" s="1063"/>
      <c r="H14958" s="1066"/>
      <c r="I14958" s="1063"/>
      <c r="J14958" s="1063"/>
      <c r="K14958" s="1063"/>
      <c r="L14958" s="1063"/>
    </row>
    <row r="14959" spans="5:12" x14ac:dyDescent="0.2">
      <c r="E14959" s="1063"/>
      <c r="H14959" s="1066"/>
      <c r="I14959" s="1063"/>
      <c r="J14959" s="1063"/>
      <c r="K14959" s="1063"/>
      <c r="L14959" s="1063"/>
    </row>
    <row r="14960" spans="5:12" x14ac:dyDescent="0.2">
      <c r="E14960" s="1063"/>
      <c r="H14960" s="1066"/>
      <c r="I14960" s="1063"/>
      <c r="J14960" s="1063"/>
      <c r="K14960" s="1063"/>
      <c r="L14960" s="1063"/>
    </row>
    <row r="14961" spans="5:12" x14ac:dyDescent="0.2">
      <c r="E14961" s="1063"/>
      <c r="H14961" s="1066"/>
      <c r="I14961" s="1063"/>
      <c r="J14961" s="1063"/>
      <c r="K14961" s="1063"/>
      <c r="L14961" s="1063"/>
    </row>
    <row r="14962" spans="5:12" x14ac:dyDescent="0.2">
      <c r="E14962" s="1063"/>
      <c r="H14962" s="1066"/>
      <c r="I14962" s="1063"/>
      <c r="J14962" s="1063"/>
      <c r="K14962" s="1063"/>
      <c r="L14962" s="1063"/>
    </row>
    <row r="14963" spans="5:12" x14ac:dyDescent="0.2">
      <c r="E14963" s="1063"/>
      <c r="H14963" s="1066"/>
      <c r="I14963" s="1063"/>
      <c r="J14963" s="1063"/>
      <c r="K14963" s="1063"/>
      <c r="L14963" s="1063"/>
    </row>
    <row r="14964" spans="5:12" x14ac:dyDescent="0.2">
      <c r="E14964" s="1063"/>
      <c r="H14964" s="1066"/>
      <c r="I14964" s="1063"/>
      <c r="J14964" s="1063"/>
      <c r="K14964" s="1063"/>
      <c r="L14964" s="1063"/>
    </row>
    <row r="14965" spans="5:12" x14ac:dyDescent="0.2">
      <c r="E14965" s="1063"/>
      <c r="H14965" s="1066"/>
      <c r="I14965" s="1063"/>
      <c r="J14965" s="1063"/>
      <c r="K14965" s="1063"/>
      <c r="L14965" s="1063"/>
    </row>
    <row r="14966" spans="5:12" x14ac:dyDescent="0.2">
      <c r="E14966" s="1063"/>
      <c r="H14966" s="1066"/>
      <c r="I14966" s="1063"/>
      <c r="J14966" s="1063"/>
      <c r="K14966" s="1063"/>
      <c r="L14966" s="1063"/>
    </row>
    <row r="14967" spans="5:12" x14ac:dyDescent="0.2">
      <c r="E14967" s="1063"/>
      <c r="H14967" s="1066"/>
      <c r="I14967" s="1063"/>
      <c r="J14967" s="1063"/>
      <c r="K14967" s="1063"/>
      <c r="L14967" s="1063"/>
    </row>
    <row r="14968" spans="5:12" x14ac:dyDescent="0.2">
      <c r="E14968" s="1063"/>
      <c r="H14968" s="1066"/>
      <c r="I14968" s="1063"/>
      <c r="J14968" s="1063"/>
      <c r="K14968" s="1063"/>
      <c r="L14968" s="1063"/>
    </row>
    <row r="14969" spans="5:12" x14ac:dyDescent="0.2">
      <c r="E14969" s="1063"/>
      <c r="H14969" s="1066"/>
      <c r="I14969" s="1063"/>
      <c r="J14969" s="1063"/>
      <c r="K14969" s="1063"/>
      <c r="L14969" s="1063"/>
    </row>
    <row r="14970" spans="5:12" x14ac:dyDescent="0.2">
      <c r="E14970" s="1063"/>
      <c r="H14970" s="1066"/>
      <c r="I14970" s="1063"/>
      <c r="J14970" s="1063"/>
      <c r="K14970" s="1063"/>
      <c r="L14970" s="1063"/>
    </row>
    <row r="14971" spans="5:12" x14ac:dyDescent="0.2">
      <c r="E14971" s="1063"/>
      <c r="H14971" s="1066"/>
      <c r="I14971" s="1063"/>
      <c r="J14971" s="1063"/>
      <c r="K14971" s="1063"/>
      <c r="L14971" s="1063"/>
    </row>
    <row r="14972" spans="5:12" x14ac:dyDescent="0.2">
      <c r="E14972" s="1063"/>
      <c r="H14972" s="1066"/>
      <c r="I14972" s="1063"/>
      <c r="J14972" s="1063"/>
      <c r="K14972" s="1063"/>
      <c r="L14972" s="1063"/>
    </row>
    <row r="14973" spans="5:12" x14ac:dyDescent="0.2">
      <c r="E14973" s="1063"/>
      <c r="H14973" s="1066"/>
      <c r="I14973" s="1063"/>
      <c r="J14973" s="1063"/>
      <c r="K14973" s="1063"/>
      <c r="L14973" s="1063"/>
    </row>
    <row r="14974" spans="5:12" x14ac:dyDescent="0.2">
      <c r="E14974" s="1063"/>
      <c r="H14974" s="1066"/>
      <c r="I14974" s="1063"/>
      <c r="J14974" s="1063"/>
      <c r="K14974" s="1063"/>
      <c r="L14974" s="1063"/>
    </row>
    <row r="14975" spans="5:12" x14ac:dyDescent="0.2">
      <c r="E14975" s="1063"/>
      <c r="H14975" s="1066"/>
      <c r="I14975" s="1063"/>
      <c r="J14975" s="1063"/>
      <c r="K14975" s="1063"/>
      <c r="L14975" s="1063"/>
    </row>
    <row r="14976" spans="5:12" x14ac:dyDescent="0.2">
      <c r="E14976" s="1063"/>
      <c r="H14976" s="1066"/>
      <c r="I14976" s="1063"/>
      <c r="J14976" s="1063"/>
      <c r="K14976" s="1063"/>
      <c r="L14976" s="1063"/>
    </row>
    <row r="14977" spans="5:12" x14ac:dyDescent="0.2">
      <c r="E14977" s="1063"/>
      <c r="H14977" s="1066"/>
      <c r="I14977" s="1063"/>
      <c r="J14977" s="1063"/>
      <c r="K14977" s="1063"/>
      <c r="L14977" s="1063"/>
    </row>
    <row r="14978" spans="5:12" x14ac:dyDescent="0.2">
      <c r="E14978" s="1063"/>
      <c r="H14978" s="1066"/>
      <c r="I14978" s="1063"/>
      <c r="J14978" s="1063"/>
      <c r="K14978" s="1063"/>
      <c r="L14978" s="1063"/>
    </row>
    <row r="14979" spans="5:12" x14ac:dyDescent="0.2">
      <c r="E14979" s="1063"/>
      <c r="H14979" s="1066"/>
      <c r="I14979" s="1063"/>
      <c r="J14979" s="1063"/>
      <c r="K14979" s="1063"/>
      <c r="L14979" s="1063"/>
    </row>
    <row r="14980" spans="5:12" x14ac:dyDescent="0.2">
      <c r="E14980" s="1063"/>
      <c r="H14980" s="1066"/>
      <c r="I14980" s="1063"/>
      <c r="J14980" s="1063"/>
      <c r="K14980" s="1063"/>
      <c r="L14980" s="1063"/>
    </row>
    <row r="14981" spans="5:12" x14ac:dyDescent="0.2">
      <c r="E14981" s="1063"/>
      <c r="H14981" s="1066"/>
      <c r="I14981" s="1063"/>
      <c r="J14981" s="1063"/>
      <c r="K14981" s="1063"/>
      <c r="L14981" s="1063"/>
    </row>
    <row r="14982" spans="5:12" x14ac:dyDescent="0.2">
      <c r="E14982" s="1063"/>
      <c r="H14982" s="1066"/>
      <c r="I14982" s="1063"/>
      <c r="J14982" s="1063"/>
      <c r="K14982" s="1063"/>
      <c r="L14982" s="1063"/>
    </row>
    <row r="14983" spans="5:12" x14ac:dyDescent="0.2">
      <c r="E14983" s="1063"/>
      <c r="H14983" s="1066"/>
      <c r="I14983" s="1063"/>
      <c r="J14983" s="1063"/>
      <c r="K14983" s="1063"/>
      <c r="L14983" s="1063"/>
    </row>
    <row r="14984" spans="5:12" x14ac:dyDescent="0.2">
      <c r="E14984" s="1063"/>
      <c r="H14984" s="1066"/>
      <c r="I14984" s="1063"/>
      <c r="J14984" s="1063"/>
      <c r="K14984" s="1063"/>
      <c r="L14984" s="1063"/>
    </row>
    <row r="14985" spans="5:12" x14ac:dyDescent="0.2">
      <c r="E14985" s="1063"/>
      <c r="H14985" s="1066"/>
      <c r="I14985" s="1063"/>
      <c r="J14985" s="1063"/>
      <c r="K14985" s="1063"/>
      <c r="L14985" s="1063"/>
    </row>
    <row r="14986" spans="5:12" x14ac:dyDescent="0.2">
      <c r="E14986" s="1063"/>
      <c r="H14986" s="1066"/>
      <c r="I14986" s="1063"/>
      <c r="J14986" s="1063"/>
      <c r="K14986" s="1063"/>
      <c r="L14986" s="1063"/>
    </row>
    <row r="14987" spans="5:12" x14ac:dyDescent="0.2">
      <c r="E14987" s="1063"/>
      <c r="H14987" s="1066"/>
      <c r="I14987" s="1063"/>
      <c r="J14987" s="1063"/>
      <c r="K14987" s="1063"/>
      <c r="L14987" s="1063"/>
    </row>
    <row r="14988" spans="5:12" x14ac:dyDescent="0.2">
      <c r="E14988" s="1063"/>
      <c r="H14988" s="1066"/>
      <c r="I14988" s="1063"/>
      <c r="J14988" s="1063"/>
      <c r="K14988" s="1063"/>
      <c r="L14988" s="1063"/>
    </row>
    <row r="14989" spans="5:12" x14ac:dyDescent="0.2">
      <c r="E14989" s="1063"/>
      <c r="H14989" s="1066"/>
      <c r="I14989" s="1063"/>
      <c r="J14989" s="1063"/>
      <c r="K14989" s="1063"/>
      <c r="L14989" s="1063"/>
    </row>
    <row r="14990" spans="5:12" x14ac:dyDescent="0.2">
      <c r="E14990" s="1063"/>
      <c r="H14990" s="1066"/>
      <c r="I14990" s="1063"/>
      <c r="J14990" s="1063"/>
      <c r="K14990" s="1063"/>
      <c r="L14990" s="1063"/>
    </row>
    <row r="14991" spans="5:12" x14ac:dyDescent="0.2">
      <c r="E14991" s="1063"/>
      <c r="H14991" s="1066"/>
      <c r="I14991" s="1063"/>
      <c r="J14991" s="1063"/>
      <c r="K14991" s="1063"/>
      <c r="L14991" s="1063"/>
    </row>
    <row r="14992" spans="5:12" x14ac:dyDescent="0.2">
      <c r="E14992" s="1063"/>
      <c r="H14992" s="1066"/>
      <c r="I14992" s="1063"/>
      <c r="J14992" s="1063"/>
      <c r="K14992" s="1063"/>
      <c r="L14992" s="1063"/>
    </row>
    <row r="14993" spans="5:12" x14ac:dyDescent="0.2">
      <c r="E14993" s="1063"/>
      <c r="H14993" s="1066"/>
      <c r="I14993" s="1063"/>
      <c r="J14993" s="1063"/>
      <c r="K14993" s="1063"/>
      <c r="L14993" s="1063"/>
    </row>
    <row r="14994" spans="5:12" x14ac:dyDescent="0.2">
      <c r="E14994" s="1063"/>
      <c r="H14994" s="1066"/>
      <c r="I14994" s="1063"/>
      <c r="J14994" s="1063"/>
      <c r="K14994" s="1063"/>
      <c r="L14994" s="1063"/>
    </row>
    <row r="14995" spans="5:12" x14ac:dyDescent="0.2">
      <c r="E14995" s="1063"/>
      <c r="H14995" s="1066"/>
      <c r="I14995" s="1063"/>
      <c r="J14995" s="1063"/>
      <c r="K14995" s="1063"/>
      <c r="L14995" s="1063"/>
    </row>
    <row r="14996" spans="5:12" x14ac:dyDescent="0.2">
      <c r="E14996" s="1063"/>
      <c r="H14996" s="1066"/>
      <c r="I14996" s="1063"/>
      <c r="J14996" s="1063"/>
      <c r="K14996" s="1063"/>
      <c r="L14996" s="1063"/>
    </row>
    <row r="14997" spans="5:12" x14ac:dyDescent="0.2">
      <c r="E14997" s="1063"/>
      <c r="H14997" s="1066"/>
      <c r="I14997" s="1063"/>
      <c r="J14997" s="1063"/>
      <c r="K14997" s="1063"/>
      <c r="L14997" s="1063"/>
    </row>
    <row r="14998" spans="5:12" x14ac:dyDescent="0.2">
      <c r="E14998" s="1063"/>
      <c r="H14998" s="1066"/>
      <c r="I14998" s="1063"/>
      <c r="J14998" s="1063"/>
      <c r="K14998" s="1063"/>
      <c r="L14998" s="1063"/>
    </row>
    <row r="14999" spans="5:12" x14ac:dyDescent="0.2">
      <c r="E14999" s="1063"/>
      <c r="H14999" s="1066"/>
      <c r="I14999" s="1063"/>
      <c r="J14999" s="1063"/>
      <c r="K14999" s="1063"/>
      <c r="L14999" s="1063"/>
    </row>
    <row r="15000" spans="5:12" x14ac:dyDescent="0.2">
      <c r="E15000" s="1063"/>
      <c r="H15000" s="1066"/>
      <c r="I15000" s="1063"/>
      <c r="J15000" s="1063"/>
      <c r="K15000" s="1063"/>
      <c r="L15000" s="1063"/>
    </row>
    <row r="15001" spans="5:12" x14ac:dyDescent="0.2">
      <c r="E15001" s="1063"/>
      <c r="H15001" s="1066"/>
      <c r="I15001" s="1063"/>
      <c r="J15001" s="1063"/>
      <c r="K15001" s="1063"/>
      <c r="L15001" s="1063"/>
    </row>
    <row r="15002" spans="5:12" x14ac:dyDescent="0.2">
      <c r="E15002" s="1063"/>
      <c r="H15002" s="1066"/>
      <c r="I15002" s="1063"/>
      <c r="J15002" s="1063"/>
      <c r="K15002" s="1063"/>
      <c r="L15002" s="1063"/>
    </row>
    <row r="15003" spans="5:12" x14ac:dyDescent="0.2">
      <c r="E15003" s="1063"/>
      <c r="H15003" s="1066"/>
      <c r="I15003" s="1063"/>
      <c r="J15003" s="1063"/>
      <c r="K15003" s="1063"/>
      <c r="L15003" s="1063"/>
    </row>
    <row r="15004" spans="5:12" x14ac:dyDescent="0.2">
      <c r="E15004" s="1063"/>
      <c r="H15004" s="1066"/>
      <c r="I15004" s="1063"/>
      <c r="J15004" s="1063"/>
      <c r="K15004" s="1063"/>
      <c r="L15004" s="1063"/>
    </row>
    <row r="15005" spans="5:12" x14ac:dyDescent="0.2">
      <c r="E15005" s="1063"/>
      <c r="H15005" s="1066"/>
      <c r="I15005" s="1063"/>
      <c r="J15005" s="1063"/>
      <c r="K15005" s="1063"/>
      <c r="L15005" s="1063"/>
    </row>
    <row r="15006" spans="5:12" x14ac:dyDescent="0.2">
      <c r="E15006" s="1063"/>
      <c r="H15006" s="1066"/>
      <c r="I15006" s="1063"/>
      <c r="J15006" s="1063"/>
      <c r="K15006" s="1063"/>
      <c r="L15006" s="1063"/>
    </row>
    <row r="15007" spans="5:12" x14ac:dyDescent="0.2">
      <c r="E15007" s="1063"/>
      <c r="H15007" s="1066"/>
      <c r="I15007" s="1063"/>
      <c r="J15007" s="1063"/>
      <c r="K15007" s="1063"/>
      <c r="L15007" s="1063"/>
    </row>
    <row r="15008" spans="5:12" x14ac:dyDescent="0.2">
      <c r="E15008" s="1063"/>
      <c r="H15008" s="1066"/>
      <c r="I15008" s="1063"/>
      <c r="J15008" s="1063"/>
      <c r="K15008" s="1063"/>
      <c r="L15008" s="1063"/>
    </row>
    <row r="15009" spans="5:12" x14ac:dyDescent="0.2">
      <c r="E15009" s="1063"/>
      <c r="H15009" s="1066"/>
      <c r="I15009" s="1063"/>
      <c r="J15009" s="1063"/>
      <c r="K15009" s="1063"/>
      <c r="L15009" s="1063"/>
    </row>
    <row r="15010" spans="5:12" x14ac:dyDescent="0.2">
      <c r="E15010" s="1063"/>
      <c r="H15010" s="1066"/>
      <c r="I15010" s="1063"/>
      <c r="J15010" s="1063"/>
      <c r="K15010" s="1063"/>
      <c r="L15010" s="1063"/>
    </row>
    <row r="15011" spans="5:12" x14ac:dyDescent="0.2">
      <c r="E15011" s="1063"/>
      <c r="H15011" s="1066"/>
      <c r="I15011" s="1063"/>
      <c r="J15011" s="1063"/>
      <c r="K15011" s="1063"/>
      <c r="L15011" s="1063"/>
    </row>
    <row r="15012" spans="5:12" x14ac:dyDescent="0.2">
      <c r="E15012" s="1063"/>
      <c r="H15012" s="1066"/>
      <c r="I15012" s="1063"/>
      <c r="J15012" s="1063"/>
      <c r="K15012" s="1063"/>
      <c r="L15012" s="1063"/>
    </row>
    <row r="15013" spans="5:12" x14ac:dyDescent="0.2">
      <c r="E15013" s="1063"/>
      <c r="H15013" s="1066"/>
      <c r="I15013" s="1063"/>
      <c r="J15013" s="1063"/>
      <c r="K15013" s="1063"/>
      <c r="L15013" s="1063"/>
    </row>
    <row r="15014" spans="5:12" x14ac:dyDescent="0.2">
      <c r="E15014" s="1063"/>
      <c r="H15014" s="1066"/>
      <c r="I15014" s="1063"/>
      <c r="J15014" s="1063"/>
      <c r="K15014" s="1063"/>
      <c r="L15014" s="1063"/>
    </row>
    <row r="15015" spans="5:12" x14ac:dyDescent="0.2">
      <c r="E15015" s="1063"/>
      <c r="H15015" s="1066"/>
      <c r="I15015" s="1063"/>
      <c r="J15015" s="1063"/>
      <c r="K15015" s="1063"/>
      <c r="L15015" s="1063"/>
    </row>
    <row r="15016" spans="5:12" x14ac:dyDescent="0.2">
      <c r="E15016" s="1063"/>
      <c r="H15016" s="1066"/>
      <c r="I15016" s="1063"/>
      <c r="J15016" s="1063"/>
      <c r="K15016" s="1063"/>
      <c r="L15016" s="1063"/>
    </row>
    <row r="15017" spans="5:12" x14ac:dyDescent="0.2">
      <c r="E15017" s="1063"/>
      <c r="H15017" s="1066"/>
      <c r="I15017" s="1063"/>
      <c r="J15017" s="1063"/>
      <c r="K15017" s="1063"/>
      <c r="L15017" s="1063"/>
    </row>
    <row r="15018" spans="5:12" x14ac:dyDescent="0.2">
      <c r="E15018" s="1063"/>
      <c r="H15018" s="1066"/>
      <c r="I15018" s="1063"/>
      <c r="J15018" s="1063"/>
      <c r="K15018" s="1063"/>
      <c r="L15018" s="1063"/>
    </row>
    <row r="15019" spans="5:12" x14ac:dyDescent="0.2">
      <c r="E15019" s="1063"/>
      <c r="H15019" s="1066"/>
      <c r="I15019" s="1063"/>
      <c r="J15019" s="1063"/>
      <c r="K15019" s="1063"/>
      <c r="L15019" s="1063"/>
    </row>
    <row r="15020" spans="5:12" x14ac:dyDescent="0.2">
      <c r="E15020" s="1063"/>
      <c r="H15020" s="1066"/>
      <c r="I15020" s="1063"/>
      <c r="J15020" s="1063"/>
      <c r="K15020" s="1063"/>
      <c r="L15020" s="1063"/>
    </row>
    <row r="15021" spans="5:12" x14ac:dyDescent="0.2">
      <c r="E15021" s="1063"/>
      <c r="H15021" s="1066"/>
      <c r="I15021" s="1063"/>
      <c r="J15021" s="1063"/>
      <c r="K15021" s="1063"/>
      <c r="L15021" s="1063"/>
    </row>
    <row r="15022" spans="5:12" x14ac:dyDescent="0.2">
      <c r="E15022" s="1063"/>
      <c r="H15022" s="1066"/>
      <c r="I15022" s="1063"/>
      <c r="J15022" s="1063"/>
      <c r="K15022" s="1063"/>
      <c r="L15022" s="1063"/>
    </row>
    <row r="15023" spans="5:12" x14ac:dyDescent="0.2">
      <c r="E15023" s="1063"/>
      <c r="H15023" s="1066"/>
      <c r="I15023" s="1063"/>
      <c r="J15023" s="1063"/>
      <c r="K15023" s="1063"/>
      <c r="L15023" s="1063"/>
    </row>
    <row r="15024" spans="5:12" x14ac:dyDescent="0.2">
      <c r="E15024" s="1063"/>
      <c r="H15024" s="1066"/>
      <c r="I15024" s="1063"/>
      <c r="J15024" s="1063"/>
      <c r="K15024" s="1063"/>
      <c r="L15024" s="1063"/>
    </row>
    <row r="15025" spans="5:12" x14ac:dyDescent="0.2">
      <c r="E15025" s="1063"/>
      <c r="H15025" s="1066"/>
      <c r="I15025" s="1063"/>
      <c r="J15025" s="1063"/>
      <c r="K15025" s="1063"/>
      <c r="L15025" s="1063"/>
    </row>
    <row r="15026" spans="5:12" x14ac:dyDescent="0.2">
      <c r="E15026" s="1063"/>
      <c r="H15026" s="1066"/>
      <c r="I15026" s="1063"/>
      <c r="J15026" s="1063"/>
      <c r="K15026" s="1063"/>
      <c r="L15026" s="1063"/>
    </row>
    <row r="15027" spans="5:12" x14ac:dyDescent="0.2">
      <c r="E15027" s="1063"/>
      <c r="H15027" s="1066"/>
      <c r="I15027" s="1063"/>
      <c r="J15027" s="1063"/>
      <c r="K15027" s="1063"/>
      <c r="L15027" s="1063"/>
    </row>
    <row r="15028" spans="5:12" x14ac:dyDescent="0.2">
      <c r="E15028" s="1063"/>
      <c r="H15028" s="1066"/>
      <c r="I15028" s="1063"/>
      <c r="J15028" s="1063"/>
      <c r="K15028" s="1063"/>
      <c r="L15028" s="1063"/>
    </row>
    <row r="15029" spans="5:12" x14ac:dyDescent="0.2">
      <c r="E15029" s="1063"/>
      <c r="H15029" s="1066"/>
      <c r="I15029" s="1063"/>
      <c r="J15029" s="1063"/>
      <c r="K15029" s="1063"/>
      <c r="L15029" s="1063"/>
    </row>
    <row r="15030" spans="5:12" x14ac:dyDescent="0.2">
      <c r="E15030" s="1063"/>
      <c r="H15030" s="1066"/>
      <c r="I15030" s="1063"/>
      <c r="J15030" s="1063"/>
      <c r="K15030" s="1063"/>
      <c r="L15030" s="1063"/>
    </row>
    <row r="15031" spans="5:12" x14ac:dyDescent="0.2">
      <c r="E15031" s="1063"/>
      <c r="H15031" s="1066"/>
      <c r="I15031" s="1063"/>
      <c r="J15031" s="1063"/>
      <c r="K15031" s="1063"/>
      <c r="L15031" s="1063"/>
    </row>
    <row r="15032" spans="5:12" x14ac:dyDescent="0.2">
      <c r="E15032" s="1063"/>
      <c r="H15032" s="1066"/>
      <c r="I15032" s="1063"/>
      <c r="J15032" s="1063"/>
      <c r="K15032" s="1063"/>
      <c r="L15032" s="1063"/>
    </row>
    <row r="15033" spans="5:12" x14ac:dyDescent="0.2">
      <c r="E15033" s="1063"/>
      <c r="H15033" s="1066"/>
      <c r="I15033" s="1063"/>
      <c r="J15033" s="1063"/>
      <c r="K15033" s="1063"/>
      <c r="L15033" s="1063"/>
    </row>
    <row r="15034" spans="5:12" x14ac:dyDescent="0.2">
      <c r="E15034" s="1063"/>
      <c r="H15034" s="1066"/>
      <c r="I15034" s="1063"/>
      <c r="J15034" s="1063"/>
      <c r="K15034" s="1063"/>
      <c r="L15034" s="1063"/>
    </row>
    <row r="15035" spans="5:12" x14ac:dyDescent="0.2">
      <c r="E15035" s="1063"/>
      <c r="H15035" s="1066"/>
      <c r="I15035" s="1063"/>
      <c r="J15035" s="1063"/>
      <c r="K15035" s="1063"/>
      <c r="L15035" s="1063"/>
    </row>
    <row r="15036" spans="5:12" x14ac:dyDescent="0.2">
      <c r="E15036" s="1063"/>
      <c r="H15036" s="1066"/>
      <c r="I15036" s="1063"/>
      <c r="J15036" s="1063"/>
      <c r="K15036" s="1063"/>
      <c r="L15036" s="1063"/>
    </row>
    <row r="15037" spans="5:12" x14ac:dyDescent="0.2">
      <c r="E15037" s="1063"/>
      <c r="H15037" s="1066"/>
      <c r="I15037" s="1063"/>
      <c r="J15037" s="1063"/>
      <c r="K15037" s="1063"/>
      <c r="L15037" s="1063"/>
    </row>
    <row r="15038" spans="5:12" x14ac:dyDescent="0.2">
      <c r="E15038" s="1063"/>
      <c r="H15038" s="1066"/>
      <c r="I15038" s="1063"/>
      <c r="J15038" s="1063"/>
      <c r="K15038" s="1063"/>
      <c r="L15038" s="1063"/>
    </row>
    <row r="15039" spans="5:12" x14ac:dyDescent="0.2">
      <c r="E15039" s="1063"/>
      <c r="H15039" s="1066"/>
      <c r="I15039" s="1063"/>
      <c r="J15039" s="1063"/>
      <c r="K15039" s="1063"/>
      <c r="L15039" s="1063"/>
    </row>
    <row r="15040" spans="5:12" x14ac:dyDescent="0.2">
      <c r="E15040" s="1063"/>
      <c r="H15040" s="1066"/>
      <c r="I15040" s="1063"/>
      <c r="J15040" s="1063"/>
      <c r="K15040" s="1063"/>
      <c r="L15040" s="1063"/>
    </row>
    <row r="15041" spans="5:12" x14ac:dyDescent="0.2">
      <c r="E15041" s="1063"/>
      <c r="H15041" s="1066"/>
      <c r="I15041" s="1063"/>
      <c r="J15041" s="1063"/>
      <c r="K15041" s="1063"/>
      <c r="L15041" s="1063"/>
    </row>
    <row r="15042" spans="5:12" x14ac:dyDescent="0.2">
      <c r="E15042" s="1063"/>
      <c r="H15042" s="1066"/>
      <c r="I15042" s="1063"/>
      <c r="J15042" s="1063"/>
      <c r="K15042" s="1063"/>
      <c r="L15042" s="1063"/>
    </row>
    <row r="15043" spans="5:12" x14ac:dyDescent="0.2">
      <c r="E15043" s="1063"/>
      <c r="H15043" s="1066"/>
      <c r="I15043" s="1063"/>
      <c r="J15043" s="1063"/>
      <c r="K15043" s="1063"/>
      <c r="L15043" s="1063"/>
    </row>
    <row r="15044" spans="5:12" x14ac:dyDescent="0.2">
      <c r="E15044" s="1063"/>
      <c r="H15044" s="1066"/>
      <c r="I15044" s="1063"/>
      <c r="J15044" s="1063"/>
      <c r="K15044" s="1063"/>
      <c r="L15044" s="1063"/>
    </row>
    <row r="15045" spans="5:12" x14ac:dyDescent="0.2">
      <c r="E15045" s="1063"/>
      <c r="H15045" s="1066"/>
      <c r="I15045" s="1063"/>
      <c r="J15045" s="1063"/>
      <c r="K15045" s="1063"/>
      <c r="L15045" s="1063"/>
    </row>
    <row r="15046" spans="5:12" x14ac:dyDescent="0.2">
      <c r="E15046" s="1063"/>
      <c r="H15046" s="1066"/>
      <c r="I15046" s="1063"/>
      <c r="J15046" s="1063"/>
      <c r="K15046" s="1063"/>
      <c r="L15046" s="1063"/>
    </row>
    <row r="15047" spans="5:12" x14ac:dyDescent="0.2">
      <c r="E15047" s="1063"/>
      <c r="H15047" s="1066"/>
      <c r="I15047" s="1063"/>
      <c r="J15047" s="1063"/>
      <c r="K15047" s="1063"/>
      <c r="L15047" s="1063"/>
    </row>
    <row r="15048" spans="5:12" x14ac:dyDescent="0.2">
      <c r="E15048" s="1063"/>
      <c r="H15048" s="1066"/>
      <c r="I15048" s="1063"/>
      <c r="J15048" s="1063"/>
      <c r="K15048" s="1063"/>
      <c r="L15048" s="1063"/>
    </row>
    <row r="15049" spans="5:12" x14ac:dyDescent="0.2">
      <c r="E15049" s="1063"/>
      <c r="H15049" s="1066"/>
      <c r="I15049" s="1063"/>
      <c r="J15049" s="1063"/>
      <c r="K15049" s="1063"/>
      <c r="L15049" s="1063"/>
    </row>
    <row r="15050" spans="5:12" x14ac:dyDescent="0.2">
      <c r="E15050" s="1063"/>
      <c r="H15050" s="1066"/>
      <c r="I15050" s="1063"/>
      <c r="J15050" s="1063"/>
      <c r="K15050" s="1063"/>
      <c r="L15050" s="1063"/>
    </row>
    <row r="15051" spans="5:12" x14ac:dyDescent="0.2">
      <c r="E15051" s="1063"/>
      <c r="H15051" s="1066"/>
      <c r="I15051" s="1063"/>
      <c r="J15051" s="1063"/>
      <c r="K15051" s="1063"/>
      <c r="L15051" s="1063"/>
    </row>
    <row r="15052" spans="5:12" x14ac:dyDescent="0.2">
      <c r="E15052" s="1063"/>
      <c r="H15052" s="1066"/>
      <c r="I15052" s="1063"/>
      <c r="J15052" s="1063"/>
      <c r="K15052" s="1063"/>
      <c r="L15052" s="1063"/>
    </row>
    <row r="15053" spans="5:12" x14ac:dyDescent="0.2">
      <c r="E15053" s="1063"/>
      <c r="H15053" s="1066"/>
      <c r="I15053" s="1063"/>
      <c r="J15053" s="1063"/>
      <c r="K15053" s="1063"/>
      <c r="L15053" s="1063"/>
    </row>
    <row r="15054" spans="5:12" x14ac:dyDescent="0.2">
      <c r="E15054" s="1063"/>
      <c r="H15054" s="1066"/>
      <c r="I15054" s="1063"/>
      <c r="J15054" s="1063"/>
      <c r="K15054" s="1063"/>
      <c r="L15054" s="1063"/>
    </row>
    <row r="15055" spans="5:12" x14ac:dyDescent="0.2">
      <c r="E15055" s="1063"/>
      <c r="H15055" s="1066"/>
      <c r="I15055" s="1063"/>
      <c r="J15055" s="1063"/>
      <c r="K15055" s="1063"/>
      <c r="L15055" s="1063"/>
    </row>
    <row r="15056" spans="5:12" x14ac:dyDescent="0.2">
      <c r="E15056" s="1063"/>
      <c r="H15056" s="1066"/>
      <c r="I15056" s="1063"/>
      <c r="J15056" s="1063"/>
      <c r="K15056" s="1063"/>
      <c r="L15056" s="1063"/>
    </row>
    <row r="15057" spans="5:12" x14ac:dyDescent="0.2">
      <c r="E15057" s="1063"/>
      <c r="H15057" s="1066"/>
      <c r="I15057" s="1063"/>
      <c r="J15057" s="1063"/>
      <c r="K15057" s="1063"/>
      <c r="L15057" s="1063"/>
    </row>
    <row r="15058" spans="5:12" x14ac:dyDescent="0.2">
      <c r="E15058" s="1063"/>
      <c r="H15058" s="1066"/>
      <c r="I15058" s="1063"/>
      <c r="J15058" s="1063"/>
      <c r="K15058" s="1063"/>
      <c r="L15058" s="1063"/>
    </row>
    <row r="15059" spans="5:12" x14ac:dyDescent="0.2">
      <c r="E15059" s="1063"/>
      <c r="H15059" s="1066"/>
      <c r="I15059" s="1063"/>
      <c r="J15059" s="1063"/>
      <c r="K15059" s="1063"/>
      <c r="L15059" s="1063"/>
    </row>
    <row r="15060" spans="5:12" x14ac:dyDescent="0.2">
      <c r="E15060" s="1063"/>
      <c r="H15060" s="1066"/>
      <c r="I15060" s="1063"/>
      <c r="J15060" s="1063"/>
      <c r="K15060" s="1063"/>
      <c r="L15060" s="1063"/>
    </row>
    <row r="15061" spans="5:12" x14ac:dyDescent="0.2">
      <c r="E15061" s="1063"/>
      <c r="H15061" s="1066"/>
      <c r="I15061" s="1063"/>
      <c r="J15061" s="1063"/>
      <c r="K15061" s="1063"/>
      <c r="L15061" s="1063"/>
    </row>
    <row r="15062" spans="5:12" x14ac:dyDescent="0.2">
      <c r="E15062" s="1063"/>
      <c r="H15062" s="1066"/>
      <c r="I15062" s="1063"/>
      <c r="J15062" s="1063"/>
      <c r="K15062" s="1063"/>
      <c r="L15062" s="1063"/>
    </row>
    <row r="15063" spans="5:12" x14ac:dyDescent="0.2">
      <c r="E15063" s="1063"/>
      <c r="H15063" s="1066"/>
      <c r="I15063" s="1063"/>
      <c r="J15063" s="1063"/>
      <c r="K15063" s="1063"/>
      <c r="L15063" s="1063"/>
    </row>
    <row r="15064" spans="5:12" x14ac:dyDescent="0.2">
      <c r="E15064" s="1063"/>
      <c r="H15064" s="1066"/>
      <c r="I15064" s="1063"/>
      <c r="J15064" s="1063"/>
      <c r="K15064" s="1063"/>
      <c r="L15064" s="1063"/>
    </row>
    <row r="15065" spans="5:12" x14ac:dyDescent="0.2">
      <c r="E15065" s="1063"/>
      <c r="H15065" s="1066"/>
      <c r="I15065" s="1063"/>
      <c r="J15065" s="1063"/>
      <c r="K15065" s="1063"/>
      <c r="L15065" s="1063"/>
    </row>
    <row r="15066" spans="5:12" x14ac:dyDescent="0.2">
      <c r="E15066" s="1063"/>
      <c r="H15066" s="1066"/>
      <c r="I15066" s="1063"/>
      <c r="J15066" s="1063"/>
      <c r="K15066" s="1063"/>
      <c r="L15066" s="1063"/>
    </row>
    <row r="15067" spans="5:12" x14ac:dyDescent="0.2">
      <c r="E15067" s="1063"/>
      <c r="H15067" s="1066"/>
      <c r="I15067" s="1063"/>
      <c r="J15067" s="1063"/>
      <c r="K15067" s="1063"/>
      <c r="L15067" s="1063"/>
    </row>
    <row r="15068" spans="5:12" x14ac:dyDescent="0.2">
      <c r="E15068" s="1063"/>
      <c r="H15068" s="1066"/>
      <c r="I15068" s="1063"/>
      <c r="J15068" s="1063"/>
      <c r="K15068" s="1063"/>
      <c r="L15068" s="1063"/>
    </row>
    <row r="15069" spans="5:12" x14ac:dyDescent="0.2">
      <c r="E15069" s="1063"/>
      <c r="H15069" s="1066"/>
      <c r="I15069" s="1063"/>
      <c r="J15069" s="1063"/>
      <c r="K15069" s="1063"/>
      <c r="L15069" s="1063"/>
    </row>
    <row r="15070" spans="5:12" x14ac:dyDescent="0.2">
      <c r="E15070" s="1063"/>
      <c r="H15070" s="1066"/>
      <c r="I15070" s="1063"/>
      <c r="J15070" s="1063"/>
      <c r="K15070" s="1063"/>
      <c r="L15070" s="1063"/>
    </row>
    <row r="15071" spans="5:12" x14ac:dyDescent="0.2">
      <c r="E15071" s="1063"/>
      <c r="H15071" s="1066"/>
      <c r="I15071" s="1063"/>
      <c r="J15071" s="1063"/>
      <c r="K15071" s="1063"/>
      <c r="L15071" s="1063"/>
    </row>
    <row r="15072" spans="5:12" x14ac:dyDescent="0.2">
      <c r="E15072" s="1063"/>
      <c r="H15072" s="1066"/>
      <c r="I15072" s="1063"/>
      <c r="J15072" s="1063"/>
      <c r="K15072" s="1063"/>
      <c r="L15072" s="1063"/>
    </row>
    <row r="15073" spans="5:12" x14ac:dyDescent="0.2">
      <c r="E15073" s="1063"/>
      <c r="H15073" s="1066"/>
      <c r="I15073" s="1063"/>
      <c r="J15073" s="1063"/>
      <c r="K15073" s="1063"/>
      <c r="L15073" s="1063"/>
    </row>
    <row r="15074" spans="5:12" x14ac:dyDescent="0.2">
      <c r="E15074" s="1063"/>
      <c r="H15074" s="1066"/>
      <c r="I15074" s="1063"/>
      <c r="J15074" s="1063"/>
      <c r="K15074" s="1063"/>
      <c r="L15074" s="1063"/>
    </row>
    <row r="15075" spans="5:12" x14ac:dyDescent="0.2">
      <c r="E15075" s="1063"/>
      <c r="H15075" s="1066"/>
      <c r="I15075" s="1063"/>
      <c r="J15075" s="1063"/>
      <c r="K15075" s="1063"/>
      <c r="L15075" s="1063"/>
    </row>
    <row r="15076" spans="5:12" x14ac:dyDescent="0.2">
      <c r="E15076" s="1063"/>
      <c r="H15076" s="1066"/>
      <c r="I15076" s="1063"/>
      <c r="J15076" s="1063"/>
      <c r="K15076" s="1063"/>
      <c r="L15076" s="1063"/>
    </row>
    <row r="15077" spans="5:12" x14ac:dyDescent="0.2">
      <c r="E15077" s="1063"/>
      <c r="H15077" s="1066"/>
      <c r="I15077" s="1063"/>
      <c r="J15077" s="1063"/>
      <c r="K15077" s="1063"/>
      <c r="L15077" s="1063"/>
    </row>
    <row r="15078" spans="5:12" x14ac:dyDescent="0.2">
      <c r="E15078" s="1063"/>
      <c r="H15078" s="1066"/>
      <c r="I15078" s="1063"/>
      <c r="J15078" s="1063"/>
      <c r="K15078" s="1063"/>
      <c r="L15078" s="1063"/>
    </row>
    <row r="15079" spans="5:12" x14ac:dyDescent="0.2">
      <c r="E15079" s="1063"/>
      <c r="H15079" s="1066"/>
      <c r="I15079" s="1063"/>
      <c r="J15079" s="1063"/>
      <c r="K15079" s="1063"/>
      <c r="L15079" s="1063"/>
    </row>
    <row r="15080" spans="5:12" x14ac:dyDescent="0.2">
      <c r="E15080" s="1063"/>
      <c r="H15080" s="1066"/>
      <c r="I15080" s="1063"/>
      <c r="J15080" s="1063"/>
      <c r="K15080" s="1063"/>
      <c r="L15080" s="1063"/>
    </row>
    <row r="15081" spans="5:12" x14ac:dyDescent="0.2">
      <c r="E15081" s="1063"/>
      <c r="H15081" s="1066"/>
      <c r="I15081" s="1063"/>
      <c r="J15081" s="1063"/>
      <c r="K15081" s="1063"/>
      <c r="L15081" s="1063"/>
    </row>
    <row r="15082" spans="5:12" x14ac:dyDescent="0.2">
      <c r="E15082" s="1063"/>
      <c r="H15082" s="1066"/>
      <c r="I15082" s="1063"/>
      <c r="J15082" s="1063"/>
      <c r="K15082" s="1063"/>
      <c r="L15082" s="1063"/>
    </row>
    <row r="15083" spans="5:12" x14ac:dyDescent="0.2">
      <c r="E15083" s="1063"/>
      <c r="H15083" s="1066"/>
      <c r="I15083" s="1063"/>
      <c r="J15083" s="1063"/>
      <c r="K15083" s="1063"/>
      <c r="L15083" s="1063"/>
    </row>
    <row r="15084" spans="5:12" x14ac:dyDescent="0.2">
      <c r="E15084" s="1063"/>
      <c r="H15084" s="1066"/>
      <c r="I15084" s="1063"/>
      <c r="J15084" s="1063"/>
      <c r="K15084" s="1063"/>
      <c r="L15084" s="1063"/>
    </row>
    <row r="15085" spans="5:12" x14ac:dyDescent="0.2">
      <c r="E15085" s="1063"/>
      <c r="H15085" s="1066"/>
      <c r="I15085" s="1063"/>
      <c r="J15085" s="1063"/>
      <c r="K15085" s="1063"/>
      <c r="L15085" s="1063"/>
    </row>
    <row r="15086" spans="5:12" x14ac:dyDescent="0.2">
      <c r="E15086" s="1063"/>
      <c r="H15086" s="1066"/>
      <c r="I15086" s="1063"/>
      <c r="J15086" s="1063"/>
      <c r="K15086" s="1063"/>
      <c r="L15086" s="1063"/>
    </row>
    <row r="15087" spans="5:12" x14ac:dyDescent="0.2">
      <c r="E15087" s="1063"/>
      <c r="H15087" s="1066"/>
      <c r="I15087" s="1063"/>
      <c r="J15087" s="1063"/>
      <c r="K15087" s="1063"/>
      <c r="L15087" s="1063"/>
    </row>
    <row r="15088" spans="5:12" x14ac:dyDescent="0.2">
      <c r="E15088" s="1063"/>
      <c r="H15088" s="1066"/>
      <c r="I15088" s="1063"/>
      <c r="J15088" s="1063"/>
      <c r="K15088" s="1063"/>
      <c r="L15088" s="1063"/>
    </row>
    <row r="15089" spans="5:12" x14ac:dyDescent="0.2">
      <c r="E15089" s="1063"/>
      <c r="H15089" s="1066"/>
      <c r="I15089" s="1063"/>
      <c r="J15089" s="1063"/>
      <c r="K15089" s="1063"/>
      <c r="L15089" s="1063"/>
    </row>
    <row r="15090" spans="5:12" x14ac:dyDescent="0.2">
      <c r="E15090" s="1063"/>
      <c r="H15090" s="1066"/>
      <c r="I15090" s="1063"/>
      <c r="J15090" s="1063"/>
      <c r="K15090" s="1063"/>
      <c r="L15090" s="1063"/>
    </row>
    <row r="15091" spans="5:12" x14ac:dyDescent="0.2">
      <c r="E15091" s="1063"/>
      <c r="H15091" s="1066"/>
      <c r="I15091" s="1063"/>
      <c r="J15091" s="1063"/>
      <c r="K15091" s="1063"/>
      <c r="L15091" s="1063"/>
    </row>
    <row r="15092" spans="5:12" x14ac:dyDescent="0.2">
      <c r="E15092" s="1063"/>
      <c r="H15092" s="1066"/>
      <c r="I15092" s="1063"/>
      <c r="J15092" s="1063"/>
      <c r="K15092" s="1063"/>
      <c r="L15092" s="1063"/>
    </row>
    <row r="15093" spans="5:12" x14ac:dyDescent="0.2">
      <c r="E15093" s="1063"/>
      <c r="H15093" s="1066"/>
      <c r="I15093" s="1063"/>
      <c r="J15093" s="1063"/>
      <c r="K15093" s="1063"/>
      <c r="L15093" s="1063"/>
    </row>
    <row r="15094" spans="5:12" x14ac:dyDescent="0.2">
      <c r="E15094" s="1063"/>
      <c r="H15094" s="1066"/>
      <c r="I15094" s="1063"/>
      <c r="J15094" s="1063"/>
      <c r="K15094" s="1063"/>
      <c r="L15094" s="1063"/>
    </row>
    <row r="15095" spans="5:12" x14ac:dyDescent="0.2">
      <c r="E15095" s="1063"/>
      <c r="H15095" s="1066"/>
      <c r="I15095" s="1063"/>
      <c r="J15095" s="1063"/>
      <c r="K15095" s="1063"/>
      <c r="L15095" s="1063"/>
    </row>
    <row r="15096" spans="5:12" x14ac:dyDescent="0.2">
      <c r="E15096" s="1063"/>
      <c r="H15096" s="1066"/>
      <c r="I15096" s="1063"/>
      <c r="J15096" s="1063"/>
      <c r="K15096" s="1063"/>
      <c r="L15096" s="1063"/>
    </row>
    <row r="15097" spans="5:12" x14ac:dyDescent="0.2">
      <c r="E15097" s="1063"/>
      <c r="H15097" s="1066"/>
      <c r="I15097" s="1063"/>
      <c r="J15097" s="1063"/>
      <c r="K15097" s="1063"/>
      <c r="L15097" s="1063"/>
    </row>
    <row r="15098" spans="5:12" x14ac:dyDescent="0.2">
      <c r="E15098" s="1063"/>
      <c r="H15098" s="1066"/>
      <c r="I15098" s="1063"/>
      <c r="J15098" s="1063"/>
      <c r="K15098" s="1063"/>
      <c r="L15098" s="1063"/>
    </row>
    <row r="15099" spans="5:12" x14ac:dyDescent="0.2">
      <c r="E15099" s="1063"/>
      <c r="H15099" s="1066"/>
      <c r="I15099" s="1063"/>
      <c r="J15099" s="1063"/>
      <c r="K15099" s="1063"/>
      <c r="L15099" s="1063"/>
    </row>
    <row r="15100" spans="5:12" x14ac:dyDescent="0.2">
      <c r="E15100" s="1063"/>
      <c r="H15100" s="1066"/>
      <c r="I15100" s="1063"/>
      <c r="J15100" s="1063"/>
      <c r="K15100" s="1063"/>
      <c r="L15100" s="1063"/>
    </row>
    <row r="15101" spans="5:12" x14ac:dyDescent="0.2">
      <c r="E15101" s="1063"/>
      <c r="H15101" s="1066"/>
      <c r="I15101" s="1063"/>
      <c r="J15101" s="1063"/>
      <c r="K15101" s="1063"/>
      <c r="L15101" s="1063"/>
    </row>
    <row r="15102" spans="5:12" x14ac:dyDescent="0.2">
      <c r="E15102" s="1063"/>
      <c r="H15102" s="1066"/>
      <c r="I15102" s="1063"/>
      <c r="J15102" s="1063"/>
      <c r="K15102" s="1063"/>
      <c r="L15102" s="1063"/>
    </row>
    <row r="15103" spans="5:12" x14ac:dyDescent="0.2">
      <c r="E15103" s="1063"/>
      <c r="H15103" s="1066"/>
      <c r="I15103" s="1063"/>
      <c r="J15103" s="1063"/>
      <c r="K15103" s="1063"/>
      <c r="L15103" s="1063"/>
    </row>
    <row r="15104" spans="5:12" x14ac:dyDescent="0.2">
      <c r="E15104" s="1063"/>
      <c r="H15104" s="1066"/>
      <c r="I15104" s="1063"/>
      <c r="J15104" s="1063"/>
      <c r="K15104" s="1063"/>
      <c r="L15104" s="1063"/>
    </row>
    <row r="15105" spans="5:12" x14ac:dyDescent="0.2">
      <c r="E15105" s="1063"/>
      <c r="H15105" s="1066"/>
      <c r="I15105" s="1063"/>
      <c r="J15105" s="1063"/>
      <c r="K15105" s="1063"/>
      <c r="L15105" s="1063"/>
    </row>
    <row r="15106" spans="5:12" x14ac:dyDescent="0.2">
      <c r="E15106" s="1063"/>
      <c r="H15106" s="1066"/>
      <c r="I15106" s="1063"/>
      <c r="J15106" s="1063"/>
      <c r="K15106" s="1063"/>
      <c r="L15106" s="1063"/>
    </row>
    <row r="15107" spans="5:12" x14ac:dyDescent="0.2">
      <c r="E15107" s="1063"/>
      <c r="H15107" s="1066"/>
      <c r="I15107" s="1063"/>
      <c r="J15107" s="1063"/>
      <c r="K15107" s="1063"/>
      <c r="L15107" s="1063"/>
    </row>
    <row r="15108" spans="5:12" x14ac:dyDescent="0.2">
      <c r="E15108" s="1063"/>
      <c r="H15108" s="1066"/>
      <c r="I15108" s="1063"/>
      <c r="J15108" s="1063"/>
      <c r="K15108" s="1063"/>
      <c r="L15108" s="1063"/>
    </row>
    <row r="15109" spans="5:12" x14ac:dyDescent="0.2">
      <c r="E15109" s="1063"/>
      <c r="H15109" s="1066"/>
      <c r="I15109" s="1063"/>
      <c r="J15109" s="1063"/>
      <c r="K15109" s="1063"/>
      <c r="L15109" s="1063"/>
    </row>
    <row r="15110" spans="5:12" x14ac:dyDescent="0.2">
      <c r="E15110" s="1063"/>
      <c r="H15110" s="1066"/>
      <c r="I15110" s="1063"/>
      <c r="J15110" s="1063"/>
      <c r="K15110" s="1063"/>
      <c r="L15110" s="1063"/>
    </row>
    <row r="15111" spans="5:12" x14ac:dyDescent="0.2">
      <c r="E15111" s="1063"/>
      <c r="H15111" s="1066"/>
      <c r="I15111" s="1063"/>
      <c r="J15111" s="1063"/>
      <c r="K15111" s="1063"/>
      <c r="L15111" s="1063"/>
    </row>
    <row r="15112" spans="5:12" x14ac:dyDescent="0.2">
      <c r="E15112" s="1063"/>
      <c r="H15112" s="1066"/>
      <c r="I15112" s="1063"/>
      <c r="J15112" s="1063"/>
      <c r="K15112" s="1063"/>
      <c r="L15112" s="1063"/>
    </row>
    <row r="15113" spans="5:12" x14ac:dyDescent="0.2">
      <c r="E15113" s="1063"/>
      <c r="H15113" s="1066"/>
      <c r="I15113" s="1063"/>
      <c r="J15113" s="1063"/>
      <c r="K15113" s="1063"/>
      <c r="L15113" s="1063"/>
    </row>
    <row r="15114" spans="5:12" x14ac:dyDescent="0.2">
      <c r="E15114" s="1063"/>
      <c r="H15114" s="1066"/>
      <c r="I15114" s="1063"/>
      <c r="J15114" s="1063"/>
      <c r="K15114" s="1063"/>
      <c r="L15114" s="1063"/>
    </row>
    <row r="15115" spans="5:12" x14ac:dyDescent="0.2">
      <c r="E15115" s="1063"/>
      <c r="H15115" s="1066"/>
      <c r="I15115" s="1063"/>
      <c r="J15115" s="1063"/>
      <c r="K15115" s="1063"/>
      <c r="L15115" s="1063"/>
    </row>
    <row r="15116" spans="5:12" x14ac:dyDescent="0.2">
      <c r="E15116" s="1063"/>
      <c r="H15116" s="1066"/>
      <c r="I15116" s="1063"/>
      <c r="J15116" s="1063"/>
      <c r="K15116" s="1063"/>
      <c r="L15116" s="1063"/>
    </row>
    <row r="15117" spans="5:12" x14ac:dyDescent="0.2">
      <c r="E15117" s="1063"/>
      <c r="H15117" s="1066"/>
      <c r="I15117" s="1063"/>
      <c r="J15117" s="1063"/>
      <c r="K15117" s="1063"/>
      <c r="L15117" s="1063"/>
    </row>
    <row r="15118" spans="5:12" x14ac:dyDescent="0.2">
      <c r="E15118" s="1063"/>
      <c r="H15118" s="1066"/>
      <c r="I15118" s="1063"/>
      <c r="J15118" s="1063"/>
      <c r="K15118" s="1063"/>
      <c r="L15118" s="1063"/>
    </row>
    <row r="15119" spans="5:12" x14ac:dyDescent="0.2">
      <c r="E15119" s="1063"/>
      <c r="H15119" s="1066"/>
      <c r="I15119" s="1063"/>
      <c r="J15119" s="1063"/>
      <c r="K15119" s="1063"/>
      <c r="L15119" s="1063"/>
    </row>
    <row r="15120" spans="5:12" x14ac:dyDescent="0.2">
      <c r="E15120" s="1063"/>
      <c r="H15120" s="1066"/>
      <c r="I15120" s="1063"/>
      <c r="J15120" s="1063"/>
      <c r="K15120" s="1063"/>
      <c r="L15120" s="1063"/>
    </row>
    <row r="15121" spans="5:12" x14ac:dyDescent="0.2">
      <c r="E15121" s="1063"/>
      <c r="H15121" s="1066"/>
      <c r="I15121" s="1063"/>
      <c r="J15121" s="1063"/>
      <c r="K15121" s="1063"/>
      <c r="L15121" s="1063"/>
    </row>
    <row r="15122" spans="5:12" x14ac:dyDescent="0.2">
      <c r="E15122" s="1063"/>
      <c r="H15122" s="1066"/>
      <c r="I15122" s="1063"/>
      <c r="J15122" s="1063"/>
      <c r="K15122" s="1063"/>
      <c r="L15122" s="1063"/>
    </row>
    <row r="15123" spans="5:12" x14ac:dyDescent="0.2">
      <c r="E15123" s="1063"/>
      <c r="H15123" s="1066"/>
      <c r="I15123" s="1063"/>
      <c r="J15123" s="1063"/>
      <c r="K15123" s="1063"/>
      <c r="L15123" s="1063"/>
    </row>
    <row r="15124" spans="5:12" x14ac:dyDescent="0.2">
      <c r="E15124" s="1063"/>
      <c r="H15124" s="1066"/>
      <c r="I15124" s="1063"/>
      <c r="J15124" s="1063"/>
      <c r="K15124" s="1063"/>
      <c r="L15124" s="1063"/>
    </row>
    <row r="15125" spans="5:12" x14ac:dyDescent="0.2">
      <c r="E15125" s="1063"/>
      <c r="H15125" s="1066"/>
      <c r="I15125" s="1063"/>
      <c r="J15125" s="1063"/>
      <c r="K15125" s="1063"/>
      <c r="L15125" s="1063"/>
    </row>
    <row r="15126" spans="5:12" x14ac:dyDescent="0.2">
      <c r="E15126" s="1063"/>
      <c r="H15126" s="1066"/>
      <c r="I15126" s="1063"/>
      <c r="J15126" s="1063"/>
      <c r="K15126" s="1063"/>
      <c r="L15126" s="1063"/>
    </row>
    <row r="15127" spans="5:12" x14ac:dyDescent="0.2">
      <c r="E15127" s="1063"/>
      <c r="H15127" s="1066"/>
      <c r="I15127" s="1063"/>
      <c r="J15127" s="1063"/>
      <c r="K15127" s="1063"/>
      <c r="L15127" s="1063"/>
    </row>
    <row r="15128" spans="5:12" x14ac:dyDescent="0.2">
      <c r="E15128" s="1063"/>
      <c r="H15128" s="1066"/>
      <c r="I15128" s="1063"/>
      <c r="J15128" s="1063"/>
      <c r="K15128" s="1063"/>
      <c r="L15128" s="1063"/>
    </row>
    <row r="15129" spans="5:12" x14ac:dyDescent="0.2">
      <c r="E15129" s="1063"/>
      <c r="H15129" s="1066"/>
      <c r="I15129" s="1063"/>
      <c r="J15129" s="1063"/>
      <c r="K15129" s="1063"/>
      <c r="L15129" s="1063"/>
    </row>
    <row r="15130" spans="5:12" x14ac:dyDescent="0.2">
      <c r="E15130" s="1063"/>
      <c r="H15130" s="1066"/>
      <c r="I15130" s="1063"/>
      <c r="J15130" s="1063"/>
      <c r="K15130" s="1063"/>
      <c r="L15130" s="1063"/>
    </row>
    <row r="15131" spans="5:12" x14ac:dyDescent="0.2">
      <c r="E15131" s="1063"/>
      <c r="H15131" s="1066"/>
      <c r="I15131" s="1063"/>
      <c r="J15131" s="1063"/>
      <c r="K15131" s="1063"/>
      <c r="L15131" s="1063"/>
    </row>
    <row r="15132" spans="5:12" x14ac:dyDescent="0.2">
      <c r="E15132" s="1063"/>
      <c r="H15132" s="1066"/>
      <c r="I15132" s="1063"/>
      <c r="J15132" s="1063"/>
      <c r="K15132" s="1063"/>
      <c r="L15132" s="1063"/>
    </row>
    <row r="15133" spans="5:12" x14ac:dyDescent="0.2">
      <c r="E15133" s="1063"/>
      <c r="H15133" s="1066"/>
      <c r="I15133" s="1063"/>
      <c r="J15133" s="1063"/>
      <c r="K15133" s="1063"/>
      <c r="L15133" s="1063"/>
    </row>
    <row r="15134" spans="5:12" x14ac:dyDescent="0.2">
      <c r="E15134" s="1063"/>
      <c r="H15134" s="1066"/>
      <c r="I15134" s="1063"/>
      <c r="J15134" s="1063"/>
      <c r="K15134" s="1063"/>
      <c r="L15134" s="1063"/>
    </row>
    <row r="15135" spans="5:12" x14ac:dyDescent="0.2">
      <c r="E15135" s="1063"/>
      <c r="H15135" s="1066"/>
      <c r="I15135" s="1063"/>
      <c r="J15135" s="1063"/>
      <c r="K15135" s="1063"/>
      <c r="L15135" s="1063"/>
    </row>
    <row r="15136" spans="5:12" x14ac:dyDescent="0.2">
      <c r="E15136" s="1063"/>
      <c r="H15136" s="1066"/>
      <c r="I15136" s="1063"/>
      <c r="J15136" s="1063"/>
      <c r="K15136" s="1063"/>
      <c r="L15136" s="1063"/>
    </row>
    <row r="15137" spans="5:12" x14ac:dyDescent="0.2">
      <c r="E15137" s="1063"/>
      <c r="H15137" s="1066"/>
      <c r="I15137" s="1063"/>
      <c r="J15137" s="1063"/>
      <c r="K15137" s="1063"/>
      <c r="L15137" s="1063"/>
    </row>
    <row r="15138" spans="5:12" x14ac:dyDescent="0.2">
      <c r="E15138" s="1063"/>
      <c r="H15138" s="1066"/>
      <c r="I15138" s="1063"/>
      <c r="J15138" s="1063"/>
      <c r="K15138" s="1063"/>
      <c r="L15138" s="1063"/>
    </row>
    <row r="15139" spans="5:12" x14ac:dyDescent="0.2">
      <c r="E15139" s="1063"/>
      <c r="H15139" s="1066"/>
      <c r="I15139" s="1063"/>
      <c r="J15139" s="1063"/>
      <c r="K15139" s="1063"/>
      <c r="L15139" s="1063"/>
    </row>
    <row r="15140" spans="5:12" x14ac:dyDescent="0.2">
      <c r="E15140" s="1063"/>
      <c r="H15140" s="1066"/>
      <c r="I15140" s="1063"/>
      <c r="J15140" s="1063"/>
      <c r="K15140" s="1063"/>
      <c r="L15140" s="1063"/>
    </row>
    <row r="15141" spans="5:12" x14ac:dyDescent="0.2">
      <c r="E15141" s="1063"/>
      <c r="H15141" s="1066"/>
      <c r="I15141" s="1063"/>
      <c r="J15141" s="1063"/>
      <c r="K15141" s="1063"/>
      <c r="L15141" s="1063"/>
    </row>
    <row r="15142" spans="5:12" x14ac:dyDescent="0.2">
      <c r="E15142" s="1063"/>
      <c r="H15142" s="1066"/>
      <c r="I15142" s="1063"/>
      <c r="J15142" s="1063"/>
      <c r="K15142" s="1063"/>
      <c r="L15142" s="1063"/>
    </row>
    <row r="15143" spans="5:12" x14ac:dyDescent="0.2">
      <c r="E15143" s="1063"/>
      <c r="H15143" s="1066"/>
      <c r="I15143" s="1063"/>
      <c r="J15143" s="1063"/>
      <c r="K15143" s="1063"/>
      <c r="L15143" s="1063"/>
    </row>
    <row r="15144" spans="5:12" x14ac:dyDescent="0.2">
      <c r="E15144" s="1063"/>
      <c r="H15144" s="1066"/>
      <c r="I15144" s="1063"/>
      <c r="J15144" s="1063"/>
      <c r="K15144" s="1063"/>
      <c r="L15144" s="1063"/>
    </row>
    <row r="15145" spans="5:12" x14ac:dyDescent="0.2">
      <c r="E15145" s="1063"/>
      <c r="H15145" s="1066"/>
      <c r="I15145" s="1063"/>
      <c r="J15145" s="1063"/>
      <c r="K15145" s="1063"/>
      <c r="L15145" s="1063"/>
    </row>
    <row r="15146" spans="5:12" x14ac:dyDescent="0.2">
      <c r="E15146" s="1063"/>
      <c r="H15146" s="1066"/>
      <c r="I15146" s="1063"/>
      <c r="J15146" s="1063"/>
      <c r="K15146" s="1063"/>
      <c r="L15146" s="1063"/>
    </row>
    <row r="15147" spans="5:12" x14ac:dyDescent="0.2">
      <c r="E15147" s="1063"/>
      <c r="H15147" s="1066"/>
      <c r="I15147" s="1063"/>
      <c r="J15147" s="1063"/>
      <c r="K15147" s="1063"/>
      <c r="L15147" s="1063"/>
    </row>
    <row r="15148" spans="5:12" x14ac:dyDescent="0.2">
      <c r="E15148" s="1063"/>
      <c r="H15148" s="1066"/>
      <c r="I15148" s="1063"/>
      <c r="J15148" s="1063"/>
      <c r="K15148" s="1063"/>
      <c r="L15148" s="1063"/>
    </row>
    <row r="15149" spans="5:12" x14ac:dyDescent="0.2">
      <c r="E15149" s="1063"/>
      <c r="H15149" s="1066"/>
      <c r="I15149" s="1063"/>
      <c r="J15149" s="1063"/>
      <c r="K15149" s="1063"/>
      <c r="L15149" s="1063"/>
    </row>
    <row r="15150" spans="5:12" x14ac:dyDescent="0.2">
      <c r="E15150" s="1063"/>
      <c r="H15150" s="1066"/>
      <c r="I15150" s="1063"/>
      <c r="J15150" s="1063"/>
      <c r="K15150" s="1063"/>
      <c r="L15150" s="1063"/>
    </row>
    <row r="15151" spans="5:12" x14ac:dyDescent="0.2">
      <c r="E15151" s="1063"/>
      <c r="H15151" s="1066"/>
      <c r="I15151" s="1063"/>
      <c r="J15151" s="1063"/>
      <c r="K15151" s="1063"/>
      <c r="L15151" s="1063"/>
    </row>
    <row r="15152" spans="5:12" x14ac:dyDescent="0.2">
      <c r="E15152" s="1063"/>
      <c r="H15152" s="1066"/>
      <c r="I15152" s="1063"/>
      <c r="J15152" s="1063"/>
      <c r="K15152" s="1063"/>
      <c r="L15152" s="1063"/>
    </row>
    <row r="15153" spans="5:12" x14ac:dyDescent="0.2">
      <c r="E15153" s="1063"/>
      <c r="H15153" s="1066"/>
      <c r="I15153" s="1063"/>
      <c r="J15153" s="1063"/>
      <c r="K15153" s="1063"/>
      <c r="L15153" s="1063"/>
    </row>
    <row r="15154" spans="5:12" x14ac:dyDescent="0.2">
      <c r="E15154" s="1063"/>
      <c r="H15154" s="1066"/>
      <c r="I15154" s="1063"/>
      <c r="J15154" s="1063"/>
      <c r="K15154" s="1063"/>
      <c r="L15154" s="1063"/>
    </row>
    <row r="15155" spans="5:12" x14ac:dyDescent="0.2">
      <c r="E15155" s="1063"/>
      <c r="H15155" s="1066"/>
      <c r="I15155" s="1063"/>
      <c r="J15155" s="1063"/>
      <c r="K15155" s="1063"/>
      <c r="L15155" s="1063"/>
    </row>
    <row r="15156" spans="5:12" x14ac:dyDescent="0.2">
      <c r="E15156" s="1063"/>
      <c r="H15156" s="1066"/>
      <c r="I15156" s="1063"/>
      <c r="J15156" s="1063"/>
      <c r="K15156" s="1063"/>
      <c r="L15156" s="1063"/>
    </row>
    <row r="15157" spans="5:12" x14ac:dyDescent="0.2">
      <c r="E15157" s="1063"/>
      <c r="H15157" s="1066"/>
      <c r="I15157" s="1063"/>
      <c r="J15157" s="1063"/>
      <c r="K15157" s="1063"/>
      <c r="L15157" s="1063"/>
    </row>
    <row r="15158" spans="5:12" x14ac:dyDescent="0.2">
      <c r="E15158" s="1063"/>
      <c r="H15158" s="1066"/>
      <c r="I15158" s="1063"/>
      <c r="J15158" s="1063"/>
      <c r="K15158" s="1063"/>
      <c r="L15158" s="1063"/>
    </row>
    <row r="15159" spans="5:12" x14ac:dyDescent="0.2">
      <c r="E15159" s="1063"/>
      <c r="H15159" s="1066"/>
      <c r="I15159" s="1063"/>
      <c r="J15159" s="1063"/>
      <c r="K15159" s="1063"/>
      <c r="L15159" s="1063"/>
    </row>
    <row r="15160" spans="5:12" x14ac:dyDescent="0.2">
      <c r="E15160" s="1063"/>
      <c r="H15160" s="1066"/>
      <c r="I15160" s="1063"/>
      <c r="J15160" s="1063"/>
      <c r="K15160" s="1063"/>
      <c r="L15160" s="1063"/>
    </row>
    <row r="15161" spans="5:12" x14ac:dyDescent="0.2">
      <c r="E15161" s="1063"/>
      <c r="H15161" s="1066"/>
      <c r="I15161" s="1063"/>
      <c r="J15161" s="1063"/>
      <c r="K15161" s="1063"/>
      <c r="L15161" s="1063"/>
    </row>
    <row r="15162" spans="5:12" x14ac:dyDescent="0.2">
      <c r="E15162" s="1063"/>
      <c r="H15162" s="1066"/>
      <c r="I15162" s="1063"/>
      <c r="J15162" s="1063"/>
      <c r="K15162" s="1063"/>
      <c r="L15162" s="1063"/>
    </row>
    <row r="15163" spans="5:12" x14ac:dyDescent="0.2">
      <c r="E15163" s="1063"/>
      <c r="H15163" s="1066"/>
      <c r="I15163" s="1063"/>
      <c r="J15163" s="1063"/>
      <c r="K15163" s="1063"/>
      <c r="L15163" s="1063"/>
    </row>
    <row r="15164" spans="5:12" x14ac:dyDescent="0.2">
      <c r="E15164" s="1063"/>
      <c r="H15164" s="1066"/>
      <c r="I15164" s="1063"/>
      <c r="J15164" s="1063"/>
      <c r="K15164" s="1063"/>
      <c r="L15164" s="1063"/>
    </row>
    <row r="15165" spans="5:12" x14ac:dyDescent="0.2">
      <c r="E15165" s="1063"/>
      <c r="H15165" s="1066"/>
      <c r="I15165" s="1063"/>
      <c r="J15165" s="1063"/>
      <c r="K15165" s="1063"/>
      <c r="L15165" s="1063"/>
    </row>
    <row r="15166" spans="5:12" x14ac:dyDescent="0.2">
      <c r="E15166" s="1063"/>
      <c r="H15166" s="1066"/>
      <c r="I15166" s="1063"/>
      <c r="J15166" s="1063"/>
      <c r="K15166" s="1063"/>
      <c r="L15166" s="1063"/>
    </row>
    <row r="15167" spans="5:12" x14ac:dyDescent="0.2">
      <c r="E15167" s="1063"/>
      <c r="H15167" s="1066"/>
      <c r="I15167" s="1063"/>
      <c r="J15167" s="1063"/>
      <c r="K15167" s="1063"/>
      <c r="L15167" s="1063"/>
    </row>
    <row r="15168" spans="5:12" x14ac:dyDescent="0.2">
      <c r="E15168" s="1063"/>
      <c r="H15168" s="1066"/>
      <c r="I15168" s="1063"/>
      <c r="J15168" s="1063"/>
      <c r="K15168" s="1063"/>
      <c r="L15168" s="1063"/>
    </row>
    <row r="15169" spans="5:12" x14ac:dyDescent="0.2">
      <c r="E15169" s="1063"/>
      <c r="H15169" s="1066"/>
      <c r="I15169" s="1063"/>
      <c r="J15169" s="1063"/>
      <c r="K15169" s="1063"/>
      <c r="L15169" s="1063"/>
    </row>
    <row r="15170" spans="5:12" x14ac:dyDescent="0.2">
      <c r="E15170" s="1063"/>
      <c r="H15170" s="1066"/>
      <c r="I15170" s="1063"/>
      <c r="J15170" s="1063"/>
      <c r="K15170" s="1063"/>
      <c r="L15170" s="1063"/>
    </row>
    <row r="15171" spans="5:12" x14ac:dyDescent="0.2">
      <c r="E15171" s="1063"/>
      <c r="H15171" s="1066"/>
      <c r="I15171" s="1063"/>
      <c r="J15171" s="1063"/>
      <c r="K15171" s="1063"/>
      <c r="L15171" s="1063"/>
    </row>
    <row r="15172" spans="5:12" x14ac:dyDescent="0.2">
      <c r="E15172" s="1063"/>
      <c r="H15172" s="1066"/>
      <c r="I15172" s="1063"/>
      <c r="J15172" s="1063"/>
      <c r="K15172" s="1063"/>
      <c r="L15172" s="1063"/>
    </row>
    <row r="15173" spans="5:12" x14ac:dyDescent="0.2">
      <c r="E15173" s="1063"/>
      <c r="H15173" s="1066"/>
      <c r="I15173" s="1063"/>
      <c r="J15173" s="1063"/>
      <c r="K15173" s="1063"/>
      <c r="L15173" s="1063"/>
    </row>
    <row r="15174" spans="5:12" x14ac:dyDescent="0.2">
      <c r="E15174" s="1063"/>
      <c r="H15174" s="1066"/>
      <c r="I15174" s="1063"/>
      <c r="J15174" s="1063"/>
      <c r="K15174" s="1063"/>
      <c r="L15174" s="1063"/>
    </row>
    <row r="15175" spans="5:12" x14ac:dyDescent="0.2">
      <c r="E15175" s="1063"/>
      <c r="H15175" s="1066"/>
      <c r="I15175" s="1063"/>
      <c r="J15175" s="1063"/>
      <c r="K15175" s="1063"/>
      <c r="L15175" s="1063"/>
    </row>
    <row r="15176" spans="5:12" x14ac:dyDescent="0.2">
      <c r="E15176" s="1063"/>
      <c r="H15176" s="1066"/>
      <c r="I15176" s="1063"/>
      <c r="J15176" s="1063"/>
      <c r="K15176" s="1063"/>
      <c r="L15176" s="1063"/>
    </row>
    <row r="15177" spans="5:12" x14ac:dyDescent="0.2">
      <c r="E15177" s="1063"/>
      <c r="H15177" s="1066"/>
      <c r="I15177" s="1063"/>
      <c r="J15177" s="1063"/>
      <c r="K15177" s="1063"/>
      <c r="L15177" s="1063"/>
    </row>
    <row r="15178" spans="5:12" x14ac:dyDescent="0.2">
      <c r="E15178" s="1063"/>
      <c r="H15178" s="1066"/>
      <c r="I15178" s="1063"/>
      <c r="J15178" s="1063"/>
      <c r="K15178" s="1063"/>
      <c r="L15178" s="1063"/>
    </row>
    <row r="15179" spans="5:12" x14ac:dyDescent="0.2">
      <c r="E15179" s="1063"/>
      <c r="H15179" s="1066"/>
      <c r="I15179" s="1063"/>
      <c r="J15179" s="1063"/>
      <c r="K15179" s="1063"/>
      <c r="L15179" s="1063"/>
    </row>
    <row r="15180" spans="5:12" x14ac:dyDescent="0.2">
      <c r="E15180" s="1063"/>
      <c r="H15180" s="1066"/>
      <c r="I15180" s="1063"/>
      <c r="J15180" s="1063"/>
      <c r="K15180" s="1063"/>
      <c r="L15180" s="1063"/>
    </row>
    <row r="15181" spans="5:12" x14ac:dyDescent="0.2">
      <c r="E15181" s="1063"/>
      <c r="H15181" s="1066"/>
      <c r="I15181" s="1063"/>
      <c r="J15181" s="1063"/>
      <c r="K15181" s="1063"/>
      <c r="L15181" s="1063"/>
    </row>
    <row r="15182" spans="5:12" x14ac:dyDescent="0.2">
      <c r="E15182" s="1063"/>
      <c r="H15182" s="1066"/>
      <c r="I15182" s="1063"/>
      <c r="J15182" s="1063"/>
      <c r="K15182" s="1063"/>
      <c r="L15182" s="1063"/>
    </row>
    <row r="15183" spans="5:12" x14ac:dyDescent="0.2">
      <c r="E15183" s="1063"/>
      <c r="H15183" s="1066"/>
      <c r="I15183" s="1063"/>
      <c r="J15183" s="1063"/>
      <c r="K15183" s="1063"/>
      <c r="L15183" s="1063"/>
    </row>
    <row r="15184" spans="5:12" x14ac:dyDescent="0.2">
      <c r="E15184" s="1063"/>
      <c r="H15184" s="1066"/>
      <c r="I15184" s="1063"/>
      <c r="J15184" s="1063"/>
      <c r="K15184" s="1063"/>
      <c r="L15184" s="1063"/>
    </row>
    <row r="15185" spans="5:12" x14ac:dyDescent="0.2">
      <c r="E15185" s="1063"/>
      <c r="H15185" s="1066"/>
      <c r="I15185" s="1063"/>
      <c r="J15185" s="1063"/>
      <c r="K15185" s="1063"/>
      <c r="L15185" s="1063"/>
    </row>
    <row r="15186" spans="5:12" x14ac:dyDescent="0.2">
      <c r="E15186" s="1063"/>
      <c r="H15186" s="1066"/>
      <c r="I15186" s="1063"/>
      <c r="J15186" s="1063"/>
      <c r="K15186" s="1063"/>
      <c r="L15186" s="1063"/>
    </row>
    <row r="15187" spans="5:12" x14ac:dyDescent="0.2">
      <c r="E15187" s="1063"/>
      <c r="H15187" s="1066"/>
      <c r="I15187" s="1063"/>
      <c r="J15187" s="1063"/>
      <c r="K15187" s="1063"/>
      <c r="L15187" s="1063"/>
    </row>
    <row r="15188" spans="5:12" x14ac:dyDescent="0.2">
      <c r="E15188" s="1063"/>
      <c r="H15188" s="1066"/>
      <c r="I15188" s="1063"/>
      <c r="J15188" s="1063"/>
      <c r="K15188" s="1063"/>
      <c r="L15188" s="1063"/>
    </row>
    <row r="15189" spans="5:12" x14ac:dyDescent="0.2">
      <c r="E15189" s="1063"/>
      <c r="H15189" s="1066"/>
      <c r="I15189" s="1063"/>
      <c r="J15189" s="1063"/>
      <c r="K15189" s="1063"/>
      <c r="L15189" s="1063"/>
    </row>
    <row r="15190" spans="5:12" x14ac:dyDescent="0.2">
      <c r="E15190" s="1063"/>
      <c r="H15190" s="1066"/>
      <c r="I15190" s="1063"/>
      <c r="J15190" s="1063"/>
      <c r="K15190" s="1063"/>
      <c r="L15190" s="1063"/>
    </row>
    <row r="15191" spans="5:12" x14ac:dyDescent="0.2">
      <c r="E15191" s="1063"/>
      <c r="H15191" s="1066"/>
      <c r="I15191" s="1063"/>
      <c r="J15191" s="1063"/>
      <c r="K15191" s="1063"/>
      <c r="L15191" s="1063"/>
    </row>
    <row r="15192" spans="5:12" x14ac:dyDescent="0.2">
      <c r="E15192" s="1063"/>
      <c r="H15192" s="1066"/>
      <c r="I15192" s="1063"/>
      <c r="J15192" s="1063"/>
      <c r="K15192" s="1063"/>
      <c r="L15192" s="1063"/>
    </row>
    <row r="15193" spans="5:12" x14ac:dyDescent="0.2">
      <c r="E15193" s="1063"/>
      <c r="H15193" s="1066"/>
      <c r="I15193" s="1063"/>
      <c r="J15193" s="1063"/>
      <c r="K15193" s="1063"/>
      <c r="L15193" s="1063"/>
    </row>
    <row r="15194" spans="5:12" x14ac:dyDescent="0.2">
      <c r="E15194" s="1063"/>
      <c r="H15194" s="1066"/>
      <c r="I15194" s="1063"/>
      <c r="J15194" s="1063"/>
      <c r="K15194" s="1063"/>
      <c r="L15194" s="1063"/>
    </row>
    <row r="15195" spans="5:12" x14ac:dyDescent="0.2">
      <c r="E15195" s="1063"/>
      <c r="H15195" s="1066"/>
      <c r="I15195" s="1063"/>
      <c r="J15195" s="1063"/>
      <c r="K15195" s="1063"/>
      <c r="L15195" s="1063"/>
    </row>
    <row r="15196" spans="5:12" x14ac:dyDescent="0.2">
      <c r="E15196" s="1063"/>
      <c r="H15196" s="1066"/>
      <c r="I15196" s="1063"/>
      <c r="J15196" s="1063"/>
      <c r="K15196" s="1063"/>
      <c r="L15196" s="1063"/>
    </row>
    <row r="15197" spans="5:12" x14ac:dyDescent="0.2">
      <c r="E15197" s="1063"/>
      <c r="H15197" s="1066"/>
      <c r="I15197" s="1063"/>
      <c r="J15197" s="1063"/>
      <c r="K15197" s="1063"/>
      <c r="L15197" s="1063"/>
    </row>
    <row r="15198" spans="5:12" x14ac:dyDescent="0.2">
      <c r="E15198" s="1063"/>
      <c r="H15198" s="1066"/>
      <c r="I15198" s="1063"/>
      <c r="J15198" s="1063"/>
      <c r="K15198" s="1063"/>
      <c r="L15198" s="1063"/>
    </row>
    <row r="15199" spans="5:12" x14ac:dyDescent="0.2">
      <c r="E15199" s="1063"/>
      <c r="H15199" s="1066"/>
      <c r="I15199" s="1063"/>
      <c r="J15199" s="1063"/>
      <c r="K15199" s="1063"/>
      <c r="L15199" s="1063"/>
    </row>
    <row r="15200" spans="5:12" x14ac:dyDescent="0.2">
      <c r="E15200" s="1063"/>
      <c r="H15200" s="1066"/>
      <c r="I15200" s="1063"/>
      <c r="J15200" s="1063"/>
      <c r="K15200" s="1063"/>
      <c r="L15200" s="1063"/>
    </row>
    <row r="15201" spans="5:12" x14ac:dyDescent="0.2">
      <c r="E15201" s="1063"/>
      <c r="H15201" s="1066"/>
      <c r="I15201" s="1063"/>
      <c r="J15201" s="1063"/>
      <c r="K15201" s="1063"/>
      <c r="L15201" s="1063"/>
    </row>
    <row r="15202" spans="5:12" x14ac:dyDescent="0.2">
      <c r="E15202" s="1063"/>
      <c r="H15202" s="1066"/>
      <c r="I15202" s="1063"/>
      <c r="J15202" s="1063"/>
      <c r="K15202" s="1063"/>
      <c r="L15202" s="1063"/>
    </row>
    <row r="15203" spans="5:12" x14ac:dyDescent="0.2">
      <c r="E15203" s="1063"/>
      <c r="H15203" s="1066"/>
      <c r="I15203" s="1063"/>
      <c r="J15203" s="1063"/>
      <c r="K15203" s="1063"/>
      <c r="L15203" s="1063"/>
    </row>
    <row r="15204" spans="5:12" x14ac:dyDescent="0.2">
      <c r="E15204" s="1063"/>
      <c r="H15204" s="1066"/>
      <c r="I15204" s="1063"/>
      <c r="J15204" s="1063"/>
      <c r="K15204" s="1063"/>
      <c r="L15204" s="1063"/>
    </row>
    <row r="15205" spans="5:12" x14ac:dyDescent="0.2">
      <c r="E15205" s="1063"/>
      <c r="H15205" s="1066"/>
      <c r="I15205" s="1063"/>
      <c r="J15205" s="1063"/>
      <c r="K15205" s="1063"/>
      <c r="L15205" s="1063"/>
    </row>
    <row r="15206" spans="5:12" x14ac:dyDescent="0.2">
      <c r="E15206" s="1063"/>
      <c r="H15206" s="1066"/>
      <c r="I15206" s="1063"/>
      <c r="J15206" s="1063"/>
      <c r="K15206" s="1063"/>
      <c r="L15206" s="1063"/>
    </row>
    <row r="15207" spans="5:12" x14ac:dyDescent="0.2">
      <c r="E15207" s="1063"/>
      <c r="H15207" s="1066"/>
      <c r="I15207" s="1063"/>
      <c r="J15207" s="1063"/>
      <c r="K15207" s="1063"/>
      <c r="L15207" s="1063"/>
    </row>
    <row r="15208" spans="5:12" x14ac:dyDescent="0.2">
      <c r="E15208" s="1063"/>
      <c r="H15208" s="1066"/>
      <c r="I15208" s="1063"/>
      <c r="J15208" s="1063"/>
      <c r="K15208" s="1063"/>
      <c r="L15208" s="1063"/>
    </row>
    <row r="15209" spans="5:12" x14ac:dyDescent="0.2">
      <c r="E15209" s="1063"/>
      <c r="H15209" s="1066"/>
      <c r="I15209" s="1063"/>
      <c r="J15209" s="1063"/>
      <c r="K15209" s="1063"/>
      <c r="L15209" s="1063"/>
    </row>
    <row r="15210" spans="5:12" x14ac:dyDescent="0.2">
      <c r="E15210" s="1063"/>
      <c r="H15210" s="1066"/>
      <c r="I15210" s="1063"/>
      <c r="J15210" s="1063"/>
      <c r="K15210" s="1063"/>
      <c r="L15210" s="1063"/>
    </row>
    <row r="15211" spans="5:12" x14ac:dyDescent="0.2">
      <c r="E15211" s="1063"/>
      <c r="H15211" s="1066"/>
      <c r="I15211" s="1063"/>
      <c r="J15211" s="1063"/>
      <c r="K15211" s="1063"/>
      <c r="L15211" s="1063"/>
    </row>
    <row r="15212" spans="5:12" x14ac:dyDescent="0.2">
      <c r="E15212" s="1063"/>
      <c r="H15212" s="1066"/>
      <c r="I15212" s="1063"/>
      <c r="J15212" s="1063"/>
      <c r="K15212" s="1063"/>
      <c r="L15212" s="1063"/>
    </row>
    <row r="15213" spans="5:12" x14ac:dyDescent="0.2">
      <c r="E15213" s="1063"/>
      <c r="H15213" s="1066"/>
      <c r="I15213" s="1063"/>
      <c r="J15213" s="1063"/>
      <c r="K15213" s="1063"/>
      <c r="L15213" s="1063"/>
    </row>
    <row r="15214" spans="5:12" x14ac:dyDescent="0.2">
      <c r="E15214" s="1063"/>
      <c r="H15214" s="1066"/>
      <c r="I15214" s="1063"/>
      <c r="J15214" s="1063"/>
      <c r="K15214" s="1063"/>
      <c r="L15214" s="1063"/>
    </row>
    <row r="15215" spans="5:12" x14ac:dyDescent="0.2">
      <c r="E15215" s="1063"/>
      <c r="H15215" s="1066"/>
      <c r="I15215" s="1063"/>
      <c r="J15215" s="1063"/>
      <c r="K15215" s="1063"/>
      <c r="L15215" s="1063"/>
    </row>
    <row r="15216" spans="5:12" x14ac:dyDescent="0.2">
      <c r="E15216" s="1063"/>
      <c r="H15216" s="1066"/>
      <c r="I15216" s="1063"/>
      <c r="J15216" s="1063"/>
      <c r="K15216" s="1063"/>
      <c r="L15216" s="1063"/>
    </row>
    <row r="15217" spans="5:12" x14ac:dyDescent="0.2">
      <c r="E15217" s="1063"/>
      <c r="H15217" s="1066"/>
      <c r="I15217" s="1063"/>
      <c r="J15217" s="1063"/>
      <c r="K15217" s="1063"/>
      <c r="L15217" s="1063"/>
    </row>
    <row r="15218" spans="5:12" x14ac:dyDescent="0.2">
      <c r="E15218" s="1063"/>
      <c r="H15218" s="1066"/>
      <c r="I15218" s="1063"/>
      <c r="J15218" s="1063"/>
      <c r="K15218" s="1063"/>
      <c r="L15218" s="1063"/>
    </row>
    <row r="15219" spans="5:12" x14ac:dyDescent="0.2">
      <c r="E15219" s="1063"/>
      <c r="H15219" s="1066"/>
      <c r="I15219" s="1063"/>
      <c r="J15219" s="1063"/>
      <c r="K15219" s="1063"/>
      <c r="L15219" s="1063"/>
    </row>
    <row r="15220" spans="5:12" x14ac:dyDescent="0.2">
      <c r="E15220" s="1063"/>
      <c r="H15220" s="1066"/>
      <c r="I15220" s="1063"/>
      <c r="J15220" s="1063"/>
      <c r="K15220" s="1063"/>
      <c r="L15220" s="1063"/>
    </row>
    <row r="15221" spans="5:12" x14ac:dyDescent="0.2">
      <c r="E15221" s="1063"/>
      <c r="H15221" s="1066"/>
      <c r="I15221" s="1063"/>
      <c r="J15221" s="1063"/>
      <c r="K15221" s="1063"/>
      <c r="L15221" s="1063"/>
    </row>
    <row r="15222" spans="5:12" x14ac:dyDescent="0.2">
      <c r="E15222" s="1063"/>
      <c r="H15222" s="1066"/>
      <c r="I15222" s="1063"/>
      <c r="J15222" s="1063"/>
      <c r="K15222" s="1063"/>
      <c r="L15222" s="1063"/>
    </row>
    <row r="15223" spans="5:12" x14ac:dyDescent="0.2">
      <c r="E15223" s="1063"/>
      <c r="H15223" s="1066"/>
      <c r="I15223" s="1063"/>
      <c r="J15223" s="1063"/>
      <c r="K15223" s="1063"/>
      <c r="L15223" s="1063"/>
    </row>
    <row r="15224" spans="5:12" x14ac:dyDescent="0.2">
      <c r="E15224" s="1063"/>
      <c r="H15224" s="1066"/>
      <c r="I15224" s="1063"/>
      <c r="J15224" s="1063"/>
      <c r="K15224" s="1063"/>
      <c r="L15224" s="1063"/>
    </row>
    <row r="15225" spans="5:12" x14ac:dyDescent="0.2">
      <c r="E15225" s="1063"/>
      <c r="H15225" s="1066"/>
      <c r="I15225" s="1063"/>
      <c r="J15225" s="1063"/>
      <c r="K15225" s="1063"/>
      <c r="L15225" s="1063"/>
    </row>
    <row r="15226" spans="5:12" x14ac:dyDescent="0.2">
      <c r="E15226" s="1063"/>
      <c r="H15226" s="1066"/>
      <c r="I15226" s="1063"/>
      <c r="J15226" s="1063"/>
      <c r="K15226" s="1063"/>
      <c r="L15226" s="1063"/>
    </row>
    <row r="15227" spans="5:12" x14ac:dyDescent="0.2">
      <c r="E15227" s="1063"/>
      <c r="H15227" s="1066"/>
      <c r="I15227" s="1063"/>
      <c r="J15227" s="1063"/>
      <c r="K15227" s="1063"/>
      <c r="L15227" s="1063"/>
    </row>
    <row r="15228" spans="5:12" x14ac:dyDescent="0.2">
      <c r="E15228" s="1063"/>
      <c r="H15228" s="1066"/>
      <c r="I15228" s="1063"/>
      <c r="J15228" s="1063"/>
      <c r="K15228" s="1063"/>
      <c r="L15228" s="1063"/>
    </row>
    <row r="15229" spans="5:12" x14ac:dyDescent="0.2">
      <c r="E15229" s="1063"/>
      <c r="H15229" s="1066"/>
      <c r="I15229" s="1063"/>
      <c r="J15229" s="1063"/>
      <c r="K15229" s="1063"/>
      <c r="L15229" s="1063"/>
    </row>
    <row r="15230" spans="5:12" x14ac:dyDescent="0.2">
      <c r="E15230" s="1063"/>
      <c r="H15230" s="1066"/>
      <c r="I15230" s="1063"/>
      <c r="J15230" s="1063"/>
      <c r="K15230" s="1063"/>
      <c r="L15230" s="1063"/>
    </row>
    <row r="15231" spans="5:12" x14ac:dyDescent="0.2">
      <c r="E15231" s="1063"/>
      <c r="H15231" s="1066"/>
      <c r="I15231" s="1063"/>
      <c r="J15231" s="1063"/>
      <c r="K15231" s="1063"/>
      <c r="L15231" s="1063"/>
    </row>
    <row r="15232" spans="5:12" x14ac:dyDescent="0.2">
      <c r="E15232" s="1063"/>
      <c r="H15232" s="1066"/>
      <c r="I15232" s="1063"/>
      <c r="J15232" s="1063"/>
      <c r="K15232" s="1063"/>
      <c r="L15232" s="1063"/>
    </row>
    <row r="15233" spans="5:12" x14ac:dyDescent="0.2">
      <c r="E15233" s="1063"/>
      <c r="H15233" s="1066"/>
      <c r="I15233" s="1063"/>
      <c r="J15233" s="1063"/>
      <c r="K15233" s="1063"/>
      <c r="L15233" s="1063"/>
    </row>
    <row r="15234" spans="5:12" x14ac:dyDescent="0.2">
      <c r="E15234" s="1063"/>
      <c r="H15234" s="1066"/>
      <c r="I15234" s="1063"/>
      <c r="J15234" s="1063"/>
      <c r="K15234" s="1063"/>
      <c r="L15234" s="1063"/>
    </row>
    <row r="15235" spans="5:12" x14ac:dyDescent="0.2">
      <c r="E15235" s="1063"/>
      <c r="H15235" s="1066"/>
      <c r="I15235" s="1063"/>
      <c r="J15235" s="1063"/>
      <c r="K15235" s="1063"/>
      <c r="L15235" s="1063"/>
    </row>
    <row r="15236" spans="5:12" x14ac:dyDescent="0.2">
      <c r="E15236" s="1063"/>
      <c r="H15236" s="1066"/>
      <c r="I15236" s="1063"/>
      <c r="J15236" s="1063"/>
      <c r="K15236" s="1063"/>
      <c r="L15236" s="1063"/>
    </row>
    <row r="15237" spans="5:12" x14ac:dyDescent="0.2">
      <c r="E15237" s="1063"/>
      <c r="H15237" s="1066"/>
      <c r="I15237" s="1063"/>
      <c r="J15237" s="1063"/>
      <c r="K15237" s="1063"/>
      <c r="L15237" s="1063"/>
    </row>
    <row r="15238" spans="5:12" x14ac:dyDescent="0.2">
      <c r="E15238" s="1063"/>
      <c r="H15238" s="1066"/>
      <c r="I15238" s="1063"/>
      <c r="J15238" s="1063"/>
      <c r="K15238" s="1063"/>
      <c r="L15238" s="1063"/>
    </row>
    <row r="15239" spans="5:12" x14ac:dyDescent="0.2">
      <c r="E15239" s="1063"/>
      <c r="H15239" s="1066"/>
      <c r="I15239" s="1063"/>
      <c r="J15239" s="1063"/>
      <c r="K15239" s="1063"/>
      <c r="L15239" s="1063"/>
    </row>
    <row r="15240" spans="5:12" x14ac:dyDescent="0.2">
      <c r="E15240" s="1063"/>
      <c r="H15240" s="1066"/>
      <c r="I15240" s="1063"/>
      <c r="J15240" s="1063"/>
      <c r="K15240" s="1063"/>
      <c r="L15240" s="1063"/>
    </row>
    <row r="15241" spans="5:12" x14ac:dyDescent="0.2">
      <c r="E15241" s="1063"/>
      <c r="H15241" s="1066"/>
      <c r="I15241" s="1063"/>
      <c r="J15241" s="1063"/>
      <c r="K15241" s="1063"/>
      <c r="L15241" s="1063"/>
    </row>
    <row r="15242" spans="5:12" x14ac:dyDescent="0.2">
      <c r="E15242" s="1063"/>
      <c r="H15242" s="1066"/>
      <c r="I15242" s="1063"/>
      <c r="J15242" s="1063"/>
      <c r="K15242" s="1063"/>
      <c r="L15242" s="1063"/>
    </row>
    <row r="15243" spans="5:12" x14ac:dyDescent="0.2">
      <c r="E15243" s="1063"/>
      <c r="H15243" s="1066"/>
      <c r="I15243" s="1063"/>
      <c r="J15243" s="1063"/>
      <c r="K15243" s="1063"/>
      <c r="L15243" s="1063"/>
    </row>
    <row r="15244" spans="5:12" x14ac:dyDescent="0.2">
      <c r="E15244" s="1063"/>
      <c r="H15244" s="1066"/>
      <c r="I15244" s="1063"/>
      <c r="J15244" s="1063"/>
      <c r="K15244" s="1063"/>
      <c r="L15244" s="1063"/>
    </row>
    <row r="15245" spans="5:12" x14ac:dyDescent="0.2">
      <c r="E15245" s="1063"/>
      <c r="H15245" s="1066"/>
      <c r="I15245" s="1063"/>
      <c r="J15245" s="1063"/>
      <c r="K15245" s="1063"/>
      <c r="L15245" s="1063"/>
    </row>
    <row r="15246" spans="5:12" x14ac:dyDescent="0.2">
      <c r="E15246" s="1063"/>
      <c r="H15246" s="1066"/>
      <c r="I15246" s="1063"/>
      <c r="J15246" s="1063"/>
      <c r="K15246" s="1063"/>
      <c r="L15246" s="1063"/>
    </row>
    <row r="15247" spans="5:12" x14ac:dyDescent="0.2">
      <c r="E15247" s="1063"/>
      <c r="H15247" s="1066"/>
      <c r="I15247" s="1063"/>
      <c r="J15247" s="1063"/>
      <c r="K15247" s="1063"/>
      <c r="L15247" s="1063"/>
    </row>
    <row r="15248" spans="5:12" x14ac:dyDescent="0.2">
      <c r="E15248" s="1063"/>
      <c r="H15248" s="1066"/>
      <c r="I15248" s="1063"/>
      <c r="J15248" s="1063"/>
      <c r="K15248" s="1063"/>
      <c r="L15248" s="1063"/>
    </row>
    <row r="15249" spans="5:12" x14ac:dyDescent="0.2">
      <c r="E15249" s="1063"/>
      <c r="H15249" s="1066"/>
      <c r="I15249" s="1063"/>
      <c r="J15249" s="1063"/>
      <c r="K15249" s="1063"/>
      <c r="L15249" s="1063"/>
    </row>
    <row r="15250" spans="5:12" x14ac:dyDescent="0.2">
      <c r="E15250" s="1063"/>
      <c r="H15250" s="1066"/>
      <c r="I15250" s="1063"/>
      <c r="J15250" s="1063"/>
      <c r="K15250" s="1063"/>
      <c r="L15250" s="1063"/>
    </row>
    <row r="15251" spans="5:12" x14ac:dyDescent="0.2">
      <c r="E15251" s="1063"/>
      <c r="H15251" s="1066"/>
      <c r="I15251" s="1063"/>
      <c r="J15251" s="1063"/>
      <c r="K15251" s="1063"/>
      <c r="L15251" s="1063"/>
    </row>
    <row r="15252" spans="5:12" x14ac:dyDescent="0.2">
      <c r="E15252" s="1063"/>
      <c r="H15252" s="1066"/>
      <c r="I15252" s="1063"/>
      <c r="J15252" s="1063"/>
      <c r="K15252" s="1063"/>
      <c r="L15252" s="1063"/>
    </row>
    <row r="15253" spans="5:12" x14ac:dyDescent="0.2">
      <c r="E15253" s="1063"/>
      <c r="H15253" s="1066"/>
      <c r="I15253" s="1063"/>
      <c r="J15253" s="1063"/>
      <c r="K15253" s="1063"/>
      <c r="L15253" s="1063"/>
    </row>
    <row r="15254" spans="5:12" x14ac:dyDescent="0.2">
      <c r="E15254" s="1063"/>
      <c r="H15254" s="1066"/>
      <c r="I15254" s="1063"/>
      <c r="J15254" s="1063"/>
      <c r="K15254" s="1063"/>
      <c r="L15254" s="1063"/>
    </row>
    <row r="15255" spans="5:12" x14ac:dyDescent="0.2">
      <c r="E15255" s="1063"/>
      <c r="H15255" s="1066"/>
      <c r="I15255" s="1063"/>
      <c r="J15255" s="1063"/>
      <c r="K15255" s="1063"/>
      <c r="L15255" s="1063"/>
    </row>
    <row r="15256" spans="5:12" x14ac:dyDescent="0.2">
      <c r="E15256" s="1063"/>
      <c r="H15256" s="1066"/>
      <c r="I15256" s="1063"/>
      <c r="J15256" s="1063"/>
      <c r="K15256" s="1063"/>
      <c r="L15256" s="1063"/>
    </row>
    <row r="15257" spans="5:12" x14ac:dyDescent="0.2">
      <c r="E15257" s="1063"/>
      <c r="H15257" s="1066"/>
      <c r="I15257" s="1063"/>
      <c r="J15257" s="1063"/>
      <c r="K15257" s="1063"/>
      <c r="L15257" s="1063"/>
    </row>
    <row r="15258" spans="5:12" x14ac:dyDescent="0.2">
      <c r="E15258" s="1063"/>
      <c r="H15258" s="1066"/>
      <c r="I15258" s="1063"/>
      <c r="J15258" s="1063"/>
      <c r="K15258" s="1063"/>
      <c r="L15258" s="1063"/>
    </row>
    <row r="15259" spans="5:12" x14ac:dyDescent="0.2">
      <c r="E15259" s="1063"/>
      <c r="H15259" s="1066"/>
      <c r="I15259" s="1063"/>
      <c r="J15259" s="1063"/>
      <c r="K15259" s="1063"/>
      <c r="L15259" s="1063"/>
    </row>
    <row r="15260" spans="5:12" x14ac:dyDescent="0.2">
      <c r="E15260" s="1063"/>
      <c r="H15260" s="1066"/>
      <c r="I15260" s="1063"/>
      <c r="J15260" s="1063"/>
      <c r="K15260" s="1063"/>
      <c r="L15260" s="1063"/>
    </row>
    <row r="15261" spans="5:12" x14ac:dyDescent="0.2">
      <c r="E15261" s="1063"/>
      <c r="H15261" s="1066"/>
      <c r="I15261" s="1063"/>
      <c r="J15261" s="1063"/>
      <c r="K15261" s="1063"/>
      <c r="L15261" s="1063"/>
    </row>
    <row r="15262" spans="5:12" x14ac:dyDescent="0.2">
      <c r="E15262" s="1063"/>
      <c r="H15262" s="1066"/>
      <c r="I15262" s="1063"/>
      <c r="J15262" s="1063"/>
      <c r="K15262" s="1063"/>
      <c r="L15262" s="1063"/>
    </row>
    <row r="15263" spans="5:12" x14ac:dyDescent="0.2">
      <c r="E15263" s="1063"/>
      <c r="H15263" s="1066"/>
      <c r="I15263" s="1063"/>
      <c r="J15263" s="1063"/>
      <c r="K15263" s="1063"/>
      <c r="L15263" s="1063"/>
    </row>
    <row r="15264" spans="5:12" x14ac:dyDescent="0.2">
      <c r="E15264" s="1063"/>
      <c r="H15264" s="1066"/>
      <c r="I15264" s="1063"/>
      <c r="J15264" s="1063"/>
      <c r="K15264" s="1063"/>
      <c r="L15264" s="1063"/>
    </row>
    <row r="15265" spans="5:12" x14ac:dyDescent="0.2">
      <c r="E15265" s="1063"/>
      <c r="H15265" s="1066"/>
      <c r="I15265" s="1063"/>
      <c r="J15265" s="1063"/>
      <c r="K15265" s="1063"/>
      <c r="L15265" s="1063"/>
    </row>
    <row r="15266" spans="5:12" x14ac:dyDescent="0.2">
      <c r="E15266" s="1063"/>
      <c r="H15266" s="1066"/>
      <c r="I15266" s="1063"/>
      <c r="J15266" s="1063"/>
      <c r="K15266" s="1063"/>
      <c r="L15266" s="1063"/>
    </row>
    <row r="15267" spans="5:12" x14ac:dyDescent="0.2">
      <c r="E15267" s="1063"/>
      <c r="H15267" s="1066"/>
      <c r="I15267" s="1063"/>
      <c r="J15267" s="1063"/>
      <c r="K15267" s="1063"/>
      <c r="L15267" s="1063"/>
    </row>
    <row r="15268" spans="5:12" x14ac:dyDescent="0.2">
      <c r="E15268" s="1063"/>
      <c r="H15268" s="1066"/>
      <c r="I15268" s="1063"/>
      <c r="J15268" s="1063"/>
      <c r="K15268" s="1063"/>
      <c r="L15268" s="1063"/>
    </row>
    <row r="15269" spans="5:12" x14ac:dyDescent="0.2">
      <c r="E15269" s="1063"/>
      <c r="H15269" s="1066"/>
      <c r="I15269" s="1063"/>
      <c r="J15269" s="1063"/>
      <c r="K15269" s="1063"/>
      <c r="L15269" s="1063"/>
    </row>
    <row r="15270" spans="5:12" x14ac:dyDescent="0.2">
      <c r="E15270" s="1063"/>
      <c r="H15270" s="1066"/>
      <c r="I15270" s="1063"/>
      <c r="J15270" s="1063"/>
      <c r="K15270" s="1063"/>
      <c r="L15270" s="1063"/>
    </row>
    <row r="15271" spans="5:12" x14ac:dyDescent="0.2">
      <c r="E15271" s="1063"/>
      <c r="H15271" s="1066"/>
      <c r="I15271" s="1063"/>
      <c r="J15271" s="1063"/>
      <c r="K15271" s="1063"/>
      <c r="L15271" s="1063"/>
    </row>
    <row r="15272" spans="5:12" x14ac:dyDescent="0.2">
      <c r="E15272" s="1063"/>
      <c r="H15272" s="1066"/>
      <c r="I15272" s="1063"/>
      <c r="J15272" s="1063"/>
      <c r="K15272" s="1063"/>
      <c r="L15272" s="1063"/>
    </row>
    <row r="15273" spans="5:12" x14ac:dyDescent="0.2">
      <c r="E15273" s="1063"/>
      <c r="H15273" s="1066"/>
      <c r="I15273" s="1063"/>
      <c r="J15273" s="1063"/>
      <c r="K15273" s="1063"/>
      <c r="L15273" s="1063"/>
    </row>
    <row r="15274" spans="5:12" x14ac:dyDescent="0.2">
      <c r="E15274" s="1063"/>
      <c r="H15274" s="1066"/>
      <c r="I15274" s="1063"/>
      <c r="J15274" s="1063"/>
      <c r="K15274" s="1063"/>
      <c r="L15274" s="1063"/>
    </row>
    <row r="15275" spans="5:12" x14ac:dyDescent="0.2">
      <c r="E15275" s="1063"/>
      <c r="H15275" s="1066"/>
      <c r="I15275" s="1063"/>
      <c r="J15275" s="1063"/>
      <c r="K15275" s="1063"/>
      <c r="L15275" s="1063"/>
    </row>
    <row r="15276" spans="5:12" x14ac:dyDescent="0.2">
      <c r="E15276" s="1063"/>
      <c r="H15276" s="1066"/>
      <c r="I15276" s="1063"/>
      <c r="J15276" s="1063"/>
      <c r="K15276" s="1063"/>
      <c r="L15276" s="1063"/>
    </row>
    <row r="15277" spans="5:12" x14ac:dyDescent="0.2">
      <c r="E15277" s="1063"/>
      <c r="H15277" s="1066"/>
      <c r="I15277" s="1063"/>
      <c r="J15277" s="1063"/>
      <c r="K15277" s="1063"/>
      <c r="L15277" s="1063"/>
    </row>
    <row r="15278" spans="5:12" x14ac:dyDescent="0.2">
      <c r="E15278" s="1063"/>
      <c r="H15278" s="1066"/>
      <c r="I15278" s="1063"/>
      <c r="J15278" s="1063"/>
      <c r="K15278" s="1063"/>
      <c r="L15278" s="1063"/>
    </row>
    <row r="15279" spans="5:12" x14ac:dyDescent="0.2">
      <c r="E15279" s="1063"/>
      <c r="H15279" s="1066"/>
      <c r="I15279" s="1063"/>
      <c r="J15279" s="1063"/>
      <c r="K15279" s="1063"/>
      <c r="L15279" s="1063"/>
    </row>
    <row r="15280" spans="5:12" x14ac:dyDescent="0.2">
      <c r="E15280" s="1063"/>
      <c r="H15280" s="1066"/>
      <c r="I15280" s="1063"/>
      <c r="J15280" s="1063"/>
      <c r="K15280" s="1063"/>
      <c r="L15280" s="1063"/>
    </row>
    <row r="15281" spans="5:12" x14ac:dyDescent="0.2">
      <c r="E15281" s="1063"/>
      <c r="H15281" s="1066"/>
      <c r="I15281" s="1063"/>
      <c r="J15281" s="1063"/>
      <c r="K15281" s="1063"/>
      <c r="L15281" s="1063"/>
    </row>
    <row r="15282" spans="5:12" x14ac:dyDescent="0.2">
      <c r="E15282" s="1063"/>
      <c r="H15282" s="1066"/>
      <c r="I15282" s="1063"/>
      <c r="J15282" s="1063"/>
      <c r="K15282" s="1063"/>
      <c r="L15282" s="1063"/>
    </row>
    <row r="15283" spans="5:12" x14ac:dyDescent="0.2">
      <c r="E15283" s="1063"/>
      <c r="H15283" s="1066"/>
      <c r="I15283" s="1063"/>
      <c r="J15283" s="1063"/>
      <c r="K15283" s="1063"/>
      <c r="L15283" s="1063"/>
    </row>
    <row r="15284" spans="5:12" x14ac:dyDescent="0.2">
      <c r="E15284" s="1063"/>
      <c r="H15284" s="1066"/>
      <c r="I15284" s="1063"/>
      <c r="J15284" s="1063"/>
      <c r="K15284" s="1063"/>
      <c r="L15284" s="1063"/>
    </row>
    <row r="15285" spans="5:12" x14ac:dyDescent="0.2">
      <c r="E15285" s="1063"/>
      <c r="H15285" s="1066"/>
      <c r="I15285" s="1063"/>
      <c r="J15285" s="1063"/>
      <c r="K15285" s="1063"/>
      <c r="L15285" s="1063"/>
    </row>
    <row r="15286" spans="5:12" x14ac:dyDescent="0.2">
      <c r="E15286" s="1063"/>
      <c r="H15286" s="1066"/>
      <c r="I15286" s="1063"/>
      <c r="J15286" s="1063"/>
      <c r="K15286" s="1063"/>
      <c r="L15286" s="1063"/>
    </row>
    <row r="15287" spans="5:12" x14ac:dyDescent="0.2">
      <c r="E15287" s="1063"/>
      <c r="H15287" s="1066"/>
      <c r="I15287" s="1063"/>
      <c r="J15287" s="1063"/>
      <c r="K15287" s="1063"/>
      <c r="L15287" s="1063"/>
    </row>
    <row r="15288" spans="5:12" x14ac:dyDescent="0.2">
      <c r="E15288" s="1063"/>
      <c r="H15288" s="1066"/>
      <c r="I15288" s="1063"/>
      <c r="J15288" s="1063"/>
      <c r="K15288" s="1063"/>
      <c r="L15288" s="1063"/>
    </row>
    <row r="15289" spans="5:12" x14ac:dyDescent="0.2">
      <c r="E15289" s="1063"/>
      <c r="H15289" s="1066"/>
      <c r="I15289" s="1063"/>
      <c r="J15289" s="1063"/>
      <c r="K15289" s="1063"/>
      <c r="L15289" s="1063"/>
    </row>
    <row r="15290" spans="5:12" x14ac:dyDescent="0.2">
      <c r="E15290" s="1063"/>
      <c r="H15290" s="1066"/>
      <c r="I15290" s="1063"/>
      <c r="J15290" s="1063"/>
      <c r="K15290" s="1063"/>
      <c r="L15290" s="1063"/>
    </row>
    <row r="15291" spans="5:12" x14ac:dyDescent="0.2">
      <c r="E15291" s="1063"/>
      <c r="H15291" s="1066"/>
      <c r="I15291" s="1063"/>
      <c r="J15291" s="1063"/>
      <c r="K15291" s="1063"/>
      <c r="L15291" s="1063"/>
    </row>
    <row r="15292" spans="5:12" x14ac:dyDescent="0.2">
      <c r="E15292" s="1063"/>
      <c r="H15292" s="1066"/>
      <c r="I15292" s="1063"/>
      <c r="J15292" s="1063"/>
      <c r="K15292" s="1063"/>
      <c r="L15292" s="1063"/>
    </row>
    <row r="15293" spans="5:12" x14ac:dyDescent="0.2">
      <c r="E15293" s="1063"/>
      <c r="H15293" s="1066"/>
      <c r="I15293" s="1063"/>
      <c r="J15293" s="1063"/>
      <c r="K15293" s="1063"/>
      <c r="L15293" s="1063"/>
    </row>
    <row r="15294" spans="5:12" x14ac:dyDescent="0.2">
      <c r="E15294" s="1063"/>
      <c r="H15294" s="1066"/>
      <c r="I15294" s="1063"/>
      <c r="J15294" s="1063"/>
      <c r="K15294" s="1063"/>
      <c r="L15294" s="1063"/>
    </row>
    <row r="15295" spans="5:12" x14ac:dyDescent="0.2">
      <c r="E15295" s="1063"/>
      <c r="H15295" s="1066"/>
      <c r="I15295" s="1063"/>
      <c r="J15295" s="1063"/>
      <c r="K15295" s="1063"/>
      <c r="L15295" s="1063"/>
    </row>
    <row r="15296" spans="5:12" x14ac:dyDescent="0.2">
      <c r="E15296" s="1063"/>
      <c r="H15296" s="1066"/>
      <c r="I15296" s="1063"/>
      <c r="J15296" s="1063"/>
      <c r="K15296" s="1063"/>
      <c r="L15296" s="1063"/>
    </row>
    <row r="15297" spans="5:12" x14ac:dyDescent="0.2">
      <c r="E15297" s="1063"/>
      <c r="H15297" s="1066"/>
      <c r="I15297" s="1063"/>
      <c r="J15297" s="1063"/>
      <c r="K15297" s="1063"/>
      <c r="L15297" s="1063"/>
    </row>
    <row r="15298" spans="5:12" x14ac:dyDescent="0.2">
      <c r="E15298" s="1063"/>
      <c r="H15298" s="1066"/>
      <c r="I15298" s="1063"/>
      <c r="J15298" s="1063"/>
      <c r="K15298" s="1063"/>
      <c r="L15298" s="1063"/>
    </row>
    <row r="15299" spans="5:12" x14ac:dyDescent="0.2">
      <c r="E15299" s="1063"/>
      <c r="H15299" s="1066"/>
      <c r="I15299" s="1063"/>
      <c r="J15299" s="1063"/>
      <c r="K15299" s="1063"/>
      <c r="L15299" s="1063"/>
    </row>
    <row r="15300" spans="5:12" x14ac:dyDescent="0.2">
      <c r="E15300" s="1063"/>
      <c r="H15300" s="1066"/>
      <c r="I15300" s="1063"/>
      <c r="J15300" s="1063"/>
      <c r="K15300" s="1063"/>
      <c r="L15300" s="1063"/>
    </row>
    <row r="15301" spans="5:12" x14ac:dyDescent="0.2">
      <c r="E15301" s="1063"/>
      <c r="H15301" s="1066"/>
      <c r="I15301" s="1063"/>
      <c r="J15301" s="1063"/>
      <c r="K15301" s="1063"/>
      <c r="L15301" s="1063"/>
    </row>
    <row r="15302" spans="5:12" x14ac:dyDescent="0.2">
      <c r="E15302" s="1063"/>
      <c r="H15302" s="1066"/>
      <c r="I15302" s="1063"/>
      <c r="J15302" s="1063"/>
      <c r="K15302" s="1063"/>
      <c r="L15302" s="1063"/>
    </row>
    <row r="15303" spans="5:12" x14ac:dyDescent="0.2">
      <c r="E15303" s="1063"/>
      <c r="H15303" s="1066"/>
      <c r="I15303" s="1063"/>
      <c r="J15303" s="1063"/>
      <c r="K15303" s="1063"/>
      <c r="L15303" s="1063"/>
    </row>
    <row r="15304" spans="5:12" x14ac:dyDescent="0.2">
      <c r="E15304" s="1063"/>
      <c r="H15304" s="1066"/>
      <c r="I15304" s="1063"/>
      <c r="J15304" s="1063"/>
      <c r="K15304" s="1063"/>
      <c r="L15304" s="1063"/>
    </row>
    <row r="15305" spans="5:12" x14ac:dyDescent="0.2">
      <c r="E15305" s="1063"/>
      <c r="H15305" s="1066"/>
      <c r="I15305" s="1063"/>
      <c r="J15305" s="1063"/>
      <c r="K15305" s="1063"/>
      <c r="L15305" s="1063"/>
    </row>
    <row r="15306" spans="5:12" x14ac:dyDescent="0.2">
      <c r="E15306" s="1063"/>
      <c r="H15306" s="1066"/>
      <c r="I15306" s="1063"/>
      <c r="J15306" s="1063"/>
      <c r="K15306" s="1063"/>
      <c r="L15306" s="1063"/>
    </row>
    <row r="15307" spans="5:12" x14ac:dyDescent="0.2">
      <c r="E15307" s="1063"/>
      <c r="H15307" s="1066"/>
      <c r="I15307" s="1063"/>
      <c r="J15307" s="1063"/>
      <c r="K15307" s="1063"/>
      <c r="L15307" s="1063"/>
    </row>
    <row r="15308" spans="5:12" x14ac:dyDescent="0.2">
      <c r="E15308" s="1063"/>
      <c r="H15308" s="1066"/>
      <c r="I15308" s="1063"/>
      <c r="J15308" s="1063"/>
      <c r="K15308" s="1063"/>
      <c r="L15308" s="1063"/>
    </row>
    <row r="15309" spans="5:12" x14ac:dyDescent="0.2">
      <c r="E15309" s="1063"/>
      <c r="H15309" s="1066"/>
      <c r="I15309" s="1063"/>
      <c r="J15309" s="1063"/>
      <c r="K15309" s="1063"/>
      <c r="L15309" s="1063"/>
    </row>
    <row r="15310" spans="5:12" x14ac:dyDescent="0.2">
      <c r="E15310" s="1063"/>
      <c r="H15310" s="1066"/>
      <c r="I15310" s="1063"/>
      <c r="J15310" s="1063"/>
      <c r="K15310" s="1063"/>
      <c r="L15310" s="1063"/>
    </row>
    <row r="15311" spans="5:12" x14ac:dyDescent="0.2">
      <c r="E15311" s="1063"/>
      <c r="H15311" s="1066"/>
      <c r="I15311" s="1063"/>
      <c r="J15311" s="1063"/>
      <c r="K15311" s="1063"/>
      <c r="L15311" s="1063"/>
    </row>
    <row r="15312" spans="5:12" x14ac:dyDescent="0.2">
      <c r="E15312" s="1063"/>
      <c r="H15312" s="1066"/>
      <c r="I15312" s="1063"/>
      <c r="J15312" s="1063"/>
      <c r="K15312" s="1063"/>
      <c r="L15312" s="1063"/>
    </row>
    <row r="15313" spans="5:12" x14ac:dyDescent="0.2">
      <c r="E15313" s="1063"/>
      <c r="H15313" s="1066"/>
      <c r="I15313" s="1063"/>
      <c r="J15313" s="1063"/>
      <c r="K15313" s="1063"/>
      <c r="L15313" s="1063"/>
    </row>
    <row r="15314" spans="5:12" x14ac:dyDescent="0.2">
      <c r="E15314" s="1063"/>
      <c r="H15314" s="1066"/>
      <c r="I15314" s="1063"/>
      <c r="J15314" s="1063"/>
      <c r="K15314" s="1063"/>
      <c r="L15314" s="1063"/>
    </row>
    <row r="15315" spans="5:12" x14ac:dyDescent="0.2">
      <c r="E15315" s="1063"/>
      <c r="H15315" s="1066"/>
      <c r="I15315" s="1063"/>
      <c r="J15315" s="1063"/>
      <c r="K15315" s="1063"/>
      <c r="L15315" s="1063"/>
    </row>
    <row r="15316" spans="5:12" x14ac:dyDescent="0.2">
      <c r="E15316" s="1063"/>
      <c r="H15316" s="1066"/>
      <c r="I15316" s="1063"/>
      <c r="J15316" s="1063"/>
      <c r="K15316" s="1063"/>
      <c r="L15316" s="1063"/>
    </row>
    <row r="15317" spans="5:12" x14ac:dyDescent="0.2">
      <c r="E15317" s="1063"/>
      <c r="H15317" s="1066"/>
      <c r="I15317" s="1063"/>
      <c r="J15317" s="1063"/>
      <c r="K15317" s="1063"/>
      <c r="L15317" s="1063"/>
    </row>
    <row r="15318" spans="5:12" x14ac:dyDescent="0.2">
      <c r="E15318" s="1063"/>
      <c r="H15318" s="1066"/>
      <c r="I15318" s="1063"/>
      <c r="J15318" s="1063"/>
      <c r="K15318" s="1063"/>
      <c r="L15318" s="1063"/>
    </row>
    <row r="15319" spans="5:12" x14ac:dyDescent="0.2">
      <c r="E15319" s="1063"/>
      <c r="H15319" s="1066"/>
      <c r="I15319" s="1063"/>
      <c r="J15319" s="1063"/>
      <c r="K15319" s="1063"/>
      <c r="L15319" s="1063"/>
    </row>
    <row r="15320" spans="5:12" x14ac:dyDescent="0.2">
      <c r="E15320" s="1063"/>
      <c r="H15320" s="1066"/>
      <c r="I15320" s="1063"/>
      <c r="J15320" s="1063"/>
      <c r="K15320" s="1063"/>
      <c r="L15320" s="1063"/>
    </row>
    <row r="15321" spans="5:12" x14ac:dyDescent="0.2">
      <c r="E15321" s="1063"/>
      <c r="H15321" s="1066"/>
      <c r="I15321" s="1063"/>
      <c r="J15321" s="1063"/>
      <c r="K15321" s="1063"/>
      <c r="L15321" s="1063"/>
    </row>
    <row r="15322" spans="5:12" x14ac:dyDescent="0.2">
      <c r="E15322" s="1063"/>
      <c r="H15322" s="1066"/>
      <c r="I15322" s="1063"/>
      <c r="J15322" s="1063"/>
      <c r="K15322" s="1063"/>
      <c r="L15322" s="1063"/>
    </row>
    <row r="15323" spans="5:12" x14ac:dyDescent="0.2">
      <c r="E15323" s="1063"/>
      <c r="H15323" s="1066"/>
      <c r="I15323" s="1063"/>
      <c r="J15323" s="1063"/>
      <c r="K15323" s="1063"/>
      <c r="L15323" s="1063"/>
    </row>
    <row r="15324" spans="5:12" x14ac:dyDescent="0.2">
      <c r="E15324" s="1063"/>
      <c r="H15324" s="1066"/>
      <c r="I15324" s="1063"/>
      <c r="J15324" s="1063"/>
      <c r="K15324" s="1063"/>
      <c r="L15324" s="1063"/>
    </row>
    <row r="15325" spans="5:12" x14ac:dyDescent="0.2">
      <c r="E15325" s="1063"/>
      <c r="H15325" s="1066"/>
      <c r="I15325" s="1063"/>
      <c r="J15325" s="1063"/>
      <c r="K15325" s="1063"/>
      <c r="L15325" s="1063"/>
    </row>
    <row r="15326" spans="5:12" x14ac:dyDescent="0.2">
      <c r="E15326" s="1063"/>
      <c r="H15326" s="1066"/>
      <c r="I15326" s="1063"/>
      <c r="J15326" s="1063"/>
      <c r="K15326" s="1063"/>
      <c r="L15326" s="1063"/>
    </row>
    <row r="15327" spans="5:12" x14ac:dyDescent="0.2">
      <c r="E15327" s="1063"/>
      <c r="H15327" s="1066"/>
      <c r="I15327" s="1063"/>
      <c r="J15327" s="1063"/>
      <c r="K15327" s="1063"/>
      <c r="L15327" s="1063"/>
    </row>
    <row r="15328" spans="5:12" x14ac:dyDescent="0.2">
      <c r="E15328" s="1063"/>
      <c r="H15328" s="1066"/>
      <c r="I15328" s="1063"/>
      <c r="J15328" s="1063"/>
      <c r="K15328" s="1063"/>
      <c r="L15328" s="1063"/>
    </row>
    <row r="15329" spans="5:12" x14ac:dyDescent="0.2">
      <c r="E15329" s="1063"/>
      <c r="H15329" s="1066"/>
      <c r="I15329" s="1063"/>
      <c r="J15329" s="1063"/>
      <c r="K15329" s="1063"/>
      <c r="L15329" s="1063"/>
    </row>
    <row r="15330" spans="5:12" x14ac:dyDescent="0.2">
      <c r="E15330" s="1063"/>
      <c r="H15330" s="1066"/>
      <c r="I15330" s="1063"/>
      <c r="J15330" s="1063"/>
      <c r="K15330" s="1063"/>
      <c r="L15330" s="1063"/>
    </row>
    <row r="15331" spans="5:12" x14ac:dyDescent="0.2">
      <c r="E15331" s="1063"/>
      <c r="H15331" s="1066"/>
      <c r="I15331" s="1063"/>
      <c r="J15331" s="1063"/>
      <c r="K15331" s="1063"/>
      <c r="L15331" s="1063"/>
    </row>
    <row r="15332" spans="5:12" x14ac:dyDescent="0.2">
      <c r="E15332" s="1063"/>
      <c r="H15332" s="1066"/>
      <c r="I15332" s="1063"/>
      <c r="J15332" s="1063"/>
      <c r="K15332" s="1063"/>
      <c r="L15332" s="1063"/>
    </row>
    <row r="15333" spans="5:12" x14ac:dyDescent="0.2">
      <c r="E15333" s="1063"/>
      <c r="H15333" s="1066"/>
      <c r="I15333" s="1063"/>
      <c r="J15333" s="1063"/>
      <c r="K15333" s="1063"/>
      <c r="L15333" s="1063"/>
    </row>
    <row r="15334" spans="5:12" x14ac:dyDescent="0.2">
      <c r="E15334" s="1063"/>
      <c r="H15334" s="1066"/>
      <c r="I15334" s="1063"/>
      <c r="J15334" s="1063"/>
      <c r="K15334" s="1063"/>
      <c r="L15334" s="1063"/>
    </row>
    <row r="15335" spans="5:12" x14ac:dyDescent="0.2">
      <c r="E15335" s="1063"/>
      <c r="H15335" s="1066"/>
      <c r="I15335" s="1063"/>
      <c r="J15335" s="1063"/>
      <c r="K15335" s="1063"/>
      <c r="L15335" s="1063"/>
    </row>
    <row r="15336" spans="5:12" x14ac:dyDescent="0.2">
      <c r="E15336" s="1063"/>
      <c r="H15336" s="1066"/>
      <c r="I15336" s="1063"/>
      <c r="J15336" s="1063"/>
      <c r="K15336" s="1063"/>
      <c r="L15336" s="1063"/>
    </row>
    <row r="15337" spans="5:12" x14ac:dyDescent="0.2">
      <c r="E15337" s="1063"/>
      <c r="H15337" s="1066"/>
      <c r="I15337" s="1063"/>
      <c r="J15337" s="1063"/>
      <c r="K15337" s="1063"/>
      <c r="L15337" s="1063"/>
    </row>
    <row r="15338" spans="5:12" x14ac:dyDescent="0.2">
      <c r="E15338" s="1063"/>
      <c r="H15338" s="1066"/>
      <c r="I15338" s="1063"/>
      <c r="J15338" s="1063"/>
      <c r="K15338" s="1063"/>
      <c r="L15338" s="1063"/>
    </row>
    <row r="15339" spans="5:12" x14ac:dyDescent="0.2">
      <c r="E15339" s="1063"/>
      <c r="H15339" s="1066"/>
      <c r="I15339" s="1063"/>
      <c r="J15339" s="1063"/>
      <c r="K15339" s="1063"/>
      <c r="L15339" s="1063"/>
    </row>
    <row r="15340" spans="5:12" x14ac:dyDescent="0.2">
      <c r="E15340" s="1063"/>
      <c r="H15340" s="1066"/>
      <c r="I15340" s="1063"/>
      <c r="J15340" s="1063"/>
      <c r="K15340" s="1063"/>
      <c r="L15340" s="1063"/>
    </row>
    <row r="15341" spans="5:12" x14ac:dyDescent="0.2">
      <c r="E15341" s="1063"/>
      <c r="H15341" s="1066"/>
      <c r="I15341" s="1063"/>
      <c r="J15341" s="1063"/>
      <c r="K15341" s="1063"/>
      <c r="L15341" s="1063"/>
    </row>
    <row r="15342" spans="5:12" x14ac:dyDescent="0.2">
      <c r="E15342" s="1063"/>
      <c r="H15342" s="1066"/>
      <c r="I15342" s="1063"/>
      <c r="J15342" s="1063"/>
      <c r="K15342" s="1063"/>
      <c r="L15342" s="1063"/>
    </row>
    <row r="15343" spans="5:12" x14ac:dyDescent="0.2">
      <c r="E15343" s="1063"/>
      <c r="H15343" s="1066"/>
      <c r="I15343" s="1063"/>
      <c r="J15343" s="1063"/>
      <c r="K15343" s="1063"/>
      <c r="L15343" s="1063"/>
    </row>
    <row r="15344" spans="5:12" x14ac:dyDescent="0.2">
      <c r="E15344" s="1063"/>
      <c r="H15344" s="1066"/>
      <c r="I15344" s="1063"/>
      <c r="J15344" s="1063"/>
      <c r="K15344" s="1063"/>
      <c r="L15344" s="1063"/>
    </row>
    <row r="15345" spans="5:12" x14ac:dyDescent="0.2">
      <c r="E15345" s="1063"/>
      <c r="H15345" s="1066"/>
      <c r="I15345" s="1063"/>
      <c r="J15345" s="1063"/>
      <c r="K15345" s="1063"/>
      <c r="L15345" s="1063"/>
    </row>
    <row r="15346" spans="5:12" x14ac:dyDescent="0.2">
      <c r="E15346" s="1063"/>
      <c r="H15346" s="1066"/>
      <c r="I15346" s="1063"/>
      <c r="J15346" s="1063"/>
      <c r="K15346" s="1063"/>
      <c r="L15346" s="1063"/>
    </row>
    <row r="15347" spans="5:12" x14ac:dyDescent="0.2">
      <c r="E15347" s="1063"/>
      <c r="H15347" s="1066"/>
      <c r="I15347" s="1063"/>
      <c r="J15347" s="1063"/>
      <c r="K15347" s="1063"/>
      <c r="L15347" s="1063"/>
    </row>
    <row r="15348" spans="5:12" x14ac:dyDescent="0.2">
      <c r="E15348" s="1063"/>
      <c r="H15348" s="1066"/>
      <c r="I15348" s="1063"/>
      <c r="J15348" s="1063"/>
      <c r="K15348" s="1063"/>
      <c r="L15348" s="1063"/>
    </row>
    <row r="15349" spans="5:12" x14ac:dyDescent="0.2">
      <c r="E15349" s="1063"/>
      <c r="H15349" s="1066"/>
      <c r="I15349" s="1063"/>
      <c r="J15349" s="1063"/>
      <c r="K15349" s="1063"/>
      <c r="L15349" s="1063"/>
    </row>
    <row r="15350" spans="5:12" x14ac:dyDescent="0.2">
      <c r="E15350" s="1063"/>
      <c r="H15350" s="1066"/>
      <c r="I15350" s="1063"/>
      <c r="J15350" s="1063"/>
      <c r="K15350" s="1063"/>
      <c r="L15350" s="1063"/>
    </row>
    <row r="15351" spans="5:12" x14ac:dyDescent="0.2">
      <c r="E15351" s="1063"/>
      <c r="H15351" s="1066"/>
      <c r="I15351" s="1063"/>
      <c r="J15351" s="1063"/>
      <c r="K15351" s="1063"/>
      <c r="L15351" s="1063"/>
    </row>
    <row r="15352" spans="5:12" x14ac:dyDescent="0.2">
      <c r="E15352" s="1063"/>
      <c r="H15352" s="1066"/>
      <c r="I15352" s="1063"/>
      <c r="J15352" s="1063"/>
      <c r="K15352" s="1063"/>
      <c r="L15352" s="1063"/>
    </row>
    <row r="15353" spans="5:12" x14ac:dyDescent="0.2">
      <c r="E15353" s="1063"/>
      <c r="H15353" s="1066"/>
      <c r="I15353" s="1063"/>
      <c r="J15353" s="1063"/>
      <c r="K15353" s="1063"/>
      <c r="L15353" s="1063"/>
    </row>
    <row r="15354" spans="5:12" x14ac:dyDescent="0.2">
      <c r="E15354" s="1063"/>
      <c r="H15354" s="1066"/>
      <c r="I15354" s="1063"/>
      <c r="J15354" s="1063"/>
      <c r="K15354" s="1063"/>
      <c r="L15354" s="1063"/>
    </row>
    <row r="15355" spans="5:12" x14ac:dyDescent="0.2">
      <c r="E15355" s="1063"/>
      <c r="H15355" s="1066"/>
      <c r="I15355" s="1063"/>
      <c r="J15355" s="1063"/>
      <c r="K15355" s="1063"/>
      <c r="L15355" s="1063"/>
    </row>
    <row r="15356" spans="5:12" x14ac:dyDescent="0.2">
      <c r="E15356" s="1063"/>
      <c r="H15356" s="1066"/>
      <c r="I15356" s="1063"/>
      <c r="J15356" s="1063"/>
      <c r="K15356" s="1063"/>
      <c r="L15356" s="1063"/>
    </row>
    <row r="15357" spans="5:12" x14ac:dyDescent="0.2">
      <c r="E15357" s="1063"/>
      <c r="H15357" s="1066"/>
      <c r="I15357" s="1063"/>
      <c r="J15357" s="1063"/>
      <c r="K15357" s="1063"/>
      <c r="L15357" s="1063"/>
    </row>
    <row r="15358" spans="5:12" x14ac:dyDescent="0.2">
      <c r="E15358" s="1063"/>
      <c r="H15358" s="1066"/>
      <c r="I15358" s="1063"/>
      <c r="J15358" s="1063"/>
      <c r="K15358" s="1063"/>
      <c r="L15358" s="1063"/>
    </row>
    <row r="15359" spans="5:12" x14ac:dyDescent="0.2">
      <c r="E15359" s="1063"/>
      <c r="H15359" s="1066"/>
      <c r="I15359" s="1063"/>
      <c r="J15359" s="1063"/>
      <c r="K15359" s="1063"/>
      <c r="L15359" s="1063"/>
    </row>
    <row r="15360" spans="5:12" x14ac:dyDescent="0.2">
      <c r="E15360" s="1063"/>
      <c r="H15360" s="1066"/>
      <c r="I15360" s="1063"/>
      <c r="J15360" s="1063"/>
      <c r="K15360" s="1063"/>
      <c r="L15360" s="1063"/>
    </row>
    <row r="15361" spans="5:12" x14ac:dyDescent="0.2">
      <c r="E15361" s="1063"/>
      <c r="H15361" s="1066"/>
      <c r="I15361" s="1063"/>
      <c r="J15361" s="1063"/>
      <c r="K15361" s="1063"/>
      <c r="L15361" s="1063"/>
    </row>
    <row r="15362" spans="5:12" x14ac:dyDescent="0.2">
      <c r="E15362" s="1063"/>
      <c r="H15362" s="1066"/>
      <c r="I15362" s="1063"/>
      <c r="J15362" s="1063"/>
      <c r="K15362" s="1063"/>
      <c r="L15362" s="1063"/>
    </row>
    <row r="15363" spans="5:12" x14ac:dyDescent="0.2">
      <c r="E15363" s="1063"/>
      <c r="H15363" s="1066"/>
      <c r="I15363" s="1063"/>
      <c r="J15363" s="1063"/>
      <c r="K15363" s="1063"/>
      <c r="L15363" s="1063"/>
    </row>
    <row r="15364" spans="5:12" x14ac:dyDescent="0.2">
      <c r="E15364" s="1063"/>
      <c r="H15364" s="1066"/>
      <c r="I15364" s="1063"/>
      <c r="J15364" s="1063"/>
      <c r="K15364" s="1063"/>
      <c r="L15364" s="1063"/>
    </row>
    <row r="15365" spans="5:12" x14ac:dyDescent="0.2">
      <c r="E15365" s="1063"/>
      <c r="H15365" s="1066"/>
      <c r="I15365" s="1063"/>
      <c r="J15365" s="1063"/>
      <c r="K15365" s="1063"/>
      <c r="L15365" s="1063"/>
    </row>
    <row r="15366" spans="5:12" x14ac:dyDescent="0.2">
      <c r="E15366" s="1063"/>
      <c r="H15366" s="1066"/>
      <c r="I15366" s="1063"/>
      <c r="J15366" s="1063"/>
      <c r="K15366" s="1063"/>
      <c r="L15366" s="1063"/>
    </row>
    <row r="15367" spans="5:12" x14ac:dyDescent="0.2">
      <c r="E15367" s="1063"/>
      <c r="H15367" s="1066"/>
      <c r="I15367" s="1063"/>
      <c r="J15367" s="1063"/>
      <c r="K15367" s="1063"/>
      <c r="L15367" s="1063"/>
    </row>
    <row r="15368" spans="5:12" x14ac:dyDescent="0.2">
      <c r="E15368" s="1063"/>
      <c r="H15368" s="1066"/>
      <c r="I15368" s="1063"/>
      <c r="J15368" s="1063"/>
      <c r="K15368" s="1063"/>
      <c r="L15368" s="1063"/>
    </row>
    <row r="15369" spans="5:12" x14ac:dyDescent="0.2">
      <c r="E15369" s="1063"/>
      <c r="H15369" s="1066"/>
      <c r="I15369" s="1063"/>
      <c r="J15369" s="1063"/>
      <c r="K15369" s="1063"/>
      <c r="L15369" s="1063"/>
    </row>
    <row r="15370" spans="5:12" x14ac:dyDescent="0.2">
      <c r="E15370" s="1063"/>
      <c r="H15370" s="1066"/>
      <c r="I15370" s="1063"/>
      <c r="J15370" s="1063"/>
      <c r="K15370" s="1063"/>
      <c r="L15370" s="1063"/>
    </row>
    <row r="15371" spans="5:12" x14ac:dyDescent="0.2">
      <c r="E15371" s="1063"/>
      <c r="H15371" s="1066"/>
      <c r="I15371" s="1063"/>
      <c r="J15371" s="1063"/>
      <c r="K15371" s="1063"/>
      <c r="L15371" s="1063"/>
    </row>
    <row r="15372" spans="5:12" x14ac:dyDescent="0.2">
      <c r="E15372" s="1063"/>
      <c r="H15372" s="1066"/>
      <c r="I15372" s="1063"/>
      <c r="J15372" s="1063"/>
      <c r="K15372" s="1063"/>
      <c r="L15372" s="1063"/>
    </row>
    <row r="15373" spans="5:12" x14ac:dyDescent="0.2">
      <c r="E15373" s="1063"/>
      <c r="H15373" s="1066"/>
      <c r="I15373" s="1063"/>
      <c r="J15373" s="1063"/>
      <c r="K15373" s="1063"/>
      <c r="L15373" s="1063"/>
    </row>
    <row r="15374" spans="5:12" x14ac:dyDescent="0.2">
      <c r="E15374" s="1063"/>
      <c r="H15374" s="1066"/>
      <c r="I15374" s="1063"/>
      <c r="J15374" s="1063"/>
      <c r="K15374" s="1063"/>
      <c r="L15374" s="1063"/>
    </row>
    <row r="15375" spans="5:12" x14ac:dyDescent="0.2">
      <c r="E15375" s="1063"/>
      <c r="H15375" s="1066"/>
      <c r="I15375" s="1063"/>
      <c r="J15375" s="1063"/>
      <c r="K15375" s="1063"/>
      <c r="L15375" s="1063"/>
    </row>
    <row r="15376" spans="5:12" x14ac:dyDescent="0.2">
      <c r="E15376" s="1063"/>
      <c r="H15376" s="1066"/>
      <c r="I15376" s="1063"/>
      <c r="J15376" s="1063"/>
      <c r="K15376" s="1063"/>
      <c r="L15376" s="1063"/>
    </row>
    <row r="15377" spans="5:12" x14ac:dyDescent="0.2">
      <c r="E15377" s="1063"/>
      <c r="H15377" s="1066"/>
      <c r="I15377" s="1063"/>
      <c r="J15377" s="1063"/>
      <c r="K15377" s="1063"/>
      <c r="L15377" s="1063"/>
    </row>
    <row r="15378" spans="5:12" x14ac:dyDescent="0.2">
      <c r="E15378" s="1063"/>
      <c r="H15378" s="1066"/>
      <c r="I15378" s="1063"/>
      <c r="J15378" s="1063"/>
      <c r="K15378" s="1063"/>
      <c r="L15378" s="1063"/>
    </row>
    <row r="15379" spans="5:12" x14ac:dyDescent="0.2">
      <c r="E15379" s="1063"/>
      <c r="H15379" s="1066"/>
      <c r="I15379" s="1063"/>
      <c r="J15379" s="1063"/>
      <c r="K15379" s="1063"/>
      <c r="L15379" s="1063"/>
    </row>
    <row r="15380" spans="5:12" x14ac:dyDescent="0.2">
      <c r="E15380" s="1063"/>
      <c r="H15380" s="1066"/>
      <c r="I15380" s="1063"/>
      <c r="J15380" s="1063"/>
      <c r="K15380" s="1063"/>
      <c r="L15380" s="1063"/>
    </row>
    <row r="15381" spans="5:12" x14ac:dyDescent="0.2">
      <c r="E15381" s="1063"/>
      <c r="H15381" s="1066"/>
      <c r="I15381" s="1063"/>
      <c r="J15381" s="1063"/>
      <c r="K15381" s="1063"/>
      <c r="L15381" s="1063"/>
    </row>
    <row r="15382" spans="5:12" x14ac:dyDescent="0.2">
      <c r="E15382" s="1063"/>
      <c r="H15382" s="1066"/>
      <c r="I15382" s="1063"/>
      <c r="J15382" s="1063"/>
      <c r="K15382" s="1063"/>
      <c r="L15382" s="1063"/>
    </row>
    <row r="15383" spans="5:12" x14ac:dyDescent="0.2">
      <c r="E15383" s="1063"/>
      <c r="H15383" s="1066"/>
      <c r="I15383" s="1063"/>
      <c r="J15383" s="1063"/>
      <c r="K15383" s="1063"/>
      <c r="L15383" s="1063"/>
    </row>
    <row r="15384" spans="5:12" x14ac:dyDescent="0.2">
      <c r="E15384" s="1063"/>
      <c r="H15384" s="1066"/>
      <c r="I15384" s="1063"/>
      <c r="J15384" s="1063"/>
      <c r="K15384" s="1063"/>
      <c r="L15384" s="1063"/>
    </row>
    <row r="15385" spans="5:12" x14ac:dyDescent="0.2">
      <c r="E15385" s="1063"/>
      <c r="H15385" s="1066"/>
      <c r="I15385" s="1063"/>
      <c r="J15385" s="1063"/>
      <c r="K15385" s="1063"/>
      <c r="L15385" s="1063"/>
    </row>
    <row r="15386" spans="5:12" x14ac:dyDescent="0.2">
      <c r="E15386" s="1063"/>
      <c r="H15386" s="1066"/>
      <c r="I15386" s="1063"/>
      <c r="J15386" s="1063"/>
      <c r="K15386" s="1063"/>
      <c r="L15386" s="1063"/>
    </row>
    <row r="15387" spans="5:12" x14ac:dyDescent="0.2">
      <c r="E15387" s="1063"/>
      <c r="H15387" s="1066"/>
      <c r="I15387" s="1063"/>
      <c r="J15387" s="1063"/>
      <c r="K15387" s="1063"/>
      <c r="L15387" s="1063"/>
    </row>
    <row r="15388" spans="5:12" x14ac:dyDescent="0.2">
      <c r="E15388" s="1063"/>
      <c r="H15388" s="1066"/>
      <c r="I15388" s="1063"/>
      <c r="J15388" s="1063"/>
      <c r="K15388" s="1063"/>
      <c r="L15388" s="1063"/>
    </row>
    <row r="15389" spans="5:12" x14ac:dyDescent="0.2">
      <c r="E15389" s="1063"/>
      <c r="H15389" s="1066"/>
      <c r="I15389" s="1063"/>
      <c r="J15389" s="1063"/>
      <c r="K15389" s="1063"/>
      <c r="L15389" s="1063"/>
    </row>
    <row r="15390" spans="5:12" x14ac:dyDescent="0.2">
      <c r="E15390" s="1063"/>
      <c r="H15390" s="1066"/>
      <c r="I15390" s="1063"/>
      <c r="J15390" s="1063"/>
      <c r="K15390" s="1063"/>
      <c r="L15390" s="1063"/>
    </row>
    <row r="15391" spans="5:12" x14ac:dyDescent="0.2">
      <c r="E15391" s="1063"/>
      <c r="H15391" s="1066"/>
      <c r="I15391" s="1063"/>
      <c r="J15391" s="1063"/>
      <c r="K15391" s="1063"/>
      <c r="L15391" s="1063"/>
    </row>
    <row r="15392" spans="5:12" x14ac:dyDescent="0.2">
      <c r="E15392" s="1063"/>
      <c r="H15392" s="1066"/>
      <c r="I15392" s="1063"/>
      <c r="J15392" s="1063"/>
      <c r="K15392" s="1063"/>
      <c r="L15392" s="1063"/>
    </row>
    <row r="15393" spans="5:12" x14ac:dyDescent="0.2">
      <c r="E15393" s="1063"/>
      <c r="H15393" s="1066"/>
      <c r="I15393" s="1063"/>
      <c r="J15393" s="1063"/>
      <c r="K15393" s="1063"/>
      <c r="L15393" s="1063"/>
    </row>
    <row r="15394" spans="5:12" x14ac:dyDescent="0.2">
      <c r="E15394" s="1063"/>
      <c r="H15394" s="1066"/>
      <c r="I15394" s="1063"/>
      <c r="J15394" s="1063"/>
      <c r="K15394" s="1063"/>
      <c r="L15394" s="1063"/>
    </row>
    <row r="15395" spans="5:12" x14ac:dyDescent="0.2">
      <c r="E15395" s="1063"/>
      <c r="H15395" s="1066"/>
      <c r="I15395" s="1063"/>
      <c r="J15395" s="1063"/>
      <c r="K15395" s="1063"/>
      <c r="L15395" s="1063"/>
    </row>
    <row r="15396" spans="5:12" x14ac:dyDescent="0.2">
      <c r="E15396" s="1063"/>
      <c r="H15396" s="1066"/>
      <c r="I15396" s="1063"/>
      <c r="J15396" s="1063"/>
      <c r="K15396" s="1063"/>
      <c r="L15396" s="1063"/>
    </row>
    <row r="15397" spans="5:12" x14ac:dyDescent="0.2">
      <c r="E15397" s="1063"/>
      <c r="H15397" s="1066"/>
      <c r="I15397" s="1063"/>
      <c r="J15397" s="1063"/>
      <c r="K15397" s="1063"/>
      <c r="L15397" s="1063"/>
    </row>
    <row r="15398" spans="5:12" x14ac:dyDescent="0.2">
      <c r="E15398" s="1063"/>
      <c r="H15398" s="1066"/>
      <c r="I15398" s="1063"/>
      <c r="J15398" s="1063"/>
      <c r="K15398" s="1063"/>
      <c r="L15398" s="1063"/>
    </row>
    <row r="15399" spans="5:12" x14ac:dyDescent="0.2">
      <c r="E15399" s="1063"/>
      <c r="H15399" s="1066"/>
      <c r="I15399" s="1063"/>
      <c r="J15399" s="1063"/>
      <c r="K15399" s="1063"/>
      <c r="L15399" s="1063"/>
    </row>
    <row r="15400" spans="5:12" x14ac:dyDescent="0.2">
      <c r="E15400" s="1063"/>
      <c r="H15400" s="1066"/>
      <c r="I15400" s="1063"/>
      <c r="J15400" s="1063"/>
      <c r="K15400" s="1063"/>
      <c r="L15400" s="1063"/>
    </row>
    <row r="15401" spans="5:12" x14ac:dyDescent="0.2">
      <c r="E15401" s="1063"/>
      <c r="H15401" s="1066"/>
      <c r="I15401" s="1063"/>
      <c r="J15401" s="1063"/>
      <c r="K15401" s="1063"/>
      <c r="L15401" s="1063"/>
    </row>
    <row r="15402" spans="5:12" x14ac:dyDescent="0.2">
      <c r="E15402" s="1063"/>
      <c r="H15402" s="1066"/>
      <c r="I15402" s="1063"/>
      <c r="J15402" s="1063"/>
      <c r="K15402" s="1063"/>
      <c r="L15402" s="1063"/>
    </row>
    <row r="15403" spans="5:12" x14ac:dyDescent="0.2">
      <c r="E15403" s="1063"/>
      <c r="H15403" s="1066"/>
      <c r="I15403" s="1063"/>
      <c r="J15403" s="1063"/>
      <c r="K15403" s="1063"/>
      <c r="L15403" s="1063"/>
    </row>
    <row r="15404" spans="5:12" x14ac:dyDescent="0.2">
      <c r="E15404" s="1063"/>
      <c r="H15404" s="1066"/>
      <c r="I15404" s="1063"/>
      <c r="J15404" s="1063"/>
      <c r="K15404" s="1063"/>
      <c r="L15404" s="1063"/>
    </row>
    <row r="15405" spans="5:12" x14ac:dyDescent="0.2">
      <c r="E15405" s="1063"/>
      <c r="H15405" s="1066"/>
      <c r="I15405" s="1063"/>
      <c r="J15405" s="1063"/>
      <c r="K15405" s="1063"/>
      <c r="L15405" s="1063"/>
    </row>
    <row r="15406" spans="5:12" x14ac:dyDescent="0.2">
      <c r="E15406" s="1063"/>
      <c r="H15406" s="1066"/>
      <c r="I15406" s="1063"/>
      <c r="J15406" s="1063"/>
      <c r="K15406" s="1063"/>
      <c r="L15406" s="1063"/>
    </row>
    <row r="15407" spans="5:12" x14ac:dyDescent="0.2">
      <c r="E15407" s="1063"/>
      <c r="H15407" s="1066"/>
      <c r="I15407" s="1063"/>
      <c r="J15407" s="1063"/>
      <c r="K15407" s="1063"/>
      <c r="L15407" s="1063"/>
    </row>
    <row r="15408" spans="5:12" x14ac:dyDescent="0.2">
      <c r="E15408" s="1063"/>
      <c r="H15408" s="1066"/>
      <c r="I15408" s="1063"/>
      <c r="J15408" s="1063"/>
      <c r="K15408" s="1063"/>
      <c r="L15408" s="1063"/>
    </row>
    <row r="15409" spans="5:12" x14ac:dyDescent="0.2">
      <c r="E15409" s="1063"/>
      <c r="H15409" s="1066"/>
      <c r="I15409" s="1063"/>
      <c r="J15409" s="1063"/>
      <c r="K15409" s="1063"/>
      <c r="L15409" s="1063"/>
    </row>
    <row r="15410" spans="5:12" x14ac:dyDescent="0.2">
      <c r="E15410" s="1063"/>
      <c r="H15410" s="1066"/>
      <c r="I15410" s="1063"/>
      <c r="J15410" s="1063"/>
      <c r="K15410" s="1063"/>
      <c r="L15410" s="1063"/>
    </row>
    <row r="15411" spans="5:12" x14ac:dyDescent="0.2">
      <c r="E15411" s="1063"/>
      <c r="H15411" s="1066"/>
      <c r="I15411" s="1063"/>
      <c r="J15411" s="1063"/>
      <c r="K15411" s="1063"/>
      <c r="L15411" s="1063"/>
    </row>
    <row r="15412" spans="5:12" x14ac:dyDescent="0.2">
      <c r="E15412" s="1063"/>
      <c r="H15412" s="1066"/>
      <c r="I15412" s="1063"/>
      <c r="J15412" s="1063"/>
      <c r="K15412" s="1063"/>
      <c r="L15412" s="1063"/>
    </row>
    <row r="15413" spans="5:12" x14ac:dyDescent="0.2">
      <c r="E15413" s="1063"/>
      <c r="H15413" s="1066"/>
      <c r="I15413" s="1063"/>
      <c r="J15413" s="1063"/>
      <c r="K15413" s="1063"/>
      <c r="L15413" s="1063"/>
    </row>
    <row r="15414" spans="5:12" x14ac:dyDescent="0.2">
      <c r="E15414" s="1063"/>
      <c r="H15414" s="1066"/>
      <c r="I15414" s="1063"/>
      <c r="J15414" s="1063"/>
      <c r="K15414" s="1063"/>
      <c r="L15414" s="1063"/>
    </row>
    <row r="15415" spans="5:12" x14ac:dyDescent="0.2">
      <c r="E15415" s="1063"/>
      <c r="H15415" s="1066"/>
      <c r="I15415" s="1063"/>
      <c r="J15415" s="1063"/>
      <c r="K15415" s="1063"/>
      <c r="L15415" s="1063"/>
    </row>
    <row r="15416" spans="5:12" x14ac:dyDescent="0.2">
      <c r="E15416" s="1063"/>
      <c r="H15416" s="1066"/>
      <c r="I15416" s="1063"/>
      <c r="J15416" s="1063"/>
      <c r="K15416" s="1063"/>
      <c r="L15416" s="1063"/>
    </row>
    <row r="15417" spans="5:12" x14ac:dyDescent="0.2">
      <c r="E15417" s="1063"/>
      <c r="H15417" s="1066"/>
      <c r="I15417" s="1063"/>
      <c r="J15417" s="1063"/>
      <c r="K15417" s="1063"/>
      <c r="L15417" s="1063"/>
    </row>
    <row r="15418" spans="5:12" x14ac:dyDescent="0.2">
      <c r="E15418" s="1063"/>
      <c r="H15418" s="1066"/>
      <c r="I15418" s="1063"/>
      <c r="J15418" s="1063"/>
      <c r="K15418" s="1063"/>
      <c r="L15418" s="1063"/>
    </row>
    <row r="15419" spans="5:12" x14ac:dyDescent="0.2">
      <c r="E15419" s="1063"/>
      <c r="H15419" s="1066"/>
      <c r="I15419" s="1063"/>
      <c r="J15419" s="1063"/>
      <c r="K15419" s="1063"/>
      <c r="L15419" s="1063"/>
    </row>
    <row r="15420" spans="5:12" x14ac:dyDescent="0.2">
      <c r="E15420" s="1063"/>
      <c r="H15420" s="1066"/>
      <c r="I15420" s="1063"/>
      <c r="J15420" s="1063"/>
      <c r="K15420" s="1063"/>
      <c r="L15420" s="1063"/>
    </row>
    <row r="15421" spans="5:12" x14ac:dyDescent="0.2">
      <c r="E15421" s="1063"/>
      <c r="H15421" s="1066"/>
      <c r="I15421" s="1063"/>
      <c r="J15421" s="1063"/>
      <c r="K15421" s="1063"/>
      <c r="L15421" s="1063"/>
    </row>
    <row r="15422" spans="5:12" x14ac:dyDescent="0.2">
      <c r="E15422" s="1063"/>
      <c r="H15422" s="1066"/>
      <c r="I15422" s="1063"/>
      <c r="J15422" s="1063"/>
      <c r="K15422" s="1063"/>
      <c r="L15422" s="1063"/>
    </row>
    <row r="15423" spans="5:12" x14ac:dyDescent="0.2">
      <c r="E15423" s="1063"/>
      <c r="H15423" s="1066"/>
      <c r="I15423" s="1063"/>
      <c r="J15423" s="1063"/>
      <c r="K15423" s="1063"/>
      <c r="L15423" s="1063"/>
    </row>
    <row r="15424" spans="5:12" x14ac:dyDescent="0.2">
      <c r="E15424" s="1063"/>
      <c r="H15424" s="1066"/>
      <c r="I15424" s="1063"/>
      <c r="J15424" s="1063"/>
      <c r="K15424" s="1063"/>
      <c r="L15424" s="1063"/>
    </row>
    <row r="15425" spans="5:12" x14ac:dyDescent="0.2">
      <c r="E15425" s="1063"/>
      <c r="H15425" s="1066"/>
      <c r="I15425" s="1063"/>
      <c r="J15425" s="1063"/>
      <c r="K15425" s="1063"/>
      <c r="L15425" s="1063"/>
    </row>
    <row r="15426" spans="5:12" x14ac:dyDescent="0.2">
      <c r="E15426" s="1063"/>
      <c r="H15426" s="1066"/>
      <c r="I15426" s="1063"/>
      <c r="J15426" s="1063"/>
      <c r="K15426" s="1063"/>
      <c r="L15426" s="1063"/>
    </row>
    <row r="15427" spans="5:12" x14ac:dyDescent="0.2">
      <c r="E15427" s="1063"/>
      <c r="H15427" s="1066"/>
      <c r="I15427" s="1063"/>
      <c r="J15427" s="1063"/>
      <c r="K15427" s="1063"/>
      <c r="L15427" s="1063"/>
    </row>
    <row r="15428" spans="5:12" x14ac:dyDescent="0.2">
      <c r="E15428" s="1063"/>
      <c r="H15428" s="1066"/>
      <c r="I15428" s="1063"/>
      <c r="J15428" s="1063"/>
      <c r="K15428" s="1063"/>
      <c r="L15428" s="1063"/>
    </row>
    <row r="15429" spans="5:12" x14ac:dyDescent="0.2">
      <c r="E15429" s="1063"/>
      <c r="H15429" s="1066"/>
      <c r="I15429" s="1063"/>
      <c r="J15429" s="1063"/>
      <c r="K15429" s="1063"/>
      <c r="L15429" s="1063"/>
    </row>
    <row r="15430" spans="5:12" x14ac:dyDescent="0.2">
      <c r="E15430" s="1063"/>
      <c r="H15430" s="1066"/>
      <c r="I15430" s="1063"/>
      <c r="J15430" s="1063"/>
      <c r="K15430" s="1063"/>
      <c r="L15430" s="1063"/>
    </row>
    <row r="15431" spans="5:12" x14ac:dyDescent="0.2">
      <c r="E15431" s="1063"/>
      <c r="H15431" s="1066"/>
      <c r="I15431" s="1063"/>
      <c r="J15431" s="1063"/>
      <c r="K15431" s="1063"/>
      <c r="L15431" s="1063"/>
    </row>
    <row r="15432" spans="5:12" x14ac:dyDescent="0.2">
      <c r="E15432" s="1063"/>
      <c r="H15432" s="1066"/>
      <c r="I15432" s="1063"/>
      <c r="J15432" s="1063"/>
      <c r="K15432" s="1063"/>
      <c r="L15432" s="1063"/>
    </row>
    <row r="15433" spans="5:12" x14ac:dyDescent="0.2">
      <c r="E15433" s="1063"/>
      <c r="H15433" s="1066"/>
      <c r="I15433" s="1063"/>
      <c r="J15433" s="1063"/>
      <c r="K15433" s="1063"/>
      <c r="L15433" s="1063"/>
    </row>
    <row r="15434" spans="5:12" x14ac:dyDescent="0.2">
      <c r="E15434" s="1063"/>
      <c r="H15434" s="1066"/>
      <c r="I15434" s="1063"/>
      <c r="J15434" s="1063"/>
      <c r="K15434" s="1063"/>
      <c r="L15434" s="1063"/>
    </row>
    <row r="15435" spans="5:12" x14ac:dyDescent="0.2">
      <c r="E15435" s="1063"/>
      <c r="H15435" s="1066"/>
      <c r="I15435" s="1063"/>
      <c r="J15435" s="1063"/>
      <c r="K15435" s="1063"/>
      <c r="L15435" s="1063"/>
    </row>
    <row r="15436" spans="5:12" x14ac:dyDescent="0.2">
      <c r="E15436" s="1063"/>
      <c r="H15436" s="1066"/>
      <c r="I15436" s="1063"/>
      <c r="J15436" s="1063"/>
      <c r="K15436" s="1063"/>
      <c r="L15436" s="1063"/>
    </row>
    <row r="15437" spans="5:12" x14ac:dyDescent="0.2">
      <c r="E15437" s="1063"/>
      <c r="H15437" s="1066"/>
      <c r="I15437" s="1063"/>
      <c r="J15437" s="1063"/>
      <c r="K15437" s="1063"/>
      <c r="L15437" s="1063"/>
    </row>
    <row r="15438" spans="5:12" x14ac:dyDescent="0.2">
      <c r="E15438" s="1063"/>
      <c r="H15438" s="1066"/>
      <c r="I15438" s="1063"/>
      <c r="J15438" s="1063"/>
      <c r="K15438" s="1063"/>
      <c r="L15438" s="1063"/>
    </row>
    <row r="15439" spans="5:12" x14ac:dyDescent="0.2">
      <c r="E15439" s="1063"/>
      <c r="H15439" s="1066"/>
      <c r="I15439" s="1063"/>
      <c r="J15439" s="1063"/>
      <c r="K15439" s="1063"/>
      <c r="L15439" s="1063"/>
    </row>
    <row r="15440" spans="5:12" x14ac:dyDescent="0.2">
      <c r="E15440" s="1063"/>
      <c r="H15440" s="1066"/>
      <c r="I15440" s="1063"/>
      <c r="J15440" s="1063"/>
      <c r="K15440" s="1063"/>
      <c r="L15440" s="1063"/>
    </row>
    <row r="15441" spans="5:12" x14ac:dyDescent="0.2">
      <c r="E15441" s="1063"/>
      <c r="H15441" s="1066"/>
      <c r="I15441" s="1063"/>
      <c r="J15441" s="1063"/>
      <c r="K15441" s="1063"/>
      <c r="L15441" s="1063"/>
    </row>
    <row r="15442" spans="5:12" x14ac:dyDescent="0.2">
      <c r="E15442" s="1063"/>
      <c r="H15442" s="1066"/>
      <c r="I15442" s="1063"/>
      <c r="J15442" s="1063"/>
      <c r="K15442" s="1063"/>
      <c r="L15442" s="1063"/>
    </row>
    <row r="15443" spans="5:12" x14ac:dyDescent="0.2">
      <c r="E15443" s="1063"/>
      <c r="H15443" s="1066"/>
      <c r="I15443" s="1063"/>
      <c r="J15443" s="1063"/>
      <c r="K15443" s="1063"/>
      <c r="L15443" s="1063"/>
    </row>
    <row r="15444" spans="5:12" x14ac:dyDescent="0.2">
      <c r="E15444" s="1063"/>
      <c r="H15444" s="1066"/>
      <c r="I15444" s="1063"/>
      <c r="J15444" s="1063"/>
      <c r="K15444" s="1063"/>
      <c r="L15444" s="1063"/>
    </row>
    <row r="15445" spans="5:12" x14ac:dyDescent="0.2">
      <c r="E15445" s="1063"/>
      <c r="H15445" s="1066"/>
      <c r="I15445" s="1063"/>
      <c r="J15445" s="1063"/>
      <c r="K15445" s="1063"/>
      <c r="L15445" s="1063"/>
    </row>
    <row r="15446" spans="5:12" x14ac:dyDescent="0.2">
      <c r="E15446" s="1063"/>
      <c r="H15446" s="1066"/>
      <c r="I15446" s="1063"/>
      <c r="J15446" s="1063"/>
      <c r="K15446" s="1063"/>
      <c r="L15446" s="1063"/>
    </row>
    <row r="15447" spans="5:12" x14ac:dyDescent="0.2">
      <c r="E15447" s="1063"/>
      <c r="H15447" s="1066"/>
      <c r="I15447" s="1063"/>
      <c r="J15447" s="1063"/>
      <c r="K15447" s="1063"/>
      <c r="L15447" s="1063"/>
    </row>
    <row r="15448" spans="5:12" x14ac:dyDescent="0.2">
      <c r="E15448" s="1063"/>
      <c r="H15448" s="1066"/>
      <c r="I15448" s="1063"/>
      <c r="J15448" s="1063"/>
      <c r="K15448" s="1063"/>
      <c r="L15448" s="1063"/>
    </row>
    <row r="15449" spans="5:12" x14ac:dyDescent="0.2">
      <c r="E15449" s="1063"/>
      <c r="H15449" s="1066"/>
      <c r="I15449" s="1063"/>
      <c r="J15449" s="1063"/>
      <c r="K15449" s="1063"/>
      <c r="L15449" s="1063"/>
    </row>
    <row r="15450" spans="5:12" x14ac:dyDescent="0.2">
      <c r="E15450" s="1063"/>
      <c r="H15450" s="1066"/>
      <c r="I15450" s="1063"/>
      <c r="J15450" s="1063"/>
      <c r="K15450" s="1063"/>
      <c r="L15450" s="1063"/>
    </row>
    <row r="15451" spans="5:12" x14ac:dyDescent="0.2">
      <c r="E15451" s="1063"/>
      <c r="H15451" s="1066"/>
      <c r="I15451" s="1063"/>
      <c r="J15451" s="1063"/>
      <c r="K15451" s="1063"/>
      <c r="L15451" s="1063"/>
    </row>
    <row r="15452" spans="5:12" x14ac:dyDescent="0.2">
      <c r="E15452" s="1063"/>
      <c r="H15452" s="1066"/>
      <c r="I15452" s="1063"/>
      <c r="J15452" s="1063"/>
      <c r="K15452" s="1063"/>
      <c r="L15452" s="1063"/>
    </row>
    <row r="15453" spans="5:12" x14ac:dyDescent="0.2">
      <c r="E15453" s="1063"/>
      <c r="H15453" s="1066"/>
      <c r="I15453" s="1063"/>
      <c r="J15453" s="1063"/>
      <c r="K15453" s="1063"/>
      <c r="L15453" s="1063"/>
    </row>
    <row r="15454" spans="5:12" x14ac:dyDescent="0.2">
      <c r="E15454" s="1063"/>
      <c r="H15454" s="1066"/>
      <c r="I15454" s="1063"/>
      <c r="J15454" s="1063"/>
      <c r="K15454" s="1063"/>
      <c r="L15454" s="1063"/>
    </row>
    <row r="15455" spans="5:12" x14ac:dyDescent="0.2">
      <c r="E15455" s="1063"/>
      <c r="H15455" s="1066"/>
      <c r="I15455" s="1063"/>
      <c r="J15455" s="1063"/>
      <c r="K15455" s="1063"/>
      <c r="L15455" s="1063"/>
    </row>
    <row r="15456" spans="5:12" x14ac:dyDescent="0.2">
      <c r="E15456" s="1063"/>
      <c r="H15456" s="1066"/>
      <c r="I15456" s="1063"/>
      <c r="J15456" s="1063"/>
      <c r="K15456" s="1063"/>
      <c r="L15456" s="1063"/>
    </row>
    <row r="15457" spans="5:12" x14ac:dyDescent="0.2">
      <c r="E15457" s="1063"/>
      <c r="H15457" s="1066"/>
      <c r="I15457" s="1063"/>
      <c r="J15457" s="1063"/>
      <c r="K15457" s="1063"/>
      <c r="L15457" s="1063"/>
    </row>
    <row r="15458" spans="5:12" x14ac:dyDescent="0.2">
      <c r="E15458" s="1063"/>
      <c r="H15458" s="1066"/>
      <c r="I15458" s="1063"/>
      <c r="J15458" s="1063"/>
      <c r="K15458" s="1063"/>
      <c r="L15458" s="1063"/>
    </row>
    <row r="15459" spans="5:12" x14ac:dyDescent="0.2">
      <c r="E15459" s="1063"/>
      <c r="H15459" s="1066"/>
      <c r="I15459" s="1063"/>
      <c r="J15459" s="1063"/>
      <c r="K15459" s="1063"/>
      <c r="L15459" s="1063"/>
    </row>
    <row r="15460" spans="5:12" x14ac:dyDescent="0.2">
      <c r="E15460" s="1063"/>
      <c r="H15460" s="1066"/>
      <c r="I15460" s="1063"/>
      <c r="J15460" s="1063"/>
      <c r="K15460" s="1063"/>
      <c r="L15460" s="1063"/>
    </row>
    <row r="15461" spans="5:12" x14ac:dyDescent="0.2">
      <c r="E15461" s="1063"/>
      <c r="H15461" s="1066"/>
      <c r="I15461" s="1063"/>
      <c r="J15461" s="1063"/>
      <c r="K15461" s="1063"/>
      <c r="L15461" s="1063"/>
    </row>
    <row r="15462" spans="5:12" x14ac:dyDescent="0.2">
      <c r="E15462" s="1063"/>
      <c r="H15462" s="1066"/>
      <c r="I15462" s="1063"/>
      <c r="J15462" s="1063"/>
      <c r="K15462" s="1063"/>
      <c r="L15462" s="1063"/>
    </row>
    <row r="15463" spans="5:12" x14ac:dyDescent="0.2">
      <c r="E15463" s="1063"/>
      <c r="H15463" s="1066"/>
      <c r="I15463" s="1063"/>
      <c r="J15463" s="1063"/>
      <c r="K15463" s="1063"/>
      <c r="L15463" s="1063"/>
    </row>
    <row r="15464" spans="5:12" x14ac:dyDescent="0.2">
      <c r="E15464" s="1063"/>
      <c r="H15464" s="1066"/>
      <c r="I15464" s="1063"/>
      <c r="J15464" s="1063"/>
      <c r="K15464" s="1063"/>
      <c r="L15464" s="1063"/>
    </row>
    <row r="15465" spans="5:12" x14ac:dyDescent="0.2">
      <c r="E15465" s="1063"/>
      <c r="H15465" s="1066"/>
      <c r="I15465" s="1063"/>
      <c r="J15465" s="1063"/>
      <c r="K15465" s="1063"/>
      <c r="L15465" s="1063"/>
    </row>
    <row r="15466" spans="5:12" x14ac:dyDescent="0.2">
      <c r="E15466" s="1063"/>
      <c r="H15466" s="1066"/>
      <c r="I15466" s="1063"/>
      <c r="J15466" s="1063"/>
      <c r="K15466" s="1063"/>
      <c r="L15466" s="1063"/>
    </row>
    <row r="15467" spans="5:12" x14ac:dyDescent="0.2">
      <c r="E15467" s="1063"/>
      <c r="H15467" s="1066"/>
      <c r="I15467" s="1063"/>
      <c r="J15467" s="1063"/>
      <c r="K15467" s="1063"/>
      <c r="L15467" s="1063"/>
    </row>
    <row r="15468" spans="5:12" x14ac:dyDescent="0.2">
      <c r="E15468" s="1063"/>
      <c r="H15468" s="1066"/>
      <c r="I15468" s="1063"/>
      <c r="J15468" s="1063"/>
      <c r="K15468" s="1063"/>
      <c r="L15468" s="1063"/>
    </row>
    <row r="15469" spans="5:12" x14ac:dyDescent="0.2">
      <c r="E15469" s="1063"/>
      <c r="H15469" s="1066"/>
      <c r="I15469" s="1063"/>
      <c r="J15469" s="1063"/>
      <c r="K15469" s="1063"/>
      <c r="L15469" s="1063"/>
    </row>
    <row r="15470" spans="5:12" x14ac:dyDescent="0.2">
      <c r="E15470" s="1063"/>
      <c r="H15470" s="1066"/>
      <c r="I15470" s="1063"/>
      <c r="J15470" s="1063"/>
      <c r="K15470" s="1063"/>
      <c r="L15470" s="1063"/>
    </row>
    <row r="15471" spans="5:12" x14ac:dyDescent="0.2">
      <c r="E15471" s="1063"/>
      <c r="H15471" s="1066"/>
      <c r="I15471" s="1063"/>
      <c r="J15471" s="1063"/>
      <c r="K15471" s="1063"/>
      <c r="L15471" s="1063"/>
    </row>
    <row r="15472" spans="5:12" x14ac:dyDescent="0.2">
      <c r="E15472" s="1063"/>
      <c r="H15472" s="1066"/>
      <c r="I15472" s="1063"/>
      <c r="J15472" s="1063"/>
      <c r="K15472" s="1063"/>
      <c r="L15472" s="1063"/>
    </row>
    <row r="15473" spans="5:12" x14ac:dyDescent="0.2">
      <c r="E15473" s="1063"/>
      <c r="H15473" s="1066"/>
      <c r="I15473" s="1063"/>
      <c r="J15473" s="1063"/>
      <c r="K15473" s="1063"/>
      <c r="L15473" s="1063"/>
    </row>
    <row r="15474" spans="5:12" x14ac:dyDescent="0.2">
      <c r="E15474" s="1063"/>
      <c r="H15474" s="1066"/>
      <c r="I15474" s="1063"/>
      <c r="J15474" s="1063"/>
      <c r="K15474" s="1063"/>
      <c r="L15474" s="1063"/>
    </row>
    <row r="15475" spans="5:12" x14ac:dyDescent="0.2">
      <c r="E15475" s="1063"/>
      <c r="H15475" s="1066"/>
      <c r="I15475" s="1063"/>
      <c r="J15475" s="1063"/>
      <c r="K15475" s="1063"/>
      <c r="L15475" s="1063"/>
    </row>
    <row r="15476" spans="5:12" x14ac:dyDescent="0.2">
      <c r="E15476" s="1063"/>
      <c r="H15476" s="1066"/>
      <c r="I15476" s="1063"/>
      <c r="J15476" s="1063"/>
      <c r="K15476" s="1063"/>
      <c r="L15476" s="1063"/>
    </row>
    <row r="15477" spans="5:12" x14ac:dyDescent="0.2">
      <c r="E15477" s="1063"/>
      <c r="H15477" s="1066"/>
      <c r="I15477" s="1063"/>
      <c r="J15477" s="1063"/>
      <c r="K15477" s="1063"/>
      <c r="L15477" s="1063"/>
    </row>
    <row r="15478" spans="5:12" x14ac:dyDescent="0.2">
      <c r="E15478" s="1063"/>
      <c r="H15478" s="1066"/>
      <c r="I15478" s="1063"/>
      <c r="J15478" s="1063"/>
      <c r="K15478" s="1063"/>
      <c r="L15478" s="1063"/>
    </row>
    <row r="15479" spans="5:12" x14ac:dyDescent="0.2">
      <c r="E15479" s="1063"/>
      <c r="H15479" s="1066"/>
      <c r="I15479" s="1063"/>
      <c r="J15479" s="1063"/>
      <c r="K15479" s="1063"/>
      <c r="L15479" s="1063"/>
    </row>
    <row r="15480" spans="5:12" x14ac:dyDescent="0.2">
      <c r="E15480" s="1063"/>
      <c r="H15480" s="1066"/>
      <c r="I15480" s="1063"/>
      <c r="J15480" s="1063"/>
      <c r="K15480" s="1063"/>
      <c r="L15480" s="1063"/>
    </row>
    <row r="15481" spans="5:12" x14ac:dyDescent="0.2">
      <c r="E15481" s="1063"/>
      <c r="H15481" s="1066"/>
      <c r="I15481" s="1063"/>
      <c r="J15481" s="1063"/>
      <c r="K15481" s="1063"/>
      <c r="L15481" s="1063"/>
    </row>
    <row r="15482" spans="5:12" x14ac:dyDescent="0.2">
      <c r="E15482" s="1063"/>
      <c r="H15482" s="1066"/>
      <c r="I15482" s="1063"/>
      <c r="J15482" s="1063"/>
      <c r="K15482" s="1063"/>
      <c r="L15482" s="1063"/>
    </row>
    <row r="15483" spans="5:12" x14ac:dyDescent="0.2">
      <c r="E15483" s="1063"/>
      <c r="H15483" s="1066"/>
      <c r="I15483" s="1063"/>
      <c r="J15483" s="1063"/>
      <c r="K15483" s="1063"/>
      <c r="L15483" s="1063"/>
    </row>
    <row r="15484" spans="5:12" x14ac:dyDescent="0.2">
      <c r="E15484" s="1063"/>
      <c r="H15484" s="1066"/>
      <c r="I15484" s="1063"/>
      <c r="J15484" s="1063"/>
      <c r="K15484" s="1063"/>
      <c r="L15484" s="1063"/>
    </row>
    <row r="15485" spans="5:12" x14ac:dyDescent="0.2">
      <c r="E15485" s="1063"/>
      <c r="H15485" s="1066"/>
      <c r="I15485" s="1063"/>
      <c r="J15485" s="1063"/>
      <c r="K15485" s="1063"/>
      <c r="L15485" s="1063"/>
    </row>
    <row r="15486" spans="5:12" x14ac:dyDescent="0.2">
      <c r="E15486" s="1063"/>
      <c r="H15486" s="1066"/>
      <c r="I15486" s="1063"/>
      <c r="J15486" s="1063"/>
      <c r="K15486" s="1063"/>
      <c r="L15486" s="1063"/>
    </row>
    <row r="15487" spans="5:12" x14ac:dyDescent="0.2">
      <c r="E15487" s="1063"/>
      <c r="H15487" s="1066"/>
      <c r="I15487" s="1063"/>
      <c r="J15487" s="1063"/>
      <c r="K15487" s="1063"/>
      <c r="L15487" s="1063"/>
    </row>
    <row r="15488" spans="5:12" x14ac:dyDescent="0.2">
      <c r="E15488" s="1063"/>
      <c r="H15488" s="1066"/>
      <c r="I15488" s="1063"/>
      <c r="J15488" s="1063"/>
      <c r="K15488" s="1063"/>
      <c r="L15488" s="1063"/>
    </row>
    <row r="15489" spans="5:12" x14ac:dyDescent="0.2">
      <c r="E15489" s="1063"/>
      <c r="H15489" s="1066"/>
      <c r="I15489" s="1063"/>
      <c r="J15489" s="1063"/>
      <c r="K15489" s="1063"/>
      <c r="L15489" s="1063"/>
    </row>
    <row r="15490" spans="5:12" x14ac:dyDescent="0.2">
      <c r="E15490" s="1063"/>
      <c r="H15490" s="1066"/>
      <c r="I15490" s="1063"/>
      <c r="J15490" s="1063"/>
      <c r="K15490" s="1063"/>
      <c r="L15490" s="1063"/>
    </row>
    <row r="15491" spans="5:12" x14ac:dyDescent="0.2">
      <c r="E15491" s="1063"/>
      <c r="H15491" s="1066"/>
      <c r="I15491" s="1063"/>
      <c r="J15491" s="1063"/>
      <c r="K15491" s="1063"/>
      <c r="L15491" s="1063"/>
    </row>
    <row r="15492" spans="5:12" x14ac:dyDescent="0.2">
      <c r="E15492" s="1063"/>
      <c r="H15492" s="1066"/>
      <c r="I15492" s="1063"/>
      <c r="J15492" s="1063"/>
      <c r="K15492" s="1063"/>
      <c r="L15492" s="1063"/>
    </row>
    <row r="15493" spans="5:12" x14ac:dyDescent="0.2">
      <c r="E15493" s="1063"/>
      <c r="H15493" s="1066"/>
      <c r="I15493" s="1063"/>
      <c r="J15493" s="1063"/>
      <c r="K15493" s="1063"/>
      <c r="L15493" s="1063"/>
    </row>
    <row r="15494" spans="5:12" x14ac:dyDescent="0.2">
      <c r="E15494" s="1063"/>
      <c r="H15494" s="1066"/>
      <c r="I15494" s="1063"/>
      <c r="J15494" s="1063"/>
      <c r="K15494" s="1063"/>
      <c r="L15494" s="1063"/>
    </row>
    <row r="15495" spans="5:12" x14ac:dyDescent="0.2">
      <c r="E15495" s="1063"/>
      <c r="H15495" s="1066"/>
      <c r="I15495" s="1063"/>
      <c r="J15495" s="1063"/>
      <c r="K15495" s="1063"/>
      <c r="L15495" s="1063"/>
    </row>
    <row r="15496" spans="5:12" x14ac:dyDescent="0.2">
      <c r="E15496" s="1063"/>
      <c r="H15496" s="1066"/>
      <c r="I15496" s="1063"/>
      <c r="J15496" s="1063"/>
      <c r="K15496" s="1063"/>
      <c r="L15496" s="1063"/>
    </row>
    <row r="15497" spans="5:12" x14ac:dyDescent="0.2">
      <c r="E15497" s="1063"/>
      <c r="H15497" s="1066"/>
      <c r="I15497" s="1063"/>
      <c r="J15497" s="1063"/>
      <c r="K15497" s="1063"/>
      <c r="L15497" s="1063"/>
    </row>
    <row r="15498" spans="5:12" x14ac:dyDescent="0.2">
      <c r="E15498" s="1063"/>
      <c r="H15498" s="1066"/>
      <c r="I15498" s="1063"/>
      <c r="J15498" s="1063"/>
      <c r="K15498" s="1063"/>
      <c r="L15498" s="1063"/>
    </row>
    <row r="15499" spans="5:12" x14ac:dyDescent="0.2">
      <c r="E15499" s="1063"/>
      <c r="H15499" s="1066"/>
      <c r="I15499" s="1063"/>
      <c r="J15499" s="1063"/>
      <c r="K15499" s="1063"/>
      <c r="L15499" s="1063"/>
    </row>
    <row r="15500" spans="5:12" x14ac:dyDescent="0.2">
      <c r="E15500" s="1063"/>
      <c r="H15500" s="1066"/>
      <c r="I15500" s="1063"/>
      <c r="J15500" s="1063"/>
      <c r="K15500" s="1063"/>
      <c r="L15500" s="1063"/>
    </row>
    <row r="15501" spans="5:12" x14ac:dyDescent="0.2">
      <c r="E15501" s="1063"/>
      <c r="H15501" s="1066"/>
      <c r="I15501" s="1063"/>
      <c r="J15501" s="1063"/>
      <c r="K15501" s="1063"/>
      <c r="L15501" s="1063"/>
    </row>
    <row r="15502" spans="5:12" x14ac:dyDescent="0.2">
      <c r="E15502" s="1063"/>
      <c r="H15502" s="1066"/>
      <c r="I15502" s="1063"/>
      <c r="J15502" s="1063"/>
      <c r="K15502" s="1063"/>
      <c r="L15502" s="1063"/>
    </row>
    <row r="15503" spans="5:12" x14ac:dyDescent="0.2">
      <c r="E15503" s="1063"/>
      <c r="H15503" s="1066"/>
      <c r="I15503" s="1063"/>
      <c r="J15503" s="1063"/>
      <c r="K15503" s="1063"/>
      <c r="L15503" s="1063"/>
    </row>
    <row r="15504" spans="5:12" x14ac:dyDescent="0.2">
      <c r="E15504" s="1063"/>
      <c r="H15504" s="1066"/>
      <c r="I15504" s="1063"/>
      <c r="J15504" s="1063"/>
      <c r="K15504" s="1063"/>
      <c r="L15504" s="1063"/>
    </row>
    <row r="15505" spans="5:12" x14ac:dyDescent="0.2">
      <c r="E15505" s="1063"/>
      <c r="H15505" s="1066"/>
      <c r="I15505" s="1063"/>
      <c r="J15505" s="1063"/>
      <c r="K15505" s="1063"/>
      <c r="L15505" s="1063"/>
    </row>
    <row r="15506" spans="5:12" x14ac:dyDescent="0.2">
      <c r="E15506" s="1063"/>
      <c r="H15506" s="1066"/>
      <c r="I15506" s="1063"/>
      <c r="J15506" s="1063"/>
      <c r="K15506" s="1063"/>
      <c r="L15506" s="1063"/>
    </row>
    <row r="15507" spans="5:12" x14ac:dyDescent="0.2">
      <c r="E15507" s="1063"/>
      <c r="H15507" s="1066"/>
      <c r="I15507" s="1063"/>
      <c r="J15507" s="1063"/>
      <c r="K15507" s="1063"/>
      <c r="L15507" s="1063"/>
    </row>
    <row r="15508" spans="5:12" x14ac:dyDescent="0.2">
      <c r="E15508" s="1063"/>
      <c r="H15508" s="1066"/>
      <c r="I15508" s="1063"/>
      <c r="J15508" s="1063"/>
      <c r="K15508" s="1063"/>
      <c r="L15508" s="1063"/>
    </row>
    <row r="15509" spans="5:12" x14ac:dyDescent="0.2">
      <c r="E15509" s="1063"/>
      <c r="H15509" s="1066"/>
      <c r="I15509" s="1063"/>
      <c r="J15509" s="1063"/>
      <c r="K15509" s="1063"/>
      <c r="L15509" s="1063"/>
    </row>
    <row r="15510" spans="5:12" x14ac:dyDescent="0.2">
      <c r="E15510" s="1063"/>
      <c r="H15510" s="1066"/>
      <c r="I15510" s="1063"/>
      <c r="J15510" s="1063"/>
      <c r="K15510" s="1063"/>
      <c r="L15510" s="1063"/>
    </row>
    <row r="15511" spans="5:12" x14ac:dyDescent="0.2">
      <c r="E15511" s="1063"/>
      <c r="H15511" s="1066"/>
      <c r="I15511" s="1063"/>
      <c r="J15511" s="1063"/>
      <c r="K15511" s="1063"/>
      <c r="L15511" s="1063"/>
    </row>
    <row r="15512" spans="5:12" x14ac:dyDescent="0.2">
      <c r="E15512" s="1063"/>
      <c r="H15512" s="1066"/>
      <c r="I15512" s="1063"/>
      <c r="J15512" s="1063"/>
      <c r="K15512" s="1063"/>
      <c r="L15512" s="1063"/>
    </row>
    <row r="15513" spans="5:12" x14ac:dyDescent="0.2">
      <c r="E15513" s="1063"/>
      <c r="H15513" s="1066"/>
      <c r="I15513" s="1063"/>
      <c r="J15513" s="1063"/>
      <c r="K15513" s="1063"/>
      <c r="L15513" s="1063"/>
    </row>
    <row r="15514" spans="5:12" x14ac:dyDescent="0.2">
      <c r="E15514" s="1063"/>
      <c r="H15514" s="1066"/>
      <c r="I15514" s="1063"/>
      <c r="J15514" s="1063"/>
      <c r="K15514" s="1063"/>
      <c r="L15514" s="1063"/>
    </row>
    <row r="15515" spans="5:12" x14ac:dyDescent="0.2">
      <c r="E15515" s="1063"/>
      <c r="H15515" s="1066"/>
      <c r="I15515" s="1063"/>
      <c r="J15515" s="1063"/>
      <c r="K15515" s="1063"/>
      <c r="L15515" s="1063"/>
    </row>
    <row r="15516" spans="5:12" x14ac:dyDescent="0.2">
      <c r="E15516" s="1063"/>
      <c r="H15516" s="1066"/>
      <c r="I15516" s="1063"/>
      <c r="J15516" s="1063"/>
      <c r="K15516" s="1063"/>
      <c r="L15516" s="1063"/>
    </row>
    <row r="15517" spans="5:12" x14ac:dyDescent="0.2">
      <c r="E15517" s="1063"/>
      <c r="H15517" s="1066"/>
      <c r="I15517" s="1063"/>
      <c r="J15517" s="1063"/>
      <c r="K15517" s="1063"/>
      <c r="L15517" s="1063"/>
    </row>
    <row r="15518" spans="5:12" x14ac:dyDescent="0.2">
      <c r="E15518" s="1063"/>
      <c r="H15518" s="1066"/>
      <c r="I15518" s="1063"/>
      <c r="J15518" s="1063"/>
      <c r="K15518" s="1063"/>
      <c r="L15518" s="1063"/>
    </row>
    <row r="15519" spans="5:12" x14ac:dyDescent="0.2">
      <c r="E15519" s="1063"/>
      <c r="H15519" s="1066"/>
      <c r="I15519" s="1063"/>
      <c r="J15519" s="1063"/>
      <c r="K15519" s="1063"/>
      <c r="L15519" s="1063"/>
    </row>
    <row r="15520" spans="5:12" x14ac:dyDescent="0.2">
      <c r="E15520" s="1063"/>
      <c r="H15520" s="1066"/>
      <c r="I15520" s="1063"/>
      <c r="J15520" s="1063"/>
      <c r="K15520" s="1063"/>
      <c r="L15520" s="1063"/>
    </row>
    <row r="15521" spans="5:12" x14ac:dyDescent="0.2">
      <c r="E15521" s="1063"/>
      <c r="H15521" s="1066"/>
      <c r="I15521" s="1063"/>
      <c r="J15521" s="1063"/>
      <c r="K15521" s="1063"/>
      <c r="L15521" s="1063"/>
    </row>
    <row r="15522" spans="5:12" x14ac:dyDescent="0.2">
      <c r="E15522" s="1063"/>
      <c r="H15522" s="1066"/>
      <c r="I15522" s="1063"/>
      <c r="J15522" s="1063"/>
      <c r="K15522" s="1063"/>
      <c r="L15522" s="1063"/>
    </row>
    <row r="15523" spans="5:12" x14ac:dyDescent="0.2">
      <c r="E15523" s="1063"/>
      <c r="H15523" s="1066"/>
      <c r="I15523" s="1063"/>
      <c r="J15523" s="1063"/>
      <c r="K15523" s="1063"/>
      <c r="L15523" s="1063"/>
    </row>
    <row r="15524" spans="5:12" x14ac:dyDescent="0.2">
      <c r="E15524" s="1063"/>
      <c r="H15524" s="1066"/>
      <c r="I15524" s="1063"/>
      <c r="J15524" s="1063"/>
      <c r="K15524" s="1063"/>
      <c r="L15524" s="1063"/>
    </row>
    <row r="15525" spans="5:12" x14ac:dyDescent="0.2">
      <c r="E15525" s="1063"/>
      <c r="H15525" s="1066"/>
      <c r="I15525" s="1063"/>
      <c r="J15525" s="1063"/>
      <c r="K15525" s="1063"/>
      <c r="L15525" s="1063"/>
    </row>
    <row r="15526" spans="5:12" x14ac:dyDescent="0.2">
      <c r="E15526" s="1063"/>
      <c r="H15526" s="1066"/>
      <c r="I15526" s="1063"/>
      <c r="J15526" s="1063"/>
      <c r="K15526" s="1063"/>
      <c r="L15526" s="1063"/>
    </row>
    <row r="15527" spans="5:12" x14ac:dyDescent="0.2">
      <c r="E15527" s="1063"/>
      <c r="H15527" s="1066"/>
      <c r="I15527" s="1063"/>
      <c r="J15527" s="1063"/>
      <c r="K15527" s="1063"/>
      <c r="L15527" s="1063"/>
    </row>
    <row r="15528" spans="5:12" x14ac:dyDescent="0.2">
      <c r="E15528" s="1063"/>
      <c r="H15528" s="1066"/>
      <c r="I15528" s="1063"/>
      <c r="J15528" s="1063"/>
      <c r="K15528" s="1063"/>
      <c r="L15528" s="1063"/>
    </row>
    <row r="15529" spans="5:12" x14ac:dyDescent="0.2">
      <c r="E15529" s="1063"/>
      <c r="H15529" s="1066"/>
      <c r="I15529" s="1063"/>
      <c r="J15529" s="1063"/>
      <c r="K15529" s="1063"/>
      <c r="L15529" s="1063"/>
    </row>
    <row r="15530" spans="5:12" x14ac:dyDescent="0.2">
      <c r="E15530" s="1063"/>
      <c r="H15530" s="1066"/>
      <c r="I15530" s="1063"/>
      <c r="J15530" s="1063"/>
      <c r="K15530" s="1063"/>
      <c r="L15530" s="1063"/>
    </row>
    <row r="15531" spans="5:12" x14ac:dyDescent="0.2">
      <c r="E15531" s="1063"/>
      <c r="H15531" s="1066"/>
      <c r="I15531" s="1063"/>
      <c r="J15531" s="1063"/>
      <c r="K15531" s="1063"/>
      <c r="L15531" s="1063"/>
    </row>
    <row r="15532" spans="5:12" x14ac:dyDescent="0.2">
      <c r="E15532" s="1063"/>
      <c r="H15532" s="1066"/>
      <c r="I15532" s="1063"/>
      <c r="J15532" s="1063"/>
      <c r="K15532" s="1063"/>
      <c r="L15532" s="1063"/>
    </row>
    <row r="15533" spans="5:12" x14ac:dyDescent="0.2">
      <c r="E15533" s="1063"/>
      <c r="H15533" s="1066"/>
      <c r="I15533" s="1063"/>
      <c r="J15533" s="1063"/>
      <c r="K15533" s="1063"/>
      <c r="L15533" s="1063"/>
    </row>
    <row r="15534" spans="5:12" x14ac:dyDescent="0.2">
      <c r="E15534" s="1063"/>
      <c r="H15534" s="1066"/>
      <c r="I15534" s="1063"/>
      <c r="J15534" s="1063"/>
      <c r="K15534" s="1063"/>
      <c r="L15534" s="1063"/>
    </row>
    <row r="15535" spans="5:12" x14ac:dyDescent="0.2">
      <c r="E15535" s="1063"/>
      <c r="H15535" s="1066"/>
      <c r="I15535" s="1063"/>
      <c r="J15535" s="1063"/>
      <c r="K15535" s="1063"/>
      <c r="L15535" s="1063"/>
    </row>
    <row r="15536" spans="5:12" x14ac:dyDescent="0.2">
      <c r="E15536" s="1063"/>
      <c r="H15536" s="1066"/>
      <c r="I15536" s="1063"/>
      <c r="J15536" s="1063"/>
      <c r="K15536" s="1063"/>
      <c r="L15536" s="1063"/>
    </row>
    <row r="15537" spans="5:12" x14ac:dyDescent="0.2">
      <c r="E15537" s="1063"/>
      <c r="H15537" s="1066"/>
      <c r="I15537" s="1063"/>
      <c r="J15537" s="1063"/>
      <c r="K15537" s="1063"/>
      <c r="L15537" s="1063"/>
    </row>
    <row r="15538" spans="5:12" x14ac:dyDescent="0.2">
      <c r="E15538" s="1063"/>
      <c r="H15538" s="1066"/>
      <c r="I15538" s="1063"/>
      <c r="J15538" s="1063"/>
      <c r="K15538" s="1063"/>
      <c r="L15538" s="1063"/>
    </row>
    <row r="15539" spans="5:12" x14ac:dyDescent="0.2">
      <c r="E15539" s="1063"/>
      <c r="H15539" s="1066"/>
      <c r="I15539" s="1063"/>
      <c r="J15539" s="1063"/>
      <c r="K15539" s="1063"/>
      <c r="L15539" s="1063"/>
    </row>
    <row r="15540" spans="5:12" x14ac:dyDescent="0.2">
      <c r="E15540" s="1063"/>
      <c r="H15540" s="1066"/>
      <c r="I15540" s="1063"/>
      <c r="J15540" s="1063"/>
      <c r="K15540" s="1063"/>
      <c r="L15540" s="1063"/>
    </row>
    <row r="15541" spans="5:12" x14ac:dyDescent="0.2">
      <c r="E15541" s="1063"/>
      <c r="H15541" s="1066"/>
      <c r="I15541" s="1063"/>
      <c r="J15541" s="1063"/>
      <c r="K15541" s="1063"/>
      <c r="L15541" s="1063"/>
    </row>
    <row r="15542" spans="5:12" x14ac:dyDescent="0.2">
      <c r="E15542" s="1063"/>
      <c r="H15542" s="1066"/>
      <c r="I15542" s="1063"/>
      <c r="J15542" s="1063"/>
      <c r="K15542" s="1063"/>
      <c r="L15542" s="1063"/>
    </row>
    <row r="15543" spans="5:12" x14ac:dyDescent="0.2">
      <c r="E15543" s="1063"/>
      <c r="H15543" s="1066"/>
      <c r="I15543" s="1063"/>
      <c r="J15543" s="1063"/>
      <c r="K15543" s="1063"/>
      <c r="L15543" s="1063"/>
    </row>
    <row r="15544" spans="5:12" x14ac:dyDescent="0.2">
      <c r="E15544" s="1063"/>
      <c r="H15544" s="1066"/>
      <c r="I15544" s="1063"/>
      <c r="J15544" s="1063"/>
      <c r="K15544" s="1063"/>
      <c r="L15544" s="1063"/>
    </row>
    <row r="15545" spans="5:12" x14ac:dyDescent="0.2">
      <c r="E15545" s="1063"/>
      <c r="H15545" s="1066"/>
      <c r="I15545" s="1063"/>
      <c r="J15545" s="1063"/>
      <c r="K15545" s="1063"/>
      <c r="L15545" s="1063"/>
    </row>
    <row r="15546" spans="5:12" x14ac:dyDescent="0.2">
      <c r="E15546" s="1063"/>
      <c r="H15546" s="1066"/>
      <c r="I15546" s="1063"/>
      <c r="J15546" s="1063"/>
      <c r="K15546" s="1063"/>
      <c r="L15546" s="1063"/>
    </row>
    <row r="15547" spans="5:12" x14ac:dyDescent="0.2">
      <c r="E15547" s="1063"/>
      <c r="H15547" s="1066"/>
      <c r="I15547" s="1063"/>
      <c r="J15547" s="1063"/>
      <c r="K15547" s="1063"/>
      <c r="L15547" s="1063"/>
    </row>
    <row r="15548" spans="5:12" x14ac:dyDescent="0.2">
      <c r="E15548" s="1063"/>
      <c r="H15548" s="1066"/>
      <c r="I15548" s="1063"/>
      <c r="J15548" s="1063"/>
      <c r="K15548" s="1063"/>
      <c r="L15548" s="1063"/>
    </row>
    <row r="15549" spans="5:12" x14ac:dyDescent="0.2">
      <c r="E15549" s="1063"/>
      <c r="H15549" s="1066"/>
      <c r="I15549" s="1063"/>
      <c r="J15549" s="1063"/>
      <c r="K15549" s="1063"/>
      <c r="L15549" s="1063"/>
    </row>
    <row r="15550" spans="5:12" x14ac:dyDescent="0.2">
      <c r="E15550" s="1063"/>
      <c r="H15550" s="1066"/>
      <c r="I15550" s="1063"/>
      <c r="J15550" s="1063"/>
      <c r="K15550" s="1063"/>
      <c r="L15550" s="1063"/>
    </row>
    <row r="15551" spans="5:12" x14ac:dyDescent="0.2">
      <c r="E15551" s="1063"/>
      <c r="H15551" s="1066"/>
      <c r="I15551" s="1063"/>
      <c r="J15551" s="1063"/>
      <c r="K15551" s="1063"/>
      <c r="L15551" s="1063"/>
    </row>
    <row r="15552" spans="5:12" x14ac:dyDescent="0.2">
      <c r="E15552" s="1063"/>
      <c r="H15552" s="1066"/>
      <c r="I15552" s="1063"/>
      <c r="J15552" s="1063"/>
      <c r="K15552" s="1063"/>
      <c r="L15552" s="1063"/>
    </row>
    <row r="15553" spans="5:12" x14ac:dyDescent="0.2">
      <c r="E15553" s="1063"/>
      <c r="H15553" s="1066"/>
      <c r="I15553" s="1063"/>
      <c r="J15553" s="1063"/>
      <c r="K15553" s="1063"/>
      <c r="L15553" s="1063"/>
    </row>
    <row r="15554" spans="5:12" x14ac:dyDescent="0.2">
      <c r="E15554" s="1063"/>
      <c r="H15554" s="1066"/>
      <c r="I15554" s="1063"/>
      <c r="J15554" s="1063"/>
      <c r="K15554" s="1063"/>
      <c r="L15554" s="1063"/>
    </row>
    <row r="15555" spans="5:12" x14ac:dyDescent="0.2">
      <c r="E15555" s="1063"/>
      <c r="H15555" s="1066"/>
      <c r="I15555" s="1063"/>
      <c r="J15555" s="1063"/>
      <c r="K15555" s="1063"/>
      <c r="L15555" s="1063"/>
    </row>
    <row r="15556" spans="5:12" x14ac:dyDescent="0.2">
      <c r="E15556" s="1063"/>
      <c r="H15556" s="1066"/>
      <c r="I15556" s="1063"/>
      <c r="J15556" s="1063"/>
      <c r="K15556" s="1063"/>
      <c r="L15556" s="1063"/>
    </row>
    <row r="15557" spans="5:12" x14ac:dyDescent="0.2">
      <c r="E15557" s="1063"/>
      <c r="H15557" s="1066"/>
      <c r="I15557" s="1063"/>
      <c r="J15557" s="1063"/>
      <c r="K15557" s="1063"/>
      <c r="L15557" s="1063"/>
    </row>
    <row r="15558" spans="5:12" x14ac:dyDescent="0.2">
      <c r="E15558" s="1063"/>
      <c r="H15558" s="1066"/>
      <c r="I15558" s="1063"/>
      <c r="J15558" s="1063"/>
      <c r="K15558" s="1063"/>
      <c r="L15558" s="1063"/>
    </row>
    <row r="15559" spans="5:12" x14ac:dyDescent="0.2">
      <c r="E15559" s="1063"/>
      <c r="H15559" s="1066"/>
      <c r="I15559" s="1063"/>
      <c r="J15559" s="1063"/>
      <c r="K15559" s="1063"/>
      <c r="L15559" s="1063"/>
    </row>
    <row r="15560" spans="5:12" x14ac:dyDescent="0.2">
      <c r="E15560" s="1063"/>
      <c r="H15560" s="1066"/>
      <c r="I15560" s="1063"/>
      <c r="J15560" s="1063"/>
      <c r="K15560" s="1063"/>
      <c r="L15560" s="1063"/>
    </row>
    <row r="15561" spans="5:12" x14ac:dyDescent="0.2">
      <c r="E15561" s="1063"/>
      <c r="H15561" s="1066"/>
      <c r="I15561" s="1063"/>
      <c r="J15561" s="1063"/>
      <c r="K15561" s="1063"/>
      <c r="L15561" s="1063"/>
    </row>
    <row r="15562" spans="5:12" x14ac:dyDescent="0.2">
      <c r="E15562" s="1063"/>
      <c r="H15562" s="1066"/>
      <c r="I15562" s="1063"/>
      <c r="J15562" s="1063"/>
      <c r="K15562" s="1063"/>
      <c r="L15562" s="1063"/>
    </row>
    <row r="15563" spans="5:12" x14ac:dyDescent="0.2">
      <c r="E15563" s="1063"/>
      <c r="H15563" s="1066"/>
      <c r="I15563" s="1063"/>
      <c r="J15563" s="1063"/>
      <c r="K15563" s="1063"/>
      <c r="L15563" s="1063"/>
    </row>
    <row r="15564" spans="5:12" x14ac:dyDescent="0.2">
      <c r="E15564" s="1063"/>
      <c r="H15564" s="1066"/>
      <c r="I15564" s="1063"/>
      <c r="J15564" s="1063"/>
      <c r="K15564" s="1063"/>
      <c r="L15564" s="1063"/>
    </row>
    <row r="15565" spans="5:12" x14ac:dyDescent="0.2">
      <c r="E15565" s="1063"/>
      <c r="H15565" s="1066"/>
      <c r="I15565" s="1063"/>
      <c r="J15565" s="1063"/>
      <c r="K15565" s="1063"/>
      <c r="L15565" s="1063"/>
    </row>
    <row r="15566" spans="5:12" x14ac:dyDescent="0.2">
      <c r="E15566" s="1063"/>
      <c r="H15566" s="1066"/>
      <c r="I15566" s="1063"/>
      <c r="J15566" s="1063"/>
      <c r="K15566" s="1063"/>
      <c r="L15566" s="1063"/>
    </row>
    <row r="15567" spans="5:12" x14ac:dyDescent="0.2">
      <c r="E15567" s="1063"/>
      <c r="H15567" s="1066"/>
      <c r="I15567" s="1063"/>
      <c r="J15567" s="1063"/>
      <c r="K15567" s="1063"/>
      <c r="L15567" s="1063"/>
    </row>
    <row r="15568" spans="5:12" x14ac:dyDescent="0.2">
      <c r="E15568" s="1063"/>
      <c r="H15568" s="1066"/>
      <c r="I15568" s="1063"/>
      <c r="J15568" s="1063"/>
      <c r="K15568" s="1063"/>
      <c r="L15568" s="1063"/>
    </row>
    <row r="15569" spans="5:12" x14ac:dyDescent="0.2">
      <c r="E15569" s="1063"/>
      <c r="H15569" s="1066"/>
      <c r="I15569" s="1063"/>
      <c r="J15569" s="1063"/>
      <c r="K15569" s="1063"/>
      <c r="L15569" s="1063"/>
    </row>
    <row r="15570" spans="5:12" x14ac:dyDescent="0.2">
      <c r="E15570" s="1063"/>
      <c r="H15570" s="1066"/>
      <c r="I15570" s="1063"/>
      <c r="J15570" s="1063"/>
      <c r="K15570" s="1063"/>
      <c r="L15570" s="1063"/>
    </row>
    <row r="15571" spans="5:12" x14ac:dyDescent="0.2">
      <c r="E15571" s="1063"/>
      <c r="H15571" s="1066"/>
      <c r="I15571" s="1063"/>
      <c r="J15571" s="1063"/>
      <c r="K15571" s="1063"/>
      <c r="L15571" s="1063"/>
    </row>
    <row r="15572" spans="5:12" x14ac:dyDescent="0.2">
      <c r="E15572" s="1063"/>
      <c r="H15572" s="1066"/>
      <c r="I15572" s="1063"/>
      <c r="J15572" s="1063"/>
      <c r="K15572" s="1063"/>
      <c r="L15572" s="1063"/>
    </row>
    <row r="15573" spans="5:12" x14ac:dyDescent="0.2">
      <c r="E15573" s="1063"/>
      <c r="H15573" s="1066"/>
      <c r="I15573" s="1063"/>
      <c r="J15573" s="1063"/>
      <c r="K15573" s="1063"/>
      <c r="L15573" s="1063"/>
    </row>
    <row r="15574" spans="5:12" x14ac:dyDescent="0.2">
      <c r="E15574" s="1063"/>
      <c r="H15574" s="1066"/>
      <c r="I15574" s="1063"/>
      <c r="J15574" s="1063"/>
      <c r="K15574" s="1063"/>
      <c r="L15574" s="1063"/>
    </row>
    <row r="15575" spans="5:12" x14ac:dyDescent="0.2">
      <c r="E15575" s="1063"/>
      <c r="H15575" s="1066"/>
      <c r="I15575" s="1063"/>
      <c r="J15575" s="1063"/>
      <c r="K15575" s="1063"/>
      <c r="L15575" s="1063"/>
    </row>
    <row r="15576" spans="5:12" x14ac:dyDescent="0.2">
      <c r="E15576" s="1063"/>
      <c r="H15576" s="1066"/>
      <c r="I15576" s="1063"/>
      <c r="J15576" s="1063"/>
      <c r="K15576" s="1063"/>
      <c r="L15576" s="1063"/>
    </row>
    <row r="15577" spans="5:12" x14ac:dyDescent="0.2">
      <c r="E15577" s="1063"/>
      <c r="H15577" s="1066"/>
      <c r="I15577" s="1063"/>
      <c r="J15577" s="1063"/>
      <c r="K15577" s="1063"/>
      <c r="L15577" s="1063"/>
    </row>
    <row r="15578" spans="5:12" x14ac:dyDescent="0.2">
      <c r="E15578" s="1063"/>
      <c r="H15578" s="1066"/>
      <c r="I15578" s="1063"/>
      <c r="J15578" s="1063"/>
      <c r="K15578" s="1063"/>
      <c r="L15578" s="1063"/>
    </row>
    <row r="15579" spans="5:12" x14ac:dyDescent="0.2">
      <c r="E15579" s="1063"/>
      <c r="H15579" s="1066"/>
      <c r="I15579" s="1063"/>
      <c r="J15579" s="1063"/>
      <c r="K15579" s="1063"/>
      <c r="L15579" s="1063"/>
    </row>
    <row r="15580" spans="5:12" x14ac:dyDescent="0.2">
      <c r="E15580" s="1063"/>
      <c r="H15580" s="1066"/>
      <c r="I15580" s="1063"/>
      <c r="J15580" s="1063"/>
      <c r="K15580" s="1063"/>
      <c r="L15580" s="1063"/>
    </row>
    <row r="15581" spans="5:12" x14ac:dyDescent="0.2">
      <c r="E15581" s="1063"/>
      <c r="H15581" s="1066"/>
      <c r="I15581" s="1063"/>
      <c r="J15581" s="1063"/>
      <c r="K15581" s="1063"/>
      <c r="L15581" s="1063"/>
    </row>
    <row r="15582" spans="5:12" x14ac:dyDescent="0.2">
      <c r="E15582" s="1063"/>
      <c r="H15582" s="1066"/>
      <c r="I15582" s="1063"/>
      <c r="J15582" s="1063"/>
      <c r="K15582" s="1063"/>
      <c r="L15582" s="1063"/>
    </row>
    <row r="15583" spans="5:12" x14ac:dyDescent="0.2">
      <c r="E15583" s="1063"/>
      <c r="H15583" s="1066"/>
      <c r="I15583" s="1063"/>
      <c r="J15583" s="1063"/>
      <c r="K15583" s="1063"/>
      <c r="L15583" s="1063"/>
    </row>
    <row r="15584" spans="5:12" x14ac:dyDescent="0.2">
      <c r="E15584" s="1063"/>
      <c r="H15584" s="1066"/>
      <c r="I15584" s="1063"/>
      <c r="J15584" s="1063"/>
      <c r="K15584" s="1063"/>
      <c r="L15584" s="1063"/>
    </row>
    <row r="15585" spans="5:12" x14ac:dyDescent="0.2">
      <c r="E15585" s="1063"/>
      <c r="H15585" s="1066"/>
      <c r="I15585" s="1063"/>
      <c r="J15585" s="1063"/>
      <c r="K15585" s="1063"/>
      <c r="L15585" s="1063"/>
    </row>
    <row r="15586" spans="5:12" x14ac:dyDescent="0.2">
      <c r="E15586" s="1063"/>
      <c r="H15586" s="1066"/>
      <c r="I15586" s="1063"/>
      <c r="J15586" s="1063"/>
      <c r="K15586" s="1063"/>
      <c r="L15586" s="1063"/>
    </row>
    <row r="15587" spans="5:12" x14ac:dyDescent="0.2">
      <c r="E15587" s="1063"/>
      <c r="H15587" s="1066"/>
      <c r="I15587" s="1063"/>
      <c r="J15587" s="1063"/>
      <c r="K15587" s="1063"/>
      <c r="L15587" s="1063"/>
    </row>
    <row r="15588" spans="5:12" x14ac:dyDescent="0.2">
      <c r="E15588" s="1063"/>
      <c r="H15588" s="1066"/>
      <c r="I15588" s="1063"/>
      <c r="J15588" s="1063"/>
      <c r="K15588" s="1063"/>
      <c r="L15588" s="1063"/>
    </row>
    <row r="15589" spans="5:12" x14ac:dyDescent="0.2">
      <c r="E15589" s="1063"/>
      <c r="H15589" s="1066"/>
      <c r="I15589" s="1063"/>
      <c r="J15589" s="1063"/>
      <c r="K15589" s="1063"/>
      <c r="L15589" s="1063"/>
    </row>
    <row r="15590" spans="5:12" x14ac:dyDescent="0.2">
      <c r="E15590" s="1063"/>
      <c r="H15590" s="1066"/>
      <c r="I15590" s="1063"/>
      <c r="J15590" s="1063"/>
      <c r="K15590" s="1063"/>
      <c r="L15590" s="1063"/>
    </row>
    <row r="15591" spans="5:12" x14ac:dyDescent="0.2">
      <c r="E15591" s="1063"/>
      <c r="H15591" s="1066"/>
      <c r="I15591" s="1063"/>
      <c r="J15591" s="1063"/>
      <c r="K15591" s="1063"/>
      <c r="L15591" s="1063"/>
    </row>
    <row r="15592" spans="5:12" x14ac:dyDescent="0.2">
      <c r="E15592" s="1063"/>
      <c r="H15592" s="1066"/>
      <c r="I15592" s="1063"/>
      <c r="J15592" s="1063"/>
      <c r="K15592" s="1063"/>
      <c r="L15592" s="1063"/>
    </row>
    <row r="15593" spans="5:12" x14ac:dyDescent="0.2">
      <c r="E15593" s="1063"/>
      <c r="H15593" s="1066"/>
      <c r="I15593" s="1063"/>
      <c r="J15593" s="1063"/>
      <c r="K15593" s="1063"/>
      <c r="L15593" s="1063"/>
    </row>
    <row r="15594" spans="5:12" x14ac:dyDescent="0.2">
      <c r="E15594" s="1063"/>
      <c r="H15594" s="1066"/>
      <c r="I15594" s="1063"/>
      <c r="J15594" s="1063"/>
      <c r="K15594" s="1063"/>
      <c r="L15594" s="1063"/>
    </row>
    <row r="15595" spans="5:12" x14ac:dyDescent="0.2">
      <c r="E15595" s="1063"/>
      <c r="H15595" s="1066"/>
      <c r="I15595" s="1063"/>
      <c r="J15595" s="1063"/>
      <c r="K15595" s="1063"/>
      <c r="L15595" s="1063"/>
    </row>
    <row r="15596" spans="5:12" x14ac:dyDescent="0.2">
      <c r="E15596" s="1063"/>
      <c r="H15596" s="1066"/>
      <c r="I15596" s="1063"/>
      <c r="J15596" s="1063"/>
      <c r="K15596" s="1063"/>
      <c r="L15596" s="1063"/>
    </row>
    <row r="15597" spans="5:12" x14ac:dyDescent="0.2">
      <c r="E15597" s="1063"/>
      <c r="H15597" s="1066"/>
      <c r="I15597" s="1063"/>
      <c r="J15597" s="1063"/>
      <c r="K15597" s="1063"/>
      <c r="L15597" s="1063"/>
    </row>
    <row r="15598" spans="5:12" x14ac:dyDescent="0.2">
      <c r="E15598" s="1063"/>
      <c r="H15598" s="1066"/>
      <c r="I15598" s="1063"/>
      <c r="J15598" s="1063"/>
      <c r="K15598" s="1063"/>
      <c r="L15598" s="1063"/>
    </row>
    <row r="15599" spans="5:12" x14ac:dyDescent="0.2">
      <c r="E15599" s="1063"/>
      <c r="H15599" s="1066"/>
      <c r="I15599" s="1063"/>
      <c r="J15599" s="1063"/>
      <c r="K15599" s="1063"/>
      <c r="L15599" s="1063"/>
    </row>
    <row r="15600" spans="5:12" x14ac:dyDescent="0.2">
      <c r="E15600" s="1063"/>
      <c r="H15600" s="1066"/>
      <c r="I15600" s="1063"/>
      <c r="J15600" s="1063"/>
      <c r="K15600" s="1063"/>
      <c r="L15600" s="1063"/>
    </row>
    <row r="15601" spans="5:12" x14ac:dyDescent="0.2">
      <c r="E15601" s="1063"/>
      <c r="H15601" s="1066"/>
      <c r="I15601" s="1063"/>
      <c r="J15601" s="1063"/>
      <c r="K15601" s="1063"/>
      <c r="L15601" s="1063"/>
    </row>
    <row r="15602" spans="5:12" x14ac:dyDescent="0.2">
      <c r="E15602" s="1063"/>
      <c r="H15602" s="1066"/>
      <c r="I15602" s="1063"/>
      <c r="J15602" s="1063"/>
      <c r="K15602" s="1063"/>
      <c r="L15602" s="1063"/>
    </row>
    <row r="15603" spans="5:12" x14ac:dyDescent="0.2">
      <c r="E15603" s="1063"/>
      <c r="H15603" s="1066"/>
      <c r="I15603" s="1063"/>
      <c r="J15603" s="1063"/>
      <c r="K15603" s="1063"/>
      <c r="L15603" s="1063"/>
    </row>
    <row r="15604" spans="5:12" x14ac:dyDescent="0.2">
      <c r="E15604" s="1063"/>
      <c r="H15604" s="1066"/>
      <c r="I15604" s="1063"/>
      <c r="J15604" s="1063"/>
      <c r="K15604" s="1063"/>
      <c r="L15604" s="1063"/>
    </row>
    <row r="15605" spans="5:12" x14ac:dyDescent="0.2">
      <c r="E15605" s="1063"/>
      <c r="H15605" s="1066"/>
      <c r="I15605" s="1063"/>
      <c r="J15605" s="1063"/>
      <c r="K15605" s="1063"/>
      <c r="L15605" s="1063"/>
    </row>
    <row r="15606" spans="5:12" x14ac:dyDescent="0.2">
      <c r="E15606" s="1063"/>
      <c r="H15606" s="1066"/>
      <c r="I15606" s="1063"/>
      <c r="J15606" s="1063"/>
      <c r="K15606" s="1063"/>
      <c r="L15606" s="1063"/>
    </row>
    <row r="15607" spans="5:12" x14ac:dyDescent="0.2">
      <c r="E15607" s="1063"/>
      <c r="H15607" s="1066"/>
      <c r="I15607" s="1063"/>
      <c r="J15607" s="1063"/>
      <c r="K15607" s="1063"/>
      <c r="L15607" s="1063"/>
    </row>
    <row r="15608" spans="5:12" x14ac:dyDescent="0.2">
      <c r="E15608" s="1063"/>
      <c r="H15608" s="1066"/>
      <c r="I15608" s="1063"/>
      <c r="J15608" s="1063"/>
      <c r="K15608" s="1063"/>
      <c r="L15608" s="1063"/>
    </row>
    <row r="15609" spans="5:12" x14ac:dyDescent="0.2">
      <c r="E15609" s="1063"/>
      <c r="H15609" s="1066"/>
      <c r="I15609" s="1063"/>
      <c r="J15609" s="1063"/>
      <c r="K15609" s="1063"/>
      <c r="L15609" s="1063"/>
    </row>
    <row r="15610" spans="5:12" x14ac:dyDescent="0.2">
      <c r="E15610" s="1063"/>
      <c r="H15610" s="1066"/>
      <c r="I15610" s="1063"/>
      <c r="J15610" s="1063"/>
      <c r="K15610" s="1063"/>
      <c r="L15610" s="1063"/>
    </row>
    <row r="15611" spans="5:12" x14ac:dyDescent="0.2">
      <c r="E15611" s="1063"/>
      <c r="H15611" s="1066"/>
      <c r="I15611" s="1063"/>
      <c r="J15611" s="1063"/>
      <c r="K15611" s="1063"/>
      <c r="L15611" s="1063"/>
    </row>
    <row r="15612" spans="5:12" x14ac:dyDescent="0.2">
      <c r="E15612" s="1063"/>
      <c r="H15612" s="1066"/>
      <c r="I15612" s="1063"/>
      <c r="J15612" s="1063"/>
      <c r="K15612" s="1063"/>
      <c r="L15612" s="1063"/>
    </row>
    <row r="15613" spans="5:12" x14ac:dyDescent="0.2">
      <c r="E15613" s="1063"/>
      <c r="H15613" s="1066"/>
      <c r="I15613" s="1063"/>
      <c r="J15613" s="1063"/>
      <c r="K15613" s="1063"/>
      <c r="L15613" s="1063"/>
    </row>
    <row r="15614" spans="5:12" x14ac:dyDescent="0.2">
      <c r="E15614" s="1063"/>
      <c r="H15614" s="1066"/>
      <c r="I15614" s="1063"/>
      <c r="J15614" s="1063"/>
      <c r="K15614" s="1063"/>
      <c r="L15614" s="1063"/>
    </row>
    <row r="15615" spans="5:12" x14ac:dyDescent="0.2">
      <c r="E15615" s="1063"/>
      <c r="H15615" s="1066"/>
      <c r="I15615" s="1063"/>
      <c r="J15615" s="1063"/>
      <c r="K15615" s="1063"/>
      <c r="L15615" s="1063"/>
    </row>
    <row r="15616" spans="5:12" x14ac:dyDescent="0.2">
      <c r="E15616" s="1063"/>
      <c r="H15616" s="1066"/>
      <c r="I15616" s="1063"/>
      <c r="J15616" s="1063"/>
      <c r="K15616" s="1063"/>
      <c r="L15616" s="1063"/>
    </row>
    <row r="15617" spans="5:12" x14ac:dyDescent="0.2">
      <c r="E15617" s="1063"/>
      <c r="H15617" s="1066"/>
      <c r="I15617" s="1063"/>
      <c r="J15617" s="1063"/>
      <c r="K15617" s="1063"/>
      <c r="L15617" s="1063"/>
    </row>
    <row r="15618" spans="5:12" x14ac:dyDescent="0.2">
      <c r="E15618" s="1063"/>
      <c r="H15618" s="1066"/>
      <c r="I15618" s="1063"/>
      <c r="J15618" s="1063"/>
      <c r="K15618" s="1063"/>
      <c r="L15618" s="1063"/>
    </row>
    <row r="15619" spans="5:12" x14ac:dyDescent="0.2">
      <c r="E15619" s="1063"/>
      <c r="H15619" s="1066"/>
      <c r="I15619" s="1063"/>
      <c r="J15619" s="1063"/>
      <c r="K15619" s="1063"/>
      <c r="L15619" s="1063"/>
    </row>
    <row r="15620" spans="5:12" x14ac:dyDescent="0.2">
      <c r="E15620" s="1063"/>
      <c r="H15620" s="1066"/>
      <c r="I15620" s="1063"/>
      <c r="J15620" s="1063"/>
      <c r="K15620" s="1063"/>
      <c r="L15620" s="1063"/>
    </row>
    <row r="15621" spans="5:12" x14ac:dyDescent="0.2">
      <c r="E15621" s="1063"/>
      <c r="H15621" s="1066"/>
      <c r="I15621" s="1063"/>
      <c r="J15621" s="1063"/>
      <c r="K15621" s="1063"/>
      <c r="L15621" s="1063"/>
    </row>
    <row r="15622" spans="5:12" x14ac:dyDescent="0.2">
      <c r="E15622" s="1063"/>
      <c r="H15622" s="1066"/>
      <c r="I15622" s="1063"/>
      <c r="J15622" s="1063"/>
      <c r="K15622" s="1063"/>
      <c r="L15622" s="1063"/>
    </row>
    <row r="15623" spans="5:12" x14ac:dyDescent="0.2">
      <c r="E15623" s="1063"/>
      <c r="H15623" s="1066"/>
      <c r="I15623" s="1063"/>
      <c r="J15623" s="1063"/>
      <c r="K15623" s="1063"/>
      <c r="L15623" s="1063"/>
    </row>
    <row r="15624" spans="5:12" x14ac:dyDescent="0.2">
      <c r="E15624" s="1063"/>
      <c r="H15624" s="1066"/>
      <c r="I15624" s="1063"/>
      <c r="J15624" s="1063"/>
      <c r="K15624" s="1063"/>
      <c r="L15624" s="1063"/>
    </row>
    <row r="15625" spans="5:12" x14ac:dyDescent="0.2">
      <c r="E15625" s="1063"/>
      <c r="H15625" s="1066"/>
      <c r="I15625" s="1063"/>
      <c r="J15625" s="1063"/>
      <c r="K15625" s="1063"/>
      <c r="L15625" s="1063"/>
    </row>
    <row r="15626" spans="5:12" x14ac:dyDescent="0.2">
      <c r="E15626" s="1063"/>
      <c r="H15626" s="1066"/>
      <c r="I15626" s="1063"/>
      <c r="J15626" s="1063"/>
      <c r="K15626" s="1063"/>
      <c r="L15626" s="1063"/>
    </row>
    <row r="15627" spans="5:12" x14ac:dyDescent="0.2">
      <c r="E15627" s="1063"/>
      <c r="H15627" s="1066"/>
      <c r="I15627" s="1063"/>
      <c r="J15627" s="1063"/>
      <c r="K15627" s="1063"/>
      <c r="L15627" s="1063"/>
    </row>
    <row r="15628" spans="5:12" x14ac:dyDescent="0.2">
      <c r="E15628" s="1063"/>
      <c r="H15628" s="1066"/>
      <c r="I15628" s="1063"/>
      <c r="J15628" s="1063"/>
      <c r="K15628" s="1063"/>
      <c r="L15628" s="1063"/>
    </row>
    <row r="15629" spans="5:12" x14ac:dyDescent="0.2">
      <c r="E15629" s="1063"/>
      <c r="H15629" s="1066"/>
      <c r="I15629" s="1063"/>
      <c r="J15629" s="1063"/>
      <c r="K15629" s="1063"/>
      <c r="L15629" s="1063"/>
    </row>
    <row r="15630" spans="5:12" x14ac:dyDescent="0.2">
      <c r="E15630" s="1063"/>
      <c r="H15630" s="1066"/>
      <c r="I15630" s="1063"/>
      <c r="J15630" s="1063"/>
      <c r="K15630" s="1063"/>
      <c r="L15630" s="1063"/>
    </row>
    <row r="15631" spans="5:12" x14ac:dyDescent="0.2">
      <c r="E15631" s="1063"/>
      <c r="H15631" s="1066"/>
      <c r="I15631" s="1063"/>
      <c r="J15631" s="1063"/>
      <c r="K15631" s="1063"/>
      <c r="L15631" s="1063"/>
    </row>
    <row r="15632" spans="5:12" x14ac:dyDescent="0.2">
      <c r="E15632" s="1063"/>
      <c r="H15632" s="1066"/>
      <c r="I15632" s="1063"/>
      <c r="J15632" s="1063"/>
      <c r="K15632" s="1063"/>
      <c r="L15632" s="1063"/>
    </row>
    <row r="15633" spans="5:12" x14ac:dyDescent="0.2">
      <c r="E15633" s="1063"/>
      <c r="H15633" s="1066"/>
      <c r="I15633" s="1063"/>
      <c r="J15633" s="1063"/>
      <c r="K15633" s="1063"/>
      <c r="L15633" s="1063"/>
    </row>
    <row r="15634" spans="5:12" x14ac:dyDescent="0.2">
      <c r="E15634" s="1063"/>
      <c r="H15634" s="1066"/>
      <c r="I15634" s="1063"/>
      <c r="J15634" s="1063"/>
      <c r="K15634" s="1063"/>
      <c r="L15634" s="1063"/>
    </row>
    <row r="15635" spans="5:12" x14ac:dyDescent="0.2">
      <c r="E15635" s="1063"/>
      <c r="H15635" s="1066"/>
      <c r="I15635" s="1063"/>
      <c r="J15635" s="1063"/>
      <c r="K15635" s="1063"/>
      <c r="L15635" s="1063"/>
    </row>
    <row r="15636" spans="5:12" x14ac:dyDescent="0.2">
      <c r="E15636" s="1063"/>
      <c r="H15636" s="1066"/>
      <c r="I15636" s="1063"/>
      <c r="J15636" s="1063"/>
      <c r="K15636" s="1063"/>
      <c r="L15636" s="1063"/>
    </row>
    <row r="15637" spans="5:12" x14ac:dyDescent="0.2">
      <c r="E15637" s="1063"/>
      <c r="H15637" s="1066"/>
      <c r="I15637" s="1063"/>
      <c r="J15637" s="1063"/>
      <c r="K15637" s="1063"/>
      <c r="L15637" s="1063"/>
    </row>
    <row r="15638" spans="5:12" x14ac:dyDescent="0.2">
      <c r="E15638" s="1063"/>
      <c r="H15638" s="1066"/>
      <c r="I15638" s="1063"/>
      <c r="J15638" s="1063"/>
      <c r="K15638" s="1063"/>
      <c r="L15638" s="1063"/>
    </row>
    <row r="15639" spans="5:12" x14ac:dyDescent="0.2">
      <c r="E15639" s="1063"/>
      <c r="H15639" s="1066"/>
      <c r="I15639" s="1063"/>
      <c r="J15639" s="1063"/>
      <c r="K15639" s="1063"/>
      <c r="L15639" s="1063"/>
    </row>
    <row r="15640" spans="5:12" x14ac:dyDescent="0.2">
      <c r="E15640" s="1063"/>
      <c r="H15640" s="1066"/>
      <c r="I15640" s="1063"/>
      <c r="J15640" s="1063"/>
      <c r="K15640" s="1063"/>
      <c r="L15640" s="1063"/>
    </row>
    <row r="15641" spans="5:12" x14ac:dyDescent="0.2">
      <c r="E15641" s="1063"/>
      <c r="H15641" s="1066"/>
      <c r="I15641" s="1063"/>
      <c r="J15641" s="1063"/>
      <c r="K15641" s="1063"/>
      <c r="L15641" s="1063"/>
    </row>
    <row r="15642" spans="5:12" x14ac:dyDescent="0.2">
      <c r="E15642" s="1063"/>
      <c r="H15642" s="1066"/>
      <c r="I15642" s="1063"/>
      <c r="J15642" s="1063"/>
      <c r="K15642" s="1063"/>
      <c r="L15642" s="1063"/>
    </row>
    <row r="15643" spans="5:12" x14ac:dyDescent="0.2">
      <c r="E15643" s="1063"/>
      <c r="H15643" s="1066"/>
      <c r="I15643" s="1063"/>
      <c r="J15643" s="1063"/>
      <c r="K15643" s="1063"/>
      <c r="L15643" s="1063"/>
    </row>
    <row r="15644" spans="5:12" x14ac:dyDescent="0.2">
      <c r="E15644" s="1063"/>
      <c r="H15644" s="1066"/>
      <c r="I15644" s="1063"/>
      <c r="J15644" s="1063"/>
      <c r="K15644" s="1063"/>
      <c r="L15644" s="1063"/>
    </row>
    <row r="15645" spans="5:12" x14ac:dyDescent="0.2">
      <c r="E15645" s="1063"/>
      <c r="H15645" s="1066"/>
      <c r="I15645" s="1063"/>
      <c r="J15645" s="1063"/>
      <c r="K15645" s="1063"/>
      <c r="L15645" s="1063"/>
    </row>
    <row r="15646" spans="5:12" x14ac:dyDescent="0.2">
      <c r="E15646" s="1063"/>
      <c r="H15646" s="1066"/>
      <c r="I15646" s="1063"/>
      <c r="J15646" s="1063"/>
      <c r="K15646" s="1063"/>
      <c r="L15646" s="1063"/>
    </row>
    <row r="15647" spans="5:12" x14ac:dyDescent="0.2">
      <c r="E15647" s="1063"/>
      <c r="H15647" s="1066"/>
      <c r="I15647" s="1063"/>
      <c r="J15647" s="1063"/>
      <c r="K15647" s="1063"/>
      <c r="L15647" s="1063"/>
    </row>
    <row r="15648" spans="5:12" x14ac:dyDescent="0.2">
      <c r="E15648" s="1063"/>
      <c r="H15648" s="1066"/>
      <c r="I15648" s="1063"/>
      <c r="J15648" s="1063"/>
      <c r="K15648" s="1063"/>
      <c r="L15648" s="1063"/>
    </row>
    <row r="15649" spans="5:12" x14ac:dyDescent="0.2">
      <c r="E15649" s="1063"/>
      <c r="H15649" s="1066"/>
      <c r="I15649" s="1063"/>
      <c r="J15649" s="1063"/>
      <c r="K15649" s="1063"/>
      <c r="L15649" s="1063"/>
    </row>
    <row r="15650" spans="5:12" x14ac:dyDescent="0.2">
      <c r="E15650" s="1063"/>
      <c r="H15650" s="1066"/>
      <c r="I15650" s="1063"/>
      <c r="J15650" s="1063"/>
      <c r="K15650" s="1063"/>
      <c r="L15650" s="1063"/>
    </row>
    <row r="15651" spans="5:12" x14ac:dyDescent="0.2">
      <c r="E15651" s="1063"/>
      <c r="H15651" s="1066"/>
      <c r="I15651" s="1063"/>
      <c r="J15651" s="1063"/>
      <c r="K15651" s="1063"/>
      <c r="L15651" s="1063"/>
    </row>
    <row r="15652" spans="5:12" x14ac:dyDescent="0.2">
      <c r="E15652" s="1063"/>
      <c r="H15652" s="1066"/>
      <c r="I15652" s="1063"/>
      <c r="J15652" s="1063"/>
      <c r="K15652" s="1063"/>
      <c r="L15652" s="1063"/>
    </row>
    <row r="15653" spans="5:12" x14ac:dyDescent="0.2">
      <c r="E15653" s="1063"/>
      <c r="H15653" s="1066"/>
      <c r="I15653" s="1063"/>
      <c r="J15653" s="1063"/>
      <c r="K15653" s="1063"/>
      <c r="L15653" s="1063"/>
    </row>
    <row r="15654" spans="5:12" x14ac:dyDescent="0.2">
      <c r="E15654" s="1063"/>
      <c r="H15654" s="1066"/>
      <c r="I15654" s="1063"/>
      <c r="J15654" s="1063"/>
      <c r="K15654" s="1063"/>
      <c r="L15654" s="1063"/>
    </row>
    <row r="15655" spans="5:12" x14ac:dyDescent="0.2">
      <c r="E15655" s="1063"/>
      <c r="H15655" s="1066"/>
      <c r="I15655" s="1063"/>
      <c r="J15655" s="1063"/>
      <c r="K15655" s="1063"/>
      <c r="L15655" s="1063"/>
    </row>
    <row r="15656" spans="5:12" x14ac:dyDescent="0.2">
      <c r="E15656" s="1063"/>
      <c r="H15656" s="1066"/>
      <c r="I15656" s="1063"/>
      <c r="J15656" s="1063"/>
      <c r="K15656" s="1063"/>
      <c r="L15656" s="1063"/>
    </row>
    <row r="15657" spans="5:12" x14ac:dyDescent="0.2">
      <c r="E15657" s="1063"/>
      <c r="H15657" s="1066"/>
      <c r="I15657" s="1063"/>
      <c r="J15657" s="1063"/>
      <c r="K15657" s="1063"/>
      <c r="L15657" s="1063"/>
    </row>
    <row r="15658" spans="5:12" x14ac:dyDescent="0.2">
      <c r="E15658" s="1063"/>
      <c r="H15658" s="1066"/>
      <c r="I15658" s="1063"/>
      <c r="J15658" s="1063"/>
      <c r="K15658" s="1063"/>
      <c r="L15658" s="1063"/>
    </row>
    <row r="15659" spans="5:12" x14ac:dyDescent="0.2">
      <c r="E15659" s="1063"/>
      <c r="H15659" s="1066"/>
      <c r="I15659" s="1063"/>
      <c r="J15659" s="1063"/>
      <c r="K15659" s="1063"/>
      <c r="L15659" s="1063"/>
    </row>
    <row r="15660" spans="5:12" x14ac:dyDescent="0.2">
      <c r="E15660" s="1063"/>
      <c r="H15660" s="1066"/>
      <c r="I15660" s="1063"/>
      <c r="J15660" s="1063"/>
      <c r="K15660" s="1063"/>
      <c r="L15660" s="1063"/>
    </row>
    <row r="15661" spans="5:12" x14ac:dyDescent="0.2">
      <c r="E15661" s="1063"/>
      <c r="H15661" s="1066"/>
      <c r="I15661" s="1063"/>
      <c r="J15661" s="1063"/>
      <c r="K15661" s="1063"/>
      <c r="L15661" s="1063"/>
    </row>
    <row r="15662" spans="5:12" x14ac:dyDescent="0.2">
      <c r="E15662" s="1063"/>
      <c r="H15662" s="1066"/>
      <c r="I15662" s="1063"/>
      <c r="J15662" s="1063"/>
      <c r="K15662" s="1063"/>
      <c r="L15662" s="1063"/>
    </row>
    <row r="15663" spans="5:12" x14ac:dyDescent="0.2">
      <c r="E15663" s="1063"/>
      <c r="H15663" s="1066"/>
      <c r="I15663" s="1063"/>
      <c r="J15663" s="1063"/>
      <c r="K15663" s="1063"/>
      <c r="L15663" s="1063"/>
    </row>
    <row r="15664" spans="5:12" x14ac:dyDescent="0.2">
      <c r="E15664" s="1063"/>
      <c r="H15664" s="1066"/>
      <c r="I15664" s="1063"/>
      <c r="J15664" s="1063"/>
      <c r="K15664" s="1063"/>
      <c r="L15664" s="1063"/>
    </row>
    <row r="15665" spans="5:12" x14ac:dyDescent="0.2">
      <c r="E15665" s="1063"/>
      <c r="H15665" s="1066"/>
      <c r="I15665" s="1063"/>
      <c r="J15665" s="1063"/>
      <c r="K15665" s="1063"/>
      <c r="L15665" s="1063"/>
    </row>
    <row r="15666" spans="5:12" x14ac:dyDescent="0.2">
      <c r="E15666" s="1063"/>
      <c r="H15666" s="1066"/>
      <c r="I15666" s="1063"/>
      <c r="J15666" s="1063"/>
      <c r="K15666" s="1063"/>
      <c r="L15666" s="1063"/>
    </row>
    <row r="15667" spans="5:12" x14ac:dyDescent="0.2">
      <c r="E15667" s="1063"/>
      <c r="H15667" s="1066"/>
      <c r="I15667" s="1063"/>
      <c r="J15667" s="1063"/>
      <c r="K15667" s="1063"/>
      <c r="L15667" s="1063"/>
    </row>
    <row r="15668" spans="5:12" x14ac:dyDescent="0.2">
      <c r="E15668" s="1063"/>
      <c r="H15668" s="1066"/>
      <c r="I15668" s="1063"/>
      <c r="J15668" s="1063"/>
      <c r="K15668" s="1063"/>
      <c r="L15668" s="1063"/>
    </row>
    <row r="15669" spans="5:12" x14ac:dyDescent="0.2">
      <c r="E15669" s="1063"/>
      <c r="H15669" s="1066"/>
      <c r="I15669" s="1063"/>
      <c r="J15669" s="1063"/>
      <c r="K15669" s="1063"/>
      <c r="L15669" s="1063"/>
    </row>
    <row r="15670" spans="5:12" x14ac:dyDescent="0.2">
      <c r="E15670" s="1063"/>
      <c r="H15670" s="1066"/>
      <c r="I15670" s="1063"/>
      <c r="J15670" s="1063"/>
      <c r="K15670" s="1063"/>
      <c r="L15670" s="1063"/>
    </row>
    <row r="15671" spans="5:12" x14ac:dyDescent="0.2">
      <c r="E15671" s="1063"/>
      <c r="H15671" s="1066"/>
      <c r="I15671" s="1063"/>
      <c r="J15671" s="1063"/>
      <c r="K15671" s="1063"/>
      <c r="L15671" s="1063"/>
    </row>
    <row r="15672" spans="5:12" x14ac:dyDescent="0.2">
      <c r="E15672" s="1063"/>
      <c r="H15672" s="1066"/>
      <c r="I15672" s="1063"/>
      <c r="J15672" s="1063"/>
      <c r="K15672" s="1063"/>
      <c r="L15672" s="1063"/>
    </row>
    <row r="15673" spans="5:12" x14ac:dyDescent="0.2">
      <c r="E15673" s="1063"/>
      <c r="H15673" s="1066"/>
      <c r="I15673" s="1063"/>
      <c r="J15673" s="1063"/>
      <c r="K15673" s="1063"/>
      <c r="L15673" s="1063"/>
    </row>
    <row r="15674" spans="5:12" x14ac:dyDescent="0.2">
      <c r="E15674" s="1063"/>
      <c r="H15674" s="1066"/>
      <c r="I15674" s="1063"/>
      <c r="J15674" s="1063"/>
      <c r="K15674" s="1063"/>
      <c r="L15674" s="1063"/>
    </row>
    <row r="15675" spans="5:12" x14ac:dyDescent="0.2">
      <c r="E15675" s="1063"/>
      <c r="H15675" s="1066"/>
      <c r="I15675" s="1063"/>
      <c r="J15675" s="1063"/>
      <c r="K15675" s="1063"/>
      <c r="L15675" s="1063"/>
    </row>
    <row r="15676" spans="5:12" x14ac:dyDescent="0.2">
      <c r="E15676" s="1063"/>
      <c r="H15676" s="1066"/>
      <c r="I15676" s="1063"/>
      <c r="J15676" s="1063"/>
      <c r="K15676" s="1063"/>
      <c r="L15676" s="1063"/>
    </row>
    <row r="15677" spans="5:12" x14ac:dyDescent="0.2">
      <c r="E15677" s="1063"/>
      <c r="H15677" s="1066"/>
      <c r="I15677" s="1063"/>
      <c r="J15677" s="1063"/>
      <c r="K15677" s="1063"/>
      <c r="L15677" s="1063"/>
    </row>
    <row r="15678" spans="5:12" x14ac:dyDescent="0.2">
      <c r="E15678" s="1063"/>
      <c r="H15678" s="1066"/>
      <c r="I15678" s="1063"/>
      <c r="J15678" s="1063"/>
      <c r="K15678" s="1063"/>
      <c r="L15678" s="1063"/>
    </row>
    <row r="15679" spans="5:12" x14ac:dyDescent="0.2">
      <c r="E15679" s="1063"/>
      <c r="H15679" s="1066"/>
      <c r="I15679" s="1063"/>
      <c r="J15679" s="1063"/>
      <c r="K15679" s="1063"/>
      <c r="L15679" s="1063"/>
    </row>
    <row r="15680" spans="5:12" x14ac:dyDescent="0.2">
      <c r="E15680" s="1063"/>
      <c r="H15680" s="1066"/>
      <c r="I15680" s="1063"/>
      <c r="J15680" s="1063"/>
      <c r="K15680" s="1063"/>
      <c r="L15680" s="1063"/>
    </row>
    <row r="15681" spans="5:12" x14ac:dyDescent="0.2">
      <c r="E15681" s="1063"/>
      <c r="H15681" s="1066"/>
      <c r="I15681" s="1063"/>
      <c r="J15681" s="1063"/>
      <c r="K15681" s="1063"/>
      <c r="L15681" s="1063"/>
    </row>
    <row r="15682" spans="5:12" x14ac:dyDescent="0.2">
      <c r="E15682" s="1063"/>
      <c r="H15682" s="1066"/>
      <c r="I15682" s="1063"/>
      <c r="J15682" s="1063"/>
      <c r="K15682" s="1063"/>
      <c r="L15682" s="1063"/>
    </row>
    <row r="15683" spans="5:12" x14ac:dyDescent="0.2">
      <c r="E15683" s="1063"/>
      <c r="H15683" s="1066"/>
      <c r="I15683" s="1063"/>
      <c r="J15683" s="1063"/>
      <c r="K15683" s="1063"/>
      <c r="L15683" s="1063"/>
    </row>
    <row r="15684" spans="5:12" x14ac:dyDescent="0.2">
      <c r="E15684" s="1063"/>
      <c r="H15684" s="1066"/>
      <c r="I15684" s="1063"/>
      <c r="J15684" s="1063"/>
      <c r="K15684" s="1063"/>
      <c r="L15684" s="1063"/>
    </row>
    <row r="15685" spans="5:12" x14ac:dyDescent="0.2">
      <c r="E15685" s="1063"/>
      <c r="H15685" s="1066"/>
      <c r="I15685" s="1063"/>
      <c r="J15685" s="1063"/>
      <c r="K15685" s="1063"/>
      <c r="L15685" s="1063"/>
    </row>
    <row r="15686" spans="5:12" x14ac:dyDescent="0.2">
      <c r="E15686" s="1063"/>
      <c r="H15686" s="1066"/>
      <c r="I15686" s="1063"/>
      <c r="J15686" s="1063"/>
      <c r="K15686" s="1063"/>
      <c r="L15686" s="1063"/>
    </row>
    <row r="15687" spans="5:12" x14ac:dyDescent="0.2">
      <c r="E15687" s="1063"/>
      <c r="H15687" s="1066"/>
      <c r="I15687" s="1063"/>
      <c r="J15687" s="1063"/>
      <c r="K15687" s="1063"/>
      <c r="L15687" s="1063"/>
    </row>
    <row r="15688" spans="5:12" x14ac:dyDescent="0.2">
      <c r="E15688" s="1063"/>
      <c r="H15688" s="1066"/>
      <c r="I15688" s="1063"/>
      <c r="J15688" s="1063"/>
      <c r="K15688" s="1063"/>
      <c r="L15688" s="1063"/>
    </row>
    <row r="15689" spans="5:12" x14ac:dyDescent="0.2">
      <c r="E15689" s="1063"/>
      <c r="H15689" s="1066"/>
      <c r="I15689" s="1063"/>
      <c r="J15689" s="1063"/>
      <c r="K15689" s="1063"/>
      <c r="L15689" s="1063"/>
    </row>
    <row r="15690" spans="5:12" x14ac:dyDescent="0.2">
      <c r="E15690" s="1063"/>
      <c r="H15690" s="1066"/>
      <c r="I15690" s="1063"/>
      <c r="J15690" s="1063"/>
      <c r="K15690" s="1063"/>
      <c r="L15690" s="1063"/>
    </row>
    <row r="15691" spans="5:12" x14ac:dyDescent="0.2">
      <c r="E15691" s="1063"/>
      <c r="H15691" s="1066"/>
      <c r="I15691" s="1063"/>
      <c r="J15691" s="1063"/>
      <c r="K15691" s="1063"/>
      <c r="L15691" s="1063"/>
    </row>
    <row r="15692" spans="5:12" x14ac:dyDescent="0.2">
      <c r="E15692" s="1063"/>
      <c r="H15692" s="1066"/>
      <c r="I15692" s="1063"/>
      <c r="J15692" s="1063"/>
      <c r="K15692" s="1063"/>
      <c r="L15692" s="1063"/>
    </row>
    <row r="15693" spans="5:12" x14ac:dyDescent="0.2">
      <c r="E15693" s="1063"/>
      <c r="H15693" s="1066"/>
      <c r="I15693" s="1063"/>
      <c r="J15693" s="1063"/>
      <c r="K15693" s="1063"/>
      <c r="L15693" s="1063"/>
    </row>
    <row r="15694" spans="5:12" x14ac:dyDescent="0.2">
      <c r="E15694" s="1063"/>
      <c r="H15694" s="1066"/>
      <c r="I15694" s="1063"/>
      <c r="J15694" s="1063"/>
      <c r="K15694" s="1063"/>
      <c r="L15694" s="1063"/>
    </row>
    <row r="15695" spans="5:12" x14ac:dyDescent="0.2">
      <c r="E15695" s="1063"/>
      <c r="H15695" s="1066"/>
      <c r="I15695" s="1063"/>
      <c r="J15695" s="1063"/>
      <c r="K15695" s="1063"/>
      <c r="L15695" s="1063"/>
    </row>
    <row r="15696" spans="5:12" x14ac:dyDescent="0.2">
      <c r="E15696" s="1063"/>
      <c r="H15696" s="1066"/>
      <c r="I15696" s="1063"/>
      <c r="J15696" s="1063"/>
      <c r="K15696" s="1063"/>
      <c r="L15696" s="1063"/>
    </row>
    <row r="15697" spans="5:12" x14ac:dyDescent="0.2">
      <c r="E15697" s="1063"/>
      <c r="H15697" s="1066"/>
      <c r="I15697" s="1063"/>
      <c r="J15697" s="1063"/>
      <c r="K15697" s="1063"/>
      <c r="L15697" s="1063"/>
    </row>
    <row r="15698" spans="5:12" x14ac:dyDescent="0.2">
      <c r="E15698" s="1063"/>
      <c r="H15698" s="1066"/>
      <c r="I15698" s="1063"/>
      <c r="J15698" s="1063"/>
      <c r="K15698" s="1063"/>
      <c r="L15698" s="1063"/>
    </row>
    <row r="15699" spans="5:12" x14ac:dyDescent="0.2">
      <c r="E15699" s="1063"/>
      <c r="H15699" s="1066"/>
      <c r="I15699" s="1063"/>
      <c r="J15699" s="1063"/>
      <c r="K15699" s="1063"/>
      <c r="L15699" s="1063"/>
    </row>
    <row r="15700" spans="5:12" x14ac:dyDescent="0.2">
      <c r="E15700" s="1063"/>
      <c r="H15700" s="1066"/>
      <c r="I15700" s="1063"/>
      <c r="J15700" s="1063"/>
      <c r="K15700" s="1063"/>
      <c r="L15700" s="1063"/>
    </row>
    <row r="15701" spans="5:12" x14ac:dyDescent="0.2">
      <c r="E15701" s="1063"/>
      <c r="H15701" s="1066"/>
      <c r="I15701" s="1063"/>
      <c r="J15701" s="1063"/>
      <c r="K15701" s="1063"/>
      <c r="L15701" s="1063"/>
    </row>
    <row r="15702" spans="5:12" x14ac:dyDescent="0.2">
      <c r="E15702" s="1063"/>
      <c r="H15702" s="1066"/>
      <c r="I15702" s="1063"/>
      <c r="J15702" s="1063"/>
      <c r="K15702" s="1063"/>
      <c r="L15702" s="1063"/>
    </row>
    <row r="15703" spans="5:12" x14ac:dyDescent="0.2">
      <c r="E15703" s="1063"/>
      <c r="H15703" s="1066"/>
      <c r="I15703" s="1063"/>
      <c r="J15703" s="1063"/>
      <c r="K15703" s="1063"/>
      <c r="L15703" s="1063"/>
    </row>
    <row r="15704" spans="5:12" x14ac:dyDescent="0.2">
      <c r="E15704" s="1063"/>
      <c r="H15704" s="1066"/>
      <c r="I15704" s="1063"/>
      <c r="J15704" s="1063"/>
      <c r="K15704" s="1063"/>
      <c r="L15704" s="1063"/>
    </row>
    <row r="15705" spans="5:12" x14ac:dyDescent="0.2">
      <c r="E15705" s="1063"/>
      <c r="H15705" s="1066"/>
      <c r="I15705" s="1063"/>
      <c r="J15705" s="1063"/>
      <c r="K15705" s="1063"/>
      <c r="L15705" s="1063"/>
    </row>
    <row r="15706" spans="5:12" x14ac:dyDescent="0.2">
      <c r="E15706" s="1063"/>
      <c r="H15706" s="1066"/>
      <c r="I15706" s="1063"/>
      <c r="J15706" s="1063"/>
      <c r="K15706" s="1063"/>
      <c r="L15706" s="1063"/>
    </row>
    <row r="15707" spans="5:12" x14ac:dyDescent="0.2">
      <c r="E15707" s="1063"/>
      <c r="H15707" s="1066"/>
      <c r="I15707" s="1063"/>
      <c r="J15707" s="1063"/>
      <c r="K15707" s="1063"/>
      <c r="L15707" s="1063"/>
    </row>
    <row r="15708" spans="5:12" x14ac:dyDescent="0.2">
      <c r="E15708" s="1063"/>
      <c r="H15708" s="1066"/>
      <c r="I15708" s="1063"/>
      <c r="J15708" s="1063"/>
      <c r="K15708" s="1063"/>
      <c r="L15708" s="1063"/>
    </row>
    <row r="15709" spans="5:12" x14ac:dyDescent="0.2">
      <c r="E15709" s="1063"/>
      <c r="H15709" s="1066"/>
      <c r="I15709" s="1063"/>
      <c r="J15709" s="1063"/>
      <c r="K15709" s="1063"/>
      <c r="L15709" s="1063"/>
    </row>
    <row r="15710" spans="5:12" x14ac:dyDescent="0.2">
      <c r="E15710" s="1063"/>
      <c r="H15710" s="1066"/>
      <c r="I15710" s="1063"/>
      <c r="J15710" s="1063"/>
      <c r="K15710" s="1063"/>
      <c r="L15710" s="1063"/>
    </row>
    <row r="15711" spans="5:12" x14ac:dyDescent="0.2">
      <c r="E15711" s="1063"/>
      <c r="H15711" s="1066"/>
      <c r="I15711" s="1063"/>
      <c r="J15711" s="1063"/>
      <c r="K15711" s="1063"/>
      <c r="L15711" s="1063"/>
    </row>
    <row r="15712" spans="5:12" x14ac:dyDescent="0.2">
      <c r="E15712" s="1063"/>
      <c r="H15712" s="1066"/>
      <c r="I15712" s="1063"/>
      <c r="J15712" s="1063"/>
      <c r="K15712" s="1063"/>
      <c r="L15712" s="1063"/>
    </row>
    <row r="15713" spans="5:12" x14ac:dyDescent="0.2">
      <c r="E15713" s="1063"/>
      <c r="H15713" s="1066"/>
      <c r="I15713" s="1063"/>
      <c r="J15713" s="1063"/>
      <c r="K15713" s="1063"/>
      <c r="L15713" s="1063"/>
    </row>
    <row r="15714" spans="5:12" x14ac:dyDescent="0.2">
      <c r="E15714" s="1063"/>
      <c r="H15714" s="1066"/>
      <c r="I15714" s="1063"/>
      <c r="J15714" s="1063"/>
      <c r="K15714" s="1063"/>
      <c r="L15714" s="1063"/>
    </row>
    <row r="15715" spans="5:12" x14ac:dyDescent="0.2">
      <c r="E15715" s="1063"/>
      <c r="H15715" s="1066"/>
      <c r="I15715" s="1063"/>
      <c r="J15715" s="1063"/>
      <c r="K15715" s="1063"/>
      <c r="L15715" s="1063"/>
    </row>
    <row r="15716" spans="5:12" x14ac:dyDescent="0.2">
      <c r="E15716" s="1063"/>
      <c r="H15716" s="1066"/>
      <c r="I15716" s="1063"/>
      <c r="J15716" s="1063"/>
      <c r="K15716" s="1063"/>
      <c r="L15716" s="1063"/>
    </row>
    <row r="15717" spans="5:12" x14ac:dyDescent="0.2">
      <c r="E15717" s="1063"/>
      <c r="H15717" s="1066"/>
      <c r="I15717" s="1063"/>
      <c r="J15717" s="1063"/>
      <c r="K15717" s="1063"/>
      <c r="L15717" s="1063"/>
    </row>
    <row r="15718" spans="5:12" x14ac:dyDescent="0.2">
      <c r="E15718" s="1063"/>
      <c r="H15718" s="1066"/>
      <c r="I15718" s="1063"/>
      <c r="J15718" s="1063"/>
      <c r="K15718" s="1063"/>
      <c r="L15718" s="1063"/>
    </row>
    <row r="15719" spans="5:12" x14ac:dyDescent="0.2">
      <c r="E15719" s="1063"/>
      <c r="H15719" s="1066"/>
      <c r="I15719" s="1063"/>
      <c r="J15719" s="1063"/>
      <c r="K15719" s="1063"/>
      <c r="L15719" s="1063"/>
    </row>
    <row r="15720" spans="5:12" x14ac:dyDescent="0.2">
      <c r="E15720" s="1063"/>
      <c r="H15720" s="1066"/>
      <c r="I15720" s="1063"/>
      <c r="J15720" s="1063"/>
      <c r="K15720" s="1063"/>
      <c r="L15720" s="1063"/>
    </row>
    <row r="15721" spans="5:12" x14ac:dyDescent="0.2">
      <c r="E15721" s="1063"/>
      <c r="H15721" s="1066"/>
      <c r="I15721" s="1063"/>
      <c r="J15721" s="1063"/>
      <c r="K15721" s="1063"/>
      <c r="L15721" s="1063"/>
    </row>
    <row r="15722" spans="5:12" x14ac:dyDescent="0.2">
      <c r="E15722" s="1063"/>
      <c r="H15722" s="1066"/>
      <c r="I15722" s="1063"/>
      <c r="J15722" s="1063"/>
      <c r="K15722" s="1063"/>
      <c r="L15722" s="1063"/>
    </row>
    <row r="15723" spans="5:12" x14ac:dyDescent="0.2">
      <c r="E15723" s="1063"/>
      <c r="H15723" s="1066"/>
      <c r="I15723" s="1063"/>
      <c r="J15723" s="1063"/>
      <c r="K15723" s="1063"/>
      <c r="L15723" s="1063"/>
    </row>
    <row r="15724" spans="5:12" x14ac:dyDescent="0.2">
      <c r="E15724" s="1063"/>
      <c r="H15724" s="1066"/>
      <c r="I15724" s="1063"/>
      <c r="J15724" s="1063"/>
      <c r="K15724" s="1063"/>
      <c r="L15724" s="1063"/>
    </row>
    <row r="15725" spans="5:12" x14ac:dyDescent="0.2">
      <c r="E15725" s="1063"/>
      <c r="H15725" s="1066"/>
      <c r="I15725" s="1063"/>
      <c r="J15725" s="1063"/>
      <c r="K15725" s="1063"/>
      <c r="L15725" s="1063"/>
    </row>
    <row r="15726" spans="5:12" x14ac:dyDescent="0.2">
      <c r="E15726" s="1063"/>
      <c r="H15726" s="1066"/>
      <c r="I15726" s="1063"/>
      <c r="J15726" s="1063"/>
      <c r="K15726" s="1063"/>
      <c r="L15726" s="1063"/>
    </row>
    <row r="15727" spans="5:12" x14ac:dyDescent="0.2">
      <c r="E15727" s="1063"/>
      <c r="H15727" s="1066"/>
      <c r="I15727" s="1063"/>
      <c r="J15727" s="1063"/>
      <c r="K15727" s="1063"/>
      <c r="L15727" s="1063"/>
    </row>
    <row r="15728" spans="5:12" x14ac:dyDescent="0.2">
      <c r="E15728" s="1063"/>
      <c r="H15728" s="1066"/>
      <c r="I15728" s="1063"/>
      <c r="J15728" s="1063"/>
      <c r="K15728" s="1063"/>
      <c r="L15728" s="1063"/>
    </row>
    <row r="15729" spans="5:12" x14ac:dyDescent="0.2">
      <c r="E15729" s="1063"/>
      <c r="H15729" s="1066"/>
      <c r="I15729" s="1063"/>
      <c r="J15729" s="1063"/>
      <c r="K15729" s="1063"/>
      <c r="L15729" s="1063"/>
    </row>
    <row r="15730" spans="5:12" x14ac:dyDescent="0.2">
      <c r="E15730" s="1063"/>
      <c r="H15730" s="1066"/>
      <c r="I15730" s="1063"/>
      <c r="J15730" s="1063"/>
      <c r="K15730" s="1063"/>
      <c r="L15730" s="1063"/>
    </row>
    <row r="15731" spans="5:12" x14ac:dyDescent="0.2">
      <c r="E15731" s="1063"/>
      <c r="H15731" s="1066"/>
      <c r="I15731" s="1063"/>
      <c r="J15731" s="1063"/>
      <c r="K15731" s="1063"/>
      <c r="L15731" s="1063"/>
    </row>
    <row r="15732" spans="5:12" x14ac:dyDescent="0.2">
      <c r="E15732" s="1063"/>
      <c r="H15732" s="1066"/>
      <c r="I15732" s="1063"/>
      <c r="J15732" s="1063"/>
      <c r="K15732" s="1063"/>
      <c r="L15732" s="1063"/>
    </row>
    <row r="15733" spans="5:12" x14ac:dyDescent="0.2">
      <c r="E15733" s="1063"/>
      <c r="H15733" s="1066"/>
      <c r="I15733" s="1063"/>
      <c r="J15733" s="1063"/>
      <c r="K15733" s="1063"/>
      <c r="L15733" s="1063"/>
    </row>
    <row r="15734" spans="5:12" x14ac:dyDescent="0.2">
      <c r="E15734" s="1063"/>
      <c r="H15734" s="1066"/>
      <c r="I15734" s="1063"/>
      <c r="J15734" s="1063"/>
      <c r="K15734" s="1063"/>
      <c r="L15734" s="1063"/>
    </row>
    <row r="15735" spans="5:12" x14ac:dyDescent="0.2">
      <c r="E15735" s="1063"/>
      <c r="H15735" s="1066"/>
      <c r="I15735" s="1063"/>
      <c r="J15735" s="1063"/>
      <c r="K15735" s="1063"/>
      <c r="L15735" s="1063"/>
    </row>
    <row r="15736" spans="5:12" x14ac:dyDescent="0.2">
      <c r="E15736" s="1063"/>
      <c r="H15736" s="1066"/>
      <c r="I15736" s="1063"/>
      <c r="J15736" s="1063"/>
      <c r="K15736" s="1063"/>
      <c r="L15736" s="1063"/>
    </row>
    <row r="15737" spans="5:12" x14ac:dyDescent="0.2">
      <c r="E15737" s="1063"/>
      <c r="H15737" s="1066"/>
      <c r="I15737" s="1063"/>
      <c r="J15737" s="1063"/>
      <c r="K15737" s="1063"/>
      <c r="L15737" s="1063"/>
    </row>
    <row r="15738" spans="5:12" x14ac:dyDescent="0.2">
      <c r="E15738" s="1063"/>
      <c r="H15738" s="1066"/>
      <c r="I15738" s="1063"/>
      <c r="J15738" s="1063"/>
      <c r="K15738" s="1063"/>
      <c r="L15738" s="1063"/>
    </row>
    <row r="15739" spans="5:12" x14ac:dyDescent="0.2">
      <c r="E15739" s="1063"/>
      <c r="H15739" s="1066"/>
      <c r="I15739" s="1063"/>
      <c r="J15739" s="1063"/>
      <c r="K15739" s="1063"/>
      <c r="L15739" s="1063"/>
    </row>
    <row r="15740" spans="5:12" x14ac:dyDescent="0.2">
      <c r="E15740" s="1063"/>
      <c r="H15740" s="1066"/>
      <c r="I15740" s="1063"/>
      <c r="J15740" s="1063"/>
      <c r="K15740" s="1063"/>
      <c r="L15740" s="1063"/>
    </row>
    <row r="15741" spans="5:12" x14ac:dyDescent="0.2">
      <c r="E15741" s="1063"/>
      <c r="H15741" s="1066"/>
      <c r="I15741" s="1063"/>
      <c r="J15741" s="1063"/>
      <c r="K15741" s="1063"/>
      <c r="L15741" s="1063"/>
    </row>
    <row r="15742" spans="5:12" x14ac:dyDescent="0.2">
      <c r="E15742" s="1063"/>
      <c r="H15742" s="1066"/>
      <c r="I15742" s="1063"/>
      <c r="J15742" s="1063"/>
      <c r="K15742" s="1063"/>
      <c r="L15742" s="1063"/>
    </row>
    <row r="15743" spans="5:12" x14ac:dyDescent="0.2">
      <c r="E15743" s="1063"/>
      <c r="H15743" s="1066"/>
      <c r="I15743" s="1063"/>
      <c r="J15743" s="1063"/>
      <c r="K15743" s="1063"/>
      <c r="L15743" s="1063"/>
    </row>
    <row r="15744" spans="5:12" x14ac:dyDescent="0.2">
      <c r="E15744" s="1063"/>
      <c r="H15744" s="1066"/>
      <c r="I15744" s="1063"/>
      <c r="J15744" s="1063"/>
      <c r="K15744" s="1063"/>
      <c r="L15744" s="1063"/>
    </row>
    <row r="15745" spans="5:12" x14ac:dyDescent="0.2">
      <c r="E15745" s="1063"/>
      <c r="H15745" s="1066"/>
      <c r="I15745" s="1063"/>
      <c r="J15745" s="1063"/>
      <c r="K15745" s="1063"/>
      <c r="L15745" s="1063"/>
    </row>
    <row r="15746" spans="5:12" x14ac:dyDescent="0.2">
      <c r="E15746" s="1063"/>
      <c r="H15746" s="1066"/>
      <c r="I15746" s="1063"/>
      <c r="J15746" s="1063"/>
      <c r="K15746" s="1063"/>
      <c r="L15746" s="1063"/>
    </row>
    <row r="15747" spans="5:12" x14ac:dyDescent="0.2">
      <c r="E15747" s="1063"/>
      <c r="H15747" s="1066"/>
      <c r="I15747" s="1063"/>
      <c r="J15747" s="1063"/>
      <c r="K15747" s="1063"/>
      <c r="L15747" s="1063"/>
    </row>
    <row r="15748" spans="5:12" x14ac:dyDescent="0.2">
      <c r="E15748" s="1063"/>
      <c r="H15748" s="1066"/>
      <c r="I15748" s="1063"/>
      <c r="J15748" s="1063"/>
      <c r="K15748" s="1063"/>
      <c r="L15748" s="1063"/>
    </row>
    <row r="15749" spans="5:12" x14ac:dyDescent="0.2">
      <c r="E15749" s="1063"/>
      <c r="H15749" s="1066"/>
      <c r="I15749" s="1063"/>
      <c r="J15749" s="1063"/>
      <c r="K15749" s="1063"/>
      <c r="L15749" s="1063"/>
    </row>
    <row r="15750" spans="5:12" x14ac:dyDescent="0.2">
      <c r="E15750" s="1063"/>
      <c r="H15750" s="1066"/>
      <c r="I15750" s="1063"/>
      <c r="J15750" s="1063"/>
      <c r="K15750" s="1063"/>
      <c r="L15750" s="1063"/>
    </row>
    <row r="15751" spans="5:12" x14ac:dyDescent="0.2">
      <c r="E15751" s="1063"/>
      <c r="H15751" s="1066"/>
      <c r="I15751" s="1063"/>
      <c r="J15751" s="1063"/>
      <c r="K15751" s="1063"/>
      <c r="L15751" s="1063"/>
    </row>
    <row r="15752" spans="5:12" x14ac:dyDescent="0.2">
      <c r="E15752" s="1063"/>
      <c r="H15752" s="1066"/>
      <c r="I15752" s="1063"/>
      <c r="J15752" s="1063"/>
      <c r="K15752" s="1063"/>
      <c r="L15752" s="1063"/>
    </row>
    <row r="15753" spans="5:12" x14ac:dyDescent="0.2">
      <c r="E15753" s="1063"/>
      <c r="H15753" s="1066"/>
      <c r="I15753" s="1063"/>
      <c r="J15753" s="1063"/>
      <c r="K15753" s="1063"/>
      <c r="L15753" s="1063"/>
    </row>
    <row r="15754" spans="5:12" x14ac:dyDescent="0.2">
      <c r="E15754" s="1063"/>
      <c r="H15754" s="1066"/>
      <c r="I15754" s="1063"/>
      <c r="J15754" s="1063"/>
      <c r="K15754" s="1063"/>
      <c r="L15754" s="1063"/>
    </row>
    <row r="15755" spans="5:12" x14ac:dyDescent="0.2">
      <c r="E15755" s="1063"/>
      <c r="H15755" s="1066"/>
      <c r="I15755" s="1063"/>
      <c r="J15755" s="1063"/>
      <c r="K15755" s="1063"/>
      <c r="L15755" s="1063"/>
    </row>
    <row r="15756" spans="5:12" x14ac:dyDescent="0.2">
      <c r="E15756" s="1063"/>
      <c r="H15756" s="1066"/>
      <c r="I15756" s="1063"/>
      <c r="J15756" s="1063"/>
      <c r="K15756" s="1063"/>
      <c r="L15756" s="1063"/>
    </row>
    <row r="15757" spans="5:12" x14ac:dyDescent="0.2">
      <c r="E15757" s="1063"/>
      <c r="H15757" s="1066"/>
      <c r="I15757" s="1063"/>
      <c r="J15757" s="1063"/>
      <c r="K15757" s="1063"/>
      <c r="L15757" s="1063"/>
    </row>
    <row r="15758" spans="5:12" x14ac:dyDescent="0.2">
      <c r="E15758" s="1063"/>
      <c r="H15758" s="1066"/>
      <c r="I15758" s="1063"/>
      <c r="J15758" s="1063"/>
      <c r="K15758" s="1063"/>
      <c r="L15758" s="1063"/>
    </row>
    <row r="15759" spans="5:12" x14ac:dyDescent="0.2">
      <c r="E15759" s="1063"/>
      <c r="H15759" s="1066"/>
      <c r="I15759" s="1063"/>
      <c r="J15759" s="1063"/>
      <c r="K15759" s="1063"/>
      <c r="L15759" s="1063"/>
    </row>
    <row r="15760" spans="5:12" x14ac:dyDescent="0.2">
      <c r="E15760" s="1063"/>
      <c r="H15760" s="1066"/>
      <c r="I15760" s="1063"/>
      <c r="J15760" s="1063"/>
      <c r="K15760" s="1063"/>
      <c r="L15760" s="1063"/>
    </row>
    <row r="15761" spans="5:12" x14ac:dyDescent="0.2">
      <c r="E15761" s="1063"/>
      <c r="H15761" s="1066"/>
      <c r="I15761" s="1063"/>
      <c r="J15761" s="1063"/>
      <c r="K15761" s="1063"/>
      <c r="L15761" s="1063"/>
    </row>
    <row r="15762" spans="5:12" x14ac:dyDescent="0.2">
      <c r="E15762" s="1063"/>
      <c r="H15762" s="1066"/>
      <c r="I15762" s="1063"/>
      <c r="J15762" s="1063"/>
      <c r="K15762" s="1063"/>
      <c r="L15762" s="1063"/>
    </row>
    <row r="15763" spans="5:12" x14ac:dyDescent="0.2">
      <c r="E15763" s="1063"/>
      <c r="H15763" s="1066"/>
      <c r="I15763" s="1063"/>
      <c r="J15763" s="1063"/>
      <c r="K15763" s="1063"/>
      <c r="L15763" s="1063"/>
    </row>
    <row r="15764" spans="5:12" x14ac:dyDescent="0.2">
      <c r="E15764" s="1063"/>
      <c r="H15764" s="1066"/>
      <c r="I15764" s="1063"/>
      <c r="J15764" s="1063"/>
      <c r="K15764" s="1063"/>
      <c r="L15764" s="1063"/>
    </row>
    <row r="15765" spans="5:12" x14ac:dyDescent="0.2">
      <c r="E15765" s="1063"/>
      <c r="H15765" s="1066"/>
      <c r="I15765" s="1063"/>
      <c r="J15765" s="1063"/>
      <c r="K15765" s="1063"/>
      <c r="L15765" s="1063"/>
    </row>
    <row r="15766" spans="5:12" x14ac:dyDescent="0.2">
      <c r="E15766" s="1063"/>
      <c r="H15766" s="1066"/>
      <c r="I15766" s="1063"/>
      <c r="J15766" s="1063"/>
      <c r="K15766" s="1063"/>
      <c r="L15766" s="1063"/>
    </row>
    <row r="15767" spans="5:12" x14ac:dyDescent="0.2">
      <c r="E15767" s="1063"/>
      <c r="H15767" s="1066"/>
      <c r="I15767" s="1063"/>
      <c r="J15767" s="1063"/>
      <c r="K15767" s="1063"/>
      <c r="L15767" s="1063"/>
    </row>
    <row r="15768" spans="5:12" x14ac:dyDescent="0.2">
      <c r="E15768" s="1063"/>
      <c r="H15768" s="1066"/>
      <c r="I15768" s="1063"/>
      <c r="J15768" s="1063"/>
      <c r="K15768" s="1063"/>
      <c r="L15768" s="1063"/>
    </row>
    <row r="15769" spans="5:12" x14ac:dyDescent="0.2">
      <c r="E15769" s="1063"/>
      <c r="H15769" s="1066"/>
      <c r="I15769" s="1063"/>
      <c r="J15769" s="1063"/>
      <c r="K15769" s="1063"/>
      <c r="L15769" s="1063"/>
    </row>
    <row r="15770" spans="5:12" x14ac:dyDescent="0.2">
      <c r="E15770" s="1063"/>
      <c r="H15770" s="1066"/>
      <c r="I15770" s="1063"/>
      <c r="J15770" s="1063"/>
      <c r="K15770" s="1063"/>
      <c r="L15770" s="1063"/>
    </row>
    <row r="15771" spans="5:12" x14ac:dyDescent="0.2">
      <c r="E15771" s="1063"/>
      <c r="H15771" s="1066"/>
      <c r="I15771" s="1063"/>
      <c r="J15771" s="1063"/>
      <c r="K15771" s="1063"/>
      <c r="L15771" s="1063"/>
    </row>
    <row r="15772" spans="5:12" x14ac:dyDescent="0.2">
      <c r="E15772" s="1063"/>
      <c r="H15772" s="1066"/>
      <c r="I15772" s="1063"/>
      <c r="J15772" s="1063"/>
      <c r="K15772" s="1063"/>
      <c r="L15772" s="1063"/>
    </row>
    <row r="15773" spans="5:12" x14ac:dyDescent="0.2">
      <c r="E15773" s="1063"/>
      <c r="H15773" s="1066"/>
      <c r="I15773" s="1063"/>
      <c r="J15773" s="1063"/>
      <c r="K15773" s="1063"/>
      <c r="L15773" s="1063"/>
    </row>
    <row r="15774" spans="5:12" x14ac:dyDescent="0.2">
      <c r="E15774" s="1063"/>
      <c r="H15774" s="1066"/>
      <c r="I15774" s="1063"/>
      <c r="J15774" s="1063"/>
      <c r="K15774" s="1063"/>
      <c r="L15774" s="1063"/>
    </row>
    <row r="15775" spans="5:12" x14ac:dyDescent="0.2">
      <c r="E15775" s="1063"/>
      <c r="H15775" s="1066"/>
      <c r="I15775" s="1063"/>
      <c r="J15775" s="1063"/>
      <c r="K15775" s="1063"/>
      <c r="L15775" s="1063"/>
    </row>
    <row r="15776" spans="5:12" x14ac:dyDescent="0.2">
      <c r="E15776" s="1063"/>
      <c r="H15776" s="1066"/>
      <c r="I15776" s="1063"/>
      <c r="J15776" s="1063"/>
      <c r="K15776" s="1063"/>
      <c r="L15776" s="1063"/>
    </row>
    <row r="15777" spans="5:12" x14ac:dyDescent="0.2">
      <c r="E15777" s="1063"/>
      <c r="H15777" s="1066"/>
      <c r="I15777" s="1063"/>
      <c r="J15777" s="1063"/>
      <c r="K15777" s="1063"/>
      <c r="L15777" s="1063"/>
    </row>
    <row r="15778" spans="5:12" x14ac:dyDescent="0.2">
      <c r="E15778" s="1063"/>
      <c r="H15778" s="1066"/>
      <c r="I15778" s="1063"/>
      <c r="J15778" s="1063"/>
      <c r="K15778" s="1063"/>
      <c r="L15778" s="1063"/>
    </row>
    <row r="15779" spans="5:12" x14ac:dyDescent="0.2">
      <c r="E15779" s="1063"/>
      <c r="H15779" s="1066"/>
      <c r="I15779" s="1063"/>
      <c r="J15779" s="1063"/>
      <c r="K15779" s="1063"/>
      <c r="L15779" s="1063"/>
    </row>
    <row r="15780" spans="5:12" x14ac:dyDescent="0.2">
      <c r="E15780" s="1063"/>
      <c r="H15780" s="1066"/>
      <c r="I15780" s="1063"/>
      <c r="J15780" s="1063"/>
      <c r="K15780" s="1063"/>
      <c r="L15780" s="1063"/>
    </row>
    <row r="15781" spans="5:12" x14ac:dyDescent="0.2">
      <c r="E15781" s="1063"/>
      <c r="H15781" s="1066"/>
      <c r="I15781" s="1063"/>
      <c r="J15781" s="1063"/>
      <c r="K15781" s="1063"/>
      <c r="L15781" s="1063"/>
    </row>
    <row r="15782" spans="5:12" x14ac:dyDescent="0.2">
      <c r="E15782" s="1063"/>
      <c r="H15782" s="1066"/>
      <c r="I15782" s="1063"/>
      <c r="J15782" s="1063"/>
      <c r="K15782" s="1063"/>
      <c r="L15782" s="1063"/>
    </row>
    <row r="15783" spans="5:12" x14ac:dyDescent="0.2">
      <c r="E15783" s="1063"/>
      <c r="H15783" s="1066"/>
      <c r="I15783" s="1063"/>
      <c r="J15783" s="1063"/>
      <c r="K15783" s="1063"/>
      <c r="L15783" s="1063"/>
    </row>
    <row r="15784" spans="5:12" x14ac:dyDescent="0.2">
      <c r="E15784" s="1063"/>
      <c r="H15784" s="1066"/>
      <c r="I15784" s="1063"/>
      <c r="J15784" s="1063"/>
      <c r="K15784" s="1063"/>
      <c r="L15784" s="1063"/>
    </row>
    <row r="15785" spans="5:12" x14ac:dyDescent="0.2">
      <c r="E15785" s="1063"/>
      <c r="H15785" s="1066"/>
      <c r="I15785" s="1063"/>
      <c r="J15785" s="1063"/>
      <c r="K15785" s="1063"/>
      <c r="L15785" s="1063"/>
    </row>
    <row r="15786" spans="5:12" x14ac:dyDescent="0.2">
      <c r="E15786" s="1063"/>
      <c r="H15786" s="1066"/>
      <c r="I15786" s="1063"/>
      <c r="J15786" s="1063"/>
      <c r="K15786" s="1063"/>
      <c r="L15786" s="1063"/>
    </row>
    <row r="15787" spans="5:12" x14ac:dyDescent="0.2">
      <c r="E15787" s="1063"/>
      <c r="H15787" s="1066"/>
      <c r="I15787" s="1063"/>
      <c r="J15787" s="1063"/>
      <c r="K15787" s="1063"/>
      <c r="L15787" s="1063"/>
    </row>
    <row r="15788" spans="5:12" x14ac:dyDescent="0.2">
      <c r="E15788" s="1063"/>
      <c r="H15788" s="1066"/>
      <c r="I15788" s="1063"/>
      <c r="J15788" s="1063"/>
      <c r="K15788" s="1063"/>
      <c r="L15788" s="1063"/>
    </row>
    <row r="15789" spans="5:12" x14ac:dyDescent="0.2">
      <c r="E15789" s="1063"/>
      <c r="H15789" s="1066"/>
      <c r="I15789" s="1063"/>
      <c r="J15789" s="1063"/>
      <c r="K15789" s="1063"/>
      <c r="L15789" s="1063"/>
    </row>
    <row r="15790" spans="5:12" x14ac:dyDescent="0.2">
      <c r="E15790" s="1063"/>
      <c r="H15790" s="1066"/>
      <c r="I15790" s="1063"/>
      <c r="J15790" s="1063"/>
      <c r="K15790" s="1063"/>
      <c r="L15790" s="1063"/>
    </row>
    <row r="15791" spans="5:12" x14ac:dyDescent="0.2">
      <c r="E15791" s="1063"/>
      <c r="H15791" s="1066"/>
      <c r="I15791" s="1063"/>
      <c r="J15791" s="1063"/>
      <c r="K15791" s="1063"/>
      <c r="L15791" s="1063"/>
    </row>
    <row r="15792" spans="5:12" x14ac:dyDescent="0.2">
      <c r="E15792" s="1063"/>
      <c r="H15792" s="1066"/>
      <c r="I15792" s="1063"/>
      <c r="J15792" s="1063"/>
      <c r="K15792" s="1063"/>
      <c r="L15792" s="1063"/>
    </row>
    <row r="15793" spans="5:12" x14ac:dyDescent="0.2">
      <c r="E15793" s="1063"/>
      <c r="H15793" s="1066"/>
      <c r="I15793" s="1063"/>
      <c r="J15793" s="1063"/>
      <c r="K15793" s="1063"/>
      <c r="L15793" s="1063"/>
    </row>
    <row r="15794" spans="5:12" x14ac:dyDescent="0.2">
      <c r="E15794" s="1063"/>
      <c r="H15794" s="1066"/>
      <c r="I15794" s="1063"/>
      <c r="J15794" s="1063"/>
      <c r="K15794" s="1063"/>
      <c r="L15794" s="1063"/>
    </row>
    <row r="15795" spans="5:12" x14ac:dyDescent="0.2">
      <c r="E15795" s="1063"/>
      <c r="H15795" s="1066"/>
      <c r="I15795" s="1063"/>
      <c r="J15795" s="1063"/>
      <c r="K15795" s="1063"/>
      <c r="L15795" s="1063"/>
    </row>
    <row r="15796" spans="5:12" x14ac:dyDescent="0.2">
      <c r="E15796" s="1063"/>
      <c r="H15796" s="1066"/>
      <c r="I15796" s="1063"/>
      <c r="J15796" s="1063"/>
      <c r="K15796" s="1063"/>
      <c r="L15796" s="1063"/>
    </row>
    <row r="15797" spans="5:12" x14ac:dyDescent="0.2">
      <c r="E15797" s="1063"/>
      <c r="H15797" s="1066"/>
      <c r="I15797" s="1063"/>
      <c r="J15797" s="1063"/>
      <c r="K15797" s="1063"/>
      <c r="L15797" s="1063"/>
    </row>
    <row r="15798" spans="5:12" x14ac:dyDescent="0.2">
      <c r="E15798" s="1063"/>
      <c r="H15798" s="1066"/>
      <c r="I15798" s="1063"/>
      <c r="J15798" s="1063"/>
      <c r="K15798" s="1063"/>
      <c r="L15798" s="1063"/>
    </row>
    <row r="15799" spans="5:12" x14ac:dyDescent="0.2">
      <c r="E15799" s="1063"/>
      <c r="H15799" s="1066"/>
      <c r="I15799" s="1063"/>
      <c r="J15799" s="1063"/>
      <c r="K15799" s="1063"/>
      <c r="L15799" s="1063"/>
    </row>
    <row r="15800" spans="5:12" x14ac:dyDescent="0.2">
      <c r="E15800" s="1063"/>
      <c r="H15800" s="1066"/>
      <c r="I15800" s="1063"/>
      <c r="J15800" s="1063"/>
      <c r="K15800" s="1063"/>
      <c r="L15800" s="1063"/>
    </row>
    <row r="15801" spans="5:12" x14ac:dyDescent="0.2">
      <c r="E15801" s="1063"/>
      <c r="H15801" s="1066"/>
      <c r="I15801" s="1063"/>
      <c r="J15801" s="1063"/>
      <c r="K15801" s="1063"/>
      <c r="L15801" s="1063"/>
    </row>
    <row r="15802" spans="5:12" x14ac:dyDescent="0.2">
      <c r="E15802" s="1063"/>
      <c r="H15802" s="1066"/>
      <c r="I15802" s="1063"/>
      <c r="J15802" s="1063"/>
      <c r="K15802" s="1063"/>
      <c r="L15802" s="1063"/>
    </row>
    <row r="15803" spans="5:12" x14ac:dyDescent="0.2">
      <c r="E15803" s="1063"/>
      <c r="H15803" s="1066"/>
      <c r="I15803" s="1063"/>
      <c r="J15803" s="1063"/>
      <c r="K15803" s="1063"/>
      <c r="L15803" s="1063"/>
    </row>
    <row r="15804" spans="5:12" x14ac:dyDescent="0.2">
      <c r="E15804" s="1063"/>
      <c r="H15804" s="1066"/>
      <c r="I15804" s="1063"/>
      <c r="J15804" s="1063"/>
      <c r="K15804" s="1063"/>
      <c r="L15804" s="1063"/>
    </row>
    <row r="15805" spans="5:12" x14ac:dyDescent="0.2">
      <c r="E15805" s="1063"/>
      <c r="H15805" s="1066"/>
      <c r="I15805" s="1063"/>
      <c r="J15805" s="1063"/>
      <c r="K15805" s="1063"/>
      <c r="L15805" s="1063"/>
    </row>
    <row r="15806" spans="5:12" x14ac:dyDescent="0.2">
      <c r="E15806" s="1063"/>
      <c r="H15806" s="1066"/>
      <c r="I15806" s="1063"/>
      <c r="J15806" s="1063"/>
      <c r="K15806" s="1063"/>
      <c r="L15806" s="1063"/>
    </row>
    <row r="15807" spans="5:12" x14ac:dyDescent="0.2">
      <c r="E15807" s="1063"/>
      <c r="H15807" s="1066"/>
      <c r="I15807" s="1063"/>
      <c r="J15807" s="1063"/>
      <c r="K15807" s="1063"/>
      <c r="L15807" s="1063"/>
    </row>
    <row r="15808" spans="5:12" x14ac:dyDescent="0.2">
      <c r="E15808" s="1063"/>
      <c r="H15808" s="1066"/>
      <c r="I15808" s="1063"/>
      <c r="J15808" s="1063"/>
      <c r="K15808" s="1063"/>
      <c r="L15808" s="1063"/>
    </row>
    <row r="15809" spans="5:12" x14ac:dyDescent="0.2">
      <c r="E15809" s="1063"/>
      <c r="H15809" s="1066"/>
      <c r="I15809" s="1063"/>
      <c r="J15809" s="1063"/>
      <c r="K15809" s="1063"/>
      <c r="L15809" s="1063"/>
    </row>
    <row r="15810" spans="5:12" x14ac:dyDescent="0.2">
      <c r="E15810" s="1063"/>
      <c r="H15810" s="1066"/>
      <c r="I15810" s="1063"/>
      <c r="J15810" s="1063"/>
      <c r="K15810" s="1063"/>
      <c r="L15810" s="1063"/>
    </row>
    <row r="15811" spans="5:12" x14ac:dyDescent="0.2">
      <c r="E15811" s="1063"/>
      <c r="H15811" s="1066"/>
      <c r="I15811" s="1063"/>
      <c r="J15811" s="1063"/>
      <c r="K15811" s="1063"/>
      <c r="L15811" s="1063"/>
    </row>
    <row r="15812" spans="5:12" x14ac:dyDescent="0.2">
      <c r="E15812" s="1063"/>
      <c r="H15812" s="1066"/>
      <c r="I15812" s="1063"/>
      <c r="J15812" s="1063"/>
      <c r="K15812" s="1063"/>
      <c r="L15812" s="1063"/>
    </row>
    <row r="15813" spans="5:12" x14ac:dyDescent="0.2">
      <c r="E15813" s="1063"/>
      <c r="H15813" s="1066"/>
      <c r="I15813" s="1063"/>
      <c r="J15813" s="1063"/>
      <c r="K15813" s="1063"/>
      <c r="L15813" s="1063"/>
    </row>
    <row r="15814" spans="5:12" x14ac:dyDescent="0.2">
      <c r="E15814" s="1063"/>
      <c r="H15814" s="1066"/>
      <c r="I15814" s="1063"/>
      <c r="J15814" s="1063"/>
      <c r="K15814" s="1063"/>
      <c r="L15814" s="1063"/>
    </row>
    <row r="15815" spans="5:12" x14ac:dyDescent="0.2">
      <c r="E15815" s="1063"/>
      <c r="H15815" s="1066"/>
      <c r="I15815" s="1063"/>
      <c r="J15815" s="1063"/>
      <c r="K15815" s="1063"/>
      <c r="L15815" s="1063"/>
    </row>
    <row r="15816" spans="5:12" x14ac:dyDescent="0.2">
      <c r="E15816" s="1063"/>
      <c r="H15816" s="1066"/>
      <c r="I15816" s="1063"/>
      <c r="J15816" s="1063"/>
      <c r="K15816" s="1063"/>
      <c r="L15816" s="1063"/>
    </row>
    <row r="15817" spans="5:12" x14ac:dyDescent="0.2">
      <c r="E15817" s="1063"/>
      <c r="H15817" s="1066"/>
      <c r="I15817" s="1063"/>
      <c r="J15817" s="1063"/>
      <c r="K15817" s="1063"/>
      <c r="L15817" s="1063"/>
    </row>
    <row r="15818" spans="5:12" x14ac:dyDescent="0.2">
      <c r="E15818" s="1063"/>
      <c r="H15818" s="1066"/>
      <c r="I15818" s="1063"/>
      <c r="J15818" s="1063"/>
      <c r="K15818" s="1063"/>
      <c r="L15818" s="1063"/>
    </row>
    <row r="15819" spans="5:12" x14ac:dyDescent="0.2">
      <c r="E15819" s="1063"/>
      <c r="H15819" s="1066"/>
      <c r="I15819" s="1063"/>
      <c r="J15819" s="1063"/>
      <c r="K15819" s="1063"/>
      <c r="L15819" s="1063"/>
    </row>
    <row r="15820" spans="5:12" x14ac:dyDescent="0.2">
      <c r="E15820" s="1063"/>
      <c r="H15820" s="1066"/>
      <c r="I15820" s="1063"/>
      <c r="J15820" s="1063"/>
      <c r="K15820" s="1063"/>
      <c r="L15820" s="1063"/>
    </row>
    <row r="15821" spans="5:12" x14ac:dyDescent="0.2">
      <c r="E15821" s="1063"/>
      <c r="H15821" s="1066"/>
      <c r="I15821" s="1063"/>
      <c r="J15821" s="1063"/>
      <c r="K15821" s="1063"/>
      <c r="L15821" s="1063"/>
    </row>
    <row r="15822" spans="5:12" x14ac:dyDescent="0.2">
      <c r="E15822" s="1063"/>
      <c r="H15822" s="1066"/>
      <c r="I15822" s="1063"/>
      <c r="J15822" s="1063"/>
      <c r="K15822" s="1063"/>
      <c r="L15822" s="1063"/>
    </row>
    <row r="15823" spans="5:12" x14ac:dyDescent="0.2">
      <c r="E15823" s="1063"/>
      <c r="H15823" s="1066"/>
      <c r="I15823" s="1063"/>
      <c r="J15823" s="1063"/>
      <c r="K15823" s="1063"/>
      <c r="L15823" s="1063"/>
    </row>
    <row r="15824" spans="5:12" x14ac:dyDescent="0.2">
      <c r="E15824" s="1063"/>
      <c r="H15824" s="1066"/>
      <c r="I15824" s="1063"/>
      <c r="J15824" s="1063"/>
      <c r="K15824" s="1063"/>
      <c r="L15824" s="1063"/>
    </row>
    <row r="15825" spans="5:12" x14ac:dyDescent="0.2">
      <c r="E15825" s="1063"/>
      <c r="H15825" s="1066"/>
      <c r="I15825" s="1063"/>
      <c r="J15825" s="1063"/>
      <c r="K15825" s="1063"/>
      <c r="L15825" s="1063"/>
    </row>
    <row r="15826" spans="5:12" x14ac:dyDescent="0.2">
      <c r="E15826" s="1063"/>
      <c r="H15826" s="1066"/>
      <c r="I15826" s="1063"/>
      <c r="J15826" s="1063"/>
      <c r="K15826" s="1063"/>
      <c r="L15826" s="1063"/>
    </row>
    <row r="15827" spans="5:12" x14ac:dyDescent="0.2">
      <c r="E15827" s="1063"/>
      <c r="H15827" s="1066"/>
      <c r="I15827" s="1063"/>
      <c r="J15827" s="1063"/>
      <c r="K15827" s="1063"/>
      <c r="L15827" s="1063"/>
    </row>
    <row r="15828" spans="5:12" x14ac:dyDescent="0.2">
      <c r="E15828" s="1063"/>
      <c r="H15828" s="1066"/>
      <c r="I15828" s="1063"/>
      <c r="J15828" s="1063"/>
      <c r="K15828" s="1063"/>
      <c r="L15828" s="1063"/>
    </row>
    <row r="15829" spans="5:12" x14ac:dyDescent="0.2">
      <c r="E15829" s="1063"/>
      <c r="H15829" s="1066"/>
      <c r="I15829" s="1063"/>
      <c r="J15829" s="1063"/>
      <c r="K15829" s="1063"/>
      <c r="L15829" s="1063"/>
    </row>
    <row r="15830" spans="5:12" x14ac:dyDescent="0.2">
      <c r="E15830" s="1063"/>
      <c r="H15830" s="1066"/>
      <c r="I15830" s="1063"/>
      <c r="J15830" s="1063"/>
      <c r="K15830" s="1063"/>
      <c r="L15830" s="1063"/>
    </row>
    <row r="15831" spans="5:12" x14ac:dyDescent="0.2">
      <c r="E15831" s="1063"/>
      <c r="H15831" s="1066"/>
      <c r="I15831" s="1063"/>
      <c r="J15831" s="1063"/>
      <c r="K15831" s="1063"/>
      <c r="L15831" s="1063"/>
    </row>
    <row r="15832" spans="5:12" x14ac:dyDescent="0.2">
      <c r="E15832" s="1063"/>
      <c r="H15832" s="1066"/>
      <c r="I15832" s="1063"/>
      <c r="J15832" s="1063"/>
      <c r="K15832" s="1063"/>
      <c r="L15832" s="1063"/>
    </row>
    <row r="15833" spans="5:12" x14ac:dyDescent="0.2">
      <c r="E15833" s="1063"/>
      <c r="H15833" s="1066"/>
      <c r="I15833" s="1063"/>
      <c r="J15833" s="1063"/>
      <c r="K15833" s="1063"/>
      <c r="L15833" s="1063"/>
    </row>
    <row r="15834" spans="5:12" x14ac:dyDescent="0.2">
      <c r="E15834" s="1063"/>
      <c r="H15834" s="1066"/>
      <c r="I15834" s="1063"/>
      <c r="J15834" s="1063"/>
      <c r="K15834" s="1063"/>
      <c r="L15834" s="1063"/>
    </row>
    <row r="15835" spans="5:12" x14ac:dyDescent="0.2">
      <c r="E15835" s="1063"/>
      <c r="H15835" s="1066"/>
      <c r="I15835" s="1063"/>
      <c r="J15835" s="1063"/>
      <c r="K15835" s="1063"/>
      <c r="L15835" s="1063"/>
    </row>
    <row r="15836" spans="5:12" x14ac:dyDescent="0.2">
      <c r="E15836" s="1063"/>
      <c r="H15836" s="1066"/>
      <c r="I15836" s="1063"/>
      <c r="J15836" s="1063"/>
      <c r="K15836" s="1063"/>
      <c r="L15836" s="1063"/>
    </row>
    <row r="15837" spans="5:12" x14ac:dyDescent="0.2">
      <c r="E15837" s="1063"/>
      <c r="H15837" s="1066"/>
      <c r="I15837" s="1063"/>
      <c r="J15837" s="1063"/>
      <c r="K15837" s="1063"/>
      <c r="L15837" s="1063"/>
    </row>
    <row r="15838" spans="5:12" x14ac:dyDescent="0.2">
      <c r="E15838" s="1063"/>
      <c r="H15838" s="1066"/>
      <c r="I15838" s="1063"/>
      <c r="J15838" s="1063"/>
      <c r="K15838" s="1063"/>
      <c r="L15838" s="1063"/>
    </row>
    <row r="15839" spans="5:12" x14ac:dyDescent="0.2">
      <c r="E15839" s="1063"/>
      <c r="H15839" s="1066"/>
      <c r="I15839" s="1063"/>
      <c r="J15839" s="1063"/>
      <c r="K15839" s="1063"/>
      <c r="L15839" s="1063"/>
    </row>
    <row r="15840" spans="5:12" x14ac:dyDescent="0.2">
      <c r="E15840" s="1063"/>
      <c r="H15840" s="1066"/>
      <c r="I15840" s="1063"/>
      <c r="J15840" s="1063"/>
      <c r="K15840" s="1063"/>
      <c r="L15840" s="1063"/>
    </row>
    <row r="15841" spans="5:12" x14ac:dyDescent="0.2">
      <c r="E15841" s="1063"/>
      <c r="H15841" s="1066"/>
      <c r="I15841" s="1063"/>
      <c r="J15841" s="1063"/>
      <c r="K15841" s="1063"/>
      <c r="L15841" s="1063"/>
    </row>
    <row r="15842" spans="5:12" x14ac:dyDescent="0.2">
      <c r="E15842" s="1063"/>
      <c r="H15842" s="1066"/>
      <c r="I15842" s="1063"/>
      <c r="J15842" s="1063"/>
      <c r="K15842" s="1063"/>
      <c r="L15842" s="1063"/>
    </row>
    <row r="15843" spans="5:12" x14ac:dyDescent="0.2">
      <c r="E15843" s="1063"/>
      <c r="H15843" s="1066"/>
      <c r="I15843" s="1063"/>
      <c r="J15843" s="1063"/>
      <c r="K15843" s="1063"/>
      <c r="L15843" s="1063"/>
    </row>
    <row r="15844" spans="5:12" x14ac:dyDescent="0.2">
      <c r="E15844" s="1063"/>
      <c r="H15844" s="1066"/>
      <c r="I15844" s="1063"/>
      <c r="J15844" s="1063"/>
      <c r="K15844" s="1063"/>
      <c r="L15844" s="1063"/>
    </row>
    <row r="15845" spans="5:12" x14ac:dyDescent="0.2">
      <c r="E15845" s="1063"/>
      <c r="H15845" s="1066"/>
      <c r="I15845" s="1063"/>
      <c r="J15845" s="1063"/>
      <c r="K15845" s="1063"/>
      <c r="L15845" s="1063"/>
    </row>
    <row r="15846" spans="5:12" x14ac:dyDescent="0.2">
      <c r="E15846" s="1063"/>
      <c r="H15846" s="1066"/>
      <c r="I15846" s="1063"/>
      <c r="J15846" s="1063"/>
      <c r="K15846" s="1063"/>
      <c r="L15846" s="1063"/>
    </row>
    <row r="15847" spans="5:12" x14ac:dyDescent="0.2">
      <c r="E15847" s="1063"/>
      <c r="H15847" s="1066"/>
      <c r="I15847" s="1063"/>
      <c r="J15847" s="1063"/>
      <c r="K15847" s="1063"/>
      <c r="L15847" s="1063"/>
    </row>
    <row r="15848" spans="5:12" x14ac:dyDescent="0.2">
      <c r="E15848" s="1063"/>
      <c r="H15848" s="1066"/>
      <c r="I15848" s="1063"/>
      <c r="J15848" s="1063"/>
      <c r="K15848" s="1063"/>
      <c r="L15848" s="1063"/>
    </row>
    <row r="15849" spans="5:12" x14ac:dyDescent="0.2">
      <c r="E15849" s="1063"/>
      <c r="H15849" s="1066"/>
      <c r="I15849" s="1063"/>
      <c r="J15849" s="1063"/>
      <c r="K15849" s="1063"/>
      <c r="L15849" s="1063"/>
    </row>
    <row r="15850" spans="5:12" x14ac:dyDescent="0.2">
      <c r="E15850" s="1063"/>
      <c r="H15850" s="1066"/>
      <c r="I15850" s="1063"/>
      <c r="J15850" s="1063"/>
      <c r="K15850" s="1063"/>
      <c r="L15850" s="1063"/>
    </row>
    <row r="15851" spans="5:12" x14ac:dyDescent="0.2">
      <c r="E15851" s="1063"/>
      <c r="H15851" s="1066"/>
      <c r="I15851" s="1063"/>
      <c r="J15851" s="1063"/>
      <c r="K15851" s="1063"/>
      <c r="L15851" s="1063"/>
    </row>
    <row r="15852" spans="5:12" x14ac:dyDescent="0.2">
      <c r="E15852" s="1063"/>
      <c r="H15852" s="1066"/>
      <c r="I15852" s="1063"/>
      <c r="J15852" s="1063"/>
      <c r="K15852" s="1063"/>
      <c r="L15852" s="1063"/>
    </row>
    <row r="15853" spans="5:12" x14ac:dyDescent="0.2">
      <c r="E15853" s="1063"/>
      <c r="H15853" s="1066"/>
      <c r="I15853" s="1063"/>
      <c r="J15853" s="1063"/>
      <c r="K15853" s="1063"/>
      <c r="L15853" s="1063"/>
    </row>
    <row r="15854" spans="5:12" x14ac:dyDescent="0.2">
      <c r="E15854" s="1063"/>
      <c r="H15854" s="1066"/>
      <c r="I15854" s="1063"/>
      <c r="J15854" s="1063"/>
      <c r="K15854" s="1063"/>
      <c r="L15854" s="1063"/>
    </row>
    <row r="15855" spans="5:12" x14ac:dyDescent="0.2">
      <c r="E15855" s="1063"/>
      <c r="H15855" s="1066"/>
      <c r="I15855" s="1063"/>
      <c r="J15855" s="1063"/>
      <c r="K15855" s="1063"/>
      <c r="L15855" s="1063"/>
    </row>
    <row r="15856" spans="5:12" x14ac:dyDescent="0.2">
      <c r="E15856" s="1063"/>
      <c r="H15856" s="1066"/>
      <c r="I15856" s="1063"/>
      <c r="J15856" s="1063"/>
      <c r="K15856" s="1063"/>
      <c r="L15856" s="1063"/>
    </row>
    <row r="15857" spans="5:12" x14ac:dyDescent="0.2">
      <c r="E15857" s="1063"/>
      <c r="H15857" s="1066"/>
      <c r="I15857" s="1063"/>
      <c r="J15857" s="1063"/>
      <c r="K15857" s="1063"/>
      <c r="L15857" s="1063"/>
    </row>
    <row r="15858" spans="5:12" x14ac:dyDescent="0.2">
      <c r="E15858" s="1063"/>
      <c r="H15858" s="1066"/>
      <c r="I15858" s="1063"/>
      <c r="J15858" s="1063"/>
      <c r="K15858" s="1063"/>
      <c r="L15858" s="1063"/>
    </row>
    <row r="15859" spans="5:12" x14ac:dyDescent="0.2">
      <c r="E15859" s="1063"/>
      <c r="H15859" s="1066"/>
      <c r="I15859" s="1063"/>
      <c r="J15859" s="1063"/>
      <c r="K15859" s="1063"/>
      <c r="L15859" s="1063"/>
    </row>
    <row r="15860" spans="5:12" x14ac:dyDescent="0.2">
      <c r="E15860" s="1063"/>
      <c r="H15860" s="1066"/>
      <c r="I15860" s="1063"/>
      <c r="J15860" s="1063"/>
      <c r="K15860" s="1063"/>
      <c r="L15860" s="1063"/>
    </row>
    <row r="15861" spans="5:12" x14ac:dyDescent="0.2">
      <c r="E15861" s="1063"/>
      <c r="H15861" s="1066"/>
      <c r="I15861" s="1063"/>
      <c r="J15861" s="1063"/>
      <c r="K15861" s="1063"/>
      <c r="L15861" s="1063"/>
    </row>
    <row r="15862" spans="5:12" x14ac:dyDescent="0.2">
      <c r="E15862" s="1063"/>
      <c r="H15862" s="1066"/>
      <c r="I15862" s="1063"/>
      <c r="J15862" s="1063"/>
      <c r="K15862" s="1063"/>
      <c r="L15862" s="1063"/>
    </row>
    <row r="15863" spans="5:12" x14ac:dyDescent="0.2">
      <c r="E15863" s="1063"/>
      <c r="H15863" s="1066"/>
      <c r="I15863" s="1063"/>
      <c r="J15863" s="1063"/>
      <c r="K15863" s="1063"/>
      <c r="L15863" s="1063"/>
    </row>
    <row r="15864" spans="5:12" x14ac:dyDescent="0.2">
      <c r="E15864" s="1063"/>
      <c r="H15864" s="1066"/>
      <c r="I15864" s="1063"/>
      <c r="J15864" s="1063"/>
      <c r="K15864" s="1063"/>
      <c r="L15864" s="1063"/>
    </row>
    <row r="15865" spans="5:12" x14ac:dyDescent="0.2">
      <c r="E15865" s="1063"/>
      <c r="H15865" s="1066"/>
      <c r="I15865" s="1063"/>
      <c r="J15865" s="1063"/>
      <c r="K15865" s="1063"/>
      <c r="L15865" s="1063"/>
    </row>
    <row r="15866" spans="5:12" x14ac:dyDescent="0.2">
      <c r="E15866" s="1063"/>
      <c r="H15866" s="1066"/>
      <c r="I15866" s="1063"/>
      <c r="J15866" s="1063"/>
      <c r="K15866" s="1063"/>
      <c r="L15866" s="1063"/>
    </row>
    <row r="15867" spans="5:12" x14ac:dyDescent="0.2">
      <c r="E15867" s="1063"/>
      <c r="H15867" s="1066"/>
      <c r="I15867" s="1063"/>
      <c r="J15867" s="1063"/>
      <c r="K15867" s="1063"/>
      <c r="L15867" s="1063"/>
    </row>
    <row r="15868" spans="5:12" x14ac:dyDescent="0.2">
      <c r="E15868" s="1063"/>
      <c r="H15868" s="1066"/>
      <c r="I15868" s="1063"/>
      <c r="J15868" s="1063"/>
      <c r="K15868" s="1063"/>
      <c r="L15868" s="1063"/>
    </row>
    <row r="15869" spans="5:12" x14ac:dyDescent="0.2">
      <c r="E15869" s="1063"/>
      <c r="H15869" s="1066"/>
      <c r="I15869" s="1063"/>
      <c r="J15869" s="1063"/>
      <c r="K15869" s="1063"/>
      <c r="L15869" s="1063"/>
    </row>
    <row r="15870" spans="5:12" x14ac:dyDescent="0.2">
      <c r="E15870" s="1063"/>
      <c r="H15870" s="1066"/>
      <c r="I15870" s="1063"/>
      <c r="J15870" s="1063"/>
      <c r="K15870" s="1063"/>
      <c r="L15870" s="1063"/>
    </row>
    <row r="15871" spans="5:12" x14ac:dyDescent="0.2">
      <c r="E15871" s="1063"/>
      <c r="H15871" s="1066"/>
      <c r="I15871" s="1063"/>
      <c r="J15871" s="1063"/>
      <c r="K15871" s="1063"/>
      <c r="L15871" s="1063"/>
    </row>
    <row r="15872" spans="5:12" x14ac:dyDescent="0.2">
      <c r="E15872" s="1063"/>
      <c r="H15872" s="1066"/>
      <c r="I15872" s="1063"/>
      <c r="J15872" s="1063"/>
      <c r="K15872" s="1063"/>
      <c r="L15872" s="1063"/>
    </row>
    <row r="15873" spans="5:12" x14ac:dyDescent="0.2">
      <c r="E15873" s="1063"/>
      <c r="H15873" s="1066"/>
      <c r="I15873" s="1063"/>
      <c r="J15873" s="1063"/>
      <c r="K15873" s="1063"/>
      <c r="L15873" s="1063"/>
    </row>
    <row r="15874" spans="5:12" x14ac:dyDescent="0.2">
      <c r="E15874" s="1063"/>
      <c r="H15874" s="1066"/>
      <c r="I15874" s="1063"/>
      <c r="J15874" s="1063"/>
      <c r="K15874" s="1063"/>
      <c r="L15874" s="1063"/>
    </row>
    <row r="15875" spans="5:12" x14ac:dyDescent="0.2">
      <c r="E15875" s="1063"/>
      <c r="H15875" s="1066"/>
      <c r="I15875" s="1063"/>
      <c r="J15875" s="1063"/>
      <c r="K15875" s="1063"/>
      <c r="L15875" s="1063"/>
    </row>
    <row r="15876" spans="5:12" x14ac:dyDescent="0.2">
      <c r="E15876" s="1063"/>
      <c r="H15876" s="1066"/>
      <c r="I15876" s="1063"/>
      <c r="J15876" s="1063"/>
      <c r="K15876" s="1063"/>
      <c r="L15876" s="1063"/>
    </row>
    <row r="15877" spans="5:12" x14ac:dyDescent="0.2">
      <c r="E15877" s="1063"/>
      <c r="H15877" s="1066"/>
      <c r="I15877" s="1063"/>
      <c r="J15877" s="1063"/>
      <c r="K15877" s="1063"/>
      <c r="L15877" s="1063"/>
    </row>
    <row r="15878" spans="5:12" x14ac:dyDescent="0.2">
      <c r="E15878" s="1063"/>
      <c r="H15878" s="1066"/>
      <c r="I15878" s="1063"/>
      <c r="J15878" s="1063"/>
      <c r="K15878" s="1063"/>
      <c r="L15878" s="1063"/>
    </row>
    <row r="15879" spans="5:12" x14ac:dyDescent="0.2">
      <c r="E15879" s="1063"/>
      <c r="H15879" s="1066"/>
      <c r="I15879" s="1063"/>
      <c r="J15879" s="1063"/>
      <c r="K15879" s="1063"/>
      <c r="L15879" s="1063"/>
    </row>
    <row r="15880" spans="5:12" x14ac:dyDescent="0.2">
      <c r="E15880" s="1063"/>
      <c r="H15880" s="1066"/>
      <c r="I15880" s="1063"/>
      <c r="J15880" s="1063"/>
      <c r="K15880" s="1063"/>
      <c r="L15880" s="1063"/>
    </row>
    <row r="15881" spans="5:12" x14ac:dyDescent="0.2">
      <c r="E15881" s="1063"/>
      <c r="H15881" s="1066"/>
      <c r="I15881" s="1063"/>
      <c r="J15881" s="1063"/>
      <c r="K15881" s="1063"/>
      <c r="L15881" s="1063"/>
    </row>
    <row r="15882" spans="5:12" x14ac:dyDescent="0.2">
      <c r="E15882" s="1063"/>
      <c r="H15882" s="1066"/>
      <c r="I15882" s="1063"/>
      <c r="J15882" s="1063"/>
      <c r="K15882" s="1063"/>
      <c r="L15882" s="1063"/>
    </row>
    <row r="15883" spans="5:12" x14ac:dyDescent="0.2">
      <c r="E15883" s="1063"/>
      <c r="H15883" s="1066"/>
      <c r="I15883" s="1063"/>
      <c r="J15883" s="1063"/>
      <c r="K15883" s="1063"/>
      <c r="L15883" s="1063"/>
    </row>
    <row r="15884" spans="5:12" x14ac:dyDescent="0.2">
      <c r="E15884" s="1063"/>
      <c r="H15884" s="1066"/>
      <c r="I15884" s="1063"/>
      <c r="J15884" s="1063"/>
      <c r="K15884" s="1063"/>
      <c r="L15884" s="1063"/>
    </row>
    <row r="15885" spans="5:12" x14ac:dyDescent="0.2">
      <c r="E15885" s="1063"/>
      <c r="H15885" s="1066"/>
      <c r="I15885" s="1063"/>
      <c r="J15885" s="1063"/>
      <c r="K15885" s="1063"/>
      <c r="L15885" s="1063"/>
    </row>
    <row r="15886" spans="5:12" x14ac:dyDescent="0.2">
      <c r="E15886" s="1063"/>
      <c r="H15886" s="1066"/>
      <c r="I15886" s="1063"/>
      <c r="J15886" s="1063"/>
      <c r="K15886" s="1063"/>
      <c r="L15886" s="1063"/>
    </row>
    <row r="15887" spans="5:12" x14ac:dyDescent="0.2">
      <c r="E15887" s="1063"/>
      <c r="H15887" s="1066"/>
      <c r="I15887" s="1063"/>
      <c r="J15887" s="1063"/>
      <c r="K15887" s="1063"/>
      <c r="L15887" s="1063"/>
    </row>
    <row r="15888" spans="5:12" x14ac:dyDescent="0.2">
      <c r="E15888" s="1063"/>
      <c r="H15888" s="1066"/>
      <c r="I15888" s="1063"/>
      <c r="J15888" s="1063"/>
      <c r="K15888" s="1063"/>
      <c r="L15888" s="1063"/>
    </row>
    <row r="15889" spans="5:12" x14ac:dyDescent="0.2">
      <c r="E15889" s="1063"/>
      <c r="H15889" s="1066"/>
      <c r="I15889" s="1063"/>
      <c r="J15889" s="1063"/>
      <c r="K15889" s="1063"/>
      <c r="L15889" s="1063"/>
    </row>
    <row r="15890" spans="5:12" x14ac:dyDescent="0.2">
      <c r="E15890" s="1063"/>
      <c r="H15890" s="1066"/>
      <c r="I15890" s="1063"/>
      <c r="J15890" s="1063"/>
      <c r="K15890" s="1063"/>
      <c r="L15890" s="1063"/>
    </row>
    <row r="15891" spans="5:12" x14ac:dyDescent="0.2">
      <c r="E15891" s="1063"/>
      <c r="H15891" s="1066"/>
      <c r="I15891" s="1063"/>
      <c r="J15891" s="1063"/>
      <c r="K15891" s="1063"/>
      <c r="L15891" s="1063"/>
    </row>
    <row r="15892" spans="5:12" x14ac:dyDescent="0.2">
      <c r="E15892" s="1063"/>
      <c r="H15892" s="1066"/>
      <c r="I15892" s="1063"/>
      <c r="J15892" s="1063"/>
      <c r="K15892" s="1063"/>
      <c r="L15892" s="1063"/>
    </row>
    <row r="15893" spans="5:12" x14ac:dyDescent="0.2">
      <c r="E15893" s="1063"/>
      <c r="H15893" s="1066"/>
      <c r="I15893" s="1063"/>
      <c r="J15893" s="1063"/>
      <c r="K15893" s="1063"/>
      <c r="L15893" s="1063"/>
    </row>
    <row r="15894" spans="5:12" x14ac:dyDescent="0.2">
      <c r="E15894" s="1063"/>
      <c r="H15894" s="1066"/>
      <c r="I15894" s="1063"/>
      <c r="J15894" s="1063"/>
      <c r="K15894" s="1063"/>
      <c r="L15894" s="1063"/>
    </row>
    <row r="15895" spans="5:12" x14ac:dyDescent="0.2">
      <c r="E15895" s="1063"/>
      <c r="H15895" s="1066"/>
      <c r="I15895" s="1063"/>
      <c r="J15895" s="1063"/>
      <c r="K15895" s="1063"/>
      <c r="L15895" s="1063"/>
    </row>
    <row r="15896" spans="5:12" x14ac:dyDescent="0.2">
      <c r="E15896" s="1063"/>
      <c r="H15896" s="1066"/>
      <c r="I15896" s="1063"/>
      <c r="J15896" s="1063"/>
      <c r="K15896" s="1063"/>
      <c r="L15896" s="1063"/>
    </row>
    <row r="15897" spans="5:12" x14ac:dyDescent="0.2">
      <c r="E15897" s="1063"/>
      <c r="H15897" s="1066"/>
      <c r="I15897" s="1063"/>
      <c r="J15897" s="1063"/>
      <c r="K15897" s="1063"/>
      <c r="L15897" s="1063"/>
    </row>
    <row r="15898" spans="5:12" x14ac:dyDescent="0.2">
      <c r="E15898" s="1063"/>
      <c r="H15898" s="1066"/>
      <c r="I15898" s="1063"/>
      <c r="J15898" s="1063"/>
      <c r="K15898" s="1063"/>
      <c r="L15898" s="1063"/>
    </row>
    <row r="15899" spans="5:12" x14ac:dyDescent="0.2">
      <c r="E15899" s="1063"/>
      <c r="H15899" s="1066"/>
      <c r="I15899" s="1063"/>
      <c r="J15899" s="1063"/>
      <c r="K15899" s="1063"/>
      <c r="L15899" s="1063"/>
    </row>
    <row r="15900" spans="5:12" x14ac:dyDescent="0.2">
      <c r="E15900" s="1063"/>
      <c r="H15900" s="1066"/>
      <c r="I15900" s="1063"/>
      <c r="J15900" s="1063"/>
      <c r="K15900" s="1063"/>
      <c r="L15900" s="1063"/>
    </row>
    <row r="15901" spans="5:12" x14ac:dyDescent="0.2">
      <c r="E15901" s="1063"/>
      <c r="H15901" s="1066"/>
      <c r="I15901" s="1063"/>
      <c r="J15901" s="1063"/>
      <c r="K15901" s="1063"/>
      <c r="L15901" s="1063"/>
    </row>
    <row r="15902" spans="5:12" x14ac:dyDescent="0.2">
      <c r="E15902" s="1063"/>
      <c r="H15902" s="1066"/>
      <c r="I15902" s="1063"/>
      <c r="J15902" s="1063"/>
      <c r="K15902" s="1063"/>
      <c r="L15902" s="1063"/>
    </row>
    <row r="15903" spans="5:12" x14ac:dyDescent="0.2">
      <c r="E15903" s="1063"/>
      <c r="H15903" s="1066"/>
      <c r="I15903" s="1063"/>
      <c r="J15903" s="1063"/>
      <c r="K15903" s="1063"/>
      <c r="L15903" s="1063"/>
    </row>
    <row r="15904" spans="5:12" x14ac:dyDescent="0.2">
      <c r="E15904" s="1063"/>
      <c r="H15904" s="1066"/>
      <c r="I15904" s="1063"/>
      <c r="J15904" s="1063"/>
      <c r="K15904" s="1063"/>
      <c r="L15904" s="1063"/>
    </row>
    <row r="15905" spans="5:12" x14ac:dyDescent="0.2">
      <c r="E15905" s="1063"/>
      <c r="H15905" s="1066"/>
      <c r="I15905" s="1063"/>
      <c r="J15905" s="1063"/>
      <c r="K15905" s="1063"/>
      <c r="L15905" s="1063"/>
    </row>
    <row r="15906" spans="5:12" x14ac:dyDescent="0.2">
      <c r="E15906" s="1063"/>
      <c r="H15906" s="1066"/>
      <c r="I15906" s="1063"/>
      <c r="J15906" s="1063"/>
      <c r="K15906" s="1063"/>
      <c r="L15906" s="1063"/>
    </row>
    <row r="15907" spans="5:12" x14ac:dyDescent="0.2">
      <c r="E15907" s="1063"/>
      <c r="H15907" s="1066"/>
      <c r="I15907" s="1063"/>
      <c r="J15907" s="1063"/>
      <c r="K15907" s="1063"/>
      <c r="L15907" s="1063"/>
    </row>
    <row r="15908" spans="5:12" x14ac:dyDescent="0.2">
      <c r="E15908" s="1063"/>
      <c r="H15908" s="1066"/>
      <c r="I15908" s="1063"/>
      <c r="J15908" s="1063"/>
      <c r="K15908" s="1063"/>
      <c r="L15908" s="1063"/>
    </row>
    <row r="15909" spans="5:12" x14ac:dyDescent="0.2">
      <c r="E15909" s="1063"/>
      <c r="H15909" s="1066"/>
      <c r="I15909" s="1063"/>
      <c r="J15909" s="1063"/>
      <c r="K15909" s="1063"/>
      <c r="L15909" s="1063"/>
    </row>
    <row r="15910" spans="5:12" x14ac:dyDescent="0.2">
      <c r="E15910" s="1063"/>
      <c r="H15910" s="1066"/>
      <c r="I15910" s="1063"/>
      <c r="J15910" s="1063"/>
      <c r="K15910" s="1063"/>
      <c r="L15910" s="1063"/>
    </row>
    <row r="15911" spans="5:12" x14ac:dyDescent="0.2">
      <c r="E15911" s="1063"/>
      <c r="H15911" s="1066"/>
      <c r="I15911" s="1063"/>
      <c r="J15911" s="1063"/>
      <c r="K15911" s="1063"/>
      <c r="L15911" s="1063"/>
    </row>
    <row r="15912" spans="5:12" x14ac:dyDescent="0.2">
      <c r="E15912" s="1063"/>
      <c r="H15912" s="1066"/>
      <c r="I15912" s="1063"/>
      <c r="J15912" s="1063"/>
      <c r="K15912" s="1063"/>
      <c r="L15912" s="1063"/>
    </row>
    <row r="15913" spans="5:12" x14ac:dyDescent="0.2">
      <c r="E15913" s="1063"/>
      <c r="H15913" s="1066"/>
      <c r="I15913" s="1063"/>
      <c r="J15913" s="1063"/>
      <c r="K15913" s="1063"/>
      <c r="L15913" s="1063"/>
    </row>
    <row r="15914" spans="5:12" x14ac:dyDescent="0.2">
      <c r="E15914" s="1063"/>
      <c r="H15914" s="1066"/>
      <c r="I15914" s="1063"/>
      <c r="J15914" s="1063"/>
      <c r="K15914" s="1063"/>
      <c r="L15914" s="1063"/>
    </row>
    <row r="15915" spans="5:12" x14ac:dyDescent="0.2">
      <c r="E15915" s="1063"/>
      <c r="H15915" s="1066"/>
      <c r="I15915" s="1063"/>
      <c r="J15915" s="1063"/>
      <c r="K15915" s="1063"/>
      <c r="L15915" s="1063"/>
    </row>
    <row r="15916" spans="5:12" x14ac:dyDescent="0.2">
      <c r="E15916" s="1063"/>
      <c r="H15916" s="1066"/>
      <c r="I15916" s="1063"/>
      <c r="J15916" s="1063"/>
      <c r="K15916" s="1063"/>
      <c r="L15916" s="1063"/>
    </row>
    <row r="15917" spans="5:12" x14ac:dyDescent="0.2">
      <c r="E15917" s="1063"/>
      <c r="H15917" s="1066"/>
      <c r="I15917" s="1063"/>
      <c r="J15917" s="1063"/>
      <c r="K15917" s="1063"/>
      <c r="L15917" s="1063"/>
    </row>
    <row r="15918" spans="5:12" x14ac:dyDescent="0.2">
      <c r="E15918" s="1063"/>
      <c r="H15918" s="1066"/>
      <c r="I15918" s="1063"/>
      <c r="J15918" s="1063"/>
      <c r="K15918" s="1063"/>
      <c r="L15918" s="1063"/>
    </row>
    <row r="15919" spans="5:12" x14ac:dyDescent="0.2">
      <c r="E15919" s="1063"/>
      <c r="H15919" s="1066"/>
      <c r="I15919" s="1063"/>
      <c r="J15919" s="1063"/>
      <c r="K15919" s="1063"/>
      <c r="L15919" s="1063"/>
    </row>
    <row r="15920" spans="5:12" x14ac:dyDescent="0.2">
      <c r="E15920" s="1063"/>
      <c r="H15920" s="1066"/>
      <c r="I15920" s="1063"/>
      <c r="J15920" s="1063"/>
      <c r="K15920" s="1063"/>
      <c r="L15920" s="1063"/>
    </row>
    <row r="15921" spans="5:12" x14ac:dyDescent="0.2">
      <c r="E15921" s="1063"/>
      <c r="H15921" s="1066"/>
      <c r="I15921" s="1063"/>
      <c r="J15921" s="1063"/>
      <c r="K15921" s="1063"/>
      <c r="L15921" s="1063"/>
    </row>
    <row r="15922" spans="5:12" x14ac:dyDescent="0.2">
      <c r="E15922" s="1063"/>
      <c r="H15922" s="1066"/>
      <c r="I15922" s="1063"/>
      <c r="J15922" s="1063"/>
      <c r="K15922" s="1063"/>
      <c r="L15922" s="1063"/>
    </row>
    <row r="15923" spans="5:12" x14ac:dyDescent="0.2">
      <c r="E15923" s="1063"/>
      <c r="H15923" s="1066"/>
      <c r="I15923" s="1063"/>
      <c r="J15923" s="1063"/>
      <c r="K15923" s="1063"/>
      <c r="L15923" s="1063"/>
    </row>
    <row r="15924" spans="5:12" x14ac:dyDescent="0.2">
      <c r="E15924" s="1063"/>
      <c r="H15924" s="1066"/>
      <c r="I15924" s="1063"/>
      <c r="J15924" s="1063"/>
      <c r="K15924" s="1063"/>
      <c r="L15924" s="1063"/>
    </row>
    <row r="15925" spans="5:12" x14ac:dyDescent="0.2">
      <c r="E15925" s="1063"/>
      <c r="H15925" s="1066"/>
      <c r="I15925" s="1063"/>
      <c r="J15925" s="1063"/>
      <c r="K15925" s="1063"/>
      <c r="L15925" s="1063"/>
    </row>
    <row r="15926" spans="5:12" x14ac:dyDescent="0.2">
      <c r="E15926" s="1063"/>
      <c r="H15926" s="1066"/>
      <c r="I15926" s="1063"/>
      <c r="J15926" s="1063"/>
      <c r="K15926" s="1063"/>
      <c r="L15926" s="1063"/>
    </row>
    <row r="15927" spans="5:12" x14ac:dyDescent="0.2">
      <c r="E15927" s="1063"/>
      <c r="H15927" s="1066"/>
      <c r="I15927" s="1063"/>
      <c r="J15927" s="1063"/>
      <c r="K15927" s="1063"/>
      <c r="L15927" s="1063"/>
    </row>
    <row r="15928" spans="5:12" x14ac:dyDescent="0.2">
      <c r="E15928" s="1063"/>
      <c r="H15928" s="1066"/>
      <c r="I15928" s="1063"/>
      <c r="J15928" s="1063"/>
      <c r="K15928" s="1063"/>
      <c r="L15928" s="1063"/>
    </row>
    <row r="15929" spans="5:12" x14ac:dyDescent="0.2">
      <c r="E15929" s="1063"/>
      <c r="H15929" s="1066"/>
      <c r="I15929" s="1063"/>
      <c r="J15929" s="1063"/>
      <c r="K15929" s="1063"/>
      <c r="L15929" s="1063"/>
    </row>
    <row r="15930" spans="5:12" x14ac:dyDescent="0.2">
      <c r="E15930" s="1063"/>
      <c r="H15930" s="1066"/>
      <c r="I15930" s="1063"/>
      <c r="J15930" s="1063"/>
      <c r="K15930" s="1063"/>
      <c r="L15930" s="1063"/>
    </row>
    <row r="15931" spans="5:12" x14ac:dyDescent="0.2">
      <c r="E15931" s="1063"/>
      <c r="H15931" s="1066"/>
      <c r="I15931" s="1063"/>
      <c r="J15931" s="1063"/>
      <c r="K15931" s="1063"/>
      <c r="L15931" s="1063"/>
    </row>
    <row r="15932" spans="5:12" x14ac:dyDescent="0.2">
      <c r="E15932" s="1063"/>
      <c r="H15932" s="1066"/>
      <c r="I15932" s="1063"/>
      <c r="J15932" s="1063"/>
      <c r="K15932" s="1063"/>
      <c r="L15932" s="1063"/>
    </row>
    <row r="15933" spans="5:12" x14ac:dyDescent="0.2">
      <c r="E15933" s="1063"/>
      <c r="H15933" s="1066"/>
      <c r="I15933" s="1063"/>
      <c r="J15933" s="1063"/>
      <c r="K15933" s="1063"/>
      <c r="L15933" s="1063"/>
    </row>
    <row r="15934" spans="5:12" x14ac:dyDescent="0.2">
      <c r="E15934" s="1063"/>
      <c r="H15934" s="1066"/>
      <c r="I15934" s="1063"/>
      <c r="J15934" s="1063"/>
      <c r="K15934" s="1063"/>
      <c r="L15934" s="1063"/>
    </row>
    <row r="15935" spans="5:12" x14ac:dyDescent="0.2">
      <c r="E15935" s="1063"/>
      <c r="H15935" s="1066"/>
      <c r="I15935" s="1063"/>
      <c r="J15935" s="1063"/>
      <c r="K15935" s="1063"/>
      <c r="L15935" s="1063"/>
    </row>
    <row r="15936" spans="5:12" x14ac:dyDescent="0.2">
      <c r="E15936" s="1063"/>
      <c r="H15936" s="1066"/>
      <c r="I15936" s="1063"/>
      <c r="J15936" s="1063"/>
      <c r="K15936" s="1063"/>
      <c r="L15936" s="1063"/>
    </row>
    <row r="15937" spans="5:12" x14ac:dyDescent="0.2">
      <c r="E15937" s="1063"/>
      <c r="H15937" s="1066"/>
      <c r="I15937" s="1063"/>
      <c r="J15937" s="1063"/>
      <c r="K15937" s="1063"/>
      <c r="L15937" s="1063"/>
    </row>
    <row r="15938" spans="5:12" x14ac:dyDescent="0.2">
      <c r="E15938" s="1063"/>
      <c r="H15938" s="1066"/>
      <c r="I15938" s="1063"/>
      <c r="J15938" s="1063"/>
      <c r="K15938" s="1063"/>
      <c r="L15938" s="1063"/>
    </row>
    <row r="15939" spans="5:12" x14ac:dyDescent="0.2">
      <c r="E15939" s="1063"/>
      <c r="H15939" s="1066"/>
      <c r="I15939" s="1063"/>
      <c r="J15939" s="1063"/>
      <c r="K15939" s="1063"/>
      <c r="L15939" s="1063"/>
    </row>
    <row r="15940" spans="5:12" x14ac:dyDescent="0.2">
      <c r="E15940" s="1063"/>
      <c r="H15940" s="1066"/>
      <c r="I15940" s="1063"/>
      <c r="J15940" s="1063"/>
      <c r="K15940" s="1063"/>
      <c r="L15940" s="1063"/>
    </row>
    <row r="15941" spans="5:12" x14ac:dyDescent="0.2">
      <c r="E15941" s="1063"/>
      <c r="H15941" s="1066"/>
      <c r="I15941" s="1063"/>
      <c r="J15941" s="1063"/>
      <c r="K15941" s="1063"/>
      <c r="L15941" s="1063"/>
    </row>
    <row r="15942" spans="5:12" x14ac:dyDescent="0.2">
      <c r="E15942" s="1063"/>
      <c r="H15942" s="1066"/>
      <c r="I15942" s="1063"/>
      <c r="J15942" s="1063"/>
      <c r="K15942" s="1063"/>
      <c r="L15942" s="1063"/>
    </row>
    <row r="15943" spans="5:12" x14ac:dyDescent="0.2">
      <c r="E15943" s="1063"/>
      <c r="H15943" s="1066"/>
      <c r="I15943" s="1063"/>
      <c r="J15943" s="1063"/>
      <c r="K15943" s="1063"/>
      <c r="L15943" s="1063"/>
    </row>
    <row r="15944" spans="5:12" x14ac:dyDescent="0.2">
      <c r="E15944" s="1063"/>
      <c r="H15944" s="1066"/>
      <c r="I15944" s="1063"/>
      <c r="J15944" s="1063"/>
      <c r="K15944" s="1063"/>
      <c r="L15944" s="1063"/>
    </row>
    <row r="15945" spans="5:12" x14ac:dyDescent="0.2">
      <c r="E15945" s="1063"/>
      <c r="H15945" s="1066"/>
      <c r="I15945" s="1063"/>
      <c r="J15945" s="1063"/>
      <c r="K15945" s="1063"/>
      <c r="L15945" s="1063"/>
    </row>
    <row r="15946" spans="5:12" x14ac:dyDescent="0.2">
      <c r="E15946" s="1063"/>
      <c r="H15946" s="1066"/>
      <c r="I15946" s="1063"/>
      <c r="J15946" s="1063"/>
      <c r="K15946" s="1063"/>
      <c r="L15946" s="1063"/>
    </row>
    <row r="15947" spans="5:12" x14ac:dyDescent="0.2">
      <c r="E15947" s="1063"/>
      <c r="H15947" s="1066"/>
      <c r="I15947" s="1063"/>
      <c r="J15947" s="1063"/>
      <c r="K15947" s="1063"/>
      <c r="L15947" s="1063"/>
    </row>
    <row r="15948" spans="5:12" x14ac:dyDescent="0.2">
      <c r="E15948" s="1063"/>
      <c r="H15948" s="1066"/>
      <c r="I15948" s="1063"/>
      <c r="J15948" s="1063"/>
      <c r="K15948" s="1063"/>
      <c r="L15948" s="1063"/>
    </row>
    <row r="15949" spans="5:12" x14ac:dyDescent="0.2">
      <c r="E15949" s="1063"/>
      <c r="H15949" s="1066"/>
      <c r="I15949" s="1063"/>
      <c r="J15949" s="1063"/>
      <c r="K15949" s="1063"/>
      <c r="L15949" s="1063"/>
    </row>
    <row r="15950" spans="5:12" x14ac:dyDescent="0.2">
      <c r="E15950" s="1063"/>
      <c r="H15950" s="1066"/>
      <c r="I15950" s="1063"/>
      <c r="J15950" s="1063"/>
      <c r="K15950" s="1063"/>
      <c r="L15950" s="1063"/>
    </row>
    <row r="15951" spans="5:12" x14ac:dyDescent="0.2">
      <c r="E15951" s="1063"/>
      <c r="H15951" s="1066"/>
      <c r="I15951" s="1063"/>
      <c r="J15951" s="1063"/>
      <c r="K15951" s="1063"/>
      <c r="L15951" s="1063"/>
    </row>
    <row r="15952" spans="5:12" x14ac:dyDescent="0.2">
      <c r="E15952" s="1063"/>
      <c r="H15952" s="1066"/>
      <c r="I15952" s="1063"/>
      <c r="J15952" s="1063"/>
      <c r="K15952" s="1063"/>
      <c r="L15952" s="1063"/>
    </row>
    <row r="15953" spans="5:12" x14ac:dyDescent="0.2">
      <c r="E15953" s="1063"/>
      <c r="H15953" s="1066"/>
      <c r="I15953" s="1063"/>
      <c r="J15953" s="1063"/>
      <c r="K15953" s="1063"/>
      <c r="L15953" s="1063"/>
    </row>
    <row r="15954" spans="5:12" x14ac:dyDescent="0.2">
      <c r="E15954" s="1063"/>
      <c r="H15954" s="1066"/>
      <c r="I15954" s="1063"/>
      <c r="J15954" s="1063"/>
      <c r="K15954" s="1063"/>
      <c r="L15954" s="1063"/>
    </row>
    <row r="15955" spans="5:12" x14ac:dyDescent="0.2">
      <c r="E15955" s="1063"/>
      <c r="H15955" s="1066"/>
      <c r="I15955" s="1063"/>
      <c r="J15955" s="1063"/>
      <c r="K15955" s="1063"/>
      <c r="L15955" s="1063"/>
    </row>
    <row r="15956" spans="5:12" x14ac:dyDescent="0.2">
      <c r="E15956" s="1063"/>
      <c r="H15956" s="1066"/>
      <c r="I15956" s="1063"/>
      <c r="J15956" s="1063"/>
      <c r="K15956" s="1063"/>
      <c r="L15956" s="1063"/>
    </row>
    <row r="15957" spans="5:12" x14ac:dyDescent="0.2">
      <c r="E15957" s="1063"/>
      <c r="H15957" s="1066"/>
      <c r="I15957" s="1063"/>
      <c r="J15957" s="1063"/>
      <c r="K15957" s="1063"/>
      <c r="L15957" s="1063"/>
    </row>
    <row r="15958" spans="5:12" x14ac:dyDescent="0.2">
      <c r="E15958" s="1063"/>
      <c r="H15958" s="1066"/>
      <c r="I15958" s="1063"/>
      <c r="J15958" s="1063"/>
      <c r="K15958" s="1063"/>
      <c r="L15958" s="1063"/>
    </row>
    <row r="15959" spans="5:12" x14ac:dyDescent="0.2">
      <c r="E15959" s="1063"/>
      <c r="H15959" s="1066"/>
      <c r="I15959" s="1063"/>
      <c r="J15959" s="1063"/>
      <c r="K15959" s="1063"/>
      <c r="L15959" s="1063"/>
    </row>
    <row r="15960" spans="5:12" x14ac:dyDescent="0.2">
      <c r="E15960" s="1063"/>
      <c r="H15960" s="1066"/>
      <c r="I15960" s="1063"/>
      <c r="J15960" s="1063"/>
      <c r="K15960" s="1063"/>
      <c r="L15960" s="1063"/>
    </row>
    <row r="15961" spans="5:12" x14ac:dyDescent="0.2">
      <c r="E15961" s="1063"/>
      <c r="H15961" s="1066"/>
      <c r="I15961" s="1063"/>
      <c r="J15961" s="1063"/>
      <c r="K15961" s="1063"/>
      <c r="L15961" s="1063"/>
    </row>
    <row r="15962" spans="5:12" x14ac:dyDescent="0.2">
      <c r="E15962" s="1063"/>
      <c r="H15962" s="1066"/>
      <c r="I15962" s="1063"/>
      <c r="J15962" s="1063"/>
      <c r="K15962" s="1063"/>
      <c r="L15962" s="1063"/>
    </row>
    <row r="15963" spans="5:12" x14ac:dyDescent="0.2">
      <c r="E15963" s="1063"/>
      <c r="H15963" s="1066"/>
      <c r="I15963" s="1063"/>
      <c r="J15963" s="1063"/>
      <c r="K15963" s="1063"/>
      <c r="L15963" s="1063"/>
    </row>
    <row r="15964" spans="5:12" x14ac:dyDescent="0.2">
      <c r="E15964" s="1063"/>
      <c r="H15964" s="1066"/>
      <c r="I15964" s="1063"/>
      <c r="J15964" s="1063"/>
      <c r="K15964" s="1063"/>
      <c r="L15964" s="1063"/>
    </row>
    <row r="15965" spans="5:12" x14ac:dyDescent="0.2">
      <c r="E15965" s="1063"/>
      <c r="H15965" s="1066"/>
      <c r="I15965" s="1063"/>
      <c r="J15965" s="1063"/>
      <c r="K15965" s="1063"/>
      <c r="L15965" s="1063"/>
    </row>
    <row r="15966" spans="5:12" x14ac:dyDescent="0.2">
      <c r="E15966" s="1063"/>
      <c r="H15966" s="1066"/>
      <c r="I15966" s="1063"/>
      <c r="J15966" s="1063"/>
      <c r="K15966" s="1063"/>
      <c r="L15966" s="1063"/>
    </row>
    <row r="15967" spans="5:12" x14ac:dyDescent="0.2">
      <c r="E15967" s="1063"/>
      <c r="H15967" s="1066"/>
      <c r="I15967" s="1063"/>
      <c r="J15967" s="1063"/>
      <c r="K15967" s="1063"/>
      <c r="L15967" s="1063"/>
    </row>
    <row r="15968" spans="5:12" x14ac:dyDescent="0.2">
      <c r="E15968" s="1063"/>
      <c r="H15968" s="1066"/>
      <c r="I15968" s="1063"/>
      <c r="J15968" s="1063"/>
      <c r="K15968" s="1063"/>
      <c r="L15968" s="1063"/>
    </row>
    <row r="15969" spans="5:12" x14ac:dyDescent="0.2">
      <c r="E15969" s="1063"/>
      <c r="H15969" s="1066"/>
      <c r="I15969" s="1063"/>
      <c r="J15969" s="1063"/>
      <c r="K15969" s="1063"/>
      <c r="L15969" s="1063"/>
    </row>
    <row r="15970" spans="5:12" x14ac:dyDescent="0.2">
      <c r="E15970" s="1063"/>
      <c r="H15970" s="1066"/>
      <c r="I15970" s="1063"/>
      <c r="J15970" s="1063"/>
      <c r="K15970" s="1063"/>
      <c r="L15970" s="1063"/>
    </row>
    <row r="15971" spans="5:12" x14ac:dyDescent="0.2">
      <c r="E15971" s="1063"/>
      <c r="H15971" s="1066"/>
      <c r="I15971" s="1063"/>
      <c r="J15971" s="1063"/>
      <c r="K15971" s="1063"/>
      <c r="L15971" s="1063"/>
    </row>
    <row r="15972" spans="5:12" x14ac:dyDescent="0.2">
      <c r="E15972" s="1063"/>
      <c r="H15972" s="1066"/>
      <c r="I15972" s="1063"/>
      <c r="J15972" s="1063"/>
      <c r="K15972" s="1063"/>
      <c r="L15972" s="1063"/>
    </row>
    <row r="15973" spans="5:12" x14ac:dyDescent="0.2">
      <c r="E15973" s="1063"/>
      <c r="H15973" s="1066"/>
      <c r="I15973" s="1063"/>
      <c r="J15973" s="1063"/>
      <c r="K15973" s="1063"/>
      <c r="L15973" s="1063"/>
    </row>
    <row r="15974" spans="5:12" x14ac:dyDescent="0.2">
      <c r="E15974" s="1063"/>
      <c r="H15974" s="1066"/>
      <c r="I15974" s="1063"/>
      <c r="J15974" s="1063"/>
      <c r="K15974" s="1063"/>
      <c r="L15974" s="1063"/>
    </row>
    <row r="15975" spans="5:12" x14ac:dyDescent="0.2">
      <c r="E15975" s="1063"/>
      <c r="H15975" s="1066"/>
      <c r="I15975" s="1063"/>
      <c r="J15975" s="1063"/>
      <c r="K15975" s="1063"/>
      <c r="L15975" s="1063"/>
    </row>
    <row r="15976" spans="5:12" x14ac:dyDescent="0.2">
      <c r="E15976" s="1063"/>
      <c r="H15976" s="1066"/>
      <c r="I15976" s="1063"/>
      <c r="J15976" s="1063"/>
      <c r="K15976" s="1063"/>
      <c r="L15976" s="1063"/>
    </row>
    <row r="15977" spans="5:12" x14ac:dyDescent="0.2">
      <c r="E15977" s="1063"/>
      <c r="H15977" s="1066"/>
      <c r="I15977" s="1063"/>
      <c r="J15977" s="1063"/>
      <c r="K15977" s="1063"/>
      <c r="L15977" s="1063"/>
    </row>
    <row r="15978" spans="5:12" x14ac:dyDescent="0.2">
      <c r="E15978" s="1063"/>
      <c r="H15978" s="1066"/>
      <c r="I15978" s="1063"/>
      <c r="J15978" s="1063"/>
      <c r="K15978" s="1063"/>
      <c r="L15978" s="1063"/>
    </row>
    <row r="15979" spans="5:12" x14ac:dyDescent="0.2">
      <c r="E15979" s="1063"/>
      <c r="H15979" s="1066"/>
      <c r="I15979" s="1063"/>
      <c r="J15979" s="1063"/>
      <c r="K15979" s="1063"/>
      <c r="L15979" s="1063"/>
    </row>
    <row r="15980" spans="5:12" x14ac:dyDescent="0.2">
      <c r="E15980" s="1063"/>
      <c r="H15980" s="1066"/>
      <c r="I15980" s="1063"/>
      <c r="J15980" s="1063"/>
      <c r="K15980" s="1063"/>
      <c r="L15980" s="1063"/>
    </row>
    <row r="15981" spans="5:12" x14ac:dyDescent="0.2">
      <c r="E15981" s="1063"/>
      <c r="H15981" s="1066"/>
      <c r="I15981" s="1063"/>
      <c r="J15981" s="1063"/>
      <c r="K15981" s="1063"/>
      <c r="L15981" s="1063"/>
    </row>
    <row r="15982" spans="5:12" x14ac:dyDescent="0.2">
      <c r="E15982" s="1063"/>
      <c r="H15982" s="1066"/>
      <c r="I15982" s="1063"/>
      <c r="J15982" s="1063"/>
      <c r="K15982" s="1063"/>
      <c r="L15982" s="1063"/>
    </row>
    <row r="15983" spans="5:12" x14ac:dyDescent="0.2">
      <c r="E15983" s="1063"/>
      <c r="H15983" s="1066"/>
      <c r="I15983" s="1063"/>
      <c r="J15983" s="1063"/>
      <c r="K15983" s="1063"/>
      <c r="L15983" s="1063"/>
    </row>
    <row r="15984" spans="5:12" x14ac:dyDescent="0.2">
      <c r="E15984" s="1063"/>
      <c r="H15984" s="1066"/>
      <c r="I15984" s="1063"/>
      <c r="J15984" s="1063"/>
      <c r="K15984" s="1063"/>
      <c r="L15984" s="1063"/>
    </row>
    <row r="15985" spans="5:12" x14ac:dyDescent="0.2">
      <c r="E15985" s="1063"/>
      <c r="H15985" s="1066"/>
      <c r="I15985" s="1063"/>
      <c r="J15985" s="1063"/>
      <c r="K15985" s="1063"/>
      <c r="L15985" s="1063"/>
    </row>
    <row r="15986" spans="5:12" x14ac:dyDescent="0.2">
      <c r="E15986" s="1063"/>
      <c r="H15986" s="1066"/>
      <c r="I15986" s="1063"/>
      <c r="J15986" s="1063"/>
      <c r="K15986" s="1063"/>
      <c r="L15986" s="1063"/>
    </row>
    <row r="15987" spans="5:12" x14ac:dyDescent="0.2">
      <c r="E15987" s="1063"/>
      <c r="H15987" s="1066"/>
      <c r="I15987" s="1063"/>
      <c r="J15987" s="1063"/>
      <c r="K15987" s="1063"/>
      <c r="L15987" s="1063"/>
    </row>
    <row r="15988" spans="5:12" x14ac:dyDescent="0.2">
      <c r="E15988" s="1063"/>
      <c r="H15988" s="1066"/>
      <c r="I15988" s="1063"/>
      <c r="J15988" s="1063"/>
      <c r="K15988" s="1063"/>
      <c r="L15988" s="1063"/>
    </row>
    <row r="15989" spans="5:12" x14ac:dyDescent="0.2">
      <c r="E15989" s="1063"/>
      <c r="H15989" s="1066"/>
      <c r="I15989" s="1063"/>
      <c r="J15989" s="1063"/>
      <c r="K15989" s="1063"/>
      <c r="L15989" s="1063"/>
    </row>
    <row r="15990" spans="5:12" x14ac:dyDescent="0.2">
      <c r="E15990" s="1063"/>
      <c r="H15990" s="1066"/>
      <c r="I15990" s="1063"/>
      <c r="J15990" s="1063"/>
      <c r="K15990" s="1063"/>
      <c r="L15990" s="1063"/>
    </row>
    <row r="15991" spans="5:12" x14ac:dyDescent="0.2">
      <c r="E15991" s="1063"/>
      <c r="H15991" s="1066"/>
      <c r="I15991" s="1063"/>
      <c r="J15991" s="1063"/>
      <c r="K15991" s="1063"/>
      <c r="L15991" s="1063"/>
    </row>
    <row r="15992" spans="5:12" x14ac:dyDescent="0.2">
      <c r="E15992" s="1063"/>
      <c r="H15992" s="1066"/>
      <c r="I15992" s="1063"/>
      <c r="J15992" s="1063"/>
      <c r="K15992" s="1063"/>
      <c r="L15992" s="1063"/>
    </row>
    <row r="15993" spans="5:12" x14ac:dyDescent="0.2">
      <c r="E15993" s="1063"/>
      <c r="H15993" s="1066"/>
      <c r="I15993" s="1063"/>
      <c r="J15993" s="1063"/>
      <c r="K15993" s="1063"/>
      <c r="L15993" s="1063"/>
    </row>
    <row r="15994" spans="5:12" x14ac:dyDescent="0.2">
      <c r="E15994" s="1063"/>
      <c r="H15994" s="1066"/>
      <c r="I15994" s="1063"/>
      <c r="J15994" s="1063"/>
      <c r="K15994" s="1063"/>
      <c r="L15994" s="1063"/>
    </row>
    <row r="15995" spans="5:12" x14ac:dyDescent="0.2">
      <c r="E15995" s="1063"/>
      <c r="H15995" s="1066"/>
      <c r="I15995" s="1063"/>
      <c r="J15995" s="1063"/>
      <c r="K15995" s="1063"/>
      <c r="L15995" s="1063"/>
    </row>
    <row r="15996" spans="5:12" x14ac:dyDescent="0.2">
      <c r="E15996" s="1063"/>
      <c r="H15996" s="1066"/>
      <c r="I15996" s="1063"/>
      <c r="J15996" s="1063"/>
      <c r="K15996" s="1063"/>
      <c r="L15996" s="1063"/>
    </row>
    <row r="15997" spans="5:12" x14ac:dyDescent="0.2">
      <c r="E15997" s="1063"/>
      <c r="H15997" s="1066"/>
      <c r="I15997" s="1063"/>
      <c r="J15997" s="1063"/>
      <c r="K15997" s="1063"/>
      <c r="L15997" s="1063"/>
    </row>
    <row r="15998" spans="5:12" x14ac:dyDescent="0.2">
      <c r="E15998" s="1063"/>
      <c r="H15998" s="1066"/>
      <c r="I15998" s="1063"/>
      <c r="J15998" s="1063"/>
      <c r="K15998" s="1063"/>
      <c r="L15998" s="1063"/>
    </row>
    <row r="15999" spans="5:12" x14ac:dyDescent="0.2">
      <c r="E15999" s="1063"/>
      <c r="H15999" s="1066"/>
      <c r="I15999" s="1063"/>
      <c r="J15999" s="1063"/>
      <c r="K15999" s="1063"/>
      <c r="L15999" s="1063"/>
    </row>
    <row r="16000" spans="5:12" x14ac:dyDescent="0.2">
      <c r="E16000" s="1063"/>
      <c r="H16000" s="1066"/>
      <c r="I16000" s="1063"/>
      <c r="J16000" s="1063"/>
      <c r="K16000" s="1063"/>
      <c r="L16000" s="1063"/>
    </row>
    <row r="16001" spans="5:12" x14ac:dyDescent="0.2">
      <c r="E16001" s="1063"/>
      <c r="H16001" s="1066"/>
      <c r="I16001" s="1063"/>
      <c r="J16001" s="1063"/>
      <c r="K16001" s="1063"/>
      <c r="L16001" s="1063"/>
    </row>
    <row r="16002" spans="5:12" x14ac:dyDescent="0.2">
      <c r="E16002" s="1063"/>
      <c r="H16002" s="1066"/>
      <c r="I16002" s="1063"/>
      <c r="J16002" s="1063"/>
      <c r="K16002" s="1063"/>
      <c r="L16002" s="1063"/>
    </row>
    <row r="16003" spans="5:12" x14ac:dyDescent="0.2">
      <c r="E16003" s="1063"/>
      <c r="H16003" s="1066"/>
      <c r="I16003" s="1063"/>
      <c r="J16003" s="1063"/>
      <c r="K16003" s="1063"/>
      <c r="L16003" s="1063"/>
    </row>
    <row r="16004" spans="5:12" x14ac:dyDescent="0.2">
      <c r="E16004" s="1063"/>
      <c r="H16004" s="1066"/>
      <c r="I16004" s="1063"/>
      <c r="J16004" s="1063"/>
      <c r="K16004" s="1063"/>
      <c r="L16004" s="1063"/>
    </row>
    <row r="16005" spans="5:12" x14ac:dyDescent="0.2">
      <c r="E16005" s="1063"/>
      <c r="H16005" s="1066"/>
      <c r="I16005" s="1063"/>
      <c r="J16005" s="1063"/>
      <c r="K16005" s="1063"/>
      <c r="L16005" s="1063"/>
    </row>
    <row r="16006" spans="5:12" x14ac:dyDescent="0.2">
      <c r="E16006" s="1063"/>
      <c r="H16006" s="1066"/>
      <c r="I16006" s="1063"/>
      <c r="J16006" s="1063"/>
      <c r="K16006" s="1063"/>
      <c r="L16006" s="1063"/>
    </row>
    <row r="16007" spans="5:12" x14ac:dyDescent="0.2">
      <c r="E16007" s="1063"/>
      <c r="H16007" s="1066"/>
      <c r="I16007" s="1063"/>
      <c r="J16007" s="1063"/>
      <c r="K16007" s="1063"/>
      <c r="L16007" s="1063"/>
    </row>
    <row r="16008" spans="5:12" x14ac:dyDescent="0.2">
      <c r="E16008" s="1063"/>
      <c r="H16008" s="1066"/>
      <c r="I16008" s="1063"/>
      <c r="J16008" s="1063"/>
      <c r="K16008" s="1063"/>
      <c r="L16008" s="1063"/>
    </row>
    <row r="16009" spans="5:12" x14ac:dyDescent="0.2">
      <c r="E16009" s="1063"/>
      <c r="H16009" s="1066"/>
      <c r="I16009" s="1063"/>
      <c r="J16009" s="1063"/>
      <c r="K16009" s="1063"/>
      <c r="L16009" s="1063"/>
    </row>
    <row r="16010" spans="5:12" x14ac:dyDescent="0.2">
      <c r="E16010" s="1063"/>
      <c r="H16010" s="1066"/>
      <c r="I16010" s="1063"/>
      <c r="J16010" s="1063"/>
      <c r="K16010" s="1063"/>
      <c r="L16010" s="1063"/>
    </row>
    <row r="16011" spans="5:12" x14ac:dyDescent="0.2">
      <c r="E16011" s="1063"/>
      <c r="H16011" s="1066"/>
      <c r="I16011" s="1063"/>
      <c r="J16011" s="1063"/>
      <c r="K16011" s="1063"/>
      <c r="L16011" s="1063"/>
    </row>
    <row r="16012" spans="5:12" x14ac:dyDescent="0.2">
      <c r="E16012" s="1063"/>
      <c r="H16012" s="1066"/>
      <c r="I16012" s="1063"/>
      <c r="J16012" s="1063"/>
      <c r="K16012" s="1063"/>
      <c r="L16012" s="1063"/>
    </row>
    <row r="16013" spans="5:12" x14ac:dyDescent="0.2">
      <c r="E16013" s="1063"/>
      <c r="H16013" s="1066"/>
      <c r="I16013" s="1063"/>
      <c r="J16013" s="1063"/>
      <c r="K16013" s="1063"/>
      <c r="L16013" s="1063"/>
    </row>
    <row r="16014" spans="5:12" x14ac:dyDescent="0.2">
      <c r="E16014" s="1063"/>
      <c r="H16014" s="1066"/>
      <c r="I16014" s="1063"/>
      <c r="J16014" s="1063"/>
      <c r="K16014" s="1063"/>
      <c r="L16014" s="1063"/>
    </row>
    <row r="16015" spans="5:12" x14ac:dyDescent="0.2">
      <c r="E16015" s="1063"/>
      <c r="H16015" s="1066"/>
      <c r="I16015" s="1063"/>
      <c r="J16015" s="1063"/>
      <c r="K16015" s="1063"/>
      <c r="L16015" s="1063"/>
    </row>
    <row r="16016" spans="5:12" x14ac:dyDescent="0.2">
      <c r="E16016" s="1063"/>
      <c r="H16016" s="1066"/>
      <c r="I16016" s="1063"/>
      <c r="J16016" s="1063"/>
      <c r="K16016" s="1063"/>
      <c r="L16016" s="1063"/>
    </row>
    <row r="16017" spans="5:12" x14ac:dyDescent="0.2">
      <c r="E16017" s="1063"/>
      <c r="H16017" s="1066"/>
      <c r="I16017" s="1063"/>
      <c r="J16017" s="1063"/>
      <c r="K16017" s="1063"/>
      <c r="L16017" s="1063"/>
    </row>
    <row r="16018" spans="5:12" x14ac:dyDescent="0.2">
      <c r="E16018" s="1063"/>
      <c r="H16018" s="1066"/>
      <c r="I16018" s="1063"/>
      <c r="J16018" s="1063"/>
      <c r="K16018" s="1063"/>
      <c r="L16018" s="1063"/>
    </row>
    <row r="16019" spans="5:12" x14ac:dyDescent="0.2">
      <c r="E16019" s="1063"/>
      <c r="H16019" s="1066"/>
      <c r="I16019" s="1063"/>
      <c r="J16019" s="1063"/>
      <c r="K16019" s="1063"/>
      <c r="L16019" s="1063"/>
    </row>
    <row r="16020" spans="5:12" x14ac:dyDescent="0.2">
      <c r="E16020" s="1063"/>
      <c r="H16020" s="1066"/>
      <c r="I16020" s="1063"/>
      <c r="J16020" s="1063"/>
      <c r="K16020" s="1063"/>
      <c r="L16020" s="1063"/>
    </row>
    <row r="16021" spans="5:12" x14ac:dyDescent="0.2">
      <c r="E16021" s="1063"/>
      <c r="H16021" s="1066"/>
      <c r="I16021" s="1063"/>
      <c r="J16021" s="1063"/>
      <c r="K16021" s="1063"/>
      <c r="L16021" s="1063"/>
    </row>
    <row r="16022" spans="5:12" x14ac:dyDescent="0.2">
      <c r="E16022" s="1063"/>
      <c r="H16022" s="1066"/>
      <c r="I16022" s="1063"/>
      <c r="J16022" s="1063"/>
      <c r="K16022" s="1063"/>
      <c r="L16022" s="1063"/>
    </row>
    <row r="16023" spans="5:12" x14ac:dyDescent="0.2">
      <c r="E16023" s="1063"/>
      <c r="H16023" s="1066"/>
      <c r="I16023" s="1063"/>
      <c r="J16023" s="1063"/>
      <c r="K16023" s="1063"/>
      <c r="L16023" s="1063"/>
    </row>
    <row r="16024" spans="5:12" x14ac:dyDescent="0.2">
      <c r="E16024" s="1063"/>
      <c r="H16024" s="1066"/>
      <c r="I16024" s="1063"/>
      <c r="J16024" s="1063"/>
      <c r="K16024" s="1063"/>
      <c r="L16024" s="1063"/>
    </row>
    <row r="16025" spans="5:12" x14ac:dyDescent="0.2">
      <c r="E16025" s="1063"/>
      <c r="H16025" s="1066"/>
      <c r="I16025" s="1063"/>
      <c r="J16025" s="1063"/>
      <c r="K16025" s="1063"/>
      <c r="L16025" s="1063"/>
    </row>
    <row r="16026" spans="5:12" x14ac:dyDescent="0.2">
      <c r="E16026" s="1063"/>
      <c r="H16026" s="1066"/>
      <c r="I16026" s="1063"/>
      <c r="J16026" s="1063"/>
      <c r="K16026" s="1063"/>
      <c r="L16026" s="1063"/>
    </row>
    <row r="16027" spans="5:12" x14ac:dyDescent="0.2">
      <c r="E16027" s="1063"/>
      <c r="H16027" s="1066"/>
      <c r="I16027" s="1063"/>
      <c r="J16027" s="1063"/>
      <c r="K16027" s="1063"/>
      <c r="L16027" s="1063"/>
    </row>
    <row r="16028" spans="5:12" x14ac:dyDescent="0.2">
      <c r="E16028" s="1063"/>
      <c r="H16028" s="1066"/>
      <c r="I16028" s="1063"/>
      <c r="J16028" s="1063"/>
      <c r="K16028" s="1063"/>
      <c r="L16028" s="1063"/>
    </row>
    <row r="16029" spans="5:12" x14ac:dyDescent="0.2">
      <c r="E16029" s="1063"/>
      <c r="H16029" s="1066"/>
      <c r="I16029" s="1063"/>
      <c r="J16029" s="1063"/>
      <c r="K16029" s="1063"/>
      <c r="L16029" s="1063"/>
    </row>
    <row r="16030" spans="5:12" x14ac:dyDescent="0.2">
      <c r="E16030" s="1063"/>
      <c r="H16030" s="1066"/>
      <c r="I16030" s="1063"/>
      <c r="J16030" s="1063"/>
      <c r="K16030" s="1063"/>
      <c r="L16030" s="1063"/>
    </row>
    <row r="16031" spans="5:12" x14ac:dyDescent="0.2">
      <c r="E16031" s="1063"/>
      <c r="H16031" s="1066"/>
      <c r="I16031" s="1063"/>
      <c r="J16031" s="1063"/>
      <c r="K16031" s="1063"/>
      <c r="L16031" s="1063"/>
    </row>
    <row r="16032" spans="5:12" x14ac:dyDescent="0.2">
      <c r="E16032" s="1063"/>
      <c r="H16032" s="1066"/>
      <c r="I16032" s="1063"/>
      <c r="J16032" s="1063"/>
      <c r="K16032" s="1063"/>
      <c r="L16032" s="1063"/>
    </row>
    <row r="16033" spans="5:12" x14ac:dyDescent="0.2">
      <c r="E16033" s="1063"/>
      <c r="H16033" s="1066"/>
      <c r="I16033" s="1063"/>
      <c r="J16033" s="1063"/>
      <c r="K16033" s="1063"/>
      <c r="L16033" s="1063"/>
    </row>
    <row r="16034" spans="5:12" x14ac:dyDescent="0.2">
      <c r="E16034" s="1063"/>
      <c r="H16034" s="1066"/>
      <c r="I16034" s="1063"/>
      <c r="J16034" s="1063"/>
      <c r="K16034" s="1063"/>
      <c r="L16034" s="1063"/>
    </row>
    <row r="16035" spans="5:12" x14ac:dyDescent="0.2">
      <c r="E16035" s="1063"/>
      <c r="H16035" s="1066"/>
      <c r="I16035" s="1063"/>
      <c r="J16035" s="1063"/>
      <c r="K16035" s="1063"/>
      <c r="L16035" s="1063"/>
    </row>
    <row r="16036" spans="5:12" x14ac:dyDescent="0.2">
      <c r="E16036" s="1063"/>
      <c r="H16036" s="1066"/>
      <c r="I16036" s="1063"/>
      <c r="J16036" s="1063"/>
      <c r="K16036" s="1063"/>
      <c r="L16036" s="1063"/>
    </row>
    <row r="16037" spans="5:12" x14ac:dyDescent="0.2">
      <c r="E16037" s="1063"/>
      <c r="H16037" s="1066"/>
      <c r="I16037" s="1063"/>
      <c r="J16037" s="1063"/>
      <c r="K16037" s="1063"/>
      <c r="L16037" s="1063"/>
    </row>
    <row r="16038" spans="5:12" x14ac:dyDescent="0.2">
      <c r="E16038" s="1063"/>
      <c r="H16038" s="1066"/>
      <c r="I16038" s="1063"/>
      <c r="J16038" s="1063"/>
      <c r="K16038" s="1063"/>
      <c r="L16038" s="1063"/>
    </row>
    <row r="16039" spans="5:12" x14ac:dyDescent="0.2">
      <c r="E16039" s="1063"/>
      <c r="H16039" s="1066"/>
      <c r="I16039" s="1063"/>
      <c r="J16039" s="1063"/>
      <c r="K16039" s="1063"/>
      <c r="L16039" s="1063"/>
    </row>
    <row r="16040" spans="5:12" x14ac:dyDescent="0.2">
      <c r="E16040" s="1063"/>
      <c r="H16040" s="1066"/>
      <c r="I16040" s="1063"/>
      <c r="J16040" s="1063"/>
      <c r="K16040" s="1063"/>
      <c r="L16040" s="1063"/>
    </row>
    <row r="16041" spans="5:12" x14ac:dyDescent="0.2">
      <c r="E16041" s="1063"/>
      <c r="H16041" s="1066"/>
      <c r="I16041" s="1063"/>
      <c r="J16041" s="1063"/>
      <c r="K16041" s="1063"/>
      <c r="L16041" s="1063"/>
    </row>
    <row r="16042" spans="5:12" x14ac:dyDescent="0.2">
      <c r="E16042" s="1063"/>
      <c r="H16042" s="1066"/>
      <c r="I16042" s="1063"/>
      <c r="J16042" s="1063"/>
      <c r="K16042" s="1063"/>
      <c r="L16042" s="1063"/>
    </row>
    <row r="16043" spans="5:12" x14ac:dyDescent="0.2">
      <c r="E16043" s="1063"/>
      <c r="H16043" s="1066"/>
      <c r="I16043" s="1063"/>
      <c r="J16043" s="1063"/>
      <c r="K16043" s="1063"/>
      <c r="L16043" s="1063"/>
    </row>
    <row r="16044" spans="5:12" x14ac:dyDescent="0.2">
      <c r="E16044" s="1063"/>
      <c r="H16044" s="1066"/>
      <c r="I16044" s="1063"/>
      <c r="J16044" s="1063"/>
      <c r="K16044" s="1063"/>
      <c r="L16044" s="1063"/>
    </row>
    <row r="16045" spans="5:12" x14ac:dyDescent="0.2">
      <c r="E16045" s="1063"/>
      <c r="H16045" s="1066"/>
      <c r="I16045" s="1063"/>
      <c r="J16045" s="1063"/>
      <c r="K16045" s="1063"/>
      <c r="L16045" s="1063"/>
    </row>
    <row r="16046" spans="5:12" x14ac:dyDescent="0.2">
      <c r="E16046" s="1063"/>
      <c r="H16046" s="1066"/>
      <c r="I16046" s="1063"/>
      <c r="J16046" s="1063"/>
      <c r="K16046" s="1063"/>
      <c r="L16046" s="1063"/>
    </row>
    <row r="16047" spans="5:12" x14ac:dyDescent="0.2">
      <c r="E16047" s="1063"/>
      <c r="H16047" s="1066"/>
      <c r="I16047" s="1063"/>
      <c r="J16047" s="1063"/>
      <c r="K16047" s="1063"/>
      <c r="L16047" s="1063"/>
    </row>
    <row r="16048" spans="5:12" x14ac:dyDescent="0.2">
      <c r="E16048" s="1063"/>
      <c r="H16048" s="1066"/>
      <c r="I16048" s="1063"/>
      <c r="J16048" s="1063"/>
      <c r="K16048" s="1063"/>
      <c r="L16048" s="1063"/>
    </row>
    <row r="16049" spans="5:12" x14ac:dyDescent="0.2">
      <c r="E16049" s="1063"/>
      <c r="H16049" s="1066"/>
      <c r="I16049" s="1063"/>
      <c r="J16049" s="1063"/>
      <c r="K16049" s="1063"/>
      <c r="L16049" s="1063"/>
    </row>
    <row r="16050" spans="5:12" x14ac:dyDescent="0.2">
      <c r="E16050" s="1063"/>
      <c r="H16050" s="1066"/>
      <c r="I16050" s="1063"/>
      <c r="J16050" s="1063"/>
      <c r="K16050" s="1063"/>
      <c r="L16050" s="1063"/>
    </row>
    <row r="16051" spans="5:12" x14ac:dyDescent="0.2">
      <c r="E16051" s="1063"/>
      <c r="H16051" s="1066"/>
      <c r="I16051" s="1063"/>
      <c r="J16051" s="1063"/>
      <c r="K16051" s="1063"/>
      <c r="L16051" s="1063"/>
    </row>
    <row r="16052" spans="5:12" x14ac:dyDescent="0.2">
      <c r="E16052" s="1063"/>
      <c r="H16052" s="1066"/>
      <c r="I16052" s="1063"/>
      <c r="J16052" s="1063"/>
      <c r="K16052" s="1063"/>
      <c r="L16052" s="1063"/>
    </row>
    <row r="16053" spans="5:12" x14ac:dyDescent="0.2">
      <c r="E16053" s="1063"/>
      <c r="H16053" s="1066"/>
      <c r="I16053" s="1063"/>
      <c r="J16053" s="1063"/>
      <c r="K16053" s="1063"/>
      <c r="L16053" s="1063"/>
    </row>
    <row r="16054" spans="5:12" x14ac:dyDescent="0.2">
      <c r="E16054" s="1063"/>
      <c r="H16054" s="1066"/>
      <c r="I16054" s="1063"/>
      <c r="J16054" s="1063"/>
      <c r="K16054" s="1063"/>
      <c r="L16054" s="1063"/>
    </row>
    <row r="16055" spans="5:12" x14ac:dyDescent="0.2">
      <c r="E16055" s="1063"/>
      <c r="H16055" s="1066"/>
      <c r="I16055" s="1063"/>
      <c r="J16055" s="1063"/>
      <c r="K16055" s="1063"/>
      <c r="L16055" s="1063"/>
    </row>
    <row r="16056" spans="5:12" x14ac:dyDescent="0.2">
      <c r="E16056" s="1063"/>
      <c r="H16056" s="1066"/>
      <c r="I16056" s="1063"/>
      <c r="J16056" s="1063"/>
      <c r="K16056" s="1063"/>
      <c r="L16056" s="1063"/>
    </row>
    <row r="16057" spans="5:12" x14ac:dyDescent="0.2">
      <c r="E16057" s="1063"/>
      <c r="H16057" s="1066"/>
      <c r="I16057" s="1063"/>
      <c r="J16057" s="1063"/>
      <c r="K16057" s="1063"/>
      <c r="L16057" s="1063"/>
    </row>
    <row r="16058" spans="5:12" x14ac:dyDescent="0.2">
      <c r="E16058" s="1063"/>
      <c r="H16058" s="1066"/>
      <c r="I16058" s="1063"/>
      <c r="J16058" s="1063"/>
      <c r="K16058" s="1063"/>
      <c r="L16058" s="1063"/>
    </row>
    <row r="16059" spans="5:12" x14ac:dyDescent="0.2">
      <c r="E16059" s="1063"/>
      <c r="H16059" s="1066"/>
      <c r="I16059" s="1063"/>
      <c r="J16059" s="1063"/>
      <c r="K16059" s="1063"/>
      <c r="L16059" s="1063"/>
    </row>
    <row r="16060" spans="5:12" x14ac:dyDescent="0.2">
      <c r="E16060" s="1063"/>
      <c r="H16060" s="1066"/>
      <c r="I16060" s="1063"/>
      <c r="J16060" s="1063"/>
      <c r="K16060" s="1063"/>
      <c r="L16060" s="1063"/>
    </row>
    <row r="16061" spans="5:12" x14ac:dyDescent="0.2">
      <c r="E16061" s="1063"/>
      <c r="H16061" s="1066"/>
      <c r="I16061" s="1063"/>
      <c r="J16061" s="1063"/>
      <c r="K16061" s="1063"/>
      <c r="L16061" s="1063"/>
    </row>
    <row r="16062" spans="5:12" x14ac:dyDescent="0.2">
      <c r="E16062" s="1063"/>
      <c r="H16062" s="1066"/>
      <c r="I16062" s="1063"/>
      <c r="J16062" s="1063"/>
      <c r="K16062" s="1063"/>
      <c r="L16062" s="1063"/>
    </row>
    <row r="16063" spans="5:12" x14ac:dyDescent="0.2">
      <c r="E16063" s="1063"/>
      <c r="H16063" s="1066"/>
      <c r="I16063" s="1063"/>
      <c r="J16063" s="1063"/>
      <c r="K16063" s="1063"/>
      <c r="L16063" s="1063"/>
    </row>
    <row r="16064" spans="5:12" x14ac:dyDescent="0.2">
      <c r="E16064" s="1063"/>
      <c r="H16064" s="1066"/>
      <c r="I16064" s="1063"/>
      <c r="J16064" s="1063"/>
      <c r="K16064" s="1063"/>
      <c r="L16064" s="1063"/>
    </row>
    <row r="16065" spans="5:12" x14ac:dyDescent="0.2">
      <c r="E16065" s="1063"/>
      <c r="H16065" s="1066"/>
      <c r="I16065" s="1063"/>
      <c r="J16065" s="1063"/>
      <c r="K16065" s="1063"/>
      <c r="L16065" s="1063"/>
    </row>
    <row r="16066" spans="5:12" x14ac:dyDescent="0.2">
      <c r="E16066" s="1063"/>
      <c r="H16066" s="1066"/>
      <c r="I16066" s="1063"/>
      <c r="J16066" s="1063"/>
      <c r="K16066" s="1063"/>
      <c r="L16066" s="1063"/>
    </row>
    <row r="16067" spans="5:12" x14ac:dyDescent="0.2">
      <c r="E16067" s="1063"/>
      <c r="H16067" s="1066"/>
      <c r="I16067" s="1063"/>
      <c r="J16067" s="1063"/>
      <c r="K16067" s="1063"/>
      <c r="L16067" s="1063"/>
    </row>
    <row r="16068" spans="5:12" x14ac:dyDescent="0.2">
      <c r="E16068" s="1063"/>
      <c r="H16068" s="1066"/>
      <c r="I16068" s="1063"/>
      <c r="J16068" s="1063"/>
      <c r="K16068" s="1063"/>
      <c r="L16068" s="1063"/>
    </row>
    <row r="16069" spans="5:12" x14ac:dyDescent="0.2">
      <c r="E16069" s="1063"/>
      <c r="H16069" s="1066"/>
      <c r="I16069" s="1063"/>
      <c r="J16069" s="1063"/>
      <c r="K16069" s="1063"/>
      <c r="L16069" s="1063"/>
    </row>
    <row r="16070" spans="5:12" x14ac:dyDescent="0.2">
      <c r="E16070" s="1063"/>
      <c r="H16070" s="1066"/>
      <c r="I16070" s="1063"/>
      <c r="J16070" s="1063"/>
      <c r="K16070" s="1063"/>
      <c r="L16070" s="1063"/>
    </row>
    <row r="16071" spans="5:12" x14ac:dyDescent="0.2">
      <c r="E16071" s="1063"/>
      <c r="H16071" s="1066"/>
      <c r="I16071" s="1063"/>
      <c r="J16071" s="1063"/>
      <c r="K16071" s="1063"/>
      <c r="L16071" s="1063"/>
    </row>
    <row r="16072" spans="5:12" x14ac:dyDescent="0.2">
      <c r="E16072" s="1063"/>
      <c r="H16072" s="1066"/>
      <c r="I16072" s="1063"/>
      <c r="J16072" s="1063"/>
      <c r="K16072" s="1063"/>
      <c r="L16072" s="1063"/>
    </row>
    <row r="16073" spans="5:12" x14ac:dyDescent="0.2">
      <c r="E16073" s="1063"/>
      <c r="H16073" s="1066"/>
      <c r="I16073" s="1063"/>
      <c r="J16073" s="1063"/>
      <c r="K16073" s="1063"/>
      <c r="L16073" s="1063"/>
    </row>
    <row r="16074" spans="5:12" x14ac:dyDescent="0.2">
      <c r="E16074" s="1063"/>
      <c r="H16074" s="1066"/>
      <c r="I16074" s="1063"/>
      <c r="J16074" s="1063"/>
      <c r="K16074" s="1063"/>
      <c r="L16074" s="1063"/>
    </row>
    <row r="16075" spans="5:12" x14ac:dyDescent="0.2">
      <c r="E16075" s="1063"/>
      <c r="H16075" s="1066"/>
      <c r="I16075" s="1063"/>
      <c r="J16075" s="1063"/>
      <c r="K16075" s="1063"/>
      <c r="L16075" s="1063"/>
    </row>
    <row r="16076" spans="5:12" x14ac:dyDescent="0.2">
      <c r="E16076" s="1063"/>
      <c r="H16076" s="1066"/>
      <c r="I16076" s="1063"/>
      <c r="J16076" s="1063"/>
      <c r="K16076" s="1063"/>
      <c r="L16076" s="1063"/>
    </row>
    <row r="16077" spans="5:12" x14ac:dyDescent="0.2">
      <c r="E16077" s="1063"/>
      <c r="H16077" s="1066"/>
      <c r="I16077" s="1063"/>
      <c r="J16077" s="1063"/>
      <c r="K16077" s="1063"/>
      <c r="L16077" s="1063"/>
    </row>
    <row r="16078" spans="5:12" x14ac:dyDescent="0.2">
      <c r="E16078" s="1063"/>
      <c r="H16078" s="1066"/>
      <c r="I16078" s="1063"/>
      <c r="J16078" s="1063"/>
      <c r="K16078" s="1063"/>
      <c r="L16078" s="1063"/>
    </row>
    <row r="16079" spans="5:12" x14ac:dyDescent="0.2">
      <c r="E16079" s="1063"/>
      <c r="H16079" s="1066"/>
      <c r="I16079" s="1063"/>
      <c r="J16079" s="1063"/>
      <c r="K16079" s="1063"/>
      <c r="L16079" s="1063"/>
    </row>
    <row r="16080" spans="5:12" x14ac:dyDescent="0.2">
      <c r="E16080" s="1063"/>
      <c r="H16080" s="1066"/>
      <c r="I16080" s="1063"/>
      <c r="J16080" s="1063"/>
      <c r="K16080" s="1063"/>
      <c r="L16080" s="1063"/>
    </row>
    <row r="16081" spans="5:12" x14ac:dyDescent="0.2">
      <c r="E16081" s="1063"/>
      <c r="H16081" s="1066"/>
      <c r="I16081" s="1063"/>
      <c r="J16081" s="1063"/>
      <c r="K16081" s="1063"/>
      <c r="L16081" s="1063"/>
    </row>
    <row r="16082" spans="5:12" x14ac:dyDescent="0.2">
      <c r="E16082" s="1063"/>
      <c r="H16082" s="1066"/>
      <c r="I16082" s="1063"/>
      <c r="J16082" s="1063"/>
      <c r="K16082" s="1063"/>
      <c r="L16082" s="1063"/>
    </row>
    <row r="16083" spans="5:12" x14ac:dyDescent="0.2">
      <c r="E16083" s="1063"/>
      <c r="H16083" s="1066"/>
      <c r="I16083" s="1063"/>
      <c r="J16083" s="1063"/>
      <c r="K16083" s="1063"/>
      <c r="L16083" s="1063"/>
    </row>
    <row r="16084" spans="5:12" x14ac:dyDescent="0.2">
      <c r="E16084" s="1063"/>
      <c r="H16084" s="1066"/>
      <c r="I16084" s="1063"/>
      <c r="J16084" s="1063"/>
      <c r="K16084" s="1063"/>
      <c r="L16084" s="1063"/>
    </row>
    <row r="16085" spans="5:12" x14ac:dyDescent="0.2">
      <c r="E16085" s="1063"/>
      <c r="H16085" s="1066"/>
      <c r="I16085" s="1063"/>
      <c r="J16085" s="1063"/>
      <c r="K16085" s="1063"/>
      <c r="L16085" s="1063"/>
    </row>
    <row r="16086" spans="5:12" x14ac:dyDescent="0.2">
      <c r="E16086" s="1063"/>
      <c r="H16086" s="1066"/>
      <c r="I16086" s="1063"/>
      <c r="J16086" s="1063"/>
      <c r="K16086" s="1063"/>
      <c r="L16086" s="1063"/>
    </row>
    <row r="16087" spans="5:12" x14ac:dyDescent="0.2">
      <c r="E16087" s="1063"/>
      <c r="H16087" s="1066"/>
      <c r="I16087" s="1063"/>
      <c r="J16087" s="1063"/>
      <c r="K16087" s="1063"/>
      <c r="L16087" s="1063"/>
    </row>
    <row r="16088" spans="5:12" x14ac:dyDescent="0.2">
      <c r="E16088" s="1063"/>
      <c r="H16088" s="1066"/>
      <c r="I16088" s="1063"/>
      <c r="J16088" s="1063"/>
      <c r="K16088" s="1063"/>
      <c r="L16088" s="1063"/>
    </row>
    <row r="16089" spans="5:12" x14ac:dyDescent="0.2">
      <c r="E16089" s="1063"/>
      <c r="H16089" s="1066"/>
      <c r="I16089" s="1063"/>
      <c r="J16089" s="1063"/>
      <c r="K16089" s="1063"/>
      <c r="L16089" s="1063"/>
    </row>
    <row r="16090" spans="5:12" x14ac:dyDescent="0.2">
      <c r="E16090" s="1063"/>
      <c r="H16090" s="1066"/>
      <c r="I16090" s="1063"/>
      <c r="J16090" s="1063"/>
      <c r="K16090" s="1063"/>
      <c r="L16090" s="1063"/>
    </row>
    <row r="16091" spans="5:12" x14ac:dyDescent="0.2">
      <c r="E16091" s="1063"/>
      <c r="H16091" s="1066"/>
      <c r="I16091" s="1063"/>
      <c r="J16091" s="1063"/>
      <c r="K16091" s="1063"/>
      <c r="L16091" s="1063"/>
    </row>
    <row r="16092" spans="5:12" x14ac:dyDescent="0.2">
      <c r="E16092" s="1063"/>
      <c r="H16092" s="1066"/>
      <c r="I16092" s="1063"/>
      <c r="J16092" s="1063"/>
      <c r="K16092" s="1063"/>
      <c r="L16092" s="1063"/>
    </row>
    <row r="16093" spans="5:12" x14ac:dyDescent="0.2">
      <c r="E16093" s="1063"/>
      <c r="H16093" s="1066"/>
      <c r="I16093" s="1063"/>
      <c r="J16093" s="1063"/>
      <c r="K16093" s="1063"/>
      <c r="L16093" s="1063"/>
    </row>
    <row r="16094" spans="5:12" x14ac:dyDescent="0.2">
      <c r="E16094" s="1063"/>
      <c r="H16094" s="1066"/>
      <c r="I16094" s="1063"/>
      <c r="J16094" s="1063"/>
      <c r="K16094" s="1063"/>
      <c r="L16094" s="1063"/>
    </row>
    <row r="16095" spans="5:12" x14ac:dyDescent="0.2">
      <c r="E16095" s="1063"/>
      <c r="H16095" s="1066"/>
      <c r="I16095" s="1063"/>
      <c r="J16095" s="1063"/>
      <c r="K16095" s="1063"/>
      <c r="L16095" s="1063"/>
    </row>
    <row r="16096" spans="5:12" x14ac:dyDescent="0.2">
      <c r="E16096" s="1063"/>
      <c r="H16096" s="1066"/>
      <c r="I16096" s="1063"/>
      <c r="J16096" s="1063"/>
      <c r="K16096" s="1063"/>
      <c r="L16096" s="1063"/>
    </row>
    <row r="16097" spans="5:12" x14ac:dyDescent="0.2">
      <c r="E16097" s="1063"/>
      <c r="H16097" s="1066"/>
      <c r="I16097" s="1063"/>
      <c r="J16097" s="1063"/>
      <c r="K16097" s="1063"/>
      <c r="L16097" s="1063"/>
    </row>
    <row r="16098" spans="5:12" x14ac:dyDescent="0.2">
      <c r="E16098" s="1063"/>
      <c r="H16098" s="1066"/>
      <c r="I16098" s="1063"/>
      <c r="J16098" s="1063"/>
      <c r="K16098" s="1063"/>
      <c r="L16098" s="1063"/>
    </row>
    <row r="16099" spans="5:12" x14ac:dyDescent="0.2">
      <c r="E16099" s="1063"/>
      <c r="H16099" s="1066"/>
      <c r="I16099" s="1063"/>
      <c r="J16099" s="1063"/>
      <c r="K16099" s="1063"/>
      <c r="L16099" s="1063"/>
    </row>
    <row r="16100" spans="5:12" x14ac:dyDescent="0.2">
      <c r="E16100" s="1063"/>
      <c r="H16100" s="1066"/>
      <c r="I16100" s="1063"/>
      <c r="J16100" s="1063"/>
      <c r="K16100" s="1063"/>
      <c r="L16100" s="1063"/>
    </row>
    <row r="16101" spans="5:12" x14ac:dyDescent="0.2">
      <c r="E16101" s="1063"/>
      <c r="H16101" s="1066"/>
      <c r="I16101" s="1063"/>
      <c r="J16101" s="1063"/>
      <c r="K16101" s="1063"/>
      <c r="L16101" s="1063"/>
    </row>
    <row r="16102" spans="5:12" x14ac:dyDescent="0.2">
      <c r="E16102" s="1063"/>
      <c r="H16102" s="1066"/>
      <c r="I16102" s="1063"/>
      <c r="J16102" s="1063"/>
      <c r="K16102" s="1063"/>
      <c r="L16102" s="1063"/>
    </row>
    <row r="16103" spans="5:12" x14ac:dyDescent="0.2">
      <c r="E16103" s="1063"/>
      <c r="H16103" s="1066"/>
      <c r="I16103" s="1063"/>
      <c r="J16103" s="1063"/>
      <c r="K16103" s="1063"/>
      <c r="L16103" s="1063"/>
    </row>
    <row r="16104" spans="5:12" x14ac:dyDescent="0.2">
      <c r="E16104" s="1063"/>
      <c r="H16104" s="1066"/>
      <c r="I16104" s="1063"/>
      <c r="J16104" s="1063"/>
      <c r="K16104" s="1063"/>
      <c r="L16104" s="1063"/>
    </row>
    <row r="16105" spans="5:12" x14ac:dyDescent="0.2">
      <c r="E16105" s="1063"/>
      <c r="H16105" s="1066"/>
      <c r="I16105" s="1063"/>
      <c r="J16105" s="1063"/>
      <c r="K16105" s="1063"/>
      <c r="L16105" s="1063"/>
    </row>
    <row r="16106" spans="5:12" x14ac:dyDescent="0.2">
      <c r="E16106" s="1063"/>
      <c r="H16106" s="1066"/>
      <c r="I16106" s="1063"/>
      <c r="J16106" s="1063"/>
      <c r="K16106" s="1063"/>
      <c r="L16106" s="1063"/>
    </row>
    <row r="16107" spans="5:12" x14ac:dyDescent="0.2">
      <c r="E16107" s="1063"/>
      <c r="H16107" s="1066"/>
      <c r="I16107" s="1063"/>
      <c r="J16107" s="1063"/>
      <c r="K16107" s="1063"/>
      <c r="L16107" s="1063"/>
    </row>
    <row r="16108" spans="5:12" x14ac:dyDescent="0.2">
      <c r="E16108" s="1063"/>
      <c r="H16108" s="1066"/>
      <c r="I16108" s="1063"/>
      <c r="J16108" s="1063"/>
      <c r="K16108" s="1063"/>
      <c r="L16108" s="1063"/>
    </row>
    <row r="16109" spans="5:12" x14ac:dyDescent="0.2">
      <c r="E16109" s="1063"/>
      <c r="H16109" s="1066"/>
      <c r="I16109" s="1063"/>
      <c r="J16109" s="1063"/>
      <c r="K16109" s="1063"/>
      <c r="L16109" s="1063"/>
    </row>
    <row r="16110" spans="5:12" x14ac:dyDescent="0.2">
      <c r="E16110" s="1063"/>
      <c r="H16110" s="1066"/>
      <c r="I16110" s="1063"/>
      <c r="J16110" s="1063"/>
      <c r="K16110" s="1063"/>
      <c r="L16110" s="1063"/>
    </row>
    <row r="16111" spans="5:12" x14ac:dyDescent="0.2">
      <c r="E16111" s="1063"/>
      <c r="H16111" s="1066"/>
      <c r="I16111" s="1063"/>
      <c r="J16111" s="1063"/>
      <c r="K16111" s="1063"/>
      <c r="L16111" s="1063"/>
    </row>
    <row r="16112" spans="5:12" x14ac:dyDescent="0.2">
      <c r="E16112" s="1063"/>
      <c r="H16112" s="1066"/>
      <c r="I16112" s="1063"/>
      <c r="J16112" s="1063"/>
      <c r="K16112" s="1063"/>
      <c r="L16112" s="1063"/>
    </row>
    <row r="16113" spans="5:12" x14ac:dyDescent="0.2">
      <c r="E16113" s="1063"/>
      <c r="H16113" s="1066"/>
      <c r="I16113" s="1063"/>
      <c r="J16113" s="1063"/>
      <c r="K16113" s="1063"/>
      <c r="L16113" s="1063"/>
    </row>
    <row r="16114" spans="5:12" x14ac:dyDescent="0.2">
      <c r="E16114" s="1063"/>
      <c r="H16114" s="1066"/>
      <c r="I16114" s="1063"/>
      <c r="J16114" s="1063"/>
      <c r="K16114" s="1063"/>
      <c r="L16114" s="1063"/>
    </row>
    <row r="16115" spans="5:12" x14ac:dyDescent="0.2">
      <c r="E16115" s="1063"/>
      <c r="H16115" s="1066"/>
      <c r="I16115" s="1063"/>
      <c r="J16115" s="1063"/>
      <c r="K16115" s="1063"/>
      <c r="L16115" s="1063"/>
    </row>
    <row r="16116" spans="5:12" x14ac:dyDescent="0.2">
      <c r="E16116" s="1063"/>
      <c r="H16116" s="1066"/>
      <c r="I16116" s="1063"/>
      <c r="J16116" s="1063"/>
      <c r="K16116" s="1063"/>
      <c r="L16116" s="1063"/>
    </row>
    <row r="16117" spans="5:12" x14ac:dyDescent="0.2">
      <c r="E16117" s="1063"/>
      <c r="H16117" s="1066"/>
      <c r="I16117" s="1063"/>
      <c r="J16117" s="1063"/>
      <c r="K16117" s="1063"/>
      <c r="L16117" s="1063"/>
    </row>
    <row r="16118" spans="5:12" x14ac:dyDescent="0.2">
      <c r="E16118" s="1063"/>
      <c r="H16118" s="1066"/>
      <c r="I16118" s="1063"/>
      <c r="J16118" s="1063"/>
      <c r="K16118" s="1063"/>
      <c r="L16118" s="1063"/>
    </row>
    <row r="16119" spans="5:12" x14ac:dyDescent="0.2">
      <c r="E16119" s="1063"/>
      <c r="H16119" s="1066"/>
      <c r="I16119" s="1063"/>
      <c r="J16119" s="1063"/>
      <c r="K16119" s="1063"/>
      <c r="L16119" s="1063"/>
    </row>
    <row r="16120" spans="5:12" x14ac:dyDescent="0.2">
      <c r="E16120" s="1063"/>
      <c r="H16120" s="1066"/>
      <c r="I16120" s="1063"/>
      <c r="J16120" s="1063"/>
      <c r="K16120" s="1063"/>
      <c r="L16120" s="1063"/>
    </row>
    <row r="16121" spans="5:12" x14ac:dyDescent="0.2">
      <c r="E16121" s="1063"/>
      <c r="H16121" s="1066"/>
      <c r="I16121" s="1063"/>
      <c r="J16121" s="1063"/>
      <c r="K16121" s="1063"/>
      <c r="L16121" s="1063"/>
    </row>
    <row r="16122" spans="5:12" x14ac:dyDescent="0.2">
      <c r="E16122" s="1063"/>
      <c r="H16122" s="1066"/>
      <c r="I16122" s="1063"/>
      <c r="J16122" s="1063"/>
      <c r="K16122" s="1063"/>
      <c r="L16122" s="1063"/>
    </row>
    <row r="16123" spans="5:12" x14ac:dyDescent="0.2">
      <c r="E16123" s="1063"/>
      <c r="H16123" s="1066"/>
      <c r="I16123" s="1063"/>
      <c r="J16123" s="1063"/>
      <c r="K16123" s="1063"/>
      <c r="L16123" s="1063"/>
    </row>
    <row r="16124" spans="5:12" x14ac:dyDescent="0.2">
      <c r="E16124" s="1063"/>
      <c r="H16124" s="1066"/>
      <c r="I16124" s="1063"/>
      <c r="J16124" s="1063"/>
      <c r="K16124" s="1063"/>
      <c r="L16124" s="1063"/>
    </row>
    <row r="16125" spans="5:12" x14ac:dyDescent="0.2">
      <c r="E16125" s="1063"/>
      <c r="H16125" s="1066"/>
      <c r="I16125" s="1063"/>
      <c r="J16125" s="1063"/>
      <c r="K16125" s="1063"/>
      <c r="L16125" s="1063"/>
    </row>
    <row r="16126" spans="5:12" x14ac:dyDescent="0.2">
      <c r="E16126" s="1063"/>
      <c r="H16126" s="1066"/>
      <c r="I16126" s="1063"/>
      <c r="J16126" s="1063"/>
      <c r="K16126" s="1063"/>
      <c r="L16126" s="1063"/>
    </row>
    <row r="16127" spans="5:12" x14ac:dyDescent="0.2">
      <c r="E16127" s="1063"/>
      <c r="H16127" s="1066"/>
      <c r="I16127" s="1063"/>
      <c r="J16127" s="1063"/>
      <c r="K16127" s="1063"/>
      <c r="L16127" s="1063"/>
    </row>
    <row r="16128" spans="5:12" x14ac:dyDescent="0.2">
      <c r="E16128" s="1063"/>
      <c r="H16128" s="1066"/>
      <c r="I16128" s="1063"/>
      <c r="J16128" s="1063"/>
      <c r="K16128" s="1063"/>
      <c r="L16128" s="1063"/>
    </row>
    <row r="16129" spans="5:12" x14ac:dyDescent="0.2">
      <c r="E16129" s="1063"/>
      <c r="H16129" s="1066"/>
      <c r="I16129" s="1063"/>
      <c r="J16129" s="1063"/>
      <c r="K16129" s="1063"/>
      <c r="L16129" s="1063"/>
    </row>
    <row r="16130" spans="5:12" x14ac:dyDescent="0.2">
      <c r="E16130" s="1063"/>
      <c r="H16130" s="1066"/>
      <c r="I16130" s="1063"/>
      <c r="J16130" s="1063"/>
      <c r="K16130" s="1063"/>
      <c r="L16130" s="1063"/>
    </row>
    <row r="16131" spans="5:12" x14ac:dyDescent="0.2">
      <c r="E16131" s="1063"/>
      <c r="H16131" s="1066"/>
      <c r="I16131" s="1063"/>
      <c r="J16131" s="1063"/>
      <c r="K16131" s="1063"/>
      <c r="L16131" s="1063"/>
    </row>
    <row r="16132" spans="5:12" x14ac:dyDescent="0.2">
      <c r="E16132" s="1063"/>
      <c r="H16132" s="1066"/>
      <c r="I16132" s="1063"/>
      <c r="J16132" s="1063"/>
      <c r="K16132" s="1063"/>
      <c r="L16132" s="1063"/>
    </row>
    <row r="16133" spans="5:12" x14ac:dyDescent="0.2">
      <c r="E16133" s="1063"/>
      <c r="H16133" s="1066"/>
      <c r="I16133" s="1063"/>
      <c r="J16133" s="1063"/>
      <c r="K16133" s="1063"/>
      <c r="L16133" s="1063"/>
    </row>
    <row r="16134" spans="5:12" x14ac:dyDescent="0.2">
      <c r="E16134" s="1063"/>
      <c r="H16134" s="1066"/>
      <c r="I16134" s="1063"/>
      <c r="J16134" s="1063"/>
      <c r="K16134" s="1063"/>
      <c r="L16134" s="1063"/>
    </row>
    <row r="16135" spans="5:12" x14ac:dyDescent="0.2">
      <c r="E16135" s="1063"/>
      <c r="H16135" s="1066"/>
      <c r="I16135" s="1063"/>
      <c r="J16135" s="1063"/>
      <c r="K16135" s="1063"/>
      <c r="L16135" s="1063"/>
    </row>
    <row r="16136" spans="5:12" x14ac:dyDescent="0.2">
      <c r="E16136" s="1063"/>
      <c r="H16136" s="1066"/>
      <c r="I16136" s="1063"/>
      <c r="J16136" s="1063"/>
      <c r="K16136" s="1063"/>
      <c r="L16136" s="1063"/>
    </row>
    <row r="16137" spans="5:12" x14ac:dyDescent="0.2">
      <c r="E16137" s="1063"/>
      <c r="H16137" s="1066"/>
      <c r="I16137" s="1063"/>
      <c r="J16137" s="1063"/>
      <c r="K16137" s="1063"/>
      <c r="L16137" s="1063"/>
    </row>
    <row r="16138" spans="5:12" x14ac:dyDescent="0.2">
      <c r="E16138" s="1063"/>
      <c r="H16138" s="1066"/>
      <c r="I16138" s="1063"/>
      <c r="J16138" s="1063"/>
      <c r="K16138" s="1063"/>
      <c r="L16138" s="1063"/>
    </row>
    <row r="16139" spans="5:12" x14ac:dyDescent="0.2">
      <c r="E16139" s="1063"/>
      <c r="H16139" s="1066"/>
      <c r="I16139" s="1063"/>
      <c r="J16139" s="1063"/>
      <c r="K16139" s="1063"/>
      <c r="L16139" s="1063"/>
    </row>
    <row r="16140" spans="5:12" x14ac:dyDescent="0.2">
      <c r="E16140" s="1063"/>
      <c r="H16140" s="1066"/>
      <c r="I16140" s="1063"/>
      <c r="J16140" s="1063"/>
      <c r="K16140" s="1063"/>
      <c r="L16140" s="1063"/>
    </row>
    <row r="16141" spans="5:12" x14ac:dyDescent="0.2">
      <c r="E16141" s="1063"/>
      <c r="H16141" s="1066"/>
      <c r="I16141" s="1063"/>
      <c r="J16141" s="1063"/>
      <c r="K16141" s="1063"/>
      <c r="L16141" s="1063"/>
    </row>
    <row r="16142" spans="5:12" x14ac:dyDescent="0.2">
      <c r="E16142" s="1063"/>
      <c r="H16142" s="1066"/>
      <c r="I16142" s="1063"/>
      <c r="J16142" s="1063"/>
      <c r="K16142" s="1063"/>
      <c r="L16142" s="1063"/>
    </row>
    <row r="16143" spans="5:12" x14ac:dyDescent="0.2">
      <c r="E16143" s="1063"/>
      <c r="H16143" s="1066"/>
      <c r="I16143" s="1063"/>
      <c r="J16143" s="1063"/>
      <c r="K16143" s="1063"/>
      <c r="L16143" s="1063"/>
    </row>
    <row r="16144" spans="5:12" x14ac:dyDescent="0.2">
      <c r="E16144" s="1063"/>
      <c r="H16144" s="1066"/>
      <c r="I16144" s="1063"/>
      <c r="J16144" s="1063"/>
      <c r="K16144" s="1063"/>
      <c r="L16144" s="1063"/>
    </row>
    <row r="16145" spans="5:12" x14ac:dyDescent="0.2">
      <c r="E16145" s="1063"/>
      <c r="H16145" s="1066"/>
      <c r="I16145" s="1063"/>
      <c r="J16145" s="1063"/>
      <c r="K16145" s="1063"/>
      <c r="L16145" s="1063"/>
    </row>
    <row r="16146" spans="5:12" x14ac:dyDescent="0.2">
      <c r="E16146" s="1063"/>
      <c r="H16146" s="1066"/>
      <c r="I16146" s="1063"/>
      <c r="J16146" s="1063"/>
      <c r="K16146" s="1063"/>
      <c r="L16146" s="1063"/>
    </row>
    <row r="16147" spans="5:12" x14ac:dyDescent="0.2">
      <c r="E16147" s="1063"/>
      <c r="H16147" s="1066"/>
      <c r="I16147" s="1063"/>
      <c r="J16147" s="1063"/>
      <c r="K16147" s="1063"/>
      <c r="L16147" s="1063"/>
    </row>
    <row r="16148" spans="5:12" x14ac:dyDescent="0.2">
      <c r="E16148" s="1063"/>
      <c r="H16148" s="1066"/>
      <c r="I16148" s="1063"/>
      <c r="J16148" s="1063"/>
      <c r="K16148" s="1063"/>
      <c r="L16148" s="1063"/>
    </row>
    <row r="16149" spans="5:12" x14ac:dyDescent="0.2">
      <c r="E16149" s="1063"/>
      <c r="H16149" s="1066"/>
      <c r="I16149" s="1063"/>
      <c r="J16149" s="1063"/>
      <c r="K16149" s="1063"/>
      <c r="L16149" s="1063"/>
    </row>
    <row r="16150" spans="5:12" x14ac:dyDescent="0.2">
      <c r="E16150" s="1063"/>
      <c r="H16150" s="1066"/>
      <c r="I16150" s="1063"/>
      <c r="J16150" s="1063"/>
      <c r="K16150" s="1063"/>
      <c r="L16150" s="1063"/>
    </row>
    <row r="16151" spans="5:12" x14ac:dyDescent="0.2">
      <c r="E16151" s="1063"/>
      <c r="H16151" s="1066"/>
      <c r="I16151" s="1063"/>
      <c r="J16151" s="1063"/>
      <c r="K16151" s="1063"/>
      <c r="L16151" s="1063"/>
    </row>
    <row r="16152" spans="5:12" x14ac:dyDescent="0.2">
      <c r="E16152" s="1063"/>
      <c r="H16152" s="1066"/>
      <c r="I16152" s="1063"/>
      <c r="J16152" s="1063"/>
      <c r="K16152" s="1063"/>
      <c r="L16152" s="1063"/>
    </row>
    <row r="16153" spans="5:12" x14ac:dyDescent="0.2">
      <c r="E16153" s="1063"/>
      <c r="H16153" s="1066"/>
      <c r="I16153" s="1063"/>
      <c r="J16153" s="1063"/>
      <c r="K16153" s="1063"/>
      <c r="L16153" s="1063"/>
    </row>
    <row r="16154" spans="5:12" x14ac:dyDescent="0.2">
      <c r="E16154" s="1063"/>
      <c r="H16154" s="1066"/>
      <c r="I16154" s="1063"/>
      <c r="J16154" s="1063"/>
      <c r="K16154" s="1063"/>
      <c r="L16154" s="1063"/>
    </row>
    <row r="16155" spans="5:12" x14ac:dyDescent="0.2">
      <c r="E16155" s="1063"/>
      <c r="H16155" s="1066"/>
      <c r="I16155" s="1063"/>
      <c r="J16155" s="1063"/>
      <c r="K16155" s="1063"/>
      <c r="L16155" s="1063"/>
    </row>
    <row r="16156" spans="5:12" x14ac:dyDescent="0.2">
      <c r="E16156" s="1063"/>
      <c r="H16156" s="1066"/>
      <c r="I16156" s="1063"/>
      <c r="J16156" s="1063"/>
      <c r="K16156" s="1063"/>
      <c r="L16156" s="1063"/>
    </row>
    <row r="16157" spans="5:12" x14ac:dyDescent="0.2">
      <c r="E16157" s="1063"/>
      <c r="H16157" s="1066"/>
      <c r="I16157" s="1063"/>
      <c r="J16157" s="1063"/>
      <c r="K16157" s="1063"/>
      <c r="L16157" s="1063"/>
    </row>
    <row r="16158" spans="5:12" x14ac:dyDescent="0.2">
      <c r="E16158" s="1063"/>
      <c r="H16158" s="1066"/>
      <c r="I16158" s="1063"/>
      <c r="J16158" s="1063"/>
      <c r="K16158" s="1063"/>
      <c r="L16158" s="1063"/>
    </row>
    <row r="16159" spans="5:12" x14ac:dyDescent="0.2">
      <c r="E16159" s="1063"/>
      <c r="H16159" s="1066"/>
      <c r="I16159" s="1063"/>
      <c r="J16159" s="1063"/>
      <c r="K16159" s="1063"/>
      <c r="L16159" s="1063"/>
    </row>
    <row r="16160" spans="5:12" x14ac:dyDescent="0.2">
      <c r="E16160" s="1063"/>
      <c r="H16160" s="1066"/>
      <c r="I16160" s="1063"/>
      <c r="J16160" s="1063"/>
      <c r="K16160" s="1063"/>
      <c r="L16160" s="1063"/>
    </row>
    <row r="16161" spans="5:12" x14ac:dyDescent="0.2">
      <c r="E16161" s="1063"/>
      <c r="H16161" s="1066"/>
      <c r="I16161" s="1063"/>
      <c r="J16161" s="1063"/>
      <c r="K16161" s="1063"/>
      <c r="L16161" s="1063"/>
    </row>
    <row r="16162" spans="5:12" x14ac:dyDescent="0.2">
      <c r="E16162" s="1063"/>
      <c r="H16162" s="1066"/>
      <c r="I16162" s="1063"/>
      <c r="J16162" s="1063"/>
      <c r="K16162" s="1063"/>
      <c r="L16162" s="1063"/>
    </row>
    <row r="16163" spans="5:12" x14ac:dyDescent="0.2">
      <c r="E16163" s="1063"/>
      <c r="H16163" s="1066"/>
      <c r="I16163" s="1063"/>
      <c r="J16163" s="1063"/>
      <c r="K16163" s="1063"/>
      <c r="L16163" s="1063"/>
    </row>
    <row r="16164" spans="5:12" x14ac:dyDescent="0.2">
      <c r="E16164" s="1063"/>
      <c r="H16164" s="1066"/>
      <c r="I16164" s="1063"/>
      <c r="J16164" s="1063"/>
      <c r="K16164" s="1063"/>
      <c r="L16164" s="1063"/>
    </row>
    <row r="16165" spans="5:12" x14ac:dyDescent="0.2">
      <c r="E16165" s="1063"/>
      <c r="H16165" s="1066"/>
      <c r="I16165" s="1063"/>
      <c r="J16165" s="1063"/>
      <c r="K16165" s="1063"/>
      <c r="L16165" s="1063"/>
    </row>
    <row r="16166" spans="5:12" x14ac:dyDescent="0.2">
      <c r="E16166" s="1063"/>
      <c r="H16166" s="1066"/>
      <c r="I16166" s="1063"/>
      <c r="J16166" s="1063"/>
      <c r="K16166" s="1063"/>
      <c r="L16166" s="1063"/>
    </row>
    <row r="16167" spans="5:12" x14ac:dyDescent="0.2">
      <c r="E16167" s="1063"/>
      <c r="H16167" s="1066"/>
      <c r="I16167" s="1063"/>
      <c r="J16167" s="1063"/>
      <c r="K16167" s="1063"/>
      <c r="L16167" s="1063"/>
    </row>
    <row r="16168" spans="5:12" x14ac:dyDescent="0.2">
      <c r="E16168" s="1063"/>
      <c r="H16168" s="1066"/>
      <c r="I16168" s="1063"/>
      <c r="J16168" s="1063"/>
      <c r="K16168" s="1063"/>
      <c r="L16168" s="1063"/>
    </row>
    <row r="16169" spans="5:12" x14ac:dyDescent="0.2">
      <c r="E16169" s="1063"/>
      <c r="H16169" s="1066"/>
      <c r="I16169" s="1063"/>
      <c r="J16169" s="1063"/>
      <c r="K16169" s="1063"/>
      <c r="L16169" s="1063"/>
    </row>
    <row r="16170" spans="5:12" x14ac:dyDescent="0.2">
      <c r="E16170" s="1063"/>
      <c r="H16170" s="1066"/>
      <c r="I16170" s="1063"/>
      <c r="J16170" s="1063"/>
      <c r="K16170" s="1063"/>
      <c r="L16170" s="1063"/>
    </row>
    <row r="16171" spans="5:12" x14ac:dyDescent="0.2">
      <c r="E16171" s="1063"/>
      <c r="H16171" s="1066"/>
      <c r="I16171" s="1063"/>
      <c r="J16171" s="1063"/>
      <c r="K16171" s="1063"/>
      <c r="L16171" s="1063"/>
    </row>
    <row r="16172" spans="5:12" x14ac:dyDescent="0.2">
      <c r="E16172" s="1063"/>
      <c r="H16172" s="1066"/>
      <c r="I16172" s="1063"/>
      <c r="J16172" s="1063"/>
      <c r="K16172" s="1063"/>
      <c r="L16172" s="1063"/>
    </row>
    <row r="16173" spans="5:12" x14ac:dyDescent="0.2">
      <c r="E16173" s="1063"/>
      <c r="H16173" s="1066"/>
      <c r="I16173" s="1063"/>
      <c r="J16173" s="1063"/>
      <c r="K16173" s="1063"/>
      <c r="L16173" s="1063"/>
    </row>
    <row r="16174" spans="5:12" x14ac:dyDescent="0.2">
      <c r="E16174" s="1063"/>
      <c r="H16174" s="1066"/>
      <c r="I16174" s="1063"/>
      <c r="J16174" s="1063"/>
      <c r="K16174" s="1063"/>
      <c r="L16174" s="1063"/>
    </row>
    <row r="16175" spans="5:12" x14ac:dyDescent="0.2">
      <c r="E16175" s="1063"/>
      <c r="H16175" s="1066"/>
      <c r="I16175" s="1063"/>
      <c r="J16175" s="1063"/>
      <c r="K16175" s="1063"/>
      <c r="L16175" s="1063"/>
    </row>
    <row r="16176" spans="5:12" x14ac:dyDescent="0.2">
      <c r="E16176" s="1063"/>
      <c r="H16176" s="1066"/>
      <c r="I16176" s="1063"/>
      <c r="J16176" s="1063"/>
      <c r="K16176" s="1063"/>
      <c r="L16176" s="1063"/>
    </row>
    <row r="16177" spans="5:12" x14ac:dyDescent="0.2">
      <c r="E16177" s="1063"/>
      <c r="H16177" s="1066"/>
      <c r="I16177" s="1063"/>
      <c r="J16177" s="1063"/>
      <c r="K16177" s="1063"/>
      <c r="L16177" s="1063"/>
    </row>
    <row r="16178" spans="5:12" x14ac:dyDescent="0.2">
      <c r="E16178" s="1063"/>
      <c r="H16178" s="1066"/>
      <c r="I16178" s="1063"/>
      <c r="J16178" s="1063"/>
      <c r="K16178" s="1063"/>
      <c r="L16178" s="1063"/>
    </row>
    <row r="16179" spans="5:12" x14ac:dyDescent="0.2">
      <c r="E16179" s="1063"/>
      <c r="H16179" s="1066"/>
      <c r="I16179" s="1063"/>
      <c r="J16179" s="1063"/>
      <c r="K16179" s="1063"/>
      <c r="L16179" s="1063"/>
    </row>
    <row r="16180" spans="5:12" x14ac:dyDescent="0.2">
      <c r="E16180" s="1063"/>
      <c r="H16180" s="1066"/>
      <c r="I16180" s="1063"/>
      <c r="J16180" s="1063"/>
      <c r="K16180" s="1063"/>
      <c r="L16180" s="1063"/>
    </row>
    <row r="16181" spans="5:12" x14ac:dyDescent="0.2">
      <c r="E16181" s="1063"/>
      <c r="H16181" s="1066"/>
      <c r="I16181" s="1063"/>
      <c r="J16181" s="1063"/>
      <c r="K16181" s="1063"/>
      <c r="L16181" s="1063"/>
    </row>
    <row r="16182" spans="5:12" x14ac:dyDescent="0.2">
      <c r="E16182" s="1063"/>
      <c r="H16182" s="1066"/>
      <c r="I16182" s="1063"/>
      <c r="J16182" s="1063"/>
      <c r="K16182" s="1063"/>
      <c r="L16182" s="1063"/>
    </row>
    <row r="16183" spans="5:12" x14ac:dyDescent="0.2">
      <c r="E16183" s="1063"/>
      <c r="H16183" s="1066"/>
      <c r="I16183" s="1063"/>
      <c r="J16183" s="1063"/>
      <c r="K16183" s="1063"/>
      <c r="L16183" s="1063"/>
    </row>
    <row r="16184" spans="5:12" x14ac:dyDescent="0.2">
      <c r="E16184" s="1063"/>
      <c r="H16184" s="1066"/>
      <c r="I16184" s="1063"/>
      <c r="J16184" s="1063"/>
      <c r="K16184" s="1063"/>
      <c r="L16184" s="1063"/>
    </row>
    <row r="16185" spans="5:12" x14ac:dyDescent="0.2">
      <c r="E16185" s="1063"/>
      <c r="H16185" s="1066"/>
      <c r="I16185" s="1063"/>
      <c r="J16185" s="1063"/>
      <c r="K16185" s="1063"/>
      <c r="L16185" s="1063"/>
    </row>
    <row r="16186" spans="5:12" x14ac:dyDescent="0.2">
      <c r="E16186" s="1063"/>
      <c r="H16186" s="1066"/>
      <c r="I16186" s="1063"/>
      <c r="J16186" s="1063"/>
      <c r="K16186" s="1063"/>
      <c r="L16186" s="1063"/>
    </row>
    <row r="16187" spans="5:12" x14ac:dyDescent="0.2">
      <c r="E16187" s="1063"/>
      <c r="H16187" s="1066"/>
      <c r="I16187" s="1063"/>
      <c r="J16187" s="1063"/>
      <c r="K16187" s="1063"/>
      <c r="L16187" s="1063"/>
    </row>
    <row r="16188" spans="5:12" x14ac:dyDescent="0.2">
      <c r="E16188" s="1063"/>
      <c r="H16188" s="1066"/>
      <c r="I16188" s="1063"/>
      <c r="J16188" s="1063"/>
      <c r="K16188" s="1063"/>
      <c r="L16188" s="1063"/>
    </row>
    <row r="16189" spans="5:12" x14ac:dyDescent="0.2">
      <c r="E16189" s="1063"/>
      <c r="H16189" s="1066"/>
      <c r="I16189" s="1063"/>
      <c r="J16189" s="1063"/>
      <c r="K16189" s="1063"/>
      <c r="L16189" s="1063"/>
    </row>
    <row r="16190" spans="5:12" x14ac:dyDescent="0.2">
      <c r="E16190" s="1063"/>
      <c r="H16190" s="1066"/>
      <c r="I16190" s="1063"/>
      <c r="J16190" s="1063"/>
      <c r="K16190" s="1063"/>
      <c r="L16190" s="1063"/>
    </row>
    <row r="16191" spans="5:12" x14ac:dyDescent="0.2">
      <c r="E16191" s="1063"/>
      <c r="H16191" s="1066"/>
      <c r="I16191" s="1063"/>
      <c r="J16191" s="1063"/>
      <c r="K16191" s="1063"/>
      <c r="L16191" s="1063"/>
    </row>
    <row r="16192" spans="5:12" x14ac:dyDescent="0.2">
      <c r="E16192" s="1063"/>
      <c r="H16192" s="1066"/>
      <c r="I16192" s="1063"/>
      <c r="J16192" s="1063"/>
      <c r="K16192" s="1063"/>
      <c r="L16192" s="1063"/>
    </row>
    <row r="16193" spans="5:12" x14ac:dyDescent="0.2">
      <c r="E16193" s="1063"/>
      <c r="H16193" s="1066"/>
      <c r="I16193" s="1063"/>
      <c r="J16193" s="1063"/>
      <c r="K16193" s="1063"/>
      <c r="L16193" s="1063"/>
    </row>
    <row r="16194" spans="5:12" x14ac:dyDescent="0.2">
      <c r="E16194" s="1063"/>
      <c r="H16194" s="1066"/>
      <c r="I16194" s="1063"/>
      <c r="J16194" s="1063"/>
      <c r="K16194" s="1063"/>
      <c r="L16194" s="1063"/>
    </row>
    <row r="16195" spans="5:12" x14ac:dyDescent="0.2">
      <c r="E16195" s="1063"/>
      <c r="H16195" s="1066"/>
      <c r="I16195" s="1063"/>
      <c r="J16195" s="1063"/>
      <c r="K16195" s="1063"/>
      <c r="L16195" s="1063"/>
    </row>
    <row r="16196" spans="5:12" x14ac:dyDescent="0.2">
      <c r="E16196" s="1063"/>
      <c r="H16196" s="1066"/>
      <c r="I16196" s="1063"/>
      <c r="J16196" s="1063"/>
      <c r="K16196" s="1063"/>
      <c r="L16196" s="1063"/>
    </row>
    <row r="16197" spans="5:12" x14ac:dyDescent="0.2">
      <c r="E16197" s="1063"/>
      <c r="H16197" s="1066"/>
      <c r="I16197" s="1063"/>
      <c r="J16197" s="1063"/>
      <c r="K16197" s="1063"/>
      <c r="L16197" s="1063"/>
    </row>
    <row r="16198" spans="5:12" x14ac:dyDescent="0.2">
      <c r="E16198" s="1063"/>
      <c r="H16198" s="1066"/>
      <c r="I16198" s="1063"/>
      <c r="J16198" s="1063"/>
      <c r="K16198" s="1063"/>
      <c r="L16198" s="1063"/>
    </row>
    <row r="16199" spans="5:12" x14ac:dyDescent="0.2">
      <c r="E16199" s="1063"/>
      <c r="H16199" s="1066"/>
      <c r="I16199" s="1063"/>
      <c r="J16199" s="1063"/>
      <c r="K16199" s="1063"/>
      <c r="L16199" s="1063"/>
    </row>
    <row r="16200" spans="5:12" x14ac:dyDescent="0.2">
      <c r="E16200" s="1063"/>
      <c r="H16200" s="1066"/>
      <c r="I16200" s="1063"/>
      <c r="J16200" s="1063"/>
      <c r="K16200" s="1063"/>
      <c r="L16200" s="1063"/>
    </row>
    <row r="16201" spans="5:12" x14ac:dyDescent="0.2">
      <c r="E16201" s="1063"/>
      <c r="H16201" s="1066"/>
      <c r="I16201" s="1063"/>
      <c r="J16201" s="1063"/>
      <c r="K16201" s="1063"/>
      <c r="L16201" s="1063"/>
    </row>
    <row r="16202" spans="5:12" x14ac:dyDescent="0.2">
      <c r="E16202" s="1063"/>
      <c r="H16202" s="1066"/>
      <c r="I16202" s="1063"/>
      <c r="J16202" s="1063"/>
      <c r="K16202" s="1063"/>
      <c r="L16202" s="1063"/>
    </row>
    <row r="16203" spans="5:12" x14ac:dyDescent="0.2">
      <c r="E16203" s="1063"/>
      <c r="H16203" s="1066"/>
      <c r="I16203" s="1063"/>
      <c r="J16203" s="1063"/>
      <c r="K16203" s="1063"/>
      <c r="L16203" s="1063"/>
    </row>
    <row r="16204" spans="5:12" x14ac:dyDescent="0.2">
      <c r="E16204" s="1063"/>
      <c r="H16204" s="1066"/>
      <c r="I16204" s="1063"/>
      <c r="J16204" s="1063"/>
      <c r="K16204" s="1063"/>
      <c r="L16204" s="1063"/>
    </row>
    <row r="16205" spans="5:12" x14ac:dyDescent="0.2">
      <c r="E16205" s="1063"/>
      <c r="H16205" s="1066"/>
      <c r="I16205" s="1063"/>
      <c r="J16205" s="1063"/>
      <c r="K16205" s="1063"/>
      <c r="L16205" s="1063"/>
    </row>
    <row r="16206" spans="5:12" x14ac:dyDescent="0.2">
      <c r="E16206" s="1063"/>
      <c r="H16206" s="1066"/>
      <c r="I16206" s="1063"/>
      <c r="J16206" s="1063"/>
      <c r="K16206" s="1063"/>
      <c r="L16206" s="1063"/>
    </row>
    <row r="16207" spans="5:12" x14ac:dyDescent="0.2">
      <c r="E16207" s="1063"/>
      <c r="H16207" s="1066"/>
      <c r="I16207" s="1063"/>
      <c r="J16207" s="1063"/>
      <c r="K16207" s="1063"/>
      <c r="L16207" s="1063"/>
    </row>
    <row r="16208" spans="5:12" x14ac:dyDescent="0.2">
      <c r="E16208" s="1063"/>
      <c r="H16208" s="1066"/>
      <c r="I16208" s="1063"/>
      <c r="J16208" s="1063"/>
      <c r="K16208" s="1063"/>
      <c r="L16208" s="1063"/>
    </row>
    <row r="16209" spans="5:12" x14ac:dyDescent="0.2">
      <c r="E16209" s="1063"/>
      <c r="H16209" s="1066"/>
      <c r="I16209" s="1063"/>
      <c r="J16209" s="1063"/>
      <c r="K16209" s="1063"/>
      <c r="L16209" s="1063"/>
    </row>
    <row r="16210" spans="5:12" x14ac:dyDescent="0.2">
      <c r="E16210" s="1063"/>
      <c r="H16210" s="1066"/>
      <c r="I16210" s="1063"/>
      <c r="J16210" s="1063"/>
      <c r="K16210" s="1063"/>
      <c r="L16210" s="1063"/>
    </row>
    <row r="16211" spans="5:12" x14ac:dyDescent="0.2">
      <c r="E16211" s="1063"/>
      <c r="H16211" s="1066"/>
      <c r="I16211" s="1063"/>
      <c r="J16211" s="1063"/>
      <c r="K16211" s="1063"/>
      <c r="L16211" s="1063"/>
    </row>
    <row r="16212" spans="5:12" x14ac:dyDescent="0.2">
      <c r="E16212" s="1063"/>
      <c r="H16212" s="1066"/>
      <c r="I16212" s="1063"/>
      <c r="J16212" s="1063"/>
      <c r="K16212" s="1063"/>
      <c r="L16212" s="1063"/>
    </row>
    <row r="16213" spans="5:12" x14ac:dyDescent="0.2">
      <c r="E16213" s="1063"/>
      <c r="H16213" s="1066"/>
      <c r="I16213" s="1063"/>
      <c r="J16213" s="1063"/>
      <c r="K16213" s="1063"/>
      <c r="L16213" s="1063"/>
    </row>
    <row r="16214" spans="5:12" x14ac:dyDescent="0.2">
      <c r="E16214" s="1063"/>
      <c r="H16214" s="1066"/>
      <c r="I16214" s="1063"/>
      <c r="J16214" s="1063"/>
      <c r="K16214" s="1063"/>
      <c r="L16214" s="1063"/>
    </row>
    <row r="16215" spans="5:12" x14ac:dyDescent="0.2">
      <c r="E16215" s="1063"/>
      <c r="H16215" s="1066"/>
      <c r="I16215" s="1063"/>
      <c r="J16215" s="1063"/>
      <c r="K16215" s="1063"/>
      <c r="L16215" s="1063"/>
    </row>
    <row r="16216" spans="5:12" x14ac:dyDescent="0.2">
      <c r="E16216" s="1063"/>
      <c r="H16216" s="1066"/>
      <c r="I16216" s="1063"/>
      <c r="J16216" s="1063"/>
      <c r="K16216" s="1063"/>
      <c r="L16216" s="1063"/>
    </row>
    <row r="16217" spans="5:12" x14ac:dyDescent="0.2">
      <c r="E16217" s="1063"/>
      <c r="H16217" s="1066"/>
      <c r="I16217" s="1063"/>
      <c r="J16217" s="1063"/>
      <c r="K16217" s="1063"/>
      <c r="L16217" s="1063"/>
    </row>
    <row r="16218" spans="5:12" x14ac:dyDescent="0.2">
      <c r="E16218" s="1063"/>
      <c r="H16218" s="1066"/>
      <c r="I16218" s="1063"/>
      <c r="J16218" s="1063"/>
      <c r="K16218" s="1063"/>
      <c r="L16218" s="1063"/>
    </row>
    <row r="16219" spans="5:12" x14ac:dyDescent="0.2">
      <c r="E16219" s="1063"/>
      <c r="H16219" s="1066"/>
      <c r="I16219" s="1063"/>
      <c r="J16219" s="1063"/>
      <c r="K16219" s="1063"/>
      <c r="L16219" s="1063"/>
    </row>
    <row r="16220" spans="5:12" x14ac:dyDescent="0.2">
      <c r="E16220" s="1063"/>
      <c r="H16220" s="1066"/>
      <c r="I16220" s="1063"/>
      <c r="J16220" s="1063"/>
      <c r="K16220" s="1063"/>
      <c r="L16220" s="1063"/>
    </row>
    <row r="16221" spans="5:12" x14ac:dyDescent="0.2">
      <c r="E16221" s="1063"/>
      <c r="H16221" s="1066"/>
      <c r="I16221" s="1063"/>
      <c r="J16221" s="1063"/>
      <c r="K16221" s="1063"/>
      <c r="L16221" s="1063"/>
    </row>
    <row r="16222" spans="5:12" x14ac:dyDescent="0.2">
      <c r="E16222" s="1063"/>
      <c r="H16222" s="1066"/>
      <c r="I16222" s="1063"/>
      <c r="J16222" s="1063"/>
      <c r="K16222" s="1063"/>
      <c r="L16222" s="1063"/>
    </row>
    <row r="16223" spans="5:12" x14ac:dyDescent="0.2">
      <c r="E16223" s="1063"/>
      <c r="H16223" s="1066"/>
      <c r="I16223" s="1063"/>
      <c r="J16223" s="1063"/>
      <c r="K16223" s="1063"/>
      <c r="L16223" s="1063"/>
    </row>
    <row r="16224" spans="5:12" x14ac:dyDescent="0.2">
      <c r="E16224" s="1063"/>
      <c r="H16224" s="1066"/>
      <c r="I16224" s="1063"/>
      <c r="J16224" s="1063"/>
      <c r="K16224" s="1063"/>
      <c r="L16224" s="1063"/>
    </row>
    <row r="16225" spans="5:12" x14ac:dyDescent="0.2">
      <c r="E16225" s="1063"/>
      <c r="H16225" s="1066"/>
      <c r="I16225" s="1063"/>
      <c r="J16225" s="1063"/>
      <c r="K16225" s="1063"/>
      <c r="L16225" s="1063"/>
    </row>
    <row r="16226" spans="5:12" x14ac:dyDescent="0.2">
      <c r="E16226" s="1063"/>
      <c r="H16226" s="1066"/>
      <c r="I16226" s="1063"/>
      <c r="J16226" s="1063"/>
      <c r="K16226" s="1063"/>
      <c r="L16226" s="1063"/>
    </row>
    <row r="16227" spans="5:12" x14ac:dyDescent="0.2">
      <c r="E16227" s="1063"/>
      <c r="H16227" s="1066"/>
      <c r="I16227" s="1063"/>
      <c r="J16227" s="1063"/>
      <c r="K16227" s="1063"/>
      <c r="L16227" s="1063"/>
    </row>
    <row r="16228" spans="5:12" x14ac:dyDescent="0.2">
      <c r="E16228" s="1063"/>
      <c r="H16228" s="1066"/>
      <c r="I16228" s="1063"/>
      <c r="J16228" s="1063"/>
      <c r="K16228" s="1063"/>
      <c r="L16228" s="1063"/>
    </row>
    <row r="16229" spans="5:12" x14ac:dyDescent="0.2">
      <c r="E16229" s="1063"/>
      <c r="H16229" s="1066"/>
      <c r="I16229" s="1063"/>
      <c r="J16229" s="1063"/>
      <c r="K16229" s="1063"/>
      <c r="L16229" s="1063"/>
    </row>
    <row r="16230" spans="5:12" x14ac:dyDescent="0.2">
      <c r="E16230" s="1063"/>
      <c r="H16230" s="1066"/>
      <c r="I16230" s="1063"/>
      <c r="J16230" s="1063"/>
      <c r="K16230" s="1063"/>
      <c r="L16230" s="1063"/>
    </row>
    <row r="16231" spans="5:12" x14ac:dyDescent="0.2">
      <c r="E16231" s="1063"/>
      <c r="H16231" s="1066"/>
      <c r="I16231" s="1063"/>
      <c r="J16231" s="1063"/>
      <c r="K16231" s="1063"/>
      <c r="L16231" s="1063"/>
    </row>
    <row r="16232" spans="5:12" x14ac:dyDescent="0.2">
      <c r="E16232" s="1063"/>
      <c r="H16232" s="1066"/>
      <c r="I16232" s="1063"/>
      <c r="J16232" s="1063"/>
      <c r="K16232" s="1063"/>
      <c r="L16232" s="1063"/>
    </row>
    <row r="16233" spans="5:12" x14ac:dyDescent="0.2">
      <c r="E16233" s="1063"/>
      <c r="H16233" s="1066"/>
      <c r="I16233" s="1063"/>
      <c r="J16233" s="1063"/>
      <c r="K16233" s="1063"/>
      <c r="L16233" s="1063"/>
    </row>
    <row r="16234" spans="5:12" x14ac:dyDescent="0.2">
      <c r="E16234" s="1063"/>
      <c r="H16234" s="1066"/>
      <c r="I16234" s="1063"/>
      <c r="J16234" s="1063"/>
      <c r="K16234" s="1063"/>
      <c r="L16234" s="1063"/>
    </row>
    <row r="16235" spans="5:12" x14ac:dyDescent="0.2">
      <c r="E16235" s="1063"/>
      <c r="H16235" s="1066"/>
      <c r="I16235" s="1063"/>
      <c r="J16235" s="1063"/>
      <c r="K16235" s="1063"/>
      <c r="L16235" s="1063"/>
    </row>
    <row r="16236" spans="5:12" x14ac:dyDescent="0.2">
      <c r="E16236" s="1063"/>
      <c r="H16236" s="1066"/>
      <c r="I16236" s="1063"/>
      <c r="J16236" s="1063"/>
      <c r="K16236" s="1063"/>
      <c r="L16236" s="1063"/>
    </row>
    <row r="16237" spans="5:12" x14ac:dyDescent="0.2">
      <c r="E16237" s="1063"/>
      <c r="H16237" s="1066"/>
      <c r="I16237" s="1063"/>
      <c r="J16237" s="1063"/>
      <c r="K16237" s="1063"/>
      <c r="L16237" s="1063"/>
    </row>
    <row r="16238" spans="5:12" x14ac:dyDescent="0.2">
      <c r="E16238" s="1063"/>
      <c r="H16238" s="1066"/>
      <c r="I16238" s="1063"/>
      <c r="J16238" s="1063"/>
      <c r="K16238" s="1063"/>
      <c r="L16238" s="1063"/>
    </row>
    <row r="16239" spans="5:12" x14ac:dyDescent="0.2">
      <c r="E16239" s="1063"/>
      <c r="H16239" s="1066"/>
      <c r="I16239" s="1063"/>
      <c r="J16239" s="1063"/>
      <c r="K16239" s="1063"/>
      <c r="L16239" s="1063"/>
    </row>
    <row r="16240" spans="5:12" x14ac:dyDescent="0.2">
      <c r="E16240" s="1063"/>
      <c r="H16240" s="1066"/>
      <c r="I16240" s="1063"/>
      <c r="J16240" s="1063"/>
      <c r="K16240" s="1063"/>
      <c r="L16240" s="1063"/>
    </row>
    <row r="16241" spans="5:12" x14ac:dyDescent="0.2">
      <c r="E16241" s="1063"/>
      <c r="H16241" s="1066"/>
      <c r="I16241" s="1063"/>
      <c r="J16241" s="1063"/>
      <c r="K16241" s="1063"/>
      <c r="L16241" s="1063"/>
    </row>
    <row r="16242" spans="5:12" x14ac:dyDescent="0.2">
      <c r="E16242" s="1063"/>
      <c r="H16242" s="1066"/>
      <c r="I16242" s="1063"/>
      <c r="J16242" s="1063"/>
      <c r="K16242" s="1063"/>
      <c r="L16242" s="1063"/>
    </row>
    <row r="16243" spans="5:12" x14ac:dyDescent="0.2">
      <c r="E16243" s="1063"/>
      <c r="H16243" s="1066"/>
      <c r="I16243" s="1063"/>
      <c r="J16243" s="1063"/>
      <c r="K16243" s="1063"/>
      <c r="L16243" s="1063"/>
    </row>
    <row r="16244" spans="5:12" x14ac:dyDescent="0.2">
      <c r="E16244" s="1063"/>
      <c r="H16244" s="1066"/>
      <c r="I16244" s="1063"/>
      <c r="J16244" s="1063"/>
      <c r="K16244" s="1063"/>
      <c r="L16244" s="1063"/>
    </row>
    <row r="16245" spans="5:12" x14ac:dyDescent="0.2">
      <c r="E16245" s="1063"/>
      <c r="H16245" s="1066"/>
      <c r="I16245" s="1063"/>
      <c r="J16245" s="1063"/>
      <c r="K16245" s="1063"/>
      <c r="L16245" s="1063"/>
    </row>
    <row r="16246" spans="5:12" x14ac:dyDescent="0.2">
      <c r="E16246" s="1063"/>
      <c r="H16246" s="1066"/>
      <c r="I16246" s="1063"/>
      <c r="J16246" s="1063"/>
      <c r="K16246" s="1063"/>
      <c r="L16246" s="1063"/>
    </row>
    <row r="16247" spans="5:12" x14ac:dyDescent="0.2">
      <c r="E16247" s="1063"/>
      <c r="H16247" s="1066"/>
      <c r="I16247" s="1063"/>
      <c r="J16247" s="1063"/>
      <c r="K16247" s="1063"/>
      <c r="L16247" s="1063"/>
    </row>
    <row r="16248" spans="5:12" x14ac:dyDescent="0.2">
      <c r="E16248" s="1063"/>
      <c r="H16248" s="1066"/>
      <c r="I16248" s="1063"/>
      <c r="J16248" s="1063"/>
      <c r="K16248" s="1063"/>
      <c r="L16248" s="1063"/>
    </row>
    <row r="16249" spans="5:12" x14ac:dyDescent="0.2">
      <c r="E16249" s="1063"/>
      <c r="H16249" s="1066"/>
      <c r="I16249" s="1063"/>
      <c r="J16249" s="1063"/>
      <c r="K16249" s="1063"/>
      <c r="L16249" s="1063"/>
    </row>
    <row r="16250" spans="5:12" x14ac:dyDescent="0.2">
      <c r="E16250" s="1063"/>
      <c r="H16250" s="1066"/>
      <c r="I16250" s="1063"/>
      <c r="J16250" s="1063"/>
      <c r="K16250" s="1063"/>
      <c r="L16250" s="1063"/>
    </row>
    <row r="16251" spans="5:12" x14ac:dyDescent="0.2">
      <c r="E16251" s="1063"/>
      <c r="H16251" s="1066"/>
      <c r="I16251" s="1063"/>
      <c r="J16251" s="1063"/>
      <c r="K16251" s="1063"/>
      <c r="L16251" s="1063"/>
    </row>
    <row r="16252" spans="5:12" x14ac:dyDescent="0.2">
      <c r="E16252" s="1063"/>
      <c r="H16252" s="1066"/>
      <c r="I16252" s="1063"/>
      <c r="J16252" s="1063"/>
      <c r="K16252" s="1063"/>
      <c r="L16252" s="1063"/>
    </row>
    <row r="16253" spans="5:12" x14ac:dyDescent="0.2">
      <c r="E16253" s="1063"/>
      <c r="H16253" s="1066"/>
      <c r="I16253" s="1063"/>
      <c r="J16253" s="1063"/>
      <c r="K16253" s="1063"/>
      <c r="L16253" s="1063"/>
    </row>
    <row r="16254" spans="5:12" x14ac:dyDescent="0.2">
      <c r="E16254" s="1063"/>
      <c r="H16254" s="1066"/>
      <c r="I16254" s="1063"/>
      <c r="J16254" s="1063"/>
      <c r="K16254" s="1063"/>
      <c r="L16254" s="1063"/>
    </row>
    <row r="16255" spans="5:12" x14ac:dyDescent="0.2">
      <c r="E16255" s="1063"/>
      <c r="H16255" s="1066"/>
      <c r="I16255" s="1063"/>
      <c r="J16255" s="1063"/>
      <c r="K16255" s="1063"/>
      <c r="L16255" s="1063"/>
    </row>
    <row r="16256" spans="5:12" x14ac:dyDescent="0.2">
      <c r="E16256" s="1063"/>
      <c r="H16256" s="1066"/>
      <c r="I16256" s="1063"/>
      <c r="J16256" s="1063"/>
      <c r="K16256" s="1063"/>
      <c r="L16256" s="1063"/>
    </row>
    <row r="16257" spans="5:12" x14ac:dyDescent="0.2">
      <c r="E16257" s="1063"/>
      <c r="H16257" s="1066"/>
      <c r="I16257" s="1063"/>
      <c r="J16257" s="1063"/>
      <c r="K16257" s="1063"/>
      <c r="L16257" s="1063"/>
    </row>
    <row r="16258" spans="5:12" x14ac:dyDescent="0.2">
      <c r="E16258" s="1063"/>
      <c r="H16258" s="1066"/>
      <c r="I16258" s="1063"/>
      <c r="J16258" s="1063"/>
      <c r="K16258" s="1063"/>
      <c r="L16258" s="1063"/>
    </row>
    <row r="16259" spans="5:12" x14ac:dyDescent="0.2">
      <c r="E16259" s="1063"/>
      <c r="H16259" s="1066"/>
      <c r="I16259" s="1063"/>
      <c r="J16259" s="1063"/>
      <c r="K16259" s="1063"/>
      <c r="L16259" s="1063"/>
    </row>
    <row r="16260" spans="5:12" x14ac:dyDescent="0.2">
      <c r="E16260" s="1063"/>
      <c r="H16260" s="1066"/>
      <c r="I16260" s="1063"/>
      <c r="J16260" s="1063"/>
      <c r="K16260" s="1063"/>
      <c r="L16260" s="1063"/>
    </row>
    <row r="16261" spans="5:12" x14ac:dyDescent="0.2">
      <c r="E16261" s="1063"/>
      <c r="H16261" s="1066"/>
      <c r="I16261" s="1063"/>
      <c r="J16261" s="1063"/>
      <c r="K16261" s="1063"/>
      <c r="L16261" s="1063"/>
    </row>
    <row r="16262" spans="5:12" x14ac:dyDescent="0.2">
      <c r="E16262" s="1063"/>
      <c r="H16262" s="1066"/>
      <c r="I16262" s="1063"/>
      <c r="J16262" s="1063"/>
      <c r="K16262" s="1063"/>
      <c r="L16262" s="1063"/>
    </row>
    <row r="16263" spans="5:12" x14ac:dyDescent="0.2">
      <c r="E16263" s="1063"/>
      <c r="H16263" s="1066"/>
      <c r="I16263" s="1063"/>
      <c r="J16263" s="1063"/>
      <c r="K16263" s="1063"/>
      <c r="L16263" s="1063"/>
    </row>
    <row r="16264" spans="5:12" x14ac:dyDescent="0.2">
      <c r="E16264" s="1063"/>
      <c r="H16264" s="1066"/>
      <c r="I16264" s="1063"/>
      <c r="J16264" s="1063"/>
      <c r="K16264" s="1063"/>
      <c r="L16264" s="1063"/>
    </row>
    <row r="16265" spans="5:12" x14ac:dyDescent="0.2">
      <c r="E16265" s="1063"/>
      <c r="H16265" s="1066"/>
      <c r="I16265" s="1063"/>
      <c r="J16265" s="1063"/>
      <c r="K16265" s="1063"/>
      <c r="L16265" s="1063"/>
    </row>
    <row r="16266" spans="5:12" x14ac:dyDescent="0.2">
      <c r="E16266" s="1063"/>
      <c r="H16266" s="1066"/>
      <c r="I16266" s="1063"/>
      <c r="J16266" s="1063"/>
      <c r="K16266" s="1063"/>
      <c r="L16266" s="1063"/>
    </row>
    <row r="16267" spans="5:12" x14ac:dyDescent="0.2">
      <c r="E16267" s="1063"/>
      <c r="H16267" s="1066"/>
      <c r="I16267" s="1063"/>
      <c r="J16267" s="1063"/>
      <c r="K16267" s="1063"/>
      <c r="L16267" s="1063"/>
    </row>
    <row r="16268" spans="5:12" x14ac:dyDescent="0.2">
      <c r="E16268" s="1063"/>
      <c r="H16268" s="1066"/>
      <c r="I16268" s="1063"/>
      <c r="J16268" s="1063"/>
      <c r="K16268" s="1063"/>
      <c r="L16268" s="1063"/>
    </row>
    <row r="16269" spans="5:12" x14ac:dyDescent="0.2">
      <c r="E16269" s="1063"/>
      <c r="H16269" s="1066"/>
      <c r="I16269" s="1063"/>
      <c r="J16269" s="1063"/>
      <c r="K16269" s="1063"/>
      <c r="L16269" s="1063"/>
    </row>
    <row r="16270" spans="5:12" x14ac:dyDescent="0.2">
      <c r="E16270" s="1063"/>
      <c r="H16270" s="1066"/>
      <c r="I16270" s="1063"/>
      <c r="J16270" s="1063"/>
      <c r="K16270" s="1063"/>
      <c r="L16270" s="1063"/>
    </row>
    <row r="16271" spans="5:12" x14ac:dyDescent="0.2">
      <c r="E16271" s="1063"/>
      <c r="H16271" s="1066"/>
      <c r="I16271" s="1063"/>
      <c r="J16271" s="1063"/>
      <c r="K16271" s="1063"/>
      <c r="L16271" s="1063"/>
    </row>
    <row r="16272" spans="5:12" x14ac:dyDescent="0.2">
      <c r="E16272" s="1063"/>
      <c r="H16272" s="1066"/>
      <c r="I16272" s="1063"/>
      <c r="J16272" s="1063"/>
      <c r="K16272" s="1063"/>
      <c r="L16272" s="1063"/>
    </row>
    <row r="16273" spans="5:12" x14ac:dyDescent="0.2">
      <c r="E16273" s="1063"/>
      <c r="H16273" s="1066"/>
      <c r="I16273" s="1063"/>
      <c r="J16273" s="1063"/>
      <c r="K16273" s="1063"/>
      <c r="L16273" s="1063"/>
    </row>
    <row r="16274" spans="5:12" x14ac:dyDescent="0.2">
      <c r="E16274" s="1063"/>
      <c r="H16274" s="1066"/>
      <c r="I16274" s="1063"/>
      <c r="J16274" s="1063"/>
      <c r="K16274" s="1063"/>
      <c r="L16274" s="1063"/>
    </row>
    <row r="16275" spans="5:12" x14ac:dyDescent="0.2">
      <c r="E16275" s="1063"/>
      <c r="H16275" s="1066"/>
      <c r="I16275" s="1063"/>
      <c r="J16275" s="1063"/>
      <c r="K16275" s="1063"/>
      <c r="L16275" s="1063"/>
    </row>
    <row r="16276" spans="5:12" x14ac:dyDescent="0.2">
      <c r="E16276" s="1063"/>
      <c r="H16276" s="1066"/>
      <c r="I16276" s="1063"/>
      <c r="J16276" s="1063"/>
      <c r="K16276" s="1063"/>
      <c r="L16276" s="1063"/>
    </row>
    <row r="16277" spans="5:12" x14ac:dyDescent="0.2">
      <c r="E16277" s="1063"/>
      <c r="H16277" s="1066"/>
      <c r="I16277" s="1063"/>
      <c r="J16277" s="1063"/>
      <c r="K16277" s="1063"/>
      <c r="L16277" s="1063"/>
    </row>
    <row r="16278" spans="5:12" x14ac:dyDescent="0.2">
      <c r="E16278" s="1063"/>
      <c r="H16278" s="1066"/>
      <c r="I16278" s="1063"/>
      <c r="J16278" s="1063"/>
      <c r="K16278" s="1063"/>
      <c r="L16278" s="1063"/>
    </row>
    <row r="16279" spans="5:12" x14ac:dyDescent="0.2">
      <c r="E16279" s="1063"/>
      <c r="H16279" s="1066"/>
      <c r="I16279" s="1063"/>
      <c r="J16279" s="1063"/>
      <c r="K16279" s="1063"/>
      <c r="L16279" s="1063"/>
    </row>
    <row r="16280" spans="5:12" x14ac:dyDescent="0.2">
      <c r="E16280" s="1063"/>
      <c r="H16280" s="1066"/>
      <c r="I16280" s="1063"/>
      <c r="J16280" s="1063"/>
      <c r="K16280" s="1063"/>
      <c r="L16280" s="1063"/>
    </row>
    <row r="16281" spans="5:12" x14ac:dyDescent="0.2">
      <c r="E16281" s="1063"/>
      <c r="H16281" s="1066"/>
      <c r="I16281" s="1063"/>
      <c r="J16281" s="1063"/>
      <c r="K16281" s="1063"/>
      <c r="L16281" s="1063"/>
    </row>
    <row r="16282" spans="5:12" x14ac:dyDescent="0.2">
      <c r="E16282" s="1063"/>
      <c r="H16282" s="1066"/>
      <c r="I16282" s="1063"/>
      <c r="J16282" s="1063"/>
      <c r="K16282" s="1063"/>
      <c r="L16282" s="1063"/>
    </row>
    <row r="16283" spans="5:12" x14ac:dyDescent="0.2">
      <c r="E16283" s="1063"/>
      <c r="H16283" s="1066"/>
      <c r="I16283" s="1063"/>
      <c r="J16283" s="1063"/>
      <c r="K16283" s="1063"/>
      <c r="L16283" s="1063"/>
    </row>
    <row r="16284" spans="5:12" x14ac:dyDescent="0.2">
      <c r="E16284" s="1063"/>
      <c r="H16284" s="1066"/>
      <c r="I16284" s="1063"/>
      <c r="J16284" s="1063"/>
      <c r="K16284" s="1063"/>
      <c r="L16284" s="1063"/>
    </row>
    <row r="16285" spans="5:12" x14ac:dyDescent="0.2">
      <c r="E16285" s="1063"/>
      <c r="H16285" s="1066"/>
      <c r="I16285" s="1063"/>
      <c r="J16285" s="1063"/>
      <c r="K16285" s="1063"/>
      <c r="L16285" s="1063"/>
    </row>
    <row r="16286" spans="5:12" x14ac:dyDescent="0.2">
      <c r="E16286" s="1063"/>
      <c r="H16286" s="1066"/>
      <c r="I16286" s="1063"/>
      <c r="J16286" s="1063"/>
      <c r="K16286" s="1063"/>
      <c r="L16286" s="1063"/>
    </row>
    <row r="16287" spans="5:12" x14ac:dyDescent="0.2">
      <c r="E16287" s="1063"/>
      <c r="H16287" s="1066"/>
      <c r="I16287" s="1063"/>
      <c r="J16287" s="1063"/>
      <c r="K16287" s="1063"/>
      <c r="L16287" s="1063"/>
    </row>
    <row r="16288" spans="5:12" x14ac:dyDescent="0.2">
      <c r="E16288" s="1063"/>
      <c r="H16288" s="1066"/>
      <c r="I16288" s="1063"/>
      <c r="J16288" s="1063"/>
      <c r="K16288" s="1063"/>
      <c r="L16288" s="1063"/>
    </row>
    <row r="16289" spans="5:12" x14ac:dyDescent="0.2">
      <c r="E16289" s="1063"/>
      <c r="H16289" s="1066"/>
      <c r="I16289" s="1063"/>
      <c r="J16289" s="1063"/>
      <c r="K16289" s="1063"/>
      <c r="L16289" s="1063"/>
    </row>
    <row r="16290" spans="5:12" x14ac:dyDescent="0.2">
      <c r="E16290" s="1063"/>
      <c r="H16290" s="1066"/>
      <c r="I16290" s="1063"/>
      <c r="J16290" s="1063"/>
      <c r="K16290" s="1063"/>
      <c r="L16290" s="1063"/>
    </row>
    <row r="16291" spans="5:12" x14ac:dyDescent="0.2">
      <c r="E16291" s="1063"/>
      <c r="H16291" s="1066"/>
      <c r="I16291" s="1063"/>
      <c r="J16291" s="1063"/>
      <c r="K16291" s="1063"/>
      <c r="L16291" s="1063"/>
    </row>
    <row r="16292" spans="5:12" x14ac:dyDescent="0.2">
      <c r="E16292" s="1063"/>
      <c r="H16292" s="1066"/>
      <c r="I16292" s="1063"/>
      <c r="J16292" s="1063"/>
      <c r="K16292" s="1063"/>
      <c r="L16292" s="1063"/>
    </row>
    <row r="16293" spans="5:12" x14ac:dyDescent="0.2">
      <c r="E16293" s="1063"/>
      <c r="H16293" s="1066"/>
      <c r="I16293" s="1063"/>
      <c r="J16293" s="1063"/>
      <c r="K16293" s="1063"/>
      <c r="L16293" s="1063"/>
    </row>
    <row r="16294" spans="5:12" x14ac:dyDescent="0.2">
      <c r="E16294" s="1063"/>
      <c r="H16294" s="1066"/>
      <c r="I16294" s="1063"/>
      <c r="J16294" s="1063"/>
      <c r="K16294" s="1063"/>
      <c r="L16294" s="1063"/>
    </row>
    <row r="16295" spans="5:12" x14ac:dyDescent="0.2">
      <c r="E16295" s="1063"/>
      <c r="H16295" s="1066"/>
      <c r="I16295" s="1063"/>
      <c r="J16295" s="1063"/>
      <c r="K16295" s="1063"/>
      <c r="L16295" s="1063"/>
    </row>
    <row r="16296" spans="5:12" x14ac:dyDescent="0.2">
      <c r="E16296" s="1063"/>
      <c r="H16296" s="1066"/>
      <c r="I16296" s="1063"/>
      <c r="J16296" s="1063"/>
      <c r="K16296" s="1063"/>
      <c r="L16296" s="1063"/>
    </row>
    <row r="16297" spans="5:12" x14ac:dyDescent="0.2">
      <c r="E16297" s="1063"/>
      <c r="H16297" s="1066"/>
      <c r="I16297" s="1063"/>
      <c r="J16297" s="1063"/>
      <c r="K16297" s="1063"/>
      <c r="L16297" s="1063"/>
    </row>
    <row r="16298" spans="5:12" x14ac:dyDescent="0.2">
      <c r="E16298" s="1063"/>
      <c r="H16298" s="1066"/>
      <c r="I16298" s="1063"/>
      <c r="J16298" s="1063"/>
      <c r="K16298" s="1063"/>
      <c r="L16298" s="1063"/>
    </row>
    <row r="16299" spans="5:12" x14ac:dyDescent="0.2">
      <c r="E16299" s="1063"/>
      <c r="H16299" s="1066"/>
      <c r="I16299" s="1063"/>
      <c r="J16299" s="1063"/>
      <c r="K16299" s="1063"/>
      <c r="L16299" s="1063"/>
    </row>
    <row r="16300" spans="5:12" x14ac:dyDescent="0.2">
      <c r="E16300" s="1063"/>
      <c r="H16300" s="1066"/>
      <c r="I16300" s="1063"/>
      <c r="J16300" s="1063"/>
      <c r="K16300" s="1063"/>
      <c r="L16300" s="1063"/>
    </row>
    <row r="16301" spans="5:12" x14ac:dyDescent="0.2">
      <c r="E16301" s="1063"/>
      <c r="H16301" s="1066"/>
      <c r="I16301" s="1063"/>
      <c r="J16301" s="1063"/>
      <c r="K16301" s="1063"/>
      <c r="L16301" s="1063"/>
    </row>
    <row r="16302" spans="5:12" x14ac:dyDescent="0.2">
      <c r="E16302" s="1063"/>
      <c r="H16302" s="1066"/>
      <c r="I16302" s="1063"/>
      <c r="J16302" s="1063"/>
      <c r="K16302" s="1063"/>
      <c r="L16302" s="1063"/>
    </row>
    <row r="16303" spans="5:12" x14ac:dyDescent="0.2">
      <c r="E16303" s="1063"/>
      <c r="H16303" s="1066"/>
      <c r="I16303" s="1063"/>
      <c r="J16303" s="1063"/>
      <c r="K16303" s="1063"/>
      <c r="L16303" s="1063"/>
    </row>
    <row r="16304" spans="5:12" x14ac:dyDescent="0.2">
      <c r="E16304" s="1063"/>
      <c r="H16304" s="1066"/>
      <c r="I16304" s="1063"/>
      <c r="J16304" s="1063"/>
      <c r="K16304" s="1063"/>
      <c r="L16304" s="1063"/>
    </row>
    <row r="16305" spans="5:12" x14ac:dyDescent="0.2">
      <c r="E16305" s="1063"/>
      <c r="H16305" s="1066"/>
      <c r="I16305" s="1063"/>
      <c r="J16305" s="1063"/>
      <c r="K16305" s="1063"/>
      <c r="L16305" s="1063"/>
    </row>
    <row r="16306" spans="5:12" x14ac:dyDescent="0.2">
      <c r="E16306" s="1063"/>
      <c r="H16306" s="1066"/>
      <c r="I16306" s="1063"/>
      <c r="J16306" s="1063"/>
      <c r="K16306" s="1063"/>
      <c r="L16306" s="1063"/>
    </row>
    <row r="16307" spans="5:12" x14ac:dyDescent="0.2">
      <c r="E16307" s="1063"/>
      <c r="H16307" s="1066"/>
      <c r="I16307" s="1063"/>
      <c r="J16307" s="1063"/>
      <c r="K16307" s="1063"/>
      <c r="L16307" s="1063"/>
    </row>
    <row r="16308" spans="5:12" x14ac:dyDescent="0.2">
      <c r="E16308" s="1063"/>
      <c r="H16308" s="1066"/>
      <c r="I16308" s="1063"/>
      <c r="J16308" s="1063"/>
      <c r="K16308" s="1063"/>
      <c r="L16308" s="1063"/>
    </row>
    <row r="16309" spans="5:12" x14ac:dyDescent="0.2">
      <c r="E16309" s="1063"/>
      <c r="H16309" s="1066"/>
      <c r="I16309" s="1063"/>
      <c r="J16309" s="1063"/>
      <c r="K16309" s="1063"/>
      <c r="L16309" s="1063"/>
    </row>
    <row r="16310" spans="5:12" x14ac:dyDescent="0.2">
      <c r="E16310" s="1063"/>
      <c r="H16310" s="1066"/>
      <c r="I16310" s="1063"/>
      <c r="J16310" s="1063"/>
      <c r="K16310" s="1063"/>
      <c r="L16310" s="1063"/>
    </row>
    <row r="16311" spans="5:12" x14ac:dyDescent="0.2">
      <c r="E16311" s="1063"/>
      <c r="H16311" s="1066"/>
      <c r="I16311" s="1063"/>
      <c r="J16311" s="1063"/>
      <c r="K16311" s="1063"/>
      <c r="L16311" s="1063"/>
    </row>
    <row r="16312" spans="5:12" x14ac:dyDescent="0.2">
      <c r="E16312" s="1063"/>
      <c r="H16312" s="1066"/>
      <c r="I16312" s="1063"/>
      <c r="J16312" s="1063"/>
      <c r="K16312" s="1063"/>
      <c r="L16312" s="1063"/>
    </row>
    <row r="16313" spans="5:12" x14ac:dyDescent="0.2">
      <c r="E16313" s="1063"/>
      <c r="H16313" s="1066"/>
      <c r="I16313" s="1063"/>
      <c r="J16313" s="1063"/>
      <c r="K16313" s="1063"/>
      <c r="L16313" s="1063"/>
    </row>
    <row r="16314" spans="5:12" x14ac:dyDescent="0.2">
      <c r="E16314" s="1063"/>
      <c r="H16314" s="1066"/>
      <c r="I16314" s="1063"/>
      <c r="J16314" s="1063"/>
      <c r="K16314" s="1063"/>
      <c r="L16314" s="1063"/>
    </row>
    <row r="16315" spans="5:12" x14ac:dyDescent="0.2">
      <c r="E16315" s="1063"/>
      <c r="H16315" s="1066"/>
      <c r="I16315" s="1063"/>
      <c r="J16315" s="1063"/>
      <c r="K16315" s="1063"/>
      <c r="L16315" s="1063"/>
    </row>
    <row r="16316" spans="5:12" x14ac:dyDescent="0.2">
      <c r="E16316" s="1063"/>
      <c r="H16316" s="1066"/>
      <c r="I16316" s="1063"/>
      <c r="J16316" s="1063"/>
      <c r="K16316" s="1063"/>
      <c r="L16316" s="1063"/>
    </row>
    <row r="16317" spans="5:12" x14ac:dyDescent="0.2">
      <c r="E16317" s="1063"/>
      <c r="H16317" s="1066"/>
      <c r="I16317" s="1063"/>
      <c r="J16317" s="1063"/>
      <c r="K16317" s="1063"/>
      <c r="L16317" s="1063"/>
    </row>
    <row r="16318" spans="5:12" x14ac:dyDescent="0.2">
      <c r="E16318" s="1063"/>
      <c r="H16318" s="1066"/>
      <c r="I16318" s="1063"/>
      <c r="J16318" s="1063"/>
      <c r="K16318" s="1063"/>
      <c r="L16318" s="1063"/>
    </row>
    <row r="16319" spans="5:12" x14ac:dyDescent="0.2">
      <c r="E16319" s="1063"/>
      <c r="H16319" s="1066"/>
      <c r="I16319" s="1063"/>
      <c r="J16319" s="1063"/>
      <c r="K16319" s="1063"/>
      <c r="L16319" s="1063"/>
    </row>
    <row r="16320" spans="5:12" x14ac:dyDescent="0.2">
      <c r="E16320" s="1063"/>
      <c r="H16320" s="1066"/>
      <c r="I16320" s="1063"/>
      <c r="J16320" s="1063"/>
      <c r="K16320" s="1063"/>
      <c r="L16320" s="1063"/>
    </row>
    <row r="16321" spans="5:12" x14ac:dyDescent="0.2">
      <c r="E16321" s="1063"/>
      <c r="H16321" s="1066"/>
      <c r="I16321" s="1063"/>
      <c r="J16321" s="1063"/>
      <c r="K16321" s="1063"/>
      <c r="L16321" s="1063"/>
    </row>
    <row r="16322" spans="5:12" x14ac:dyDescent="0.2">
      <c r="E16322" s="1063"/>
      <c r="H16322" s="1066"/>
      <c r="I16322" s="1063"/>
      <c r="J16322" s="1063"/>
      <c r="K16322" s="1063"/>
      <c r="L16322" s="1063"/>
    </row>
    <row r="16323" spans="5:12" x14ac:dyDescent="0.2">
      <c r="E16323" s="1063"/>
      <c r="H16323" s="1066"/>
      <c r="I16323" s="1063"/>
      <c r="J16323" s="1063"/>
      <c r="K16323" s="1063"/>
      <c r="L16323" s="1063"/>
    </row>
    <row r="16324" spans="5:12" x14ac:dyDescent="0.2">
      <c r="E16324" s="1063"/>
      <c r="H16324" s="1066"/>
      <c r="I16324" s="1063"/>
      <c r="J16324" s="1063"/>
      <c r="K16324" s="1063"/>
      <c r="L16324" s="1063"/>
    </row>
    <row r="16325" spans="5:12" x14ac:dyDescent="0.2">
      <c r="E16325" s="1063"/>
      <c r="H16325" s="1066"/>
      <c r="I16325" s="1063"/>
      <c r="J16325" s="1063"/>
      <c r="K16325" s="1063"/>
      <c r="L16325" s="1063"/>
    </row>
    <row r="16326" spans="5:12" x14ac:dyDescent="0.2">
      <c r="E16326" s="1063"/>
      <c r="H16326" s="1066"/>
      <c r="I16326" s="1063"/>
      <c r="J16326" s="1063"/>
      <c r="K16326" s="1063"/>
      <c r="L16326" s="1063"/>
    </row>
    <row r="16327" spans="5:12" x14ac:dyDescent="0.2">
      <c r="E16327" s="1063"/>
      <c r="H16327" s="1066"/>
      <c r="I16327" s="1063"/>
      <c r="J16327" s="1063"/>
      <c r="K16327" s="1063"/>
      <c r="L16327" s="1063"/>
    </row>
    <row r="16328" spans="5:12" x14ac:dyDescent="0.2">
      <c r="E16328" s="1063"/>
      <c r="H16328" s="1066"/>
      <c r="I16328" s="1063"/>
      <c r="J16328" s="1063"/>
      <c r="K16328" s="1063"/>
      <c r="L16328" s="1063"/>
    </row>
    <row r="16329" spans="5:12" x14ac:dyDescent="0.2">
      <c r="E16329" s="1063"/>
      <c r="H16329" s="1066"/>
      <c r="I16329" s="1063"/>
      <c r="J16329" s="1063"/>
      <c r="K16329" s="1063"/>
      <c r="L16329" s="1063"/>
    </row>
    <row r="16330" spans="5:12" x14ac:dyDescent="0.2">
      <c r="E16330" s="1063"/>
      <c r="H16330" s="1066"/>
      <c r="I16330" s="1063"/>
      <c r="J16330" s="1063"/>
      <c r="K16330" s="1063"/>
      <c r="L16330" s="1063"/>
    </row>
    <row r="16331" spans="5:12" x14ac:dyDescent="0.2">
      <c r="E16331" s="1063"/>
      <c r="H16331" s="1066"/>
      <c r="I16331" s="1063"/>
      <c r="J16331" s="1063"/>
      <c r="K16331" s="1063"/>
      <c r="L16331" s="1063"/>
    </row>
    <row r="16332" spans="5:12" x14ac:dyDescent="0.2">
      <c r="E16332" s="1063"/>
      <c r="H16332" s="1066"/>
      <c r="I16332" s="1063"/>
      <c r="J16332" s="1063"/>
      <c r="K16332" s="1063"/>
      <c r="L16332" s="1063"/>
    </row>
    <row r="16333" spans="5:12" x14ac:dyDescent="0.2">
      <c r="E16333" s="1063"/>
      <c r="H16333" s="1066"/>
      <c r="I16333" s="1063"/>
      <c r="J16333" s="1063"/>
      <c r="K16333" s="1063"/>
      <c r="L16333" s="1063"/>
    </row>
    <row r="16334" spans="5:12" x14ac:dyDescent="0.2">
      <c r="E16334" s="1063"/>
      <c r="H16334" s="1066"/>
      <c r="I16334" s="1063"/>
      <c r="J16334" s="1063"/>
      <c r="K16334" s="1063"/>
      <c r="L16334" s="1063"/>
    </row>
    <row r="16335" spans="5:12" x14ac:dyDescent="0.2">
      <c r="E16335" s="1063"/>
      <c r="H16335" s="1066"/>
      <c r="I16335" s="1063"/>
      <c r="J16335" s="1063"/>
      <c r="K16335" s="1063"/>
      <c r="L16335" s="1063"/>
    </row>
    <row r="16336" spans="5:12" x14ac:dyDescent="0.2">
      <c r="E16336" s="1063"/>
      <c r="H16336" s="1066"/>
      <c r="I16336" s="1063"/>
      <c r="J16336" s="1063"/>
      <c r="K16336" s="1063"/>
      <c r="L16336" s="1063"/>
    </row>
    <row r="16337" spans="5:12" x14ac:dyDescent="0.2">
      <c r="E16337" s="1063"/>
      <c r="H16337" s="1066"/>
      <c r="I16337" s="1063"/>
      <c r="J16337" s="1063"/>
      <c r="K16337" s="1063"/>
      <c r="L16337" s="1063"/>
    </row>
    <row r="16338" spans="5:12" x14ac:dyDescent="0.2">
      <c r="E16338" s="1063"/>
      <c r="H16338" s="1066"/>
      <c r="I16338" s="1063"/>
      <c r="J16338" s="1063"/>
      <c r="K16338" s="1063"/>
      <c r="L16338" s="1063"/>
    </row>
    <row r="16339" spans="5:12" x14ac:dyDescent="0.2">
      <c r="E16339" s="1063"/>
      <c r="H16339" s="1066"/>
      <c r="I16339" s="1063"/>
      <c r="J16339" s="1063"/>
      <c r="K16339" s="1063"/>
      <c r="L16339" s="1063"/>
    </row>
    <row r="16340" spans="5:12" x14ac:dyDescent="0.2">
      <c r="E16340" s="1063"/>
      <c r="H16340" s="1066"/>
      <c r="I16340" s="1063"/>
      <c r="J16340" s="1063"/>
      <c r="K16340" s="1063"/>
      <c r="L16340" s="1063"/>
    </row>
    <row r="16341" spans="5:12" x14ac:dyDescent="0.2">
      <c r="E16341" s="1063"/>
      <c r="H16341" s="1066"/>
      <c r="I16341" s="1063"/>
      <c r="J16341" s="1063"/>
      <c r="K16341" s="1063"/>
      <c r="L16341" s="1063"/>
    </row>
    <row r="16342" spans="5:12" x14ac:dyDescent="0.2">
      <c r="E16342" s="1063"/>
      <c r="H16342" s="1066"/>
      <c r="I16342" s="1063"/>
      <c r="J16342" s="1063"/>
      <c r="K16342" s="1063"/>
      <c r="L16342" s="1063"/>
    </row>
    <row r="16343" spans="5:12" x14ac:dyDescent="0.2">
      <c r="E16343" s="1063"/>
      <c r="H16343" s="1066"/>
      <c r="I16343" s="1063"/>
      <c r="J16343" s="1063"/>
      <c r="K16343" s="1063"/>
      <c r="L16343" s="1063"/>
    </row>
    <row r="16344" spans="5:12" x14ac:dyDescent="0.2">
      <c r="E16344" s="1063"/>
      <c r="H16344" s="1066"/>
      <c r="I16344" s="1063"/>
      <c r="J16344" s="1063"/>
      <c r="K16344" s="1063"/>
      <c r="L16344" s="1063"/>
    </row>
    <row r="16345" spans="5:12" x14ac:dyDescent="0.2">
      <c r="E16345" s="1063"/>
      <c r="H16345" s="1066"/>
      <c r="I16345" s="1063"/>
      <c r="J16345" s="1063"/>
      <c r="K16345" s="1063"/>
      <c r="L16345" s="1063"/>
    </row>
    <row r="16346" spans="5:12" x14ac:dyDescent="0.2">
      <c r="E16346" s="1063"/>
      <c r="H16346" s="1066"/>
      <c r="I16346" s="1063"/>
      <c r="J16346" s="1063"/>
      <c r="K16346" s="1063"/>
      <c r="L16346" s="1063"/>
    </row>
    <row r="16347" spans="5:12" x14ac:dyDescent="0.2">
      <c r="E16347" s="1063"/>
      <c r="H16347" s="1066"/>
      <c r="I16347" s="1063"/>
      <c r="J16347" s="1063"/>
      <c r="K16347" s="1063"/>
      <c r="L16347" s="1063"/>
    </row>
    <row r="16348" spans="5:12" x14ac:dyDescent="0.2">
      <c r="E16348" s="1063"/>
      <c r="H16348" s="1066"/>
      <c r="I16348" s="1063"/>
      <c r="J16348" s="1063"/>
      <c r="K16348" s="1063"/>
      <c r="L16348" s="1063"/>
    </row>
    <row r="16349" spans="5:12" x14ac:dyDescent="0.2">
      <c r="E16349" s="1063"/>
      <c r="H16349" s="1066"/>
      <c r="I16349" s="1063"/>
      <c r="J16349" s="1063"/>
      <c r="K16349" s="1063"/>
      <c r="L16349" s="1063"/>
    </row>
    <row r="16350" spans="5:12" x14ac:dyDescent="0.2">
      <c r="E16350" s="1063"/>
      <c r="H16350" s="1066"/>
      <c r="I16350" s="1063"/>
      <c r="J16350" s="1063"/>
      <c r="K16350" s="1063"/>
      <c r="L16350" s="1063"/>
    </row>
    <row r="16351" spans="5:12" x14ac:dyDescent="0.2">
      <c r="E16351" s="1063"/>
      <c r="H16351" s="1066"/>
      <c r="I16351" s="1063"/>
      <c r="J16351" s="1063"/>
      <c r="K16351" s="1063"/>
      <c r="L16351" s="1063"/>
    </row>
    <row r="16352" spans="5:12" x14ac:dyDescent="0.2">
      <c r="E16352" s="1063"/>
      <c r="H16352" s="1066"/>
      <c r="I16352" s="1063"/>
      <c r="J16352" s="1063"/>
      <c r="K16352" s="1063"/>
      <c r="L16352" s="1063"/>
    </row>
    <row r="16353" spans="5:12" x14ac:dyDescent="0.2">
      <c r="E16353" s="1063"/>
      <c r="H16353" s="1066"/>
      <c r="I16353" s="1063"/>
      <c r="J16353" s="1063"/>
      <c r="K16353" s="1063"/>
      <c r="L16353" s="1063"/>
    </row>
    <row r="16354" spans="5:12" x14ac:dyDescent="0.2">
      <c r="E16354" s="1063"/>
      <c r="H16354" s="1066"/>
      <c r="I16354" s="1063"/>
      <c r="J16354" s="1063"/>
      <c r="K16354" s="1063"/>
      <c r="L16354" s="1063"/>
    </row>
    <row r="16355" spans="5:12" x14ac:dyDescent="0.2">
      <c r="E16355" s="1063"/>
      <c r="H16355" s="1066"/>
      <c r="I16355" s="1063"/>
      <c r="J16355" s="1063"/>
      <c r="K16355" s="1063"/>
      <c r="L16355" s="1063"/>
    </row>
    <row r="16356" spans="5:12" x14ac:dyDescent="0.2">
      <c r="E16356" s="1063"/>
      <c r="H16356" s="1066"/>
      <c r="I16356" s="1063"/>
      <c r="J16356" s="1063"/>
      <c r="K16356" s="1063"/>
      <c r="L16356" s="1063"/>
    </row>
    <row r="16357" spans="5:12" x14ac:dyDescent="0.2">
      <c r="E16357" s="1063"/>
      <c r="H16357" s="1066"/>
      <c r="I16357" s="1063"/>
      <c r="J16357" s="1063"/>
      <c r="K16357" s="1063"/>
      <c r="L16357" s="1063"/>
    </row>
    <row r="16358" spans="5:12" x14ac:dyDescent="0.2">
      <c r="E16358" s="1063"/>
      <c r="H16358" s="1066"/>
      <c r="I16358" s="1063"/>
      <c r="J16358" s="1063"/>
      <c r="K16358" s="1063"/>
      <c r="L16358" s="1063"/>
    </row>
    <row r="16359" spans="5:12" x14ac:dyDescent="0.2">
      <c r="E16359" s="1063"/>
      <c r="H16359" s="1066"/>
      <c r="I16359" s="1063"/>
      <c r="J16359" s="1063"/>
      <c r="K16359" s="1063"/>
      <c r="L16359" s="1063"/>
    </row>
    <row r="16360" spans="5:12" x14ac:dyDescent="0.2">
      <c r="E16360" s="1063"/>
      <c r="H16360" s="1066"/>
      <c r="I16360" s="1063"/>
      <c r="J16360" s="1063"/>
      <c r="K16360" s="1063"/>
      <c r="L16360" s="1063"/>
    </row>
    <row r="16361" spans="5:12" x14ac:dyDescent="0.2">
      <c r="E16361" s="1063"/>
      <c r="H16361" s="1066"/>
      <c r="I16361" s="1063"/>
      <c r="J16361" s="1063"/>
      <c r="K16361" s="1063"/>
      <c r="L16361" s="1063"/>
    </row>
    <row r="16362" spans="5:12" x14ac:dyDescent="0.2">
      <c r="E16362" s="1063"/>
      <c r="H16362" s="1066"/>
      <c r="I16362" s="1063"/>
      <c r="J16362" s="1063"/>
      <c r="K16362" s="1063"/>
      <c r="L16362" s="1063"/>
    </row>
    <row r="16363" spans="5:12" x14ac:dyDescent="0.2">
      <c r="E16363" s="1063"/>
      <c r="H16363" s="1066"/>
      <c r="I16363" s="1063"/>
      <c r="J16363" s="1063"/>
      <c r="K16363" s="1063"/>
      <c r="L16363" s="1063"/>
    </row>
    <row r="16364" spans="5:12" x14ac:dyDescent="0.2">
      <c r="E16364" s="1063"/>
      <c r="H16364" s="1066"/>
      <c r="I16364" s="1063"/>
      <c r="J16364" s="1063"/>
      <c r="K16364" s="1063"/>
      <c r="L16364" s="1063"/>
    </row>
    <row r="16365" spans="5:12" x14ac:dyDescent="0.2">
      <c r="E16365" s="1063"/>
      <c r="H16365" s="1066"/>
      <c r="I16365" s="1063"/>
      <c r="J16365" s="1063"/>
      <c r="K16365" s="1063"/>
      <c r="L16365" s="1063"/>
    </row>
    <row r="16366" spans="5:12" x14ac:dyDescent="0.2">
      <c r="E16366" s="1063"/>
      <c r="H16366" s="1066"/>
      <c r="I16366" s="1063"/>
      <c r="J16366" s="1063"/>
      <c r="K16366" s="1063"/>
      <c r="L16366" s="1063"/>
    </row>
    <row r="16367" spans="5:12" x14ac:dyDescent="0.2">
      <c r="E16367" s="1063"/>
      <c r="H16367" s="1066"/>
      <c r="I16367" s="1063"/>
      <c r="J16367" s="1063"/>
      <c r="K16367" s="1063"/>
      <c r="L16367" s="1063"/>
    </row>
    <row r="16368" spans="5:12" x14ac:dyDescent="0.2">
      <c r="E16368" s="1063"/>
      <c r="H16368" s="1066"/>
      <c r="I16368" s="1063"/>
      <c r="J16368" s="1063"/>
      <c r="K16368" s="1063"/>
      <c r="L16368" s="1063"/>
    </row>
    <row r="16369" spans="5:12" x14ac:dyDescent="0.2">
      <c r="E16369" s="1063"/>
      <c r="H16369" s="1066"/>
      <c r="I16369" s="1063"/>
      <c r="J16369" s="1063"/>
      <c r="K16369" s="1063"/>
      <c r="L16369" s="1063"/>
    </row>
    <row r="16370" spans="5:12" x14ac:dyDescent="0.2">
      <c r="E16370" s="1063"/>
      <c r="H16370" s="1066"/>
      <c r="I16370" s="1063"/>
      <c r="J16370" s="1063"/>
      <c r="K16370" s="1063"/>
      <c r="L16370" s="1063"/>
    </row>
    <row r="16371" spans="5:12" x14ac:dyDescent="0.2">
      <c r="E16371" s="1063"/>
      <c r="H16371" s="1066"/>
      <c r="I16371" s="1063"/>
      <c r="J16371" s="1063"/>
      <c r="K16371" s="1063"/>
      <c r="L16371" s="1063"/>
    </row>
    <row r="16372" spans="5:12" x14ac:dyDescent="0.2">
      <c r="E16372" s="1063"/>
      <c r="H16372" s="1066"/>
      <c r="I16372" s="1063"/>
      <c r="J16372" s="1063"/>
      <c r="K16372" s="1063"/>
      <c r="L16372" s="1063"/>
    </row>
    <row r="16373" spans="5:12" x14ac:dyDescent="0.2">
      <c r="E16373" s="1063"/>
      <c r="H16373" s="1066"/>
      <c r="I16373" s="1063"/>
      <c r="J16373" s="1063"/>
      <c r="K16373" s="1063"/>
      <c r="L16373" s="1063"/>
    </row>
    <row r="16374" spans="5:12" x14ac:dyDescent="0.2">
      <c r="E16374" s="1063"/>
      <c r="H16374" s="1066"/>
      <c r="I16374" s="1063"/>
      <c r="J16374" s="1063"/>
      <c r="K16374" s="1063"/>
      <c r="L16374" s="1063"/>
    </row>
    <row r="16375" spans="5:12" x14ac:dyDescent="0.2">
      <c r="E16375" s="1063"/>
      <c r="H16375" s="1066"/>
      <c r="I16375" s="1063"/>
      <c r="J16375" s="1063"/>
      <c r="K16375" s="1063"/>
      <c r="L16375" s="1063"/>
    </row>
    <row r="16376" spans="5:12" x14ac:dyDescent="0.2">
      <c r="E16376" s="1063"/>
      <c r="H16376" s="1066"/>
      <c r="I16376" s="1063"/>
      <c r="J16376" s="1063"/>
      <c r="K16376" s="1063"/>
      <c r="L16376" s="1063"/>
    </row>
    <row r="16377" spans="5:12" x14ac:dyDescent="0.2">
      <c r="E16377" s="1063"/>
      <c r="H16377" s="1066"/>
      <c r="I16377" s="1063"/>
      <c r="J16377" s="1063"/>
      <c r="K16377" s="1063"/>
      <c r="L16377" s="1063"/>
    </row>
    <row r="16378" spans="5:12" x14ac:dyDescent="0.2">
      <c r="E16378" s="1063"/>
      <c r="H16378" s="1066"/>
      <c r="I16378" s="1063"/>
      <c r="J16378" s="1063"/>
      <c r="K16378" s="1063"/>
      <c r="L16378" s="1063"/>
    </row>
    <row r="16379" spans="5:12" x14ac:dyDescent="0.2">
      <c r="E16379" s="1063"/>
      <c r="H16379" s="1066"/>
      <c r="I16379" s="1063"/>
      <c r="J16379" s="1063"/>
      <c r="K16379" s="1063"/>
      <c r="L16379" s="1063"/>
    </row>
    <row r="16380" spans="5:12" x14ac:dyDescent="0.2">
      <c r="E16380" s="1063"/>
      <c r="H16380" s="1066"/>
      <c r="I16380" s="1063"/>
      <c r="J16380" s="1063"/>
      <c r="K16380" s="1063"/>
      <c r="L16380" s="1063"/>
    </row>
    <row r="16381" spans="5:12" x14ac:dyDescent="0.2">
      <c r="E16381" s="1063"/>
      <c r="H16381" s="1066"/>
      <c r="I16381" s="1063"/>
      <c r="J16381" s="1063"/>
      <c r="K16381" s="1063"/>
      <c r="L16381" s="1063"/>
    </row>
    <row r="16382" spans="5:12" x14ac:dyDescent="0.2">
      <c r="E16382" s="1063"/>
      <c r="H16382" s="1066"/>
      <c r="I16382" s="1063"/>
      <c r="J16382" s="1063"/>
      <c r="K16382" s="1063"/>
      <c r="L16382" s="1063"/>
    </row>
    <row r="16383" spans="5:12" x14ac:dyDescent="0.2">
      <c r="E16383" s="1063"/>
      <c r="H16383" s="1066"/>
      <c r="I16383" s="1063"/>
      <c r="J16383" s="1063"/>
      <c r="K16383" s="1063"/>
      <c r="L16383" s="1063"/>
    </row>
    <row r="16384" spans="5:12" x14ac:dyDescent="0.2">
      <c r="E16384" s="1063"/>
      <c r="H16384" s="1066"/>
      <c r="I16384" s="1063"/>
      <c r="J16384" s="1063"/>
      <c r="K16384" s="1063"/>
      <c r="L16384" s="1063"/>
    </row>
    <row r="16385" spans="5:12" x14ac:dyDescent="0.2">
      <c r="E16385" s="1063"/>
      <c r="H16385" s="1066"/>
      <c r="I16385" s="1063"/>
      <c r="J16385" s="1063"/>
      <c r="K16385" s="1063"/>
      <c r="L16385" s="1063"/>
    </row>
    <row r="16386" spans="5:12" x14ac:dyDescent="0.2">
      <c r="E16386" s="1063"/>
      <c r="L16386" s="1063"/>
    </row>
    <row r="16387" spans="5:12" x14ac:dyDescent="0.2">
      <c r="E16387" s="1063"/>
      <c r="L16387" s="1063"/>
    </row>
    <row r="16388" spans="5:12" x14ac:dyDescent="0.2">
      <c r="E16388" s="1063"/>
      <c r="L16388" s="1063"/>
    </row>
    <row r="16389" spans="5:12" x14ac:dyDescent="0.2">
      <c r="E16389" s="1063"/>
      <c r="L16389" s="1063"/>
    </row>
    <row r="16390" spans="5:12" x14ac:dyDescent="0.2">
      <c r="E16390" s="1063"/>
      <c r="L16390" s="1063"/>
    </row>
    <row r="16391" spans="5:12" x14ac:dyDescent="0.2">
      <c r="E16391" s="1063"/>
      <c r="L16391" s="1063"/>
    </row>
    <row r="16392" spans="5:12" x14ac:dyDescent="0.2">
      <c r="E16392" s="1063"/>
      <c r="L16392" s="1063"/>
    </row>
    <row r="16393" spans="5:12" x14ac:dyDescent="0.2">
      <c r="E16393" s="1063"/>
      <c r="L16393" s="1063"/>
    </row>
    <row r="16394" spans="5:12" x14ac:dyDescent="0.2">
      <c r="E16394" s="1063"/>
    </row>
    <row r="16395" spans="5:12" x14ac:dyDescent="0.2">
      <c r="E16395" s="1063"/>
    </row>
    <row r="16396" spans="5:12" x14ac:dyDescent="0.2">
      <c r="E16396" s="1063"/>
    </row>
    <row r="16397" spans="5:12" x14ac:dyDescent="0.2">
      <c r="E16397" s="1063"/>
    </row>
    <row r="16398" spans="5:12" x14ac:dyDescent="0.2">
      <c r="E16398" s="1063"/>
    </row>
    <row r="16399" spans="5:12" x14ac:dyDescent="0.2">
      <c r="E16399" s="1063"/>
    </row>
    <row r="16400" spans="5:12" x14ac:dyDescent="0.2">
      <c r="E16400" s="1063"/>
    </row>
    <row r="16401" spans="5:5" x14ac:dyDescent="0.2">
      <c r="E16401" s="1063"/>
    </row>
    <row r="16402" spans="5:5" x14ac:dyDescent="0.2">
      <c r="E16402" s="1063"/>
    </row>
    <row r="16403" spans="5:5" x14ac:dyDescent="0.2">
      <c r="E16403" s="1063"/>
    </row>
    <row r="16404" spans="5:5" x14ac:dyDescent="0.2">
      <c r="E16404" s="1063"/>
    </row>
    <row r="16405" spans="5:5" x14ac:dyDescent="0.2">
      <c r="E16405" s="1063"/>
    </row>
    <row r="16406" spans="5:5" x14ac:dyDescent="0.2">
      <c r="E16406" s="1063"/>
    </row>
    <row r="16407" spans="5:5" x14ac:dyDescent="0.2">
      <c r="E16407" s="1063"/>
    </row>
    <row r="16408" spans="5:5" x14ac:dyDescent="0.2">
      <c r="E16408" s="1063"/>
    </row>
    <row r="16409" spans="5:5" x14ac:dyDescent="0.2">
      <c r="E16409" s="1063"/>
    </row>
    <row r="16410" spans="5:5" x14ac:dyDescent="0.2">
      <c r="E16410" s="1063"/>
    </row>
    <row r="16411" spans="5:5" x14ac:dyDescent="0.2">
      <c r="E16411" s="1063"/>
    </row>
    <row r="16412" spans="5:5" x14ac:dyDescent="0.2">
      <c r="E16412" s="1063"/>
    </row>
    <row r="16413" spans="5:5" x14ac:dyDescent="0.2">
      <c r="E16413" s="1063"/>
    </row>
    <row r="16414" spans="5:5" x14ac:dyDescent="0.2">
      <c r="E16414" s="1063"/>
    </row>
    <row r="16415" spans="5:5" x14ac:dyDescent="0.2">
      <c r="E16415" s="1063"/>
    </row>
    <row r="16416" spans="5:5" x14ac:dyDescent="0.2">
      <c r="E16416" s="1063"/>
    </row>
    <row r="16417" spans="5:5" x14ac:dyDescent="0.2">
      <c r="E16417" s="1063"/>
    </row>
    <row r="16418" spans="5:5" x14ac:dyDescent="0.2">
      <c r="E16418" s="1063"/>
    </row>
    <row r="16419" spans="5:5" x14ac:dyDescent="0.2">
      <c r="E16419" s="1063"/>
    </row>
    <row r="16420" spans="5:5" x14ac:dyDescent="0.2">
      <c r="E16420" s="1063"/>
    </row>
    <row r="16421" spans="5:5" x14ac:dyDescent="0.2">
      <c r="E16421" s="1063"/>
    </row>
    <row r="16422" spans="5:5" x14ac:dyDescent="0.2">
      <c r="E16422" s="1063"/>
    </row>
    <row r="16423" spans="5:5" x14ac:dyDescent="0.2">
      <c r="E16423" s="1063"/>
    </row>
    <row r="16424" spans="5:5" x14ac:dyDescent="0.2">
      <c r="E16424" s="1063"/>
    </row>
    <row r="16425" spans="5:5" x14ac:dyDescent="0.2">
      <c r="E16425" s="1063"/>
    </row>
    <row r="16426" spans="5:5" x14ac:dyDescent="0.2">
      <c r="E16426" s="1063"/>
    </row>
    <row r="16427" spans="5:5" x14ac:dyDescent="0.2">
      <c r="E16427" s="1063"/>
    </row>
    <row r="16428" spans="5:5" x14ac:dyDescent="0.2">
      <c r="E16428" s="1063"/>
    </row>
    <row r="16429" spans="5:5" x14ac:dyDescent="0.2">
      <c r="E16429" s="1063"/>
    </row>
    <row r="16430" spans="5:5" x14ac:dyDescent="0.2">
      <c r="E16430" s="1063"/>
    </row>
    <row r="16431" spans="5:5" x14ac:dyDescent="0.2">
      <c r="E16431" s="1063"/>
    </row>
    <row r="16432" spans="5:5" x14ac:dyDescent="0.2">
      <c r="E16432" s="1063"/>
    </row>
    <row r="16433" spans="5:5" x14ac:dyDescent="0.2">
      <c r="E16433" s="1063"/>
    </row>
    <row r="16434" spans="5:5" x14ac:dyDescent="0.2">
      <c r="E16434" s="1063"/>
    </row>
    <row r="16435" spans="5:5" x14ac:dyDescent="0.2">
      <c r="E16435" s="1063"/>
    </row>
    <row r="16436" spans="5:5" x14ac:dyDescent="0.2">
      <c r="E16436" s="1063"/>
    </row>
  </sheetData>
  <mergeCells count="5">
    <mergeCell ref="L2:M2"/>
    <mergeCell ref="L29:M29"/>
    <mergeCell ref="J29:K29"/>
    <mergeCell ref="J20:K20"/>
    <mergeCell ref="L56:M5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2:AA303"/>
  <sheetViews>
    <sheetView zoomScale="87" zoomScaleNormal="87" workbookViewId="0">
      <selection activeCell="B6" sqref="B6"/>
    </sheetView>
  </sheetViews>
  <sheetFormatPr defaultRowHeight="12.75" x14ac:dyDescent="0.2"/>
  <cols>
    <col min="1" max="1" width="46.7109375" style="1106" customWidth="1"/>
    <col min="2" max="2" width="11.7109375" style="666" bestFit="1" customWidth="1"/>
    <col min="3" max="3" width="13.85546875" style="666" customWidth="1"/>
    <col min="4" max="4" width="19.7109375" style="666" customWidth="1"/>
    <col min="5" max="5" width="24.85546875" style="666" customWidth="1"/>
    <col min="6" max="6" width="3.42578125" style="666" customWidth="1"/>
    <col min="7" max="7" width="4.5703125" style="666" bestFit="1" customWidth="1"/>
    <col min="8" max="8" width="14.5703125" style="666" customWidth="1"/>
    <col min="9" max="9" width="8.140625" style="666" bestFit="1" customWidth="1"/>
    <col min="10" max="10" width="12.7109375" style="666" customWidth="1"/>
    <col min="11" max="11" width="5.7109375" style="666" bestFit="1" customWidth="1"/>
    <col min="12" max="12" width="13.42578125" style="666" customWidth="1"/>
    <col min="13" max="13" width="5" style="666" bestFit="1" customWidth="1"/>
    <col min="14" max="14" width="12" style="666" customWidth="1"/>
    <col min="15" max="15" width="11.5703125" style="666" customWidth="1"/>
    <col min="16" max="16" width="13.28515625" style="666" customWidth="1"/>
    <col min="17" max="17" width="16.5703125" style="666" bestFit="1" customWidth="1"/>
    <col min="18" max="18" width="11.140625" style="666" bestFit="1" customWidth="1"/>
    <col min="19" max="257" width="6.85546875" style="666" customWidth="1"/>
    <col min="258" max="258" width="11.7109375" style="666" bestFit="1" customWidth="1"/>
    <col min="259" max="259" width="11" style="666" bestFit="1" customWidth="1"/>
    <col min="260" max="260" width="15.7109375" style="666" bestFit="1" customWidth="1"/>
    <col min="261" max="261" width="29" style="666" bestFit="1" customWidth="1"/>
    <col min="262" max="262" width="49.5703125" style="666" bestFit="1" customWidth="1"/>
    <col min="263" max="263" width="4.5703125" style="666" bestFit="1" customWidth="1"/>
    <col min="264" max="264" width="11.140625" style="666" bestFit="1" customWidth="1"/>
    <col min="265" max="265" width="8.140625" style="666" bestFit="1" customWidth="1"/>
    <col min="266" max="266" width="6.7109375" style="666" bestFit="1" customWidth="1"/>
    <col min="267" max="268" width="5.7109375" style="666" bestFit="1" customWidth="1"/>
    <col min="269" max="269" width="5" style="666" bestFit="1" customWidth="1"/>
    <col min="270" max="270" width="5.5703125" style="666" bestFit="1" customWidth="1"/>
    <col min="271" max="271" width="4" style="666" bestFit="1" customWidth="1"/>
    <col min="272" max="272" width="8.140625" style="666" bestFit="1" customWidth="1"/>
    <col min="273" max="273" width="16.5703125" style="666" bestFit="1" customWidth="1"/>
    <col min="274" max="274" width="11.140625" style="666" bestFit="1" customWidth="1"/>
    <col min="275" max="513" width="6.85546875" style="666" customWidth="1"/>
    <col min="514" max="514" width="11.7109375" style="666" bestFit="1" customWidth="1"/>
    <col min="515" max="515" width="11" style="666" bestFit="1" customWidth="1"/>
    <col min="516" max="516" width="15.7109375" style="666" bestFit="1" customWidth="1"/>
    <col min="517" max="517" width="29" style="666" bestFit="1" customWidth="1"/>
    <col min="518" max="518" width="49.5703125" style="666" bestFit="1" customWidth="1"/>
    <col min="519" max="519" width="4.5703125" style="666" bestFit="1" customWidth="1"/>
    <col min="520" max="520" width="11.140625" style="666" bestFit="1" customWidth="1"/>
    <col min="521" max="521" width="8.140625" style="666" bestFit="1" customWidth="1"/>
    <col min="522" max="522" width="6.7109375" style="666" bestFit="1" customWidth="1"/>
    <col min="523" max="524" width="5.7109375" style="666" bestFit="1" customWidth="1"/>
    <col min="525" max="525" width="5" style="666" bestFit="1" customWidth="1"/>
    <col min="526" max="526" width="5.5703125" style="666" bestFit="1" customWidth="1"/>
    <col min="527" max="527" width="4" style="666" bestFit="1" customWidth="1"/>
    <col min="528" max="528" width="8.140625" style="666" bestFit="1" customWidth="1"/>
    <col min="529" max="529" width="16.5703125" style="666" bestFit="1" customWidth="1"/>
    <col min="530" max="530" width="11.140625" style="666" bestFit="1" customWidth="1"/>
    <col min="531" max="769" width="6.85546875" style="666" customWidth="1"/>
    <col min="770" max="770" width="11.7109375" style="666" bestFit="1" customWidth="1"/>
    <col min="771" max="771" width="11" style="666" bestFit="1" customWidth="1"/>
    <col min="772" max="772" width="15.7109375" style="666" bestFit="1" customWidth="1"/>
    <col min="773" max="773" width="29" style="666" bestFit="1" customWidth="1"/>
    <col min="774" max="774" width="49.5703125" style="666" bestFit="1" customWidth="1"/>
    <col min="775" max="775" width="4.5703125" style="666" bestFit="1" customWidth="1"/>
    <col min="776" max="776" width="11.140625" style="666" bestFit="1" customWidth="1"/>
    <col min="777" max="777" width="8.140625" style="666" bestFit="1" customWidth="1"/>
    <col min="778" max="778" width="6.7109375" style="666" bestFit="1" customWidth="1"/>
    <col min="779" max="780" width="5.7109375" style="666" bestFit="1" customWidth="1"/>
    <col min="781" max="781" width="5" style="666" bestFit="1" customWidth="1"/>
    <col min="782" max="782" width="5.5703125" style="666" bestFit="1" customWidth="1"/>
    <col min="783" max="783" width="4" style="666" bestFit="1" customWidth="1"/>
    <col min="784" max="784" width="8.140625" style="666" bestFit="1" customWidth="1"/>
    <col min="785" max="785" width="16.5703125" style="666" bestFit="1" customWidth="1"/>
    <col min="786" max="786" width="11.140625" style="666" bestFit="1" customWidth="1"/>
    <col min="787" max="1025" width="6.85546875" style="666" customWidth="1"/>
    <col min="1026" max="1026" width="11.7109375" style="666" bestFit="1" customWidth="1"/>
    <col min="1027" max="1027" width="11" style="666" bestFit="1" customWidth="1"/>
    <col min="1028" max="1028" width="15.7109375" style="666" bestFit="1" customWidth="1"/>
    <col min="1029" max="1029" width="29" style="666" bestFit="1" customWidth="1"/>
    <col min="1030" max="1030" width="49.5703125" style="666" bestFit="1" customWidth="1"/>
    <col min="1031" max="1031" width="4.5703125" style="666" bestFit="1" customWidth="1"/>
    <col min="1032" max="1032" width="11.140625" style="666" bestFit="1" customWidth="1"/>
    <col min="1033" max="1033" width="8.140625" style="666" bestFit="1" customWidth="1"/>
    <col min="1034" max="1034" width="6.7109375" style="666" bestFit="1" customWidth="1"/>
    <col min="1035" max="1036" width="5.7109375" style="666" bestFit="1" customWidth="1"/>
    <col min="1037" max="1037" width="5" style="666" bestFit="1" customWidth="1"/>
    <col min="1038" max="1038" width="5.5703125" style="666" bestFit="1" customWidth="1"/>
    <col min="1039" max="1039" width="4" style="666" bestFit="1" customWidth="1"/>
    <col min="1040" max="1040" width="8.140625" style="666" bestFit="1" customWidth="1"/>
    <col min="1041" max="1041" width="16.5703125" style="666" bestFit="1" customWidth="1"/>
    <col min="1042" max="1042" width="11.140625" style="666" bestFit="1" customWidth="1"/>
    <col min="1043" max="1281" width="6.85546875" style="666" customWidth="1"/>
    <col min="1282" max="1282" width="11.7109375" style="666" bestFit="1" customWidth="1"/>
    <col min="1283" max="1283" width="11" style="666" bestFit="1" customWidth="1"/>
    <col min="1284" max="1284" width="15.7109375" style="666" bestFit="1" customWidth="1"/>
    <col min="1285" max="1285" width="29" style="666" bestFit="1" customWidth="1"/>
    <col min="1286" max="1286" width="49.5703125" style="666" bestFit="1" customWidth="1"/>
    <col min="1287" max="1287" width="4.5703125" style="666" bestFit="1" customWidth="1"/>
    <col min="1288" max="1288" width="11.140625" style="666" bestFit="1" customWidth="1"/>
    <col min="1289" max="1289" width="8.140625" style="666" bestFit="1" customWidth="1"/>
    <col min="1290" max="1290" width="6.7109375" style="666" bestFit="1" customWidth="1"/>
    <col min="1291" max="1292" width="5.7109375" style="666" bestFit="1" customWidth="1"/>
    <col min="1293" max="1293" width="5" style="666" bestFit="1" customWidth="1"/>
    <col min="1294" max="1294" width="5.5703125" style="666" bestFit="1" customWidth="1"/>
    <col min="1295" max="1295" width="4" style="666" bestFit="1" customWidth="1"/>
    <col min="1296" max="1296" width="8.140625" style="666" bestFit="1" customWidth="1"/>
    <col min="1297" max="1297" width="16.5703125" style="666" bestFit="1" customWidth="1"/>
    <col min="1298" max="1298" width="11.140625" style="666" bestFit="1" customWidth="1"/>
    <col min="1299" max="1537" width="6.85546875" style="666" customWidth="1"/>
    <col min="1538" max="1538" width="11.7109375" style="666" bestFit="1" customWidth="1"/>
    <col min="1539" max="1539" width="11" style="666" bestFit="1" customWidth="1"/>
    <col min="1540" max="1540" width="15.7109375" style="666" bestFit="1" customWidth="1"/>
    <col min="1541" max="1541" width="29" style="666" bestFit="1" customWidth="1"/>
    <col min="1542" max="1542" width="49.5703125" style="666" bestFit="1" customWidth="1"/>
    <col min="1543" max="1543" width="4.5703125" style="666" bestFit="1" customWidth="1"/>
    <col min="1544" max="1544" width="11.140625" style="666" bestFit="1" customWidth="1"/>
    <col min="1545" max="1545" width="8.140625" style="666" bestFit="1" customWidth="1"/>
    <col min="1546" max="1546" width="6.7109375" style="666" bestFit="1" customWidth="1"/>
    <col min="1547" max="1548" width="5.7109375" style="666" bestFit="1" customWidth="1"/>
    <col min="1549" max="1549" width="5" style="666" bestFit="1" customWidth="1"/>
    <col min="1550" max="1550" width="5.5703125" style="666" bestFit="1" customWidth="1"/>
    <col min="1551" max="1551" width="4" style="666" bestFit="1" customWidth="1"/>
    <col min="1552" max="1552" width="8.140625" style="666" bestFit="1" customWidth="1"/>
    <col min="1553" max="1553" width="16.5703125" style="666" bestFit="1" customWidth="1"/>
    <col min="1554" max="1554" width="11.140625" style="666" bestFit="1" customWidth="1"/>
    <col min="1555" max="1793" width="6.85546875" style="666" customWidth="1"/>
    <col min="1794" max="1794" width="11.7109375" style="666" bestFit="1" customWidth="1"/>
    <col min="1795" max="1795" width="11" style="666" bestFit="1" customWidth="1"/>
    <col min="1796" max="1796" width="15.7109375" style="666" bestFit="1" customWidth="1"/>
    <col min="1797" max="1797" width="29" style="666" bestFit="1" customWidth="1"/>
    <col min="1798" max="1798" width="49.5703125" style="666" bestFit="1" customWidth="1"/>
    <col min="1799" max="1799" width="4.5703125" style="666" bestFit="1" customWidth="1"/>
    <col min="1800" max="1800" width="11.140625" style="666" bestFit="1" customWidth="1"/>
    <col min="1801" max="1801" width="8.140625" style="666" bestFit="1" customWidth="1"/>
    <col min="1802" max="1802" width="6.7109375" style="666" bestFit="1" customWidth="1"/>
    <col min="1803" max="1804" width="5.7109375" style="666" bestFit="1" customWidth="1"/>
    <col min="1805" max="1805" width="5" style="666" bestFit="1" customWidth="1"/>
    <col min="1806" max="1806" width="5.5703125" style="666" bestFit="1" customWidth="1"/>
    <col min="1807" max="1807" width="4" style="666" bestFit="1" customWidth="1"/>
    <col min="1808" max="1808" width="8.140625" style="666" bestFit="1" customWidth="1"/>
    <col min="1809" max="1809" width="16.5703125" style="666" bestFit="1" customWidth="1"/>
    <col min="1810" max="1810" width="11.140625" style="666" bestFit="1" customWidth="1"/>
    <col min="1811" max="2049" width="6.85546875" style="666" customWidth="1"/>
    <col min="2050" max="2050" width="11.7109375" style="666" bestFit="1" customWidth="1"/>
    <col min="2051" max="2051" width="11" style="666" bestFit="1" customWidth="1"/>
    <col min="2052" max="2052" width="15.7109375" style="666" bestFit="1" customWidth="1"/>
    <col min="2053" max="2053" width="29" style="666" bestFit="1" customWidth="1"/>
    <col min="2054" max="2054" width="49.5703125" style="666" bestFit="1" customWidth="1"/>
    <col min="2055" max="2055" width="4.5703125" style="666" bestFit="1" customWidth="1"/>
    <col min="2056" max="2056" width="11.140625" style="666" bestFit="1" customWidth="1"/>
    <col min="2057" max="2057" width="8.140625" style="666" bestFit="1" customWidth="1"/>
    <col min="2058" max="2058" width="6.7109375" style="666" bestFit="1" customWidth="1"/>
    <col min="2059" max="2060" width="5.7109375" style="666" bestFit="1" customWidth="1"/>
    <col min="2061" max="2061" width="5" style="666" bestFit="1" customWidth="1"/>
    <col min="2062" max="2062" width="5.5703125" style="666" bestFit="1" customWidth="1"/>
    <col min="2063" max="2063" width="4" style="666" bestFit="1" customWidth="1"/>
    <col min="2064" max="2064" width="8.140625" style="666" bestFit="1" customWidth="1"/>
    <col min="2065" max="2065" width="16.5703125" style="666" bestFit="1" customWidth="1"/>
    <col min="2066" max="2066" width="11.140625" style="666" bestFit="1" customWidth="1"/>
    <col min="2067" max="2305" width="6.85546875" style="666" customWidth="1"/>
    <col min="2306" max="2306" width="11.7109375" style="666" bestFit="1" customWidth="1"/>
    <col min="2307" max="2307" width="11" style="666" bestFit="1" customWidth="1"/>
    <col min="2308" max="2308" width="15.7109375" style="666" bestFit="1" customWidth="1"/>
    <col min="2309" max="2309" width="29" style="666" bestFit="1" customWidth="1"/>
    <col min="2310" max="2310" width="49.5703125" style="666" bestFit="1" customWidth="1"/>
    <col min="2311" max="2311" width="4.5703125" style="666" bestFit="1" customWidth="1"/>
    <col min="2312" max="2312" width="11.140625" style="666" bestFit="1" customWidth="1"/>
    <col min="2313" max="2313" width="8.140625" style="666" bestFit="1" customWidth="1"/>
    <col min="2314" max="2314" width="6.7109375" style="666" bestFit="1" customWidth="1"/>
    <col min="2315" max="2316" width="5.7109375" style="666" bestFit="1" customWidth="1"/>
    <col min="2317" max="2317" width="5" style="666" bestFit="1" customWidth="1"/>
    <col min="2318" max="2318" width="5.5703125" style="666" bestFit="1" customWidth="1"/>
    <col min="2319" max="2319" width="4" style="666" bestFit="1" customWidth="1"/>
    <col min="2320" max="2320" width="8.140625" style="666" bestFit="1" customWidth="1"/>
    <col min="2321" max="2321" width="16.5703125" style="666" bestFit="1" customWidth="1"/>
    <col min="2322" max="2322" width="11.140625" style="666" bestFit="1" customWidth="1"/>
    <col min="2323" max="2561" width="6.85546875" style="666" customWidth="1"/>
    <col min="2562" max="2562" width="11.7109375" style="666" bestFit="1" customWidth="1"/>
    <col min="2563" max="2563" width="11" style="666" bestFit="1" customWidth="1"/>
    <col min="2564" max="2564" width="15.7109375" style="666" bestFit="1" customWidth="1"/>
    <col min="2565" max="2565" width="29" style="666" bestFit="1" customWidth="1"/>
    <col min="2566" max="2566" width="49.5703125" style="666" bestFit="1" customWidth="1"/>
    <col min="2567" max="2567" width="4.5703125" style="666" bestFit="1" customWidth="1"/>
    <col min="2568" max="2568" width="11.140625" style="666" bestFit="1" customWidth="1"/>
    <col min="2569" max="2569" width="8.140625" style="666" bestFit="1" customWidth="1"/>
    <col min="2570" max="2570" width="6.7109375" style="666" bestFit="1" customWidth="1"/>
    <col min="2571" max="2572" width="5.7109375" style="666" bestFit="1" customWidth="1"/>
    <col min="2573" max="2573" width="5" style="666" bestFit="1" customWidth="1"/>
    <col min="2574" max="2574" width="5.5703125" style="666" bestFit="1" customWidth="1"/>
    <col min="2575" max="2575" width="4" style="666" bestFit="1" customWidth="1"/>
    <col min="2576" max="2576" width="8.140625" style="666" bestFit="1" customWidth="1"/>
    <col min="2577" max="2577" width="16.5703125" style="666" bestFit="1" customWidth="1"/>
    <col min="2578" max="2578" width="11.140625" style="666" bestFit="1" customWidth="1"/>
    <col min="2579" max="2817" width="6.85546875" style="666" customWidth="1"/>
    <col min="2818" max="2818" width="11.7109375" style="666" bestFit="1" customWidth="1"/>
    <col min="2819" max="2819" width="11" style="666" bestFit="1" customWidth="1"/>
    <col min="2820" max="2820" width="15.7109375" style="666" bestFit="1" customWidth="1"/>
    <col min="2821" max="2821" width="29" style="666" bestFit="1" customWidth="1"/>
    <col min="2822" max="2822" width="49.5703125" style="666" bestFit="1" customWidth="1"/>
    <col min="2823" max="2823" width="4.5703125" style="666" bestFit="1" customWidth="1"/>
    <col min="2824" max="2824" width="11.140625" style="666" bestFit="1" customWidth="1"/>
    <col min="2825" max="2825" width="8.140625" style="666" bestFit="1" customWidth="1"/>
    <col min="2826" max="2826" width="6.7109375" style="666" bestFit="1" customWidth="1"/>
    <col min="2827" max="2828" width="5.7109375" style="666" bestFit="1" customWidth="1"/>
    <col min="2829" max="2829" width="5" style="666" bestFit="1" customWidth="1"/>
    <col min="2830" max="2830" width="5.5703125" style="666" bestFit="1" customWidth="1"/>
    <col min="2831" max="2831" width="4" style="666" bestFit="1" customWidth="1"/>
    <col min="2832" max="2832" width="8.140625" style="666" bestFit="1" customWidth="1"/>
    <col min="2833" max="2833" width="16.5703125" style="666" bestFit="1" customWidth="1"/>
    <col min="2834" max="2834" width="11.140625" style="666" bestFit="1" customWidth="1"/>
    <col min="2835" max="3073" width="6.85546875" style="666" customWidth="1"/>
    <col min="3074" max="3074" width="11.7109375" style="666" bestFit="1" customWidth="1"/>
    <col min="3075" max="3075" width="11" style="666" bestFit="1" customWidth="1"/>
    <col min="3076" max="3076" width="15.7109375" style="666" bestFit="1" customWidth="1"/>
    <col min="3077" max="3077" width="29" style="666" bestFit="1" customWidth="1"/>
    <col min="3078" max="3078" width="49.5703125" style="666" bestFit="1" customWidth="1"/>
    <col min="3079" max="3079" width="4.5703125" style="666" bestFit="1" customWidth="1"/>
    <col min="3080" max="3080" width="11.140625" style="666" bestFit="1" customWidth="1"/>
    <col min="3081" max="3081" width="8.140625" style="666" bestFit="1" customWidth="1"/>
    <col min="3082" max="3082" width="6.7109375" style="666" bestFit="1" customWidth="1"/>
    <col min="3083" max="3084" width="5.7109375" style="666" bestFit="1" customWidth="1"/>
    <col min="3085" max="3085" width="5" style="666" bestFit="1" customWidth="1"/>
    <col min="3086" max="3086" width="5.5703125" style="666" bestFit="1" customWidth="1"/>
    <col min="3087" max="3087" width="4" style="666" bestFit="1" customWidth="1"/>
    <col min="3088" max="3088" width="8.140625" style="666" bestFit="1" customWidth="1"/>
    <col min="3089" max="3089" width="16.5703125" style="666" bestFit="1" customWidth="1"/>
    <col min="3090" max="3090" width="11.140625" style="666" bestFit="1" customWidth="1"/>
    <col min="3091" max="3329" width="6.85546875" style="666" customWidth="1"/>
    <col min="3330" max="3330" width="11.7109375" style="666" bestFit="1" customWidth="1"/>
    <col min="3331" max="3331" width="11" style="666" bestFit="1" customWidth="1"/>
    <col min="3332" max="3332" width="15.7109375" style="666" bestFit="1" customWidth="1"/>
    <col min="3333" max="3333" width="29" style="666" bestFit="1" customWidth="1"/>
    <col min="3334" max="3334" width="49.5703125" style="666" bestFit="1" customWidth="1"/>
    <col min="3335" max="3335" width="4.5703125" style="666" bestFit="1" customWidth="1"/>
    <col min="3336" max="3336" width="11.140625" style="666" bestFit="1" customWidth="1"/>
    <col min="3337" max="3337" width="8.140625" style="666" bestFit="1" customWidth="1"/>
    <col min="3338" max="3338" width="6.7109375" style="666" bestFit="1" customWidth="1"/>
    <col min="3339" max="3340" width="5.7109375" style="666" bestFit="1" customWidth="1"/>
    <col min="3341" max="3341" width="5" style="666" bestFit="1" customWidth="1"/>
    <col min="3342" max="3342" width="5.5703125" style="666" bestFit="1" customWidth="1"/>
    <col min="3343" max="3343" width="4" style="666" bestFit="1" customWidth="1"/>
    <col min="3344" max="3344" width="8.140625" style="666" bestFit="1" customWidth="1"/>
    <col min="3345" max="3345" width="16.5703125" style="666" bestFit="1" customWidth="1"/>
    <col min="3346" max="3346" width="11.140625" style="666" bestFit="1" customWidth="1"/>
    <col min="3347" max="3585" width="6.85546875" style="666" customWidth="1"/>
    <col min="3586" max="3586" width="11.7109375" style="666" bestFit="1" customWidth="1"/>
    <col min="3587" max="3587" width="11" style="666" bestFit="1" customWidth="1"/>
    <col min="3588" max="3588" width="15.7109375" style="666" bestFit="1" customWidth="1"/>
    <col min="3589" max="3589" width="29" style="666" bestFit="1" customWidth="1"/>
    <col min="3590" max="3590" width="49.5703125" style="666" bestFit="1" customWidth="1"/>
    <col min="3591" max="3591" width="4.5703125" style="666" bestFit="1" customWidth="1"/>
    <col min="3592" max="3592" width="11.140625" style="666" bestFit="1" customWidth="1"/>
    <col min="3593" max="3593" width="8.140625" style="666" bestFit="1" customWidth="1"/>
    <col min="3594" max="3594" width="6.7109375" style="666" bestFit="1" customWidth="1"/>
    <col min="3595" max="3596" width="5.7109375" style="666" bestFit="1" customWidth="1"/>
    <col min="3597" max="3597" width="5" style="666" bestFit="1" customWidth="1"/>
    <col min="3598" max="3598" width="5.5703125" style="666" bestFit="1" customWidth="1"/>
    <col min="3599" max="3599" width="4" style="666" bestFit="1" customWidth="1"/>
    <col min="3600" max="3600" width="8.140625" style="666" bestFit="1" customWidth="1"/>
    <col min="3601" max="3601" width="16.5703125" style="666" bestFit="1" customWidth="1"/>
    <col min="3602" max="3602" width="11.140625" style="666" bestFit="1" customWidth="1"/>
    <col min="3603" max="3841" width="6.85546875" style="666" customWidth="1"/>
    <col min="3842" max="3842" width="11.7109375" style="666" bestFit="1" customWidth="1"/>
    <col min="3843" max="3843" width="11" style="666" bestFit="1" customWidth="1"/>
    <col min="3844" max="3844" width="15.7109375" style="666" bestFit="1" customWidth="1"/>
    <col min="3845" max="3845" width="29" style="666" bestFit="1" customWidth="1"/>
    <col min="3846" max="3846" width="49.5703125" style="666" bestFit="1" customWidth="1"/>
    <col min="3847" max="3847" width="4.5703125" style="666" bestFit="1" customWidth="1"/>
    <col min="3848" max="3848" width="11.140625" style="666" bestFit="1" customWidth="1"/>
    <col min="3849" max="3849" width="8.140625" style="666" bestFit="1" customWidth="1"/>
    <col min="3850" max="3850" width="6.7109375" style="666" bestFit="1" customWidth="1"/>
    <col min="3851" max="3852" width="5.7109375" style="666" bestFit="1" customWidth="1"/>
    <col min="3853" max="3853" width="5" style="666" bestFit="1" customWidth="1"/>
    <col min="3854" max="3854" width="5.5703125" style="666" bestFit="1" customWidth="1"/>
    <col min="3855" max="3855" width="4" style="666" bestFit="1" customWidth="1"/>
    <col min="3856" max="3856" width="8.140625" style="666" bestFit="1" customWidth="1"/>
    <col min="3857" max="3857" width="16.5703125" style="666" bestFit="1" customWidth="1"/>
    <col min="3858" max="3858" width="11.140625" style="666" bestFit="1" customWidth="1"/>
    <col min="3859" max="4097" width="6.85546875" style="666" customWidth="1"/>
    <col min="4098" max="4098" width="11.7109375" style="666" bestFit="1" customWidth="1"/>
    <col min="4099" max="4099" width="11" style="666" bestFit="1" customWidth="1"/>
    <col min="4100" max="4100" width="15.7109375" style="666" bestFit="1" customWidth="1"/>
    <col min="4101" max="4101" width="29" style="666" bestFit="1" customWidth="1"/>
    <col min="4102" max="4102" width="49.5703125" style="666" bestFit="1" customWidth="1"/>
    <col min="4103" max="4103" width="4.5703125" style="666" bestFit="1" customWidth="1"/>
    <col min="4104" max="4104" width="11.140625" style="666" bestFit="1" customWidth="1"/>
    <col min="4105" max="4105" width="8.140625" style="666" bestFit="1" customWidth="1"/>
    <col min="4106" max="4106" width="6.7109375" style="666" bestFit="1" customWidth="1"/>
    <col min="4107" max="4108" width="5.7109375" style="666" bestFit="1" customWidth="1"/>
    <col min="4109" max="4109" width="5" style="666" bestFit="1" customWidth="1"/>
    <col min="4110" max="4110" width="5.5703125" style="666" bestFit="1" customWidth="1"/>
    <col min="4111" max="4111" width="4" style="666" bestFit="1" customWidth="1"/>
    <col min="4112" max="4112" width="8.140625" style="666" bestFit="1" customWidth="1"/>
    <col min="4113" max="4113" width="16.5703125" style="666" bestFit="1" customWidth="1"/>
    <col min="4114" max="4114" width="11.140625" style="666" bestFit="1" customWidth="1"/>
    <col min="4115" max="4353" width="6.85546875" style="666" customWidth="1"/>
    <col min="4354" max="4354" width="11.7109375" style="666" bestFit="1" customWidth="1"/>
    <col min="4355" max="4355" width="11" style="666" bestFit="1" customWidth="1"/>
    <col min="4356" max="4356" width="15.7109375" style="666" bestFit="1" customWidth="1"/>
    <col min="4357" max="4357" width="29" style="666" bestFit="1" customWidth="1"/>
    <col min="4358" max="4358" width="49.5703125" style="666" bestFit="1" customWidth="1"/>
    <col min="4359" max="4359" width="4.5703125" style="666" bestFit="1" customWidth="1"/>
    <col min="4360" max="4360" width="11.140625" style="666" bestFit="1" customWidth="1"/>
    <col min="4361" max="4361" width="8.140625" style="666" bestFit="1" customWidth="1"/>
    <col min="4362" max="4362" width="6.7109375" style="666" bestFit="1" customWidth="1"/>
    <col min="4363" max="4364" width="5.7109375" style="666" bestFit="1" customWidth="1"/>
    <col min="4365" max="4365" width="5" style="666" bestFit="1" customWidth="1"/>
    <col min="4366" max="4366" width="5.5703125" style="666" bestFit="1" customWidth="1"/>
    <col min="4367" max="4367" width="4" style="666" bestFit="1" customWidth="1"/>
    <col min="4368" max="4368" width="8.140625" style="666" bestFit="1" customWidth="1"/>
    <col min="4369" max="4369" width="16.5703125" style="666" bestFit="1" customWidth="1"/>
    <col min="4370" max="4370" width="11.140625" style="666" bestFit="1" customWidth="1"/>
    <col min="4371" max="4609" width="6.85546875" style="666" customWidth="1"/>
    <col min="4610" max="4610" width="11.7109375" style="666" bestFit="1" customWidth="1"/>
    <col min="4611" max="4611" width="11" style="666" bestFit="1" customWidth="1"/>
    <col min="4612" max="4612" width="15.7109375" style="666" bestFit="1" customWidth="1"/>
    <col min="4613" max="4613" width="29" style="666" bestFit="1" customWidth="1"/>
    <col min="4614" max="4614" width="49.5703125" style="666" bestFit="1" customWidth="1"/>
    <col min="4615" max="4615" width="4.5703125" style="666" bestFit="1" customWidth="1"/>
    <col min="4616" max="4616" width="11.140625" style="666" bestFit="1" customWidth="1"/>
    <col min="4617" max="4617" width="8.140625" style="666" bestFit="1" customWidth="1"/>
    <col min="4618" max="4618" width="6.7109375" style="666" bestFit="1" customWidth="1"/>
    <col min="4619" max="4620" width="5.7109375" style="666" bestFit="1" customWidth="1"/>
    <col min="4621" max="4621" width="5" style="666" bestFit="1" customWidth="1"/>
    <col min="4622" max="4622" width="5.5703125" style="666" bestFit="1" customWidth="1"/>
    <col min="4623" max="4623" width="4" style="666" bestFit="1" customWidth="1"/>
    <col min="4624" max="4624" width="8.140625" style="666" bestFit="1" customWidth="1"/>
    <col min="4625" max="4625" width="16.5703125" style="666" bestFit="1" customWidth="1"/>
    <col min="4626" max="4626" width="11.140625" style="666" bestFit="1" customWidth="1"/>
    <col min="4627" max="4865" width="6.85546875" style="666" customWidth="1"/>
    <col min="4866" max="4866" width="11.7109375" style="666" bestFit="1" customWidth="1"/>
    <col min="4867" max="4867" width="11" style="666" bestFit="1" customWidth="1"/>
    <col min="4868" max="4868" width="15.7109375" style="666" bestFit="1" customWidth="1"/>
    <col min="4869" max="4869" width="29" style="666" bestFit="1" customWidth="1"/>
    <col min="4870" max="4870" width="49.5703125" style="666" bestFit="1" customWidth="1"/>
    <col min="4871" max="4871" width="4.5703125" style="666" bestFit="1" customWidth="1"/>
    <col min="4872" max="4872" width="11.140625" style="666" bestFit="1" customWidth="1"/>
    <col min="4873" max="4873" width="8.140625" style="666" bestFit="1" customWidth="1"/>
    <col min="4874" max="4874" width="6.7109375" style="666" bestFit="1" customWidth="1"/>
    <col min="4875" max="4876" width="5.7109375" style="666" bestFit="1" customWidth="1"/>
    <col min="4877" max="4877" width="5" style="666" bestFit="1" customWidth="1"/>
    <col min="4878" max="4878" width="5.5703125" style="666" bestFit="1" customWidth="1"/>
    <col min="4879" max="4879" width="4" style="666" bestFit="1" customWidth="1"/>
    <col min="4880" max="4880" width="8.140625" style="666" bestFit="1" customWidth="1"/>
    <col min="4881" max="4881" width="16.5703125" style="666" bestFit="1" customWidth="1"/>
    <col min="4882" max="4882" width="11.140625" style="666" bestFit="1" customWidth="1"/>
    <col min="4883" max="5121" width="6.85546875" style="666" customWidth="1"/>
    <col min="5122" max="5122" width="11.7109375" style="666" bestFit="1" customWidth="1"/>
    <col min="5123" max="5123" width="11" style="666" bestFit="1" customWidth="1"/>
    <col min="5124" max="5124" width="15.7109375" style="666" bestFit="1" customWidth="1"/>
    <col min="5125" max="5125" width="29" style="666" bestFit="1" customWidth="1"/>
    <col min="5126" max="5126" width="49.5703125" style="666" bestFit="1" customWidth="1"/>
    <col min="5127" max="5127" width="4.5703125" style="666" bestFit="1" customWidth="1"/>
    <col min="5128" max="5128" width="11.140625" style="666" bestFit="1" customWidth="1"/>
    <col min="5129" max="5129" width="8.140625" style="666" bestFit="1" customWidth="1"/>
    <col min="5130" max="5130" width="6.7109375" style="666" bestFit="1" customWidth="1"/>
    <col min="5131" max="5132" width="5.7109375" style="666" bestFit="1" customWidth="1"/>
    <col min="5133" max="5133" width="5" style="666" bestFit="1" customWidth="1"/>
    <col min="5134" max="5134" width="5.5703125" style="666" bestFit="1" customWidth="1"/>
    <col min="5135" max="5135" width="4" style="666" bestFit="1" customWidth="1"/>
    <col min="5136" max="5136" width="8.140625" style="666" bestFit="1" customWidth="1"/>
    <col min="5137" max="5137" width="16.5703125" style="666" bestFit="1" customWidth="1"/>
    <col min="5138" max="5138" width="11.140625" style="666" bestFit="1" customWidth="1"/>
    <col min="5139" max="5377" width="6.85546875" style="666" customWidth="1"/>
    <col min="5378" max="5378" width="11.7109375" style="666" bestFit="1" customWidth="1"/>
    <col min="5379" max="5379" width="11" style="666" bestFit="1" customWidth="1"/>
    <col min="5380" max="5380" width="15.7109375" style="666" bestFit="1" customWidth="1"/>
    <col min="5381" max="5381" width="29" style="666" bestFit="1" customWidth="1"/>
    <col min="5382" max="5382" width="49.5703125" style="666" bestFit="1" customWidth="1"/>
    <col min="5383" max="5383" width="4.5703125" style="666" bestFit="1" customWidth="1"/>
    <col min="5384" max="5384" width="11.140625" style="666" bestFit="1" customWidth="1"/>
    <col min="5385" max="5385" width="8.140625" style="666" bestFit="1" customWidth="1"/>
    <col min="5386" max="5386" width="6.7109375" style="666" bestFit="1" customWidth="1"/>
    <col min="5387" max="5388" width="5.7109375" style="666" bestFit="1" customWidth="1"/>
    <col min="5389" max="5389" width="5" style="666" bestFit="1" customWidth="1"/>
    <col min="5390" max="5390" width="5.5703125" style="666" bestFit="1" customWidth="1"/>
    <col min="5391" max="5391" width="4" style="666" bestFit="1" customWidth="1"/>
    <col min="5392" max="5392" width="8.140625" style="666" bestFit="1" customWidth="1"/>
    <col min="5393" max="5393" width="16.5703125" style="666" bestFit="1" customWidth="1"/>
    <col min="5394" max="5394" width="11.140625" style="666" bestFit="1" customWidth="1"/>
    <col min="5395" max="5633" width="6.85546875" style="666" customWidth="1"/>
    <col min="5634" max="5634" width="11.7109375" style="666" bestFit="1" customWidth="1"/>
    <col min="5635" max="5635" width="11" style="666" bestFit="1" customWidth="1"/>
    <col min="5636" max="5636" width="15.7109375" style="666" bestFit="1" customWidth="1"/>
    <col min="5637" max="5637" width="29" style="666" bestFit="1" customWidth="1"/>
    <col min="5638" max="5638" width="49.5703125" style="666" bestFit="1" customWidth="1"/>
    <col min="5639" max="5639" width="4.5703125" style="666" bestFit="1" customWidth="1"/>
    <col min="5640" max="5640" width="11.140625" style="666" bestFit="1" customWidth="1"/>
    <col min="5641" max="5641" width="8.140625" style="666" bestFit="1" customWidth="1"/>
    <col min="5642" max="5642" width="6.7109375" style="666" bestFit="1" customWidth="1"/>
    <col min="5643" max="5644" width="5.7109375" style="666" bestFit="1" customWidth="1"/>
    <col min="5645" max="5645" width="5" style="666" bestFit="1" customWidth="1"/>
    <col min="5646" max="5646" width="5.5703125" style="666" bestFit="1" customWidth="1"/>
    <col min="5647" max="5647" width="4" style="666" bestFit="1" customWidth="1"/>
    <col min="5648" max="5648" width="8.140625" style="666" bestFit="1" customWidth="1"/>
    <col min="5649" max="5649" width="16.5703125" style="666" bestFit="1" customWidth="1"/>
    <col min="5650" max="5650" width="11.140625" style="666" bestFit="1" customWidth="1"/>
    <col min="5651" max="5889" width="6.85546875" style="666" customWidth="1"/>
    <col min="5890" max="5890" width="11.7109375" style="666" bestFit="1" customWidth="1"/>
    <col min="5891" max="5891" width="11" style="666" bestFit="1" customWidth="1"/>
    <col min="5892" max="5892" width="15.7109375" style="666" bestFit="1" customWidth="1"/>
    <col min="5893" max="5893" width="29" style="666" bestFit="1" customWidth="1"/>
    <col min="5894" max="5894" width="49.5703125" style="666" bestFit="1" customWidth="1"/>
    <col min="5895" max="5895" width="4.5703125" style="666" bestFit="1" customWidth="1"/>
    <col min="5896" max="5896" width="11.140625" style="666" bestFit="1" customWidth="1"/>
    <col min="5897" max="5897" width="8.140625" style="666" bestFit="1" customWidth="1"/>
    <col min="5898" max="5898" width="6.7109375" style="666" bestFit="1" customWidth="1"/>
    <col min="5899" max="5900" width="5.7109375" style="666" bestFit="1" customWidth="1"/>
    <col min="5901" max="5901" width="5" style="666" bestFit="1" customWidth="1"/>
    <col min="5902" max="5902" width="5.5703125" style="666" bestFit="1" customWidth="1"/>
    <col min="5903" max="5903" width="4" style="666" bestFit="1" customWidth="1"/>
    <col min="5904" max="5904" width="8.140625" style="666" bestFit="1" customWidth="1"/>
    <col min="5905" max="5905" width="16.5703125" style="666" bestFit="1" customWidth="1"/>
    <col min="5906" max="5906" width="11.140625" style="666" bestFit="1" customWidth="1"/>
    <col min="5907" max="6145" width="6.85546875" style="666" customWidth="1"/>
    <col min="6146" max="6146" width="11.7109375" style="666" bestFit="1" customWidth="1"/>
    <col min="6147" max="6147" width="11" style="666" bestFit="1" customWidth="1"/>
    <col min="6148" max="6148" width="15.7109375" style="666" bestFit="1" customWidth="1"/>
    <col min="6149" max="6149" width="29" style="666" bestFit="1" customWidth="1"/>
    <col min="6150" max="6150" width="49.5703125" style="666" bestFit="1" customWidth="1"/>
    <col min="6151" max="6151" width="4.5703125" style="666" bestFit="1" customWidth="1"/>
    <col min="6152" max="6152" width="11.140625" style="666" bestFit="1" customWidth="1"/>
    <col min="6153" max="6153" width="8.140625" style="666" bestFit="1" customWidth="1"/>
    <col min="6154" max="6154" width="6.7109375" style="666" bestFit="1" customWidth="1"/>
    <col min="6155" max="6156" width="5.7109375" style="666" bestFit="1" customWidth="1"/>
    <col min="6157" max="6157" width="5" style="666" bestFit="1" customWidth="1"/>
    <col min="6158" max="6158" width="5.5703125" style="666" bestFit="1" customWidth="1"/>
    <col min="6159" max="6159" width="4" style="666" bestFit="1" customWidth="1"/>
    <col min="6160" max="6160" width="8.140625" style="666" bestFit="1" customWidth="1"/>
    <col min="6161" max="6161" width="16.5703125" style="666" bestFit="1" customWidth="1"/>
    <col min="6162" max="6162" width="11.140625" style="666" bestFit="1" customWidth="1"/>
    <col min="6163" max="6401" width="6.85546875" style="666" customWidth="1"/>
    <col min="6402" max="6402" width="11.7109375" style="666" bestFit="1" customWidth="1"/>
    <col min="6403" max="6403" width="11" style="666" bestFit="1" customWidth="1"/>
    <col min="6404" max="6404" width="15.7109375" style="666" bestFit="1" customWidth="1"/>
    <col min="6405" max="6405" width="29" style="666" bestFit="1" customWidth="1"/>
    <col min="6406" max="6406" width="49.5703125" style="666" bestFit="1" customWidth="1"/>
    <col min="6407" max="6407" width="4.5703125" style="666" bestFit="1" customWidth="1"/>
    <col min="6408" max="6408" width="11.140625" style="666" bestFit="1" customWidth="1"/>
    <col min="6409" max="6409" width="8.140625" style="666" bestFit="1" customWidth="1"/>
    <col min="6410" max="6410" width="6.7109375" style="666" bestFit="1" customWidth="1"/>
    <col min="6411" max="6412" width="5.7109375" style="666" bestFit="1" customWidth="1"/>
    <col min="6413" max="6413" width="5" style="666" bestFit="1" customWidth="1"/>
    <col min="6414" max="6414" width="5.5703125" style="666" bestFit="1" customWidth="1"/>
    <col min="6415" max="6415" width="4" style="666" bestFit="1" customWidth="1"/>
    <col min="6416" max="6416" width="8.140625" style="666" bestFit="1" customWidth="1"/>
    <col min="6417" max="6417" width="16.5703125" style="666" bestFit="1" customWidth="1"/>
    <col min="6418" max="6418" width="11.140625" style="666" bestFit="1" customWidth="1"/>
    <col min="6419" max="6657" width="6.85546875" style="666" customWidth="1"/>
    <col min="6658" max="6658" width="11.7109375" style="666" bestFit="1" customWidth="1"/>
    <col min="6659" max="6659" width="11" style="666" bestFit="1" customWidth="1"/>
    <col min="6660" max="6660" width="15.7109375" style="666" bestFit="1" customWidth="1"/>
    <col min="6661" max="6661" width="29" style="666" bestFit="1" customWidth="1"/>
    <col min="6662" max="6662" width="49.5703125" style="666" bestFit="1" customWidth="1"/>
    <col min="6663" max="6663" width="4.5703125" style="666" bestFit="1" customWidth="1"/>
    <col min="6664" max="6664" width="11.140625" style="666" bestFit="1" customWidth="1"/>
    <col min="6665" max="6665" width="8.140625" style="666" bestFit="1" customWidth="1"/>
    <col min="6666" max="6666" width="6.7109375" style="666" bestFit="1" customWidth="1"/>
    <col min="6667" max="6668" width="5.7109375" style="666" bestFit="1" customWidth="1"/>
    <col min="6669" max="6669" width="5" style="666" bestFit="1" customWidth="1"/>
    <col min="6670" max="6670" width="5.5703125" style="666" bestFit="1" customWidth="1"/>
    <col min="6671" max="6671" width="4" style="666" bestFit="1" customWidth="1"/>
    <col min="6672" max="6672" width="8.140625" style="666" bestFit="1" customWidth="1"/>
    <col min="6673" max="6673" width="16.5703125" style="666" bestFit="1" customWidth="1"/>
    <col min="6674" max="6674" width="11.140625" style="666" bestFit="1" customWidth="1"/>
    <col min="6675" max="6913" width="6.85546875" style="666" customWidth="1"/>
    <col min="6914" max="6914" width="11.7109375" style="666" bestFit="1" customWidth="1"/>
    <col min="6915" max="6915" width="11" style="666" bestFit="1" customWidth="1"/>
    <col min="6916" max="6916" width="15.7109375" style="666" bestFit="1" customWidth="1"/>
    <col min="6917" max="6917" width="29" style="666" bestFit="1" customWidth="1"/>
    <col min="6918" max="6918" width="49.5703125" style="666" bestFit="1" customWidth="1"/>
    <col min="6919" max="6919" width="4.5703125" style="666" bestFit="1" customWidth="1"/>
    <col min="6920" max="6920" width="11.140625" style="666" bestFit="1" customWidth="1"/>
    <col min="6921" max="6921" width="8.140625" style="666" bestFit="1" customWidth="1"/>
    <col min="6922" max="6922" width="6.7109375" style="666" bestFit="1" customWidth="1"/>
    <col min="6923" max="6924" width="5.7109375" style="666" bestFit="1" customWidth="1"/>
    <col min="6925" max="6925" width="5" style="666" bestFit="1" customWidth="1"/>
    <col min="6926" max="6926" width="5.5703125" style="666" bestFit="1" customWidth="1"/>
    <col min="6927" max="6927" width="4" style="666" bestFit="1" customWidth="1"/>
    <col min="6928" max="6928" width="8.140625" style="666" bestFit="1" customWidth="1"/>
    <col min="6929" max="6929" width="16.5703125" style="666" bestFit="1" customWidth="1"/>
    <col min="6930" max="6930" width="11.140625" style="666" bestFit="1" customWidth="1"/>
    <col min="6931" max="7169" width="6.85546875" style="666" customWidth="1"/>
    <col min="7170" max="7170" width="11.7109375" style="666" bestFit="1" customWidth="1"/>
    <col min="7171" max="7171" width="11" style="666" bestFit="1" customWidth="1"/>
    <col min="7172" max="7172" width="15.7109375" style="666" bestFit="1" customWidth="1"/>
    <col min="7173" max="7173" width="29" style="666" bestFit="1" customWidth="1"/>
    <col min="7174" max="7174" width="49.5703125" style="666" bestFit="1" customWidth="1"/>
    <col min="7175" max="7175" width="4.5703125" style="666" bestFit="1" customWidth="1"/>
    <col min="7176" max="7176" width="11.140625" style="666" bestFit="1" customWidth="1"/>
    <col min="7177" max="7177" width="8.140625" style="666" bestFit="1" customWidth="1"/>
    <col min="7178" max="7178" width="6.7109375" style="666" bestFit="1" customWidth="1"/>
    <col min="7179" max="7180" width="5.7109375" style="666" bestFit="1" customWidth="1"/>
    <col min="7181" max="7181" width="5" style="666" bestFit="1" customWidth="1"/>
    <col min="7182" max="7182" width="5.5703125" style="666" bestFit="1" customWidth="1"/>
    <col min="7183" max="7183" width="4" style="666" bestFit="1" customWidth="1"/>
    <col min="7184" max="7184" width="8.140625" style="666" bestFit="1" customWidth="1"/>
    <col min="7185" max="7185" width="16.5703125" style="666" bestFit="1" customWidth="1"/>
    <col min="7186" max="7186" width="11.140625" style="666" bestFit="1" customWidth="1"/>
    <col min="7187" max="7425" width="6.85546875" style="666" customWidth="1"/>
    <col min="7426" max="7426" width="11.7109375" style="666" bestFit="1" customWidth="1"/>
    <col min="7427" max="7427" width="11" style="666" bestFit="1" customWidth="1"/>
    <col min="7428" max="7428" width="15.7109375" style="666" bestFit="1" customWidth="1"/>
    <col min="7429" max="7429" width="29" style="666" bestFit="1" customWidth="1"/>
    <col min="7430" max="7430" width="49.5703125" style="666" bestFit="1" customWidth="1"/>
    <col min="7431" max="7431" width="4.5703125" style="666" bestFit="1" customWidth="1"/>
    <col min="7432" max="7432" width="11.140625" style="666" bestFit="1" customWidth="1"/>
    <col min="7433" max="7433" width="8.140625" style="666" bestFit="1" customWidth="1"/>
    <col min="7434" max="7434" width="6.7109375" style="666" bestFit="1" customWidth="1"/>
    <col min="7435" max="7436" width="5.7109375" style="666" bestFit="1" customWidth="1"/>
    <col min="7437" max="7437" width="5" style="666" bestFit="1" customWidth="1"/>
    <col min="7438" max="7438" width="5.5703125" style="666" bestFit="1" customWidth="1"/>
    <col min="7439" max="7439" width="4" style="666" bestFit="1" customWidth="1"/>
    <col min="7440" max="7440" width="8.140625" style="666" bestFit="1" customWidth="1"/>
    <col min="7441" max="7441" width="16.5703125" style="666" bestFit="1" customWidth="1"/>
    <col min="7442" max="7442" width="11.140625" style="666" bestFit="1" customWidth="1"/>
    <col min="7443" max="7681" width="6.85546875" style="666" customWidth="1"/>
    <col min="7682" max="7682" width="11.7109375" style="666" bestFit="1" customWidth="1"/>
    <col min="7683" max="7683" width="11" style="666" bestFit="1" customWidth="1"/>
    <col min="7684" max="7684" width="15.7109375" style="666" bestFit="1" customWidth="1"/>
    <col min="7685" max="7685" width="29" style="666" bestFit="1" customWidth="1"/>
    <col min="7686" max="7686" width="49.5703125" style="666" bestFit="1" customWidth="1"/>
    <col min="7687" max="7687" width="4.5703125" style="666" bestFit="1" customWidth="1"/>
    <col min="7688" max="7688" width="11.140625" style="666" bestFit="1" customWidth="1"/>
    <col min="7689" max="7689" width="8.140625" style="666" bestFit="1" customWidth="1"/>
    <col min="7690" max="7690" width="6.7109375" style="666" bestFit="1" customWidth="1"/>
    <col min="7691" max="7692" width="5.7109375" style="666" bestFit="1" customWidth="1"/>
    <col min="7693" max="7693" width="5" style="666" bestFit="1" customWidth="1"/>
    <col min="7694" max="7694" width="5.5703125" style="666" bestFit="1" customWidth="1"/>
    <col min="7695" max="7695" width="4" style="666" bestFit="1" customWidth="1"/>
    <col min="7696" max="7696" width="8.140625" style="666" bestFit="1" customWidth="1"/>
    <col min="7697" max="7697" width="16.5703125" style="666" bestFit="1" customWidth="1"/>
    <col min="7698" max="7698" width="11.140625" style="666" bestFit="1" customWidth="1"/>
    <col min="7699" max="7937" width="6.85546875" style="666" customWidth="1"/>
    <col min="7938" max="7938" width="11.7109375" style="666" bestFit="1" customWidth="1"/>
    <col min="7939" max="7939" width="11" style="666" bestFit="1" customWidth="1"/>
    <col min="7940" max="7940" width="15.7109375" style="666" bestFit="1" customWidth="1"/>
    <col min="7941" max="7941" width="29" style="666" bestFit="1" customWidth="1"/>
    <col min="7942" max="7942" width="49.5703125" style="666" bestFit="1" customWidth="1"/>
    <col min="7943" max="7943" width="4.5703125" style="666" bestFit="1" customWidth="1"/>
    <col min="7944" max="7944" width="11.140625" style="666" bestFit="1" customWidth="1"/>
    <col min="7945" max="7945" width="8.140625" style="666" bestFit="1" customWidth="1"/>
    <col min="7946" max="7946" width="6.7109375" style="666" bestFit="1" customWidth="1"/>
    <col min="7947" max="7948" width="5.7109375" style="666" bestFit="1" customWidth="1"/>
    <col min="7949" max="7949" width="5" style="666" bestFit="1" customWidth="1"/>
    <col min="7950" max="7950" width="5.5703125" style="666" bestFit="1" customWidth="1"/>
    <col min="7951" max="7951" width="4" style="666" bestFit="1" customWidth="1"/>
    <col min="7952" max="7952" width="8.140625" style="666" bestFit="1" customWidth="1"/>
    <col min="7953" max="7953" width="16.5703125" style="666" bestFit="1" customWidth="1"/>
    <col min="7954" max="7954" width="11.140625" style="666" bestFit="1" customWidth="1"/>
    <col min="7955" max="8193" width="6.85546875" style="666" customWidth="1"/>
    <col min="8194" max="8194" width="11.7109375" style="666" bestFit="1" customWidth="1"/>
    <col min="8195" max="8195" width="11" style="666" bestFit="1" customWidth="1"/>
    <col min="8196" max="8196" width="15.7109375" style="666" bestFit="1" customWidth="1"/>
    <col min="8197" max="8197" width="29" style="666" bestFit="1" customWidth="1"/>
    <col min="8198" max="8198" width="49.5703125" style="666" bestFit="1" customWidth="1"/>
    <col min="8199" max="8199" width="4.5703125" style="666" bestFit="1" customWidth="1"/>
    <col min="8200" max="8200" width="11.140625" style="666" bestFit="1" customWidth="1"/>
    <col min="8201" max="8201" width="8.140625" style="666" bestFit="1" customWidth="1"/>
    <col min="8202" max="8202" width="6.7109375" style="666" bestFit="1" customWidth="1"/>
    <col min="8203" max="8204" width="5.7109375" style="666" bestFit="1" customWidth="1"/>
    <col min="8205" max="8205" width="5" style="666" bestFit="1" customWidth="1"/>
    <col min="8206" max="8206" width="5.5703125" style="666" bestFit="1" customWidth="1"/>
    <col min="8207" max="8207" width="4" style="666" bestFit="1" customWidth="1"/>
    <col min="8208" max="8208" width="8.140625" style="666" bestFit="1" customWidth="1"/>
    <col min="8209" max="8209" width="16.5703125" style="666" bestFit="1" customWidth="1"/>
    <col min="8210" max="8210" width="11.140625" style="666" bestFit="1" customWidth="1"/>
    <col min="8211" max="8449" width="6.85546875" style="666" customWidth="1"/>
    <col min="8450" max="8450" width="11.7109375" style="666" bestFit="1" customWidth="1"/>
    <col min="8451" max="8451" width="11" style="666" bestFit="1" customWidth="1"/>
    <col min="8452" max="8452" width="15.7109375" style="666" bestFit="1" customWidth="1"/>
    <col min="8453" max="8453" width="29" style="666" bestFit="1" customWidth="1"/>
    <col min="8454" max="8454" width="49.5703125" style="666" bestFit="1" customWidth="1"/>
    <col min="8455" max="8455" width="4.5703125" style="666" bestFit="1" customWidth="1"/>
    <col min="8456" max="8456" width="11.140625" style="666" bestFit="1" customWidth="1"/>
    <col min="8457" max="8457" width="8.140625" style="666" bestFit="1" customWidth="1"/>
    <col min="8458" max="8458" width="6.7109375" style="666" bestFit="1" customWidth="1"/>
    <col min="8459" max="8460" width="5.7109375" style="666" bestFit="1" customWidth="1"/>
    <col min="8461" max="8461" width="5" style="666" bestFit="1" customWidth="1"/>
    <col min="8462" max="8462" width="5.5703125" style="666" bestFit="1" customWidth="1"/>
    <col min="8463" max="8463" width="4" style="666" bestFit="1" customWidth="1"/>
    <col min="8464" max="8464" width="8.140625" style="666" bestFit="1" customWidth="1"/>
    <col min="8465" max="8465" width="16.5703125" style="666" bestFit="1" customWidth="1"/>
    <col min="8466" max="8466" width="11.140625" style="666" bestFit="1" customWidth="1"/>
    <col min="8467" max="8705" width="6.85546875" style="666" customWidth="1"/>
    <col min="8706" max="8706" width="11.7109375" style="666" bestFit="1" customWidth="1"/>
    <col min="8707" max="8707" width="11" style="666" bestFit="1" customWidth="1"/>
    <col min="8708" max="8708" width="15.7109375" style="666" bestFit="1" customWidth="1"/>
    <col min="8709" max="8709" width="29" style="666" bestFit="1" customWidth="1"/>
    <col min="8710" max="8710" width="49.5703125" style="666" bestFit="1" customWidth="1"/>
    <col min="8711" max="8711" width="4.5703125" style="666" bestFit="1" customWidth="1"/>
    <col min="8712" max="8712" width="11.140625" style="666" bestFit="1" customWidth="1"/>
    <col min="8713" max="8713" width="8.140625" style="666" bestFit="1" customWidth="1"/>
    <col min="8714" max="8714" width="6.7109375" style="666" bestFit="1" customWidth="1"/>
    <col min="8715" max="8716" width="5.7109375" style="666" bestFit="1" customWidth="1"/>
    <col min="8717" max="8717" width="5" style="666" bestFit="1" customWidth="1"/>
    <col min="8718" max="8718" width="5.5703125" style="666" bestFit="1" customWidth="1"/>
    <col min="8719" max="8719" width="4" style="666" bestFit="1" customWidth="1"/>
    <col min="8720" max="8720" width="8.140625" style="666" bestFit="1" customWidth="1"/>
    <col min="8721" max="8721" width="16.5703125" style="666" bestFit="1" customWidth="1"/>
    <col min="8722" max="8722" width="11.140625" style="666" bestFit="1" customWidth="1"/>
    <col min="8723" max="8961" width="6.85546875" style="666" customWidth="1"/>
    <col min="8962" max="8962" width="11.7109375" style="666" bestFit="1" customWidth="1"/>
    <col min="8963" max="8963" width="11" style="666" bestFit="1" customWidth="1"/>
    <col min="8964" max="8964" width="15.7109375" style="666" bestFit="1" customWidth="1"/>
    <col min="8965" max="8965" width="29" style="666" bestFit="1" customWidth="1"/>
    <col min="8966" max="8966" width="49.5703125" style="666" bestFit="1" customWidth="1"/>
    <col min="8967" max="8967" width="4.5703125" style="666" bestFit="1" customWidth="1"/>
    <col min="8968" max="8968" width="11.140625" style="666" bestFit="1" customWidth="1"/>
    <col min="8969" max="8969" width="8.140625" style="666" bestFit="1" customWidth="1"/>
    <col min="8970" max="8970" width="6.7109375" style="666" bestFit="1" customWidth="1"/>
    <col min="8971" max="8972" width="5.7109375" style="666" bestFit="1" customWidth="1"/>
    <col min="8973" max="8973" width="5" style="666" bestFit="1" customWidth="1"/>
    <col min="8974" max="8974" width="5.5703125" style="666" bestFit="1" customWidth="1"/>
    <col min="8975" max="8975" width="4" style="666" bestFit="1" customWidth="1"/>
    <col min="8976" max="8976" width="8.140625" style="666" bestFit="1" customWidth="1"/>
    <col min="8977" max="8977" width="16.5703125" style="666" bestFit="1" customWidth="1"/>
    <col min="8978" max="8978" width="11.140625" style="666" bestFit="1" customWidth="1"/>
    <col min="8979" max="9217" width="6.85546875" style="666" customWidth="1"/>
    <col min="9218" max="9218" width="11.7109375" style="666" bestFit="1" customWidth="1"/>
    <col min="9219" max="9219" width="11" style="666" bestFit="1" customWidth="1"/>
    <col min="9220" max="9220" width="15.7109375" style="666" bestFit="1" customWidth="1"/>
    <col min="9221" max="9221" width="29" style="666" bestFit="1" customWidth="1"/>
    <col min="9222" max="9222" width="49.5703125" style="666" bestFit="1" customWidth="1"/>
    <col min="9223" max="9223" width="4.5703125" style="666" bestFit="1" customWidth="1"/>
    <col min="9224" max="9224" width="11.140625" style="666" bestFit="1" customWidth="1"/>
    <col min="9225" max="9225" width="8.140625" style="666" bestFit="1" customWidth="1"/>
    <col min="9226" max="9226" width="6.7109375" style="666" bestFit="1" customWidth="1"/>
    <col min="9227" max="9228" width="5.7109375" style="666" bestFit="1" customWidth="1"/>
    <col min="9229" max="9229" width="5" style="666" bestFit="1" customWidth="1"/>
    <col min="9230" max="9230" width="5.5703125" style="666" bestFit="1" customWidth="1"/>
    <col min="9231" max="9231" width="4" style="666" bestFit="1" customWidth="1"/>
    <col min="9232" max="9232" width="8.140625" style="666" bestFit="1" customWidth="1"/>
    <col min="9233" max="9233" width="16.5703125" style="666" bestFit="1" customWidth="1"/>
    <col min="9234" max="9234" width="11.140625" style="666" bestFit="1" customWidth="1"/>
    <col min="9235" max="9473" width="6.85546875" style="666" customWidth="1"/>
    <col min="9474" max="9474" width="11.7109375" style="666" bestFit="1" customWidth="1"/>
    <col min="9475" max="9475" width="11" style="666" bestFit="1" customWidth="1"/>
    <col min="9476" max="9476" width="15.7109375" style="666" bestFit="1" customWidth="1"/>
    <col min="9477" max="9477" width="29" style="666" bestFit="1" customWidth="1"/>
    <col min="9478" max="9478" width="49.5703125" style="666" bestFit="1" customWidth="1"/>
    <col min="9479" max="9479" width="4.5703125" style="666" bestFit="1" customWidth="1"/>
    <col min="9480" max="9480" width="11.140625" style="666" bestFit="1" customWidth="1"/>
    <col min="9481" max="9481" width="8.140625" style="666" bestFit="1" customWidth="1"/>
    <col min="9482" max="9482" width="6.7109375" style="666" bestFit="1" customWidth="1"/>
    <col min="9483" max="9484" width="5.7109375" style="666" bestFit="1" customWidth="1"/>
    <col min="9485" max="9485" width="5" style="666" bestFit="1" customWidth="1"/>
    <col min="9486" max="9486" width="5.5703125" style="666" bestFit="1" customWidth="1"/>
    <col min="9487" max="9487" width="4" style="666" bestFit="1" customWidth="1"/>
    <col min="9488" max="9488" width="8.140625" style="666" bestFit="1" customWidth="1"/>
    <col min="9489" max="9489" width="16.5703125" style="666" bestFit="1" customWidth="1"/>
    <col min="9490" max="9490" width="11.140625" style="666" bestFit="1" customWidth="1"/>
    <col min="9491" max="9729" width="6.85546875" style="666" customWidth="1"/>
    <col min="9730" max="9730" width="11.7109375" style="666" bestFit="1" customWidth="1"/>
    <col min="9731" max="9731" width="11" style="666" bestFit="1" customWidth="1"/>
    <col min="9732" max="9732" width="15.7109375" style="666" bestFit="1" customWidth="1"/>
    <col min="9733" max="9733" width="29" style="666" bestFit="1" customWidth="1"/>
    <col min="9734" max="9734" width="49.5703125" style="666" bestFit="1" customWidth="1"/>
    <col min="9735" max="9735" width="4.5703125" style="666" bestFit="1" customWidth="1"/>
    <col min="9736" max="9736" width="11.140625" style="666" bestFit="1" customWidth="1"/>
    <col min="9737" max="9737" width="8.140625" style="666" bestFit="1" customWidth="1"/>
    <col min="9738" max="9738" width="6.7109375" style="666" bestFit="1" customWidth="1"/>
    <col min="9739" max="9740" width="5.7109375" style="666" bestFit="1" customWidth="1"/>
    <col min="9741" max="9741" width="5" style="666" bestFit="1" customWidth="1"/>
    <col min="9742" max="9742" width="5.5703125" style="666" bestFit="1" customWidth="1"/>
    <col min="9743" max="9743" width="4" style="666" bestFit="1" customWidth="1"/>
    <col min="9744" max="9744" width="8.140625" style="666" bestFit="1" customWidth="1"/>
    <col min="9745" max="9745" width="16.5703125" style="666" bestFit="1" customWidth="1"/>
    <col min="9746" max="9746" width="11.140625" style="666" bestFit="1" customWidth="1"/>
    <col min="9747" max="9985" width="6.85546875" style="666" customWidth="1"/>
    <col min="9986" max="9986" width="11.7109375" style="666" bestFit="1" customWidth="1"/>
    <col min="9987" max="9987" width="11" style="666" bestFit="1" customWidth="1"/>
    <col min="9988" max="9988" width="15.7109375" style="666" bestFit="1" customWidth="1"/>
    <col min="9989" max="9989" width="29" style="666" bestFit="1" customWidth="1"/>
    <col min="9990" max="9990" width="49.5703125" style="666" bestFit="1" customWidth="1"/>
    <col min="9991" max="9991" width="4.5703125" style="666" bestFit="1" customWidth="1"/>
    <col min="9992" max="9992" width="11.140625" style="666" bestFit="1" customWidth="1"/>
    <col min="9993" max="9993" width="8.140625" style="666" bestFit="1" customWidth="1"/>
    <col min="9994" max="9994" width="6.7109375" style="666" bestFit="1" customWidth="1"/>
    <col min="9995" max="9996" width="5.7109375" style="666" bestFit="1" customWidth="1"/>
    <col min="9997" max="9997" width="5" style="666" bestFit="1" customWidth="1"/>
    <col min="9998" max="9998" width="5.5703125" style="666" bestFit="1" customWidth="1"/>
    <col min="9999" max="9999" width="4" style="666" bestFit="1" customWidth="1"/>
    <col min="10000" max="10000" width="8.140625" style="666" bestFit="1" customWidth="1"/>
    <col min="10001" max="10001" width="16.5703125" style="666" bestFit="1" customWidth="1"/>
    <col min="10002" max="10002" width="11.140625" style="666" bestFit="1" customWidth="1"/>
    <col min="10003" max="10241" width="6.85546875" style="666" customWidth="1"/>
    <col min="10242" max="10242" width="11.7109375" style="666" bestFit="1" customWidth="1"/>
    <col min="10243" max="10243" width="11" style="666" bestFit="1" customWidth="1"/>
    <col min="10244" max="10244" width="15.7109375" style="666" bestFit="1" customWidth="1"/>
    <col min="10245" max="10245" width="29" style="666" bestFit="1" customWidth="1"/>
    <col min="10246" max="10246" width="49.5703125" style="666" bestFit="1" customWidth="1"/>
    <col min="10247" max="10247" width="4.5703125" style="666" bestFit="1" customWidth="1"/>
    <col min="10248" max="10248" width="11.140625" style="666" bestFit="1" customWidth="1"/>
    <col min="10249" max="10249" width="8.140625" style="666" bestFit="1" customWidth="1"/>
    <col min="10250" max="10250" width="6.7109375" style="666" bestFit="1" customWidth="1"/>
    <col min="10251" max="10252" width="5.7109375" style="666" bestFit="1" customWidth="1"/>
    <col min="10253" max="10253" width="5" style="666" bestFit="1" customWidth="1"/>
    <col min="10254" max="10254" width="5.5703125" style="666" bestFit="1" customWidth="1"/>
    <col min="10255" max="10255" width="4" style="666" bestFit="1" customWidth="1"/>
    <col min="10256" max="10256" width="8.140625" style="666" bestFit="1" customWidth="1"/>
    <col min="10257" max="10257" width="16.5703125" style="666" bestFit="1" customWidth="1"/>
    <col min="10258" max="10258" width="11.140625" style="666" bestFit="1" customWidth="1"/>
    <col min="10259" max="10497" width="6.85546875" style="666" customWidth="1"/>
    <col min="10498" max="10498" width="11.7109375" style="666" bestFit="1" customWidth="1"/>
    <col min="10499" max="10499" width="11" style="666" bestFit="1" customWidth="1"/>
    <col min="10500" max="10500" width="15.7109375" style="666" bestFit="1" customWidth="1"/>
    <col min="10501" max="10501" width="29" style="666" bestFit="1" customWidth="1"/>
    <col min="10502" max="10502" width="49.5703125" style="666" bestFit="1" customWidth="1"/>
    <col min="10503" max="10503" width="4.5703125" style="666" bestFit="1" customWidth="1"/>
    <col min="10504" max="10504" width="11.140625" style="666" bestFit="1" customWidth="1"/>
    <col min="10505" max="10505" width="8.140625" style="666" bestFit="1" customWidth="1"/>
    <col min="10506" max="10506" width="6.7109375" style="666" bestFit="1" customWidth="1"/>
    <col min="10507" max="10508" width="5.7109375" style="666" bestFit="1" customWidth="1"/>
    <col min="10509" max="10509" width="5" style="666" bestFit="1" customWidth="1"/>
    <col min="10510" max="10510" width="5.5703125" style="666" bestFit="1" customWidth="1"/>
    <col min="10511" max="10511" width="4" style="666" bestFit="1" customWidth="1"/>
    <col min="10512" max="10512" width="8.140625" style="666" bestFit="1" customWidth="1"/>
    <col min="10513" max="10513" width="16.5703125" style="666" bestFit="1" customWidth="1"/>
    <col min="10514" max="10514" width="11.140625" style="666" bestFit="1" customWidth="1"/>
    <col min="10515" max="10753" width="6.85546875" style="666" customWidth="1"/>
    <col min="10754" max="10754" width="11.7109375" style="666" bestFit="1" customWidth="1"/>
    <col min="10755" max="10755" width="11" style="666" bestFit="1" customWidth="1"/>
    <col min="10756" max="10756" width="15.7109375" style="666" bestFit="1" customWidth="1"/>
    <col min="10757" max="10757" width="29" style="666" bestFit="1" customWidth="1"/>
    <col min="10758" max="10758" width="49.5703125" style="666" bestFit="1" customWidth="1"/>
    <col min="10759" max="10759" width="4.5703125" style="666" bestFit="1" customWidth="1"/>
    <col min="10760" max="10760" width="11.140625" style="666" bestFit="1" customWidth="1"/>
    <col min="10761" max="10761" width="8.140625" style="666" bestFit="1" customWidth="1"/>
    <col min="10762" max="10762" width="6.7109375" style="666" bestFit="1" customWidth="1"/>
    <col min="10763" max="10764" width="5.7109375" style="666" bestFit="1" customWidth="1"/>
    <col min="10765" max="10765" width="5" style="666" bestFit="1" customWidth="1"/>
    <col min="10766" max="10766" width="5.5703125" style="666" bestFit="1" customWidth="1"/>
    <col min="10767" max="10767" width="4" style="666" bestFit="1" customWidth="1"/>
    <col min="10768" max="10768" width="8.140625" style="666" bestFit="1" customWidth="1"/>
    <col min="10769" max="10769" width="16.5703125" style="666" bestFit="1" customWidth="1"/>
    <col min="10770" max="10770" width="11.140625" style="666" bestFit="1" customWidth="1"/>
    <col min="10771" max="11009" width="6.85546875" style="666" customWidth="1"/>
    <col min="11010" max="11010" width="11.7109375" style="666" bestFit="1" customWidth="1"/>
    <col min="11011" max="11011" width="11" style="666" bestFit="1" customWidth="1"/>
    <col min="11012" max="11012" width="15.7109375" style="666" bestFit="1" customWidth="1"/>
    <col min="11013" max="11013" width="29" style="666" bestFit="1" customWidth="1"/>
    <col min="11014" max="11014" width="49.5703125" style="666" bestFit="1" customWidth="1"/>
    <col min="11015" max="11015" width="4.5703125" style="666" bestFit="1" customWidth="1"/>
    <col min="11016" max="11016" width="11.140625" style="666" bestFit="1" customWidth="1"/>
    <col min="11017" max="11017" width="8.140625" style="666" bestFit="1" customWidth="1"/>
    <col min="11018" max="11018" width="6.7109375" style="666" bestFit="1" customWidth="1"/>
    <col min="11019" max="11020" width="5.7109375" style="666" bestFit="1" customWidth="1"/>
    <col min="11021" max="11021" width="5" style="666" bestFit="1" customWidth="1"/>
    <col min="11022" max="11022" width="5.5703125" style="666" bestFit="1" customWidth="1"/>
    <col min="11023" max="11023" width="4" style="666" bestFit="1" customWidth="1"/>
    <col min="11024" max="11024" width="8.140625" style="666" bestFit="1" customWidth="1"/>
    <col min="11025" max="11025" width="16.5703125" style="666" bestFit="1" customWidth="1"/>
    <col min="11026" max="11026" width="11.140625" style="666" bestFit="1" customWidth="1"/>
    <col min="11027" max="11265" width="6.85546875" style="666" customWidth="1"/>
    <col min="11266" max="11266" width="11.7109375" style="666" bestFit="1" customWidth="1"/>
    <col min="11267" max="11267" width="11" style="666" bestFit="1" customWidth="1"/>
    <col min="11268" max="11268" width="15.7109375" style="666" bestFit="1" customWidth="1"/>
    <col min="11269" max="11269" width="29" style="666" bestFit="1" customWidth="1"/>
    <col min="11270" max="11270" width="49.5703125" style="666" bestFit="1" customWidth="1"/>
    <col min="11271" max="11271" width="4.5703125" style="666" bestFit="1" customWidth="1"/>
    <col min="11272" max="11272" width="11.140625" style="666" bestFit="1" customWidth="1"/>
    <col min="11273" max="11273" width="8.140625" style="666" bestFit="1" customWidth="1"/>
    <col min="11274" max="11274" width="6.7109375" style="666" bestFit="1" customWidth="1"/>
    <col min="11275" max="11276" width="5.7109375" style="666" bestFit="1" customWidth="1"/>
    <col min="11277" max="11277" width="5" style="666" bestFit="1" customWidth="1"/>
    <col min="11278" max="11278" width="5.5703125" style="666" bestFit="1" customWidth="1"/>
    <col min="11279" max="11279" width="4" style="666" bestFit="1" customWidth="1"/>
    <col min="11280" max="11280" width="8.140625" style="666" bestFit="1" customWidth="1"/>
    <col min="11281" max="11281" width="16.5703125" style="666" bestFit="1" customWidth="1"/>
    <col min="11282" max="11282" width="11.140625" style="666" bestFit="1" customWidth="1"/>
    <col min="11283" max="11521" width="6.85546875" style="666" customWidth="1"/>
    <col min="11522" max="11522" width="11.7109375" style="666" bestFit="1" customWidth="1"/>
    <col min="11523" max="11523" width="11" style="666" bestFit="1" customWidth="1"/>
    <col min="11524" max="11524" width="15.7109375" style="666" bestFit="1" customWidth="1"/>
    <col min="11525" max="11525" width="29" style="666" bestFit="1" customWidth="1"/>
    <col min="11526" max="11526" width="49.5703125" style="666" bestFit="1" customWidth="1"/>
    <col min="11527" max="11527" width="4.5703125" style="666" bestFit="1" customWidth="1"/>
    <col min="11528" max="11528" width="11.140625" style="666" bestFit="1" customWidth="1"/>
    <col min="11529" max="11529" width="8.140625" style="666" bestFit="1" customWidth="1"/>
    <col min="11530" max="11530" width="6.7109375" style="666" bestFit="1" customWidth="1"/>
    <col min="11531" max="11532" width="5.7109375" style="666" bestFit="1" customWidth="1"/>
    <col min="11533" max="11533" width="5" style="666" bestFit="1" customWidth="1"/>
    <col min="11534" max="11534" width="5.5703125" style="666" bestFit="1" customWidth="1"/>
    <col min="11535" max="11535" width="4" style="666" bestFit="1" customWidth="1"/>
    <col min="11536" max="11536" width="8.140625" style="666" bestFit="1" customWidth="1"/>
    <col min="11537" max="11537" width="16.5703125" style="666" bestFit="1" customWidth="1"/>
    <col min="11538" max="11538" width="11.140625" style="666" bestFit="1" customWidth="1"/>
    <col min="11539" max="11777" width="6.85546875" style="666" customWidth="1"/>
    <col min="11778" max="11778" width="11.7109375" style="666" bestFit="1" customWidth="1"/>
    <col min="11779" max="11779" width="11" style="666" bestFit="1" customWidth="1"/>
    <col min="11780" max="11780" width="15.7109375" style="666" bestFit="1" customWidth="1"/>
    <col min="11781" max="11781" width="29" style="666" bestFit="1" customWidth="1"/>
    <col min="11782" max="11782" width="49.5703125" style="666" bestFit="1" customWidth="1"/>
    <col min="11783" max="11783" width="4.5703125" style="666" bestFit="1" customWidth="1"/>
    <col min="11784" max="11784" width="11.140625" style="666" bestFit="1" customWidth="1"/>
    <col min="11785" max="11785" width="8.140625" style="666" bestFit="1" customWidth="1"/>
    <col min="11786" max="11786" width="6.7109375" style="666" bestFit="1" customWidth="1"/>
    <col min="11787" max="11788" width="5.7109375" style="666" bestFit="1" customWidth="1"/>
    <col min="11789" max="11789" width="5" style="666" bestFit="1" customWidth="1"/>
    <col min="11790" max="11790" width="5.5703125" style="666" bestFit="1" customWidth="1"/>
    <col min="11791" max="11791" width="4" style="666" bestFit="1" customWidth="1"/>
    <col min="11792" max="11792" width="8.140625" style="666" bestFit="1" customWidth="1"/>
    <col min="11793" max="11793" width="16.5703125" style="666" bestFit="1" customWidth="1"/>
    <col min="11794" max="11794" width="11.140625" style="666" bestFit="1" customWidth="1"/>
    <col min="11795" max="12033" width="6.85546875" style="666" customWidth="1"/>
    <col min="12034" max="12034" width="11.7109375" style="666" bestFit="1" customWidth="1"/>
    <col min="12035" max="12035" width="11" style="666" bestFit="1" customWidth="1"/>
    <col min="12036" max="12036" width="15.7109375" style="666" bestFit="1" customWidth="1"/>
    <col min="12037" max="12037" width="29" style="666" bestFit="1" customWidth="1"/>
    <col min="12038" max="12038" width="49.5703125" style="666" bestFit="1" customWidth="1"/>
    <col min="12039" max="12039" width="4.5703125" style="666" bestFit="1" customWidth="1"/>
    <col min="12040" max="12040" width="11.140625" style="666" bestFit="1" customWidth="1"/>
    <col min="12041" max="12041" width="8.140625" style="666" bestFit="1" customWidth="1"/>
    <col min="12042" max="12042" width="6.7109375" style="666" bestFit="1" customWidth="1"/>
    <col min="12043" max="12044" width="5.7109375" style="666" bestFit="1" customWidth="1"/>
    <col min="12045" max="12045" width="5" style="666" bestFit="1" customWidth="1"/>
    <col min="12046" max="12046" width="5.5703125" style="666" bestFit="1" customWidth="1"/>
    <col min="12047" max="12047" width="4" style="666" bestFit="1" customWidth="1"/>
    <col min="12048" max="12048" width="8.140625" style="666" bestFit="1" customWidth="1"/>
    <col min="12049" max="12049" width="16.5703125" style="666" bestFit="1" customWidth="1"/>
    <col min="12050" max="12050" width="11.140625" style="666" bestFit="1" customWidth="1"/>
    <col min="12051" max="12289" width="6.85546875" style="666" customWidth="1"/>
    <col min="12290" max="12290" width="11.7109375" style="666" bestFit="1" customWidth="1"/>
    <col min="12291" max="12291" width="11" style="666" bestFit="1" customWidth="1"/>
    <col min="12292" max="12292" width="15.7109375" style="666" bestFit="1" customWidth="1"/>
    <col min="12293" max="12293" width="29" style="666" bestFit="1" customWidth="1"/>
    <col min="12294" max="12294" width="49.5703125" style="666" bestFit="1" customWidth="1"/>
    <col min="12295" max="12295" width="4.5703125" style="666" bestFit="1" customWidth="1"/>
    <col min="12296" max="12296" width="11.140625" style="666" bestFit="1" customWidth="1"/>
    <col min="12297" max="12297" width="8.140625" style="666" bestFit="1" customWidth="1"/>
    <col min="12298" max="12298" width="6.7109375" style="666" bestFit="1" customWidth="1"/>
    <col min="12299" max="12300" width="5.7109375" style="666" bestFit="1" customWidth="1"/>
    <col min="12301" max="12301" width="5" style="666" bestFit="1" customWidth="1"/>
    <col min="12302" max="12302" width="5.5703125" style="666" bestFit="1" customWidth="1"/>
    <col min="12303" max="12303" width="4" style="666" bestFit="1" customWidth="1"/>
    <col min="12304" max="12304" width="8.140625" style="666" bestFit="1" customWidth="1"/>
    <col min="12305" max="12305" width="16.5703125" style="666" bestFit="1" customWidth="1"/>
    <col min="12306" max="12306" width="11.140625" style="666" bestFit="1" customWidth="1"/>
    <col min="12307" max="12545" width="6.85546875" style="666" customWidth="1"/>
    <col min="12546" max="12546" width="11.7109375" style="666" bestFit="1" customWidth="1"/>
    <col min="12547" max="12547" width="11" style="666" bestFit="1" customWidth="1"/>
    <col min="12548" max="12548" width="15.7109375" style="666" bestFit="1" customWidth="1"/>
    <col min="12549" max="12549" width="29" style="666" bestFit="1" customWidth="1"/>
    <col min="12550" max="12550" width="49.5703125" style="666" bestFit="1" customWidth="1"/>
    <col min="12551" max="12551" width="4.5703125" style="666" bestFit="1" customWidth="1"/>
    <col min="12552" max="12552" width="11.140625" style="666" bestFit="1" customWidth="1"/>
    <col min="12553" max="12553" width="8.140625" style="666" bestFit="1" customWidth="1"/>
    <col min="12554" max="12554" width="6.7109375" style="666" bestFit="1" customWidth="1"/>
    <col min="12555" max="12556" width="5.7109375" style="666" bestFit="1" customWidth="1"/>
    <col min="12557" max="12557" width="5" style="666" bestFit="1" customWidth="1"/>
    <col min="12558" max="12558" width="5.5703125" style="666" bestFit="1" customWidth="1"/>
    <col min="12559" max="12559" width="4" style="666" bestFit="1" customWidth="1"/>
    <col min="12560" max="12560" width="8.140625" style="666" bestFit="1" customWidth="1"/>
    <col min="12561" max="12561" width="16.5703125" style="666" bestFit="1" customWidth="1"/>
    <col min="12562" max="12562" width="11.140625" style="666" bestFit="1" customWidth="1"/>
    <col min="12563" max="12801" width="6.85546875" style="666" customWidth="1"/>
    <col min="12802" max="12802" width="11.7109375" style="666" bestFit="1" customWidth="1"/>
    <col min="12803" max="12803" width="11" style="666" bestFit="1" customWidth="1"/>
    <col min="12804" max="12804" width="15.7109375" style="666" bestFit="1" customWidth="1"/>
    <col min="12805" max="12805" width="29" style="666" bestFit="1" customWidth="1"/>
    <col min="12806" max="12806" width="49.5703125" style="666" bestFit="1" customWidth="1"/>
    <col min="12807" max="12807" width="4.5703125" style="666" bestFit="1" customWidth="1"/>
    <col min="12808" max="12808" width="11.140625" style="666" bestFit="1" customWidth="1"/>
    <col min="12809" max="12809" width="8.140625" style="666" bestFit="1" customWidth="1"/>
    <col min="12810" max="12810" width="6.7109375" style="666" bestFit="1" customWidth="1"/>
    <col min="12811" max="12812" width="5.7109375" style="666" bestFit="1" customWidth="1"/>
    <col min="12813" max="12813" width="5" style="666" bestFit="1" customWidth="1"/>
    <col min="12814" max="12814" width="5.5703125" style="666" bestFit="1" customWidth="1"/>
    <col min="12815" max="12815" width="4" style="666" bestFit="1" customWidth="1"/>
    <col min="12816" max="12816" width="8.140625" style="666" bestFit="1" customWidth="1"/>
    <col min="12817" max="12817" width="16.5703125" style="666" bestFit="1" customWidth="1"/>
    <col min="12818" max="12818" width="11.140625" style="666" bestFit="1" customWidth="1"/>
    <col min="12819" max="13057" width="6.85546875" style="666" customWidth="1"/>
    <col min="13058" max="13058" width="11.7109375" style="666" bestFit="1" customWidth="1"/>
    <col min="13059" max="13059" width="11" style="666" bestFit="1" customWidth="1"/>
    <col min="13060" max="13060" width="15.7109375" style="666" bestFit="1" customWidth="1"/>
    <col min="13061" max="13061" width="29" style="666" bestFit="1" customWidth="1"/>
    <col min="13062" max="13062" width="49.5703125" style="666" bestFit="1" customWidth="1"/>
    <col min="13063" max="13063" width="4.5703125" style="666" bestFit="1" customWidth="1"/>
    <col min="13064" max="13064" width="11.140625" style="666" bestFit="1" customWidth="1"/>
    <col min="13065" max="13065" width="8.140625" style="666" bestFit="1" customWidth="1"/>
    <col min="13066" max="13066" width="6.7109375" style="666" bestFit="1" customWidth="1"/>
    <col min="13067" max="13068" width="5.7109375" style="666" bestFit="1" customWidth="1"/>
    <col min="13069" max="13069" width="5" style="666" bestFit="1" customWidth="1"/>
    <col min="13070" max="13070" width="5.5703125" style="666" bestFit="1" customWidth="1"/>
    <col min="13071" max="13071" width="4" style="666" bestFit="1" customWidth="1"/>
    <col min="13072" max="13072" width="8.140625" style="666" bestFit="1" customWidth="1"/>
    <col min="13073" max="13073" width="16.5703125" style="666" bestFit="1" customWidth="1"/>
    <col min="13074" max="13074" width="11.140625" style="666" bestFit="1" customWidth="1"/>
    <col min="13075" max="13313" width="6.85546875" style="666" customWidth="1"/>
    <col min="13314" max="13314" width="11.7109375" style="666" bestFit="1" customWidth="1"/>
    <col min="13315" max="13315" width="11" style="666" bestFit="1" customWidth="1"/>
    <col min="13316" max="13316" width="15.7109375" style="666" bestFit="1" customWidth="1"/>
    <col min="13317" max="13317" width="29" style="666" bestFit="1" customWidth="1"/>
    <col min="13318" max="13318" width="49.5703125" style="666" bestFit="1" customWidth="1"/>
    <col min="13319" max="13319" width="4.5703125" style="666" bestFit="1" customWidth="1"/>
    <col min="13320" max="13320" width="11.140625" style="666" bestFit="1" customWidth="1"/>
    <col min="13321" max="13321" width="8.140625" style="666" bestFit="1" customWidth="1"/>
    <col min="13322" max="13322" width="6.7109375" style="666" bestFit="1" customWidth="1"/>
    <col min="13323" max="13324" width="5.7109375" style="666" bestFit="1" customWidth="1"/>
    <col min="13325" max="13325" width="5" style="666" bestFit="1" customWidth="1"/>
    <col min="13326" max="13326" width="5.5703125" style="666" bestFit="1" customWidth="1"/>
    <col min="13327" max="13327" width="4" style="666" bestFit="1" customWidth="1"/>
    <col min="13328" max="13328" width="8.140625" style="666" bestFit="1" customWidth="1"/>
    <col min="13329" max="13329" width="16.5703125" style="666" bestFit="1" customWidth="1"/>
    <col min="13330" max="13330" width="11.140625" style="666" bestFit="1" customWidth="1"/>
    <col min="13331" max="13569" width="6.85546875" style="666" customWidth="1"/>
    <col min="13570" max="13570" width="11.7109375" style="666" bestFit="1" customWidth="1"/>
    <col min="13571" max="13571" width="11" style="666" bestFit="1" customWidth="1"/>
    <col min="13572" max="13572" width="15.7109375" style="666" bestFit="1" customWidth="1"/>
    <col min="13573" max="13573" width="29" style="666" bestFit="1" customWidth="1"/>
    <col min="13574" max="13574" width="49.5703125" style="666" bestFit="1" customWidth="1"/>
    <col min="13575" max="13575" width="4.5703125" style="666" bestFit="1" customWidth="1"/>
    <col min="13576" max="13576" width="11.140625" style="666" bestFit="1" customWidth="1"/>
    <col min="13577" max="13577" width="8.140625" style="666" bestFit="1" customWidth="1"/>
    <col min="13578" max="13578" width="6.7109375" style="666" bestFit="1" customWidth="1"/>
    <col min="13579" max="13580" width="5.7109375" style="666" bestFit="1" customWidth="1"/>
    <col min="13581" max="13581" width="5" style="666" bestFit="1" customWidth="1"/>
    <col min="13582" max="13582" width="5.5703125" style="666" bestFit="1" customWidth="1"/>
    <col min="13583" max="13583" width="4" style="666" bestFit="1" customWidth="1"/>
    <col min="13584" max="13584" width="8.140625" style="666" bestFit="1" customWidth="1"/>
    <col min="13585" max="13585" width="16.5703125" style="666" bestFit="1" customWidth="1"/>
    <col min="13586" max="13586" width="11.140625" style="666" bestFit="1" customWidth="1"/>
    <col min="13587" max="13825" width="6.85546875" style="666" customWidth="1"/>
    <col min="13826" max="13826" width="11.7109375" style="666" bestFit="1" customWidth="1"/>
    <col min="13827" max="13827" width="11" style="666" bestFit="1" customWidth="1"/>
    <col min="13828" max="13828" width="15.7109375" style="666" bestFit="1" customWidth="1"/>
    <col min="13829" max="13829" width="29" style="666" bestFit="1" customWidth="1"/>
    <col min="13830" max="13830" width="49.5703125" style="666" bestFit="1" customWidth="1"/>
    <col min="13831" max="13831" width="4.5703125" style="666" bestFit="1" customWidth="1"/>
    <col min="13832" max="13832" width="11.140625" style="666" bestFit="1" customWidth="1"/>
    <col min="13833" max="13833" width="8.140625" style="666" bestFit="1" customWidth="1"/>
    <col min="13834" max="13834" width="6.7109375" style="666" bestFit="1" customWidth="1"/>
    <col min="13835" max="13836" width="5.7109375" style="666" bestFit="1" customWidth="1"/>
    <col min="13837" max="13837" width="5" style="666" bestFit="1" customWidth="1"/>
    <col min="13838" max="13838" width="5.5703125" style="666" bestFit="1" customWidth="1"/>
    <col min="13839" max="13839" width="4" style="666" bestFit="1" customWidth="1"/>
    <col min="13840" max="13840" width="8.140625" style="666" bestFit="1" customWidth="1"/>
    <col min="13841" max="13841" width="16.5703125" style="666" bestFit="1" customWidth="1"/>
    <col min="13842" max="13842" width="11.140625" style="666" bestFit="1" customWidth="1"/>
    <col min="13843" max="14081" width="6.85546875" style="666" customWidth="1"/>
    <col min="14082" max="14082" width="11.7109375" style="666" bestFit="1" customWidth="1"/>
    <col min="14083" max="14083" width="11" style="666" bestFit="1" customWidth="1"/>
    <col min="14084" max="14084" width="15.7109375" style="666" bestFit="1" customWidth="1"/>
    <col min="14085" max="14085" width="29" style="666" bestFit="1" customWidth="1"/>
    <col min="14086" max="14086" width="49.5703125" style="666" bestFit="1" customWidth="1"/>
    <col min="14087" max="14087" width="4.5703125" style="666" bestFit="1" customWidth="1"/>
    <col min="14088" max="14088" width="11.140625" style="666" bestFit="1" customWidth="1"/>
    <col min="14089" max="14089" width="8.140625" style="666" bestFit="1" customWidth="1"/>
    <col min="14090" max="14090" width="6.7109375" style="666" bestFit="1" customWidth="1"/>
    <col min="14091" max="14092" width="5.7109375" style="666" bestFit="1" customWidth="1"/>
    <col min="14093" max="14093" width="5" style="666" bestFit="1" customWidth="1"/>
    <col min="14094" max="14094" width="5.5703125" style="666" bestFit="1" customWidth="1"/>
    <col min="14095" max="14095" width="4" style="666" bestFit="1" customWidth="1"/>
    <col min="14096" max="14096" width="8.140625" style="666" bestFit="1" customWidth="1"/>
    <col min="14097" max="14097" width="16.5703125" style="666" bestFit="1" customWidth="1"/>
    <col min="14098" max="14098" width="11.140625" style="666" bestFit="1" customWidth="1"/>
    <col min="14099" max="14337" width="6.85546875" style="666" customWidth="1"/>
    <col min="14338" max="14338" width="11.7109375" style="666" bestFit="1" customWidth="1"/>
    <col min="14339" max="14339" width="11" style="666" bestFit="1" customWidth="1"/>
    <col min="14340" max="14340" width="15.7109375" style="666" bestFit="1" customWidth="1"/>
    <col min="14341" max="14341" width="29" style="666" bestFit="1" customWidth="1"/>
    <col min="14342" max="14342" width="49.5703125" style="666" bestFit="1" customWidth="1"/>
    <col min="14343" max="14343" width="4.5703125" style="666" bestFit="1" customWidth="1"/>
    <col min="14344" max="14344" width="11.140625" style="666" bestFit="1" customWidth="1"/>
    <col min="14345" max="14345" width="8.140625" style="666" bestFit="1" customWidth="1"/>
    <col min="14346" max="14346" width="6.7109375" style="666" bestFit="1" customWidth="1"/>
    <col min="14347" max="14348" width="5.7109375" style="666" bestFit="1" customWidth="1"/>
    <col min="14349" max="14349" width="5" style="666" bestFit="1" customWidth="1"/>
    <col min="14350" max="14350" width="5.5703125" style="666" bestFit="1" customWidth="1"/>
    <col min="14351" max="14351" width="4" style="666" bestFit="1" customWidth="1"/>
    <col min="14352" max="14352" width="8.140625" style="666" bestFit="1" customWidth="1"/>
    <col min="14353" max="14353" width="16.5703125" style="666" bestFit="1" customWidth="1"/>
    <col min="14354" max="14354" width="11.140625" style="666" bestFit="1" customWidth="1"/>
    <col min="14355" max="14593" width="6.85546875" style="666" customWidth="1"/>
    <col min="14594" max="14594" width="11.7109375" style="666" bestFit="1" customWidth="1"/>
    <col min="14595" max="14595" width="11" style="666" bestFit="1" customWidth="1"/>
    <col min="14596" max="14596" width="15.7109375" style="666" bestFit="1" customWidth="1"/>
    <col min="14597" max="14597" width="29" style="666" bestFit="1" customWidth="1"/>
    <col min="14598" max="14598" width="49.5703125" style="666" bestFit="1" customWidth="1"/>
    <col min="14599" max="14599" width="4.5703125" style="666" bestFit="1" customWidth="1"/>
    <col min="14600" max="14600" width="11.140625" style="666" bestFit="1" customWidth="1"/>
    <col min="14601" max="14601" width="8.140625" style="666" bestFit="1" customWidth="1"/>
    <col min="14602" max="14602" width="6.7109375" style="666" bestFit="1" customWidth="1"/>
    <col min="14603" max="14604" width="5.7109375" style="666" bestFit="1" customWidth="1"/>
    <col min="14605" max="14605" width="5" style="666" bestFit="1" customWidth="1"/>
    <col min="14606" max="14606" width="5.5703125" style="666" bestFit="1" customWidth="1"/>
    <col min="14607" max="14607" width="4" style="666" bestFit="1" customWidth="1"/>
    <col min="14608" max="14608" width="8.140625" style="666" bestFit="1" customWidth="1"/>
    <col min="14609" max="14609" width="16.5703125" style="666" bestFit="1" customWidth="1"/>
    <col min="14610" max="14610" width="11.140625" style="666" bestFit="1" customWidth="1"/>
    <col min="14611" max="14849" width="6.85546875" style="666" customWidth="1"/>
    <col min="14850" max="14850" width="11.7109375" style="666" bestFit="1" customWidth="1"/>
    <col min="14851" max="14851" width="11" style="666" bestFit="1" customWidth="1"/>
    <col min="14852" max="14852" width="15.7109375" style="666" bestFit="1" customWidth="1"/>
    <col min="14853" max="14853" width="29" style="666" bestFit="1" customWidth="1"/>
    <col min="14854" max="14854" width="49.5703125" style="666" bestFit="1" customWidth="1"/>
    <col min="14855" max="14855" width="4.5703125" style="666" bestFit="1" customWidth="1"/>
    <col min="14856" max="14856" width="11.140625" style="666" bestFit="1" customWidth="1"/>
    <col min="14857" max="14857" width="8.140625" style="666" bestFit="1" customWidth="1"/>
    <col min="14858" max="14858" width="6.7109375" style="666" bestFit="1" customWidth="1"/>
    <col min="14859" max="14860" width="5.7109375" style="666" bestFit="1" customWidth="1"/>
    <col min="14861" max="14861" width="5" style="666" bestFit="1" customWidth="1"/>
    <col min="14862" max="14862" width="5.5703125" style="666" bestFit="1" customWidth="1"/>
    <col min="14863" max="14863" width="4" style="666" bestFit="1" customWidth="1"/>
    <col min="14864" max="14864" width="8.140625" style="666" bestFit="1" customWidth="1"/>
    <col min="14865" max="14865" width="16.5703125" style="666" bestFit="1" customWidth="1"/>
    <col min="14866" max="14866" width="11.140625" style="666" bestFit="1" customWidth="1"/>
    <col min="14867" max="15105" width="6.85546875" style="666" customWidth="1"/>
    <col min="15106" max="15106" width="11.7109375" style="666" bestFit="1" customWidth="1"/>
    <col min="15107" max="15107" width="11" style="666" bestFit="1" customWidth="1"/>
    <col min="15108" max="15108" width="15.7109375" style="666" bestFit="1" customWidth="1"/>
    <col min="15109" max="15109" width="29" style="666" bestFit="1" customWidth="1"/>
    <col min="15110" max="15110" width="49.5703125" style="666" bestFit="1" customWidth="1"/>
    <col min="15111" max="15111" width="4.5703125" style="666" bestFit="1" customWidth="1"/>
    <col min="15112" max="15112" width="11.140625" style="666" bestFit="1" customWidth="1"/>
    <col min="15113" max="15113" width="8.140625" style="666" bestFit="1" customWidth="1"/>
    <col min="15114" max="15114" width="6.7109375" style="666" bestFit="1" customWidth="1"/>
    <col min="15115" max="15116" width="5.7109375" style="666" bestFit="1" customWidth="1"/>
    <col min="15117" max="15117" width="5" style="666" bestFit="1" customWidth="1"/>
    <col min="15118" max="15118" width="5.5703125" style="666" bestFit="1" customWidth="1"/>
    <col min="15119" max="15119" width="4" style="666" bestFit="1" customWidth="1"/>
    <col min="15120" max="15120" width="8.140625" style="666" bestFit="1" customWidth="1"/>
    <col min="15121" max="15121" width="16.5703125" style="666" bestFit="1" customWidth="1"/>
    <col min="15122" max="15122" width="11.140625" style="666" bestFit="1" customWidth="1"/>
    <col min="15123" max="15361" width="6.85546875" style="666" customWidth="1"/>
    <col min="15362" max="15362" width="11.7109375" style="666" bestFit="1" customWidth="1"/>
    <col min="15363" max="15363" width="11" style="666" bestFit="1" customWidth="1"/>
    <col min="15364" max="15364" width="15.7109375" style="666" bestFit="1" customWidth="1"/>
    <col min="15365" max="15365" width="29" style="666" bestFit="1" customWidth="1"/>
    <col min="15366" max="15366" width="49.5703125" style="666" bestFit="1" customWidth="1"/>
    <col min="15367" max="15367" width="4.5703125" style="666" bestFit="1" customWidth="1"/>
    <col min="15368" max="15368" width="11.140625" style="666" bestFit="1" customWidth="1"/>
    <col min="15369" max="15369" width="8.140625" style="666" bestFit="1" customWidth="1"/>
    <col min="15370" max="15370" width="6.7109375" style="666" bestFit="1" customWidth="1"/>
    <col min="15371" max="15372" width="5.7109375" style="666" bestFit="1" customWidth="1"/>
    <col min="15373" max="15373" width="5" style="666" bestFit="1" customWidth="1"/>
    <col min="15374" max="15374" width="5.5703125" style="666" bestFit="1" customWidth="1"/>
    <col min="15375" max="15375" width="4" style="666" bestFit="1" customWidth="1"/>
    <col min="15376" max="15376" width="8.140625" style="666" bestFit="1" customWidth="1"/>
    <col min="15377" max="15377" width="16.5703125" style="666" bestFit="1" customWidth="1"/>
    <col min="15378" max="15378" width="11.140625" style="666" bestFit="1" customWidth="1"/>
    <col min="15379" max="15617" width="6.85546875" style="666" customWidth="1"/>
    <col min="15618" max="15618" width="11.7109375" style="666" bestFit="1" customWidth="1"/>
    <col min="15619" max="15619" width="11" style="666" bestFit="1" customWidth="1"/>
    <col min="15620" max="15620" width="15.7109375" style="666" bestFit="1" customWidth="1"/>
    <col min="15621" max="15621" width="29" style="666" bestFit="1" customWidth="1"/>
    <col min="15622" max="15622" width="49.5703125" style="666" bestFit="1" customWidth="1"/>
    <col min="15623" max="15623" width="4.5703125" style="666" bestFit="1" customWidth="1"/>
    <col min="15624" max="15624" width="11.140625" style="666" bestFit="1" customWidth="1"/>
    <col min="15625" max="15625" width="8.140625" style="666" bestFit="1" customWidth="1"/>
    <col min="15626" max="15626" width="6.7109375" style="666" bestFit="1" customWidth="1"/>
    <col min="15627" max="15628" width="5.7109375" style="666" bestFit="1" customWidth="1"/>
    <col min="15629" max="15629" width="5" style="666" bestFit="1" customWidth="1"/>
    <col min="15630" max="15630" width="5.5703125" style="666" bestFit="1" customWidth="1"/>
    <col min="15631" max="15631" width="4" style="666" bestFit="1" customWidth="1"/>
    <col min="15632" max="15632" width="8.140625" style="666" bestFit="1" customWidth="1"/>
    <col min="15633" max="15633" width="16.5703125" style="666" bestFit="1" customWidth="1"/>
    <col min="15634" max="15634" width="11.140625" style="666" bestFit="1" customWidth="1"/>
    <col min="15635" max="15873" width="6.85546875" style="666" customWidth="1"/>
    <col min="15874" max="15874" width="11.7109375" style="666" bestFit="1" customWidth="1"/>
    <col min="15875" max="15875" width="11" style="666" bestFit="1" customWidth="1"/>
    <col min="15876" max="15876" width="15.7109375" style="666" bestFit="1" customWidth="1"/>
    <col min="15877" max="15877" width="29" style="666" bestFit="1" customWidth="1"/>
    <col min="15878" max="15878" width="49.5703125" style="666" bestFit="1" customWidth="1"/>
    <col min="15879" max="15879" width="4.5703125" style="666" bestFit="1" customWidth="1"/>
    <col min="15880" max="15880" width="11.140625" style="666" bestFit="1" customWidth="1"/>
    <col min="15881" max="15881" width="8.140625" style="666" bestFit="1" customWidth="1"/>
    <col min="15882" max="15882" width="6.7109375" style="666" bestFit="1" customWidth="1"/>
    <col min="15883" max="15884" width="5.7109375" style="666" bestFit="1" customWidth="1"/>
    <col min="15885" max="15885" width="5" style="666" bestFit="1" customWidth="1"/>
    <col min="15886" max="15886" width="5.5703125" style="666" bestFit="1" customWidth="1"/>
    <col min="15887" max="15887" width="4" style="666" bestFit="1" customWidth="1"/>
    <col min="15888" max="15888" width="8.140625" style="666" bestFit="1" customWidth="1"/>
    <col min="15889" max="15889" width="16.5703125" style="666" bestFit="1" customWidth="1"/>
    <col min="15890" max="15890" width="11.140625" style="666" bestFit="1" customWidth="1"/>
    <col min="15891" max="16129" width="6.85546875" style="666" customWidth="1"/>
    <col min="16130" max="16130" width="11.7109375" style="666" bestFit="1" customWidth="1"/>
    <col min="16131" max="16131" width="11" style="666" bestFit="1" customWidth="1"/>
    <col min="16132" max="16132" width="15.7109375" style="666" bestFit="1" customWidth="1"/>
    <col min="16133" max="16133" width="29" style="666" bestFit="1" customWidth="1"/>
    <col min="16134" max="16134" width="49.5703125" style="666" bestFit="1" customWidth="1"/>
    <col min="16135" max="16135" width="4.5703125" style="666" bestFit="1" customWidth="1"/>
    <col min="16136" max="16136" width="11.140625" style="666" bestFit="1" customWidth="1"/>
    <col min="16137" max="16137" width="8.140625" style="666" bestFit="1" customWidth="1"/>
    <col min="16138" max="16138" width="6.7109375" style="666" bestFit="1" customWidth="1"/>
    <col min="16139" max="16140" width="5.7109375" style="666" bestFit="1" customWidth="1"/>
    <col min="16141" max="16141" width="5" style="666" bestFit="1" customWidth="1"/>
    <col min="16142" max="16142" width="5.5703125" style="666" bestFit="1" customWidth="1"/>
    <col min="16143" max="16143" width="4" style="666" bestFit="1" customWidth="1"/>
    <col min="16144" max="16144" width="8.140625" style="666" bestFit="1" customWidth="1"/>
    <col min="16145" max="16145" width="16.5703125" style="666" bestFit="1" customWidth="1"/>
    <col min="16146" max="16146" width="11.140625" style="666" bestFit="1" customWidth="1"/>
    <col min="16147" max="16384" width="6.85546875" style="666" customWidth="1"/>
  </cols>
  <sheetData>
    <row r="2" spans="1:27" x14ac:dyDescent="0.2">
      <c r="D2" s="1102"/>
      <c r="E2" s="1102"/>
    </row>
    <row r="3" spans="1:27" x14ac:dyDescent="0.2">
      <c r="A3" s="1106" t="str">
        <f>IF(H3&lt;&gt;0,E3&amp;L3&amp;H3,"")</f>
        <v/>
      </c>
      <c r="B3" s="1103"/>
      <c r="C3" s="1104"/>
      <c r="D3" s="1104"/>
      <c r="H3" s="1105"/>
      <c r="I3" s="1100"/>
      <c r="N3" s="1100"/>
      <c r="O3" s="1099"/>
      <c r="P3" s="1100"/>
    </row>
    <row r="4" spans="1:27" x14ac:dyDescent="0.2">
      <c r="A4" s="1106" t="str">
        <f t="shared" ref="A4:A67" si="0">IF(H4&lt;&gt;0,E4&amp;L4&amp;H4,"")</f>
        <v/>
      </c>
      <c r="D4" s="1102"/>
      <c r="E4" s="1102"/>
    </row>
    <row r="5" spans="1:27" x14ac:dyDescent="0.2">
      <c r="A5" s="1106" t="str">
        <f t="shared" si="0"/>
        <v/>
      </c>
      <c r="B5" s="1103"/>
      <c r="C5" s="1104"/>
      <c r="D5" s="1104"/>
      <c r="H5" s="1105"/>
      <c r="I5" s="1100"/>
      <c r="N5" s="1100"/>
      <c r="O5" s="1099"/>
      <c r="P5" s="1100"/>
    </row>
    <row r="6" spans="1:27" x14ac:dyDescent="0.2">
      <c r="A6" s="1106" t="str">
        <f t="shared" si="0"/>
        <v>GradeQty.</v>
      </c>
      <c r="B6" s="666" t="s">
        <v>2419</v>
      </c>
      <c r="C6" s="666" t="s">
        <v>2420</v>
      </c>
      <c r="D6" s="666" t="s">
        <v>2421</v>
      </c>
      <c r="E6" s="666" t="s">
        <v>2422</v>
      </c>
      <c r="F6" s="666" t="s">
        <v>2423</v>
      </c>
      <c r="G6" s="666" t="s">
        <v>2424</v>
      </c>
      <c r="H6" s="666" t="s">
        <v>2425</v>
      </c>
      <c r="I6" s="666" t="s">
        <v>2426</v>
      </c>
      <c r="J6" s="666" t="s">
        <v>2427</v>
      </c>
      <c r="K6" s="666" t="s">
        <v>2428</v>
      </c>
    </row>
    <row r="7" spans="1:27" x14ac:dyDescent="0.2">
      <c r="A7" s="1106" t="str">
        <f t="shared" si="0"/>
        <v/>
      </c>
      <c r="B7" s="666" t="s">
        <v>2429</v>
      </c>
      <c r="C7" s="666" t="s">
        <v>2430</v>
      </c>
      <c r="D7" s="2341">
        <v>46286.622916666667</v>
      </c>
      <c r="E7" s="2341">
        <v>46286.622916666667</v>
      </c>
    </row>
    <row r="8" spans="1:27" x14ac:dyDescent="0.2">
      <c r="A8" s="1106" t="str">
        <f t="shared" si="0"/>
        <v>Calcium feedA13.146272</v>
      </c>
      <c r="B8" s="2342">
        <v>46286</v>
      </c>
      <c r="C8" s="2343">
        <v>8000095576</v>
      </c>
      <c r="D8" s="2343">
        <v>1</v>
      </c>
      <c r="E8" s="666" t="s">
        <v>829</v>
      </c>
      <c r="H8" s="2344">
        <v>46272</v>
      </c>
      <c r="I8" s="2345">
        <v>0</v>
      </c>
      <c r="J8" s="666" t="s">
        <v>2431</v>
      </c>
      <c r="K8" s="666" t="s">
        <v>2432</v>
      </c>
      <c r="L8" s="666" t="s">
        <v>2183</v>
      </c>
      <c r="M8" s="666" t="s">
        <v>2433</v>
      </c>
      <c r="N8" s="2345">
        <v>1488</v>
      </c>
      <c r="O8" s="2346">
        <v>2</v>
      </c>
      <c r="P8" s="2345">
        <v>2976</v>
      </c>
      <c r="Q8" s="666" t="s">
        <v>2434</v>
      </c>
      <c r="R8" s="666" t="s">
        <v>2435</v>
      </c>
      <c r="AA8" s="1163"/>
    </row>
    <row r="9" spans="1:27" x14ac:dyDescent="0.2">
      <c r="A9" s="1106" t="str">
        <f t="shared" si="0"/>
        <v/>
      </c>
      <c r="C9" s="666" t="s">
        <v>2430</v>
      </c>
      <c r="D9" s="2341">
        <v>46286.599305555559</v>
      </c>
      <c r="E9" s="2341">
        <v>46286.599305555559</v>
      </c>
    </row>
    <row r="10" spans="1:27" ht="12.75" customHeight="1" x14ac:dyDescent="0.2">
      <c r="A10" s="1106" t="str">
        <f t="shared" si="0"/>
        <v>Monocalcium Phosphate (China)A146273</v>
      </c>
      <c r="B10" s="2342">
        <v>46286</v>
      </c>
      <c r="C10" s="2343">
        <v>8000095574</v>
      </c>
      <c r="D10" s="2343">
        <v>10</v>
      </c>
      <c r="E10" s="666" t="s">
        <v>1584</v>
      </c>
      <c r="H10" s="2344">
        <v>46273</v>
      </c>
      <c r="I10" s="2345">
        <v>0</v>
      </c>
      <c r="K10" s="666" t="s">
        <v>2432</v>
      </c>
      <c r="L10" s="666" t="s">
        <v>2184</v>
      </c>
      <c r="M10" s="666" t="s">
        <v>2433</v>
      </c>
      <c r="N10" s="2345">
        <v>1000</v>
      </c>
      <c r="O10" s="2346">
        <v>12</v>
      </c>
      <c r="P10" s="2345">
        <v>12000</v>
      </c>
      <c r="Q10" s="666" t="s">
        <v>2434</v>
      </c>
      <c r="R10" s="666" t="s">
        <v>2435</v>
      </c>
    </row>
    <row r="11" spans="1:27" ht="12.75" customHeight="1" x14ac:dyDescent="0.2">
      <c r="A11" s="1106" t="str">
        <f t="shared" si="0"/>
        <v/>
      </c>
      <c r="B11" s="666" t="s">
        <v>2436</v>
      </c>
      <c r="C11" s="666" t="s">
        <v>2430</v>
      </c>
      <c r="D11" s="2341">
        <v>46286.601388888892</v>
      </c>
      <c r="E11" s="2341">
        <v>46286.601388888892</v>
      </c>
    </row>
    <row r="12" spans="1:27" ht="12.75" customHeight="1" x14ac:dyDescent="0.2">
      <c r="A12" s="1106" t="str">
        <f t="shared" si="0"/>
        <v>SaltB12.246282</v>
      </c>
      <c r="B12" s="2342">
        <v>46286</v>
      </c>
      <c r="C12" s="2343">
        <v>8000095574</v>
      </c>
      <c r="D12" s="2343">
        <v>11</v>
      </c>
      <c r="E12" s="666" t="s">
        <v>1585</v>
      </c>
      <c r="H12" s="2344">
        <v>46282</v>
      </c>
      <c r="I12" s="2345">
        <v>0</v>
      </c>
      <c r="J12" s="666" t="s">
        <v>2437</v>
      </c>
      <c r="K12" s="666" t="s">
        <v>2432</v>
      </c>
      <c r="L12" s="666" t="s">
        <v>1877</v>
      </c>
      <c r="M12" s="666" t="s">
        <v>2433</v>
      </c>
      <c r="N12" s="2345">
        <v>53</v>
      </c>
      <c r="O12" s="2346">
        <v>29</v>
      </c>
      <c r="P12" s="2345">
        <v>1537</v>
      </c>
      <c r="Q12" s="666" t="s">
        <v>2434</v>
      </c>
      <c r="R12" s="666" t="s">
        <v>2435</v>
      </c>
    </row>
    <row r="13" spans="1:27" x14ac:dyDescent="0.2">
      <c r="A13" s="1106" t="str">
        <f t="shared" si="0"/>
        <v/>
      </c>
      <c r="B13" s="666" t="s">
        <v>2436</v>
      </c>
      <c r="C13" s="666" t="s">
        <v>2430</v>
      </c>
      <c r="D13" s="2341">
        <v>46286.601388888892</v>
      </c>
      <c r="E13" s="2341">
        <v>46286.601388888892</v>
      </c>
    </row>
    <row r="14" spans="1:27" ht="12.75" customHeight="1" x14ac:dyDescent="0.2">
      <c r="A14" s="1106" t="str">
        <f t="shared" si="0"/>
        <v>SaltB12.246282</v>
      </c>
      <c r="B14" s="2342">
        <v>46286</v>
      </c>
      <c r="C14" s="2343">
        <v>8000095574</v>
      </c>
      <c r="D14" s="2343">
        <v>12</v>
      </c>
      <c r="E14" s="666" t="s">
        <v>1585</v>
      </c>
      <c r="H14" s="2344">
        <v>46282</v>
      </c>
      <c r="I14" s="2345">
        <v>0</v>
      </c>
      <c r="J14" s="666" t="s">
        <v>2437</v>
      </c>
      <c r="K14" s="666" t="s">
        <v>2432</v>
      </c>
      <c r="L14" s="666" t="s">
        <v>1877</v>
      </c>
      <c r="M14" s="666" t="s">
        <v>2433</v>
      </c>
      <c r="N14" s="2345">
        <v>53</v>
      </c>
      <c r="O14" s="2346">
        <v>30</v>
      </c>
      <c r="P14" s="2345">
        <v>1590</v>
      </c>
      <c r="Q14" s="666" t="s">
        <v>2434</v>
      </c>
      <c r="R14" s="666" t="s">
        <v>2435</v>
      </c>
    </row>
    <row r="15" spans="1:27" ht="12.75" customHeight="1" x14ac:dyDescent="0.2">
      <c r="A15" s="1106" t="str">
        <f t="shared" si="0"/>
        <v/>
      </c>
      <c r="B15" s="666" t="s">
        <v>2436</v>
      </c>
      <c r="C15" s="666" t="s">
        <v>2430</v>
      </c>
      <c r="D15" s="2341">
        <v>46286.601388888892</v>
      </c>
      <c r="E15" s="2341">
        <v>46286.601388888892</v>
      </c>
    </row>
    <row r="16" spans="1:27" x14ac:dyDescent="0.2">
      <c r="A16" s="1106" t="str">
        <f t="shared" si="0"/>
        <v>SaltB12.246282</v>
      </c>
      <c r="B16" s="2342">
        <v>46286</v>
      </c>
      <c r="C16" s="2343">
        <v>8000095574</v>
      </c>
      <c r="D16" s="2343">
        <v>13</v>
      </c>
      <c r="E16" s="666" t="s">
        <v>1585</v>
      </c>
      <c r="H16" s="2344">
        <v>46282</v>
      </c>
      <c r="I16" s="2345">
        <v>0</v>
      </c>
      <c r="J16" s="666" t="s">
        <v>2437</v>
      </c>
      <c r="K16" s="666" t="s">
        <v>2432</v>
      </c>
      <c r="L16" s="666" t="s">
        <v>1877</v>
      </c>
      <c r="M16" s="666" t="s">
        <v>2433</v>
      </c>
      <c r="N16" s="2345">
        <v>53</v>
      </c>
      <c r="O16" s="2346">
        <v>30</v>
      </c>
      <c r="P16" s="2345">
        <v>1590</v>
      </c>
      <c r="Q16" s="666" t="s">
        <v>2434</v>
      </c>
      <c r="R16" s="666" t="s">
        <v>2435</v>
      </c>
    </row>
    <row r="17" spans="1:18" ht="12.75" customHeight="1" x14ac:dyDescent="0.2">
      <c r="A17" s="1106" t="str">
        <f t="shared" si="0"/>
        <v/>
      </c>
      <c r="C17" s="666" t="s">
        <v>2430</v>
      </c>
      <c r="D17" s="2341">
        <v>46286.623611111114</v>
      </c>
      <c r="E17" s="2341">
        <v>46286.623611111114</v>
      </c>
    </row>
    <row r="18" spans="1:18" ht="12.75" customHeight="1" x14ac:dyDescent="0.2">
      <c r="A18" s="1106" t="str">
        <f t="shared" si="0"/>
        <v>Provisoy (VN)A18.346260</v>
      </c>
      <c r="B18" s="2342">
        <v>46286</v>
      </c>
      <c r="C18" s="2343">
        <v>8000095576</v>
      </c>
      <c r="D18" s="2343">
        <v>2</v>
      </c>
      <c r="E18" s="666" t="s">
        <v>1234</v>
      </c>
      <c r="H18" s="2344">
        <v>46260</v>
      </c>
      <c r="I18" s="2345">
        <v>0</v>
      </c>
      <c r="K18" s="666" t="s">
        <v>2432</v>
      </c>
      <c r="L18" s="666" t="s">
        <v>1867</v>
      </c>
      <c r="M18" s="666" t="s">
        <v>2433</v>
      </c>
      <c r="N18" s="2345">
        <v>25</v>
      </c>
      <c r="O18" s="2346">
        <v>200</v>
      </c>
      <c r="P18" s="2345">
        <v>5000</v>
      </c>
      <c r="Q18" s="666" t="s">
        <v>2434</v>
      </c>
      <c r="R18" s="666" t="s">
        <v>2435</v>
      </c>
    </row>
    <row r="19" spans="1:18" x14ac:dyDescent="0.2">
      <c r="A19" s="1106" t="str">
        <f t="shared" si="0"/>
        <v/>
      </c>
      <c r="B19" s="666" t="s">
        <v>2438</v>
      </c>
      <c r="C19" s="666" t="s">
        <v>2430</v>
      </c>
      <c r="D19" s="2341">
        <v>46286.5625</v>
      </c>
      <c r="E19" s="2341">
        <v>46286.5625</v>
      </c>
    </row>
    <row r="20" spans="1:18" ht="12.75" customHeight="1" x14ac:dyDescent="0.2">
      <c r="A20" s="1106" t="str">
        <f t="shared" si="0"/>
        <v>Feather Meal (Australia)B25.146268</v>
      </c>
      <c r="B20" s="2342">
        <v>46286</v>
      </c>
      <c r="C20" s="2343">
        <v>8000095573</v>
      </c>
      <c r="D20" s="2343">
        <v>1</v>
      </c>
      <c r="E20" s="666" t="s">
        <v>1901</v>
      </c>
      <c r="H20" s="2344">
        <v>46268</v>
      </c>
      <c r="I20" s="2345">
        <v>83.42</v>
      </c>
      <c r="J20" s="666" t="s">
        <v>2439</v>
      </c>
      <c r="K20" s="666" t="s">
        <v>2432</v>
      </c>
      <c r="L20" s="666" t="s">
        <v>1950</v>
      </c>
      <c r="M20" s="666" t="s">
        <v>2433</v>
      </c>
      <c r="N20" s="2345">
        <v>1333.31</v>
      </c>
      <c r="O20" s="2346">
        <v>1</v>
      </c>
      <c r="P20" s="2345">
        <v>1333.31</v>
      </c>
      <c r="Q20" s="666" t="s">
        <v>2434</v>
      </c>
      <c r="R20" s="666" t="s">
        <v>2435</v>
      </c>
    </row>
    <row r="21" spans="1:18" ht="12.75" customHeight="1" x14ac:dyDescent="0.2">
      <c r="A21" s="1106" t="str">
        <f t="shared" si="0"/>
        <v/>
      </c>
      <c r="B21" s="666" t="s">
        <v>2438</v>
      </c>
      <c r="C21" s="666" t="s">
        <v>2430</v>
      </c>
      <c r="D21" s="2341">
        <v>46286.5625</v>
      </c>
      <c r="E21" s="2341">
        <v>46286.5625</v>
      </c>
    </row>
    <row r="22" spans="1:18" x14ac:dyDescent="0.2">
      <c r="A22" s="1106" t="str">
        <f t="shared" si="0"/>
        <v>Feather Meal (Australia)B25.146268</v>
      </c>
      <c r="B22" s="2342">
        <v>46286</v>
      </c>
      <c r="C22" s="2343">
        <v>8000095573</v>
      </c>
      <c r="D22" s="2343">
        <v>2</v>
      </c>
      <c r="E22" s="666" t="s">
        <v>1901</v>
      </c>
      <c r="H22" s="2344">
        <v>46268</v>
      </c>
      <c r="I22" s="2345">
        <v>83.42</v>
      </c>
      <c r="J22" s="666" t="s">
        <v>2439</v>
      </c>
      <c r="K22" s="666" t="s">
        <v>2432</v>
      </c>
      <c r="L22" s="666" t="s">
        <v>1950</v>
      </c>
      <c r="M22" s="666" t="s">
        <v>2433</v>
      </c>
      <c r="N22" s="2345">
        <v>1333.31</v>
      </c>
      <c r="O22" s="2346">
        <v>1</v>
      </c>
      <c r="P22" s="2345">
        <v>1333.31</v>
      </c>
      <c r="Q22" s="666" t="s">
        <v>2434</v>
      </c>
      <c r="R22" s="666" t="s">
        <v>2435</v>
      </c>
    </row>
    <row r="23" spans="1:18" ht="12.75" customHeight="1" x14ac:dyDescent="0.2">
      <c r="A23" s="1106" t="str">
        <f t="shared" si="0"/>
        <v/>
      </c>
      <c r="B23" s="666" t="s">
        <v>2438</v>
      </c>
      <c r="C23" s="666" t="s">
        <v>2430</v>
      </c>
      <c r="D23" s="2341">
        <v>46286.5625</v>
      </c>
      <c r="E23" s="2341">
        <v>46286.5625</v>
      </c>
    </row>
    <row r="24" spans="1:18" ht="12.75" customHeight="1" x14ac:dyDescent="0.2">
      <c r="A24" s="1106" t="str">
        <f t="shared" si="0"/>
        <v>Feather Meal (Australia)B25.146268</v>
      </c>
      <c r="B24" s="2342">
        <v>46286</v>
      </c>
      <c r="C24" s="2343">
        <v>8000095573</v>
      </c>
      <c r="D24" s="2343">
        <v>3</v>
      </c>
      <c r="E24" s="666" t="s">
        <v>1901</v>
      </c>
      <c r="H24" s="2344">
        <v>46268</v>
      </c>
      <c r="I24" s="2345">
        <v>83.42</v>
      </c>
      <c r="J24" s="666" t="s">
        <v>2439</v>
      </c>
      <c r="K24" s="666" t="s">
        <v>2432</v>
      </c>
      <c r="L24" s="666" t="s">
        <v>1950</v>
      </c>
      <c r="M24" s="666" t="s">
        <v>2433</v>
      </c>
      <c r="N24" s="2345">
        <v>1333.31</v>
      </c>
      <c r="O24" s="2346">
        <v>1</v>
      </c>
      <c r="P24" s="2345">
        <v>1333.31</v>
      </c>
      <c r="Q24" s="666" t="s">
        <v>2434</v>
      </c>
      <c r="R24" s="666" t="s">
        <v>2435</v>
      </c>
    </row>
    <row r="25" spans="1:18" x14ac:dyDescent="0.2">
      <c r="A25" s="1106" t="str">
        <f t="shared" si="0"/>
        <v/>
      </c>
      <c r="B25" s="666" t="s">
        <v>2438</v>
      </c>
      <c r="C25" s="666" t="s">
        <v>2430</v>
      </c>
      <c r="D25" s="2341">
        <v>46286.563194444447</v>
      </c>
      <c r="E25" s="2341">
        <v>46286.563194444447</v>
      </c>
    </row>
    <row r="26" spans="1:18" ht="12.75" customHeight="1" x14ac:dyDescent="0.2">
      <c r="A26" s="1106" t="str">
        <f t="shared" si="0"/>
        <v>Feather Meal (Australia)B25.146268</v>
      </c>
      <c r="B26" s="2342">
        <v>46286</v>
      </c>
      <c r="C26" s="2343">
        <v>8000095573</v>
      </c>
      <c r="D26" s="2343">
        <v>4</v>
      </c>
      <c r="E26" s="666" t="s">
        <v>1901</v>
      </c>
      <c r="H26" s="2344">
        <v>46268</v>
      </c>
      <c r="I26" s="2345">
        <v>83.42</v>
      </c>
      <c r="J26" s="666" t="s">
        <v>2439</v>
      </c>
      <c r="K26" s="666" t="s">
        <v>2432</v>
      </c>
      <c r="L26" s="666" t="s">
        <v>1950</v>
      </c>
      <c r="M26" s="666" t="s">
        <v>2433</v>
      </c>
      <c r="N26" s="2345">
        <v>1333.31</v>
      </c>
      <c r="O26" s="2346">
        <v>1</v>
      </c>
      <c r="P26" s="2345">
        <v>1333.31</v>
      </c>
      <c r="Q26" s="666" t="s">
        <v>2434</v>
      </c>
      <c r="R26" s="666" t="s">
        <v>2435</v>
      </c>
    </row>
    <row r="27" spans="1:18" ht="12.75" customHeight="1" x14ac:dyDescent="0.2">
      <c r="A27" s="1106" t="str">
        <f t="shared" si="0"/>
        <v/>
      </c>
      <c r="B27" s="666" t="s">
        <v>2438</v>
      </c>
      <c r="C27" s="666" t="s">
        <v>2430</v>
      </c>
      <c r="D27" s="2341">
        <v>46286.59375</v>
      </c>
      <c r="E27" s="2341">
        <v>46286.59375</v>
      </c>
    </row>
    <row r="28" spans="1:18" x14ac:dyDescent="0.2">
      <c r="A28" s="1106" t="str">
        <f t="shared" si="0"/>
        <v>Feather Meal (Australia)B25.146268</v>
      </c>
      <c r="B28" s="2342">
        <v>46286</v>
      </c>
      <c r="C28" s="2343">
        <v>8000095574</v>
      </c>
      <c r="D28" s="2343">
        <v>1</v>
      </c>
      <c r="E28" s="666" t="s">
        <v>1901</v>
      </c>
      <c r="H28" s="2344">
        <v>46268</v>
      </c>
      <c r="I28" s="2345">
        <v>83.42</v>
      </c>
      <c r="J28" s="666" t="s">
        <v>2439</v>
      </c>
      <c r="K28" s="666" t="s">
        <v>2432</v>
      </c>
      <c r="L28" s="666" t="s">
        <v>1950</v>
      </c>
      <c r="M28" s="666" t="s">
        <v>2433</v>
      </c>
      <c r="N28" s="2345">
        <v>1333.31</v>
      </c>
      <c r="O28" s="2346">
        <v>1</v>
      </c>
      <c r="P28" s="2345">
        <v>1333.31</v>
      </c>
      <c r="Q28" s="666" t="s">
        <v>2434</v>
      </c>
      <c r="R28" s="666" t="s">
        <v>2435</v>
      </c>
    </row>
    <row r="29" spans="1:18" ht="12.75" customHeight="1" x14ac:dyDescent="0.2">
      <c r="A29" s="1106" t="str">
        <f t="shared" si="0"/>
        <v/>
      </c>
      <c r="C29" s="666" t="s">
        <v>2430</v>
      </c>
      <c r="D29" s="2341">
        <v>46286.623611111114</v>
      </c>
      <c r="E29" s="2341">
        <v>46286.623611111114</v>
      </c>
    </row>
    <row r="30" spans="1:18" ht="12.75" customHeight="1" x14ac:dyDescent="0.2">
      <c r="A30" s="1106" t="str">
        <f t="shared" si="0"/>
        <v>Deproteinized WheyB14.246256</v>
      </c>
      <c r="B30" s="2342">
        <v>46286</v>
      </c>
      <c r="C30" s="2343">
        <v>8000095576</v>
      </c>
      <c r="D30" s="2343">
        <v>3</v>
      </c>
      <c r="E30" s="666" t="s">
        <v>39</v>
      </c>
      <c r="H30" s="2344">
        <v>46256</v>
      </c>
      <c r="I30" s="2345">
        <v>0</v>
      </c>
      <c r="K30" s="666" t="s">
        <v>2432</v>
      </c>
      <c r="L30" s="666" t="s">
        <v>1548</v>
      </c>
      <c r="M30" s="666" t="s">
        <v>2433</v>
      </c>
      <c r="N30" s="2345">
        <v>25</v>
      </c>
      <c r="O30" s="2346">
        <v>200</v>
      </c>
      <c r="P30" s="2345">
        <v>5000</v>
      </c>
      <c r="Q30" s="666" t="s">
        <v>2434</v>
      </c>
      <c r="R30" s="666" t="s">
        <v>2435</v>
      </c>
    </row>
    <row r="31" spans="1:18" x14ac:dyDescent="0.2">
      <c r="A31" s="1106" t="str">
        <f t="shared" si="0"/>
        <v/>
      </c>
      <c r="B31" s="666" t="s">
        <v>2440</v>
      </c>
      <c r="C31" s="666" t="s">
        <v>2430</v>
      </c>
      <c r="D31" s="2341">
        <v>46286.595833333333</v>
      </c>
      <c r="E31" s="2341">
        <v>46286.595833333333</v>
      </c>
    </row>
    <row r="32" spans="1:18" ht="12.75" customHeight="1" x14ac:dyDescent="0.2">
      <c r="A32" s="1106" t="str">
        <f t="shared" si="0"/>
        <v>Pork Meat Bone Meal (USA)B21.246276</v>
      </c>
      <c r="B32" s="2342">
        <v>46286</v>
      </c>
      <c r="C32" s="2343">
        <v>8000095574</v>
      </c>
      <c r="D32" s="2343">
        <v>2</v>
      </c>
      <c r="E32" s="666" t="s">
        <v>1589</v>
      </c>
      <c r="H32" s="2344">
        <v>46276</v>
      </c>
      <c r="I32" s="2345">
        <v>49.6</v>
      </c>
      <c r="J32" s="666" t="s">
        <v>2441</v>
      </c>
      <c r="K32" s="666" t="s">
        <v>2432</v>
      </c>
      <c r="L32" s="666" t="s">
        <v>515</v>
      </c>
      <c r="M32" s="666" t="s">
        <v>2433</v>
      </c>
      <c r="N32" s="2345">
        <v>1497.5</v>
      </c>
      <c r="O32" s="2346">
        <v>1</v>
      </c>
      <c r="P32" s="2345">
        <v>1497.5</v>
      </c>
      <c r="Q32" s="666" t="s">
        <v>2434</v>
      </c>
      <c r="R32" s="666" t="s">
        <v>2435</v>
      </c>
    </row>
    <row r="33" spans="1:20" ht="12.75" customHeight="1" x14ac:dyDescent="0.2">
      <c r="A33" s="1106" t="str">
        <f t="shared" si="0"/>
        <v/>
      </c>
      <c r="B33" s="666" t="s">
        <v>2440</v>
      </c>
      <c r="C33" s="666" t="s">
        <v>2430</v>
      </c>
      <c r="D33" s="2341">
        <v>46286.595833333333</v>
      </c>
      <c r="E33" s="2341">
        <v>46286.595833333333</v>
      </c>
    </row>
    <row r="34" spans="1:20" x14ac:dyDescent="0.2">
      <c r="A34" s="1106" t="str">
        <f t="shared" si="0"/>
        <v>Pork Meat Bone Meal (USA)B21.246276</v>
      </c>
      <c r="B34" s="2342">
        <v>46286</v>
      </c>
      <c r="C34" s="2343">
        <v>8000095574</v>
      </c>
      <c r="D34" s="2343">
        <v>3</v>
      </c>
      <c r="E34" s="666" t="s">
        <v>1589</v>
      </c>
      <c r="H34" s="2344">
        <v>46276</v>
      </c>
      <c r="I34" s="2345">
        <v>49.6</v>
      </c>
      <c r="J34" s="666" t="s">
        <v>2441</v>
      </c>
      <c r="K34" s="666" t="s">
        <v>2432</v>
      </c>
      <c r="L34" s="666" t="s">
        <v>515</v>
      </c>
      <c r="M34" s="666" t="s">
        <v>2433</v>
      </c>
      <c r="N34" s="2345">
        <v>1497.5</v>
      </c>
      <c r="O34" s="2346">
        <v>1</v>
      </c>
      <c r="P34" s="2345">
        <v>1497.5</v>
      </c>
      <c r="Q34" s="666" t="s">
        <v>2434</v>
      </c>
      <c r="R34" s="666" t="s">
        <v>2435</v>
      </c>
    </row>
    <row r="35" spans="1:20" ht="12.75" customHeight="1" x14ac:dyDescent="0.2">
      <c r="A35" s="1106" t="str">
        <f t="shared" si="0"/>
        <v/>
      </c>
      <c r="B35" s="666" t="s">
        <v>2440</v>
      </c>
      <c r="C35" s="666" t="s">
        <v>2430</v>
      </c>
      <c r="D35" s="2341">
        <v>46286.595833333333</v>
      </c>
      <c r="E35" s="2341">
        <v>46286.595833333333</v>
      </c>
    </row>
    <row r="36" spans="1:20" ht="12.75" customHeight="1" x14ac:dyDescent="0.2">
      <c r="A36" s="1106" t="str">
        <f t="shared" si="0"/>
        <v>Pork Meat Bone Meal (USA)B21.246276</v>
      </c>
      <c r="B36" s="2342">
        <v>46286</v>
      </c>
      <c r="C36" s="2343">
        <v>8000095574</v>
      </c>
      <c r="D36" s="2343">
        <v>4</v>
      </c>
      <c r="E36" s="666" t="s">
        <v>1589</v>
      </c>
      <c r="H36" s="2344">
        <v>46276</v>
      </c>
      <c r="I36" s="2345">
        <v>49.6</v>
      </c>
      <c r="J36" s="666" t="s">
        <v>2441</v>
      </c>
      <c r="K36" s="666" t="s">
        <v>2432</v>
      </c>
      <c r="L36" s="666" t="s">
        <v>515</v>
      </c>
      <c r="M36" s="666" t="s">
        <v>2433</v>
      </c>
      <c r="N36" s="2345">
        <v>1497.5</v>
      </c>
      <c r="O36" s="2346">
        <v>1</v>
      </c>
      <c r="P36" s="2345">
        <v>1497.5</v>
      </c>
      <c r="Q36" s="666" t="s">
        <v>2434</v>
      </c>
      <c r="R36" s="666" t="s">
        <v>2435</v>
      </c>
    </row>
    <row r="37" spans="1:20" x14ac:dyDescent="0.2">
      <c r="A37" s="1106" t="str">
        <f t="shared" si="0"/>
        <v/>
      </c>
      <c r="B37" s="666" t="s">
        <v>2440</v>
      </c>
      <c r="C37" s="666" t="s">
        <v>2430</v>
      </c>
      <c r="D37" s="2341">
        <v>46286.59652777778</v>
      </c>
      <c r="E37" s="2341">
        <v>46286.59652777778</v>
      </c>
    </row>
    <row r="38" spans="1:20" ht="12.75" customHeight="1" x14ac:dyDescent="0.2">
      <c r="A38" s="1106" t="str">
        <f t="shared" si="0"/>
        <v>Pork Meat Bone Meal (USA)B21.246276</v>
      </c>
      <c r="B38" s="2342">
        <v>46286</v>
      </c>
      <c r="C38" s="2343">
        <v>8000095574</v>
      </c>
      <c r="D38" s="2343">
        <v>5</v>
      </c>
      <c r="E38" s="666" t="s">
        <v>1589</v>
      </c>
      <c r="H38" s="2344">
        <v>46276</v>
      </c>
      <c r="I38" s="2345">
        <v>49.6</v>
      </c>
      <c r="J38" s="666" t="s">
        <v>2441</v>
      </c>
      <c r="K38" s="666" t="s">
        <v>2432</v>
      </c>
      <c r="L38" s="666" t="s">
        <v>515</v>
      </c>
      <c r="M38" s="666" t="s">
        <v>2433</v>
      </c>
      <c r="N38" s="2345">
        <v>1497.5</v>
      </c>
      <c r="O38" s="2346">
        <v>1</v>
      </c>
      <c r="P38" s="2345">
        <v>1497.5</v>
      </c>
      <c r="Q38" s="666" t="s">
        <v>2434</v>
      </c>
      <c r="R38" s="666" t="s">
        <v>2435</v>
      </c>
    </row>
    <row r="39" spans="1:20" ht="12.75" customHeight="1" x14ac:dyDescent="0.2">
      <c r="A39" s="1106" t="str">
        <f t="shared" si="0"/>
        <v/>
      </c>
      <c r="B39" s="666" t="s">
        <v>2440</v>
      </c>
      <c r="C39" s="666" t="s">
        <v>2430</v>
      </c>
      <c r="D39" s="2341">
        <v>46286.59652777778</v>
      </c>
      <c r="E39" s="2341">
        <v>46286.59652777778</v>
      </c>
    </row>
    <row r="40" spans="1:20" x14ac:dyDescent="0.2">
      <c r="A40" s="1106" t="str">
        <f t="shared" si="0"/>
        <v>Pork Meat Bone Meal (USA)B21.246276</v>
      </c>
      <c r="B40" s="2342">
        <v>46286</v>
      </c>
      <c r="C40" s="2343">
        <v>8000095574</v>
      </c>
      <c r="D40" s="2343">
        <v>6</v>
      </c>
      <c r="E40" s="666" t="s">
        <v>1589</v>
      </c>
      <c r="H40" s="2344">
        <v>46276</v>
      </c>
      <c r="I40" s="2345">
        <v>49.6</v>
      </c>
      <c r="J40" s="666" t="s">
        <v>2441</v>
      </c>
      <c r="K40" s="666" t="s">
        <v>2432</v>
      </c>
      <c r="L40" s="666" t="s">
        <v>515</v>
      </c>
      <c r="M40" s="666" t="s">
        <v>2433</v>
      </c>
      <c r="N40" s="2345">
        <v>1497.5</v>
      </c>
      <c r="O40" s="2346">
        <v>1</v>
      </c>
      <c r="P40" s="2345">
        <v>1497.5</v>
      </c>
      <c r="Q40" s="666" t="s">
        <v>2434</v>
      </c>
      <c r="R40" s="666" t="s">
        <v>2435</v>
      </c>
    </row>
    <row r="41" spans="1:20" ht="12.75" customHeight="1" x14ac:dyDescent="0.2">
      <c r="A41" s="1106" t="str">
        <f t="shared" si="0"/>
        <v/>
      </c>
      <c r="B41" s="666" t="s">
        <v>2440</v>
      </c>
      <c r="C41" s="666" t="s">
        <v>2430</v>
      </c>
      <c r="D41" s="2341">
        <v>46286.59652777778</v>
      </c>
      <c r="E41" s="2341">
        <v>46286.59652777778</v>
      </c>
    </row>
    <row r="42" spans="1:20" ht="12.75" customHeight="1" x14ac:dyDescent="0.2">
      <c r="A42" s="1106" t="str">
        <f t="shared" si="0"/>
        <v>Pork Meat Bone Meal (USA)B21.246276</v>
      </c>
      <c r="B42" s="2342">
        <v>46286</v>
      </c>
      <c r="C42" s="2343">
        <v>8000095574</v>
      </c>
      <c r="D42" s="2343">
        <v>7</v>
      </c>
      <c r="E42" s="666" t="s">
        <v>1589</v>
      </c>
      <c r="H42" s="2344">
        <v>46276</v>
      </c>
      <c r="I42" s="2345">
        <v>49.6</v>
      </c>
      <c r="J42" s="666" t="s">
        <v>2441</v>
      </c>
      <c r="K42" s="666" t="s">
        <v>2432</v>
      </c>
      <c r="L42" s="666" t="s">
        <v>515</v>
      </c>
      <c r="M42" s="666" t="s">
        <v>2433</v>
      </c>
      <c r="N42" s="2345">
        <v>1497.5</v>
      </c>
      <c r="O42" s="2346">
        <v>1</v>
      </c>
      <c r="P42" s="2345">
        <v>1497.5</v>
      </c>
      <c r="Q42" s="666" t="s">
        <v>2434</v>
      </c>
      <c r="R42" s="666" t="s">
        <v>2435</v>
      </c>
    </row>
    <row r="43" spans="1:20" ht="13.5" customHeight="1" x14ac:dyDescent="0.2">
      <c r="A43" s="1106" t="str">
        <f t="shared" si="0"/>
        <v/>
      </c>
      <c r="B43" s="666" t="s">
        <v>2440</v>
      </c>
      <c r="C43" s="666" t="s">
        <v>2430</v>
      </c>
      <c r="D43" s="2341">
        <v>46286.59652777778</v>
      </c>
      <c r="E43" s="2341">
        <v>46286.59652777778</v>
      </c>
    </row>
    <row r="44" spans="1:20" ht="12.75" customHeight="1" x14ac:dyDescent="0.2">
      <c r="A44" s="1106" t="str">
        <f t="shared" si="0"/>
        <v>Pork Meat Bone Meal (USA)B21.246276</v>
      </c>
      <c r="B44" s="2342">
        <v>46286</v>
      </c>
      <c r="C44" s="2343">
        <v>8000095574</v>
      </c>
      <c r="D44" s="2343">
        <v>8</v>
      </c>
      <c r="E44" s="666" t="s">
        <v>1589</v>
      </c>
      <c r="H44" s="2344">
        <v>46276</v>
      </c>
      <c r="I44" s="2345">
        <v>49.6</v>
      </c>
      <c r="J44" s="666" t="s">
        <v>2441</v>
      </c>
      <c r="K44" s="666" t="s">
        <v>2432</v>
      </c>
      <c r="L44" s="666" t="s">
        <v>515</v>
      </c>
      <c r="M44" s="666" t="s">
        <v>2433</v>
      </c>
      <c r="N44" s="2345">
        <v>1497.5</v>
      </c>
      <c r="O44" s="2346">
        <v>1</v>
      </c>
      <c r="P44" s="2345">
        <v>1497.5</v>
      </c>
      <c r="Q44" s="666" t="s">
        <v>2434</v>
      </c>
      <c r="R44" s="666" t="s">
        <v>2435</v>
      </c>
    </row>
    <row r="45" spans="1:20" ht="12.75" customHeight="1" x14ac:dyDescent="0.2">
      <c r="A45" s="1106" t="str">
        <f t="shared" si="0"/>
        <v/>
      </c>
      <c r="B45" s="666" t="s">
        <v>2440</v>
      </c>
      <c r="C45" s="666" t="s">
        <v>2430</v>
      </c>
      <c r="D45" s="2341">
        <v>46286.59652777778</v>
      </c>
      <c r="E45" s="2341">
        <v>46286.59652777778</v>
      </c>
      <c r="S45" s="1201"/>
      <c r="T45" s="1201"/>
    </row>
    <row r="46" spans="1:20" x14ac:dyDescent="0.2">
      <c r="A46" s="1106" t="str">
        <f t="shared" si="0"/>
        <v>Pork Meat Bone Meal (USA)B21.246276</v>
      </c>
      <c r="B46" s="2342">
        <v>46286</v>
      </c>
      <c r="C46" s="2343">
        <v>8000095574</v>
      </c>
      <c r="D46" s="2343">
        <v>9</v>
      </c>
      <c r="E46" s="666" t="s">
        <v>1589</v>
      </c>
      <c r="H46" s="2344">
        <v>46276</v>
      </c>
      <c r="I46" s="2345">
        <v>49.6</v>
      </c>
      <c r="J46" s="666" t="s">
        <v>2441</v>
      </c>
      <c r="K46" s="666" t="s">
        <v>2432</v>
      </c>
      <c r="L46" s="666" t="s">
        <v>515</v>
      </c>
      <c r="M46" s="666" t="s">
        <v>2433</v>
      </c>
      <c r="N46" s="2345">
        <v>1497.5</v>
      </c>
      <c r="O46" s="2346">
        <v>1</v>
      </c>
      <c r="P46" s="2345">
        <v>1497.5</v>
      </c>
      <c r="Q46" s="666" t="s">
        <v>2434</v>
      </c>
      <c r="R46" s="666" t="s">
        <v>2435</v>
      </c>
      <c r="S46" s="1201"/>
      <c r="T46" s="1201"/>
    </row>
    <row r="47" spans="1:20" ht="12.75" customHeight="1" x14ac:dyDescent="0.2">
      <c r="A47" s="1106" t="str">
        <f t="shared" si="0"/>
        <v/>
      </c>
      <c r="C47" s="666" t="s">
        <v>2430</v>
      </c>
      <c r="D47" s="2341">
        <v>46286.543055555558</v>
      </c>
      <c r="E47" s="2341">
        <v>46286.543055555558</v>
      </c>
      <c r="S47" s="1201"/>
      <c r="T47" s="1201"/>
    </row>
    <row r="48" spans="1:20" ht="12.75" customHeight="1" x14ac:dyDescent="0.2">
      <c r="A48" s="1106" t="str">
        <f t="shared" si="0"/>
        <v>Premix MC-0697X4.146270</v>
      </c>
      <c r="B48" s="2342">
        <v>46286</v>
      </c>
      <c r="C48" s="2343">
        <v>8000095571</v>
      </c>
      <c r="D48" s="2343">
        <v>4</v>
      </c>
      <c r="E48" s="666" t="s">
        <v>638</v>
      </c>
      <c r="H48" s="2344">
        <v>46270</v>
      </c>
      <c r="I48" s="2345">
        <v>0</v>
      </c>
      <c r="K48" s="666" t="s">
        <v>2432</v>
      </c>
      <c r="L48" s="666" t="s">
        <v>226</v>
      </c>
      <c r="M48" s="666" t="s">
        <v>2433</v>
      </c>
      <c r="N48" s="2345">
        <v>30</v>
      </c>
      <c r="O48" s="2346">
        <v>2</v>
      </c>
      <c r="P48" s="2345">
        <v>60</v>
      </c>
      <c r="Q48" s="666" t="s">
        <v>2434</v>
      </c>
      <c r="R48" s="666" t="s">
        <v>2435</v>
      </c>
    </row>
    <row r="49" spans="1:18" x14ac:dyDescent="0.2">
      <c r="A49" s="1106" t="str">
        <f t="shared" si="0"/>
        <v/>
      </c>
      <c r="C49" s="666" t="s">
        <v>2430</v>
      </c>
      <c r="D49" s="2341">
        <v>46286.543749999997</v>
      </c>
      <c r="E49" s="2341">
        <v>46286.543749999997</v>
      </c>
    </row>
    <row r="50" spans="1:18" ht="12.75" customHeight="1" x14ac:dyDescent="0.2">
      <c r="A50" s="1106" t="str">
        <f t="shared" si="0"/>
        <v>Premix 52MX6.246270</v>
      </c>
      <c r="B50" s="2342">
        <v>46286</v>
      </c>
      <c r="C50" s="2343">
        <v>8000095571</v>
      </c>
      <c r="D50" s="2343">
        <v>8</v>
      </c>
      <c r="E50" s="666" t="s">
        <v>921</v>
      </c>
      <c r="H50" s="2344">
        <v>46270</v>
      </c>
      <c r="I50" s="2345">
        <v>0</v>
      </c>
      <c r="K50" s="666" t="s">
        <v>2432</v>
      </c>
      <c r="L50" s="666" t="s">
        <v>1597</v>
      </c>
      <c r="M50" s="666" t="s">
        <v>2433</v>
      </c>
      <c r="N50" s="2345">
        <v>30</v>
      </c>
      <c r="O50" s="2346">
        <v>40</v>
      </c>
      <c r="P50" s="2345">
        <v>1200</v>
      </c>
      <c r="Q50" s="666" t="s">
        <v>2434</v>
      </c>
      <c r="R50" s="666" t="s">
        <v>2435</v>
      </c>
    </row>
    <row r="51" spans="1:18" ht="12.75" customHeight="1" x14ac:dyDescent="0.2">
      <c r="A51" s="1106" t="str">
        <f t="shared" si="0"/>
        <v/>
      </c>
      <c r="C51" s="666" t="s">
        <v>2430</v>
      </c>
      <c r="D51" s="2341">
        <v>46286.542361111111</v>
      </c>
      <c r="E51" s="2341">
        <v>46286.542361111111</v>
      </c>
    </row>
    <row r="52" spans="1:18" x14ac:dyDescent="0.2">
      <c r="A52" s="1106" t="str">
        <f t="shared" si="0"/>
        <v>Premix RED 2%Z7.246270</v>
      </c>
      <c r="B52" s="2342">
        <v>46286</v>
      </c>
      <c r="C52" s="2343">
        <v>8000095571</v>
      </c>
      <c r="D52" s="2343">
        <v>1</v>
      </c>
      <c r="E52" s="666" t="s">
        <v>631</v>
      </c>
      <c r="H52" s="2344">
        <v>46270</v>
      </c>
      <c r="I52" s="2345">
        <v>0</v>
      </c>
      <c r="K52" s="666" t="s">
        <v>2432</v>
      </c>
      <c r="L52" s="666" t="s">
        <v>1896</v>
      </c>
      <c r="M52" s="666" t="s">
        <v>2433</v>
      </c>
      <c r="N52" s="2345">
        <v>30</v>
      </c>
      <c r="O52" s="2346">
        <v>35</v>
      </c>
      <c r="P52" s="2345">
        <v>1050</v>
      </c>
      <c r="Q52" s="666" t="s">
        <v>2434</v>
      </c>
      <c r="R52" s="666" t="s">
        <v>2435</v>
      </c>
    </row>
    <row r="53" spans="1:18" ht="12.75" customHeight="1" x14ac:dyDescent="0.2">
      <c r="A53" s="1106" t="str">
        <f t="shared" si="0"/>
        <v/>
      </c>
      <c r="C53" s="666" t="s">
        <v>2430</v>
      </c>
      <c r="D53" s="2341">
        <v>46286.543055555558</v>
      </c>
      <c r="E53" s="2341">
        <v>46286.543055555558</v>
      </c>
    </row>
    <row r="54" spans="1:18" ht="12.75" customHeight="1" x14ac:dyDescent="0.2">
      <c r="A54" s="1106" t="str">
        <f t="shared" si="0"/>
        <v>Premix 10MX3.246275</v>
      </c>
      <c r="B54" s="2342">
        <v>46286</v>
      </c>
      <c r="C54" s="2343">
        <v>8000095571</v>
      </c>
      <c r="D54" s="2343">
        <v>5</v>
      </c>
      <c r="E54" s="666" t="s">
        <v>626</v>
      </c>
      <c r="H54" s="2344">
        <v>46275</v>
      </c>
      <c r="I54" s="2345">
        <v>0</v>
      </c>
      <c r="K54" s="666" t="s">
        <v>2432</v>
      </c>
      <c r="L54" s="666" t="s">
        <v>1871</v>
      </c>
      <c r="M54" s="666" t="s">
        <v>2433</v>
      </c>
      <c r="N54" s="2345">
        <v>30</v>
      </c>
      <c r="O54" s="2346">
        <v>20</v>
      </c>
      <c r="P54" s="2345">
        <v>600</v>
      </c>
      <c r="Q54" s="666" t="s">
        <v>2434</v>
      </c>
      <c r="R54" s="666" t="s">
        <v>2435</v>
      </c>
    </row>
    <row r="55" spans="1:18" x14ac:dyDescent="0.2">
      <c r="A55" s="1106" t="str">
        <f t="shared" si="0"/>
        <v/>
      </c>
      <c r="C55" s="666" t="s">
        <v>2430</v>
      </c>
      <c r="D55" s="2341">
        <v>46286.543055555558</v>
      </c>
      <c r="E55" s="2341">
        <v>46286.543055555558</v>
      </c>
    </row>
    <row r="56" spans="1:18" ht="12.75" customHeight="1" x14ac:dyDescent="0.2">
      <c r="A56" s="1106" t="str">
        <f t="shared" si="0"/>
        <v>MS SWINE 0314A18.446269</v>
      </c>
      <c r="B56" s="2342">
        <v>46286</v>
      </c>
      <c r="C56" s="2343">
        <v>8000095571</v>
      </c>
      <c r="D56" s="2343">
        <v>2</v>
      </c>
      <c r="E56" s="666" t="s">
        <v>633</v>
      </c>
      <c r="H56" s="2344">
        <v>46269</v>
      </c>
      <c r="I56" s="2345">
        <v>0</v>
      </c>
      <c r="K56" s="666" t="s">
        <v>2432</v>
      </c>
      <c r="L56" s="666" t="s">
        <v>1598</v>
      </c>
      <c r="M56" s="666" t="s">
        <v>2433</v>
      </c>
      <c r="N56" s="2345">
        <v>25</v>
      </c>
      <c r="O56" s="2346">
        <v>40</v>
      </c>
      <c r="P56" s="2345">
        <v>1000</v>
      </c>
      <c r="Q56" s="666" t="s">
        <v>2434</v>
      </c>
      <c r="R56" s="666" t="s">
        <v>2435</v>
      </c>
    </row>
    <row r="57" spans="1:18" ht="12.75" customHeight="1" x14ac:dyDescent="0.2">
      <c r="A57" s="1106" t="str">
        <f t="shared" si="0"/>
        <v/>
      </c>
      <c r="C57" s="666" t="s">
        <v>2430</v>
      </c>
      <c r="D57" s="2341">
        <v>46286.543749999997</v>
      </c>
      <c r="E57" s="2341">
        <v>46286.543749999997</v>
      </c>
    </row>
    <row r="58" spans="1:18" x14ac:dyDescent="0.2">
      <c r="A58" s="1106" t="str">
        <f t="shared" si="0"/>
        <v>Premix 10VX5.246275</v>
      </c>
      <c r="B58" s="2342">
        <v>46286</v>
      </c>
      <c r="C58" s="2343">
        <v>8000095571</v>
      </c>
      <c r="D58" s="2343">
        <v>6</v>
      </c>
      <c r="E58" s="666" t="s">
        <v>627</v>
      </c>
      <c r="H58" s="2344">
        <v>46275</v>
      </c>
      <c r="I58" s="2345">
        <v>0</v>
      </c>
      <c r="K58" s="666" t="s">
        <v>2432</v>
      </c>
      <c r="L58" s="666" t="s">
        <v>1963</v>
      </c>
      <c r="M58" s="666" t="s">
        <v>2433</v>
      </c>
      <c r="N58" s="2345">
        <v>30</v>
      </c>
      <c r="O58" s="2346">
        <v>30</v>
      </c>
      <c r="P58" s="2345">
        <v>900</v>
      </c>
      <c r="Q58" s="666" t="s">
        <v>2434</v>
      </c>
      <c r="R58" s="666" t="s">
        <v>2435</v>
      </c>
    </row>
    <row r="59" spans="1:18" ht="12.6" customHeight="1" x14ac:dyDescent="0.2">
      <c r="A59" s="1106" t="str">
        <f t="shared" si="0"/>
        <v/>
      </c>
      <c r="C59" s="666" t="s">
        <v>2430</v>
      </c>
      <c r="D59" s="2341">
        <v>46286.543749999997</v>
      </c>
      <c r="E59" s="2341">
        <v>46286.543749999997</v>
      </c>
    </row>
    <row r="60" spans="1:18" ht="12.6" customHeight="1" x14ac:dyDescent="0.2">
      <c r="A60" s="1106" t="str">
        <f t="shared" si="0"/>
        <v>Premix 25VX8.146254</v>
      </c>
      <c r="B60" s="2342">
        <v>46286</v>
      </c>
      <c r="C60" s="2343">
        <v>8000095571</v>
      </c>
      <c r="D60" s="2343">
        <v>7</v>
      </c>
      <c r="E60" s="666" t="s">
        <v>641</v>
      </c>
      <c r="H60" s="2344">
        <v>46254</v>
      </c>
      <c r="I60" s="2345">
        <v>0</v>
      </c>
      <c r="K60" s="666" t="s">
        <v>2432</v>
      </c>
      <c r="L60" s="666" t="s">
        <v>1863</v>
      </c>
      <c r="M60" s="666" t="s">
        <v>2433</v>
      </c>
      <c r="N60" s="2345">
        <v>30</v>
      </c>
      <c r="O60" s="2346">
        <v>2</v>
      </c>
      <c r="P60" s="2345">
        <v>60</v>
      </c>
      <c r="Q60" s="666" t="s">
        <v>2434</v>
      </c>
      <c r="R60" s="666" t="s">
        <v>2435</v>
      </c>
    </row>
    <row r="61" spans="1:18" x14ac:dyDescent="0.2">
      <c r="A61" s="1106" t="str">
        <f t="shared" si="0"/>
        <v/>
      </c>
      <c r="C61" s="666" t="s">
        <v>2430</v>
      </c>
      <c r="D61" s="2341">
        <v>46286.543055555558</v>
      </c>
      <c r="E61" s="2341">
        <v>46286.543055555558</v>
      </c>
    </row>
    <row r="62" spans="1:18" x14ac:dyDescent="0.2">
      <c r="A62" s="1106" t="str">
        <f t="shared" si="0"/>
        <v>Premix 571X6.146283</v>
      </c>
      <c r="B62" s="2342">
        <v>46286</v>
      </c>
      <c r="C62" s="2343">
        <v>8000095571</v>
      </c>
      <c r="D62" s="2343">
        <v>3</v>
      </c>
      <c r="E62" s="666" t="s">
        <v>634</v>
      </c>
      <c r="H62" s="2344">
        <v>46283</v>
      </c>
      <c r="I62" s="2345">
        <v>0</v>
      </c>
      <c r="K62" s="666" t="s">
        <v>2432</v>
      </c>
      <c r="L62" s="666" t="s">
        <v>2230</v>
      </c>
      <c r="M62" s="666" t="s">
        <v>2433</v>
      </c>
      <c r="N62" s="2345">
        <v>30</v>
      </c>
      <c r="O62" s="2346">
        <v>1</v>
      </c>
      <c r="P62" s="2345">
        <v>30</v>
      </c>
      <c r="Q62" s="666" t="s">
        <v>2434</v>
      </c>
      <c r="R62" s="666" t="s">
        <v>2435</v>
      </c>
    </row>
    <row r="63" spans="1:18" x14ac:dyDescent="0.2">
      <c r="A63" s="1106" t="str">
        <f t="shared" si="0"/>
        <v/>
      </c>
      <c r="C63" s="666" t="s">
        <v>2430</v>
      </c>
      <c r="D63" s="2341">
        <v>46286.543749999997</v>
      </c>
      <c r="E63" s="2341">
        <v>46286.543749999997</v>
      </c>
    </row>
    <row r="64" spans="1:18" x14ac:dyDescent="0.2">
      <c r="A64" s="1106" t="str">
        <f t="shared" si="0"/>
        <v>Premix 62PVX5.146270</v>
      </c>
      <c r="B64" s="2342">
        <v>46286</v>
      </c>
      <c r="C64" s="2343">
        <v>8000095571</v>
      </c>
      <c r="D64" s="2343">
        <v>9</v>
      </c>
      <c r="E64" s="666" t="s">
        <v>647</v>
      </c>
      <c r="H64" s="2344">
        <v>46270</v>
      </c>
      <c r="I64" s="2345">
        <v>0</v>
      </c>
      <c r="K64" s="666" t="s">
        <v>2432</v>
      </c>
      <c r="L64" s="666" t="s">
        <v>233</v>
      </c>
      <c r="M64" s="666" t="s">
        <v>2433</v>
      </c>
      <c r="N64" s="2345">
        <v>30</v>
      </c>
      <c r="O64" s="2346">
        <v>3</v>
      </c>
      <c r="P64" s="2345">
        <v>90</v>
      </c>
      <c r="Q64" s="666" t="s">
        <v>2434</v>
      </c>
      <c r="R64" s="666" t="s">
        <v>2435</v>
      </c>
    </row>
    <row r="65" spans="1:18" ht="12.75" customHeight="1" x14ac:dyDescent="0.2">
      <c r="A65" s="1106" t="str">
        <f t="shared" si="0"/>
        <v/>
      </c>
      <c r="C65" s="666" t="s">
        <v>2430</v>
      </c>
      <c r="D65" s="2341">
        <v>46286.544444444444</v>
      </c>
      <c r="E65" s="2341">
        <v>46286.544444444444</v>
      </c>
    </row>
    <row r="66" spans="1:18" ht="12.75" customHeight="1" x14ac:dyDescent="0.2">
      <c r="A66" s="1106" t="str">
        <f t="shared" si="0"/>
        <v>Premix 66VX1.146270</v>
      </c>
      <c r="B66" s="2342">
        <v>46286</v>
      </c>
      <c r="C66" s="2343">
        <v>8000095571</v>
      </c>
      <c r="D66" s="2343">
        <v>10</v>
      </c>
      <c r="E66" s="666" t="s">
        <v>649</v>
      </c>
      <c r="H66" s="2344">
        <v>46270</v>
      </c>
      <c r="I66" s="2345">
        <v>0</v>
      </c>
      <c r="K66" s="666" t="s">
        <v>2432</v>
      </c>
      <c r="L66" s="666" t="s">
        <v>243</v>
      </c>
      <c r="M66" s="666" t="s">
        <v>2433</v>
      </c>
      <c r="N66" s="2345">
        <v>30</v>
      </c>
      <c r="O66" s="2346">
        <v>3</v>
      </c>
      <c r="P66" s="2345">
        <v>90</v>
      </c>
      <c r="Q66" s="666" t="s">
        <v>2434</v>
      </c>
      <c r="R66" s="666" t="s">
        <v>2435</v>
      </c>
    </row>
    <row r="67" spans="1:18" ht="12.75" customHeight="1" x14ac:dyDescent="0.2">
      <c r="A67" s="1106" t="str">
        <f t="shared" si="0"/>
        <v/>
      </c>
      <c r="C67" s="666" t="s">
        <v>2430</v>
      </c>
      <c r="D67" s="2341">
        <v>46286.54583333333</v>
      </c>
      <c r="E67" s="2341">
        <v>46286.54583333333</v>
      </c>
    </row>
    <row r="68" spans="1:18" ht="12.75" customHeight="1" x14ac:dyDescent="0.2">
      <c r="A68" s="1106" t="str">
        <f t="shared" ref="A68:A131" si="1">IF(H68&lt;&gt;0,E68&amp;L68&amp;H68,"")</f>
        <v>DH VITAMIN PREMIX (ViÖt Nam)Y3.146218</v>
      </c>
      <c r="B68" s="2342">
        <v>46286</v>
      </c>
      <c r="C68" s="2343">
        <v>8000095572</v>
      </c>
      <c r="D68" s="2343">
        <v>7</v>
      </c>
      <c r="E68" s="666" t="s">
        <v>1636</v>
      </c>
      <c r="H68" s="2344">
        <v>46218</v>
      </c>
      <c r="I68" s="2345">
        <v>0</v>
      </c>
      <c r="K68" s="666" t="s">
        <v>2432</v>
      </c>
      <c r="L68" s="666" t="s">
        <v>250</v>
      </c>
      <c r="M68" s="666" t="s">
        <v>2433</v>
      </c>
      <c r="N68" s="2345">
        <v>25</v>
      </c>
      <c r="O68" s="2346">
        <v>1</v>
      </c>
      <c r="P68" s="2345">
        <v>25</v>
      </c>
      <c r="Q68" s="666" t="s">
        <v>2434</v>
      </c>
      <c r="R68" s="666" t="s">
        <v>2435</v>
      </c>
    </row>
    <row r="69" spans="1:18" ht="12.75" customHeight="1" x14ac:dyDescent="0.2">
      <c r="A69" s="1106" t="str">
        <f t="shared" si="1"/>
        <v/>
      </c>
      <c r="C69" s="666" t="s">
        <v>2430</v>
      </c>
      <c r="D69" s="2341">
        <v>46286.545138888891</v>
      </c>
      <c r="E69" s="2341">
        <v>46286.545138888891</v>
      </c>
    </row>
    <row r="70" spans="1:18" x14ac:dyDescent="0.2">
      <c r="A70" s="1106" t="str">
        <f t="shared" si="1"/>
        <v>Allplex GF (Local)A19.146251</v>
      </c>
      <c r="B70" s="2342">
        <v>46286</v>
      </c>
      <c r="C70" s="2343">
        <v>8000095572</v>
      </c>
      <c r="D70" s="2343">
        <v>5</v>
      </c>
      <c r="E70" s="666" t="s">
        <v>1205</v>
      </c>
      <c r="H70" s="2344">
        <v>46251</v>
      </c>
      <c r="I70" s="2345">
        <v>0</v>
      </c>
      <c r="K70" s="666" t="s">
        <v>2432</v>
      </c>
      <c r="L70" s="666" t="s">
        <v>247</v>
      </c>
      <c r="M70" s="666" t="s">
        <v>2433</v>
      </c>
      <c r="N70" s="2345">
        <v>25</v>
      </c>
      <c r="O70" s="2346">
        <v>40</v>
      </c>
      <c r="P70" s="2345">
        <v>1000</v>
      </c>
      <c r="Q70" s="666" t="s">
        <v>2434</v>
      </c>
      <c r="R70" s="666" t="s">
        <v>2435</v>
      </c>
    </row>
    <row r="71" spans="1:18" ht="12.75" customHeight="1" x14ac:dyDescent="0.2">
      <c r="A71" s="1106" t="str">
        <f t="shared" si="1"/>
        <v/>
      </c>
      <c r="C71" s="666" t="s">
        <v>2430</v>
      </c>
      <c r="D71" s="2341">
        <v>46286.54583333333</v>
      </c>
      <c r="E71" s="2341">
        <v>46286.54583333333</v>
      </c>
    </row>
    <row r="72" spans="1:18" ht="12.75" customHeight="1" x14ac:dyDescent="0.2">
      <c r="A72" s="1106" t="str">
        <f t="shared" si="1"/>
        <v>DPS 50(USA)A22.446262</v>
      </c>
      <c r="B72" s="2342">
        <v>46286</v>
      </c>
      <c r="C72" s="2343">
        <v>8000095572</v>
      </c>
      <c r="D72" s="2343">
        <v>8</v>
      </c>
      <c r="E72" s="666" t="s">
        <v>903</v>
      </c>
      <c r="H72" s="2344">
        <v>46262</v>
      </c>
      <c r="I72" s="2345">
        <v>0</v>
      </c>
      <c r="K72" s="666" t="s">
        <v>2432</v>
      </c>
      <c r="L72" s="666" t="s">
        <v>284</v>
      </c>
      <c r="M72" s="666" t="s">
        <v>2433</v>
      </c>
      <c r="N72" s="2345">
        <v>25</v>
      </c>
      <c r="O72" s="2346">
        <v>100</v>
      </c>
      <c r="P72" s="2345">
        <v>2500</v>
      </c>
      <c r="Q72" s="666" t="s">
        <v>2434</v>
      </c>
      <c r="R72" s="666" t="s">
        <v>2435</v>
      </c>
    </row>
    <row r="73" spans="1:18" x14ac:dyDescent="0.2">
      <c r="A73" s="1106" t="str">
        <f t="shared" si="1"/>
        <v/>
      </c>
      <c r="C73" s="666" t="s">
        <v>2430</v>
      </c>
      <c r="D73" s="2341">
        <v>46286.546527777777</v>
      </c>
      <c r="E73" s="2341">
        <v>46286.546527777777</v>
      </c>
    </row>
    <row r="74" spans="1:18" ht="12.75" customHeight="1" x14ac:dyDescent="0.2">
      <c r="A74" s="1106" t="str">
        <f t="shared" si="1"/>
        <v>Kessent MF Dry (Singapore)A18.546245</v>
      </c>
      <c r="B74" s="2342">
        <v>46286</v>
      </c>
      <c r="C74" s="2343">
        <v>8000095572</v>
      </c>
      <c r="D74" s="2343">
        <v>11</v>
      </c>
      <c r="E74" s="666" t="s">
        <v>1637</v>
      </c>
      <c r="H74" s="2344">
        <v>46245</v>
      </c>
      <c r="I74" s="2345">
        <v>0</v>
      </c>
      <c r="K74" s="666" t="s">
        <v>2432</v>
      </c>
      <c r="L74" s="666" t="s">
        <v>509</v>
      </c>
      <c r="M74" s="666" t="s">
        <v>2433</v>
      </c>
      <c r="N74" s="2345">
        <v>25</v>
      </c>
      <c r="O74" s="2346">
        <v>3</v>
      </c>
      <c r="P74" s="2345">
        <v>75</v>
      </c>
      <c r="Q74" s="666" t="s">
        <v>2434</v>
      </c>
      <c r="R74" s="666" t="s">
        <v>2435</v>
      </c>
    </row>
    <row r="75" spans="1:18" ht="12.75" customHeight="1" x14ac:dyDescent="0.2">
      <c r="A75" s="1106" t="str">
        <f t="shared" si="1"/>
        <v/>
      </c>
      <c r="C75" s="666" t="s">
        <v>2430</v>
      </c>
      <c r="D75" s="2341">
        <v>46286.54791666667</v>
      </c>
      <c r="E75" s="2341">
        <v>46286.54791666667</v>
      </c>
    </row>
    <row r="76" spans="1:18" x14ac:dyDescent="0.2">
      <c r="A76" s="1106" t="str">
        <f t="shared" si="1"/>
        <v>ROVABIO# PHY PLUS 10000T (SG)Y5.146261</v>
      </c>
      <c r="B76" s="2342">
        <v>46286</v>
      </c>
      <c r="C76" s="2343">
        <v>8000095572</v>
      </c>
      <c r="D76" s="2343">
        <v>17</v>
      </c>
      <c r="E76" s="666" t="s">
        <v>1654</v>
      </c>
      <c r="H76" s="2344">
        <v>46261</v>
      </c>
      <c r="I76" s="2345">
        <v>0</v>
      </c>
      <c r="K76" s="666" t="s">
        <v>2432</v>
      </c>
      <c r="L76" s="666" t="s">
        <v>1297</v>
      </c>
      <c r="M76" s="666" t="s">
        <v>2433</v>
      </c>
      <c r="N76" s="2345">
        <v>25</v>
      </c>
      <c r="O76" s="2346">
        <v>3</v>
      </c>
      <c r="P76" s="2345">
        <v>75</v>
      </c>
      <c r="Q76" s="666" t="s">
        <v>2434</v>
      </c>
      <c r="R76" s="666" t="s">
        <v>2435</v>
      </c>
    </row>
    <row r="77" spans="1:18" ht="12.75" customHeight="1" x14ac:dyDescent="0.2">
      <c r="A77" s="1106" t="str">
        <f t="shared" si="1"/>
        <v/>
      </c>
      <c r="C77" s="666" t="s">
        <v>2430</v>
      </c>
      <c r="D77" s="2341">
        <v>46286.546527777777</v>
      </c>
      <c r="E77" s="2341">
        <v>46286.546527777777</v>
      </c>
    </row>
    <row r="78" spans="1:18" ht="12.75" customHeight="1" x14ac:dyDescent="0.2">
      <c r="A78" s="1106" t="str">
        <f t="shared" si="1"/>
        <v>Endox Dry (Singapore)Z3.146270</v>
      </c>
      <c r="B78" s="2342">
        <v>46286</v>
      </c>
      <c r="C78" s="2343">
        <v>8000095572</v>
      </c>
      <c r="D78" s="2343">
        <v>9</v>
      </c>
      <c r="E78" s="666" t="s">
        <v>665</v>
      </c>
      <c r="H78" s="2344">
        <v>46270</v>
      </c>
      <c r="I78" s="2345">
        <v>0</v>
      </c>
      <c r="K78" s="666" t="s">
        <v>2432</v>
      </c>
      <c r="L78" s="666" t="s">
        <v>1835</v>
      </c>
      <c r="M78" s="666" t="s">
        <v>2433</v>
      </c>
      <c r="N78" s="2345">
        <v>25</v>
      </c>
      <c r="O78" s="2346">
        <v>5</v>
      </c>
      <c r="P78" s="2345">
        <v>125</v>
      </c>
      <c r="Q78" s="666" t="s">
        <v>2434</v>
      </c>
      <c r="R78" s="666" t="s">
        <v>2435</v>
      </c>
    </row>
    <row r="79" spans="1:18" x14ac:dyDescent="0.2">
      <c r="A79" s="1106" t="str">
        <f t="shared" si="1"/>
        <v/>
      </c>
      <c r="C79" s="666" t="s">
        <v>2430</v>
      </c>
      <c r="D79" s="2341">
        <v>46286.546527777777</v>
      </c>
      <c r="E79" s="2341">
        <v>46286.546527777777</v>
      </c>
    </row>
    <row r="80" spans="1:18" ht="12.75" customHeight="1" x14ac:dyDescent="0.2">
      <c r="A80" s="1106" t="str">
        <f t="shared" si="1"/>
        <v>L-Arginine (China)Z6.146262</v>
      </c>
      <c r="B80" s="2342">
        <v>46286</v>
      </c>
      <c r="C80" s="2343">
        <v>8000095572</v>
      </c>
      <c r="D80" s="2343">
        <v>12</v>
      </c>
      <c r="E80" s="666" t="s">
        <v>879</v>
      </c>
      <c r="H80" s="2344">
        <v>46262</v>
      </c>
      <c r="I80" s="2345">
        <v>0</v>
      </c>
      <c r="K80" s="666" t="s">
        <v>2432</v>
      </c>
      <c r="L80" s="666" t="s">
        <v>267</v>
      </c>
      <c r="M80" s="666" t="s">
        <v>2433</v>
      </c>
      <c r="N80" s="2345">
        <v>25</v>
      </c>
      <c r="O80" s="2346">
        <v>10</v>
      </c>
      <c r="P80" s="2345">
        <v>250</v>
      </c>
      <c r="Q80" s="666" t="s">
        <v>2434</v>
      </c>
      <c r="R80" s="666" t="s">
        <v>2435</v>
      </c>
    </row>
    <row r="81" spans="1:18" ht="12.75" customHeight="1" x14ac:dyDescent="0.2">
      <c r="A81" s="1106" t="str">
        <f t="shared" si="1"/>
        <v/>
      </c>
      <c r="C81" s="666" t="s">
        <v>2430</v>
      </c>
      <c r="D81" s="2341">
        <v>46286.547222222223</v>
      </c>
      <c r="E81" s="2341">
        <v>46286.547222222223</v>
      </c>
    </row>
    <row r="82" spans="1:18" x14ac:dyDescent="0.2">
      <c r="A82" s="1106" t="str">
        <f t="shared" si="1"/>
        <v>Pigortek 659 (France)V5.146270</v>
      </c>
      <c r="B82" s="2342">
        <v>46286</v>
      </c>
      <c r="C82" s="2343">
        <v>8000095572</v>
      </c>
      <c r="D82" s="2343">
        <v>16</v>
      </c>
      <c r="E82" s="666" t="s">
        <v>670</v>
      </c>
      <c r="H82" s="2344">
        <v>46270</v>
      </c>
      <c r="I82" s="2345">
        <v>0</v>
      </c>
      <c r="K82" s="666" t="s">
        <v>2432</v>
      </c>
      <c r="L82" s="666" t="s">
        <v>581</v>
      </c>
      <c r="M82" s="666" t="s">
        <v>2433</v>
      </c>
      <c r="N82" s="2345">
        <v>25</v>
      </c>
      <c r="O82" s="2346">
        <v>3</v>
      </c>
      <c r="P82" s="2345">
        <v>75</v>
      </c>
      <c r="Q82" s="666" t="s">
        <v>2434</v>
      </c>
      <c r="R82" s="666" t="s">
        <v>2435</v>
      </c>
    </row>
    <row r="83" spans="1:18" ht="12.75" customHeight="1" x14ac:dyDescent="0.2">
      <c r="A83" s="1106" t="str">
        <f t="shared" si="1"/>
        <v/>
      </c>
      <c r="C83" s="666" t="s">
        <v>2430</v>
      </c>
      <c r="D83" s="2341">
        <v>46286.54583333333</v>
      </c>
      <c r="E83" s="2341">
        <v>46286.54583333333</v>
      </c>
    </row>
    <row r="84" spans="1:18" ht="12.75" customHeight="1" x14ac:dyDescent="0.2">
      <c r="A84" s="1106" t="str">
        <f t="shared" si="1"/>
        <v>CIBENZA DP100 (USA)D246270</v>
      </c>
      <c r="B84" s="2342">
        <v>46286</v>
      </c>
      <c r="C84" s="2343">
        <v>8000095572</v>
      </c>
      <c r="D84" s="2343">
        <v>6</v>
      </c>
      <c r="E84" s="666" t="s">
        <v>1521</v>
      </c>
      <c r="H84" s="2344">
        <v>46270</v>
      </c>
      <c r="I84" s="2345">
        <v>0</v>
      </c>
      <c r="K84" s="666" t="s">
        <v>2432</v>
      </c>
      <c r="L84" s="666" t="s">
        <v>1868</v>
      </c>
      <c r="M84" s="666" t="s">
        <v>2433</v>
      </c>
      <c r="N84" s="2345">
        <v>25</v>
      </c>
      <c r="O84" s="2346">
        <v>3</v>
      </c>
      <c r="P84" s="2345">
        <v>75</v>
      </c>
      <c r="Q84" s="666" t="s">
        <v>2434</v>
      </c>
      <c r="R84" s="666" t="s">
        <v>2435</v>
      </c>
    </row>
    <row r="85" spans="1:18" x14ac:dyDescent="0.2">
      <c r="A85" s="1106" t="str">
        <f t="shared" si="1"/>
        <v/>
      </c>
      <c r="C85" s="666" t="s">
        <v>2430</v>
      </c>
      <c r="D85" s="2341">
        <v>46286.547222222223</v>
      </c>
      <c r="E85" s="2341">
        <v>46286.547222222223</v>
      </c>
    </row>
    <row r="86" spans="1:18" ht="12.75" customHeight="1" x14ac:dyDescent="0.2">
      <c r="A86" s="1106" t="str">
        <f t="shared" si="1"/>
        <v>Leader Yellow (China)Z4.146231</v>
      </c>
      <c r="B86" s="2342">
        <v>46286</v>
      </c>
      <c r="C86" s="2343">
        <v>8000095572</v>
      </c>
      <c r="D86" s="2343">
        <v>13</v>
      </c>
      <c r="E86" s="666" t="s">
        <v>674</v>
      </c>
      <c r="H86" s="2344">
        <v>46231</v>
      </c>
      <c r="I86" s="2345">
        <v>0</v>
      </c>
      <c r="K86" s="666" t="s">
        <v>2432</v>
      </c>
      <c r="L86" s="666" t="s">
        <v>601</v>
      </c>
      <c r="M86" s="666" t="s">
        <v>2433</v>
      </c>
      <c r="N86" s="2345">
        <v>25</v>
      </c>
      <c r="O86" s="2346">
        <v>5</v>
      </c>
      <c r="P86" s="2345">
        <v>125</v>
      </c>
      <c r="Q86" s="666" t="s">
        <v>2434</v>
      </c>
      <c r="R86" s="666" t="s">
        <v>2435</v>
      </c>
    </row>
    <row r="87" spans="1:18" ht="12.75" customHeight="1" x14ac:dyDescent="0.2">
      <c r="A87" s="1106" t="str">
        <f t="shared" si="1"/>
        <v/>
      </c>
      <c r="C87" s="666" t="s">
        <v>2430</v>
      </c>
      <c r="D87" s="2341">
        <v>46286.54791666667</v>
      </c>
      <c r="E87" s="2341">
        <v>46286.54791666667</v>
      </c>
    </row>
    <row r="88" spans="1:18" x14ac:dyDescent="0.2">
      <c r="A88" s="1106" t="str">
        <f t="shared" si="1"/>
        <v>TARTRAZINE 50% content (India)V1.146260</v>
      </c>
      <c r="B88" s="2342">
        <v>46286</v>
      </c>
      <c r="C88" s="2343">
        <v>8000095572</v>
      </c>
      <c r="D88" s="2343">
        <v>19</v>
      </c>
      <c r="E88" s="666" t="s">
        <v>1111</v>
      </c>
      <c r="H88" s="2344">
        <v>46260</v>
      </c>
      <c r="I88" s="2345">
        <v>0</v>
      </c>
      <c r="K88" s="666" t="s">
        <v>2432</v>
      </c>
      <c r="L88" s="666" t="s">
        <v>1582</v>
      </c>
      <c r="M88" s="666" t="s">
        <v>2433</v>
      </c>
      <c r="N88" s="2345">
        <v>25</v>
      </c>
      <c r="O88" s="2346">
        <v>1</v>
      </c>
      <c r="P88" s="2345">
        <v>25</v>
      </c>
      <c r="Q88" s="666" t="s">
        <v>2434</v>
      </c>
      <c r="R88" s="666" t="s">
        <v>2435</v>
      </c>
    </row>
    <row r="89" spans="1:18" ht="12.75" customHeight="1" x14ac:dyDescent="0.2">
      <c r="A89" s="1106" t="str">
        <f t="shared" si="1"/>
        <v/>
      </c>
      <c r="C89" s="666" t="s">
        <v>2430</v>
      </c>
      <c r="D89" s="2341">
        <v>46286.547222222223</v>
      </c>
      <c r="E89" s="2341">
        <v>46286.547222222223</v>
      </c>
    </row>
    <row r="90" spans="1:18" ht="12.75" customHeight="1" x14ac:dyDescent="0.2">
      <c r="A90" s="1106" t="str">
        <f t="shared" si="1"/>
        <v>Mycofix Plus 3.0 (Singapore)A19.546248</v>
      </c>
      <c r="B90" s="2342">
        <v>46286</v>
      </c>
      <c r="C90" s="2343">
        <v>8000095572</v>
      </c>
      <c r="D90" s="2343">
        <v>14</v>
      </c>
      <c r="E90" s="666" t="s">
        <v>1229</v>
      </c>
      <c r="H90" s="2344">
        <v>46248</v>
      </c>
      <c r="I90" s="2345">
        <v>0</v>
      </c>
      <c r="K90" s="666" t="s">
        <v>2432</v>
      </c>
      <c r="L90" s="666" t="s">
        <v>273</v>
      </c>
      <c r="M90" s="666" t="s">
        <v>2433</v>
      </c>
      <c r="N90" s="2345">
        <v>25</v>
      </c>
      <c r="O90" s="2346">
        <v>40</v>
      </c>
      <c r="P90" s="2345">
        <v>1000</v>
      </c>
      <c r="Q90" s="666" t="s">
        <v>2434</v>
      </c>
      <c r="R90" s="666" t="s">
        <v>2435</v>
      </c>
    </row>
    <row r="91" spans="1:18" x14ac:dyDescent="0.2">
      <c r="A91" s="1106" t="str">
        <f t="shared" si="1"/>
        <v/>
      </c>
      <c r="C91" s="666" t="s">
        <v>2430</v>
      </c>
      <c r="D91" s="2341">
        <v>46286.546527777777</v>
      </c>
      <c r="E91" s="2341">
        <v>46286.546527777777</v>
      </c>
    </row>
    <row r="92" spans="1:18" ht="12.75" customHeight="1" x14ac:dyDescent="0.2">
      <c r="A92" s="1106" t="str">
        <f t="shared" si="1"/>
        <v>Intelli Bond CV6.146270</v>
      </c>
      <c r="B92" s="2342">
        <v>46286</v>
      </c>
      <c r="C92" s="2343">
        <v>8000095572</v>
      </c>
      <c r="D92" s="2343">
        <v>10</v>
      </c>
      <c r="E92" s="666" t="s">
        <v>836</v>
      </c>
      <c r="H92" s="2344">
        <v>46270</v>
      </c>
      <c r="I92" s="2345">
        <v>0</v>
      </c>
      <c r="K92" s="666" t="s">
        <v>2432</v>
      </c>
      <c r="L92" s="666" t="s">
        <v>874</v>
      </c>
      <c r="M92" s="666" t="s">
        <v>2433</v>
      </c>
      <c r="N92" s="2345">
        <v>25</v>
      </c>
      <c r="O92" s="2346">
        <v>7</v>
      </c>
      <c r="P92" s="2345">
        <v>175</v>
      </c>
      <c r="Q92" s="666" t="s">
        <v>2434</v>
      </c>
      <c r="R92" s="666" t="s">
        <v>2435</v>
      </c>
    </row>
    <row r="93" spans="1:18" ht="12.75" customHeight="1" x14ac:dyDescent="0.2">
      <c r="A93" s="1106" t="str">
        <f t="shared" si="1"/>
        <v/>
      </c>
      <c r="C93" s="666" t="s">
        <v>2430</v>
      </c>
      <c r="D93" s="2341">
        <v>46286.623611111114</v>
      </c>
      <c r="E93" s="2341">
        <v>46286.623611111114</v>
      </c>
    </row>
    <row r="94" spans="1:18" x14ac:dyDescent="0.2">
      <c r="A94" s="1106" t="str">
        <f t="shared" si="1"/>
        <v>L-lysine Monohydrochloride (China)B17.246263</v>
      </c>
      <c r="B94" s="2342">
        <v>46286</v>
      </c>
      <c r="C94" s="2343">
        <v>8000095577</v>
      </c>
      <c r="D94" s="2343">
        <v>2</v>
      </c>
      <c r="E94" s="666" t="s">
        <v>1317</v>
      </c>
      <c r="H94" s="2344">
        <v>46263</v>
      </c>
      <c r="I94" s="2345">
        <v>0</v>
      </c>
      <c r="K94" s="666" t="s">
        <v>2432</v>
      </c>
      <c r="L94" s="666" t="s">
        <v>1894</v>
      </c>
      <c r="M94" s="666" t="s">
        <v>2433</v>
      </c>
      <c r="N94" s="2345">
        <v>25</v>
      </c>
      <c r="O94" s="2346">
        <v>100</v>
      </c>
      <c r="P94" s="2345">
        <v>2500</v>
      </c>
      <c r="Q94" s="666" t="s">
        <v>2434</v>
      </c>
      <c r="R94" s="666" t="s">
        <v>2435</v>
      </c>
    </row>
    <row r="95" spans="1:18" ht="12.75" customHeight="1" x14ac:dyDescent="0.2">
      <c r="A95" s="1106" t="str">
        <f t="shared" si="1"/>
        <v/>
      </c>
      <c r="C95" s="666" t="s">
        <v>2430</v>
      </c>
      <c r="D95" s="2341">
        <v>46286.54791666667</v>
      </c>
      <c r="E95" s="2341">
        <v>46286.54791666667</v>
      </c>
    </row>
    <row r="96" spans="1:18" ht="12.75" customHeight="1" x14ac:dyDescent="0.2">
      <c r="A96" s="1106" t="str">
        <f t="shared" si="1"/>
        <v>ROVABIO ADVANCE T-FLEX 25(SG)A19.446261</v>
      </c>
      <c r="B96" s="2342">
        <v>46286</v>
      </c>
      <c r="C96" s="2343">
        <v>8000095572</v>
      </c>
      <c r="D96" s="2343">
        <v>18</v>
      </c>
      <c r="E96" s="666" t="s">
        <v>1667</v>
      </c>
      <c r="H96" s="2344">
        <v>46261</v>
      </c>
      <c r="I96" s="2345">
        <v>0</v>
      </c>
      <c r="K96" s="666" t="s">
        <v>2432</v>
      </c>
      <c r="L96" s="666" t="s">
        <v>324</v>
      </c>
      <c r="M96" s="666" t="s">
        <v>2433</v>
      </c>
      <c r="N96" s="2345">
        <v>25</v>
      </c>
      <c r="O96" s="2346">
        <v>7</v>
      </c>
      <c r="P96" s="2345">
        <v>175</v>
      </c>
      <c r="Q96" s="666" t="s">
        <v>2434</v>
      </c>
      <c r="R96" s="666" t="s">
        <v>2435</v>
      </c>
    </row>
    <row r="97" spans="1:18" x14ac:dyDescent="0.2">
      <c r="A97" s="1106" t="str">
        <f t="shared" si="1"/>
        <v/>
      </c>
      <c r="C97" s="666" t="s">
        <v>2430</v>
      </c>
      <c r="D97" s="2341">
        <v>46286.623611111114</v>
      </c>
      <c r="E97" s="2341">
        <v>46286.623611111114</v>
      </c>
    </row>
    <row r="98" spans="1:18" ht="12.75" customHeight="1" x14ac:dyDescent="0.2">
      <c r="A98" s="1106" t="str">
        <f t="shared" si="1"/>
        <v>Carob PowderB146230</v>
      </c>
      <c r="B98" s="2342">
        <v>46286</v>
      </c>
      <c r="C98" s="2343">
        <v>8000095577</v>
      </c>
      <c r="D98" s="2343">
        <v>1</v>
      </c>
      <c r="E98" s="666" t="s">
        <v>656</v>
      </c>
      <c r="H98" s="2344">
        <v>46230</v>
      </c>
      <c r="I98" s="2345">
        <v>0</v>
      </c>
      <c r="K98" s="666" t="s">
        <v>2432</v>
      </c>
      <c r="L98" s="666" t="s">
        <v>481</v>
      </c>
      <c r="M98" s="666" t="s">
        <v>2433</v>
      </c>
      <c r="N98" s="2345">
        <v>25</v>
      </c>
      <c r="O98" s="2346">
        <v>140</v>
      </c>
      <c r="P98" s="2345">
        <v>3500</v>
      </c>
      <c r="Q98" s="666" t="s">
        <v>2434</v>
      </c>
      <c r="R98" s="666" t="s">
        <v>2435</v>
      </c>
    </row>
    <row r="99" spans="1:18" ht="12.75" customHeight="1" x14ac:dyDescent="0.2">
      <c r="A99" s="1106" t="str">
        <f t="shared" si="1"/>
        <v/>
      </c>
      <c r="C99" s="666" t="s">
        <v>2430</v>
      </c>
      <c r="D99" s="2341">
        <v>46286.624305555553</v>
      </c>
      <c r="E99" s="2341">
        <v>46286.624305555553</v>
      </c>
    </row>
    <row r="100" spans="1:18" x14ac:dyDescent="0.2">
      <c r="A100" s="1106" t="str">
        <f t="shared" si="1"/>
        <v>L-Lysine Sulphat 70%A18.446275</v>
      </c>
      <c r="B100" s="2342">
        <v>46286</v>
      </c>
      <c r="C100" s="2343">
        <v>8000095577</v>
      </c>
      <c r="D100" s="2343">
        <v>3</v>
      </c>
      <c r="E100" s="666" t="s">
        <v>654</v>
      </c>
      <c r="H100" s="2344">
        <v>46275</v>
      </c>
      <c r="I100" s="2345">
        <v>0</v>
      </c>
      <c r="K100" s="666" t="s">
        <v>2432</v>
      </c>
      <c r="L100" s="666" t="s">
        <v>1598</v>
      </c>
      <c r="M100" s="666" t="s">
        <v>2433</v>
      </c>
      <c r="N100" s="2345">
        <v>25</v>
      </c>
      <c r="O100" s="2346">
        <v>200</v>
      </c>
      <c r="P100" s="2345">
        <v>5000</v>
      </c>
      <c r="Q100" s="666" t="s">
        <v>2434</v>
      </c>
      <c r="R100" s="666" t="s">
        <v>2435</v>
      </c>
    </row>
    <row r="101" spans="1:18" ht="12.75" customHeight="1" x14ac:dyDescent="0.2">
      <c r="A101" s="1106" t="str">
        <f t="shared" si="1"/>
        <v/>
      </c>
      <c r="C101" s="666" t="s">
        <v>2430</v>
      </c>
      <c r="D101" s="2341">
        <v>46286.547222222223</v>
      </c>
      <c r="E101" s="2341">
        <v>46286.547222222223</v>
      </c>
    </row>
    <row r="102" spans="1:18" ht="12.75" customHeight="1" x14ac:dyDescent="0.2">
      <c r="A102" s="1106" t="str">
        <f t="shared" si="1"/>
        <v>Phytocee Powder (India)Z7.146262</v>
      </c>
      <c r="B102" s="2342">
        <v>46286</v>
      </c>
      <c r="C102" s="2343">
        <v>8000095572</v>
      </c>
      <c r="D102" s="2343">
        <v>15</v>
      </c>
      <c r="E102" s="666" t="s">
        <v>545</v>
      </c>
      <c r="H102" s="2344">
        <v>46262</v>
      </c>
      <c r="I102" s="2345">
        <v>0</v>
      </c>
      <c r="K102" s="666" t="s">
        <v>2432</v>
      </c>
      <c r="L102" s="666" t="s">
        <v>251</v>
      </c>
      <c r="M102" s="666" t="s">
        <v>2433</v>
      </c>
      <c r="N102" s="2345">
        <v>25</v>
      </c>
      <c r="O102" s="2346">
        <v>2</v>
      </c>
      <c r="P102" s="2345">
        <v>50</v>
      </c>
      <c r="Q102" s="666" t="s">
        <v>2434</v>
      </c>
      <c r="R102" s="666" t="s">
        <v>2435</v>
      </c>
    </row>
    <row r="103" spans="1:18" x14ac:dyDescent="0.2">
      <c r="A103" s="1106" t="str">
        <f t="shared" si="1"/>
        <v/>
      </c>
      <c r="C103" s="666" t="s">
        <v>2430</v>
      </c>
      <c r="D103" s="2341">
        <v>46286.545138888891</v>
      </c>
      <c r="E103" s="2341">
        <v>46286.545138888891</v>
      </c>
    </row>
    <row r="104" spans="1:18" ht="12.75" customHeight="1" x14ac:dyDescent="0.2">
      <c r="A104" s="1106" t="str">
        <f t="shared" si="1"/>
        <v>Tilmovet 20% Granular Premix (Bulgaria)E246247</v>
      </c>
      <c r="B104" s="2342">
        <v>46286</v>
      </c>
      <c r="C104" s="2343">
        <v>8000095572</v>
      </c>
      <c r="D104" s="2343">
        <v>4</v>
      </c>
      <c r="E104" s="666" t="s">
        <v>917</v>
      </c>
      <c r="H104" s="2344">
        <v>46247</v>
      </c>
      <c r="I104" s="2345">
        <v>0</v>
      </c>
      <c r="K104" s="666" t="s">
        <v>2432</v>
      </c>
      <c r="L104" s="666" t="s">
        <v>1313</v>
      </c>
      <c r="M104" s="666" t="s">
        <v>2433</v>
      </c>
      <c r="N104" s="2345">
        <v>20</v>
      </c>
      <c r="O104" s="2346">
        <v>2</v>
      </c>
      <c r="P104" s="2345">
        <v>40</v>
      </c>
      <c r="Q104" s="666" t="s">
        <v>2434</v>
      </c>
      <c r="R104" s="666" t="s">
        <v>2435</v>
      </c>
    </row>
    <row r="105" spans="1:18" ht="12.75" customHeight="1" x14ac:dyDescent="0.2">
      <c r="A105" s="1106" t="str">
        <f t="shared" si="1"/>
        <v/>
      </c>
      <c r="C105" s="666" t="s">
        <v>2430</v>
      </c>
      <c r="D105" s="2341">
        <v>46286.544444444444</v>
      </c>
      <c r="E105" s="2341">
        <v>46286.544444444444</v>
      </c>
    </row>
    <row r="106" spans="1:18" x14ac:dyDescent="0.2">
      <c r="A106" s="1106" t="str">
        <f t="shared" si="1"/>
        <v>Advance HaquinolE246037</v>
      </c>
      <c r="B106" s="2342">
        <v>46286</v>
      </c>
      <c r="C106" s="2343">
        <v>8000095572</v>
      </c>
      <c r="D106" s="2343">
        <v>1</v>
      </c>
      <c r="E106" s="666" t="s">
        <v>593</v>
      </c>
      <c r="H106" s="2344">
        <v>46037</v>
      </c>
      <c r="I106" s="2345">
        <v>0</v>
      </c>
      <c r="K106" s="666" t="s">
        <v>2432</v>
      </c>
      <c r="L106" s="666" t="s">
        <v>1313</v>
      </c>
      <c r="M106" s="666" t="s">
        <v>2433</v>
      </c>
      <c r="N106" s="2345">
        <v>10</v>
      </c>
      <c r="O106" s="2346">
        <v>4</v>
      </c>
      <c r="P106" s="2345">
        <v>40</v>
      </c>
      <c r="Q106" s="666" t="s">
        <v>2434</v>
      </c>
      <c r="R106" s="666" t="s">
        <v>2435</v>
      </c>
    </row>
    <row r="107" spans="1:18" ht="12.75" customHeight="1" x14ac:dyDescent="0.2">
      <c r="A107" s="1106" t="str">
        <f t="shared" si="1"/>
        <v/>
      </c>
      <c r="C107" s="666" t="s">
        <v>2430</v>
      </c>
      <c r="D107" s="2341">
        <v>46286.545138888891</v>
      </c>
      <c r="E107" s="2341">
        <v>46286.545138888891</v>
      </c>
    </row>
    <row r="108" spans="1:18" ht="12.75" customHeight="1" x14ac:dyDescent="0.2">
      <c r="A108" s="1106" t="str">
        <f t="shared" si="1"/>
        <v>MAXIBANE346262</v>
      </c>
      <c r="B108" s="2342">
        <v>46286</v>
      </c>
      <c r="C108" s="2343">
        <v>8000095572</v>
      </c>
      <c r="D108" s="2343">
        <v>3</v>
      </c>
      <c r="E108" s="666" t="s">
        <v>462</v>
      </c>
      <c r="H108" s="2344">
        <v>46262</v>
      </c>
      <c r="I108" s="2345">
        <v>0</v>
      </c>
      <c r="K108" s="666" t="s">
        <v>2432</v>
      </c>
      <c r="L108" s="666" t="s">
        <v>1213</v>
      </c>
      <c r="M108" s="666" t="s">
        <v>2433</v>
      </c>
      <c r="N108" s="2345">
        <v>25</v>
      </c>
      <c r="O108" s="2346">
        <v>1</v>
      </c>
      <c r="P108" s="2345">
        <v>25</v>
      </c>
      <c r="Q108" s="666" t="s">
        <v>2434</v>
      </c>
      <c r="R108" s="666" t="s">
        <v>2435</v>
      </c>
    </row>
    <row r="109" spans="1:18" x14ac:dyDescent="0.2">
      <c r="A109" s="1106" t="str">
        <f t="shared" si="1"/>
        <v/>
      </c>
      <c r="C109" s="666" t="s">
        <v>2430</v>
      </c>
      <c r="D109" s="2341">
        <v>46286.544444444444</v>
      </c>
      <c r="E109" s="2341">
        <v>46286.544444444444</v>
      </c>
    </row>
    <row r="110" spans="1:18" ht="12.75" customHeight="1" x14ac:dyDescent="0.2">
      <c r="A110" s="1106" t="str">
        <f t="shared" si="1"/>
        <v>Amoxicillin 80%E146254</v>
      </c>
      <c r="B110" s="2342">
        <v>46286</v>
      </c>
      <c r="C110" s="2343">
        <v>8000095572</v>
      </c>
      <c r="D110" s="2343">
        <v>2</v>
      </c>
      <c r="E110" s="666" t="s">
        <v>1346</v>
      </c>
      <c r="H110" s="2344">
        <v>46254</v>
      </c>
      <c r="I110" s="2345">
        <v>0</v>
      </c>
      <c r="K110" s="666" t="s">
        <v>2432</v>
      </c>
      <c r="L110" s="666" t="s">
        <v>1249</v>
      </c>
      <c r="M110" s="666" t="s">
        <v>2433</v>
      </c>
      <c r="N110" s="2345">
        <v>20</v>
      </c>
      <c r="O110" s="2346">
        <v>1</v>
      </c>
      <c r="P110" s="2345">
        <v>20</v>
      </c>
      <c r="Q110" s="666" t="s">
        <v>2434</v>
      </c>
      <c r="R110" s="666" t="s">
        <v>2435</v>
      </c>
    </row>
    <row r="111" spans="1:18" ht="12.75" customHeight="1" x14ac:dyDescent="0.2">
      <c r="A111" s="1106" t="str">
        <f t="shared" si="1"/>
        <v/>
      </c>
      <c r="B111" s="666" t="s">
        <v>2442</v>
      </c>
      <c r="C111" s="2347">
        <v>1370</v>
      </c>
      <c r="D111" s="2345">
        <v>70294.55</v>
      </c>
    </row>
    <row r="112" spans="1:18" x14ac:dyDescent="0.2">
      <c r="A112" s="1106" t="str">
        <f t="shared" si="1"/>
        <v/>
      </c>
      <c r="B112" s="666" t="s">
        <v>453</v>
      </c>
      <c r="C112" s="2345">
        <v>51.309890510948911</v>
      </c>
      <c r="D112" s="2347">
        <v>1370</v>
      </c>
      <c r="E112" s="2345">
        <v>70294.55</v>
      </c>
    </row>
    <row r="113" spans="1:1" ht="12.75" customHeight="1" x14ac:dyDescent="0.2">
      <c r="A113" s="1106" t="str">
        <f t="shared" si="1"/>
        <v/>
      </c>
    </row>
    <row r="114" spans="1:1" ht="12.75" customHeight="1" x14ac:dyDescent="0.2">
      <c r="A114" s="1106" t="str">
        <f t="shared" si="1"/>
        <v/>
      </c>
    </row>
    <row r="115" spans="1:1" x14ac:dyDescent="0.2">
      <c r="A115" s="1106" t="str">
        <f t="shared" si="1"/>
        <v/>
      </c>
    </row>
    <row r="116" spans="1:1" ht="12.6" customHeight="1" x14ac:dyDescent="0.2">
      <c r="A116" s="1106" t="str">
        <f t="shared" si="1"/>
        <v/>
      </c>
    </row>
    <row r="117" spans="1:1" ht="12.6" customHeight="1" x14ac:dyDescent="0.2">
      <c r="A117" s="1106" t="str">
        <f t="shared" si="1"/>
        <v/>
      </c>
    </row>
    <row r="118" spans="1:1" x14ac:dyDescent="0.2">
      <c r="A118" s="1106" t="str">
        <f t="shared" si="1"/>
        <v/>
      </c>
    </row>
    <row r="119" spans="1:1" x14ac:dyDescent="0.2">
      <c r="A119" s="1106" t="str">
        <f t="shared" si="1"/>
        <v/>
      </c>
    </row>
    <row r="120" spans="1:1" x14ac:dyDescent="0.2">
      <c r="A120" s="1106" t="str">
        <f t="shared" si="1"/>
        <v/>
      </c>
    </row>
    <row r="121" spans="1:1" ht="12.75" customHeight="1" x14ac:dyDescent="0.2">
      <c r="A121" s="1106" t="str">
        <f t="shared" si="1"/>
        <v/>
      </c>
    </row>
    <row r="122" spans="1:1" ht="12.75" customHeight="1" x14ac:dyDescent="0.2">
      <c r="A122" s="1106" t="str">
        <f t="shared" si="1"/>
        <v/>
      </c>
    </row>
    <row r="123" spans="1:1" ht="12.75" customHeight="1" x14ac:dyDescent="0.2">
      <c r="A123" s="1106" t="str">
        <f t="shared" si="1"/>
        <v/>
      </c>
    </row>
    <row r="124" spans="1:1" ht="12.6" customHeight="1" x14ac:dyDescent="0.2">
      <c r="A124" s="1106" t="str">
        <f t="shared" si="1"/>
        <v/>
      </c>
    </row>
    <row r="125" spans="1:1" ht="12.75" customHeight="1" x14ac:dyDescent="0.2">
      <c r="A125" s="1106" t="str">
        <f t="shared" si="1"/>
        <v/>
      </c>
    </row>
    <row r="126" spans="1:1" ht="12.75" customHeight="1" x14ac:dyDescent="0.2">
      <c r="A126" s="1106" t="str">
        <f t="shared" si="1"/>
        <v/>
      </c>
    </row>
    <row r="127" spans="1:1" x14ac:dyDescent="0.2">
      <c r="A127" s="1106" t="str">
        <f t="shared" si="1"/>
        <v/>
      </c>
    </row>
    <row r="128" spans="1:1" ht="12.75" customHeight="1" x14ac:dyDescent="0.2">
      <c r="A128" s="1106" t="str">
        <f t="shared" si="1"/>
        <v/>
      </c>
    </row>
    <row r="129" spans="1:1" ht="12.75" customHeight="1" x14ac:dyDescent="0.2">
      <c r="A129" s="1106" t="str">
        <f t="shared" si="1"/>
        <v/>
      </c>
    </row>
    <row r="130" spans="1:1" x14ac:dyDescent="0.2">
      <c r="A130" s="1106" t="str">
        <f t="shared" si="1"/>
        <v/>
      </c>
    </row>
    <row r="131" spans="1:1" ht="12.75" customHeight="1" x14ac:dyDescent="0.2">
      <c r="A131" s="1106" t="str">
        <f t="shared" si="1"/>
        <v/>
      </c>
    </row>
    <row r="132" spans="1:1" ht="12.75" customHeight="1" x14ac:dyDescent="0.2">
      <c r="A132" s="1106" t="str">
        <f t="shared" ref="A132:A195" si="2">IF(H132&lt;&gt;0,E132&amp;L132&amp;H132,"")</f>
        <v/>
      </c>
    </row>
    <row r="133" spans="1:1" x14ac:dyDescent="0.2">
      <c r="A133" s="1106" t="str">
        <f t="shared" si="2"/>
        <v/>
      </c>
    </row>
    <row r="134" spans="1:1" ht="12.75" customHeight="1" x14ac:dyDescent="0.2">
      <c r="A134" s="1106" t="str">
        <f t="shared" si="2"/>
        <v/>
      </c>
    </row>
    <row r="135" spans="1:1" ht="12.75" customHeight="1" x14ac:dyDescent="0.2">
      <c r="A135" s="1106" t="str">
        <f t="shared" si="2"/>
        <v/>
      </c>
    </row>
    <row r="136" spans="1:1" x14ac:dyDescent="0.2">
      <c r="A136" s="1106" t="str">
        <f t="shared" si="2"/>
        <v/>
      </c>
    </row>
    <row r="137" spans="1:1" ht="12.75" customHeight="1" x14ac:dyDescent="0.2">
      <c r="A137" s="1106" t="str">
        <f t="shared" si="2"/>
        <v/>
      </c>
    </row>
    <row r="138" spans="1:1" ht="12.75" customHeight="1" x14ac:dyDescent="0.2">
      <c r="A138" s="1106" t="str">
        <f t="shared" si="2"/>
        <v/>
      </c>
    </row>
    <row r="139" spans="1:1" x14ac:dyDescent="0.2">
      <c r="A139" s="1106" t="str">
        <f t="shared" si="2"/>
        <v/>
      </c>
    </row>
    <row r="140" spans="1:1" ht="12.75" customHeight="1" x14ac:dyDescent="0.2">
      <c r="A140" s="1106" t="str">
        <f t="shared" si="2"/>
        <v/>
      </c>
    </row>
    <row r="141" spans="1:1" ht="12.75" customHeight="1" x14ac:dyDescent="0.2">
      <c r="A141" s="1106" t="str">
        <f t="shared" si="2"/>
        <v/>
      </c>
    </row>
    <row r="142" spans="1:1" x14ac:dyDescent="0.2">
      <c r="A142" s="1106" t="str">
        <f t="shared" si="2"/>
        <v/>
      </c>
    </row>
    <row r="143" spans="1:1" ht="12.75" customHeight="1" x14ac:dyDescent="0.2">
      <c r="A143" s="1106" t="str">
        <f t="shared" si="2"/>
        <v/>
      </c>
    </row>
    <row r="144" spans="1:1" ht="12.75" customHeight="1" x14ac:dyDescent="0.2">
      <c r="A144" s="1106" t="str">
        <f t="shared" si="2"/>
        <v/>
      </c>
    </row>
    <row r="145" spans="1:1" x14ac:dyDescent="0.2">
      <c r="A145" s="1106" t="str">
        <f t="shared" si="2"/>
        <v/>
      </c>
    </row>
    <row r="146" spans="1:1" ht="12.75" customHeight="1" x14ac:dyDescent="0.2">
      <c r="A146" s="1106" t="str">
        <f t="shared" si="2"/>
        <v/>
      </c>
    </row>
    <row r="147" spans="1:1" ht="12.75" customHeight="1" x14ac:dyDescent="0.2">
      <c r="A147" s="1106" t="str">
        <f t="shared" si="2"/>
        <v/>
      </c>
    </row>
    <row r="148" spans="1:1" x14ac:dyDescent="0.2">
      <c r="A148" s="1106" t="str">
        <f t="shared" si="2"/>
        <v/>
      </c>
    </row>
    <row r="149" spans="1:1" ht="12.75" customHeight="1" x14ac:dyDescent="0.2">
      <c r="A149" s="1106" t="str">
        <f t="shared" si="2"/>
        <v/>
      </c>
    </row>
    <row r="150" spans="1:1" ht="12.75" customHeight="1" x14ac:dyDescent="0.2">
      <c r="A150" s="1106" t="str">
        <f t="shared" si="2"/>
        <v/>
      </c>
    </row>
    <row r="151" spans="1:1" x14ac:dyDescent="0.2">
      <c r="A151" s="1106" t="str">
        <f t="shared" si="2"/>
        <v/>
      </c>
    </row>
    <row r="152" spans="1:1" ht="12.75" customHeight="1" x14ac:dyDescent="0.2">
      <c r="A152" s="1106" t="str">
        <f t="shared" si="2"/>
        <v/>
      </c>
    </row>
    <row r="153" spans="1:1" ht="12.75" customHeight="1" x14ac:dyDescent="0.2">
      <c r="A153" s="1106" t="str">
        <f t="shared" si="2"/>
        <v/>
      </c>
    </row>
    <row r="154" spans="1:1" x14ac:dyDescent="0.2">
      <c r="A154" s="1106" t="str">
        <f t="shared" si="2"/>
        <v/>
      </c>
    </row>
    <row r="155" spans="1:1" ht="12.75" customHeight="1" x14ac:dyDescent="0.2">
      <c r="A155" s="1106" t="str">
        <f t="shared" si="2"/>
        <v/>
      </c>
    </row>
    <row r="156" spans="1:1" ht="12.75" customHeight="1" x14ac:dyDescent="0.2">
      <c r="A156" s="1106" t="str">
        <f t="shared" si="2"/>
        <v/>
      </c>
    </row>
    <row r="157" spans="1:1" x14ac:dyDescent="0.2">
      <c r="A157" s="1106" t="str">
        <f t="shared" si="2"/>
        <v/>
      </c>
    </row>
    <row r="158" spans="1:1" ht="12.75" customHeight="1" x14ac:dyDescent="0.2">
      <c r="A158" s="1106" t="str">
        <f t="shared" si="2"/>
        <v/>
      </c>
    </row>
    <row r="159" spans="1:1" ht="12.75" customHeight="1" x14ac:dyDescent="0.2">
      <c r="A159" s="1106" t="str">
        <f t="shared" si="2"/>
        <v/>
      </c>
    </row>
    <row r="160" spans="1:1" x14ac:dyDescent="0.2">
      <c r="A160" s="1106" t="str">
        <f t="shared" si="2"/>
        <v/>
      </c>
    </row>
    <row r="161" spans="1:1" ht="12.75" customHeight="1" x14ac:dyDescent="0.2">
      <c r="A161" s="1106" t="str">
        <f t="shared" si="2"/>
        <v/>
      </c>
    </row>
    <row r="162" spans="1:1" ht="12.75" customHeight="1" x14ac:dyDescent="0.2">
      <c r="A162" s="1106" t="str">
        <f t="shared" si="2"/>
        <v/>
      </c>
    </row>
    <row r="163" spans="1:1" x14ac:dyDescent="0.2">
      <c r="A163" s="1106" t="str">
        <f t="shared" si="2"/>
        <v/>
      </c>
    </row>
    <row r="164" spans="1:1" ht="12.75" customHeight="1" x14ac:dyDescent="0.2">
      <c r="A164" s="1106" t="str">
        <f t="shared" si="2"/>
        <v/>
      </c>
    </row>
    <row r="165" spans="1:1" ht="12.75" customHeight="1" x14ac:dyDescent="0.2">
      <c r="A165" s="1106" t="str">
        <f t="shared" si="2"/>
        <v/>
      </c>
    </row>
    <row r="166" spans="1:1" x14ac:dyDescent="0.2">
      <c r="A166" s="1106" t="str">
        <f t="shared" si="2"/>
        <v/>
      </c>
    </row>
    <row r="167" spans="1:1" ht="12.75" customHeight="1" x14ac:dyDescent="0.2">
      <c r="A167" s="1106" t="str">
        <f t="shared" si="2"/>
        <v/>
      </c>
    </row>
    <row r="168" spans="1:1" ht="12.75" customHeight="1" x14ac:dyDescent="0.2">
      <c r="A168" s="1106" t="str">
        <f t="shared" si="2"/>
        <v/>
      </c>
    </row>
    <row r="169" spans="1:1" x14ac:dyDescent="0.2">
      <c r="A169" s="1106" t="str">
        <f t="shared" si="2"/>
        <v/>
      </c>
    </row>
    <row r="170" spans="1:1" ht="12.6" customHeight="1" x14ac:dyDescent="0.2">
      <c r="A170" s="1106" t="str">
        <f t="shared" si="2"/>
        <v/>
      </c>
    </row>
    <row r="171" spans="1:1" ht="12.6" customHeight="1" x14ac:dyDescent="0.2">
      <c r="A171" s="1106" t="str">
        <f t="shared" si="2"/>
        <v/>
      </c>
    </row>
    <row r="172" spans="1:1" x14ac:dyDescent="0.2">
      <c r="A172" s="1106" t="str">
        <f t="shared" si="2"/>
        <v/>
      </c>
    </row>
    <row r="173" spans="1:1" ht="12.6" customHeight="1" x14ac:dyDescent="0.2">
      <c r="A173" s="1106" t="str">
        <f t="shared" si="2"/>
        <v/>
      </c>
    </row>
    <row r="174" spans="1:1" ht="12.6" customHeight="1" x14ac:dyDescent="0.2">
      <c r="A174" s="1106" t="str">
        <f t="shared" si="2"/>
        <v/>
      </c>
    </row>
    <row r="175" spans="1:1" x14ac:dyDescent="0.2">
      <c r="A175" s="1106" t="str">
        <f t="shared" si="2"/>
        <v/>
      </c>
    </row>
    <row r="176" spans="1:1" ht="12.75" customHeight="1" x14ac:dyDescent="0.2">
      <c r="A176" s="1106" t="str">
        <f t="shared" si="2"/>
        <v/>
      </c>
    </row>
    <row r="177" spans="1:1" ht="12.75" customHeight="1" x14ac:dyDescent="0.2">
      <c r="A177" s="1106" t="str">
        <f t="shared" si="2"/>
        <v/>
      </c>
    </row>
    <row r="178" spans="1:1" ht="12.75" customHeight="1" x14ac:dyDescent="0.2">
      <c r="A178" s="1106" t="str">
        <f t="shared" si="2"/>
        <v/>
      </c>
    </row>
    <row r="179" spans="1:1" ht="12.75" customHeight="1" x14ac:dyDescent="0.2">
      <c r="A179" s="1106" t="str">
        <f t="shared" si="2"/>
        <v/>
      </c>
    </row>
    <row r="180" spans="1:1" ht="12.75" customHeight="1" x14ac:dyDescent="0.2">
      <c r="A180" s="1106" t="str">
        <f t="shared" si="2"/>
        <v/>
      </c>
    </row>
    <row r="181" spans="1:1" ht="12.6" customHeight="1" x14ac:dyDescent="0.2">
      <c r="A181" s="1106" t="str">
        <f t="shared" si="2"/>
        <v/>
      </c>
    </row>
    <row r="182" spans="1:1" ht="12.75" customHeight="1" x14ac:dyDescent="0.2">
      <c r="A182" s="1106" t="str">
        <f t="shared" si="2"/>
        <v/>
      </c>
    </row>
    <row r="183" spans="1:1" ht="12.75" customHeight="1" x14ac:dyDescent="0.2">
      <c r="A183" s="1106" t="str">
        <f t="shared" si="2"/>
        <v/>
      </c>
    </row>
    <row r="184" spans="1:1" x14ac:dyDescent="0.2">
      <c r="A184" s="1106" t="str">
        <f t="shared" si="2"/>
        <v/>
      </c>
    </row>
    <row r="185" spans="1:1" ht="12.75" customHeight="1" x14ac:dyDescent="0.2">
      <c r="A185" s="1106" t="str">
        <f t="shared" si="2"/>
        <v/>
      </c>
    </row>
    <row r="186" spans="1:1" ht="12.75" customHeight="1" x14ac:dyDescent="0.2">
      <c r="A186" s="1106" t="str">
        <f t="shared" si="2"/>
        <v/>
      </c>
    </row>
    <row r="187" spans="1:1" x14ac:dyDescent="0.2">
      <c r="A187" s="1106" t="str">
        <f t="shared" si="2"/>
        <v/>
      </c>
    </row>
    <row r="188" spans="1:1" ht="12.75" customHeight="1" x14ac:dyDescent="0.2">
      <c r="A188" s="1106" t="str">
        <f t="shared" si="2"/>
        <v/>
      </c>
    </row>
    <row r="189" spans="1:1" ht="12.75" customHeight="1" x14ac:dyDescent="0.2">
      <c r="A189" s="1106" t="str">
        <f t="shared" si="2"/>
        <v/>
      </c>
    </row>
    <row r="190" spans="1:1" x14ac:dyDescent="0.2">
      <c r="A190" s="1106" t="str">
        <f t="shared" si="2"/>
        <v/>
      </c>
    </row>
    <row r="191" spans="1:1" ht="12.75" customHeight="1" x14ac:dyDescent="0.2">
      <c r="A191" s="1106" t="str">
        <f t="shared" si="2"/>
        <v/>
      </c>
    </row>
    <row r="192" spans="1:1" ht="12.75" customHeight="1" x14ac:dyDescent="0.2">
      <c r="A192" s="1106" t="str">
        <f t="shared" si="2"/>
        <v/>
      </c>
    </row>
    <row r="193" spans="1:1" x14ac:dyDescent="0.2">
      <c r="A193" s="1106" t="str">
        <f t="shared" si="2"/>
        <v/>
      </c>
    </row>
    <row r="194" spans="1:1" ht="12.75" customHeight="1" x14ac:dyDescent="0.2">
      <c r="A194" s="1106" t="str">
        <f t="shared" si="2"/>
        <v/>
      </c>
    </row>
    <row r="195" spans="1:1" ht="12.75" customHeight="1" x14ac:dyDescent="0.2">
      <c r="A195" s="1106" t="str">
        <f t="shared" si="2"/>
        <v/>
      </c>
    </row>
    <row r="196" spans="1:1" x14ac:dyDescent="0.2">
      <c r="A196" s="1106" t="str">
        <f t="shared" ref="A196:A259" si="3">IF(H196&lt;&gt;0,E196&amp;L196&amp;H196,"")</f>
        <v/>
      </c>
    </row>
    <row r="197" spans="1:1" ht="12.75" customHeight="1" x14ac:dyDescent="0.2">
      <c r="A197" s="1106" t="str">
        <f t="shared" si="3"/>
        <v/>
      </c>
    </row>
    <row r="198" spans="1:1" ht="12.75" customHeight="1" x14ac:dyDescent="0.2">
      <c r="A198" s="1106" t="str">
        <f t="shared" si="3"/>
        <v/>
      </c>
    </row>
    <row r="199" spans="1:1" x14ac:dyDescent="0.2">
      <c r="A199" s="1106" t="str">
        <f t="shared" si="3"/>
        <v/>
      </c>
    </row>
    <row r="200" spans="1:1" ht="12.75" customHeight="1" x14ac:dyDescent="0.2">
      <c r="A200" s="1106" t="str">
        <f t="shared" si="3"/>
        <v/>
      </c>
    </row>
    <row r="201" spans="1:1" ht="12.75" customHeight="1" x14ac:dyDescent="0.2">
      <c r="A201" s="1106" t="str">
        <f t="shared" si="3"/>
        <v/>
      </c>
    </row>
    <row r="202" spans="1:1" x14ac:dyDescent="0.2">
      <c r="A202" s="1106" t="str">
        <f t="shared" si="3"/>
        <v/>
      </c>
    </row>
    <row r="203" spans="1:1" ht="12.75" customHeight="1" x14ac:dyDescent="0.2">
      <c r="A203" s="1106" t="str">
        <f t="shared" si="3"/>
        <v/>
      </c>
    </row>
    <row r="204" spans="1:1" ht="12.75" customHeight="1" x14ac:dyDescent="0.2">
      <c r="A204" s="1106" t="str">
        <f t="shared" si="3"/>
        <v/>
      </c>
    </row>
    <row r="205" spans="1:1" x14ac:dyDescent="0.2">
      <c r="A205" s="1106" t="str">
        <f t="shared" si="3"/>
        <v/>
      </c>
    </row>
    <row r="206" spans="1:1" ht="12.75" customHeight="1" x14ac:dyDescent="0.2">
      <c r="A206" s="1106" t="str">
        <f t="shared" si="3"/>
        <v/>
      </c>
    </row>
    <row r="207" spans="1:1" ht="12.75" customHeight="1" x14ac:dyDescent="0.2">
      <c r="A207" s="1106" t="str">
        <f t="shared" si="3"/>
        <v/>
      </c>
    </row>
    <row r="208" spans="1:1" x14ac:dyDescent="0.2">
      <c r="A208" s="1106" t="str">
        <f t="shared" si="3"/>
        <v/>
      </c>
    </row>
    <row r="209" spans="1:1" ht="12.75" customHeight="1" x14ac:dyDescent="0.2">
      <c r="A209" s="1106" t="str">
        <f t="shared" si="3"/>
        <v/>
      </c>
    </row>
    <row r="210" spans="1:1" ht="12.75" customHeight="1" x14ac:dyDescent="0.2">
      <c r="A210" s="1106" t="str">
        <f t="shared" si="3"/>
        <v/>
      </c>
    </row>
    <row r="211" spans="1:1" x14ac:dyDescent="0.2">
      <c r="A211" s="1106" t="str">
        <f t="shared" si="3"/>
        <v/>
      </c>
    </row>
    <row r="212" spans="1:1" ht="12.75" customHeight="1" x14ac:dyDescent="0.2">
      <c r="A212" s="1106" t="str">
        <f t="shared" si="3"/>
        <v/>
      </c>
    </row>
    <row r="213" spans="1:1" ht="12.75" customHeight="1" x14ac:dyDescent="0.2">
      <c r="A213" s="1106" t="str">
        <f t="shared" si="3"/>
        <v/>
      </c>
    </row>
    <row r="214" spans="1:1" x14ac:dyDescent="0.2">
      <c r="A214" s="1106" t="str">
        <f t="shared" si="3"/>
        <v/>
      </c>
    </row>
    <row r="215" spans="1:1" ht="12.75" customHeight="1" x14ac:dyDescent="0.2">
      <c r="A215" s="1106" t="str">
        <f t="shared" si="3"/>
        <v/>
      </c>
    </row>
    <row r="216" spans="1:1" ht="12.75" customHeight="1" x14ac:dyDescent="0.2">
      <c r="A216" s="1106" t="str">
        <f t="shared" si="3"/>
        <v/>
      </c>
    </row>
    <row r="217" spans="1:1" x14ac:dyDescent="0.2">
      <c r="A217" s="1106" t="str">
        <f t="shared" si="3"/>
        <v/>
      </c>
    </row>
    <row r="218" spans="1:1" ht="12.75" customHeight="1" x14ac:dyDescent="0.2">
      <c r="A218" s="1106" t="str">
        <f t="shared" si="3"/>
        <v/>
      </c>
    </row>
    <row r="219" spans="1:1" ht="12.75" customHeight="1" x14ac:dyDescent="0.2">
      <c r="A219" s="1106" t="str">
        <f t="shared" si="3"/>
        <v/>
      </c>
    </row>
    <row r="220" spans="1:1" x14ac:dyDescent="0.2">
      <c r="A220" s="1106" t="str">
        <f t="shared" si="3"/>
        <v/>
      </c>
    </row>
    <row r="221" spans="1:1" ht="12.75" customHeight="1" x14ac:dyDescent="0.2">
      <c r="A221" s="1106" t="str">
        <f t="shared" si="3"/>
        <v/>
      </c>
    </row>
    <row r="222" spans="1:1" ht="12.75" customHeight="1" x14ac:dyDescent="0.2">
      <c r="A222" s="1106" t="str">
        <f t="shared" si="3"/>
        <v/>
      </c>
    </row>
    <row r="223" spans="1:1" x14ac:dyDescent="0.2">
      <c r="A223" s="1106" t="str">
        <f t="shared" si="3"/>
        <v/>
      </c>
    </row>
    <row r="224" spans="1:1" ht="12.75" customHeight="1" x14ac:dyDescent="0.2">
      <c r="A224" s="1106" t="str">
        <f t="shared" si="3"/>
        <v/>
      </c>
    </row>
    <row r="225" spans="1:1" ht="12.75" customHeight="1" x14ac:dyDescent="0.2">
      <c r="A225" s="1106" t="str">
        <f t="shared" si="3"/>
        <v/>
      </c>
    </row>
    <row r="226" spans="1:1" x14ac:dyDescent="0.2">
      <c r="A226" s="1106" t="str">
        <f t="shared" si="3"/>
        <v/>
      </c>
    </row>
    <row r="227" spans="1:1" ht="12.6" customHeight="1" x14ac:dyDescent="0.2">
      <c r="A227" s="1106" t="str">
        <f t="shared" si="3"/>
        <v/>
      </c>
    </row>
    <row r="228" spans="1:1" ht="12.6" customHeight="1" x14ac:dyDescent="0.2">
      <c r="A228" s="1106" t="str">
        <f t="shared" si="3"/>
        <v/>
      </c>
    </row>
    <row r="229" spans="1:1" x14ac:dyDescent="0.2">
      <c r="A229" s="1106" t="str">
        <f t="shared" si="3"/>
        <v/>
      </c>
    </row>
    <row r="230" spans="1:1" ht="12.6" customHeight="1" x14ac:dyDescent="0.2">
      <c r="A230" s="1106" t="str">
        <f t="shared" si="3"/>
        <v/>
      </c>
    </row>
    <row r="231" spans="1:1" ht="12.6" customHeight="1" x14ac:dyDescent="0.2">
      <c r="A231" s="1106" t="str">
        <f t="shared" si="3"/>
        <v/>
      </c>
    </row>
    <row r="232" spans="1:1" ht="12.75" customHeight="1" x14ac:dyDescent="0.2">
      <c r="A232" s="1106" t="str">
        <f t="shared" si="3"/>
        <v/>
      </c>
    </row>
    <row r="233" spans="1:1" ht="12.75" customHeight="1" x14ac:dyDescent="0.2">
      <c r="A233" s="1106" t="str">
        <f t="shared" si="3"/>
        <v/>
      </c>
    </row>
    <row r="234" spans="1:1" ht="12.75" customHeight="1" x14ac:dyDescent="0.2">
      <c r="A234" s="1106" t="str">
        <f t="shared" si="3"/>
        <v/>
      </c>
    </row>
    <row r="235" spans="1:1" x14ac:dyDescent="0.2">
      <c r="A235" s="1106" t="str">
        <f t="shared" si="3"/>
        <v/>
      </c>
    </row>
    <row r="236" spans="1:1" ht="12.75" customHeight="1" x14ac:dyDescent="0.2">
      <c r="A236" s="1106" t="str">
        <f t="shared" si="3"/>
        <v/>
      </c>
    </row>
    <row r="237" spans="1:1" ht="12.75" customHeight="1" x14ac:dyDescent="0.2">
      <c r="A237" s="1106" t="str">
        <f t="shared" si="3"/>
        <v/>
      </c>
    </row>
    <row r="238" spans="1:1" ht="12.6" customHeight="1" x14ac:dyDescent="0.2">
      <c r="A238" s="1106" t="str">
        <f t="shared" si="3"/>
        <v/>
      </c>
    </row>
    <row r="239" spans="1:1" ht="12.75" customHeight="1" x14ac:dyDescent="0.2">
      <c r="A239" s="1106" t="str">
        <f t="shared" si="3"/>
        <v/>
      </c>
    </row>
    <row r="240" spans="1:1" ht="12.75" customHeight="1" x14ac:dyDescent="0.2">
      <c r="A240" s="1106" t="str">
        <f t="shared" si="3"/>
        <v/>
      </c>
    </row>
    <row r="241" spans="1:1" x14ac:dyDescent="0.2">
      <c r="A241" s="1106" t="str">
        <f t="shared" si="3"/>
        <v/>
      </c>
    </row>
    <row r="242" spans="1:1" ht="12.75" customHeight="1" x14ac:dyDescent="0.2">
      <c r="A242" s="1106" t="str">
        <f t="shared" si="3"/>
        <v/>
      </c>
    </row>
    <row r="243" spans="1:1" ht="12.75" customHeight="1" x14ac:dyDescent="0.2">
      <c r="A243" s="1106" t="str">
        <f t="shared" si="3"/>
        <v/>
      </c>
    </row>
    <row r="244" spans="1:1" x14ac:dyDescent="0.2">
      <c r="A244" s="1106" t="str">
        <f t="shared" si="3"/>
        <v/>
      </c>
    </row>
    <row r="245" spans="1:1" ht="12.75" customHeight="1" x14ac:dyDescent="0.2">
      <c r="A245" s="1106" t="str">
        <f t="shared" si="3"/>
        <v/>
      </c>
    </row>
    <row r="246" spans="1:1" ht="12.75" customHeight="1" x14ac:dyDescent="0.2">
      <c r="A246" s="1106" t="str">
        <f t="shared" si="3"/>
        <v/>
      </c>
    </row>
    <row r="247" spans="1:1" x14ac:dyDescent="0.2">
      <c r="A247" s="1106" t="str">
        <f t="shared" si="3"/>
        <v/>
      </c>
    </row>
    <row r="248" spans="1:1" ht="12.6" customHeight="1" x14ac:dyDescent="0.2">
      <c r="A248" s="1106" t="str">
        <f t="shared" si="3"/>
        <v/>
      </c>
    </row>
    <row r="249" spans="1:1" ht="12.6" customHeight="1" x14ac:dyDescent="0.2">
      <c r="A249" s="1106" t="str">
        <f t="shared" si="3"/>
        <v/>
      </c>
    </row>
    <row r="250" spans="1:1" x14ac:dyDescent="0.2">
      <c r="A250" s="1106" t="str">
        <f t="shared" si="3"/>
        <v/>
      </c>
    </row>
    <row r="251" spans="1:1" ht="12.6" customHeight="1" x14ac:dyDescent="0.2">
      <c r="A251" s="1106" t="str">
        <f t="shared" si="3"/>
        <v/>
      </c>
    </row>
    <row r="252" spans="1:1" ht="12.6" customHeight="1" x14ac:dyDescent="0.2">
      <c r="A252" s="1106" t="str">
        <f t="shared" si="3"/>
        <v/>
      </c>
    </row>
    <row r="253" spans="1:1" x14ac:dyDescent="0.2">
      <c r="A253" s="1106" t="str">
        <f t="shared" si="3"/>
        <v/>
      </c>
    </row>
    <row r="254" spans="1:1" ht="12.6" customHeight="1" x14ac:dyDescent="0.2">
      <c r="A254" s="1106" t="str">
        <f t="shared" si="3"/>
        <v/>
      </c>
    </row>
    <row r="255" spans="1:1" ht="12.6" customHeight="1" x14ac:dyDescent="0.2">
      <c r="A255" s="1106" t="str">
        <f t="shared" si="3"/>
        <v/>
      </c>
    </row>
    <row r="256" spans="1:1" x14ac:dyDescent="0.2">
      <c r="A256" s="1106" t="str">
        <f t="shared" si="3"/>
        <v/>
      </c>
    </row>
    <row r="257" spans="1:1" ht="12.6" customHeight="1" x14ac:dyDescent="0.2">
      <c r="A257" s="1106" t="str">
        <f t="shared" si="3"/>
        <v/>
      </c>
    </row>
    <row r="258" spans="1:1" ht="12.6" customHeight="1" x14ac:dyDescent="0.2">
      <c r="A258" s="1106" t="str">
        <f t="shared" si="3"/>
        <v/>
      </c>
    </row>
    <row r="259" spans="1:1" x14ac:dyDescent="0.2">
      <c r="A259" s="1106" t="str">
        <f t="shared" si="3"/>
        <v/>
      </c>
    </row>
    <row r="260" spans="1:1" ht="12.6" customHeight="1" x14ac:dyDescent="0.2">
      <c r="A260" s="1106" t="str">
        <f t="shared" ref="A260:A265" si="4">IF(H260&lt;&gt;0,E260&amp;L260&amp;H260,"")</f>
        <v/>
      </c>
    </row>
    <row r="261" spans="1:1" ht="12.6" customHeight="1" x14ac:dyDescent="0.2">
      <c r="A261" s="1106" t="str">
        <f t="shared" si="4"/>
        <v/>
      </c>
    </row>
    <row r="262" spans="1:1" x14ac:dyDescent="0.2">
      <c r="A262" s="1106" t="str">
        <f t="shared" si="4"/>
        <v/>
      </c>
    </row>
    <row r="263" spans="1:1" ht="12.6" customHeight="1" x14ac:dyDescent="0.2">
      <c r="A263" s="1106" t="str">
        <f t="shared" si="4"/>
        <v/>
      </c>
    </row>
    <row r="264" spans="1:1" ht="12.6" customHeight="1" x14ac:dyDescent="0.2">
      <c r="A264" s="1106" t="str">
        <f t="shared" si="4"/>
        <v/>
      </c>
    </row>
    <row r="265" spans="1:1" x14ac:dyDescent="0.2">
      <c r="A265" s="1106" t="str">
        <f t="shared" si="4"/>
        <v/>
      </c>
    </row>
    <row r="266" spans="1:1" ht="12.6" customHeight="1" x14ac:dyDescent="0.2"/>
    <row r="267" spans="1:1" ht="12.6" customHeight="1" x14ac:dyDescent="0.2"/>
    <row r="269" spans="1:1" ht="12.6" customHeight="1" x14ac:dyDescent="0.2"/>
    <row r="270" spans="1:1" ht="12.6" customHeight="1" x14ac:dyDescent="0.2"/>
    <row r="272" spans="1:1" ht="12.6" customHeight="1" x14ac:dyDescent="0.2"/>
    <row r="273" ht="12.6" customHeight="1" x14ac:dyDescent="0.2"/>
    <row r="275" ht="12.6" customHeight="1" x14ac:dyDescent="0.2"/>
    <row r="276" ht="12.6" customHeight="1" x14ac:dyDescent="0.2"/>
    <row r="278" ht="12.6" customHeight="1" x14ac:dyDescent="0.2"/>
    <row r="279" ht="12.6" customHeight="1" x14ac:dyDescent="0.2"/>
    <row r="281" ht="12.6" customHeight="1" x14ac:dyDescent="0.2"/>
    <row r="282" ht="12.6" customHeight="1" x14ac:dyDescent="0.2"/>
    <row r="284" ht="12.6" customHeight="1" x14ac:dyDescent="0.2"/>
    <row r="285" ht="12.6" customHeight="1" x14ac:dyDescent="0.2"/>
    <row r="287" ht="12.6" customHeight="1" x14ac:dyDescent="0.2"/>
    <row r="288" ht="12.6" customHeight="1" x14ac:dyDescent="0.2"/>
    <row r="295" ht="12.6" customHeight="1" x14ac:dyDescent="0.2"/>
    <row r="296" ht="12.6" customHeight="1" x14ac:dyDescent="0.2"/>
    <row r="297" ht="12.6" customHeight="1" x14ac:dyDescent="0.2"/>
    <row r="299" ht="12.6" customHeight="1" x14ac:dyDescent="0.2"/>
    <row r="300" ht="12.6" customHeight="1" x14ac:dyDescent="0.2"/>
    <row r="302" ht="12.6" customHeight="1" x14ac:dyDescent="0.2"/>
    <row r="303" ht="12.6" customHeight="1" x14ac:dyDescent="0.2"/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H404"/>
  <sheetViews>
    <sheetView zoomScale="93" zoomScaleNormal="93" workbookViewId="0">
      <selection activeCell="J27" sqref="J27"/>
    </sheetView>
  </sheetViews>
  <sheetFormatPr defaultColWidth="9.140625" defaultRowHeight="12.75" x14ac:dyDescent="0.2"/>
  <cols>
    <col min="1" max="1" width="41.28515625" style="676" customWidth="1"/>
    <col min="2" max="2" width="41.85546875" style="667" customWidth="1"/>
    <col min="3" max="3" width="14.7109375" style="671" bestFit="1" customWidth="1"/>
    <col min="4" max="4" width="8.7109375" style="671" customWidth="1"/>
    <col min="5" max="5" width="12.85546875" bestFit="1" customWidth="1"/>
    <col min="6" max="6" width="14.5703125" style="667" customWidth="1"/>
    <col min="7" max="7" width="12.140625" style="667" customWidth="1"/>
    <col min="8" max="8" width="9.140625" style="667"/>
  </cols>
  <sheetData>
    <row r="1" spans="1:7" x14ac:dyDescent="0.2">
      <c r="B1" s="2340"/>
      <c r="C1" s="2340"/>
      <c r="D1" s="2340"/>
      <c r="E1" s="2340"/>
      <c r="F1" s="2340"/>
      <c r="G1" s="2340"/>
    </row>
    <row r="2" spans="1:7" ht="15.75" customHeight="1" x14ac:dyDescent="0.2">
      <c r="B2" s="2340"/>
      <c r="C2" s="2340"/>
      <c r="D2" s="2340"/>
      <c r="E2" s="2340"/>
      <c r="F2" s="2340"/>
      <c r="G2" s="2340"/>
    </row>
    <row r="3" spans="1:7" ht="10.5" customHeight="1" x14ac:dyDescent="0.2">
      <c r="B3" s="668"/>
      <c r="C3" s="669"/>
      <c r="D3" s="669"/>
      <c r="E3" s="668"/>
      <c r="F3" s="668"/>
      <c r="G3" s="670"/>
    </row>
    <row r="4" spans="1:7" ht="15" customHeight="1" thickBot="1" x14ac:dyDescent="0.25">
      <c r="B4" s="1988" t="s">
        <v>1944</v>
      </c>
      <c r="C4" s="1989" t="s">
        <v>1945</v>
      </c>
      <c r="D4" s="1239">
        <v>6</v>
      </c>
      <c r="E4" s="669"/>
      <c r="F4" s="674"/>
      <c r="G4" s="675"/>
    </row>
    <row r="5" spans="1:7" x14ac:dyDescent="0.2">
      <c r="C5" s="1204"/>
      <c r="D5" s="825"/>
      <c r="E5" s="650"/>
      <c r="F5" s="825"/>
    </row>
    <row r="6" spans="1:7" x14ac:dyDescent="0.2">
      <c r="A6" s="676" t="str">
        <f>+VLOOKUP($B6,'Tên NL'!$B:$C,2,0)</f>
        <v>CORN</v>
      </c>
      <c r="B6" s="667" t="s">
        <v>1414</v>
      </c>
      <c r="C6" s="1204">
        <v>4011.2179999999998</v>
      </c>
      <c r="D6" s="825" t="str">
        <f>LEFT(B6,2)</f>
        <v>CR</v>
      </c>
      <c r="E6" s="572">
        <f>C6/$D$4*1000</f>
        <v>668536.33333333337</v>
      </c>
      <c r="F6" s="694">
        <f>SUM(E:E)-MAX(E:E)</f>
        <v>2136166.4999999991</v>
      </c>
      <c r="G6" s="671"/>
    </row>
    <row r="7" spans="1:7" x14ac:dyDescent="0.2">
      <c r="A7" s="676" t="str">
        <f>+VLOOKUP($B7,'Tên NL'!$B:$C,2,0)</f>
        <v>Soy Bean Meal (Argentina)</v>
      </c>
      <c r="B7" s="667" t="s">
        <v>1565</v>
      </c>
      <c r="C7" s="1204">
        <v>1672.4010000000001</v>
      </c>
      <c r="D7" s="825" t="str">
        <f t="shared" ref="D7:D70" si="0">LEFT(B7,2)</f>
        <v>SB</v>
      </c>
      <c r="E7" s="572">
        <f t="shared" ref="E7:E70" si="1">C7/$D$4*1000</f>
        <v>278733.5</v>
      </c>
      <c r="F7" s="694">
        <f>SUMIFS(E:E,D:D,"IR")</f>
        <v>63595</v>
      </c>
      <c r="G7" s="671"/>
    </row>
    <row r="8" spans="1:7" x14ac:dyDescent="0.2">
      <c r="A8" s="676" t="str">
        <f>+VLOOKUP($B8,'Tên NL'!$B:$C,2,0)</f>
        <v>CORN</v>
      </c>
      <c r="B8" s="667" t="s">
        <v>1699</v>
      </c>
      <c r="C8" s="1204">
        <v>1564.42</v>
      </c>
      <c r="D8" s="825" t="str">
        <f t="shared" si="0"/>
        <v>CR</v>
      </c>
      <c r="E8" s="572">
        <f t="shared" si="1"/>
        <v>260736.66666666669</v>
      </c>
      <c r="F8" s="696">
        <f>F6-F7</f>
        <v>2072571.4999999991</v>
      </c>
      <c r="G8" s="671"/>
    </row>
    <row r="9" spans="1:7" x14ac:dyDescent="0.2">
      <c r="A9" s="676" t="str">
        <f>+VLOOKUP($B9,'Tên NL'!$B:$C,2,0)</f>
        <v>DDGS.</v>
      </c>
      <c r="B9" s="667" t="s">
        <v>1921</v>
      </c>
      <c r="C9" s="1204">
        <v>667.80600000000004</v>
      </c>
      <c r="D9" s="825" t="str">
        <f t="shared" si="0"/>
        <v>DD</v>
      </c>
      <c r="E9" s="572">
        <f t="shared" si="1"/>
        <v>111301</v>
      </c>
      <c r="G9" s="671"/>
    </row>
    <row r="10" spans="1:7" x14ac:dyDescent="0.2">
      <c r="A10" s="676" t="str">
        <f>+VLOOKUP($B10,'Tên NL'!$B:$C,2,0)</f>
        <v>RBF</v>
      </c>
      <c r="B10" s="667" t="s">
        <v>1388</v>
      </c>
      <c r="C10" s="1204">
        <v>625.15599999999995</v>
      </c>
      <c r="D10" s="825" t="str">
        <f t="shared" si="0"/>
        <v>RB</v>
      </c>
      <c r="E10" s="572">
        <f t="shared" si="1"/>
        <v>104192.66666666666</v>
      </c>
      <c r="G10" s="671"/>
    </row>
    <row r="11" spans="1:7" x14ac:dyDescent="0.2">
      <c r="A11" s="676" t="str">
        <f>+VLOOKUP($B11,'Tên NL'!$B:$C,2,0)</f>
        <v>Palm Kernel Expeller</v>
      </c>
      <c r="B11" s="667" t="s">
        <v>1529</v>
      </c>
      <c r="C11" s="1204">
        <v>493.51</v>
      </c>
      <c r="D11" s="825" t="str">
        <f t="shared" si="0"/>
        <v>PK</v>
      </c>
      <c r="E11" s="572">
        <f t="shared" si="1"/>
        <v>82251.666666666672</v>
      </c>
      <c r="F11" s="694"/>
      <c r="G11" s="671"/>
    </row>
    <row r="12" spans="1:7" x14ac:dyDescent="0.2">
      <c r="A12" s="676" t="str">
        <f>+VLOOKUP($B12,'Tên NL'!$B:$C,2,0)</f>
        <v>Corn Extrude</v>
      </c>
      <c r="B12" s="667" t="s">
        <v>1287</v>
      </c>
      <c r="C12" s="1204">
        <v>382.27100000000002</v>
      </c>
      <c r="D12" s="825" t="str">
        <f t="shared" si="0"/>
        <v>CR</v>
      </c>
      <c r="E12" s="572">
        <f t="shared" si="1"/>
        <v>63711.833333333336</v>
      </c>
      <c r="F12" s="694"/>
      <c r="G12" s="671"/>
    </row>
    <row r="13" spans="1:7" x14ac:dyDescent="0.2">
      <c r="A13" s="676">
        <f>+VLOOKUP($B13,'Tên NL'!$B:$C,2,0)</f>
        <v>0</v>
      </c>
      <c r="B13" s="667" t="s">
        <v>1026</v>
      </c>
      <c r="C13" s="1204">
        <v>381.57</v>
      </c>
      <c r="D13" s="825" t="str">
        <f t="shared" si="0"/>
        <v>IR</v>
      </c>
      <c r="E13" s="572">
        <f t="shared" si="1"/>
        <v>63595</v>
      </c>
      <c r="G13" s="671"/>
    </row>
    <row r="14" spans="1:7" x14ac:dyDescent="0.2">
      <c r="A14" s="676" t="str">
        <f>+VLOOKUP($B14,'Tên NL'!$B:$C,2,0)</f>
        <v>TAPIOCA BY PRODUCT FINE (#A)</v>
      </c>
      <c r="B14" s="667" t="s">
        <v>1328</v>
      </c>
      <c r="C14" s="1204">
        <v>355.44</v>
      </c>
      <c r="D14" s="825" t="str">
        <f t="shared" si="0"/>
        <v>TA</v>
      </c>
      <c r="E14" s="572">
        <f t="shared" si="1"/>
        <v>59240</v>
      </c>
      <c r="G14" s="671"/>
    </row>
    <row r="15" spans="1:7" x14ac:dyDescent="0.2">
      <c r="A15" s="676" t="str">
        <f>+VLOOKUP($B15,'Tên NL'!$B:$C,2,0)</f>
        <v>WHEAT GRAIN</v>
      </c>
      <c r="B15" s="667" t="s">
        <v>1777</v>
      </c>
      <c r="C15" s="1204">
        <v>312.76900000000001</v>
      </c>
      <c r="D15" s="825" t="str">
        <f t="shared" si="0"/>
        <v>WH</v>
      </c>
      <c r="E15" s="572">
        <f t="shared" si="1"/>
        <v>52128.166666666664</v>
      </c>
      <c r="G15" s="671"/>
    </row>
    <row r="16" spans="1:7" x14ac:dyDescent="0.2">
      <c r="A16" s="676" t="str">
        <f>+VLOOKUP($B16,'Tên NL'!$B:$C,2,0)</f>
        <v>CORN</v>
      </c>
      <c r="B16" s="667" t="s">
        <v>1750</v>
      </c>
      <c r="C16" s="1204">
        <v>261.447</v>
      </c>
      <c r="D16" s="825" t="str">
        <f t="shared" si="0"/>
        <v>CR</v>
      </c>
      <c r="E16" s="572">
        <f t="shared" si="1"/>
        <v>43574.5</v>
      </c>
      <c r="G16" s="671"/>
    </row>
    <row r="17" spans="1:7" x14ac:dyDescent="0.2">
      <c r="A17" s="676" t="str">
        <f>+VLOOKUP($B17,'Tên NL'!$B:$C,2,0)</f>
        <v>Soy Bean Meal (Argentina)</v>
      </c>
      <c r="B17" s="667" t="s">
        <v>1566</v>
      </c>
      <c r="C17" s="1204">
        <v>206.26499999999999</v>
      </c>
      <c r="D17" s="825" t="str">
        <f t="shared" si="0"/>
        <v>SB</v>
      </c>
      <c r="E17" s="572">
        <f t="shared" si="1"/>
        <v>34377.5</v>
      </c>
      <c r="G17" s="671"/>
    </row>
    <row r="18" spans="1:7" x14ac:dyDescent="0.2">
      <c r="A18" s="676" t="str">
        <f>+VLOOKUP($B18,'Tên NL'!$B:$C,2,0)</f>
        <v>Molasses</v>
      </c>
      <c r="B18" s="667" t="s">
        <v>1021</v>
      </c>
      <c r="C18" s="1204">
        <v>172.11</v>
      </c>
      <c r="D18" s="825" t="str">
        <f t="shared" si="0"/>
        <v>MO</v>
      </c>
      <c r="E18" s="572">
        <f t="shared" si="1"/>
        <v>28685.000000000004</v>
      </c>
      <c r="G18" s="671"/>
    </row>
    <row r="19" spans="1:7" x14ac:dyDescent="0.2">
      <c r="A19" s="676" t="str">
        <f>+VLOOKUP($B19,'Tên NL'!$B:$C,2,0)</f>
        <v>CORN</v>
      </c>
      <c r="B19" s="667" t="s">
        <v>1005</v>
      </c>
      <c r="C19" s="1204">
        <v>162.404</v>
      </c>
      <c r="D19" s="825" t="str">
        <f t="shared" si="0"/>
        <v>CR</v>
      </c>
      <c r="E19" s="572">
        <f t="shared" si="1"/>
        <v>27067.333333333332</v>
      </c>
      <c r="G19" s="671"/>
    </row>
    <row r="20" spans="1:7" x14ac:dyDescent="0.2">
      <c r="A20" s="676" t="str">
        <f>+VLOOKUP($B20,'Tên NL'!$B:$C,2,0)</f>
        <v>SOYBEAN SEED</v>
      </c>
      <c r="B20" s="667" t="s">
        <v>996</v>
      </c>
      <c r="C20" s="1204">
        <v>149.369</v>
      </c>
      <c r="D20" s="825" t="str">
        <f t="shared" si="0"/>
        <v>FF</v>
      </c>
      <c r="E20" s="572">
        <f t="shared" si="1"/>
        <v>24894.833333333336</v>
      </c>
      <c r="G20" s="671"/>
    </row>
    <row r="21" spans="1:7" x14ac:dyDescent="0.2">
      <c r="A21" s="676" t="str">
        <f>+VLOOKUP($B21,'Tên NL'!$B:$C,2,0)</f>
        <v>Limestone (Fine)</v>
      </c>
      <c r="B21" s="667" t="s">
        <v>1381</v>
      </c>
      <c r="C21" s="1204">
        <v>140.69399999999999</v>
      </c>
      <c r="D21" s="825" t="str">
        <f t="shared" si="0"/>
        <v>LS</v>
      </c>
      <c r="E21" s="572">
        <f t="shared" si="1"/>
        <v>23448.999999999996</v>
      </c>
      <c r="G21" s="671"/>
    </row>
    <row r="22" spans="1:7" x14ac:dyDescent="0.2">
      <c r="A22" s="676" t="str">
        <f>+VLOOKUP($B22,'Tên NL'!$B:$C,2,0)</f>
        <v>BROKEN RICE</v>
      </c>
      <c r="B22" s="667" t="s">
        <v>1878</v>
      </c>
      <c r="C22" s="1204">
        <v>109.45099999999999</v>
      </c>
      <c r="D22" s="825" t="str">
        <f t="shared" si="0"/>
        <v>RC</v>
      </c>
      <c r="E22" s="572">
        <f t="shared" si="1"/>
        <v>18241.833333333332</v>
      </c>
      <c r="G22" s="671"/>
    </row>
    <row r="23" spans="1:7" x14ac:dyDescent="0.2">
      <c r="A23" s="676" t="str">
        <f>+VLOOKUP($B23,'Tên NL'!$B:$C,2,0)</f>
        <v>Pangasius Fish Oil</v>
      </c>
      <c r="B23" s="667" t="s">
        <v>1546</v>
      </c>
      <c r="C23" s="1204">
        <v>81.603999999999999</v>
      </c>
      <c r="D23" s="825" t="str">
        <f t="shared" si="0"/>
        <v>FO</v>
      </c>
      <c r="E23" s="572">
        <f t="shared" si="1"/>
        <v>13600.666666666668</v>
      </c>
      <c r="G23" s="671"/>
    </row>
    <row r="24" spans="1:7" x14ac:dyDescent="0.2">
      <c r="A24" s="676" t="str">
        <f>+VLOOKUP($B24,'Tên NL'!$B:$C,2,0)</f>
        <v>PORK MEAT &amp; BONE MEAL</v>
      </c>
      <c r="B24" s="667" t="s">
        <v>1784</v>
      </c>
      <c r="C24" s="1204">
        <v>80.944000000000003</v>
      </c>
      <c r="D24" s="825" t="str">
        <f t="shared" si="0"/>
        <v>AP</v>
      </c>
      <c r="E24" s="572">
        <f t="shared" si="1"/>
        <v>13490.666666666668</v>
      </c>
      <c r="G24" s="671"/>
    </row>
    <row r="25" spans="1:7" x14ac:dyDescent="0.2">
      <c r="A25" s="676" t="str">
        <f>+VLOOKUP($B25,'Tên NL'!$B:$C,2,0)</f>
        <v>WHEY POWDER</v>
      </c>
      <c r="B25" s="667" t="s">
        <v>1032</v>
      </c>
      <c r="C25" s="1204">
        <v>78.031000000000006</v>
      </c>
      <c r="D25" s="825" t="str">
        <f t="shared" si="0"/>
        <v>WY</v>
      </c>
      <c r="E25" s="572">
        <f t="shared" si="1"/>
        <v>13005.166666666668</v>
      </c>
      <c r="G25" s="671"/>
    </row>
    <row r="26" spans="1:7" x14ac:dyDescent="0.2">
      <c r="A26" s="676" t="str">
        <f>+VLOOKUP($B26,'Tên NL'!$B:$C,2,0)</f>
        <v>DICALCIUM PHOSPHATE</v>
      </c>
      <c r="B26" s="667" t="s">
        <v>1946</v>
      </c>
      <c r="C26" s="1204">
        <v>74.424000000000007</v>
      </c>
      <c r="D26" s="825" t="str">
        <f t="shared" si="0"/>
        <v>MC</v>
      </c>
      <c r="E26" s="572">
        <f t="shared" si="1"/>
        <v>12404.000000000002</v>
      </c>
      <c r="G26" s="671"/>
    </row>
    <row r="27" spans="1:7" x14ac:dyDescent="0.2">
      <c r="A27" s="676" t="str">
        <f>+VLOOKUP($B27,'Tên NL'!$B:$C,2,0)</f>
        <v>BREWER'S DRIED GRAIN</v>
      </c>
      <c r="B27" s="667" t="s">
        <v>1020</v>
      </c>
      <c r="C27" s="1204">
        <v>72.119</v>
      </c>
      <c r="D27" s="1723" t="str">
        <f t="shared" si="0"/>
        <v>BD</v>
      </c>
      <c r="E27" s="1724">
        <f t="shared" si="1"/>
        <v>12019.833333333332</v>
      </c>
      <c r="G27" s="671"/>
    </row>
    <row r="28" spans="1:7" x14ac:dyDescent="0.2">
      <c r="A28" s="676" t="str">
        <f>+VLOOKUP($B28,'Tên NL'!$B:$C,2,0)</f>
        <v>RICE BRAN SOLVENT</v>
      </c>
      <c r="B28" s="667" t="s">
        <v>1015</v>
      </c>
      <c r="C28" s="1204">
        <v>59.290999999999997</v>
      </c>
      <c r="D28" s="825" t="str">
        <f t="shared" si="0"/>
        <v>RB</v>
      </c>
      <c r="E28" s="572">
        <f t="shared" si="1"/>
        <v>9881.8333333333321</v>
      </c>
      <c r="G28" s="671"/>
    </row>
    <row r="29" spans="1:7" x14ac:dyDescent="0.2">
      <c r="A29" s="676" t="str">
        <f>+VLOOKUP($B29,'Tên NL'!$B:$C,2,0)</f>
        <v>SOYTIDE</v>
      </c>
      <c r="B29" s="667" t="s">
        <v>1775</v>
      </c>
      <c r="C29" s="1204">
        <v>50.38</v>
      </c>
      <c r="D29" s="825" t="str">
        <f t="shared" si="0"/>
        <v>PR</v>
      </c>
      <c r="E29" s="572">
        <f t="shared" si="1"/>
        <v>8396.6666666666661</v>
      </c>
      <c r="G29" s="671"/>
    </row>
    <row r="30" spans="1:7" x14ac:dyDescent="0.2">
      <c r="A30" s="676" t="str">
        <f>+VLOOKUP($B30,'Tên NL'!$B:$C,2,0)</f>
        <v>CORN</v>
      </c>
      <c r="B30" s="667" t="s">
        <v>1278</v>
      </c>
      <c r="C30" s="1204">
        <v>47.4</v>
      </c>
      <c r="D30" s="825" t="str">
        <f t="shared" si="0"/>
        <v>CR</v>
      </c>
      <c r="E30" s="572">
        <f t="shared" si="1"/>
        <v>7899.9999999999991</v>
      </c>
      <c r="G30" s="671"/>
    </row>
    <row r="31" spans="1:7" x14ac:dyDescent="0.2">
      <c r="A31" s="676" t="str">
        <f>+VLOOKUP($B31,'Tên NL'!$B:$C,2,0)</f>
        <v>WHEAT BRAN</v>
      </c>
      <c r="B31" s="667" t="s">
        <v>1034</v>
      </c>
      <c r="C31" s="1204">
        <v>44.847999999999999</v>
      </c>
      <c r="D31" s="825" t="str">
        <f t="shared" si="0"/>
        <v>WB</v>
      </c>
      <c r="E31" s="572">
        <f t="shared" si="1"/>
        <v>7474.666666666667</v>
      </c>
      <c r="G31" s="671"/>
    </row>
    <row r="32" spans="1:7" x14ac:dyDescent="0.2">
      <c r="A32" s="676" t="str">
        <f>+VLOOKUP($B32,'Tên NL'!$B:$C,2,0)</f>
        <v>Deproteinized Whey</v>
      </c>
      <c r="B32" s="667" t="s">
        <v>1029</v>
      </c>
      <c r="C32" s="1204">
        <v>43.168999999999997</v>
      </c>
      <c r="D32" s="825" t="str">
        <f t="shared" si="0"/>
        <v>WY</v>
      </c>
      <c r="E32" s="572">
        <f t="shared" si="1"/>
        <v>7194.8333333333321</v>
      </c>
      <c r="G32" s="671"/>
    </row>
    <row r="33" spans="1:7" x14ac:dyDescent="0.2">
      <c r="A33" s="676" t="str">
        <f>+VLOOKUP($B33,'Tên NL'!$B:$C,2,0)</f>
        <v>MSG By-products</v>
      </c>
      <c r="B33" s="667" t="s">
        <v>1024</v>
      </c>
      <c r="C33" s="1204">
        <v>41.521000000000001</v>
      </c>
      <c r="D33" s="825" t="str">
        <f t="shared" si="0"/>
        <v>VE</v>
      </c>
      <c r="E33" s="572">
        <f t="shared" si="1"/>
        <v>6920.166666666667</v>
      </c>
      <c r="G33" s="671"/>
    </row>
    <row r="34" spans="1:7" x14ac:dyDescent="0.2">
      <c r="A34" s="676" t="str">
        <f>+VLOOKUP($B34,'Tên NL'!$B:$C,2,0)</f>
        <v>L-Lysine Sulphat 70%</v>
      </c>
      <c r="B34" s="667" t="s">
        <v>1596</v>
      </c>
      <c r="C34" s="1204">
        <v>41.177999999999997</v>
      </c>
      <c r="D34" s="825" t="str">
        <f t="shared" si="0"/>
        <v>LL</v>
      </c>
      <c r="E34" s="572">
        <f t="shared" si="1"/>
        <v>6863</v>
      </c>
      <c r="G34" s="671"/>
    </row>
    <row r="35" spans="1:7" x14ac:dyDescent="0.2">
      <c r="A35" s="676" t="str">
        <f>+VLOOKUP($B35,'Tên NL'!$B:$C,2,0)</f>
        <v>SEA SALT</v>
      </c>
      <c r="B35" s="667" t="s">
        <v>1036</v>
      </c>
      <c r="C35" s="1204">
        <v>35.302999999999997</v>
      </c>
      <c r="D35" s="825" t="str">
        <f t="shared" si="0"/>
        <v>SA</v>
      </c>
      <c r="E35" s="572">
        <f t="shared" si="1"/>
        <v>5883.833333333333</v>
      </c>
      <c r="G35" s="671"/>
    </row>
    <row r="36" spans="1:7" x14ac:dyDescent="0.2">
      <c r="A36" s="676" t="str">
        <f>+VLOOKUP($B36,'Tên NL'!$B:$C,2,0)</f>
        <v>CANOLA MEAL PELLETS</v>
      </c>
      <c r="B36" s="667" t="s">
        <v>1693</v>
      </c>
      <c r="C36" s="1204">
        <v>25.556999999999999</v>
      </c>
      <c r="D36" s="825" t="str">
        <f t="shared" si="0"/>
        <v>CA</v>
      </c>
      <c r="E36" s="572">
        <f t="shared" si="1"/>
        <v>4259.5</v>
      </c>
      <c r="G36" s="671"/>
    </row>
    <row r="37" spans="1:7" x14ac:dyDescent="0.2">
      <c r="A37" s="676" t="str">
        <f>+VLOOKUP($B37,'Tên NL'!$B:$C,2,0)</f>
        <v>DEXTROSE</v>
      </c>
      <c r="B37" s="667" t="s">
        <v>828</v>
      </c>
      <c r="C37" s="1204">
        <v>24.125</v>
      </c>
      <c r="D37" s="825" t="str">
        <f t="shared" si="0"/>
        <v>DE</v>
      </c>
      <c r="E37" s="572">
        <f t="shared" si="1"/>
        <v>4020.833333333333</v>
      </c>
      <c r="G37" s="671"/>
    </row>
    <row r="38" spans="1:7" x14ac:dyDescent="0.2">
      <c r="A38" s="676" t="str">
        <f>+VLOOKUP($B38,'Tên NL'!$B:$C,2,0)</f>
        <v>DDGS.</v>
      </c>
      <c r="B38" s="667" t="s">
        <v>1552</v>
      </c>
      <c r="C38" s="1204">
        <v>23.190999999999999</v>
      </c>
      <c r="D38" s="825" t="str">
        <f t="shared" si="0"/>
        <v>DD</v>
      </c>
      <c r="E38" s="572">
        <f t="shared" si="1"/>
        <v>3865.1666666666665</v>
      </c>
      <c r="G38" s="671"/>
    </row>
    <row r="39" spans="1:7" x14ac:dyDescent="0.2">
      <c r="A39" s="676" t="str">
        <f>+VLOOKUP($B39,'Tên NL'!$B:$C,2,0)</f>
        <v>L-Lysine</v>
      </c>
      <c r="B39" s="667" t="s">
        <v>1037</v>
      </c>
      <c r="C39" s="1204">
        <v>22.038</v>
      </c>
      <c r="D39" s="825" t="str">
        <f t="shared" si="0"/>
        <v>LL</v>
      </c>
      <c r="E39" s="572">
        <f t="shared" si="1"/>
        <v>3673</v>
      </c>
      <c r="G39" s="671"/>
    </row>
    <row r="40" spans="1:7" x14ac:dyDescent="0.2">
      <c r="A40" s="676" t="str">
        <f>+VLOOKUP($B40,'Tên NL'!$B:$C,2,0)</f>
        <v>FEATHER MEAL</v>
      </c>
      <c r="B40" s="667" t="s">
        <v>1033</v>
      </c>
      <c r="C40" s="1204">
        <v>21.274999999999999</v>
      </c>
      <c r="D40" s="825" t="str">
        <f t="shared" si="0"/>
        <v>FE</v>
      </c>
      <c r="E40" s="572">
        <f t="shared" si="1"/>
        <v>3545.833333333333</v>
      </c>
      <c r="G40" s="671"/>
    </row>
    <row r="41" spans="1:7" x14ac:dyDescent="0.2">
      <c r="A41" s="676" t="str">
        <f>+VLOOKUP($B41,'Tên NL'!$B:$C,2,0)</f>
        <v>Carob Powder</v>
      </c>
      <c r="B41" s="667" t="s">
        <v>999</v>
      </c>
      <c r="C41" s="1204">
        <v>19.649999999999999</v>
      </c>
      <c r="D41" s="825" t="str">
        <f t="shared" si="0"/>
        <v>CA</v>
      </c>
      <c r="E41" s="572">
        <f t="shared" si="1"/>
        <v>3275</v>
      </c>
      <c r="G41" s="671"/>
    </row>
    <row r="42" spans="1:7" x14ac:dyDescent="0.2">
      <c r="A42" s="676" t="str">
        <f>+VLOOKUP($B42,'Tên NL'!$B:$C,2,0)</f>
        <v>Rumifat Plus (Malaysia)</v>
      </c>
      <c r="B42" s="667" t="s">
        <v>1762</v>
      </c>
      <c r="C42" s="1204">
        <v>18.747</v>
      </c>
      <c r="D42" s="825" t="str">
        <f t="shared" si="0"/>
        <v>Ru</v>
      </c>
      <c r="E42" s="572">
        <f t="shared" si="1"/>
        <v>3124.5</v>
      </c>
      <c r="G42" s="671"/>
    </row>
    <row r="43" spans="1:7" x14ac:dyDescent="0.2">
      <c r="A43" s="676" t="str">
        <f>+VLOOKUP($B43,'Tên NL'!$B:$C,2,0)</f>
        <v>AMINOPLUS# (USA)</v>
      </c>
      <c r="B43" s="667" t="s">
        <v>1850</v>
      </c>
      <c r="C43" s="1204">
        <v>18.716000000000001</v>
      </c>
      <c r="D43" s="825" t="str">
        <f t="shared" si="0"/>
        <v>Am</v>
      </c>
      <c r="E43" s="572">
        <f t="shared" si="1"/>
        <v>3119.3333333333335</v>
      </c>
      <c r="G43" s="671"/>
    </row>
    <row r="44" spans="1:7" x14ac:dyDescent="0.2">
      <c r="A44" s="676" t="str">
        <f>+VLOOKUP($B44,'Tên NL'!$B:$C,2,0)</f>
        <v>LIMESTONE (COARSE)</v>
      </c>
      <c r="B44" s="667" t="s">
        <v>1389</v>
      </c>
      <c r="C44" s="1204">
        <v>15.8</v>
      </c>
      <c r="D44" s="825" t="str">
        <f t="shared" si="0"/>
        <v>LS</v>
      </c>
      <c r="E44" s="572">
        <f t="shared" si="1"/>
        <v>2633.3333333333335</v>
      </c>
      <c r="G44" s="671"/>
    </row>
    <row r="45" spans="1:7" x14ac:dyDescent="0.2">
      <c r="A45" s="676" t="str">
        <f>+VLOOKUP($B45,'Tên NL'!$B:$C,2,0)</f>
        <v>DL-Methionine (Singapore)</v>
      </c>
      <c r="B45" s="667" t="s">
        <v>1039</v>
      </c>
      <c r="C45" s="1204">
        <v>14.58</v>
      </c>
      <c r="D45" s="825" t="str">
        <f t="shared" si="0"/>
        <v>DL</v>
      </c>
      <c r="E45" s="572">
        <f t="shared" si="1"/>
        <v>2430</v>
      </c>
      <c r="G45" s="671"/>
    </row>
    <row r="46" spans="1:7" x14ac:dyDescent="0.2">
      <c r="A46" s="676" t="str">
        <f>+VLOOKUP($B46,'Tên NL'!$B:$C,2,0)</f>
        <v>Nextide (ViÖt Nam)</v>
      </c>
      <c r="B46" s="667" t="s">
        <v>1920</v>
      </c>
      <c r="C46" s="1204">
        <v>14.52</v>
      </c>
      <c r="D46" s="825" t="str">
        <f t="shared" si="0"/>
        <v>NE</v>
      </c>
      <c r="E46" s="572">
        <f t="shared" si="1"/>
        <v>2420</v>
      </c>
      <c r="G46" s="671"/>
    </row>
    <row r="47" spans="1:7" x14ac:dyDescent="0.2">
      <c r="A47" s="676" t="str">
        <f>+VLOOKUP($B47,'Tên NL'!$B:$C,2,0)</f>
        <v>SOY HULL</v>
      </c>
      <c r="B47" s="667" t="s">
        <v>1677</v>
      </c>
      <c r="C47" s="1204">
        <v>13.462999999999999</v>
      </c>
      <c r="D47" s="825" t="str">
        <f t="shared" si="0"/>
        <v>SO</v>
      </c>
      <c r="E47" s="572">
        <f t="shared" si="1"/>
        <v>2243.8333333333335</v>
      </c>
      <c r="G47" s="671"/>
    </row>
    <row r="48" spans="1:7" x14ac:dyDescent="0.2">
      <c r="A48" s="676" t="str">
        <f>+VLOOKUP($B48,'Tên NL'!$B:$C,2,0)</f>
        <v>L-Threonine (China)</v>
      </c>
      <c r="B48" s="667" t="s">
        <v>1040</v>
      </c>
      <c r="C48" s="1204">
        <v>12.574999999999999</v>
      </c>
      <c r="D48" s="825" t="str">
        <f t="shared" si="0"/>
        <v>L-</v>
      </c>
      <c r="E48" s="572">
        <f t="shared" si="1"/>
        <v>2095.833333333333</v>
      </c>
      <c r="G48" s="671"/>
    </row>
    <row r="49" spans="1:7" x14ac:dyDescent="0.2">
      <c r="A49" s="676" t="str">
        <f>+VLOOKUP($B49,'Tên NL'!$B:$C,2,0)</f>
        <v>Myco curb liquid</v>
      </c>
      <c r="B49" s="667" t="s">
        <v>1041</v>
      </c>
      <c r="C49" s="1204">
        <v>12.196999999999999</v>
      </c>
      <c r="D49" s="825" t="str">
        <f t="shared" si="0"/>
        <v>MY</v>
      </c>
      <c r="E49" s="572">
        <f t="shared" si="1"/>
        <v>2032.833333333333</v>
      </c>
      <c r="G49" s="671"/>
    </row>
    <row r="50" spans="1:7" x14ac:dyDescent="0.2">
      <c r="A50" s="676" t="str">
        <f>+VLOOKUP($B50,'Tên NL'!$B:$C,2,0)</f>
        <v>Betafin LQD 38% (Finland)</v>
      </c>
      <c r="B50" s="667" t="s">
        <v>1043</v>
      </c>
      <c r="C50" s="1204">
        <v>11.951000000000001</v>
      </c>
      <c r="D50" s="825" t="str">
        <f t="shared" si="0"/>
        <v>Be</v>
      </c>
      <c r="E50" s="572">
        <f t="shared" si="1"/>
        <v>1991.8333333333333</v>
      </c>
      <c r="G50" s="671"/>
    </row>
    <row r="51" spans="1:7" x14ac:dyDescent="0.2">
      <c r="A51" s="676" t="str">
        <f>+VLOOKUP($B51,'Tên NL'!$B:$C,2,0)</f>
        <v>Calcium feed</v>
      </c>
      <c r="B51" s="667" t="s">
        <v>1042</v>
      </c>
      <c r="C51" s="1204">
        <v>8.94</v>
      </c>
      <c r="D51" s="825" t="str">
        <f t="shared" si="0"/>
        <v>LS</v>
      </c>
      <c r="E51" s="572">
        <f t="shared" si="1"/>
        <v>1490</v>
      </c>
      <c r="G51" s="671"/>
    </row>
    <row r="52" spans="1:7" x14ac:dyDescent="0.2">
      <c r="A52" s="676" t="str">
        <f>+VLOOKUP($B52,'Tên NL'!$B:$C,2,0)</f>
        <v>UREA</v>
      </c>
      <c r="B52" s="667" t="s">
        <v>1000</v>
      </c>
      <c r="C52" s="1204">
        <v>8.702</v>
      </c>
      <c r="D52" s="825" t="str">
        <f t="shared" si="0"/>
        <v>UR</v>
      </c>
      <c r="E52" s="572">
        <f t="shared" si="1"/>
        <v>1450.3333333333333</v>
      </c>
      <c r="G52" s="671"/>
    </row>
    <row r="53" spans="1:7" x14ac:dyDescent="0.2">
      <c r="A53" s="676" t="str">
        <f>+VLOOKUP($B53,'Tên NL'!$B:$C,2,0)</f>
        <v>CRUDE SOYBEAN OIL</v>
      </c>
      <c r="B53" s="667" t="s">
        <v>1044</v>
      </c>
      <c r="C53" s="1204">
        <v>8.1999999999999993</v>
      </c>
      <c r="D53" s="825" t="str">
        <f t="shared" si="0"/>
        <v>SO</v>
      </c>
      <c r="E53" s="572">
        <f t="shared" si="1"/>
        <v>1366.6666666666665</v>
      </c>
      <c r="G53" s="671"/>
    </row>
    <row r="54" spans="1:7" x14ac:dyDescent="0.2">
      <c r="A54" s="676" t="str">
        <f>+VLOOKUP($B54,'Tên NL'!$B:$C,2,0)</f>
        <v>Choline Chloride (BELGIUM)</v>
      </c>
      <c r="B54" s="667" t="s">
        <v>1045</v>
      </c>
      <c r="C54" s="1204">
        <v>6.532</v>
      </c>
      <c r="D54" s="825" t="str">
        <f t="shared" si="0"/>
        <v>CC</v>
      </c>
      <c r="E54" s="572">
        <f t="shared" si="1"/>
        <v>1088.6666666666667</v>
      </c>
      <c r="G54" s="671"/>
    </row>
    <row r="55" spans="1:7" x14ac:dyDescent="0.2">
      <c r="A55" s="676" t="str">
        <f>+VLOOKUP($B55,'Tên NL'!$B:$C,2,0)</f>
        <v>Pangasius Fish Oil</v>
      </c>
      <c r="B55" s="667" t="s">
        <v>1547</v>
      </c>
      <c r="C55" s="1204">
        <v>6.2649999999999997</v>
      </c>
      <c r="D55" s="825" t="str">
        <f t="shared" si="0"/>
        <v>FO</v>
      </c>
      <c r="E55" s="572">
        <f t="shared" si="1"/>
        <v>1044.1666666666667</v>
      </c>
      <c r="G55" s="671"/>
    </row>
    <row r="56" spans="1:7" x14ac:dyDescent="0.2">
      <c r="A56" s="676" t="str">
        <f>+VLOOKUP($B56,'Tên NL'!$B:$C,2,0)</f>
        <v>Acid Lac Premium Liquip (Singapore)</v>
      </c>
      <c r="B56" s="667" t="s">
        <v>1046</v>
      </c>
      <c r="C56" s="1204">
        <v>5.4210000000000003</v>
      </c>
      <c r="D56" s="825" t="str">
        <f t="shared" si="0"/>
        <v>AC</v>
      </c>
      <c r="E56" s="572">
        <f t="shared" si="1"/>
        <v>903.50000000000011</v>
      </c>
      <c r="G56" s="671"/>
    </row>
    <row r="57" spans="1:7" x14ac:dyDescent="0.2">
      <c r="A57" s="676" t="str">
        <f>+VLOOKUP($B57,'Tên NL'!$B:$C,2,0)</f>
        <v>L-lysine Liquid lysine feed grade (Indo)</v>
      </c>
      <c r="B57" s="667" t="s">
        <v>1315</v>
      </c>
      <c r="C57" s="1204">
        <v>5.3159999999999998</v>
      </c>
      <c r="D57" s="825" t="str">
        <f t="shared" si="0"/>
        <v>L-</v>
      </c>
      <c r="E57" s="572">
        <f t="shared" si="1"/>
        <v>886</v>
      </c>
      <c r="G57" s="671"/>
    </row>
    <row r="58" spans="1:7" x14ac:dyDescent="0.2">
      <c r="A58" s="676" t="str">
        <f>+VLOOKUP($B58,'Tên NL'!$B:$C,2,0)</f>
        <v>MS SWINE 0314</v>
      </c>
      <c r="B58" s="667" t="s">
        <v>1050</v>
      </c>
      <c r="C58" s="1204">
        <v>4.6760000000000002</v>
      </c>
      <c r="D58" s="825" t="str">
        <f t="shared" si="0"/>
        <v>MS</v>
      </c>
      <c r="E58" s="572">
        <f t="shared" si="1"/>
        <v>779.33333333333337</v>
      </c>
      <c r="G58" s="671"/>
    </row>
    <row r="59" spans="1:7" x14ac:dyDescent="0.2">
      <c r="A59" s="676" t="str">
        <f>+VLOOKUP($B59,'Tên NL'!$B:$C,2,0)</f>
        <v>ALLPLEX GF (USA)</v>
      </c>
      <c r="B59" s="667" t="s">
        <v>1048</v>
      </c>
      <c r="C59" s="1204">
        <v>4.5609999999999999</v>
      </c>
      <c r="D59" s="825" t="str">
        <f t="shared" si="0"/>
        <v>AL</v>
      </c>
      <c r="E59" s="572">
        <f t="shared" si="1"/>
        <v>760.16666666666663</v>
      </c>
      <c r="G59" s="671"/>
    </row>
    <row r="60" spans="1:7" x14ac:dyDescent="0.2">
      <c r="A60" s="676" t="str">
        <f>+VLOOKUP($B60,'Tên NL'!$B:$C,2,0)</f>
        <v>DPS 50(USA)</v>
      </c>
      <c r="B60" s="667" t="s">
        <v>1149</v>
      </c>
      <c r="C60" s="1204">
        <v>4.26</v>
      </c>
      <c r="D60" s="825" t="str">
        <f t="shared" si="0"/>
        <v>DP</v>
      </c>
      <c r="E60" s="572">
        <f t="shared" si="1"/>
        <v>710</v>
      </c>
      <c r="G60" s="671"/>
    </row>
    <row r="61" spans="1:7" x14ac:dyDescent="0.2">
      <c r="A61" s="676" t="str">
        <f>+VLOOKUP($B61,'Tên NL'!$B:$C,2,0)</f>
        <v>Premix Amnil</v>
      </c>
      <c r="B61" s="667" t="s">
        <v>1680</v>
      </c>
      <c r="C61" s="1204">
        <v>3.863</v>
      </c>
      <c r="D61" s="825" t="str">
        <f t="shared" si="0"/>
        <v>PR</v>
      </c>
      <c r="E61" s="572">
        <f t="shared" si="1"/>
        <v>643.83333333333337</v>
      </c>
      <c r="G61" s="671"/>
    </row>
    <row r="62" spans="1:7" x14ac:dyDescent="0.2">
      <c r="A62" s="676" t="str">
        <f>+VLOOKUP($B62,'Tên NL'!$B:$C,2,0)</f>
        <v>Sodium Bicabonate</v>
      </c>
      <c r="B62" s="667" t="s">
        <v>1131</v>
      </c>
      <c r="C62" s="1204">
        <v>3.8610000000000002</v>
      </c>
      <c r="D62" s="825" t="str">
        <f t="shared" si="0"/>
        <v>SB</v>
      </c>
      <c r="E62" s="572">
        <f t="shared" si="1"/>
        <v>643.50000000000011</v>
      </c>
      <c r="G62" s="671"/>
    </row>
    <row r="63" spans="1:7" x14ac:dyDescent="0.2">
      <c r="A63" s="676" t="str">
        <f>+VLOOKUP($B63,'Tên NL'!$B:$C,2,0)</f>
        <v>Zinc Oxide</v>
      </c>
      <c r="B63" s="667" t="s">
        <v>1553</v>
      </c>
      <c r="C63" s="1204">
        <v>3.8519999999999999</v>
      </c>
      <c r="D63" s="825" t="str">
        <f t="shared" si="0"/>
        <v>ZI</v>
      </c>
      <c r="E63" s="572">
        <f t="shared" si="1"/>
        <v>642</v>
      </c>
      <c r="G63" s="671"/>
    </row>
    <row r="64" spans="1:7" x14ac:dyDescent="0.2">
      <c r="A64" s="676" t="str">
        <f>+VLOOKUP($B64,'Tên NL'!$B:$C,2,0)</f>
        <v>Nutracor (Malaysia)</v>
      </c>
      <c r="B64" s="667" t="s">
        <v>1785</v>
      </c>
      <c r="C64" s="1204">
        <v>3.581</v>
      </c>
      <c r="D64" s="825" t="str">
        <f t="shared" si="0"/>
        <v>Nu</v>
      </c>
      <c r="E64" s="572">
        <f t="shared" si="1"/>
        <v>596.83333333333337</v>
      </c>
      <c r="F64" s="672"/>
      <c r="G64" s="673"/>
    </row>
    <row r="65" spans="1:5" x14ac:dyDescent="0.2">
      <c r="A65" s="676" t="str">
        <f>+VLOOKUP($B65,'Tên NL'!$B:$C,2,0)</f>
        <v>L-Tryptophan</v>
      </c>
      <c r="B65" s="667" t="s">
        <v>1054</v>
      </c>
      <c r="C65" s="1204">
        <v>3.1339999999999999</v>
      </c>
      <c r="D65" s="825" t="str">
        <f t="shared" si="0"/>
        <v>L-</v>
      </c>
      <c r="E65" s="572">
        <f t="shared" si="1"/>
        <v>522.33333333333337</v>
      </c>
    </row>
    <row r="66" spans="1:5" x14ac:dyDescent="0.2">
      <c r="A66" s="676" t="str">
        <f>+VLOOKUP($B66,'Tên NL'!$B:$C,2,0)</f>
        <v>L-Valine (China)</v>
      </c>
      <c r="B66" s="667" t="s">
        <v>1264</v>
      </c>
      <c r="C66" s="1204">
        <v>2.9910000000000001</v>
      </c>
      <c r="D66" s="825" t="str">
        <f t="shared" si="0"/>
        <v>L-</v>
      </c>
      <c r="E66" s="572">
        <f t="shared" si="1"/>
        <v>498.5</v>
      </c>
    </row>
    <row r="67" spans="1:5" x14ac:dyDescent="0.2">
      <c r="A67" s="676" t="str">
        <f>+VLOOKUP($B67,'Tên NL'!$B:$C,2,0)</f>
        <v>Premix 52M</v>
      </c>
      <c r="B67" s="667" t="s">
        <v>1049</v>
      </c>
      <c r="C67" s="1204">
        <v>2.8929999999999998</v>
      </c>
      <c r="D67" s="825" t="str">
        <f t="shared" si="0"/>
        <v>52</v>
      </c>
      <c r="E67" s="572">
        <f t="shared" si="1"/>
        <v>482.16666666666663</v>
      </c>
    </row>
    <row r="68" spans="1:5" x14ac:dyDescent="0.2">
      <c r="A68" s="676" t="str">
        <f>+VLOOKUP($B68,'Tên NL'!$B:$C,2,0)</f>
        <v>Rumifat R100 (Malaysia)</v>
      </c>
      <c r="B68" s="667" t="s">
        <v>1764</v>
      </c>
      <c r="C68" s="1204">
        <v>2.7890000000000001</v>
      </c>
      <c r="D68" s="825" t="str">
        <f t="shared" si="0"/>
        <v>Ru</v>
      </c>
      <c r="E68" s="572">
        <f t="shared" si="1"/>
        <v>464.83333333333337</v>
      </c>
    </row>
    <row r="69" spans="1:5" x14ac:dyDescent="0.2">
      <c r="A69" s="676" t="str">
        <f>+VLOOKUP($B69,'Tên NL'!$B:$C,2,0)</f>
        <v>Rhodimet AT88 (China)</v>
      </c>
      <c r="B69" s="667" t="s">
        <v>1825</v>
      </c>
      <c r="C69" s="1204">
        <v>2.5779999999999998</v>
      </c>
      <c r="D69" s="825" t="str">
        <f t="shared" si="0"/>
        <v>RH</v>
      </c>
      <c r="E69" s="572">
        <f t="shared" si="1"/>
        <v>429.66666666666663</v>
      </c>
    </row>
    <row r="70" spans="1:5" x14ac:dyDescent="0.2">
      <c r="A70" s="676" t="str">
        <f>+VLOOKUP($B70,'Tên NL'!$B:$C,2,0)</f>
        <v>Premix RED 2%</v>
      </c>
      <c r="B70" s="667" t="s">
        <v>1002</v>
      </c>
      <c r="C70" s="1204">
        <v>2.5139999999999998</v>
      </c>
      <c r="D70" s="825" t="str">
        <f t="shared" si="0"/>
        <v>PM</v>
      </c>
      <c r="E70" s="572">
        <f t="shared" si="1"/>
        <v>419</v>
      </c>
    </row>
    <row r="71" spans="1:5" x14ac:dyDescent="0.2">
      <c r="A71" s="676" t="str">
        <f>+VLOOKUP($B71,'Tên NL'!$B:$C,2,0)</f>
        <v>ALLPLEX S (USA)</v>
      </c>
      <c r="B71" s="667" t="s">
        <v>1052</v>
      </c>
      <c r="C71" s="1204">
        <v>2.5049999999999999</v>
      </c>
      <c r="D71" s="825" t="str">
        <f t="shared" ref="D71:D134" si="2">LEFT(B71,2)</f>
        <v>AL</v>
      </c>
      <c r="E71" s="572">
        <f t="shared" ref="E71:E134" si="3">C71/$D$4*1000</f>
        <v>417.5</v>
      </c>
    </row>
    <row r="72" spans="1:5" x14ac:dyDescent="0.2">
      <c r="A72" s="676" t="str">
        <f>+VLOOKUP($B72,'Tên NL'!$B:$C,2,0)</f>
        <v>Acid Buf 10 (Ireland)</v>
      </c>
      <c r="B72" s="667" t="s">
        <v>1778</v>
      </c>
      <c r="C72" s="1204">
        <v>1.972</v>
      </c>
      <c r="D72" s="825" t="str">
        <f t="shared" si="2"/>
        <v>AC</v>
      </c>
      <c r="E72" s="572">
        <f t="shared" si="3"/>
        <v>328.66666666666669</v>
      </c>
    </row>
    <row r="73" spans="1:5" x14ac:dyDescent="0.2">
      <c r="A73" s="676" t="e">
        <f>+VLOOKUP($B73,'Tên NL'!$B:$C,2,0)</f>
        <v>#N/A</v>
      </c>
      <c r="C73" s="667"/>
      <c r="D73" s="825" t="str">
        <f t="shared" si="2"/>
        <v/>
      </c>
      <c r="E73" s="572">
        <f t="shared" si="3"/>
        <v>0</v>
      </c>
    </row>
    <row r="74" spans="1:5" x14ac:dyDescent="0.2">
      <c r="A74" s="676" t="e">
        <f>+VLOOKUP($B74,'Tên NL'!$B:$C,2,0)</f>
        <v>#N/A</v>
      </c>
      <c r="C74" s="667"/>
      <c r="D74" s="825" t="str">
        <f t="shared" si="2"/>
        <v/>
      </c>
      <c r="E74" s="572">
        <f t="shared" si="3"/>
        <v>0</v>
      </c>
    </row>
    <row r="75" spans="1:5" x14ac:dyDescent="0.2">
      <c r="A75" s="676" t="e">
        <f>+VLOOKUP($B75,'Tên NL'!$B:$C,2,0)</f>
        <v>#N/A</v>
      </c>
      <c r="C75" s="667"/>
      <c r="D75" s="825" t="str">
        <f t="shared" si="2"/>
        <v/>
      </c>
      <c r="E75" s="572">
        <f t="shared" si="3"/>
        <v>0</v>
      </c>
    </row>
    <row r="76" spans="1:5" x14ac:dyDescent="0.2">
      <c r="A76" s="676" t="e">
        <f>+VLOOKUP($B76,'Tên NL'!$B:$C,2,0)</f>
        <v>#N/A</v>
      </c>
      <c r="C76" s="667"/>
      <c r="D76" s="825" t="str">
        <f t="shared" si="2"/>
        <v/>
      </c>
      <c r="E76" s="572">
        <f t="shared" si="3"/>
        <v>0</v>
      </c>
    </row>
    <row r="77" spans="1:5" x14ac:dyDescent="0.2">
      <c r="A77" s="676" t="e">
        <f>+VLOOKUP($B77,'Tên NL'!$B:$C,2,0)</f>
        <v>#N/A</v>
      </c>
      <c r="C77" s="667"/>
      <c r="D77" s="825" t="str">
        <f t="shared" si="2"/>
        <v/>
      </c>
      <c r="E77" s="572">
        <f t="shared" si="3"/>
        <v>0</v>
      </c>
    </row>
    <row r="78" spans="1:5" x14ac:dyDescent="0.2">
      <c r="A78" s="676" t="e">
        <f>+VLOOKUP($B78,'Tên NL'!$B:$C,2,0)</f>
        <v>#N/A</v>
      </c>
      <c r="C78" s="667"/>
      <c r="D78" s="825" t="str">
        <f t="shared" si="2"/>
        <v/>
      </c>
      <c r="E78" s="572">
        <f t="shared" si="3"/>
        <v>0</v>
      </c>
    </row>
    <row r="79" spans="1:5" x14ac:dyDescent="0.2">
      <c r="A79" s="676" t="e">
        <f>+VLOOKUP($B79,'Tên NL'!$B:$C,2,0)</f>
        <v>#N/A</v>
      </c>
      <c r="C79" s="667"/>
      <c r="D79" s="825" t="str">
        <f t="shared" si="2"/>
        <v/>
      </c>
      <c r="E79" s="572">
        <f t="shared" si="3"/>
        <v>0</v>
      </c>
    </row>
    <row r="80" spans="1:5" x14ac:dyDescent="0.2">
      <c r="A80" s="676" t="e">
        <f>+VLOOKUP($B80,'Tên NL'!$B:$C,2,0)</f>
        <v>#N/A</v>
      </c>
      <c r="C80" s="667"/>
      <c r="D80" s="825" t="str">
        <f t="shared" si="2"/>
        <v/>
      </c>
      <c r="E80" s="572">
        <f t="shared" si="3"/>
        <v>0</v>
      </c>
    </row>
    <row r="81" spans="1:5" x14ac:dyDescent="0.2">
      <c r="A81" s="676" t="e">
        <f>+VLOOKUP($B81,'Tên NL'!$B:$C,2,0)</f>
        <v>#N/A</v>
      </c>
      <c r="C81" s="667"/>
      <c r="D81" s="825" t="str">
        <f t="shared" si="2"/>
        <v/>
      </c>
      <c r="E81" s="572">
        <f t="shared" si="3"/>
        <v>0</v>
      </c>
    </row>
    <row r="82" spans="1:5" x14ac:dyDescent="0.2">
      <c r="A82" s="676" t="e">
        <f>+VLOOKUP($B82,'Tên NL'!$B:$C,2,0)</f>
        <v>#N/A</v>
      </c>
      <c r="C82" s="667"/>
      <c r="D82" s="825" t="str">
        <f t="shared" si="2"/>
        <v/>
      </c>
      <c r="E82" s="572">
        <f t="shared" si="3"/>
        <v>0</v>
      </c>
    </row>
    <row r="83" spans="1:5" x14ac:dyDescent="0.2">
      <c r="A83" s="676" t="e">
        <f>+VLOOKUP($B83,'Tên NL'!$B:$C,2,0)</f>
        <v>#N/A</v>
      </c>
      <c r="C83" s="667"/>
      <c r="D83" s="825" t="str">
        <f t="shared" si="2"/>
        <v/>
      </c>
      <c r="E83" s="572">
        <f t="shared" si="3"/>
        <v>0</v>
      </c>
    </row>
    <row r="84" spans="1:5" x14ac:dyDescent="0.2">
      <c r="A84" s="676" t="e">
        <f>+VLOOKUP($B84,'Tên NL'!$B:$C,2,0)</f>
        <v>#N/A</v>
      </c>
      <c r="C84" s="667"/>
      <c r="D84" s="825" t="str">
        <f t="shared" si="2"/>
        <v/>
      </c>
      <c r="E84" s="572">
        <f t="shared" si="3"/>
        <v>0</v>
      </c>
    </row>
    <row r="85" spans="1:5" x14ac:dyDescent="0.2">
      <c r="A85" s="676" t="e">
        <f>+VLOOKUP($B85,'Tên NL'!$B:$C,2,0)</f>
        <v>#N/A</v>
      </c>
      <c r="C85" s="667"/>
      <c r="D85" s="825" t="str">
        <f t="shared" si="2"/>
        <v/>
      </c>
      <c r="E85" s="572">
        <f t="shared" si="3"/>
        <v>0</v>
      </c>
    </row>
    <row r="86" spans="1:5" x14ac:dyDescent="0.2">
      <c r="A86" s="676" t="e">
        <f>+VLOOKUP($B86,'Tên NL'!$B:$C,2,0)</f>
        <v>#N/A</v>
      </c>
      <c r="C86" s="667"/>
      <c r="D86" s="825" t="str">
        <f t="shared" si="2"/>
        <v/>
      </c>
      <c r="E86" s="572">
        <f t="shared" si="3"/>
        <v>0</v>
      </c>
    </row>
    <row r="87" spans="1:5" x14ac:dyDescent="0.2">
      <c r="A87" s="676" t="e">
        <f>+VLOOKUP($B87,'Tên NL'!$B:$C,2,0)</f>
        <v>#N/A</v>
      </c>
      <c r="C87" s="667"/>
      <c r="D87" s="825" t="str">
        <f t="shared" si="2"/>
        <v/>
      </c>
      <c r="E87" s="572">
        <f t="shared" si="3"/>
        <v>0</v>
      </c>
    </row>
    <row r="88" spans="1:5" x14ac:dyDescent="0.2">
      <c r="A88" s="676" t="e">
        <f>+VLOOKUP($B88,'Tên NL'!$B:$C,2,0)</f>
        <v>#N/A</v>
      </c>
      <c r="C88" s="667"/>
      <c r="D88" s="825" t="str">
        <f t="shared" si="2"/>
        <v/>
      </c>
      <c r="E88" s="572">
        <f t="shared" si="3"/>
        <v>0</v>
      </c>
    </row>
    <row r="89" spans="1:5" x14ac:dyDescent="0.2">
      <c r="A89" s="676" t="e">
        <f>+VLOOKUP($B89,'Tên NL'!$B:$C,2,0)</f>
        <v>#N/A</v>
      </c>
      <c r="C89" s="667"/>
      <c r="D89" s="825" t="str">
        <f t="shared" si="2"/>
        <v/>
      </c>
      <c r="E89" s="572">
        <f t="shared" si="3"/>
        <v>0</v>
      </c>
    </row>
    <row r="90" spans="1:5" x14ac:dyDescent="0.2">
      <c r="A90" s="676" t="e">
        <f>+VLOOKUP($B90,'Tên NL'!$B:$C,2,0)</f>
        <v>#N/A</v>
      </c>
      <c r="C90" s="667"/>
      <c r="D90" s="825" t="str">
        <f t="shared" si="2"/>
        <v/>
      </c>
      <c r="E90" s="572">
        <f t="shared" si="3"/>
        <v>0</v>
      </c>
    </row>
    <row r="91" spans="1:5" x14ac:dyDescent="0.2">
      <c r="A91" s="676" t="e">
        <f>+VLOOKUP($B91,'Tên NL'!$B:$C,2,0)</f>
        <v>#N/A</v>
      </c>
      <c r="C91" s="667"/>
      <c r="D91" s="825" t="str">
        <f t="shared" si="2"/>
        <v/>
      </c>
      <c r="E91" s="572">
        <f t="shared" si="3"/>
        <v>0</v>
      </c>
    </row>
    <row r="92" spans="1:5" x14ac:dyDescent="0.2">
      <c r="A92" s="676" t="e">
        <f>+VLOOKUP($B92,'Tên NL'!$B:$C,2,0)</f>
        <v>#N/A</v>
      </c>
      <c r="C92" s="667"/>
      <c r="D92" s="825" t="str">
        <f t="shared" si="2"/>
        <v/>
      </c>
      <c r="E92" s="572">
        <f t="shared" si="3"/>
        <v>0</v>
      </c>
    </row>
    <row r="93" spans="1:5" x14ac:dyDescent="0.2">
      <c r="A93" s="676" t="e">
        <f>+VLOOKUP($B93,'Tên NL'!$B:$C,2,0)</f>
        <v>#N/A</v>
      </c>
      <c r="C93" s="667"/>
      <c r="D93" s="825" t="str">
        <f t="shared" si="2"/>
        <v/>
      </c>
      <c r="E93" s="572">
        <f t="shared" si="3"/>
        <v>0</v>
      </c>
    </row>
    <row r="94" spans="1:5" x14ac:dyDescent="0.2">
      <c r="A94" s="676" t="e">
        <f>+VLOOKUP($B94,'Tên NL'!$B:$C,2,0)</f>
        <v>#N/A</v>
      </c>
      <c r="C94" s="667"/>
      <c r="D94" s="825" t="str">
        <f t="shared" si="2"/>
        <v/>
      </c>
      <c r="E94" s="572">
        <f t="shared" si="3"/>
        <v>0</v>
      </c>
    </row>
    <row r="95" spans="1:5" x14ac:dyDescent="0.2">
      <c r="A95" s="676" t="e">
        <f>+VLOOKUP($B95,'Tên NL'!$B:$C,2,0)</f>
        <v>#N/A</v>
      </c>
      <c r="C95" s="667"/>
      <c r="D95" s="825" t="str">
        <f t="shared" si="2"/>
        <v/>
      </c>
      <c r="E95" s="572">
        <f t="shared" si="3"/>
        <v>0</v>
      </c>
    </row>
    <row r="96" spans="1:5" x14ac:dyDescent="0.2">
      <c r="A96" s="676" t="e">
        <f>+VLOOKUP($B96,'Tên NL'!$B:$C,2,0)</f>
        <v>#N/A</v>
      </c>
      <c r="C96" s="667"/>
      <c r="D96" s="825" t="str">
        <f t="shared" si="2"/>
        <v/>
      </c>
      <c r="E96" s="572">
        <f t="shared" si="3"/>
        <v>0</v>
      </c>
    </row>
    <row r="97" spans="1:5" x14ac:dyDescent="0.2">
      <c r="A97" s="676" t="e">
        <f>+VLOOKUP($B97,'Tên NL'!$B:$C,2,0)</f>
        <v>#N/A</v>
      </c>
      <c r="C97" s="667"/>
      <c r="D97" s="825" t="str">
        <f t="shared" si="2"/>
        <v/>
      </c>
      <c r="E97" s="572">
        <f t="shared" si="3"/>
        <v>0</v>
      </c>
    </row>
    <row r="98" spans="1:5" x14ac:dyDescent="0.2">
      <c r="A98" s="676" t="e">
        <f>+VLOOKUP($B98,'Tên NL'!$B:$C,2,0)</f>
        <v>#N/A</v>
      </c>
      <c r="C98" s="667"/>
      <c r="D98" s="825" t="str">
        <f t="shared" si="2"/>
        <v/>
      </c>
      <c r="E98" s="572">
        <f t="shared" si="3"/>
        <v>0</v>
      </c>
    </row>
    <row r="99" spans="1:5" x14ac:dyDescent="0.2">
      <c r="A99" s="676" t="e">
        <f>+VLOOKUP($B99,'Tên NL'!$B:$C,2,0)</f>
        <v>#N/A</v>
      </c>
      <c r="C99" s="667"/>
      <c r="D99" s="825" t="str">
        <f t="shared" si="2"/>
        <v/>
      </c>
      <c r="E99" s="572">
        <f t="shared" si="3"/>
        <v>0</v>
      </c>
    </row>
    <row r="100" spans="1:5" x14ac:dyDescent="0.2">
      <c r="A100" s="676" t="e">
        <f>+VLOOKUP($B100,'Tên NL'!$B:$C,2,0)</f>
        <v>#N/A</v>
      </c>
      <c r="C100" s="667"/>
      <c r="D100" s="825" t="str">
        <f t="shared" si="2"/>
        <v/>
      </c>
      <c r="E100" s="572">
        <f t="shared" si="3"/>
        <v>0</v>
      </c>
    </row>
    <row r="101" spans="1:5" x14ac:dyDescent="0.2">
      <c r="A101" s="676" t="str">
        <f>+VLOOKUP($B101,'Tên NL'!$B:$C,2,0)</f>
        <v>Premix 52SV</v>
      </c>
      <c r="B101" s="667" t="s">
        <v>1064</v>
      </c>
      <c r="C101" s="1204">
        <v>1.8340000000000001</v>
      </c>
      <c r="D101" s="825" t="str">
        <f t="shared" si="2"/>
        <v>52</v>
      </c>
      <c r="E101" s="572">
        <f t="shared" si="3"/>
        <v>305.66666666666669</v>
      </c>
    </row>
    <row r="102" spans="1:5" x14ac:dyDescent="0.2">
      <c r="A102" s="676" t="str">
        <f>+VLOOKUP($B102,'Tên NL'!$B:$C,2,0)</f>
        <v>Premix 51V</v>
      </c>
      <c r="B102" s="667" t="s">
        <v>1056</v>
      </c>
      <c r="C102" s="1204">
        <v>1.7749999999999999</v>
      </c>
      <c r="D102" s="825" t="str">
        <f t="shared" si="2"/>
        <v>51</v>
      </c>
      <c r="E102" s="572">
        <f t="shared" si="3"/>
        <v>295.83333333333331</v>
      </c>
    </row>
    <row r="103" spans="1:5" x14ac:dyDescent="0.2">
      <c r="A103" s="676" t="str">
        <f>+VLOOKUP($B103,'Tên NL'!$B:$C,2,0)</f>
        <v>Avi - Mul Top Feed Grade (Italy)</v>
      </c>
      <c r="B103" s="667" t="s">
        <v>1055</v>
      </c>
      <c r="C103" s="1204">
        <v>1.712</v>
      </c>
      <c r="D103" s="825" t="str">
        <f t="shared" si="2"/>
        <v>AV</v>
      </c>
      <c r="E103" s="572">
        <f t="shared" si="3"/>
        <v>285.33333333333331</v>
      </c>
    </row>
    <row r="104" spans="1:5" x14ac:dyDescent="0.2">
      <c r="A104" s="676" t="str">
        <f>+VLOOKUP($B104,'Tên NL'!$B:$C,2,0)</f>
        <v>Availa-ZN 120</v>
      </c>
      <c r="B104" s="667" t="s">
        <v>1069</v>
      </c>
      <c r="C104" s="1204">
        <v>1.696</v>
      </c>
      <c r="D104" s="825" t="str">
        <f t="shared" si="2"/>
        <v>AV</v>
      </c>
      <c r="E104" s="572">
        <f t="shared" si="3"/>
        <v>282.66666666666669</v>
      </c>
    </row>
    <row r="105" spans="1:5" x14ac:dyDescent="0.2">
      <c r="A105" s="676" t="str">
        <f>+VLOOKUP($B105,'Tên NL'!$B:$C,2,0)</f>
        <v>FEED GRADE MONTMORILLONITE (CN)</v>
      </c>
      <c r="B105" s="667" t="s">
        <v>1738</v>
      </c>
      <c r="C105" s="1204">
        <v>1.6839999999999999</v>
      </c>
      <c r="D105" s="825" t="str">
        <f t="shared" si="2"/>
        <v>FE</v>
      </c>
      <c r="E105" s="572">
        <f t="shared" si="3"/>
        <v>280.66666666666669</v>
      </c>
    </row>
    <row r="106" spans="1:5" x14ac:dyDescent="0.2">
      <c r="A106" s="676" t="str">
        <f>+VLOOKUP($B106,'Tên NL'!$B:$C,2,0)</f>
        <v>Rovabio max Advance L (Belgium)</v>
      </c>
      <c r="B106" s="667" t="s">
        <v>1350</v>
      </c>
      <c r="C106" s="1204">
        <v>1.6459999999999999</v>
      </c>
      <c r="D106" s="825" t="str">
        <f t="shared" si="2"/>
        <v>Ro</v>
      </c>
      <c r="E106" s="572">
        <f t="shared" si="3"/>
        <v>274.33333333333331</v>
      </c>
    </row>
    <row r="107" spans="1:5" x14ac:dyDescent="0.2">
      <c r="A107" s="676" t="str">
        <f>+VLOOKUP($B107,'Tên NL'!$B:$C,2,0)</f>
        <v>Premix 52V</v>
      </c>
      <c r="B107" s="667" t="s">
        <v>1057</v>
      </c>
      <c r="C107" s="1204">
        <v>1.607</v>
      </c>
      <c r="D107" s="825" t="str">
        <f t="shared" si="2"/>
        <v>52</v>
      </c>
      <c r="E107" s="572">
        <f t="shared" si="3"/>
        <v>267.83333333333331</v>
      </c>
    </row>
    <row r="108" spans="1:5" x14ac:dyDescent="0.2">
      <c r="A108" s="676" t="str">
        <f>+VLOOKUP($B108,'Tên NL'!$B:$C,2,0)</f>
        <v>M-Tox Plus</v>
      </c>
      <c r="B108" s="667" t="s">
        <v>51</v>
      </c>
      <c r="C108" s="1204">
        <v>1.351</v>
      </c>
      <c r="D108" s="825" t="str">
        <f t="shared" si="2"/>
        <v>M-</v>
      </c>
      <c r="E108" s="572">
        <f t="shared" si="3"/>
        <v>225.16666666666666</v>
      </c>
    </row>
    <row r="109" spans="1:5" x14ac:dyDescent="0.2">
      <c r="A109" s="676" t="str">
        <f>+VLOOKUP($B109,'Tên NL'!$B:$C,2,0)</f>
        <v>Kessent MF Dry (Singapore)</v>
      </c>
      <c r="B109" s="667" t="s">
        <v>1768</v>
      </c>
      <c r="C109" s="1204">
        <v>1.2330000000000001</v>
      </c>
      <c r="D109" s="825" t="str">
        <f t="shared" si="2"/>
        <v>Ke</v>
      </c>
      <c r="E109" s="572">
        <f t="shared" si="3"/>
        <v>205.50000000000003</v>
      </c>
    </row>
    <row r="110" spans="1:5" x14ac:dyDescent="0.2">
      <c r="A110" s="676" t="str">
        <f>+VLOOKUP($B110,'Tên NL'!$B:$C,2,0)</f>
        <v>Premix 10M</v>
      </c>
      <c r="B110" s="667" t="s">
        <v>1058</v>
      </c>
      <c r="C110" s="1204">
        <v>1.141</v>
      </c>
      <c r="D110" s="825" t="str">
        <f t="shared" si="2"/>
        <v>PX</v>
      </c>
      <c r="E110" s="572">
        <f t="shared" si="3"/>
        <v>190.16666666666669</v>
      </c>
    </row>
    <row r="111" spans="1:5" x14ac:dyDescent="0.2">
      <c r="A111" s="676" t="str">
        <f>+VLOOKUP($B111,'Tên NL'!$B:$C,2,0)</f>
        <v>Intelli Bond C</v>
      </c>
      <c r="B111" s="667" t="s">
        <v>1074</v>
      </c>
      <c r="C111" s="1204">
        <v>1.123</v>
      </c>
      <c r="D111" s="825" t="str">
        <f t="shared" si="2"/>
        <v>Co</v>
      </c>
      <c r="E111" s="572">
        <f t="shared" si="3"/>
        <v>187.16666666666669</v>
      </c>
    </row>
    <row r="112" spans="1:5" x14ac:dyDescent="0.2">
      <c r="A112" s="676" t="str">
        <f>+VLOOKUP($B112,'Tên NL'!$B:$C,2,0)</f>
        <v>Endox Dry (Singapore)</v>
      </c>
      <c r="B112" s="667" t="s">
        <v>1073</v>
      </c>
      <c r="C112" s="1204">
        <v>0.86099999999999999</v>
      </c>
      <c r="D112" s="825" t="str">
        <f t="shared" si="2"/>
        <v>EN</v>
      </c>
      <c r="E112" s="572">
        <f t="shared" si="3"/>
        <v>143.5</v>
      </c>
    </row>
    <row r="113" spans="1:6" x14ac:dyDescent="0.2">
      <c r="A113" s="676" t="str">
        <f>+VLOOKUP($B113,'Tên NL'!$B:$C,2,0)</f>
        <v>Premix 10V</v>
      </c>
      <c r="B113" s="667" t="s">
        <v>1067</v>
      </c>
      <c r="C113" s="1204">
        <v>0.84699999999999998</v>
      </c>
      <c r="D113" s="825" t="str">
        <f t="shared" si="2"/>
        <v>10</v>
      </c>
      <c r="E113" s="572">
        <f t="shared" si="3"/>
        <v>141.16666666666666</v>
      </c>
    </row>
    <row r="114" spans="1:6" x14ac:dyDescent="0.2">
      <c r="A114" s="676" t="str">
        <f>+VLOOKUP($B114,'Tên NL'!$B:$C,2,0)</f>
        <v>GalliPro Tect (Czech Republic)</v>
      </c>
      <c r="B114" s="667" t="s">
        <v>1615</v>
      </c>
      <c r="C114" s="1204">
        <v>0.76700000000000002</v>
      </c>
      <c r="D114" s="825" t="str">
        <f t="shared" si="2"/>
        <v>Ga</v>
      </c>
      <c r="E114" s="572">
        <f t="shared" si="3"/>
        <v>127.83333333333333</v>
      </c>
    </row>
    <row r="115" spans="1:6" x14ac:dyDescent="0.2">
      <c r="A115" s="676" t="str">
        <f>+VLOOKUP($B115,'Tên NL'!$B:$C,2,0)</f>
        <v>ROVABIO ADVANCE T-FLEX 25(SG)</v>
      </c>
      <c r="B115" s="667" t="s">
        <v>1672</v>
      </c>
      <c r="C115" s="1204">
        <v>0.72699999999999998</v>
      </c>
      <c r="D115" s="825" t="str">
        <f t="shared" si="2"/>
        <v>RO</v>
      </c>
      <c r="E115" s="572">
        <f t="shared" si="3"/>
        <v>121.16666666666666</v>
      </c>
    </row>
    <row r="116" spans="1:6" x14ac:dyDescent="0.2">
      <c r="A116" s="676" t="str">
        <f>+VLOOKUP($B116,'Tên NL'!$B:$C,2,0)</f>
        <v>Toxy-Nil Dry ( Belgium)</v>
      </c>
      <c r="B116" s="667" t="s">
        <v>1539</v>
      </c>
      <c r="C116" s="1204">
        <v>0.64900000000000002</v>
      </c>
      <c r="D116" s="825" t="str">
        <f t="shared" si="2"/>
        <v>TO</v>
      </c>
      <c r="E116" s="572">
        <f t="shared" si="3"/>
        <v>108.16666666666667</v>
      </c>
    </row>
    <row r="117" spans="1:6" x14ac:dyDescent="0.2">
      <c r="A117" s="676" t="str">
        <f>+VLOOKUP($B117,'Tên NL'!$B:$C,2,0)</f>
        <v>Mycofix Plus 5.0 (Singapore)</v>
      </c>
      <c r="B117" s="667" t="s">
        <v>1490</v>
      </c>
      <c r="C117" s="1204">
        <v>0.63600000000000001</v>
      </c>
      <c r="D117" s="825" t="str">
        <f t="shared" si="2"/>
        <v>MY</v>
      </c>
      <c r="E117" s="572">
        <f t="shared" si="3"/>
        <v>106</v>
      </c>
    </row>
    <row r="118" spans="1:6" x14ac:dyDescent="0.2">
      <c r="A118" s="676" t="str">
        <f>+VLOOKUP($B118,'Tên NL'!$B:$C,2,0)</f>
        <v>L-Arginine (China)</v>
      </c>
      <c r="B118" s="667" t="s">
        <v>1263</v>
      </c>
      <c r="C118" s="1204">
        <v>0.63400000000000001</v>
      </c>
      <c r="D118" s="825" t="str">
        <f t="shared" si="2"/>
        <v>L-</v>
      </c>
      <c r="E118" s="572">
        <f t="shared" si="3"/>
        <v>105.66666666666667</v>
      </c>
    </row>
    <row r="119" spans="1:6" x14ac:dyDescent="0.2">
      <c r="A119" s="676" t="str">
        <f>+VLOOKUP($B119,'Tên NL'!$B:$C,2,0)</f>
        <v>Leader Yellow (China)</v>
      </c>
      <c r="B119" s="667" t="s">
        <v>1066</v>
      </c>
      <c r="C119" s="1204">
        <v>0.61</v>
      </c>
      <c r="D119" s="825" t="str">
        <f t="shared" si="2"/>
        <v>MA</v>
      </c>
      <c r="E119" s="572">
        <f t="shared" si="3"/>
        <v>101.66666666666667</v>
      </c>
    </row>
    <row r="120" spans="1:6" x14ac:dyDescent="0.2">
      <c r="A120" s="676" t="str">
        <f>+VLOOKUP($B120,'Tên NL'!$B:$C,2,0)</f>
        <v>Premix 67SV</v>
      </c>
      <c r="B120" s="667" t="s">
        <v>1080</v>
      </c>
      <c r="C120" s="1204">
        <v>0.60899999999999999</v>
      </c>
      <c r="D120" s="825" t="str">
        <f t="shared" si="2"/>
        <v>67</v>
      </c>
      <c r="E120" s="572">
        <f t="shared" si="3"/>
        <v>101.5</v>
      </c>
    </row>
    <row r="121" spans="1:6" x14ac:dyDescent="0.2">
      <c r="A121" s="676" t="str">
        <f>+VLOOKUP($B121,'Tên NL'!$B:$C,2,0)</f>
        <v>DH VITAMIN PREMIX (ViÖt Nam)</v>
      </c>
      <c r="B121" s="667" t="s">
        <v>1766</v>
      </c>
      <c r="C121" s="1204">
        <v>0.46100000000000002</v>
      </c>
      <c r="D121" s="825" t="str">
        <f t="shared" si="2"/>
        <v>VN</v>
      </c>
      <c r="E121" s="572">
        <f t="shared" si="3"/>
        <v>76.833333333333343</v>
      </c>
    </row>
    <row r="122" spans="1:6" x14ac:dyDescent="0.2">
      <c r="A122" s="676" t="str">
        <f>+VLOOKUP($B122,'Tên NL'!$B:$C,2,0)</f>
        <v>MUNG BEAN MEAL</v>
      </c>
      <c r="B122" s="667" t="s">
        <v>1866</v>
      </c>
      <c r="C122" s="1204">
        <v>0.40300000000000002</v>
      </c>
      <c r="D122" s="825" t="str">
        <f t="shared" si="2"/>
        <v>MU</v>
      </c>
      <c r="E122" s="572">
        <f t="shared" si="3"/>
        <v>67.166666666666671</v>
      </c>
    </row>
    <row r="123" spans="1:6" x14ac:dyDescent="0.2">
      <c r="A123" s="676" t="str">
        <f>+VLOOKUP($B123,'Tên NL'!$B:$C,2,0)</f>
        <v>Premix 48V</v>
      </c>
      <c r="B123" s="667" t="s">
        <v>1084</v>
      </c>
      <c r="C123" s="1204">
        <v>0.39200000000000002</v>
      </c>
      <c r="D123" s="825" t="str">
        <f t="shared" si="2"/>
        <v>48</v>
      </c>
      <c r="E123" s="572">
        <f t="shared" si="3"/>
        <v>65.333333333333343</v>
      </c>
      <c r="F123" s="678"/>
    </row>
    <row r="124" spans="1:6" x14ac:dyDescent="0.2">
      <c r="A124" s="676" t="str">
        <f>+VLOOKUP($B124,'Tên NL'!$B:$C,2,0)</f>
        <v>Amoxicillin 80%</v>
      </c>
      <c r="B124" s="667" t="s">
        <v>1673</v>
      </c>
      <c r="C124" s="1204">
        <v>0.39</v>
      </c>
      <c r="D124" s="825" t="str">
        <f t="shared" si="2"/>
        <v>AM</v>
      </c>
      <c r="E124" s="572">
        <f t="shared" si="3"/>
        <v>65</v>
      </c>
    </row>
    <row r="125" spans="1:6" x14ac:dyDescent="0.2">
      <c r="A125" s="676" t="str">
        <f>+VLOOKUP($B125,'Tên NL'!$B:$C,2,0)</f>
        <v>Premix MC-0697</v>
      </c>
      <c r="B125" s="667" t="s">
        <v>1070</v>
      </c>
      <c r="C125" s="1204">
        <v>0.376</v>
      </c>
      <c r="D125" s="825" t="str">
        <f t="shared" si="2"/>
        <v>MC</v>
      </c>
      <c r="E125" s="572">
        <f t="shared" si="3"/>
        <v>62.666666666666664</v>
      </c>
    </row>
    <row r="126" spans="1:6" x14ac:dyDescent="0.2">
      <c r="A126" s="676" t="str">
        <f>+VLOOKUP($B126,'Tên NL'!$B:$C,2,0)</f>
        <v>Pigortek 659 (France)</v>
      </c>
      <c r="B126" s="667" t="s">
        <v>773</v>
      </c>
      <c r="C126" s="1204">
        <v>0.37</v>
      </c>
      <c r="D126" s="825" t="str">
        <f t="shared" si="2"/>
        <v>PI</v>
      </c>
      <c r="E126" s="572">
        <f t="shared" si="3"/>
        <v>61.666666666666671</v>
      </c>
    </row>
    <row r="127" spans="1:6" x14ac:dyDescent="0.2">
      <c r="A127" s="676" t="str">
        <f>+VLOOKUP($B127,'Tên NL'!$B:$C,2,0)</f>
        <v>ROVABIO# PHY PLUS 10000T (SG)</v>
      </c>
      <c r="B127" s="667" t="s">
        <v>1662</v>
      </c>
      <c r="C127" s="1204">
        <v>0.36399999999999999</v>
      </c>
      <c r="D127" s="825" t="str">
        <f t="shared" si="2"/>
        <v>Ro</v>
      </c>
      <c r="E127" s="572">
        <f t="shared" si="3"/>
        <v>60.666666666666664</v>
      </c>
    </row>
    <row r="128" spans="1:6" x14ac:dyDescent="0.2">
      <c r="A128" s="676" t="str">
        <f>+VLOOKUP($B128,'Tên NL'!$B:$C,2,0)</f>
        <v>Stearolac 90 (Malaysia)</v>
      </c>
      <c r="B128" s="667" t="s">
        <v>1860</v>
      </c>
      <c r="C128" s="1204">
        <v>0.34200000000000003</v>
      </c>
      <c r="D128" s="825" t="str">
        <f t="shared" si="2"/>
        <v>St</v>
      </c>
      <c r="E128" s="572">
        <f t="shared" si="3"/>
        <v>57</v>
      </c>
    </row>
    <row r="129" spans="1:5" x14ac:dyDescent="0.2">
      <c r="A129" s="676" t="str">
        <f>+VLOOKUP($B129,'Tên NL'!$B:$C,2,0)</f>
        <v>Premix 66V</v>
      </c>
      <c r="B129" s="667" t="s">
        <v>1091</v>
      </c>
      <c r="C129" s="1204">
        <v>0.318</v>
      </c>
      <c r="D129" s="825" t="str">
        <f t="shared" si="2"/>
        <v>PX</v>
      </c>
      <c r="E129" s="572">
        <f t="shared" si="3"/>
        <v>53</v>
      </c>
    </row>
    <row r="130" spans="1:5" x14ac:dyDescent="0.2">
      <c r="A130" s="676" t="str">
        <f>+VLOOKUP($B130,'Tên NL'!$B:$C,2,0)</f>
        <v>Mycostatin-20</v>
      </c>
      <c r="B130" s="667" t="s">
        <v>1096</v>
      </c>
      <c r="C130" s="1204">
        <v>0.30499999999999999</v>
      </c>
      <c r="D130" s="825" t="str">
        <f t="shared" si="2"/>
        <v>MY</v>
      </c>
      <c r="E130" s="572">
        <f t="shared" si="3"/>
        <v>50.833333333333336</v>
      </c>
    </row>
    <row r="131" spans="1:5" x14ac:dyDescent="0.2">
      <c r="A131" s="676" t="str">
        <f>+VLOOKUP($B131,'Tên NL'!$B:$C,2,0)</f>
        <v>Tiamutin 80%</v>
      </c>
      <c r="B131" s="667" t="s">
        <v>1879</v>
      </c>
      <c r="C131" s="1204">
        <v>0.26400000000000001</v>
      </c>
      <c r="D131" s="825" t="str">
        <f t="shared" si="2"/>
        <v>TR</v>
      </c>
      <c r="E131" s="572">
        <f t="shared" si="3"/>
        <v>44.000000000000007</v>
      </c>
    </row>
    <row r="132" spans="1:5" x14ac:dyDescent="0.2">
      <c r="A132" s="676" t="str">
        <f>+VLOOKUP($B132,'Tên NL'!$B:$C,2,0)</f>
        <v>Premix MC-0697B</v>
      </c>
      <c r="B132" s="667" t="s">
        <v>1079</v>
      </c>
      <c r="C132" s="1204">
        <v>0.216</v>
      </c>
      <c r="D132" s="825" t="str">
        <f t="shared" si="2"/>
        <v>MC</v>
      </c>
      <c r="E132" s="572">
        <f t="shared" si="3"/>
        <v>36</v>
      </c>
    </row>
    <row r="133" spans="1:5" x14ac:dyDescent="0.2">
      <c r="A133" s="676" t="str">
        <f>+VLOOKUP($B133,'Tên NL'!$B:$C,2,0)</f>
        <v>Tilmovet 20% Granular Premix (Bulgaria)</v>
      </c>
      <c r="B133" s="667" t="s">
        <v>1947</v>
      </c>
      <c r="C133" s="1204">
        <v>0.20799999999999999</v>
      </c>
      <c r="D133" s="825" t="str">
        <f t="shared" si="2"/>
        <v>TI</v>
      </c>
      <c r="E133" s="572">
        <f t="shared" si="3"/>
        <v>34.666666666666664</v>
      </c>
    </row>
    <row r="134" spans="1:5" x14ac:dyDescent="0.2">
      <c r="A134" s="676" t="str">
        <f>+VLOOKUP($B134,'Tên NL'!$B:$C,2,0)</f>
        <v>Axtra# PRIME 501 T (Singapore)</v>
      </c>
      <c r="B134" s="667" t="s">
        <v>1813</v>
      </c>
      <c r="C134" s="1204">
        <v>0.20499999999999999</v>
      </c>
      <c r="D134" s="825" t="str">
        <f t="shared" si="2"/>
        <v>AX</v>
      </c>
      <c r="E134" s="572">
        <f t="shared" si="3"/>
        <v>34.166666666666664</v>
      </c>
    </row>
    <row r="135" spans="1:5" x14ac:dyDescent="0.2">
      <c r="A135" s="676" t="str">
        <f>+VLOOKUP($B135,'Tên NL'!$B:$C,2,0)</f>
        <v>ALLPLEX B (USA)</v>
      </c>
      <c r="B135" s="667" t="s">
        <v>1081</v>
      </c>
      <c r="C135" s="1204">
        <v>0.20100000000000001</v>
      </c>
      <c r="D135" s="825" t="str">
        <f t="shared" ref="D135:D198" si="4">LEFT(B135,2)</f>
        <v>AL</v>
      </c>
      <c r="E135" s="572">
        <f t="shared" ref="E135:E198" si="5">C135/$D$4*1000</f>
        <v>33.5</v>
      </c>
    </row>
    <row r="136" spans="1:5" x14ac:dyDescent="0.2">
      <c r="A136" s="676" t="str">
        <f>+VLOOKUP($B136,'Tên NL'!$B:$C,2,0)</f>
        <v>Roxolin</v>
      </c>
      <c r="B136" s="667" t="s">
        <v>1075</v>
      </c>
      <c r="C136" s="1204">
        <v>0.193</v>
      </c>
      <c r="D136" s="825" t="str">
        <f t="shared" si="4"/>
        <v>QU</v>
      </c>
      <c r="E136" s="572">
        <f t="shared" si="5"/>
        <v>32.166666666666671</v>
      </c>
    </row>
    <row r="137" spans="1:5" x14ac:dyDescent="0.2">
      <c r="A137" s="676" t="str">
        <f>+VLOOKUP($B137,'Tên NL'!$B:$C,2,0)</f>
        <v>CIBENZA DP100 (USA)</v>
      </c>
      <c r="B137" s="667" t="s">
        <v>1617</v>
      </c>
      <c r="C137" s="1204">
        <v>0.185</v>
      </c>
      <c r="D137" s="825" t="str">
        <f t="shared" si="4"/>
        <v>CI</v>
      </c>
      <c r="E137" s="572">
        <f t="shared" si="5"/>
        <v>30.833333333333336</v>
      </c>
    </row>
    <row r="138" spans="1:5" x14ac:dyDescent="0.2">
      <c r="A138" s="676" t="str">
        <f>+VLOOKUP($B138,'Tên NL'!$B:$C,2,0)</f>
        <v>Microplex 1000ppm(USA)</v>
      </c>
      <c r="B138" s="667" t="s">
        <v>1083</v>
      </c>
      <c r="C138" s="1204">
        <v>0.184</v>
      </c>
      <c r="D138" s="825" t="str">
        <f t="shared" si="4"/>
        <v>MI</v>
      </c>
      <c r="E138" s="572">
        <f t="shared" si="5"/>
        <v>30.666666666666664</v>
      </c>
    </row>
    <row r="139" spans="1:5" x14ac:dyDescent="0.2">
      <c r="A139" s="676" t="str">
        <f>+VLOOKUP($B139,'Tên NL'!$B:$C,2,0)</f>
        <v>Sacox 120 (Bulgaria)</v>
      </c>
      <c r="B139" s="667" t="s">
        <v>1338</v>
      </c>
      <c r="C139" s="1204">
        <v>0.18099999999999999</v>
      </c>
      <c r="D139" s="825" t="str">
        <f t="shared" si="4"/>
        <v>SA</v>
      </c>
      <c r="E139" s="572">
        <f t="shared" si="5"/>
        <v>30.166666666666664</v>
      </c>
    </row>
    <row r="140" spans="1:5" x14ac:dyDescent="0.2">
      <c r="A140" s="676" t="str">
        <f>+VLOOKUP($B140,'Tên NL'!$B:$C,2,0)</f>
        <v>Premix 21V</v>
      </c>
      <c r="B140" s="667" t="s">
        <v>1082</v>
      </c>
      <c r="C140" s="1204">
        <v>0.158</v>
      </c>
      <c r="D140" s="825" t="str">
        <f t="shared" si="4"/>
        <v>21</v>
      </c>
      <c r="E140" s="572">
        <f t="shared" si="5"/>
        <v>26.333333333333332</v>
      </c>
    </row>
    <row r="141" spans="1:5" x14ac:dyDescent="0.2">
      <c r="A141" s="676" t="str">
        <f>+VLOOKUP($B141,'Tên NL'!$B:$C,2,0)</f>
        <v>Pigfen 40mg/g (Bulgaria)</v>
      </c>
      <c r="B141" s="667" t="s">
        <v>1088</v>
      </c>
      <c r="C141" s="1204">
        <v>0.156</v>
      </c>
      <c r="D141" s="825" t="str">
        <f t="shared" si="4"/>
        <v>PI</v>
      </c>
      <c r="E141" s="572">
        <f t="shared" si="5"/>
        <v>26</v>
      </c>
    </row>
    <row r="142" spans="1:5" x14ac:dyDescent="0.2">
      <c r="A142" s="676" t="str">
        <f>+VLOOKUP($B142,'Tên NL'!$B:$C,2,0)</f>
        <v>Sucram (Switzerland)</v>
      </c>
      <c r="B142" s="667" t="s">
        <v>1814</v>
      </c>
      <c r="C142" s="1204">
        <v>0.154</v>
      </c>
      <c r="D142" s="825" t="str">
        <f t="shared" si="4"/>
        <v>SU</v>
      </c>
      <c r="E142" s="572">
        <f t="shared" si="5"/>
        <v>25.666666666666668</v>
      </c>
    </row>
    <row r="143" spans="1:5" x14ac:dyDescent="0.2">
      <c r="A143" s="676" t="str">
        <f>+VLOOKUP($B143,'Tên NL'!$B:$C,2,0)</f>
        <v>Pep 125</v>
      </c>
      <c r="B143" s="667" t="s">
        <v>1094</v>
      </c>
      <c r="C143" s="1204">
        <v>0.152</v>
      </c>
      <c r="D143" s="825" t="str">
        <f t="shared" si="4"/>
        <v>BI</v>
      </c>
      <c r="E143" s="572">
        <f t="shared" si="5"/>
        <v>25.333333333333332</v>
      </c>
    </row>
    <row r="144" spans="1:5" x14ac:dyDescent="0.2">
      <c r="A144" s="676" t="str">
        <f>+VLOOKUP($B144,'Tên NL'!$B:$C,2,0)</f>
        <v>Lysoforte TM Brand Dry (Singapore)</v>
      </c>
      <c r="B144" s="667" t="s">
        <v>1861</v>
      </c>
      <c r="C144" s="1204">
        <v>0.13200000000000001</v>
      </c>
      <c r="D144" s="825" t="str">
        <f t="shared" si="4"/>
        <v>LY</v>
      </c>
      <c r="E144" s="572">
        <f t="shared" si="5"/>
        <v>22.000000000000004</v>
      </c>
    </row>
    <row r="145" spans="1:5" x14ac:dyDescent="0.2">
      <c r="A145" s="676" t="str">
        <f>+VLOOKUP($B145,'Tên NL'!$B:$C,2,0)</f>
        <v>Premix 62PV</v>
      </c>
      <c r="B145" s="667" t="s">
        <v>1098</v>
      </c>
      <c r="C145" s="1204">
        <v>0.126</v>
      </c>
      <c r="D145" s="825" t="str">
        <f t="shared" si="4"/>
        <v>PX</v>
      </c>
      <c r="E145" s="572">
        <f t="shared" si="5"/>
        <v>21</v>
      </c>
    </row>
    <row r="146" spans="1:5" x14ac:dyDescent="0.2">
      <c r="A146" s="676" t="str">
        <f>+VLOOKUP($B146,'Tên NL'!$B:$C,2,0)</f>
        <v>Premix 572S</v>
      </c>
      <c r="B146" s="667" t="s">
        <v>1090</v>
      </c>
      <c r="C146" s="1204">
        <v>0.112</v>
      </c>
      <c r="D146" s="825" t="str">
        <f t="shared" si="4"/>
        <v>57</v>
      </c>
      <c r="E146" s="572">
        <f t="shared" si="5"/>
        <v>18.666666666666668</v>
      </c>
    </row>
    <row r="147" spans="1:5" x14ac:dyDescent="0.2">
      <c r="A147" s="676" t="str">
        <f>+VLOOKUP($B147,'Tên NL'!$B:$C,2,0)</f>
        <v>TARTRAZINE 50% content (India)</v>
      </c>
      <c r="B147" s="667" t="s">
        <v>1112</v>
      </c>
      <c r="C147" s="1204">
        <v>0.107</v>
      </c>
      <c r="D147" s="825" t="str">
        <f t="shared" si="4"/>
        <v>TA</v>
      </c>
      <c r="E147" s="572">
        <f t="shared" si="5"/>
        <v>17.833333333333332</v>
      </c>
    </row>
    <row r="148" spans="1:5" x14ac:dyDescent="0.2">
      <c r="A148" s="676" t="str">
        <f>+VLOOKUP($B148,'Tên NL'!$B:$C,2,0)</f>
        <v>Levucell sb 10 me titan (Poland)</v>
      </c>
      <c r="B148" s="667" t="s">
        <v>1498</v>
      </c>
      <c r="C148" s="1204">
        <v>0.10299999999999999</v>
      </c>
      <c r="D148" s="825" t="str">
        <f t="shared" si="4"/>
        <v>LE</v>
      </c>
      <c r="E148" s="572">
        <f t="shared" si="5"/>
        <v>17.166666666666668</v>
      </c>
    </row>
    <row r="149" spans="1:5" x14ac:dyDescent="0.2">
      <c r="A149" s="676" t="str">
        <f>+VLOOKUP($B149,'Tên NL'!$B:$C,2,0)</f>
        <v>Hizox (France)</v>
      </c>
      <c r="B149" s="667" t="s">
        <v>1087</v>
      </c>
      <c r="C149" s="1204">
        <v>0.10199999999999999</v>
      </c>
      <c r="D149" s="825" t="str">
        <f t="shared" si="4"/>
        <v>Hi</v>
      </c>
      <c r="E149" s="572">
        <f t="shared" si="5"/>
        <v>16.999999999999996</v>
      </c>
    </row>
    <row r="150" spans="1:5" x14ac:dyDescent="0.2">
      <c r="A150" s="676" t="str">
        <f>+VLOOKUP($B150,'Tên NL'!$B:$C,2,0)</f>
        <v>Phytocee Powder (India)</v>
      </c>
      <c r="B150" s="667" t="s">
        <v>1618</v>
      </c>
      <c r="C150" s="1204">
        <v>8.6999999999999994E-2</v>
      </c>
      <c r="D150" s="825" t="str">
        <f t="shared" si="4"/>
        <v>PH</v>
      </c>
      <c r="E150" s="572">
        <f t="shared" si="5"/>
        <v>14.499999999999998</v>
      </c>
    </row>
    <row r="151" spans="1:5" x14ac:dyDescent="0.2">
      <c r="A151" s="676" t="str">
        <f>+VLOOKUP($B151,'Tên NL'!$B:$C,2,0)</f>
        <v>Lucantin Red 10% NXT (Germany)</v>
      </c>
      <c r="B151" s="667" t="s">
        <v>1364</v>
      </c>
      <c r="C151" s="1204">
        <v>8.1000000000000003E-2</v>
      </c>
      <c r="D151" s="825" t="str">
        <f t="shared" si="4"/>
        <v>LU</v>
      </c>
      <c r="E151" s="572">
        <f t="shared" si="5"/>
        <v>13.5</v>
      </c>
    </row>
    <row r="152" spans="1:5" x14ac:dyDescent="0.2">
      <c r="A152" s="676" t="str">
        <f>+VLOOKUP($B152,'Tên NL'!$B:$C,2,0)</f>
        <v>Diamond V Original XPC Ultra (USA)</v>
      </c>
      <c r="B152" s="667" t="s">
        <v>1765</v>
      </c>
      <c r="C152" s="1204">
        <v>0.08</v>
      </c>
      <c r="D152" s="825" t="str">
        <f t="shared" si="4"/>
        <v>Or</v>
      </c>
      <c r="E152" s="572">
        <f t="shared" si="5"/>
        <v>13.333333333333334</v>
      </c>
    </row>
    <row r="153" spans="1:5" x14ac:dyDescent="0.2">
      <c r="A153" s="676" t="str">
        <f>+VLOOKUP($B153,'Tên NL'!$B:$C,2,0)</f>
        <v>Premix 582</v>
      </c>
      <c r="B153" s="667" t="s">
        <v>1092</v>
      </c>
      <c r="C153" s="1204">
        <v>7.1999999999999995E-2</v>
      </c>
      <c r="D153" s="825" t="str">
        <f t="shared" si="4"/>
        <v>PX</v>
      </c>
      <c r="E153" s="572">
        <f t="shared" si="5"/>
        <v>11.999999999999998</v>
      </c>
    </row>
    <row r="154" spans="1:5" x14ac:dyDescent="0.2">
      <c r="A154" s="676" t="str">
        <f>+VLOOKUP($B154,'Tên NL'!$B:$C,2,0)</f>
        <v>Premix 25V</v>
      </c>
      <c r="B154" s="667" t="s">
        <v>1105</v>
      </c>
      <c r="C154" s="1204">
        <v>6.0999999999999999E-2</v>
      </c>
      <c r="D154" s="825" t="str">
        <f t="shared" si="4"/>
        <v>PX</v>
      </c>
      <c r="E154" s="572">
        <f t="shared" si="5"/>
        <v>10.166666666666666</v>
      </c>
    </row>
    <row r="155" spans="1:5" x14ac:dyDescent="0.2">
      <c r="A155" s="676" t="str">
        <f>+VLOOKUP($B155,'Tên NL'!$B:$C,2,0)</f>
        <v>MAXIBAN</v>
      </c>
      <c r="B155" s="667" t="s">
        <v>1120</v>
      </c>
      <c r="C155" s="1204">
        <v>0.05</v>
      </c>
      <c r="D155" s="825" t="str">
        <f t="shared" si="4"/>
        <v>MA</v>
      </c>
      <c r="E155" s="572">
        <f t="shared" si="5"/>
        <v>8.3333333333333339</v>
      </c>
    </row>
    <row r="156" spans="1:5" x14ac:dyDescent="0.2">
      <c r="A156" s="676" t="str">
        <f>+VLOOKUP($B156,'Tên NL'!$B:$C,2,0)</f>
        <v>Vitamin E 50</v>
      </c>
      <c r="B156" s="667" t="s">
        <v>1769</v>
      </c>
      <c r="C156" s="1204">
        <v>4.9000000000000002E-2</v>
      </c>
      <c r="D156" s="825" t="str">
        <f t="shared" si="4"/>
        <v>Vi</v>
      </c>
      <c r="E156" s="572">
        <f t="shared" si="5"/>
        <v>8.1666666666666679</v>
      </c>
    </row>
    <row r="157" spans="1:5" x14ac:dyDescent="0.2">
      <c r="A157" s="676" t="str">
        <f>+VLOOKUP($B157,'Tên NL'!$B:$C,2,0)</f>
        <v>BIOTIN 2%</v>
      </c>
      <c r="B157" s="667" t="s">
        <v>1770</v>
      </c>
      <c r="C157" s="1204">
        <v>0.04</v>
      </c>
      <c r="D157" s="825" t="str">
        <f t="shared" si="4"/>
        <v>BI</v>
      </c>
      <c r="E157" s="572">
        <f t="shared" si="5"/>
        <v>6.666666666666667</v>
      </c>
    </row>
    <row r="158" spans="1:5" x14ac:dyDescent="0.2">
      <c r="A158" s="676" t="str">
        <f>+VLOOKUP($B158,'Tên NL'!$B:$C,2,0)</f>
        <v>Premix 67V</v>
      </c>
      <c r="B158" s="667" t="s">
        <v>1099</v>
      </c>
      <c r="C158" s="1204">
        <v>0.04</v>
      </c>
      <c r="D158" s="825" t="str">
        <f t="shared" si="4"/>
        <v>PX</v>
      </c>
      <c r="E158" s="572">
        <f t="shared" si="5"/>
        <v>6.666666666666667</v>
      </c>
    </row>
    <row r="159" spans="1:5" x14ac:dyDescent="0.2">
      <c r="A159" s="676" t="str">
        <f>+VLOOKUP($B159,'Tên NL'!$B:$C,2,0)</f>
        <v>Premix 571</v>
      </c>
      <c r="B159" s="667" t="s">
        <v>1103</v>
      </c>
      <c r="C159" s="1204">
        <v>3.2000000000000001E-2</v>
      </c>
      <c r="D159" s="825" t="str">
        <f t="shared" si="4"/>
        <v>57</v>
      </c>
      <c r="E159" s="572">
        <f t="shared" si="5"/>
        <v>5.333333333333333</v>
      </c>
    </row>
    <row r="160" spans="1:5" x14ac:dyDescent="0.2">
      <c r="A160" s="676" t="str">
        <f>+VLOOKUP($B160,'Tên NL'!$B:$C,2,0)</f>
        <v>Elancoban 200 Premix (Monensin)</v>
      </c>
      <c r="B160" s="667" t="s">
        <v>1530</v>
      </c>
      <c r="C160" s="1204">
        <v>0.03</v>
      </c>
      <c r="D160" s="825" t="str">
        <f t="shared" si="4"/>
        <v>EL</v>
      </c>
      <c r="E160" s="572">
        <f t="shared" si="5"/>
        <v>5</v>
      </c>
    </row>
    <row r="161" spans="1:5" x14ac:dyDescent="0.2">
      <c r="A161" s="676" t="str">
        <f>+VLOOKUP($B161,'Tên NL'!$B:$C,2,0)</f>
        <v xml:space="preserve"> Salcurb RME Liquid (Singapore)</v>
      </c>
      <c r="B161" s="667" t="s">
        <v>1063</v>
      </c>
      <c r="C161" s="1204">
        <v>2.4E-2</v>
      </c>
      <c r="D161" s="825" t="str">
        <f t="shared" si="4"/>
        <v>SA</v>
      </c>
      <c r="E161" s="572">
        <f t="shared" si="5"/>
        <v>4</v>
      </c>
    </row>
    <row r="162" spans="1:5" x14ac:dyDescent="0.2">
      <c r="A162" s="676" t="str">
        <f>+VLOOKUP($B162,'Tên NL'!$B:$C,2,0)</f>
        <v>Flavomycin 80</v>
      </c>
      <c r="B162" s="667" t="s">
        <v>1144</v>
      </c>
      <c r="C162" s="1204">
        <v>1.7000000000000001E-2</v>
      </c>
      <c r="D162" s="825" t="str">
        <f t="shared" si="4"/>
        <v>FL</v>
      </c>
      <c r="E162" s="572">
        <f t="shared" si="5"/>
        <v>2.8333333333333335</v>
      </c>
    </row>
    <row r="163" spans="1:5" x14ac:dyDescent="0.2">
      <c r="A163" s="676" t="str">
        <f>+VLOOKUP($B163,'Tên NL'!$B:$C,2,0)</f>
        <v>Kemzin 2000 Dry (Singapore)</v>
      </c>
      <c r="B163" s="667" t="s">
        <v>1786</v>
      </c>
      <c r="C163" s="1204">
        <v>1.2E-2</v>
      </c>
      <c r="D163" s="825" t="str">
        <f t="shared" si="4"/>
        <v>Ke</v>
      </c>
      <c r="E163" s="572">
        <f t="shared" si="5"/>
        <v>2</v>
      </c>
    </row>
    <row r="164" spans="1:5" x14ac:dyDescent="0.2">
      <c r="A164" s="676" t="str">
        <f>+VLOOKUP($B164,'Tên NL'!$B:$C,2,0)</f>
        <v>Surmax 100 (U.K)</v>
      </c>
      <c r="B164" s="667" t="s">
        <v>1104</v>
      </c>
      <c r="C164" s="1204">
        <v>7.0000000000000001E-3</v>
      </c>
      <c r="D164" s="825" t="str">
        <f t="shared" si="4"/>
        <v>SU</v>
      </c>
      <c r="E164" s="572">
        <f t="shared" si="5"/>
        <v>1.1666666666666667</v>
      </c>
    </row>
    <row r="165" spans="1:5" x14ac:dyDescent="0.2">
      <c r="A165" s="676" t="str">
        <f>+VLOOKUP($B165,'Tên NL'!$B:$C,2,0)</f>
        <v>Premix 62V</v>
      </c>
      <c r="B165" s="667" t="s">
        <v>1097</v>
      </c>
      <c r="C165" s="1204">
        <v>6.0000000000000001E-3</v>
      </c>
      <c r="D165" s="825" t="str">
        <f t="shared" si="4"/>
        <v>PX</v>
      </c>
      <c r="E165" s="572">
        <f t="shared" si="5"/>
        <v>1</v>
      </c>
    </row>
    <row r="166" spans="1:5" x14ac:dyDescent="0.2">
      <c r="A166" s="676" t="str">
        <f>+VLOOKUP($B166,'Tên NL'!$B:$C,2,0)</f>
        <v>Advance Haquinol</v>
      </c>
      <c r="B166" s="667" t="s">
        <v>1166</v>
      </c>
      <c r="C166" s="1204">
        <v>5.0000000000000001E-3</v>
      </c>
      <c r="D166" s="825" t="str">
        <f t="shared" si="4"/>
        <v>Ad</v>
      </c>
      <c r="E166" s="572">
        <f t="shared" si="5"/>
        <v>0.83333333333333337</v>
      </c>
    </row>
    <row r="167" spans="1:5" x14ac:dyDescent="0.2">
      <c r="A167" s="676" t="e">
        <f>+VLOOKUP($B167,'Tên NL'!$B:$C,2,0)</f>
        <v>#N/A</v>
      </c>
      <c r="C167" s="1204">
        <v>12817.001</v>
      </c>
      <c r="D167" s="825" t="str">
        <f t="shared" si="4"/>
        <v/>
      </c>
      <c r="E167" s="572">
        <f t="shared" si="5"/>
        <v>2136166.833333333</v>
      </c>
    </row>
    <row r="168" spans="1:5" x14ac:dyDescent="0.2">
      <c r="A168" s="676" t="e">
        <f>+VLOOKUP($B168,'Tên NL'!$B:$C,2,0)</f>
        <v>#N/A</v>
      </c>
      <c r="C168" s="667"/>
      <c r="D168" s="825" t="str">
        <f t="shared" si="4"/>
        <v/>
      </c>
      <c r="E168" s="572">
        <f t="shared" si="5"/>
        <v>0</v>
      </c>
    </row>
    <row r="169" spans="1:5" x14ac:dyDescent="0.2">
      <c r="A169" s="676" t="e">
        <f>+VLOOKUP($B169,'Tên NL'!$B:$C,2,0)</f>
        <v>#N/A</v>
      </c>
      <c r="C169" s="667"/>
      <c r="D169" s="825" t="str">
        <f t="shared" si="4"/>
        <v/>
      </c>
      <c r="E169" s="572">
        <f t="shared" si="5"/>
        <v>0</v>
      </c>
    </row>
    <row r="170" spans="1:5" x14ac:dyDescent="0.2">
      <c r="A170" s="676" t="e">
        <f>+VLOOKUP($B170,'Tên NL'!$B:$C,2,0)</f>
        <v>#N/A</v>
      </c>
      <c r="C170" s="667"/>
      <c r="D170" s="825" t="str">
        <f t="shared" si="4"/>
        <v/>
      </c>
      <c r="E170" s="572">
        <f t="shared" si="5"/>
        <v>0</v>
      </c>
    </row>
    <row r="171" spans="1:5" x14ac:dyDescent="0.2">
      <c r="A171" s="676" t="e">
        <f>+VLOOKUP($B171,'Tên NL'!$B:$C,2,0)</f>
        <v>#N/A</v>
      </c>
      <c r="C171" s="667"/>
      <c r="D171" s="825" t="str">
        <f t="shared" si="4"/>
        <v/>
      </c>
      <c r="E171" s="572">
        <f t="shared" si="5"/>
        <v>0</v>
      </c>
    </row>
    <row r="172" spans="1:5" x14ac:dyDescent="0.2">
      <c r="A172" s="676" t="e">
        <f>+VLOOKUP($B172,'Tên NL'!$B:$C,2,0)</f>
        <v>#N/A</v>
      </c>
      <c r="C172" s="667"/>
      <c r="D172" s="825" t="str">
        <f t="shared" si="4"/>
        <v/>
      </c>
      <c r="E172" s="572">
        <f t="shared" si="5"/>
        <v>0</v>
      </c>
    </row>
    <row r="173" spans="1:5" x14ac:dyDescent="0.2">
      <c r="A173" s="676" t="e">
        <f>+VLOOKUP($B173,'Tên NL'!$B:$C,2,0)</f>
        <v>#N/A</v>
      </c>
      <c r="C173" s="667"/>
      <c r="D173" s="825" t="str">
        <f t="shared" si="4"/>
        <v/>
      </c>
      <c r="E173" s="572">
        <f t="shared" si="5"/>
        <v>0</v>
      </c>
    </row>
    <row r="174" spans="1:5" x14ac:dyDescent="0.2">
      <c r="A174" s="676" t="e">
        <f>+VLOOKUP($B174,'Tên NL'!$B:$C,2,0)</f>
        <v>#N/A</v>
      </c>
      <c r="C174" s="667"/>
      <c r="D174" s="825" t="str">
        <f t="shared" si="4"/>
        <v/>
      </c>
      <c r="E174" s="572">
        <f t="shared" si="5"/>
        <v>0</v>
      </c>
    </row>
    <row r="175" spans="1:5" x14ac:dyDescent="0.2">
      <c r="A175" s="676" t="e">
        <f>+VLOOKUP($B175,'Tên NL'!$B:$C,2,0)</f>
        <v>#N/A</v>
      </c>
      <c r="C175" s="667"/>
      <c r="D175" s="825" t="str">
        <f t="shared" si="4"/>
        <v/>
      </c>
      <c r="E175" s="572">
        <f t="shared" si="5"/>
        <v>0</v>
      </c>
    </row>
    <row r="176" spans="1:5" x14ac:dyDescent="0.2">
      <c r="A176" s="676" t="e">
        <f>+VLOOKUP($B176,'Tên NL'!$B:$C,2,0)</f>
        <v>#N/A</v>
      </c>
      <c r="C176" s="667"/>
      <c r="D176" s="825" t="str">
        <f t="shared" si="4"/>
        <v/>
      </c>
      <c r="E176" s="572">
        <f t="shared" si="5"/>
        <v>0</v>
      </c>
    </row>
    <row r="177" spans="1:5" x14ac:dyDescent="0.2">
      <c r="A177" s="676" t="e">
        <f>+VLOOKUP($B177,'Tên NL'!$B:$C,2,0)</f>
        <v>#N/A</v>
      </c>
      <c r="C177" s="667"/>
      <c r="D177" s="825" t="str">
        <f t="shared" si="4"/>
        <v/>
      </c>
      <c r="E177" s="572">
        <f t="shared" si="5"/>
        <v>0</v>
      </c>
    </row>
    <row r="178" spans="1:5" x14ac:dyDescent="0.2">
      <c r="A178" s="676" t="e">
        <f>+VLOOKUP($B178,'Tên NL'!$B:$C,2,0)</f>
        <v>#N/A</v>
      </c>
      <c r="C178" s="667"/>
      <c r="D178" s="825" t="str">
        <f t="shared" si="4"/>
        <v/>
      </c>
      <c r="E178" s="572">
        <f t="shared" si="5"/>
        <v>0</v>
      </c>
    </row>
    <row r="179" spans="1:5" x14ac:dyDescent="0.2">
      <c r="A179" s="676" t="e">
        <f>+VLOOKUP($B179,'Tên NL'!$B:$C,2,0)</f>
        <v>#N/A</v>
      </c>
      <c r="C179" s="667"/>
      <c r="D179" s="825" t="str">
        <f t="shared" si="4"/>
        <v/>
      </c>
      <c r="E179" s="572">
        <f t="shared" si="5"/>
        <v>0</v>
      </c>
    </row>
    <row r="180" spans="1:5" x14ac:dyDescent="0.2">
      <c r="A180" s="676" t="e">
        <f>+VLOOKUP($B180,'Tên NL'!$B:$C,2,0)</f>
        <v>#N/A</v>
      </c>
      <c r="C180" s="667"/>
      <c r="D180" s="825" t="str">
        <f t="shared" si="4"/>
        <v/>
      </c>
      <c r="E180" s="572">
        <f t="shared" si="5"/>
        <v>0</v>
      </c>
    </row>
    <row r="181" spans="1:5" x14ac:dyDescent="0.2">
      <c r="A181" s="676" t="e">
        <f>+VLOOKUP($B181,'Tên NL'!$B:$C,2,0)</f>
        <v>#N/A</v>
      </c>
      <c r="C181" s="667"/>
      <c r="D181" s="825" t="str">
        <f t="shared" si="4"/>
        <v/>
      </c>
      <c r="E181" s="572">
        <f t="shared" si="5"/>
        <v>0</v>
      </c>
    </row>
    <row r="182" spans="1:5" x14ac:dyDescent="0.2">
      <c r="A182" s="676" t="e">
        <f>+VLOOKUP($B182,'Tên NL'!$B:$C,2,0)</f>
        <v>#N/A</v>
      </c>
      <c r="C182" s="667"/>
      <c r="D182" s="825" t="str">
        <f t="shared" si="4"/>
        <v/>
      </c>
      <c r="E182" s="572">
        <f t="shared" si="5"/>
        <v>0</v>
      </c>
    </row>
    <row r="183" spans="1:5" x14ac:dyDescent="0.2">
      <c r="A183" s="676" t="e">
        <f>+VLOOKUP($B183,'Tên NL'!$B:$C,2,0)</f>
        <v>#N/A</v>
      </c>
      <c r="C183" s="667"/>
      <c r="D183" s="825" t="str">
        <f t="shared" si="4"/>
        <v/>
      </c>
      <c r="E183" s="572">
        <f t="shared" si="5"/>
        <v>0</v>
      </c>
    </row>
    <row r="184" spans="1:5" x14ac:dyDescent="0.2">
      <c r="A184" s="676" t="e">
        <f>+VLOOKUP($B184,'Tên NL'!$B:$C,2,0)</f>
        <v>#N/A</v>
      </c>
      <c r="C184" s="667"/>
      <c r="D184" s="825" t="str">
        <f t="shared" si="4"/>
        <v/>
      </c>
      <c r="E184" s="572">
        <f t="shared" si="5"/>
        <v>0</v>
      </c>
    </row>
    <row r="185" spans="1:5" x14ac:dyDescent="0.2">
      <c r="A185" s="676" t="e">
        <f>+VLOOKUP($B185,'Tên NL'!$B:$C,2,0)</f>
        <v>#N/A</v>
      </c>
      <c r="C185" s="667"/>
      <c r="D185" s="825" t="str">
        <f t="shared" si="4"/>
        <v/>
      </c>
      <c r="E185" s="572">
        <f t="shared" si="5"/>
        <v>0</v>
      </c>
    </row>
    <row r="186" spans="1:5" x14ac:dyDescent="0.2">
      <c r="A186" s="676" t="e">
        <f>+VLOOKUP($B186,'Tên NL'!$B:$C,2,0)</f>
        <v>#N/A</v>
      </c>
      <c r="C186" s="667"/>
      <c r="D186" s="825" t="str">
        <f t="shared" si="4"/>
        <v/>
      </c>
      <c r="E186" s="572">
        <f t="shared" si="5"/>
        <v>0</v>
      </c>
    </row>
    <row r="187" spans="1:5" x14ac:dyDescent="0.2">
      <c r="A187" s="676" t="e">
        <f>+VLOOKUP($B187,'Tên NL'!$B:$C,2,0)</f>
        <v>#N/A</v>
      </c>
      <c r="C187" s="667"/>
      <c r="D187" s="825" t="str">
        <f t="shared" si="4"/>
        <v/>
      </c>
      <c r="E187" s="572">
        <f t="shared" si="5"/>
        <v>0</v>
      </c>
    </row>
    <row r="188" spans="1:5" x14ac:dyDescent="0.2">
      <c r="A188" s="676" t="e">
        <f>+VLOOKUP($B188,'Tên NL'!$B:$C,2,0)</f>
        <v>#N/A</v>
      </c>
      <c r="C188" s="667"/>
      <c r="D188" s="825" t="str">
        <f t="shared" si="4"/>
        <v/>
      </c>
      <c r="E188" s="572">
        <f t="shared" si="5"/>
        <v>0</v>
      </c>
    </row>
    <row r="189" spans="1:5" x14ac:dyDescent="0.2">
      <c r="A189" s="676" t="e">
        <f>+VLOOKUP($B189,'Tên NL'!$B:$C,2,0)</f>
        <v>#N/A</v>
      </c>
      <c r="C189" s="667"/>
      <c r="D189" s="825" t="str">
        <f t="shared" si="4"/>
        <v/>
      </c>
      <c r="E189" s="572">
        <f t="shared" si="5"/>
        <v>0</v>
      </c>
    </row>
    <row r="190" spans="1:5" x14ac:dyDescent="0.2">
      <c r="A190" s="676" t="e">
        <f>+VLOOKUP($B190,'Tên NL'!$B:$C,2,0)</f>
        <v>#N/A</v>
      </c>
      <c r="C190" s="667"/>
      <c r="D190" s="825" t="str">
        <f t="shared" si="4"/>
        <v/>
      </c>
      <c r="E190" s="572">
        <f t="shared" si="5"/>
        <v>0</v>
      </c>
    </row>
    <row r="191" spans="1:5" x14ac:dyDescent="0.2">
      <c r="A191" s="676" t="e">
        <f>+VLOOKUP($B191,'Tên NL'!$B:$C,2,0)</f>
        <v>#N/A</v>
      </c>
      <c r="C191" s="667"/>
      <c r="D191" s="825" t="str">
        <f t="shared" si="4"/>
        <v/>
      </c>
      <c r="E191" s="572">
        <f t="shared" si="5"/>
        <v>0</v>
      </c>
    </row>
    <row r="192" spans="1:5" x14ac:dyDescent="0.2">
      <c r="A192" s="676" t="e">
        <f>+VLOOKUP($B192,'Tên NL'!$B:$C,2,0)</f>
        <v>#N/A</v>
      </c>
      <c r="C192" s="667"/>
      <c r="D192" s="825" t="str">
        <f t="shared" si="4"/>
        <v/>
      </c>
      <c r="E192" s="572">
        <f t="shared" si="5"/>
        <v>0</v>
      </c>
    </row>
    <row r="193" spans="1:5" x14ac:dyDescent="0.2">
      <c r="A193" s="676" t="e">
        <f>+VLOOKUP($B193,'Tên NL'!$B:$C,2,0)</f>
        <v>#N/A</v>
      </c>
      <c r="C193" s="667"/>
      <c r="D193" s="825" t="str">
        <f t="shared" si="4"/>
        <v/>
      </c>
      <c r="E193" s="572">
        <f t="shared" si="5"/>
        <v>0</v>
      </c>
    </row>
    <row r="194" spans="1:5" x14ac:dyDescent="0.2">
      <c r="A194" s="676" t="e">
        <f>+VLOOKUP($B194,'Tên NL'!$B:$C,2,0)</f>
        <v>#N/A</v>
      </c>
      <c r="C194" s="667"/>
      <c r="D194" s="825" t="str">
        <f t="shared" si="4"/>
        <v/>
      </c>
      <c r="E194" s="572">
        <f t="shared" si="5"/>
        <v>0</v>
      </c>
    </row>
    <row r="195" spans="1:5" x14ac:dyDescent="0.2">
      <c r="A195" s="676" t="e">
        <f>+VLOOKUP($B195,'Tên NL'!$B:$C,2,0)</f>
        <v>#N/A</v>
      </c>
      <c r="C195" s="667"/>
      <c r="D195" s="825" t="str">
        <f t="shared" si="4"/>
        <v/>
      </c>
      <c r="E195" s="572">
        <f t="shared" si="5"/>
        <v>0</v>
      </c>
    </row>
    <row r="196" spans="1:5" x14ac:dyDescent="0.2">
      <c r="A196" s="676" t="e">
        <f>+VLOOKUP($B196,'Tên NL'!$B:$C,2,0)</f>
        <v>#N/A</v>
      </c>
      <c r="C196" s="667"/>
      <c r="D196" s="825" t="str">
        <f t="shared" si="4"/>
        <v/>
      </c>
      <c r="E196" s="572">
        <f t="shared" si="5"/>
        <v>0</v>
      </c>
    </row>
    <row r="197" spans="1:5" x14ac:dyDescent="0.2">
      <c r="A197" s="676" t="e">
        <f>+VLOOKUP($B197,'Tên NL'!$B:$C,2,0)</f>
        <v>#N/A</v>
      </c>
      <c r="C197" s="667"/>
      <c r="D197" s="825" t="str">
        <f t="shared" si="4"/>
        <v/>
      </c>
      <c r="E197" s="572">
        <f t="shared" si="5"/>
        <v>0</v>
      </c>
    </row>
    <row r="198" spans="1:5" x14ac:dyDescent="0.2">
      <c r="A198" s="676" t="e">
        <f>+VLOOKUP($B198,'Tên NL'!$B:$C,2,0)</f>
        <v>#N/A</v>
      </c>
      <c r="D198" s="825" t="str">
        <f t="shared" si="4"/>
        <v/>
      </c>
      <c r="E198" s="572">
        <f t="shared" si="5"/>
        <v>0</v>
      </c>
    </row>
    <row r="199" spans="1:5" x14ac:dyDescent="0.2">
      <c r="A199" s="676" t="e">
        <f>+VLOOKUP($B199,'Tên NL'!$B:$C,2,0)</f>
        <v>#N/A</v>
      </c>
      <c r="D199" s="825" t="str">
        <f t="shared" ref="D199:D262" si="6">LEFT(B199,2)</f>
        <v/>
      </c>
      <c r="E199" s="572">
        <f t="shared" ref="E199:E262" si="7">C199/$D$4*1000</f>
        <v>0</v>
      </c>
    </row>
    <row r="200" spans="1:5" x14ac:dyDescent="0.2">
      <c r="A200" s="676" t="e">
        <f>+VLOOKUP($B200,'Tên NL'!$B:$C,2,0)</f>
        <v>#N/A</v>
      </c>
      <c r="D200" s="825" t="str">
        <f t="shared" si="6"/>
        <v/>
      </c>
      <c r="E200" s="572">
        <f t="shared" si="7"/>
        <v>0</v>
      </c>
    </row>
    <row r="201" spans="1:5" x14ac:dyDescent="0.2">
      <c r="A201" s="676" t="e">
        <f>+VLOOKUP($B201,'Tên NL'!$B:$C,2,0)</f>
        <v>#N/A</v>
      </c>
      <c r="D201" s="825" t="str">
        <f t="shared" si="6"/>
        <v/>
      </c>
      <c r="E201" s="572">
        <f t="shared" si="7"/>
        <v>0</v>
      </c>
    </row>
    <row r="202" spans="1:5" x14ac:dyDescent="0.2">
      <c r="A202" s="676" t="e">
        <f>+VLOOKUP($B202,'Tên NL'!$B:$C,2,0)</f>
        <v>#N/A</v>
      </c>
      <c r="D202" s="825" t="str">
        <f t="shared" si="6"/>
        <v/>
      </c>
      <c r="E202" s="572">
        <f t="shared" si="7"/>
        <v>0</v>
      </c>
    </row>
    <row r="203" spans="1:5" x14ac:dyDescent="0.2">
      <c r="A203" s="676" t="e">
        <f>+VLOOKUP($B203,'Tên NL'!$B:$C,2,0)</f>
        <v>#N/A</v>
      </c>
      <c r="D203" s="825" t="str">
        <f t="shared" si="6"/>
        <v/>
      </c>
      <c r="E203" s="572">
        <f t="shared" si="7"/>
        <v>0</v>
      </c>
    </row>
    <row r="204" spans="1:5" x14ac:dyDescent="0.2">
      <c r="A204" s="676" t="e">
        <f>+VLOOKUP($B204,'Tên NL'!$B:$C,2,0)</f>
        <v>#N/A</v>
      </c>
      <c r="D204" s="825" t="str">
        <f t="shared" si="6"/>
        <v/>
      </c>
      <c r="E204" s="572">
        <f t="shared" si="7"/>
        <v>0</v>
      </c>
    </row>
    <row r="205" spans="1:5" x14ac:dyDescent="0.2">
      <c r="A205" s="676" t="e">
        <f>+VLOOKUP($B205,'Tên NL'!$B:$C,2,0)</f>
        <v>#N/A</v>
      </c>
      <c r="D205" s="825" t="str">
        <f t="shared" si="6"/>
        <v/>
      </c>
      <c r="E205" s="572">
        <f t="shared" si="7"/>
        <v>0</v>
      </c>
    </row>
    <row r="206" spans="1:5" x14ac:dyDescent="0.2">
      <c r="A206" s="676" t="e">
        <f>+VLOOKUP($B206,'Tên NL'!$B:$C,2,0)</f>
        <v>#N/A</v>
      </c>
      <c r="D206" s="825" t="str">
        <f t="shared" si="6"/>
        <v/>
      </c>
      <c r="E206" s="572">
        <f t="shared" si="7"/>
        <v>0</v>
      </c>
    </row>
    <row r="207" spans="1:5" x14ac:dyDescent="0.2">
      <c r="A207" s="676" t="e">
        <f>+VLOOKUP($B207,'Tên NL'!$B:$C,2,0)</f>
        <v>#N/A</v>
      </c>
      <c r="D207" s="825" t="str">
        <f t="shared" si="6"/>
        <v/>
      </c>
      <c r="E207" s="572">
        <f t="shared" si="7"/>
        <v>0</v>
      </c>
    </row>
    <row r="208" spans="1:5" x14ac:dyDescent="0.2">
      <c r="A208" s="676" t="e">
        <f>+VLOOKUP($B208,'Tên NL'!$B:$C,2,0)</f>
        <v>#N/A</v>
      </c>
      <c r="D208" s="825" t="str">
        <f t="shared" si="6"/>
        <v/>
      </c>
      <c r="E208" s="572">
        <f t="shared" si="7"/>
        <v>0</v>
      </c>
    </row>
    <row r="209" spans="1:5" x14ac:dyDescent="0.2">
      <c r="A209" s="676" t="e">
        <f>+VLOOKUP($B209,'Tên NL'!$B:$C,2,0)</f>
        <v>#N/A</v>
      </c>
      <c r="D209" s="825" t="str">
        <f t="shared" si="6"/>
        <v/>
      </c>
      <c r="E209" s="572">
        <f t="shared" si="7"/>
        <v>0</v>
      </c>
    </row>
    <row r="210" spans="1:5" x14ac:dyDescent="0.2">
      <c r="A210" s="676" t="e">
        <f>+VLOOKUP($B210,'Tên NL'!$B:$C,2,0)</f>
        <v>#N/A</v>
      </c>
      <c r="D210" s="825" t="str">
        <f t="shared" si="6"/>
        <v/>
      </c>
      <c r="E210" s="572">
        <f t="shared" si="7"/>
        <v>0</v>
      </c>
    </row>
    <row r="211" spans="1:5" x14ac:dyDescent="0.2">
      <c r="A211" s="676" t="e">
        <f>+VLOOKUP($B211,'Tên NL'!$B:$C,2,0)</f>
        <v>#N/A</v>
      </c>
      <c r="D211" s="825" t="str">
        <f t="shared" si="6"/>
        <v/>
      </c>
      <c r="E211" s="572">
        <f t="shared" si="7"/>
        <v>0</v>
      </c>
    </row>
    <row r="212" spans="1:5" x14ac:dyDescent="0.2">
      <c r="A212" s="676" t="e">
        <f>+VLOOKUP($B212,'Tên NL'!$B:$C,2,0)</f>
        <v>#N/A</v>
      </c>
      <c r="D212" s="825" t="str">
        <f t="shared" si="6"/>
        <v/>
      </c>
      <c r="E212" s="572">
        <f t="shared" si="7"/>
        <v>0</v>
      </c>
    </row>
    <row r="213" spans="1:5" x14ac:dyDescent="0.2">
      <c r="A213" s="676" t="e">
        <f>+VLOOKUP($B213,'Tên NL'!$B:$C,2,0)</f>
        <v>#N/A</v>
      </c>
      <c r="D213" s="825" t="str">
        <f t="shared" si="6"/>
        <v/>
      </c>
      <c r="E213" s="572">
        <f t="shared" si="7"/>
        <v>0</v>
      </c>
    </row>
    <row r="214" spans="1:5" x14ac:dyDescent="0.2">
      <c r="A214" s="676" t="e">
        <f>+VLOOKUP($B214,'Tên NL'!$B:$C,2,0)</f>
        <v>#N/A</v>
      </c>
      <c r="D214" s="825" t="str">
        <f t="shared" si="6"/>
        <v/>
      </c>
      <c r="E214" s="572">
        <f t="shared" si="7"/>
        <v>0</v>
      </c>
    </row>
    <row r="215" spans="1:5" x14ac:dyDescent="0.2">
      <c r="A215" s="676" t="e">
        <f>+VLOOKUP($B215,'Tên NL'!$B:$C,2,0)</f>
        <v>#N/A</v>
      </c>
      <c r="D215" s="825" t="str">
        <f t="shared" si="6"/>
        <v/>
      </c>
      <c r="E215" s="572">
        <f t="shared" si="7"/>
        <v>0</v>
      </c>
    </row>
    <row r="216" spans="1:5" x14ac:dyDescent="0.2">
      <c r="A216" s="676" t="e">
        <f>+VLOOKUP($B216,'Tên NL'!$B:$C,2,0)</f>
        <v>#N/A</v>
      </c>
      <c r="D216" s="825" t="str">
        <f t="shared" si="6"/>
        <v/>
      </c>
      <c r="E216" s="572">
        <f t="shared" si="7"/>
        <v>0</v>
      </c>
    </row>
    <row r="217" spans="1:5" x14ac:dyDescent="0.2">
      <c r="A217" s="676" t="e">
        <f>+VLOOKUP($B217,'Tên NL'!$B:$C,2,0)</f>
        <v>#N/A</v>
      </c>
      <c r="D217" s="825" t="str">
        <f t="shared" si="6"/>
        <v/>
      </c>
      <c r="E217" s="572">
        <f t="shared" si="7"/>
        <v>0</v>
      </c>
    </row>
    <row r="218" spans="1:5" x14ac:dyDescent="0.2">
      <c r="A218" s="676" t="e">
        <f>+VLOOKUP($B218,'Tên NL'!$B:$C,2,0)</f>
        <v>#N/A</v>
      </c>
      <c r="D218" s="825" t="str">
        <f t="shared" si="6"/>
        <v/>
      </c>
      <c r="E218" s="572">
        <f t="shared" si="7"/>
        <v>0</v>
      </c>
    </row>
    <row r="219" spans="1:5" x14ac:dyDescent="0.2">
      <c r="A219" s="676" t="e">
        <f>+VLOOKUP($B219,'Tên NL'!$B:$C,2,0)</f>
        <v>#N/A</v>
      </c>
      <c r="D219" s="825" t="str">
        <f t="shared" si="6"/>
        <v/>
      </c>
      <c r="E219" s="572">
        <f t="shared" si="7"/>
        <v>0</v>
      </c>
    </row>
    <row r="220" spans="1:5" x14ac:dyDescent="0.2">
      <c r="A220" s="676" t="e">
        <f>+VLOOKUP($B220,'Tên NL'!$B:$C,2,0)</f>
        <v>#N/A</v>
      </c>
      <c r="D220" s="825" t="str">
        <f t="shared" si="6"/>
        <v/>
      </c>
      <c r="E220" s="572">
        <f t="shared" si="7"/>
        <v>0</v>
      </c>
    </row>
    <row r="221" spans="1:5" x14ac:dyDescent="0.2">
      <c r="A221" s="676" t="e">
        <f>+VLOOKUP($B221,'Tên NL'!$B:$C,2,0)</f>
        <v>#N/A</v>
      </c>
      <c r="D221" s="825" t="str">
        <f t="shared" si="6"/>
        <v/>
      </c>
      <c r="E221" s="572">
        <f t="shared" si="7"/>
        <v>0</v>
      </c>
    </row>
    <row r="222" spans="1:5" x14ac:dyDescent="0.2">
      <c r="A222" s="676" t="e">
        <f>+VLOOKUP($B222,'Tên NL'!$B:$C,2,0)</f>
        <v>#N/A</v>
      </c>
      <c r="D222" s="825" t="str">
        <f t="shared" si="6"/>
        <v/>
      </c>
      <c r="E222" s="572">
        <f t="shared" si="7"/>
        <v>0</v>
      </c>
    </row>
    <row r="223" spans="1:5" x14ac:dyDescent="0.2">
      <c r="A223" s="676" t="e">
        <f>+VLOOKUP($B223,'Tên NL'!$B:$C,2,0)</f>
        <v>#N/A</v>
      </c>
      <c r="D223" s="825" t="str">
        <f t="shared" si="6"/>
        <v/>
      </c>
      <c r="E223" s="572">
        <f t="shared" si="7"/>
        <v>0</v>
      </c>
    </row>
    <row r="224" spans="1:5" x14ac:dyDescent="0.2">
      <c r="A224" s="676" t="e">
        <f>+VLOOKUP($B224,'Tên NL'!$B:$C,2,0)</f>
        <v>#N/A</v>
      </c>
      <c r="D224" s="825" t="str">
        <f t="shared" si="6"/>
        <v/>
      </c>
      <c r="E224" s="572">
        <f t="shared" si="7"/>
        <v>0</v>
      </c>
    </row>
    <row r="225" spans="1:5" x14ac:dyDescent="0.2">
      <c r="A225" s="676" t="e">
        <f>+VLOOKUP($B225,'Tên NL'!$B:$C,2,0)</f>
        <v>#N/A</v>
      </c>
      <c r="D225" s="825" t="str">
        <f t="shared" si="6"/>
        <v/>
      </c>
      <c r="E225" s="572">
        <f t="shared" si="7"/>
        <v>0</v>
      </c>
    </row>
    <row r="226" spans="1:5" x14ac:dyDescent="0.2">
      <c r="A226" s="676" t="e">
        <f>+VLOOKUP($B226,'Tên NL'!$B:$C,2,0)</f>
        <v>#N/A</v>
      </c>
      <c r="D226" s="825" t="str">
        <f t="shared" si="6"/>
        <v/>
      </c>
      <c r="E226" s="572">
        <f t="shared" si="7"/>
        <v>0</v>
      </c>
    </row>
    <row r="227" spans="1:5" x14ac:dyDescent="0.2">
      <c r="A227" s="676" t="e">
        <f>+VLOOKUP($B227,'Tên NL'!$B:$C,2,0)</f>
        <v>#N/A</v>
      </c>
      <c r="D227" s="825" t="str">
        <f t="shared" si="6"/>
        <v/>
      </c>
      <c r="E227" s="572">
        <f t="shared" si="7"/>
        <v>0</v>
      </c>
    </row>
    <row r="228" spans="1:5" x14ac:dyDescent="0.2">
      <c r="A228" s="676" t="e">
        <f>+VLOOKUP($B228,'Tên NL'!$B:$C,2,0)</f>
        <v>#N/A</v>
      </c>
      <c r="D228" s="825" t="str">
        <f t="shared" si="6"/>
        <v/>
      </c>
      <c r="E228" s="572">
        <f t="shared" si="7"/>
        <v>0</v>
      </c>
    </row>
    <row r="229" spans="1:5" x14ac:dyDescent="0.2">
      <c r="A229" s="676" t="e">
        <f>+VLOOKUP($B229,'Tên NL'!$B:$C,2,0)</f>
        <v>#N/A</v>
      </c>
      <c r="D229" s="825" t="str">
        <f t="shared" si="6"/>
        <v/>
      </c>
      <c r="E229" s="572">
        <f t="shared" si="7"/>
        <v>0</v>
      </c>
    </row>
    <row r="230" spans="1:5" x14ac:dyDescent="0.2">
      <c r="A230" s="676" t="e">
        <f>+VLOOKUP($B230,'Tên NL'!$B:$C,2,0)</f>
        <v>#N/A</v>
      </c>
      <c r="D230" s="825" t="str">
        <f t="shared" si="6"/>
        <v/>
      </c>
      <c r="E230" s="572">
        <f t="shared" si="7"/>
        <v>0</v>
      </c>
    </row>
    <row r="231" spans="1:5" x14ac:dyDescent="0.2">
      <c r="A231" s="676" t="e">
        <f>+VLOOKUP($B231,'Tên NL'!$B:$C,2,0)</f>
        <v>#N/A</v>
      </c>
      <c r="D231" s="825" t="str">
        <f t="shared" si="6"/>
        <v/>
      </c>
      <c r="E231" s="572">
        <f t="shared" si="7"/>
        <v>0</v>
      </c>
    </row>
    <row r="232" spans="1:5" x14ac:dyDescent="0.2">
      <c r="A232" s="676" t="e">
        <f>+VLOOKUP($B232,'Tên NL'!$B:$C,2,0)</f>
        <v>#N/A</v>
      </c>
      <c r="D232" s="825" t="str">
        <f t="shared" si="6"/>
        <v/>
      </c>
      <c r="E232" s="572">
        <f t="shared" si="7"/>
        <v>0</v>
      </c>
    </row>
    <row r="233" spans="1:5" x14ac:dyDescent="0.2">
      <c r="A233" s="676" t="e">
        <f>+VLOOKUP($B233,'Tên NL'!$B:$C,2,0)</f>
        <v>#N/A</v>
      </c>
      <c r="D233" s="825" t="str">
        <f t="shared" si="6"/>
        <v/>
      </c>
      <c r="E233" s="572">
        <f t="shared" si="7"/>
        <v>0</v>
      </c>
    </row>
    <row r="234" spans="1:5" x14ac:dyDescent="0.2">
      <c r="A234" s="676" t="e">
        <f>+VLOOKUP($B234,'Tên NL'!$B:$C,2,0)</f>
        <v>#N/A</v>
      </c>
      <c r="D234" s="825" t="str">
        <f t="shared" si="6"/>
        <v/>
      </c>
      <c r="E234" s="572">
        <f t="shared" si="7"/>
        <v>0</v>
      </c>
    </row>
    <row r="235" spans="1:5" x14ac:dyDescent="0.2">
      <c r="A235" s="676" t="e">
        <f>+VLOOKUP($B235,'Tên NL'!$B:$C,2,0)</f>
        <v>#N/A</v>
      </c>
      <c r="D235" s="825" t="str">
        <f t="shared" si="6"/>
        <v/>
      </c>
      <c r="E235" s="572">
        <f t="shared" si="7"/>
        <v>0</v>
      </c>
    </row>
    <row r="236" spans="1:5" x14ac:dyDescent="0.2">
      <c r="A236" s="676" t="e">
        <f>+VLOOKUP($B236,'Tên NL'!$B:$C,2,0)</f>
        <v>#N/A</v>
      </c>
      <c r="D236" s="825" t="str">
        <f t="shared" si="6"/>
        <v/>
      </c>
      <c r="E236" s="572">
        <f t="shared" si="7"/>
        <v>0</v>
      </c>
    </row>
    <row r="237" spans="1:5" x14ac:dyDescent="0.2">
      <c r="A237" s="676" t="e">
        <f>+VLOOKUP($B237,'Tên NL'!$B:$C,2,0)</f>
        <v>#N/A</v>
      </c>
      <c r="D237" s="825" t="str">
        <f t="shared" si="6"/>
        <v/>
      </c>
      <c r="E237" s="572">
        <f t="shared" si="7"/>
        <v>0</v>
      </c>
    </row>
    <row r="238" spans="1:5" x14ac:dyDescent="0.2">
      <c r="A238" s="676" t="e">
        <f>+VLOOKUP($B238,'Tên NL'!$B:$C,2,0)</f>
        <v>#N/A</v>
      </c>
      <c r="D238" s="825" t="str">
        <f t="shared" si="6"/>
        <v/>
      </c>
      <c r="E238" s="572">
        <f t="shared" si="7"/>
        <v>0</v>
      </c>
    </row>
    <row r="239" spans="1:5" x14ac:dyDescent="0.2">
      <c r="A239" s="676" t="e">
        <f>+VLOOKUP($B239,'Tên NL'!$B:$C,2,0)</f>
        <v>#N/A</v>
      </c>
      <c r="D239" s="825" t="str">
        <f t="shared" si="6"/>
        <v/>
      </c>
      <c r="E239" s="572">
        <f t="shared" si="7"/>
        <v>0</v>
      </c>
    </row>
    <row r="240" spans="1:5" x14ac:dyDescent="0.2">
      <c r="A240" s="676" t="e">
        <f>+VLOOKUP($B240,'Tên NL'!$B:$C,2,0)</f>
        <v>#N/A</v>
      </c>
      <c r="D240" s="825" t="str">
        <f t="shared" si="6"/>
        <v/>
      </c>
      <c r="E240" s="572">
        <f t="shared" si="7"/>
        <v>0</v>
      </c>
    </row>
    <row r="241" spans="1:5" x14ac:dyDescent="0.2">
      <c r="A241" s="676" t="e">
        <f>+VLOOKUP($B241,'Tên NL'!$B:$C,2,0)</f>
        <v>#N/A</v>
      </c>
      <c r="D241" s="825" t="str">
        <f t="shared" si="6"/>
        <v/>
      </c>
      <c r="E241" s="572">
        <f t="shared" si="7"/>
        <v>0</v>
      </c>
    </row>
    <row r="242" spans="1:5" x14ac:dyDescent="0.2">
      <c r="A242" s="676" t="e">
        <f>+VLOOKUP($B242,'Tên NL'!$B:$C,2,0)</f>
        <v>#N/A</v>
      </c>
      <c r="D242" s="825" t="str">
        <f t="shared" si="6"/>
        <v/>
      </c>
      <c r="E242" s="572">
        <f t="shared" si="7"/>
        <v>0</v>
      </c>
    </row>
    <row r="243" spans="1:5" x14ac:dyDescent="0.2">
      <c r="A243" s="676" t="e">
        <f>+VLOOKUP($B243,'Tên NL'!$B:$C,2,0)</f>
        <v>#N/A</v>
      </c>
      <c r="D243" s="825" t="str">
        <f t="shared" si="6"/>
        <v/>
      </c>
      <c r="E243" s="572">
        <f t="shared" si="7"/>
        <v>0</v>
      </c>
    </row>
    <row r="244" spans="1:5" x14ac:dyDescent="0.2">
      <c r="A244" s="676" t="e">
        <f>+VLOOKUP($B244,'Tên NL'!$B:$C,2,0)</f>
        <v>#N/A</v>
      </c>
      <c r="D244" s="825" t="str">
        <f t="shared" si="6"/>
        <v/>
      </c>
      <c r="E244" s="572">
        <f t="shared" si="7"/>
        <v>0</v>
      </c>
    </row>
    <row r="245" spans="1:5" x14ac:dyDescent="0.2">
      <c r="A245" s="676" t="e">
        <f>+VLOOKUP($B245,'Tên NL'!$B:$C,2,0)</f>
        <v>#N/A</v>
      </c>
      <c r="D245" s="825" t="str">
        <f t="shared" si="6"/>
        <v/>
      </c>
      <c r="E245" s="572">
        <f t="shared" si="7"/>
        <v>0</v>
      </c>
    </row>
    <row r="246" spans="1:5" x14ac:dyDescent="0.2">
      <c r="A246" s="676" t="e">
        <f>+VLOOKUP($B246,'Tên NL'!$B:$C,2,0)</f>
        <v>#N/A</v>
      </c>
      <c r="D246" s="825" t="str">
        <f t="shared" si="6"/>
        <v/>
      </c>
      <c r="E246" s="572">
        <f t="shared" si="7"/>
        <v>0</v>
      </c>
    </row>
    <row r="247" spans="1:5" x14ac:dyDescent="0.2">
      <c r="A247" s="676" t="e">
        <f>+VLOOKUP($B247,'Tên NL'!$B:$C,2,0)</f>
        <v>#N/A</v>
      </c>
      <c r="D247" s="825" t="str">
        <f t="shared" si="6"/>
        <v/>
      </c>
      <c r="E247" s="572">
        <f t="shared" si="7"/>
        <v>0</v>
      </c>
    </row>
    <row r="248" spans="1:5" x14ac:dyDescent="0.2">
      <c r="A248" s="676" t="e">
        <f>+VLOOKUP($B248,'Tên NL'!$B:$C,2,0)</f>
        <v>#N/A</v>
      </c>
      <c r="D248" s="825" t="str">
        <f t="shared" si="6"/>
        <v/>
      </c>
      <c r="E248" s="572">
        <f t="shared" si="7"/>
        <v>0</v>
      </c>
    </row>
    <row r="249" spans="1:5" x14ac:dyDescent="0.2">
      <c r="A249" s="676" t="e">
        <f>+VLOOKUP($B249,'Tên NL'!$B:$C,2,0)</f>
        <v>#N/A</v>
      </c>
      <c r="D249" s="825" t="str">
        <f t="shared" si="6"/>
        <v/>
      </c>
      <c r="E249" s="572">
        <f t="shared" si="7"/>
        <v>0</v>
      </c>
    </row>
    <row r="250" spans="1:5" x14ac:dyDescent="0.2">
      <c r="A250" s="676" t="e">
        <f>+VLOOKUP($B250,'Tên NL'!$B:$C,2,0)</f>
        <v>#N/A</v>
      </c>
      <c r="D250" s="825" t="str">
        <f t="shared" si="6"/>
        <v/>
      </c>
      <c r="E250" s="572">
        <f t="shared" si="7"/>
        <v>0</v>
      </c>
    </row>
    <row r="251" spans="1:5" x14ac:dyDescent="0.2">
      <c r="A251" s="676" t="e">
        <f>+VLOOKUP($B251,'Tên NL'!$B:$C,2,0)</f>
        <v>#N/A</v>
      </c>
      <c r="D251" s="825" t="str">
        <f t="shared" si="6"/>
        <v/>
      </c>
      <c r="E251" s="572">
        <f t="shared" si="7"/>
        <v>0</v>
      </c>
    </row>
    <row r="252" spans="1:5" x14ac:dyDescent="0.2">
      <c r="A252" s="676" t="e">
        <f>+VLOOKUP($B252,'Tên NL'!$B:$C,2,0)</f>
        <v>#N/A</v>
      </c>
      <c r="D252" s="825" t="str">
        <f t="shared" si="6"/>
        <v/>
      </c>
      <c r="E252" s="572">
        <f t="shared" si="7"/>
        <v>0</v>
      </c>
    </row>
    <row r="253" spans="1:5" x14ac:dyDescent="0.2">
      <c r="A253" s="676" t="e">
        <f>+VLOOKUP($B253,'Tên NL'!$B:$C,2,0)</f>
        <v>#N/A</v>
      </c>
      <c r="D253" s="825" t="str">
        <f t="shared" si="6"/>
        <v/>
      </c>
      <c r="E253" s="572">
        <f t="shared" si="7"/>
        <v>0</v>
      </c>
    </row>
    <row r="254" spans="1:5" x14ac:dyDescent="0.2">
      <c r="A254" s="676" t="e">
        <f>+VLOOKUP($B254,'Tên NL'!$B:$C,2,0)</f>
        <v>#N/A</v>
      </c>
      <c r="D254" s="825" t="str">
        <f t="shared" si="6"/>
        <v/>
      </c>
      <c r="E254" s="572">
        <f t="shared" si="7"/>
        <v>0</v>
      </c>
    </row>
    <row r="255" spans="1:5" x14ac:dyDescent="0.2">
      <c r="A255" s="676" t="e">
        <f>+VLOOKUP($B255,'Tên NL'!$B:$C,2,0)</f>
        <v>#N/A</v>
      </c>
      <c r="D255" s="825" t="str">
        <f t="shared" si="6"/>
        <v/>
      </c>
      <c r="E255" s="572">
        <f t="shared" si="7"/>
        <v>0</v>
      </c>
    </row>
    <row r="256" spans="1:5" x14ac:dyDescent="0.2">
      <c r="A256" s="676" t="e">
        <f>+VLOOKUP($B256,'Tên NL'!$B:$C,2,0)</f>
        <v>#N/A</v>
      </c>
      <c r="D256" s="825" t="str">
        <f t="shared" si="6"/>
        <v/>
      </c>
      <c r="E256" s="572">
        <f t="shared" si="7"/>
        <v>0</v>
      </c>
    </row>
    <row r="257" spans="1:5" x14ac:dyDescent="0.2">
      <c r="A257" s="676" t="e">
        <f>+VLOOKUP($B257,'Tên NL'!$B:$C,2,0)</f>
        <v>#N/A</v>
      </c>
      <c r="D257" s="825" t="str">
        <f t="shared" si="6"/>
        <v/>
      </c>
      <c r="E257" s="572">
        <f t="shared" si="7"/>
        <v>0</v>
      </c>
    </row>
    <row r="258" spans="1:5" x14ac:dyDescent="0.2">
      <c r="A258" s="676" t="e">
        <f>+VLOOKUP($B258,'Tên NL'!$B:$C,2,0)</f>
        <v>#N/A</v>
      </c>
      <c r="D258" s="825" t="str">
        <f t="shared" si="6"/>
        <v/>
      </c>
      <c r="E258" s="572">
        <f t="shared" si="7"/>
        <v>0</v>
      </c>
    </row>
    <row r="259" spans="1:5" x14ac:dyDescent="0.2">
      <c r="A259" s="676" t="e">
        <f>+VLOOKUP($B259,'Tên NL'!$B:$C,2,0)</f>
        <v>#N/A</v>
      </c>
      <c r="D259" s="825" t="str">
        <f t="shared" si="6"/>
        <v/>
      </c>
      <c r="E259" s="572">
        <f t="shared" si="7"/>
        <v>0</v>
      </c>
    </row>
    <row r="260" spans="1:5" x14ac:dyDescent="0.2">
      <c r="A260" s="676" t="e">
        <f>+VLOOKUP($B260,'Tên NL'!$B:$C,2,0)</f>
        <v>#N/A</v>
      </c>
      <c r="D260" s="825" t="str">
        <f t="shared" si="6"/>
        <v/>
      </c>
      <c r="E260" s="572">
        <f t="shared" si="7"/>
        <v>0</v>
      </c>
    </row>
    <row r="261" spans="1:5" x14ac:dyDescent="0.2">
      <c r="A261" s="676" t="e">
        <f>+VLOOKUP($B261,'Tên NL'!$B:$C,2,0)</f>
        <v>#N/A</v>
      </c>
      <c r="D261" s="825" t="str">
        <f t="shared" si="6"/>
        <v/>
      </c>
      <c r="E261" s="572">
        <f t="shared" si="7"/>
        <v>0</v>
      </c>
    </row>
    <row r="262" spans="1:5" x14ac:dyDescent="0.2">
      <c r="A262" s="676" t="e">
        <f>+VLOOKUP($B262,'Tên NL'!$B:$C,2,0)</f>
        <v>#N/A</v>
      </c>
      <c r="D262" s="825" t="str">
        <f t="shared" si="6"/>
        <v/>
      </c>
      <c r="E262" s="572">
        <f t="shared" si="7"/>
        <v>0</v>
      </c>
    </row>
    <row r="263" spans="1:5" x14ac:dyDescent="0.2">
      <c r="A263" s="676" t="e">
        <f>+VLOOKUP($B263,'Tên NL'!$B:$C,2,0)</f>
        <v>#N/A</v>
      </c>
      <c r="D263" s="825" t="str">
        <f t="shared" ref="D263:D326" si="8">LEFT(B263,2)</f>
        <v/>
      </c>
      <c r="E263" s="572">
        <f t="shared" ref="E263:E326" si="9">C263/$D$4*1000</f>
        <v>0</v>
      </c>
    </row>
    <row r="264" spans="1:5" x14ac:dyDescent="0.2">
      <c r="A264" s="676" t="e">
        <f>+VLOOKUP($B264,'Tên NL'!$B:$C,2,0)</f>
        <v>#N/A</v>
      </c>
      <c r="D264" s="825" t="str">
        <f t="shared" si="8"/>
        <v/>
      </c>
      <c r="E264" s="572">
        <f t="shared" si="9"/>
        <v>0</v>
      </c>
    </row>
    <row r="265" spans="1:5" x14ac:dyDescent="0.2">
      <c r="A265" s="676" t="e">
        <f>+VLOOKUP($B265,'Tên NL'!$B:$C,2,0)</f>
        <v>#N/A</v>
      </c>
      <c r="D265" s="825" t="str">
        <f t="shared" si="8"/>
        <v/>
      </c>
      <c r="E265" s="572">
        <f t="shared" si="9"/>
        <v>0</v>
      </c>
    </row>
    <row r="266" spans="1:5" x14ac:dyDescent="0.2">
      <c r="A266" s="676" t="e">
        <f>+VLOOKUP($B266,'Tên NL'!$B:$C,2,0)</f>
        <v>#N/A</v>
      </c>
      <c r="D266" s="825" t="str">
        <f t="shared" si="8"/>
        <v/>
      </c>
      <c r="E266" s="572">
        <f t="shared" si="9"/>
        <v>0</v>
      </c>
    </row>
    <row r="267" spans="1:5" x14ac:dyDescent="0.2">
      <c r="A267" s="676" t="e">
        <f>+VLOOKUP($B267,'Tên NL'!$B:$C,2,0)</f>
        <v>#N/A</v>
      </c>
      <c r="D267" s="825" t="str">
        <f t="shared" si="8"/>
        <v/>
      </c>
      <c r="E267" s="572">
        <f t="shared" si="9"/>
        <v>0</v>
      </c>
    </row>
    <row r="268" spans="1:5" x14ac:dyDescent="0.2">
      <c r="A268" s="676" t="e">
        <f>+VLOOKUP($B268,'Tên NL'!$B:$C,2,0)</f>
        <v>#N/A</v>
      </c>
      <c r="D268" s="825" t="str">
        <f t="shared" si="8"/>
        <v/>
      </c>
      <c r="E268" s="572">
        <f t="shared" si="9"/>
        <v>0</v>
      </c>
    </row>
    <row r="269" spans="1:5" x14ac:dyDescent="0.2">
      <c r="A269" s="676" t="e">
        <f>+VLOOKUP($B269,'Tên NL'!$B:$C,2,0)</f>
        <v>#N/A</v>
      </c>
      <c r="D269" s="825" t="str">
        <f t="shared" si="8"/>
        <v/>
      </c>
      <c r="E269" s="572">
        <f t="shared" si="9"/>
        <v>0</v>
      </c>
    </row>
    <row r="270" spans="1:5" x14ac:dyDescent="0.2">
      <c r="A270" s="676" t="e">
        <f>+VLOOKUP($B270,'Tên NL'!$B:$C,2,0)</f>
        <v>#N/A</v>
      </c>
      <c r="D270" s="825" t="str">
        <f t="shared" si="8"/>
        <v/>
      </c>
      <c r="E270" s="572">
        <f t="shared" si="9"/>
        <v>0</v>
      </c>
    </row>
    <row r="271" spans="1:5" x14ac:dyDescent="0.2">
      <c r="A271" s="676" t="e">
        <f>+VLOOKUP($B271,'Tên NL'!$B:$C,2,0)</f>
        <v>#N/A</v>
      </c>
      <c r="D271" s="825" t="str">
        <f t="shared" si="8"/>
        <v/>
      </c>
      <c r="E271" s="572">
        <f t="shared" si="9"/>
        <v>0</v>
      </c>
    </row>
    <row r="272" spans="1:5" x14ac:dyDescent="0.2">
      <c r="A272" s="676" t="e">
        <f>+VLOOKUP($B272,'Tên NL'!$B:$C,2,0)</f>
        <v>#N/A</v>
      </c>
      <c r="D272" s="825" t="str">
        <f t="shared" si="8"/>
        <v/>
      </c>
      <c r="E272" s="572">
        <f t="shared" si="9"/>
        <v>0</v>
      </c>
    </row>
    <row r="273" spans="1:5" x14ac:dyDescent="0.2">
      <c r="A273" s="676" t="e">
        <f>+VLOOKUP($B273,'Tên NL'!$B:$C,2,0)</f>
        <v>#N/A</v>
      </c>
      <c r="D273" s="825" t="str">
        <f t="shared" si="8"/>
        <v/>
      </c>
      <c r="E273" s="572">
        <f t="shared" si="9"/>
        <v>0</v>
      </c>
    </row>
    <row r="274" spans="1:5" x14ac:dyDescent="0.2">
      <c r="A274" s="676" t="e">
        <f>+VLOOKUP($B274,'Tên NL'!$B:$C,2,0)</f>
        <v>#N/A</v>
      </c>
      <c r="D274" s="825" t="str">
        <f t="shared" si="8"/>
        <v/>
      </c>
      <c r="E274" s="572">
        <f t="shared" si="9"/>
        <v>0</v>
      </c>
    </row>
    <row r="275" spans="1:5" x14ac:dyDescent="0.2">
      <c r="A275" s="676" t="e">
        <f>+VLOOKUP($B275,'Tên NL'!$B:$C,2,0)</f>
        <v>#N/A</v>
      </c>
      <c r="D275" s="825" t="str">
        <f t="shared" si="8"/>
        <v/>
      </c>
      <c r="E275" s="572">
        <f t="shared" si="9"/>
        <v>0</v>
      </c>
    </row>
    <row r="276" spans="1:5" x14ac:dyDescent="0.2">
      <c r="A276" s="676" t="e">
        <f>+VLOOKUP($B276,'Tên NL'!$B:$C,2,0)</f>
        <v>#N/A</v>
      </c>
      <c r="D276" s="825" t="str">
        <f t="shared" si="8"/>
        <v/>
      </c>
      <c r="E276" s="572">
        <f t="shared" si="9"/>
        <v>0</v>
      </c>
    </row>
    <row r="277" spans="1:5" x14ac:dyDescent="0.2">
      <c r="A277" s="676" t="e">
        <f>+VLOOKUP($B277,'Tên NL'!$B:$C,2,0)</f>
        <v>#N/A</v>
      </c>
      <c r="D277" s="825" t="str">
        <f t="shared" si="8"/>
        <v/>
      </c>
      <c r="E277" s="572">
        <f t="shared" si="9"/>
        <v>0</v>
      </c>
    </row>
    <row r="278" spans="1:5" x14ac:dyDescent="0.2">
      <c r="A278" s="676" t="e">
        <f>+VLOOKUP($B278,'Tên NL'!$B:$C,2,0)</f>
        <v>#N/A</v>
      </c>
      <c r="D278" s="825" t="str">
        <f t="shared" si="8"/>
        <v/>
      </c>
      <c r="E278" s="572">
        <f t="shared" si="9"/>
        <v>0</v>
      </c>
    </row>
    <row r="279" spans="1:5" x14ac:dyDescent="0.2">
      <c r="A279" s="676" t="e">
        <f>+VLOOKUP($B279,'Tên NL'!$B:$C,2,0)</f>
        <v>#N/A</v>
      </c>
      <c r="D279" s="825" t="str">
        <f t="shared" si="8"/>
        <v/>
      </c>
      <c r="E279" s="572">
        <f t="shared" si="9"/>
        <v>0</v>
      </c>
    </row>
    <row r="280" spans="1:5" x14ac:dyDescent="0.2">
      <c r="A280" s="676" t="e">
        <f>+VLOOKUP($B280,'Tên NL'!$B:$C,2,0)</f>
        <v>#N/A</v>
      </c>
      <c r="D280" s="825" t="str">
        <f t="shared" si="8"/>
        <v/>
      </c>
      <c r="E280" s="572">
        <f t="shared" si="9"/>
        <v>0</v>
      </c>
    </row>
    <row r="281" spans="1:5" x14ac:dyDescent="0.2">
      <c r="A281" s="676" t="e">
        <f>+VLOOKUP($B281,'Tên NL'!$B:$C,2,0)</f>
        <v>#N/A</v>
      </c>
      <c r="D281" s="825" t="str">
        <f t="shared" si="8"/>
        <v/>
      </c>
      <c r="E281" s="572">
        <f t="shared" si="9"/>
        <v>0</v>
      </c>
    </row>
    <row r="282" spans="1:5" x14ac:dyDescent="0.2">
      <c r="A282" s="676" t="e">
        <f>+VLOOKUP($B282,'Tên NL'!$B:$C,2,0)</f>
        <v>#N/A</v>
      </c>
      <c r="D282" s="825" t="str">
        <f t="shared" si="8"/>
        <v/>
      </c>
      <c r="E282" s="572">
        <f t="shared" si="9"/>
        <v>0</v>
      </c>
    </row>
    <row r="283" spans="1:5" x14ac:dyDescent="0.2">
      <c r="A283" s="676" t="e">
        <f>+VLOOKUP($B283,'Tên NL'!$B:$C,2,0)</f>
        <v>#N/A</v>
      </c>
      <c r="D283" s="825" t="str">
        <f t="shared" si="8"/>
        <v/>
      </c>
      <c r="E283" s="572">
        <f t="shared" si="9"/>
        <v>0</v>
      </c>
    </row>
    <row r="284" spans="1:5" x14ac:dyDescent="0.2">
      <c r="A284" s="676" t="e">
        <f>+VLOOKUP($B284,'Tên NL'!$B:$C,2,0)</f>
        <v>#N/A</v>
      </c>
      <c r="D284" s="825" t="str">
        <f t="shared" si="8"/>
        <v/>
      </c>
      <c r="E284" s="572">
        <f t="shared" si="9"/>
        <v>0</v>
      </c>
    </row>
    <row r="285" spans="1:5" x14ac:dyDescent="0.2">
      <c r="A285" s="676" t="e">
        <f>+VLOOKUP($B285,'Tên NL'!$B:$C,2,0)</f>
        <v>#N/A</v>
      </c>
      <c r="D285" s="825" t="str">
        <f t="shared" si="8"/>
        <v/>
      </c>
      <c r="E285" s="572">
        <f t="shared" si="9"/>
        <v>0</v>
      </c>
    </row>
    <row r="286" spans="1:5" x14ac:dyDescent="0.2">
      <c r="A286" s="676" t="e">
        <f>+VLOOKUP($B286,'Tên NL'!$B:$C,2,0)</f>
        <v>#N/A</v>
      </c>
      <c r="D286" s="825" t="str">
        <f t="shared" si="8"/>
        <v/>
      </c>
      <c r="E286" s="572">
        <f t="shared" si="9"/>
        <v>0</v>
      </c>
    </row>
    <row r="287" spans="1:5" x14ac:dyDescent="0.2">
      <c r="A287" s="676" t="e">
        <f>+VLOOKUP($B287,'Tên NL'!$B:$C,2,0)</f>
        <v>#N/A</v>
      </c>
      <c r="D287" s="825" t="str">
        <f t="shared" si="8"/>
        <v/>
      </c>
      <c r="E287" s="572">
        <f t="shared" si="9"/>
        <v>0</v>
      </c>
    </row>
    <row r="288" spans="1:5" x14ac:dyDescent="0.2">
      <c r="A288" s="676" t="e">
        <f>+VLOOKUP($B288,'Tên NL'!$B:$C,2,0)</f>
        <v>#N/A</v>
      </c>
      <c r="D288" s="825" t="str">
        <f t="shared" si="8"/>
        <v/>
      </c>
      <c r="E288" s="572">
        <f t="shared" si="9"/>
        <v>0</v>
      </c>
    </row>
    <row r="289" spans="1:5" x14ac:dyDescent="0.2">
      <c r="A289" s="676" t="e">
        <f>+VLOOKUP($B289,'Tên NL'!$B:$C,2,0)</f>
        <v>#N/A</v>
      </c>
      <c r="D289" s="825" t="str">
        <f t="shared" si="8"/>
        <v/>
      </c>
      <c r="E289" s="572">
        <f t="shared" si="9"/>
        <v>0</v>
      </c>
    </row>
    <row r="290" spans="1:5" x14ac:dyDescent="0.2">
      <c r="A290" s="676" t="e">
        <f>+VLOOKUP($B290,'Tên NL'!$B:$C,2,0)</f>
        <v>#N/A</v>
      </c>
      <c r="D290" s="825" t="str">
        <f t="shared" si="8"/>
        <v/>
      </c>
      <c r="E290" s="572">
        <f t="shared" si="9"/>
        <v>0</v>
      </c>
    </row>
    <row r="291" spans="1:5" x14ac:dyDescent="0.2">
      <c r="A291" s="676" t="e">
        <f>+VLOOKUP($B291,'Tên NL'!$B:$C,2,0)</f>
        <v>#N/A</v>
      </c>
      <c r="D291" s="825" t="str">
        <f t="shared" si="8"/>
        <v/>
      </c>
      <c r="E291" s="572">
        <f t="shared" si="9"/>
        <v>0</v>
      </c>
    </row>
    <row r="292" spans="1:5" x14ac:dyDescent="0.2">
      <c r="A292" s="676" t="e">
        <f>+VLOOKUP($B292,'Tên NL'!$B:$C,2,0)</f>
        <v>#N/A</v>
      </c>
      <c r="D292" s="825" t="str">
        <f t="shared" si="8"/>
        <v/>
      </c>
      <c r="E292" s="572">
        <f t="shared" si="9"/>
        <v>0</v>
      </c>
    </row>
    <row r="293" spans="1:5" x14ac:dyDescent="0.2">
      <c r="A293" s="676" t="e">
        <f>+VLOOKUP($B293,'Tên NL'!$B:$C,2,0)</f>
        <v>#N/A</v>
      </c>
      <c r="D293" s="825" t="str">
        <f t="shared" si="8"/>
        <v/>
      </c>
      <c r="E293" s="572">
        <f t="shared" si="9"/>
        <v>0</v>
      </c>
    </row>
    <row r="294" spans="1:5" x14ac:dyDescent="0.2">
      <c r="A294" s="676" t="e">
        <f>+VLOOKUP($B294,'Tên NL'!$B:$C,2,0)</f>
        <v>#N/A</v>
      </c>
      <c r="D294" s="825" t="str">
        <f t="shared" si="8"/>
        <v/>
      </c>
      <c r="E294" s="572">
        <f t="shared" si="9"/>
        <v>0</v>
      </c>
    </row>
    <row r="295" spans="1:5" x14ac:dyDescent="0.2">
      <c r="A295" s="676" t="e">
        <f>+VLOOKUP($B295,'Tên NL'!$B:$C,2,0)</f>
        <v>#N/A</v>
      </c>
      <c r="D295" s="825" t="str">
        <f t="shared" si="8"/>
        <v/>
      </c>
      <c r="E295" s="572">
        <f t="shared" si="9"/>
        <v>0</v>
      </c>
    </row>
    <row r="296" spans="1:5" x14ac:dyDescent="0.2">
      <c r="A296" s="676" t="e">
        <f>+VLOOKUP($B296,'Tên NL'!$B:$C,2,0)</f>
        <v>#N/A</v>
      </c>
      <c r="D296" s="825" t="str">
        <f t="shared" si="8"/>
        <v/>
      </c>
      <c r="E296" s="572">
        <f t="shared" si="9"/>
        <v>0</v>
      </c>
    </row>
    <row r="297" spans="1:5" x14ac:dyDescent="0.2">
      <c r="A297" s="676" t="e">
        <f>+VLOOKUP($B297,'Tên NL'!$B:$C,2,0)</f>
        <v>#N/A</v>
      </c>
      <c r="D297" s="825" t="str">
        <f t="shared" si="8"/>
        <v/>
      </c>
      <c r="E297" s="572">
        <f t="shared" si="9"/>
        <v>0</v>
      </c>
    </row>
    <row r="298" spans="1:5" x14ac:dyDescent="0.2">
      <c r="A298" s="676" t="e">
        <f>+VLOOKUP($B298,'Tên NL'!$B:$C,2,0)</f>
        <v>#N/A</v>
      </c>
      <c r="D298" s="825" t="str">
        <f t="shared" si="8"/>
        <v/>
      </c>
      <c r="E298" s="572">
        <f t="shared" si="9"/>
        <v>0</v>
      </c>
    </row>
    <row r="299" spans="1:5" x14ac:dyDescent="0.2">
      <c r="A299" s="676" t="e">
        <f>+VLOOKUP($B299,'Tên NL'!$B:$C,2,0)</f>
        <v>#N/A</v>
      </c>
      <c r="D299" s="825" t="str">
        <f t="shared" si="8"/>
        <v/>
      </c>
      <c r="E299" s="572">
        <f t="shared" si="9"/>
        <v>0</v>
      </c>
    </row>
    <row r="300" spans="1:5" x14ac:dyDescent="0.2">
      <c r="A300" s="676" t="e">
        <f>+VLOOKUP($B300,'Tên NL'!$B:$C,2,0)</f>
        <v>#N/A</v>
      </c>
      <c r="D300" s="825" t="str">
        <f t="shared" si="8"/>
        <v/>
      </c>
      <c r="E300" s="572">
        <f t="shared" si="9"/>
        <v>0</v>
      </c>
    </row>
    <row r="301" spans="1:5" x14ac:dyDescent="0.2">
      <c r="A301" s="676" t="e">
        <f>+VLOOKUP($B301,'Tên NL'!$B:$C,2,0)</f>
        <v>#N/A</v>
      </c>
      <c r="D301" s="825" t="str">
        <f t="shared" si="8"/>
        <v/>
      </c>
      <c r="E301" s="572">
        <f t="shared" si="9"/>
        <v>0</v>
      </c>
    </row>
    <row r="302" spans="1:5" x14ac:dyDescent="0.2">
      <c r="A302" s="676" t="e">
        <f>+VLOOKUP($B302,'Tên NL'!$B:$C,2,0)</f>
        <v>#N/A</v>
      </c>
      <c r="D302" s="825" t="str">
        <f t="shared" si="8"/>
        <v/>
      </c>
      <c r="E302" s="572">
        <f t="shared" si="9"/>
        <v>0</v>
      </c>
    </row>
    <row r="303" spans="1:5" x14ac:dyDescent="0.2">
      <c r="A303" s="676" t="e">
        <f>+VLOOKUP($B303,'Tên NL'!$B:$C,2,0)</f>
        <v>#N/A</v>
      </c>
      <c r="D303" s="825" t="str">
        <f t="shared" si="8"/>
        <v/>
      </c>
      <c r="E303" s="572">
        <f t="shared" si="9"/>
        <v>0</v>
      </c>
    </row>
    <row r="304" spans="1:5" x14ac:dyDescent="0.2">
      <c r="A304" s="676" t="e">
        <f>+VLOOKUP($B304,'Tên NL'!$B:$C,2,0)</f>
        <v>#N/A</v>
      </c>
      <c r="D304" s="825" t="str">
        <f t="shared" si="8"/>
        <v/>
      </c>
      <c r="E304" s="572">
        <f t="shared" si="9"/>
        <v>0</v>
      </c>
    </row>
    <row r="305" spans="1:5" x14ac:dyDescent="0.2">
      <c r="A305" s="676" t="e">
        <f>+VLOOKUP($B305,'Tên NL'!$B:$C,2,0)</f>
        <v>#N/A</v>
      </c>
      <c r="D305" s="825" t="str">
        <f t="shared" si="8"/>
        <v/>
      </c>
      <c r="E305" s="572">
        <f t="shared" si="9"/>
        <v>0</v>
      </c>
    </row>
    <row r="306" spans="1:5" x14ac:dyDescent="0.2">
      <c r="A306" s="676" t="e">
        <f>+VLOOKUP($B306,'Tên NL'!$B:$C,2,0)</f>
        <v>#N/A</v>
      </c>
      <c r="D306" s="825" t="str">
        <f t="shared" si="8"/>
        <v/>
      </c>
      <c r="E306" s="572">
        <f t="shared" si="9"/>
        <v>0</v>
      </c>
    </row>
    <row r="307" spans="1:5" x14ac:dyDescent="0.2">
      <c r="A307" s="676" t="e">
        <f>+VLOOKUP($B307,'Tên NL'!$B:$C,2,0)</f>
        <v>#N/A</v>
      </c>
      <c r="D307" s="825" t="str">
        <f t="shared" si="8"/>
        <v/>
      </c>
      <c r="E307" s="572">
        <f t="shared" si="9"/>
        <v>0</v>
      </c>
    </row>
    <row r="308" spans="1:5" x14ac:dyDescent="0.2">
      <c r="A308" s="676" t="e">
        <f>+VLOOKUP($B308,'Tên NL'!$B:$C,2,0)</f>
        <v>#N/A</v>
      </c>
      <c r="D308" s="825" t="str">
        <f t="shared" si="8"/>
        <v/>
      </c>
      <c r="E308" s="572">
        <f t="shared" si="9"/>
        <v>0</v>
      </c>
    </row>
    <row r="309" spans="1:5" x14ac:dyDescent="0.2">
      <c r="A309" s="676" t="e">
        <f>+VLOOKUP($B309,'Tên NL'!$B:$C,2,0)</f>
        <v>#N/A</v>
      </c>
      <c r="D309" s="825" t="str">
        <f t="shared" si="8"/>
        <v/>
      </c>
      <c r="E309" s="572">
        <f t="shared" si="9"/>
        <v>0</v>
      </c>
    </row>
    <row r="310" spans="1:5" x14ac:dyDescent="0.2">
      <c r="A310" s="676" t="e">
        <f>+VLOOKUP($B310,'Tên NL'!$B:$C,2,0)</f>
        <v>#N/A</v>
      </c>
      <c r="D310" s="825" t="str">
        <f t="shared" si="8"/>
        <v/>
      </c>
      <c r="E310" s="572">
        <f t="shared" si="9"/>
        <v>0</v>
      </c>
    </row>
    <row r="311" spans="1:5" x14ac:dyDescent="0.2">
      <c r="A311" s="676" t="e">
        <f>+VLOOKUP($B311,'Tên NL'!$B:$C,2,0)</f>
        <v>#N/A</v>
      </c>
      <c r="D311" s="825" t="str">
        <f t="shared" si="8"/>
        <v/>
      </c>
      <c r="E311" s="572">
        <f t="shared" si="9"/>
        <v>0</v>
      </c>
    </row>
    <row r="312" spans="1:5" x14ac:dyDescent="0.2">
      <c r="A312" s="676" t="e">
        <f>+VLOOKUP($B312,'Tên NL'!$B:$C,2,0)</f>
        <v>#N/A</v>
      </c>
      <c r="D312" s="825" t="str">
        <f t="shared" si="8"/>
        <v/>
      </c>
      <c r="E312" s="572">
        <f t="shared" si="9"/>
        <v>0</v>
      </c>
    </row>
    <row r="313" spans="1:5" x14ac:dyDescent="0.2">
      <c r="A313" s="676" t="e">
        <f>+VLOOKUP($B313,'Tên NL'!$B:$C,2,0)</f>
        <v>#N/A</v>
      </c>
      <c r="D313" s="825" t="str">
        <f t="shared" si="8"/>
        <v/>
      </c>
      <c r="E313" s="572">
        <f t="shared" si="9"/>
        <v>0</v>
      </c>
    </row>
    <row r="314" spans="1:5" x14ac:dyDescent="0.2">
      <c r="A314" s="676" t="e">
        <f>+VLOOKUP($B314,'Tên NL'!$B:$C,2,0)</f>
        <v>#N/A</v>
      </c>
      <c r="D314" s="825" t="str">
        <f t="shared" si="8"/>
        <v/>
      </c>
      <c r="E314" s="572">
        <f t="shared" si="9"/>
        <v>0</v>
      </c>
    </row>
    <row r="315" spans="1:5" x14ac:dyDescent="0.2">
      <c r="A315" s="676" t="e">
        <f>+VLOOKUP($B315,'Tên NL'!$B:$C,2,0)</f>
        <v>#N/A</v>
      </c>
      <c r="D315" s="825" t="str">
        <f t="shared" si="8"/>
        <v/>
      </c>
      <c r="E315" s="572">
        <f t="shared" si="9"/>
        <v>0</v>
      </c>
    </row>
    <row r="316" spans="1:5" x14ac:dyDescent="0.2">
      <c r="A316" s="676" t="e">
        <f>+VLOOKUP($B316,'Tên NL'!$B:$C,2,0)</f>
        <v>#N/A</v>
      </c>
      <c r="D316" s="825" t="str">
        <f t="shared" si="8"/>
        <v/>
      </c>
      <c r="E316" s="572">
        <f t="shared" si="9"/>
        <v>0</v>
      </c>
    </row>
    <row r="317" spans="1:5" x14ac:dyDescent="0.2">
      <c r="A317" s="676" t="e">
        <f>+VLOOKUP($B317,'Tên NL'!$B:$C,2,0)</f>
        <v>#N/A</v>
      </c>
      <c r="D317" s="825" t="str">
        <f t="shared" si="8"/>
        <v/>
      </c>
      <c r="E317" s="572">
        <f t="shared" si="9"/>
        <v>0</v>
      </c>
    </row>
    <row r="318" spans="1:5" x14ac:dyDescent="0.2">
      <c r="A318" s="676" t="e">
        <f>+VLOOKUP($B318,'Tên NL'!$B:$C,2,0)</f>
        <v>#N/A</v>
      </c>
      <c r="D318" s="825" t="str">
        <f t="shared" si="8"/>
        <v/>
      </c>
      <c r="E318" s="572">
        <f t="shared" si="9"/>
        <v>0</v>
      </c>
    </row>
    <row r="319" spans="1:5" x14ac:dyDescent="0.2">
      <c r="A319" s="676" t="e">
        <f>+VLOOKUP($B319,'Tên NL'!$B:$C,2,0)</f>
        <v>#N/A</v>
      </c>
      <c r="D319" s="825" t="str">
        <f t="shared" si="8"/>
        <v/>
      </c>
      <c r="E319" s="572">
        <f t="shared" si="9"/>
        <v>0</v>
      </c>
    </row>
    <row r="320" spans="1:5" x14ac:dyDescent="0.2">
      <c r="A320" s="676" t="e">
        <f>+VLOOKUP($B320,'Tên NL'!$B:$C,2,0)</f>
        <v>#N/A</v>
      </c>
      <c r="D320" s="825" t="str">
        <f t="shared" si="8"/>
        <v/>
      </c>
      <c r="E320" s="572">
        <f t="shared" si="9"/>
        <v>0</v>
      </c>
    </row>
    <row r="321" spans="1:5" x14ac:dyDescent="0.2">
      <c r="A321" s="676" t="e">
        <f>+VLOOKUP($B321,'Tên NL'!$B:$C,2,0)</f>
        <v>#N/A</v>
      </c>
      <c r="D321" s="825" t="str">
        <f t="shared" si="8"/>
        <v/>
      </c>
      <c r="E321" s="572">
        <f t="shared" si="9"/>
        <v>0</v>
      </c>
    </row>
    <row r="322" spans="1:5" x14ac:dyDescent="0.2">
      <c r="A322" s="676" t="e">
        <f>+VLOOKUP($B322,'Tên NL'!$B:$C,2,0)</f>
        <v>#N/A</v>
      </c>
      <c r="D322" s="825" t="str">
        <f t="shared" si="8"/>
        <v/>
      </c>
      <c r="E322" s="572">
        <f t="shared" si="9"/>
        <v>0</v>
      </c>
    </row>
    <row r="323" spans="1:5" x14ac:dyDescent="0.2">
      <c r="A323" s="676" t="e">
        <f>+VLOOKUP($B323,'Tên NL'!$B:$C,2,0)</f>
        <v>#N/A</v>
      </c>
      <c r="D323" s="825" t="str">
        <f t="shared" si="8"/>
        <v/>
      </c>
      <c r="E323" s="572">
        <f t="shared" si="9"/>
        <v>0</v>
      </c>
    </row>
    <row r="324" spans="1:5" x14ac:dyDescent="0.2">
      <c r="A324" s="676" t="e">
        <f>+VLOOKUP($B324,'Tên NL'!$B:$C,2,0)</f>
        <v>#N/A</v>
      </c>
      <c r="D324" s="825" t="str">
        <f t="shared" si="8"/>
        <v/>
      </c>
      <c r="E324" s="572">
        <f t="shared" si="9"/>
        <v>0</v>
      </c>
    </row>
    <row r="325" spans="1:5" x14ac:dyDescent="0.2">
      <c r="A325" s="676" t="e">
        <f>+VLOOKUP($B325,'Tên NL'!$B:$C,2,0)</f>
        <v>#N/A</v>
      </c>
      <c r="D325" s="825" t="str">
        <f t="shared" si="8"/>
        <v/>
      </c>
      <c r="E325" s="572">
        <f t="shared" si="9"/>
        <v>0</v>
      </c>
    </row>
    <row r="326" spans="1:5" x14ac:dyDescent="0.2">
      <c r="A326" s="676" t="e">
        <f>+VLOOKUP($B326,'Tên NL'!$B:$C,2,0)</f>
        <v>#N/A</v>
      </c>
      <c r="D326" s="825" t="str">
        <f t="shared" si="8"/>
        <v/>
      </c>
      <c r="E326" s="572">
        <f t="shared" si="9"/>
        <v>0</v>
      </c>
    </row>
    <row r="327" spans="1:5" x14ac:dyDescent="0.2">
      <c r="A327" s="676" t="e">
        <f>+VLOOKUP($B327,'Tên NL'!$B:$C,2,0)</f>
        <v>#N/A</v>
      </c>
      <c r="D327" s="825" t="str">
        <f t="shared" ref="D327:D390" si="10">LEFT(B327,2)</f>
        <v/>
      </c>
      <c r="E327" s="572">
        <f t="shared" ref="E327:E390" si="11">C327/$D$4*1000</f>
        <v>0</v>
      </c>
    </row>
    <row r="328" spans="1:5" x14ac:dyDescent="0.2">
      <c r="A328" s="676" t="e">
        <f>+VLOOKUP($B328,'Tên NL'!$B:$C,2,0)</f>
        <v>#N/A</v>
      </c>
      <c r="D328" s="825" t="str">
        <f t="shared" si="10"/>
        <v/>
      </c>
      <c r="E328" s="572">
        <f t="shared" si="11"/>
        <v>0</v>
      </c>
    </row>
    <row r="329" spans="1:5" x14ac:dyDescent="0.2">
      <c r="A329" s="676" t="e">
        <f>+VLOOKUP($B329,'Tên NL'!$B:$C,2,0)</f>
        <v>#N/A</v>
      </c>
      <c r="D329" s="825" t="str">
        <f t="shared" si="10"/>
        <v/>
      </c>
      <c r="E329" s="572">
        <f t="shared" si="11"/>
        <v>0</v>
      </c>
    </row>
    <row r="330" spans="1:5" x14ac:dyDescent="0.2">
      <c r="A330" s="676" t="e">
        <f>+VLOOKUP($B330,'Tên NL'!$B:$C,2,0)</f>
        <v>#N/A</v>
      </c>
      <c r="D330" s="825" t="str">
        <f t="shared" si="10"/>
        <v/>
      </c>
      <c r="E330" s="572">
        <f t="shared" si="11"/>
        <v>0</v>
      </c>
    </row>
    <row r="331" spans="1:5" x14ac:dyDescent="0.2">
      <c r="A331" s="676" t="e">
        <f>+VLOOKUP($B331,'Tên NL'!$B:$C,2,0)</f>
        <v>#N/A</v>
      </c>
      <c r="D331" s="825" t="str">
        <f t="shared" si="10"/>
        <v/>
      </c>
      <c r="E331" s="572">
        <f t="shared" si="11"/>
        <v>0</v>
      </c>
    </row>
    <row r="332" spans="1:5" x14ac:dyDescent="0.2">
      <c r="A332" s="676" t="e">
        <f>+VLOOKUP($B332,'Tên NL'!$B:$C,2,0)</f>
        <v>#N/A</v>
      </c>
      <c r="D332" s="825" t="str">
        <f t="shared" si="10"/>
        <v/>
      </c>
      <c r="E332" s="572">
        <f t="shared" si="11"/>
        <v>0</v>
      </c>
    </row>
    <row r="333" spans="1:5" x14ac:dyDescent="0.2">
      <c r="A333" s="676" t="e">
        <f>+VLOOKUP($B333,'Tên NL'!$B:$C,2,0)</f>
        <v>#N/A</v>
      </c>
      <c r="D333" s="825" t="str">
        <f t="shared" si="10"/>
        <v/>
      </c>
      <c r="E333" s="572">
        <f t="shared" si="11"/>
        <v>0</v>
      </c>
    </row>
    <row r="334" spans="1:5" x14ac:dyDescent="0.2">
      <c r="A334" s="676" t="e">
        <f>+VLOOKUP($B334,'Tên NL'!$B:$C,2,0)</f>
        <v>#N/A</v>
      </c>
      <c r="D334" s="825" t="str">
        <f t="shared" si="10"/>
        <v/>
      </c>
      <c r="E334" s="572">
        <f t="shared" si="11"/>
        <v>0</v>
      </c>
    </row>
    <row r="335" spans="1:5" x14ac:dyDescent="0.2">
      <c r="A335" s="676" t="e">
        <f>+VLOOKUP($B335,'Tên NL'!$B:$C,2,0)</f>
        <v>#N/A</v>
      </c>
      <c r="D335" s="825" t="str">
        <f t="shared" si="10"/>
        <v/>
      </c>
      <c r="E335" s="572">
        <f t="shared" si="11"/>
        <v>0</v>
      </c>
    </row>
    <row r="336" spans="1:5" x14ac:dyDescent="0.2">
      <c r="A336" s="676" t="e">
        <f>+VLOOKUP($B336,'Tên NL'!$B:$C,2,0)</f>
        <v>#N/A</v>
      </c>
      <c r="D336" s="825" t="str">
        <f t="shared" si="10"/>
        <v/>
      </c>
      <c r="E336" s="572">
        <f t="shared" si="11"/>
        <v>0</v>
      </c>
    </row>
    <row r="337" spans="1:5" x14ac:dyDescent="0.2">
      <c r="A337" s="676" t="e">
        <f>+VLOOKUP($B337,'Tên NL'!$B:$C,2,0)</f>
        <v>#N/A</v>
      </c>
      <c r="D337" s="825" t="str">
        <f t="shared" si="10"/>
        <v/>
      </c>
      <c r="E337" s="572">
        <f t="shared" si="11"/>
        <v>0</v>
      </c>
    </row>
    <row r="338" spans="1:5" x14ac:dyDescent="0.2">
      <c r="A338" s="676" t="e">
        <f>+VLOOKUP($B338,'Tên NL'!$B:$C,2,0)</f>
        <v>#N/A</v>
      </c>
      <c r="D338" s="825" t="str">
        <f t="shared" si="10"/>
        <v/>
      </c>
      <c r="E338" s="572">
        <f t="shared" si="11"/>
        <v>0</v>
      </c>
    </row>
    <row r="339" spans="1:5" x14ac:dyDescent="0.2">
      <c r="A339" s="676" t="e">
        <f>+VLOOKUP($B339,'Tên NL'!$B:$C,2,0)</f>
        <v>#N/A</v>
      </c>
      <c r="D339" s="825" t="str">
        <f t="shared" si="10"/>
        <v/>
      </c>
      <c r="E339" s="572">
        <f t="shared" si="11"/>
        <v>0</v>
      </c>
    </row>
    <row r="340" spans="1:5" x14ac:dyDescent="0.2">
      <c r="A340" s="676" t="e">
        <f>+VLOOKUP($B340,'Tên NL'!$B:$C,2,0)</f>
        <v>#N/A</v>
      </c>
      <c r="D340" s="825" t="str">
        <f t="shared" si="10"/>
        <v/>
      </c>
      <c r="E340" s="572">
        <f t="shared" si="11"/>
        <v>0</v>
      </c>
    </row>
    <row r="341" spans="1:5" x14ac:dyDescent="0.2">
      <c r="A341" s="676" t="e">
        <f>+VLOOKUP($B341,'Tên NL'!$B:$C,2,0)</f>
        <v>#N/A</v>
      </c>
      <c r="D341" s="825" t="str">
        <f t="shared" si="10"/>
        <v/>
      </c>
      <c r="E341" s="572">
        <f t="shared" si="11"/>
        <v>0</v>
      </c>
    </row>
    <row r="342" spans="1:5" x14ac:dyDescent="0.2">
      <c r="A342" s="676" t="e">
        <f>+VLOOKUP($B342,'Tên NL'!$B:$C,2,0)</f>
        <v>#N/A</v>
      </c>
      <c r="D342" s="825" t="str">
        <f t="shared" si="10"/>
        <v/>
      </c>
      <c r="E342" s="572">
        <f t="shared" si="11"/>
        <v>0</v>
      </c>
    </row>
    <row r="343" spans="1:5" x14ac:dyDescent="0.2">
      <c r="A343" s="676" t="e">
        <f>+VLOOKUP($B343,'Tên NL'!$B:$C,2,0)</f>
        <v>#N/A</v>
      </c>
      <c r="D343" s="825" t="str">
        <f t="shared" si="10"/>
        <v/>
      </c>
      <c r="E343" s="572">
        <f t="shared" si="11"/>
        <v>0</v>
      </c>
    </row>
    <row r="344" spans="1:5" x14ac:dyDescent="0.2">
      <c r="A344" s="676" t="e">
        <f>+VLOOKUP($B344,'Tên NL'!$B:$C,2,0)</f>
        <v>#N/A</v>
      </c>
      <c r="D344" s="825" t="str">
        <f t="shared" si="10"/>
        <v/>
      </c>
      <c r="E344" s="572">
        <f t="shared" si="11"/>
        <v>0</v>
      </c>
    </row>
    <row r="345" spans="1:5" x14ac:dyDescent="0.2">
      <c r="A345" s="676" t="e">
        <f>+VLOOKUP($B345,'Tên NL'!$B:$C,2,0)</f>
        <v>#N/A</v>
      </c>
      <c r="D345" s="825" t="str">
        <f t="shared" si="10"/>
        <v/>
      </c>
      <c r="E345" s="572">
        <f t="shared" si="11"/>
        <v>0</v>
      </c>
    </row>
    <row r="346" spans="1:5" x14ac:dyDescent="0.2">
      <c r="A346" s="676" t="e">
        <f>+VLOOKUP($B346,'Tên NL'!$B:$C,2,0)</f>
        <v>#N/A</v>
      </c>
      <c r="D346" s="825" t="str">
        <f t="shared" si="10"/>
        <v/>
      </c>
      <c r="E346" s="572">
        <f t="shared" si="11"/>
        <v>0</v>
      </c>
    </row>
    <row r="347" spans="1:5" x14ac:dyDescent="0.2">
      <c r="A347" s="676" t="e">
        <f>+VLOOKUP($B347,'Tên NL'!$B:$C,2,0)</f>
        <v>#N/A</v>
      </c>
      <c r="D347" s="825" t="str">
        <f t="shared" si="10"/>
        <v/>
      </c>
      <c r="E347" s="572">
        <f t="shared" si="11"/>
        <v>0</v>
      </c>
    </row>
    <row r="348" spans="1:5" x14ac:dyDescent="0.2">
      <c r="A348" s="676" t="e">
        <f>+VLOOKUP($B348,'Tên NL'!$B:$C,2,0)</f>
        <v>#N/A</v>
      </c>
      <c r="D348" s="825" t="str">
        <f t="shared" si="10"/>
        <v/>
      </c>
      <c r="E348" s="572">
        <f t="shared" si="11"/>
        <v>0</v>
      </c>
    </row>
    <row r="349" spans="1:5" x14ac:dyDescent="0.2">
      <c r="A349" s="676" t="e">
        <f>+VLOOKUP($B349,'Tên NL'!$B:$C,2,0)</f>
        <v>#N/A</v>
      </c>
      <c r="D349" s="825" t="str">
        <f t="shared" si="10"/>
        <v/>
      </c>
      <c r="E349" s="572">
        <f t="shared" si="11"/>
        <v>0</v>
      </c>
    </row>
    <row r="350" spans="1:5" x14ac:dyDescent="0.2">
      <c r="A350" s="676" t="e">
        <f>+VLOOKUP($B350,'Tên NL'!$B:$C,2,0)</f>
        <v>#N/A</v>
      </c>
      <c r="D350" s="825" t="str">
        <f t="shared" si="10"/>
        <v/>
      </c>
      <c r="E350" s="572">
        <f t="shared" si="11"/>
        <v>0</v>
      </c>
    </row>
    <row r="351" spans="1:5" x14ac:dyDescent="0.2">
      <c r="A351" s="676" t="e">
        <f>+VLOOKUP($B351,'Tên NL'!$B:$C,2,0)</f>
        <v>#N/A</v>
      </c>
      <c r="D351" s="825" t="str">
        <f t="shared" si="10"/>
        <v/>
      </c>
      <c r="E351" s="572">
        <f t="shared" si="11"/>
        <v>0</v>
      </c>
    </row>
    <row r="352" spans="1:5" x14ac:dyDescent="0.2">
      <c r="A352" s="676" t="e">
        <f>+VLOOKUP($B352,'Tên NL'!$B:$C,2,0)</f>
        <v>#N/A</v>
      </c>
      <c r="D352" s="825" t="str">
        <f t="shared" si="10"/>
        <v/>
      </c>
      <c r="E352" s="572">
        <f t="shared" si="11"/>
        <v>0</v>
      </c>
    </row>
    <row r="353" spans="1:5" x14ac:dyDescent="0.2">
      <c r="A353" s="676" t="e">
        <f>+VLOOKUP($B353,'Tên NL'!$B:$C,2,0)</f>
        <v>#N/A</v>
      </c>
      <c r="D353" s="825" t="str">
        <f t="shared" si="10"/>
        <v/>
      </c>
      <c r="E353" s="572">
        <f t="shared" si="11"/>
        <v>0</v>
      </c>
    </row>
    <row r="354" spans="1:5" x14ac:dyDescent="0.2">
      <c r="A354" s="676" t="e">
        <f>+VLOOKUP($B354,'Tên NL'!$B:$C,2,0)</f>
        <v>#N/A</v>
      </c>
      <c r="D354" s="825" t="str">
        <f t="shared" si="10"/>
        <v/>
      </c>
      <c r="E354" s="572">
        <f t="shared" si="11"/>
        <v>0</v>
      </c>
    </row>
    <row r="355" spans="1:5" x14ac:dyDescent="0.2">
      <c r="A355" s="676" t="e">
        <f>+VLOOKUP($B355,'Tên NL'!$B:$C,2,0)</f>
        <v>#N/A</v>
      </c>
      <c r="D355" s="825" t="str">
        <f t="shared" si="10"/>
        <v/>
      </c>
      <c r="E355" s="572">
        <f t="shared" si="11"/>
        <v>0</v>
      </c>
    </row>
    <row r="356" spans="1:5" x14ac:dyDescent="0.2">
      <c r="A356" s="676" t="e">
        <f>+VLOOKUP($B356,'Tên NL'!$B:$C,2,0)</f>
        <v>#N/A</v>
      </c>
      <c r="D356" s="825" t="str">
        <f t="shared" si="10"/>
        <v/>
      </c>
      <c r="E356" s="572">
        <f t="shared" si="11"/>
        <v>0</v>
      </c>
    </row>
    <row r="357" spans="1:5" x14ac:dyDescent="0.2">
      <c r="A357" s="676" t="e">
        <f>+VLOOKUP($B357,'Tên NL'!$B:$C,2,0)</f>
        <v>#N/A</v>
      </c>
      <c r="D357" s="825" t="str">
        <f t="shared" si="10"/>
        <v/>
      </c>
      <c r="E357" s="572">
        <f t="shared" si="11"/>
        <v>0</v>
      </c>
    </row>
    <row r="358" spans="1:5" x14ac:dyDescent="0.2">
      <c r="A358" s="676" t="e">
        <f>+VLOOKUP($B358,'Tên NL'!$B:$C,2,0)</f>
        <v>#N/A</v>
      </c>
      <c r="D358" s="825" t="str">
        <f t="shared" si="10"/>
        <v/>
      </c>
      <c r="E358" s="572">
        <f t="shared" si="11"/>
        <v>0</v>
      </c>
    </row>
    <row r="359" spans="1:5" x14ac:dyDescent="0.2">
      <c r="A359" s="676" t="e">
        <f>+VLOOKUP($B359,'Tên NL'!$B:$C,2,0)</f>
        <v>#N/A</v>
      </c>
      <c r="D359" s="825" t="str">
        <f t="shared" si="10"/>
        <v/>
      </c>
      <c r="E359" s="572">
        <f t="shared" si="11"/>
        <v>0</v>
      </c>
    </row>
    <row r="360" spans="1:5" x14ac:dyDescent="0.2">
      <c r="A360" s="676" t="e">
        <f>+VLOOKUP($B360,'Tên NL'!$B:$C,2,0)</f>
        <v>#N/A</v>
      </c>
      <c r="D360" s="825" t="str">
        <f t="shared" si="10"/>
        <v/>
      </c>
      <c r="E360" s="572">
        <f t="shared" si="11"/>
        <v>0</v>
      </c>
    </row>
    <row r="361" spans="1:5" x14ac:dyDescent="0.2">
      <c r="A361" s="676" t="e">
        <f>+VLOOKUP($B361,'Tên NL'!$B:$C,2,0)</f>
        <v>#N/A</v>
      </c>
      <c r="D361" s="825" t="str">
        <f t="shared" si="10"/>
        <v/>
      </c>
      <c r="E361" s="572">
        <f t="shared" si="11"/>
        <v>0</v>
      </c>
    </row>
    <row r="362" spans="1:5" x14ac:dyDescent="0.2">
      <c r="A362" s="676" t="e">
        <f>+VLOOKUP($B362,'Tên NL'!$B:$C,2,0)</f>
        <v>#N/A</v>
      </c>
      <c r="D362" s="825" t="str">
        <f t="shared" si="10"/>
        <v/>
      </c>
      <c r="E362" s="572">
        <f t="shared" si="11"/>
        <v>0</v>
      </c>
    </row>
    <row r="363" spans="1:5" x14ac:dyDescent="0.2">
      <c r="A363" s="676" t="e">
        <f>+VLOOKUP($B363,'Tên NL'!$B:$C,2,0)</f>
        <v>#N/A</v>
      </c>
      <c r="D363" s="825" t="str">
        <f t="shared" si="10"/>
        <v/>
      </c>
      <c r="E363" s="572">
        <f t="shared" si="11"/>
        <v>0</v>
      </c>
    </row>
    <row r="364" spans="1:5" x14ac:dyDescent="0.2">
      <c r="A364" s="676" t="e">
        <f>+VLOOKUP($B364,'Tên NL'!$B:$C,2,0)</f>
        <v>#N/A</v>
      </c>
      <c r="D364" s="825" t="str">
        <f t="shared" si="10"/>
        <v/>
      </c>
      <c r="E364" s="572">
        <f t="shared" si="11"/>
        <v>0</v>
      </c>
    </row>
    <row r="365" spans="1:5" x14ac:dyDescent="0.2">
      <c r="A365" s="676" t="e">
        <f>+VLOOKUP($B365,'Tên NL'!$B:$C,2,0)</f>
        <v>#N/A</v>
      </c>
      <c r="D365" s="825" t="str">
        <f t="shared" si="10"/>
        <v/>
      </c>
      <c r="E365" s="572">
        <f t="shared" si="11"/>
        <v>0</v>
      </c>
    </row>
    <row r="366" spans="1:5" x14ac:dyDescent="0.2">
      <c r="A366" s="676" t="e">
        <f>+VLOOKUP($B366,'Tên NL'!$B:$C,2,0)</f>
        <v>#N/A</v>
      </c>
      <c r="D366" s="825" t="str">
        <f t="shared" si="10"/>
        <v/>
      </c>
      <c r="E366" s="572">
        <f t="shared" si="11"/>
        <v>0</v>
      </c>
    </row>
    <row r="367" spans="1:5" x14ac:dyDescent="0.2">
      <c r="A367" s="676" t="e">
        <f>+VLOOKUP($B367,'Tên NL'!$B:$C,2,0)</f>
        <v>#N/A</v>
      </c>
      <c r="D367" s="825" t="str">
        <f t="shared" si="10"/>
        <v/>
      </c>
      <c r="E367" s="572">
        <f t="shared" si="11"/>
        <v>0</v>
      </c>
    </row>
    <row r="368" spans="1:5" x14ac:dyDescent="0.2">
      <c r="A368" s="676" t="e">
        <f>+VLOOKUP($B368,'Tên NL'!$B:$C,2,0)</f>
        <v>#N/A</v>
      </c>
      <c r="D368" s="825" t="str">
        <f t="shared" si="10"/>
        <v/>
      </c>
      <c r="E368" s="572">
        <f t="shared" si="11"/>
        <v>0</v>
      </c>
    </row>
    <row r="369" spans="1:5" x14ac:dyDescent="0.2">
      <c r="A369" s="676" t="e">
        <f>+VLOOKUP($B369,'Tên NL'!$B:$C,2,0)</f>
        <v>#N/A</v>
      </c>
      <c r="D369" s="825" t="str">
        <f t="shared" si="10"/>
        <v/>
      </c>
      <c r="E369" s="572">
        <f t="shared" si="11"/>
        <v>0</v>
      </c>
    </row>
    <row r="370" spans="1:5" x14ac:dyDescent="0.2">
      <c r="A370" s="676" t="e">
        <f>+VLOOKUP($B370,'Tên NL'!$B:$C,2,0)</f>
        <v>#N/A</v>
      </c>
      <c r="D370" s="825" t="str">
        <f t="shared" si="10"/>
        <v/>
      </c>
      <c r="E370" s="572">
        <f t="shared" si="11"/>
        <v>0</v>
      </c>
    </row>
    <row r="371" spans="1:5" x14ac:dyDescent="0.2">
      <c r="A371" s="676" t="e">
        <f>+VLOOKUP($B371,'Tên NL'!$B:$C,2,0)</f>
        <v>#N/A</v>
      </c>
      <c r="D371" s="825" t="str">
        <f t="shared" si="10"/>
        <v/>
      </c>
      <c r="E371" s="572">
        <f t="shared" si="11"/>
        <v>0</v>
      </c>
    </row>
    <row r="372" spans="1:5" x14ac:dyDescent="0.2">
      <c r="A372" s="676" t="e">
        <f>+VLOOKUP($B372,'Tên NL'!$B:$C,2,0)</f>
        <v>#N/A</v>
      </c>
      <c r="D372" s="825" t="str">
        <f t="shared" si="10"/>
        <v/>
      </c>
      <c r="E372" s="572">
        <f t="shared" si="11"/>
        <v>0</v>
      </c>
    </row>
    <row r="373" spans="1:5" x14ac:dyDescent="0.2">
      <c r="A373" s="676" t="e">
        <f>+VLOOKUP($B373,'Tên NL'!$B:$C,2,0)</f>
        <v>#N/A</v>
      </c>
      <c r="D373" s="825" t="str">
        <f t="shared" si="10"/>
        <v/>
      </c>
      <c r="E373" s="572">
        <f t="shared" si="11"/>
        <v>0</v>
      </c>
    </row>
    <row r="374" spans="1:5" x14ac:dyDescent="0.2">
      <c r="A374" s="676" t="e">
        <f>+VLOOKUP($B374,'Tên NL'!$B:$C,2,0)</f>
        <v>#N/A</v>
      </c>
      <c r="D374" s="825" t="str">
        <f t="shared" si="10"/>
        <v/>
      </c>
      <c r="E374" s="572">
        <f t="shared" si="11"/>
        <v>0</v>
      </c>
    </row>
    <row r="375" spans="1:5" x14ac:dyDescent="0.2">
      <c r="A375" s="676" t="e">
        <f>+VLOOKUP($B375,'Tên NL'!$B:$C,2,0)</f>
        <v>#N/A</v>
      </c>
      <c r="D375" s="825" t="str">
        <f t="shared" si="10"/>
        <v/>
      </c>
      <c r="E375" s="572">
        <f t="shared" si="11"/>
        <v>0</v>
      </c>
    </row>
    <row r="376" spans="1:5" x14ac:dyDescent="0.2">
      <c r="A376" s="676" t="e">
        <f>+VLOOKUP($B376,'Tên NL'!$B:$C,2,0)</f>
        <v>#N/A</v>
      </c>
      <c r="D376" s="825" t="str">
        <f t="shared" si="10"/>
        <v/>
      </c>
      <c r="E376" s="572">
        <f t="shared" si="11"/>
        <v>0</v>
      </c>
    </row>
    <row r="377" spans="1:5" x14ac:dyDescent="0.2">
      <c r="A377" s="676" t="e">
        <f>+VLOOKUP($B377,'Tên NL'!$B:$C,2,0)</f>
        <v>#N/A</v>
      </c>
      <c r="D377" s="825" t="str">
        <f t="shared" si="10"/>
        <v/>
      </c>
      <c r="E377" s="572">
        <f t="shared" si="11"/>
        <v>0</v>
      </c>
    </row>
    <row r="378" spans="1:5" x14ac:dyDescent="0.2">
      <c r="A378" s="676" t="e">
        <f>+VLOOKUP($B378,'Tên NL'!$B:$C,2,0)</f>
        <v>#N/A</v>
      </c>
      <c r="D378" s="825" t="str">
        <f t="shared" si="10"/>
        <v/>
      </c>
      <c r="E378" s="572">
        <f t="shared" si="11"/>
        <v>0</v>
      </c>
    </row>
    <row r="379" spans="1:5" x14ac:dyDescent="0.2">
      <c r="A379" s="676" t="e">
        <f>+VLOOKUP($B379,'Tên NL'!$B:$C,2,0)</f>
        <v>#N/A</v>
      </c>
      <c r="D379" s="825" t="str">
        <f t="shared" si="10"/>
        <v/>
      </c>
      <c r="E379" s="572">
        <f t="shared" si="11"/>
        <v>0</v>
      </c>
    </row>
    <row r="380" spans="1:5" x14ac:dyDescent="0.2">
      <c r="A380" s="676" t="e">
        <f>+VLOOKUP($B380,'Tên NL'!$B:$C,2,0)</f>
        <v>#N/A</v>
      </c>
      <c r="D380" s="825" t="str">
        <f t="shared" si="10"/>
        <v/>
      </c>
      <c r="E380" s="572">
        <f t="shared" si="11"/>
        <v>0</v>
      </c>
    </row>
    <row r="381" spans="1:5" x14ac:dyDescent="0.2">
      <c r="A381" s="676" t="e">
        <f>+VLOOKUP($B381,'Tên NL'!$B:$C,2,0)</f>
        <v>#N/A</v>
      </c>
      <c r="D381" s="825" t="str">
        <f t="shared" si="10"/>
        <v/>
      </c>
      <c r="E381" s="572">
        <f t="shared" si="11"/>
        <v>0</v>
      </c>
    </row>
    <row r="382" spans="1:5" x14ac:dyDescent="0.2">
      <c r="A382" s="676" t="e">
        <f>+VLOOKUP($B382,'Tên NL'!$B:$C,2,0)</f>
        <v>#N/A</v>
      </c>
      <c r="D382" s="825" t="str">
        <f t="shared" si="10"/>
        <v/>
      </c>
      <c r="E382" s="572">
        <f t="shared" si="11"/>
        <v>0</v>
      </c>
    </row>
    <row r="383" spans="1:5" x14ac:dyDescent="0.2">
      <c r="A383" s="676" t="e">
        <f>+VLOOKUP($B383,'Tên NL'!$B:$C,2,0)</f>
        <v>#N/A</v>
      </c>
      <c r="D383" s="825" t="str">
        <f t="shared" si="10"/>
        <v/>
      </c>
      <c r="E383" s="572">
        <f t="shared" si="11"/>
        <v>0</v>
      </c>
    </row>
    <row r="384" spans="1:5" x14ac:dyDescent="0.2">
      <c r="A384" s="676" t="e">
        <f>+VLOOKUP($B384,'Tên NL'!$B:$C,2,0)</f>
        <v>#N/A</v>
      </c>
      <c r="D384" s="825" t="str">
        <f t="shared" si="10"/>
        <v/>
      </c>
      <c r="E384" s="572">
        <f t="shared" si="11"/>
        <v>0</v>
      </c>
    </row>
    <row r="385" spans="1:5" x14ac:dyDescent="0.2">
      <c r="A385" s="676" t="e">
        <f>+VLOOKUP($B385,'Tên NL'!$B:$C,2,0)</f>
        <v>#N/A</v>
      </c>
      <c r="D385" s="825" t="str">
        <f t="shared" si="10"/>
        <v/>
      </c>
      <c r="E385" s="572">
        <f t="shared" si="11"/>
        <v>0</v>
      </c>
    </row>
    <row r="386" spans="1:5" x14ac:dyDescent="0.2">
      <c r="A386" s="676" t="e">
        <f>+VLOOKUP($B386,'Tên NL'!$B:$C,2,0)</f>
        <v>#N/A</v>
      </c>
      <c r="D386" s="825" t="str">
        <f t="shared" si="10"/>
        <v/>
      </c>
      <c r="E386" s="572">
        <f t="shared" si="11"/>
        <v>0</v>
      </c>
    </row>
    <row r="387" spans="1:5" x14ac:dyDescent="0.2">
      <c r="A387" s="676" t="e">
        <f>+VLOOKUP($B387,'Tên NL'!$B:$C,2,0)</f>
        <v>#N/A</v>
      </c>
      <c r="D387" s="825" t="str">
        <f t="shared" si="10"/>
        <v/>
      </c>
      <c r="E387" s="572">
        <f t="shared" si="11"/>
        <v>0</v>
      </c>
    </row>
    <row r="388" spans="1:5" x14ac:dyDescent="0.2">
      <c r="A388" s="676" t="e">
        <f>+VLOOKUP($B388,'Tên NL'!$B:$C,2,0)</f>
        <v>#N/A</v>
      </c>
      <c r="D388" s="825" t="str">
        <f t="shared" si="10"/>
        <v/>
      </c>
      <c r="E388" s="572">
        <f t="shared" si="11"/>
        <v>0</v>
      </c>
    </row>
    <row r="389" spans="1:5" x14ac:dyDescent="0.2">
      <c r="A389" s="676" t="e">
        <f>+VLOOKUP($B389,'Tên NL'!$B:$C,2,0)</f>
        <v>#N/A</v>
      </c>
      <c r="D389" s="825" t="str">
        <f t="shared" si="10"/>
        <v/>
      </c>
      <c r="E389" s="572">
        <f t="shared" si="11"/>
        <v>0</v>
      </c>
    </row>
    <row r="390" spans="1:5" x14ac:dyDescent="0.2">
      <c r="A390" s="676" t="e">
        <f>+VLOOKUP($B390,'Tên NL'!$B:$C,2,0)</f>
        <v>#N/A</v>
      </c>
      <c r="D390" s="825" t="str">
        <f t="shared" si="10"/>
        <v/>
      </c>
      <c r="E390" s="572">
        <f t="shared" si="11"/>
        <v>0</v>
      </c>
    </row>
    <row r="391" spans="1:5" x14ac:dyDescent="0.2">
      <c r="A391" s="676" t="e">
        <f>+VLOOKUP($B391,'Tên NL'!$B:$C,2,0)</f>
        <v>#N/A</v>
      </c>
      <c r="D391" s="825" t="str">
        <f t="shared" ref="D391:D404" si="12">LEFT(B391,2)</f>
        <v/>
      </c>
      <c r="E391" s="572">
        <f t="shared" ref="E391:E404" si="13">C391/$D$4*1000</f>
        <v>0</v>
      </c>
    </row>
    <row r="392" spans="1:5" x14ac:dyDescent="0.2">
      <c r="A392" s="676" t="e">
        <f>+VLOOKUP($B392,'Tên NL'!$B:$C,2,0)</f>
        <v>#N/A</v>
      </c>
      <c r="D392" s="825" t="str">
        <f t="shared" si="12"/>
        <v/>
      </c>
      <c r="E392" s="572">
        <f t="shared" si="13"/>
        <v>0</v>
      </c>
    </row>
    <row r="393" spans="1:5" x14ac:dyDescent="0.2">
      <c r="A393" s="676" t="e">
        <f>+VLOOKUP($B393,'Tên NL'!$B:$C,2,0)</f>
        <v>#N/A</v>
      </c>
      <c r="D393" s="825" t="str">
        <f t="shared" si="12"/>
        <v/>
      </c>
      <c r="E393" s="572">
        <f t="shared" si="13"/>
        <v>0</v>
      </c>
    </row>
    <row r="394" spans="1:5" x14ac:dyDescent="0.2">
      <c r="A394" s="676" t="e">
        <f>+VLOOKUP($B394,'Tên NL'!$B:$C,2,0)</f>
        <v>#N/A</v>
      </c>
      <c r="D394" s="825" t="str">
        <f t="shared" si="12"/>
        <v/>
      </c>
      <c r="E394" s="572">
        <f t="shared" si="13"/>
        <v>0</v>
      </c>
    </row>
    <row r="395" spans="1:5" x14ac:dyDescent="0.2">
      <c r="A395" s="676" t="e">
        <f>+VLOOKUP($B395,'Tên NL'!$B:$C,2,0)</f>
        <v>#N/A</v>
      </c>
      <c r="D395" s="825" t="str">
        <f t="shared" si="12"/>
        <v/>
      </c>
      <c r="E395" s="572">
        <f t="shared" si="13"/>
        <v>0</v>
      </c>
    </row>
    <row r="396" spans="1:5" x14ac:dyDescent="0.2">
      <c r="A396" s="676" t="e">
        <f>+VLOOKUP($B396,'Tên NL'!$B:$C,2,0)</f>
        <v>#N/A</v>
      </c>
      <c r="D396" s="825" t="str">
        <f t="shared" si="12"/>
        <v/>
      </c>
      <c r="E396" s="572">
        <f t="shared" si="13"/>
        <v>0</v>
      </c>
    </row>
    <row r="397" spans="1:5" x14ac:dyDescent="0.2">
      <c r="A397" s="676" t="e">
        <f>+VLOOKUP($B397,'Tên NL'!$B:$C,2,0)</f>
        <v>#N/A</v>
      </c>
      <c r="D397" s="825" t="str">
        <f t="shared" si="12"/>
        <v/>
      </c>
      <c r="E397" s="572">
        <f t="shared" si="13"/>
        <v>0</v>
      </c>
    </row>
    <row r="398" spans="1:5" x14ac:dyDescent="0.2">
      <c r="A398" s="676" t="e">
        <f>+VLOOKUP($B398,'Tên NL'!$B:$C,2,0)</f>
        <v>#N/A</v>
      </c>
      <c r="D398" s="825" t="str">
        <f t="shared" si="12"/>
        <v/>
      </c>
      <c r="E398" s="572">
        <f t="shared" si="13"/>
        <v>0</v>
      </c>
    </row>
    <row r="399" spans="1:5" x14ac:dyDescent="0.2">
      <c r="A399" s="676" t="e">
        <f>+VLOOKUP($B399,'Tên NL'!$B:$C,2,0)</f>
        <v>#N/A</v>
      </c>
      <c r="D399" s="825" t="str">
        <f t="shared" si="12"/>
        <v/>
      </c>
      <c r="E399" s="572">
        <f t="shared" si="13"/>
        <v>0</v>
      </c>
    </row>
    <row r="400" spans="1:5" x14ac:dyDescent="0.2">
      <c r="A400" s="676" t="e">
        <f>+VLOOKUP($B400,'Tên NL'!$B:$C,2,0)</f>
        <v>#N/A</v>
      </c>
      <c r="D400" s="825" t="str">
        <f t="shared" si="12"/>
        <v/>
      </c>
      <c r="E400" s="572">
        <f t="shared" si="13"/>
        <v>0</v>
      </c>
    </row>
    <row r="401" spans="1:5" x14ac:dyDescent="0.2">
      <c r="A401" s="676" t="e">
        <f>+VLOOKUP($B401,'Tên NL'!$B:$C,2,0)</f>
        <v>#N/A</v>
      </c>
      <c r="D401" s="825" t="str">
        <f t="shared" si="12"/>
        <v/>
      </c>
      <c r="E401" s="572">
        <f t="shared" si="13"/>
        <v>0</v>
      </c>
    </row>
    <row r="402" spans="1:5" x14ac:dyDescent="0.2">
      <c r="A402" s="676" t="e">
        <f>+VLOOKUP($B402,'Tên NL'!$B:$C,2,0)</f>
        <v>#N/A</v>
      </c>
      <c r="D402" s="825" t="str">
        <f t="shared" si="12"/>
        <v/>
      </c>
      <c r="E402" s="572">
        <f t="shared" si="13"/>
        <v>0</v>
      </c>
    </row>
    <row r="403" spans="1:5" x14ac:dyDescent="0.2">
      <c r="A403" s="676" t="e">
        <f>+VLOOKUP($B403,'Tên NL'!$B:$C,2,0)</f>
        <v>#N/A</v>
      </c>
      <c r="D403" s="825" t="str">
        <f t="shared" si="12"/>
        <v/>
      </c>
      <c r="E403" s="572">
        <f t="shared" si="13"/>
        <v>0</v>
      </c>
    </row>
    <row r="404" spans="1:5" x14ac:dyDescent="0.2">
      <c r="A404" s="676" t="e">
        <f>+VLOOKUP($B404,'Tên NL'!$B:$C,2,0)</f>
        <v>#N/A</v>
      </c>
      <c r="D404" s="825" t="str">
        <f t="shared" si="12"/>
        <v/>
      </c>
      <c r="E404" s="572">
        <f t="shared" si="13"/>
        <v>0</v>
      </c>
    </row>
  </sheetData>
  <mergeCells count="2">
    <mergeCell ref="B1:G1"/>
    <mergeCell ref="B2:G2"/>
  </mergeCells>
  <pageMargins left="0.7" right="0.7" top="0.75" bottom="0.75" header="0.3" footer="0.3"/>
  <pageSetup scale="8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2:AI368"/>
  <sheetViews>
    <sheetView zoomScale="87" zoomScaleNormal="87" workbookViewId="0">
      <selection activeCell="A8" sqref="A8"/>
    </sheetView>
  </sheetViews>
  <sheetFormatPr defaultColWidth="9.140625" defaultRowHeight="12.75" x14ac:dyDescent="0.2"/>
  <cols>
    <col min="1" max="1" width="25.42578125" customWidth="1"/>
    <col min="2" max="2" width="17.85546875" bestFit="1" customWidth="1"/>
    <col min="3" max="3" width="10.85546875" bestFit="1" customWidth="1"/>
    <col min="4" max="4" width="8.42578125" bestFit="1" customWidth="1"/>
    <col min="5" max="5" width="19.85546875" customWidth="1"/>
    <col min="6" max="6" width="8" bestFit="1" customWidth="1"/>
    <col min="7" max="7" width="7.5703125" bestFit="1" customWidth="1"/>
    <col min="8" max="8" width="5.85546875" bestFit="1" customWidth="1"/>
    <col min="9" max="9" width="10.85546875" bestFit="1" customWidth="1"/>
    <col min="10" max="10" width="8.42578125" bestFit="1" customWidth="1"/>
    <col min="11" max="11" width="12.5703125" bestFit="1" customWidth="1"/>
    <col min="13" max="13" width="8" bestFit="1" customWidth="1"/>
    <col min="14" max="14" width="1.140625" customWidth="1"/>
    <col min="15" max="15" width="1.7109375" customWidth="1"/>
    <col min="16" max="16" width="18.85546875" customWidth="1"/>
    <col min="17" max="17" width="13.7109375" customWidth="1"/>
    <col min="18" max="18" width="16.42578125" customWidth="1"/>
    <col min="19" max="19" width="35.85546875" bestFit="1" customWidth="1"/>
    <col min="20" max="20" width="14.140625" customWidth="1"/>
    <col min="21" max="21" width="15.140625" customWidth="1"/>
    <col min="22" max="22" width="12.7109375" bestFit="1" customWidth="1"/>
    <col min="23" max="23" width="15.140625" customWidth="1"/>
    <col min="24" max="24" width="14.42578125" customWidth="1"/>
    <col min="25" max="25" width="12.140625" customWidth="1"/>
    <col min="26" max="26" width="14.85546875" style="677" customWidth="1"/>
    <col min="27" max="27" width="15.42578125" customWidth="1"/>
    <col min="29" max="29" width="15.140625" customWidth="1"/>
    <col min="30" max="30" width="17.7109375" customWidth="1"/>
    <col min="31" max="31" width="5.140625" bestFit="1" customWidth="1"/>
    <col min="32" max="32" width="8.7109375" bestFit="1" customWidth="1"/>
    <col min="33" max="33" width="16.140625" customWidth="1"/>
  </cols>
  <sheetData>
    <row r="2" spans="1:34" ht="19.5" x14ac:dyDescent="0.3">
      <c r="A2" s="765" t="s">
        <v>889</v>
      </c>
      <c r="B2" s="766">
        <f>+SUMIF(O:O,"GRAND TOTAL",V:V)</f>
        <v>12650909.98</v>
      </c>
    </row>
    <row r="3" spans="1:34" x14ac:dyDescent="0.2">
      <c r="C3" s="662"/>
    </row>
    <row r="5" spans="1:34" ht="23.25" customHeight="1" x14ac:dyDescent="0.2">
      <c r="E5" s="829"/>
    </row>
    <row r="7" spans="1:34" x14ac:dyDescent="0.2">
      <c r="A7" s="763"/>
    </row>
    <row r="10" spans="1:34" ht="18.75" customHeight="1" x14ac:dyDescent="0.2">
      <c r="A10" s="666" t="s">
        <v>1971</v>
      </c>
      <c r="B10" s="666" t="s">
        <v>1972</v>
      </c>
      <c r="C10" s="666" t="s">
        <v>1973</v>
      </c>
      <c r="D10" s="666" t="s">
        <v>1974</v>
      </c>
      <c r="E10" s="666" t="s">
        <v>1975</v>
      </c>
      <c r="F10" s="666" t="s">
        <v>1976</v>
      </c>
      <c r="G10" s="666" t="s">
        <v>1977</v>
      </c>
      <c r="H10" s="666" t="s">
        <v>1978</v>
      </c>
      <c r="I10" s="666" t="s">
        <v>1973</v>
      </c>
      <c r="J10" s="666" t="s">
        <v>1974</v>
      </c>
      <c r="K10" s="666" t="s">
        <v>1975</v>
      </c>
      <c r="L10" s="666" t="s">
        <v>1979</v>
      </c>
      <c r="M10" s="666" t="s">
        <v>1976</v>
      </c>
      <c r="N10" s="666"/>
      <c r="O10" s="666"/>
      <c r="P10" s="666"/>
      <c r="Q10" s="666"/>
      <c r="R10" s="666"/>
      <c r="S10" s="666"/>
      <c r="T10" s="666"/>
      <c r="U10" s="666"/>
      <c r="V10" s="666"/>
      <c r="W10" s="666"/>
      <c r="X10" s="666"/>
      <c r="Y10" s="666"/>
      <c r="Z10" s="666"/>
      <c r="AA10" s="666"/>
      <c r="AB10" s="666"/>
      <c r="AC10" s="666"/>
      <c r="AD10" s="666"/>
      <c r="AE10" s="666"/>
      <c r="AF10" s="666"/>
      <c r="AG10" s="666"/>
      <c r="AH10" s="544"/>
    </row>
    <row r="11" spans="1:34" ht="12.75" customHeight="1" x14ac:dyDescent="0.2">
      <c r="A11" s="666" t="s">
        <v>1980</v>
      </c>
      <c r="B11" s="666" t="s">
        <v>35</v>
      </c>
      <c r="C11" s="666"/>
      <c r="D11" s="666"/>
      <c r="E11" s="715">
        <v>315</v>
      </c>
      <c r="F11" s="715">
        <v>0</v>
      </c>
      <c r="G11" s="715">
        <v>70</v>
      </c>
      <c r="H11" s="715">
        <v>0</v>
      </c>
      <c r="I11" s="715">
        <v>0</v>
      </c>
      <c r="J11" s="715">
        <v>0</v>
      </c>
      <c r="K11" s="715">
        <v>140</v>
      </c>
      <c r="L11" s="715">
        <v>0</v>
      </c>
      <c r="M11" s="715">
        <v>0</v>
      </c>
      <c r="N11" s="715">
        <v>0</v>
      </c>
      <c r="O11" s="715">
        <v>0</v>
      </c>
      <c r="P11" s="715">
        <v>0</v>
      </c>
      <c r="Q11" s="715">
        <v>0</v>
      </c>
      <c r="R11" s="716">
        <v>245</v>
      </c>
      <c r="S11" s="666" t="s">
        <v>1674</v>
      </c>
      <c r="T11" s="717">
        <v>10055.5</v>
      </c>
      <c r="U11" s="717">
        <v>0</v>
      </c>
      <c r="V11" s="717">
        <v>2100</v>
      </c>
      <c r="W11" s="717">
        <v>0</v>
      </c>
      <c r="X11" s="717">
        <v>0</v>
      </c>
      <c r="Y11" s="717">
        <v>0</v>
      </c>
      <c r="Z11" s="717">
        <v>3808.94</v>
      </c>
      <c r="AA11" s="717">
        <v>0</v>
      </c>
      <c r="AB11" s="717">
        <v>0</v>
      </c>
      <c r="AC11" s="717">
        <v>0</v>
      </c>
      <c r="AD11" s="717">
        <v>0</v>
      </c>
      <c r="AE11" s="717">
        <v>0</v>
      </c>
      <c r="AF11" s="717">
        <v>0</v>
      </c>
      <c r="AG11" s="1996">
        <v>8346.56</v>
      </c>
    </row>
    <row r="12" spans="1:34" x14ac:dyDescent="0.2">
      <c r="A12" s="666" t="s">
        <v>1981</v>
      </c>
      <c r="B12" s="666" t="s">
        <v>35</v>
      </c>
      <c r="C12" s="666"/>
      <c r="D12" s="666"/>
      <c r="E12" s="715">
        <v>219</v>
      </c>
      <c r="F12" s="715">
        <v>0</v>
      </c>
      <c r="G12" s="715">
        <v>0</v>
      </c>
      <c r="H12" s="715">
        <v>0</v>
      </c>
      <c r="I12" s="715">
        <v>0</v>
      </c>
      <c r="J12" s="715">
        <v>0</v>
      </c>
      <c r="K12" s="715">
        <v>0</v>
      </c>
      <c r="L12" s="715">
        <v>0</v>
      </c>
      <c r="M12" s="715">
        <v>0</v>
      </c>
      <c r="N12" s="715">
        <v>0</v>
      </c>
      <c r="O12" s="715">
        <v>0</v>
      </c>
      <c r="P12" s="715">
        <v>0</v>
      </c>
      <c r="Q12" s="715">
        <v>0</v>
      </c>
      <c r="R12" s="716">
        <v>219</v>
      </c>
      <c r="S12" s="666" t="s">
        <v>1864</v>
      </c>
      <c r="T12" s="717">
        <v>5488</v>
      </c>
      <c r="U12" s="717">
        <v>0</v>
      </c>
      <c r="V12" s="717">
        <v>0</v>
      </c>
      <c r="W12" s="717">
        <v>0</v>
      </c>
      <c r="X12" s="717">
        <v>0</v>
      </c>
      <c r="Y12" s="717">
        <v>0</v>
      </c>
      <c r="Z12" s="717">
        <v>0</v>
      </c>
      <c r="AA12" s="717">
        <v>0</v>
      </c>
      <c r="AB12" s="717">
        <v>0</v>
      </c>
      <c r="AC12" s="717">
        <v>0</v>
      </c>
      <c r="AD12" s="717">
        <v>0</v>
      </c>
      <c r="AE12" s="717">
        <v>0</v>
      </c>
      <c r="AF12" s="717">
        <v>0</v>
      </c>
      <c r="AG12" s="1996">
        <v>5488</v>
      </c>
    </row>
    <row r="13" spans="1:34" ht="15" customHeight="1" x14ac:dyDescent="0.2">
      <c r="A13" s="666" t="s">
        <v>1982</v>
      </c>
      <c r="B13" s="666" t="s">
        <v>35</v>
      </c>
      <c r="C13" s="666"/>
      <c r="D13" s="666"/>
      <c r="E13" s="715">
        <v>140</v>
      </c>
      <c r="F13" s="715">
        <v>0</v>
      </c>
      <c r="G13" s="715">
        <v>140</v>
      </c>
      <c r="H13" s="715">
        <v>0</v>
      </c>
      <c r="I13" s="715">
        <v>0</v>
      </c>
      <c r="J13" s="715">
        <v>0</v>
      </c>
      <c r="K13" s="715">
        <v>35</v>
      </c>
      <c r="L13" s="715">
        <v>0</v>
      </c>
      <c r="M13" s="715">
        <v>0</v>
      </c>
      <c r="N13" s="715">
        <v>0</v>
      </c>
      <c r="O13" s="715">
        <v>0</v>
      </c>
      <c r="P13" s="715">
        <v>0</v>
      </c>
      <c r="Q13" s="715">
        <v>0</v>
      </c>
      <c r="R13" s="716">
        <v>245</v>
      </c>
      <c r="S13" s="666" t="s">
        <v>631</v>
      </c>
      <c r="T13" s="717">
        <v>5144.5200000000004</v>
      </c>
      <c r="U13" s="717">
        <v>0</v>
      </c>
      <c r="V13" s="717">
        <v>4200</v>
      </c>
      <c r="W13" s="717">
        <v>0</v>
      </c>
      <c r="X13" s="717">
        <v>0</v>
      </c>
      <c r="Y13" s="717">
        <v>0</v>
      </c>
      <c r="Z13" s="717">
        <v>1686.04</v>
      </c>
      <c r="AA13" s="717">
        <v>0</v>
      </c>
      <c r="AB13" s="717">
        <v>0</v>
      </c>
      <c r="AC13" s="717">
        <v>0</v>
      </c>
      <c r="AD13" s="717">
        <v>0</v>
      </c>
      <c r="AE13" s="717">
        <v>0</v>
      </c>
      <c r="AF13" s="717">
        <v>0</v>
      </c>
      <c r="AG13" s="1996">
        <v>7658.4800000000005</v>
      </c>
    </row>
    <row r="14" spans="1:34" ht="12.75" customHeight="1" x14ac:dyDescent="0.2">
      <c r="A14" s="666" t="s">
        <v>1983</v>
      </c>
      <c r="B14" s="666" t="s">
        <v>35</v>
      </c>
      <c r="C14" s="666"/>
      <c r="D14" s="666"/>
      <c r="E14" s="715">
        <v>520</v>
      </c>
      <c r="F14" s="715">
        <v>200</v>
      </c>
      <c r="G14" s="715">
        <v>0</v>
      </c>
      <c r="H14" s="715">
        <v>0</v>
      </c>
      <c r="I14" s="715">
        <v>0</v>
      </c>
      <c r="J14" s="715">
        <v>0</v>
      </c>
      <c r="K14" s="715">
        <v>160</v>
      </c>
      <c r="L14" s="715">
        <v>0</v>
      </c>
      <c r="M14" s="715">
        <v>0</v>
      </c>
      <c r="N14" s="715">
        <v>0</v>
      </c>
      <c r="O14" s="715">
        <v>0</v>
      </c>
      <c r="P14" s="715">
        <v>0</v>
      </c>
      <c r="Q14" s="715">
        <v>0</v>
      </c>
      <c r="R14" s="716">
        <v>560</v>
      </c>
      <c r="S14" s="666" t="s">
        <v>633</v>
      </c>
      <c r="T14" s="717">
        <v>13827.04</v>
      </c>
      <c r="U14" s="717">
        <v>5000</v>
      </c>
      <c r="V14" s="717">
        <v>0</v>
      </c>
      <c r="W14" s="717">
        <v>0</v>
      </c>
      <c r="X14" s="717">
        <v>0</v>
      </c>
      <c r="Y14" s="717">
        <v>0</v>
      </c>
      <c r="Z14" s="717">
        <v>4919.0200000000004</v>
      </c>
      <c r="AA14" s="717">
        <v>0</v>
      </c>
      <c r="AB14" s="717">
        <v>0</v>
      </c>
      <c r="AC14" s="717">
        <v>0</v>
      </c>
      <c r="AD14" s="717">
        <v>0</v>
      </c>
      <c r="AE14" s="717">
        <v>0</v>
      </c>
      <c r="AF14" s="717">
        <v>0</v>
      </c>
      <c r="AG14" s="1996">
        <v>13908.02</v>
      </c>
    </row>
    <row r="15" spans="1:34" ht="12.75" customHeight="1" x14ac:dyDescent="0.2">
      <c r="A15" s="666" t="s">
        <v>1984</v>
      </c>
      <c r="B15" s="666" t="s">
        <v>35</v>
      </c>
      <c r="C15" s="666"/>
      <c r="D15" s="666"/>
      <c r="E15" s="715">
        <v>0</v>
      </c>
      <c r="F15" s="715">
        <v>0</v>
      </c>
      <c r="G15" s="715">
        <v>4</v>
      </c>
      <c r="H15" s="715">
        <v>0</v>
      </c>
      <c r="I15" s="715">
        <v>0</v>
      </c>
      <c r="J15" s="715">
        <v>0</v>
      </c>
      <c r="K15" s="715">
        <v>1</v>
      </c>
      <c r="L15" s="715">
        <v>0</v>
      </c>
      <c r="M15" s="715">
        <v>0</v>
      </c>
      <c r="N15" s="715">
        <v>0</v>
      </c>
      <c r="O15" s="715">
        <v>0</v>
      </c>
      <c r="P15" s="715">
        <v>0</v>
      </c>
      <c r="Q15" s="715">
        <v>0</v>
      </c>
      <c r="R15" s="716">
        <v>3</v>
      </c>
      <c r="S15" s="666" t="s">
        <v>634</v>
      </c>
      <c r="T15" s="717">
        <v>12.3</v>
      </c>
      <c r="U15" s="717">
        <v>0</v>
      </c>
      <c r="V15" s="717">
        <v>120</v>
      </c>
      <c r="W15" s="717">
        <v>0</v>
      </c>
      <c r="X15" s="717">
        <v>0</v>
      </c>
      <c r="Y15" s="717">
        <v>0</v>
      </c>
      <c r="Z15" s="717">
        <v>0</v>
      </c>
      <c r="AA15" s="717">
        <v>0</v>
      </c>
      <c r="AB15" s="717">
        <v>0</v>
      </c>
      <c r="AC15" s="717">
        <v>0</v>
      </c>
      <c r="AD15" s="717">
        <v>0</v>
      </c>
      <c r="AE15" s="717">
        <v>0</v>
      </c>
      <c r="AF15" s="717">
        <v>0</v>
      </c>
      <c r="AG15" s="1996">
        <v>132.30000000000001</v>
      </c>
    </row>
    <row r="16" spans="1:34" ht="12.75" customHeight="1" x14ac:dyDescent="0.2">
      <c r="A16" s="666" t="s">
        <v>1985</v>
      </c>
      <c r="B16" s="666" t="s">
        <v>35</v>
      </c>
      <c r="C16" s="666"/>
      <c r="D16" s="666"/>
      <c r="E16" s="715">
        <v>1</v>
      </c>
      <c r="F16" s="715">
        <v>0</v>
      </c>
      <c r="G16" s="715">
        <v>0</v>
      </c>
      <c r="H16" s="715">
        <v>0</v>
      </c>
      <c r="I16" s="715">
        <v>0</v>
      </c>
      <c r="J16" s="715">
        <v>0</v>
      </c>
      <c r="K16" s="715">
        <v>0</v>
      </c>
      <c r="L16" s="715">
        <v>0</v>
      </c>
      <c r="M16" s="715">
        <v>0</v>
      </c>
      <c r="N16" s="715">
        <v>0</v>
      </c>
      <c r="O16" s="715">
        <v>0</v>
      </c>
      <c r="P16" s="715">
        <v>0</v>
      </c>
      <c r="Q16" s="715">
        <v>0</v>
      </c>
      <c r="R16" s="716">
        <v>1</v>
      </c>
      <c r="S16" s="666" t="s">
        <v>635</v>
      </c>
      <c r="T16" s="717">
        <v>73.3</v>
      </c>
      <c r="U16" s="717">
        <v>0</v>
      </c>
      <c r="V16" s="717">
        <v>0</v>
      </c>
      <c r="W16" s="717">
        <v>0</v>
      </c>
      <c r="X16" s="717">
        <v>0</v>
      </c>
      <c r="Y16" s="717">
        <v>0</v>
      </c>
      <c r="Z16" s="717">
        <v>33.6</v>
      </c>
      <c r="AA16" s="717">
        <v>0</v>
      </c>
      <c r="AB16" s="717">
        <v>0</v>
      </c>
      <c r="AC16" s="717">
        <v>0</v>
      </c>
      <c r="AD16" s="717">
        <v>0</v>
      </c>
      <c r="AE16" s="717">
        <v>0</v>
      </c>
      <c r="AF16" s="717">
        <v>0</v>
      </c>
      <c r="AG16" s="1996">
        <v>39.700000000000003</v>
      </c>
    </row>
    <row r="17" spans="1:33" ht="12.75" customHeight="1" x14ac:dyDescent="0.2">
      <c r="A17" s="666" t="s">
        <v>1986</v>
      </c>
      <c r="B17" s="666" t="s">
        <v>35</v>
      </c>
      <c r="C17" s="666"/>
      <c r="D17" s="666"/>
      <c r="E17" s="715">
        <v>11</v>
      </c>
      <c r="F17" s="715">
        <v>0</v>
      </c>
      <c r="G17" s="715">
        <v>2</v>
      </c>
      <c r="H17" s="715">
        <v>0</v>
      </c>
      <c r="I17" s="715">
        <v>0</v>
      </c>
      <c r="J17" s="715">
        <v>0</v>
      </c>
      <c r="K17" s="715">
        <v>3</v>
      </c>
      <c r="L17" s="715">
        <v>0</v>
      </c>
      <c r="M17" s="715">
        <v>0</v>
      </c>
      <c r="N17" s="715">
        <v>0</v>
      </c>
      <c r="O17" s="715">
        <v>0</v>
      </c>
      <c r="P17" s="715">
        <v>0</v>
      </c>
      <c r="Q17" s="715">
        <v>0</v>
      </c>
      <c r="R17" s="716">
        <v>10</v>
      </c>
      <c r="S17" s="666" t="s">
        <v>636</v>
      </c>
      <c r="T17" s="717">
        <v>406.03000000000003</v>
      </c>
      <c r="U17" s="717">
        <v>0</v>
      </c>
      <c r="V17" s="717">
        <v>60</v>
      </c>
      <c r="W17" s="717">
        <v>0</v>
      </c>
      <c r="X17" s="717">
        <v>0</v>
      </c>
      <c r="Y17" s="717">
        <v>0</v>
      </c>
      <c r="Z17" s="717">
        <v>83.49</v>
      </c>
      <c r="AA17" s="717">
        <v>0</v>
      </c>
      <c r="AB17" s="717">
        <v>0</v>
      </c>
      <c r="AC17" s="717">
        <v>0</v>
      </c>
      <c r="AD17" s="717">
        <v>0</v>
      </c>
      <c r="AE17" s="717">
        <v>0</v>
      </c>
      <c r="AF17" s="717">
        <v>0</v>
      </c>
      <c r="AG17" s="1996">
        <v>382.54</v>
      </c>
    </row>
    <row r="18" spans="1:33" ht="12.75" customHeight="1" x14ac:dyDescent="0.2">
      <c r="A18" s="666" t="s">
        <v>1987</v>
      </c>
      <c r="B18" s="666" t="s">
        <v>35</v>
      </c>
      <c r="C18" s="666"/>
      <c r="D18" s="666"/>
      <c r="E18" s="715">
        <v>7</v>
      </c>
      <c r="F18" s="715">
        <v>0</v>
      </c>
      <c r="G18" s="715">
        <v>0</v>
      </c>
      <c r="H18" s="715">
        <v>0</v>
      </c>
      <c r="I18" s="715">
        <v>0</v>
      </c>
      <c r="J18" s="715">
        <v>0</v>
      </c>
      <c r="K18" s="715">
        <v>2</v>
      </c>
      <c r="L18" s="715">
        <v>0</v>
      </c>
      <c r="M18" s="715">
        <v>0</v>
      </c>
      <c r="N18" s="715">
        <v>0</v>
      </c>
      <c r="O18" s="715">
        <v>0</v>
      </c>
      <c r="P18" s="715">
        <v>0</v>
      </c>
      <c r="Q18" s="715">
        <v>0</v>
      </c>
      <c r="R18" s="716">
        <v>5</v>
      </c>
      <c r="S18" s="666" t="s">
        <v>637</v>
      </c>
      <c r="T18" s="717">
        <v>282.43</v>
      </c>
      <c r="U18" s="717">
        <v>0</v>
      </c>
      <c r="V18" s="717">
        <v>0</v>
      </c>
      <c r="W18" s="717">
        <v>0</v>
      </c>
      <c r="X18" s="717">
        <v>0</v>
      </c>
      <c r="Y18" s="717">
        <v>0</v>
      </c>
      <c r="Z18" s="717">
        <v>49.800000000000004</v>
      </c>
      <c r="AA18" s="717">
        <v>0</v>
      </c>
      <c r="AB18" s="717">
        <v>0</v>
      </c>
      <c r="AC18" s="717">
        <v>0</v>
      </c>
      <c r="AD18" s="717">
        <v>0</v>
      </c>
      <c r="AE18" s="717">
        <v>0</v>
      </c>
      <c r="AF18" s="717">
        <v>0</v>
      </c>
      <c r="AG18" s="1996">
        <v>232.63</v>
      </c>
    </row>
    <row r="19" spans="1:33" ht="12.75" customHeight="1" x14ac:dyDescent="0.2">
      <c r="A19" s="666" t="s">
        <v>1988</v>
      </c>
      <c r="B19" s="666" t="s">
        <v>35</v>
      </c>
      <c r="C19" s="666"/>
      <c r="D19" s="666"/>
      <c r="E19" s="715">
        <v>35</v>
      </c>
      <c r="F19" s="715">
        <v>0</v>
      </c>
      <c r="G19" s="715">
        <v>17</v>
      </c>
      <c r="H19" s="715">
        <v>0</v>
      </c>
      <c r="I19" s="715">
        <v>0</v>
      </c>
      <c r="J19" s="715">
        <v>0</v>
      </c>
      <c r="K19" s="715">
        <v>10</v>
      </c>
      <c r="L19" s="715">
        <v>0</v>
      </c>
      <c r="M19" s="715">
        <v>0</v>
      </c>
      <c r="N19" s="715">
        <v>0</v>
      </c>
      <c r="O19" s="715">
        <v>0</v>
      </c>
      <c r="P19" s="715">
        <v>0</v>
      </c>
      <c r="Q19" s="715">
        <v>0</v>
      </c>
      <c r="R19" s="716">
        <v>42</v>
      </c>
      <c r="S19" s="666" t="s">
        <v>638</v>
      </c>
      <c r="T19" s="717">
        <v>1107.1500000000001</v>
      </c>
      <c r="U19" s="717">
        <v>0</v>
      </c>
      <c r="V19" s="717">
        <v>510</v>
      </c>
      <c r="W19" s="717">
        <v>0</v>
      </c>
      <c r="X19" s="717">
        <v>0</v>
      </c>
      <c r="Y19" s="717">
        <v>0</v>
      </c>
      <c r="Z19" s="717">
        <v>252</v>
      </c>
      <c r="AA19" s="717">
        <v>0</v>
      </c>
      <c r="AB19" s="717">
        <v>0</v>
      </c>
      <c r="AC19" s="717">
        <v>0</v>
      </c>
      <c r="AD19" s="717">
        <v>0</v>
      </c>
      <c r="AE19" s="717">
        <v>0</v>
      </c>
      <c r="AF19" s="717">
        <v>0</v>
      </c>
      <c r="AG19" s="1996">
        <v>1365.15</v>
      </c>
    </row>
    <row r="20" spans="1:33" ht="12.75" customHeight="1" x14ac:dyDescent="0.2">
      <c r="A20" s="666" t="s">
        <v>1989</v>
      </c>
      <c r="B20" s="666" t="s">
        <v>35</v>
      </c>
      <c r="C20" s="666"/>
      <c r="D20" s="666"/>
      <c r="E20" s="715">
        <v>23</v>
      </c>
      <c r="F20" s="715">
        <v>0</v>
      </c>
      <c r="G20" s="715">
        <v>5</v>
      </c>
      <c r="H20" s="715">
        <v>0</v>
      </c>
      <c r="I20" s="715">
        <v>0</v>
      </c>
      <c r="J20" s="715">
        <v>0</v>
      </c>
      <c r="K20" s="715">
        <v>3</v>
      </c>
      <c r="L20" s="715">
        <v>0</v>
      </c>
      <c r="M20" s="715">
        <v>0</v>
      </c>
      <c r="N20" s="715">
        <v>0</v>
      </c>
      <c r="O20" s="715">
        <v>0</v>
      </c>
      <c r="P20" s="715">
        <v>0</v>
      </c>
      <c r="Q20" s="715">
        <v>0</v>
      </c>
      <c r="R20" s="716">
        <v>25</v>
      </c>
      <c r="S20" s="666" t="s">
        <v>639</v>
      </c>
      <c r="T20" s="717">
        <v>773.30000000000007</v>
      </c>
      <c r="U20" s="717">
        <v>0</v>
      </c>
      <c r="V20" s="717">
        <v>150</v>
      </c>
      <c r="W20" s="717">
        <v>0</v>
      </c>
      <c r="X20" s="717">
        <v>0</v>
      </c>
      <c r="Y20" s="717">
        <v>0</v>
      </c>
      <c r="Z20" s="717">
        <v>151.20000000000002</v>
      </c>
      <c r="AA20" s="717">
        <v>0</v>
      </c>
      <c r="AB20" s="717">
        <v>0</v>
      </c>
      <c r="AC20" s="717">
        <v>0</v>
      </c>
      <c r="AD20" s="717">
        <v>0</v>
      </c>
      <c r="AE20" s="717">
        <v>0</v>
      </c>
      <c r="AF20" s="717">
        <v>0</v>
      </c>
      <c r="AG20" s="1996">
        <v>772.1</v>
      </c>
    </row>
    <row r="21" spans="1:33" x14ac:dyDescent="0.2">
      <c r="A21" s="666" t="s">
        <v>1990</v>
      </c>
      <c r="B21" s="666" t="s">
        <v>35</v>
      </c>
      <c r="C21" s="666"/>
      <c r="D21" s="666"/>
      <c r="E21" s="715">
        <v>3</v>
      </c>
      <c r="F21" s="715">
        <v>0</v>
      </c>
      <c r="G21" s="715">
        <v>0</v>
      </c>
      <c r="H21" s="715">
        <v>0</v>
      </c>
      <c r="I21" s="715">
        <v>0</v>
      </c>
      <c r="J21" s="715">
        <v>0</v>
      </c>
      <c r="K21" s="715">
        <v>1</v>
      </c>
      <c r="L21" s="715">
        <v>0</v>
      </c>
      <c r="M21" s="715">
        <v>0</v>
      </c>
      <c r="N21" s="715">
        <v>0</v>
      </c>
      <c r="O21" s="715">
        <v>0</v>
      </c>
      <c r="P21" s="715">
        <v>0</v>
      </c>
      <c r="Q21" s="715">
        <v>0</v>
      </c>
      <c r="R21" s="716">
        <v>2</v>
      </c>
      <c r="S21" s="666" t="s">
        <v>640</v>
      </c>
      <c r="T21" s="717">
        <v>117.4</v>
      </c>
      <c r="U21" s="717">
        <v>0</v>
      </c>
      <c r="V21" s="717">
        <v>0</v>
      </c>
      <c r="W21" s="717">
        <v>0</v>
      </c>
      <c r="X21" s="717">
        <v>0</v>
      </c>
      <c r="Y21" s="717">
        <v>0</v>
      </c>
      <c r="Z21" s="717">
        <v>50.4</v>
      </c>
      <c r="AA21" s="717">
        <v>0</v>
      </c>
      <c r="AB21" s="717">
        <v>0</v>
      </c>
      <c r="AC21" s="717">
        <v>0</v>
      </c>
      <c r="AD21" s="717">
        <v>0</v>
      </c>
      <c r="AE21" s="717">
        <v>0</v>
      </c>
      <c r="AF21" s="717">
        <v>0</v>
      </c>
      <c r="AG21" s="1996">
        <v>67</v>
      </c>
    </row>
    <row r="22" spans="1:33" x14ac:dyDescent="0.2">
      <c r="A22" s="666" t="s">
        <v>1991</v>
      </c>
      <c r="B22" s="666" t="s">
        <v>35</v>
      </c>
      <c r="C22" s="666"/>
      <c r="D22" s="666"/>
      <c r="E22" s="715">
        <v>60</v>
      </c>
      <c r="F22" s="715">
        <v>0</v>
      </c>
      <c r="G22" s="715">
        <v>50</v>
      </c>
      <c r="H22" s="715">
        <v>0</v>
      </c>
      <c r="I22" s="715">
        <v>0</v>
      </c>
      <c r="J22" s="715">
        <v>0</v>
      </c>
      <c r="K22" s="715">
        <v>40</v>
      </c>
      <c r="L22" s="715">
        <v>0</v>
      </c>
      <c r="M22" s="715">
        <v>0</v>
      </c>
      <c r="N22" s="715">
        <v>0</v>
      </c>
      <c r="O22" s="715">
        <v>0</v>
      </c>
      <c r="P22" s="715">
        <v>0</v>
      </c>
      <c r="Q22" s="715">
        <v>0</v>
      </c>
      <c r="R22" s="716">
        <v>70</v>
      </c>
      <c r="S22" s="666" t="s">
        <v>626</v>
      </c>
      <c r="T22" s="717">
        <v>1988.94</v>
      </c>
      <c r="U22" s="717">
        <v>0</v>
      </c>
      <c r="V22" s="717">
        <v>1500</v>
      </c>
      <c r="W22" s="717">
        <v>0</v>
      </c>
      <c r="X22" s="717">
        <v>0</v>
      </c>
      <c r="Y22" s="717">
        <v>0</v>
      </c>
      <c r="Z22" s="717">
        <v>1091.9000000000001</v>
      </c>
      <c r="AA22" s="717">
        <v>0</v>
      </c>
      <c r="AB22" s="717">
        <v>0</v>
      </c>
      <c r="AC22" s="717">
        <v>0</v>
      </c>
      <c r="AD22" s="717">
        <v>0</v>
      </c>
      <c r="AE22" s="717">
        <v>0</v>
      </c>
      <c r="AF22" s="717">
        <v>0</v>
      </c>
      <c r="AG22" s="1996">
        <v>2397.04</v>
      </c>
    </row>
    <row r="23" spans="1:33" ht="12.75" customHeight="1" x14ac:dyDescent="0.2">
      <c r="A23" s="666" t="s">
        <v>1992</v>
      </c>
      <c r="B23" s="666" t="s">
        <v>35</v>
      </c>
      <c r="C23" s="666"/>
      <c r="D23" s="666"/>
      <c r="E23" s="715">
        <v>30</v>
      </c>
      <c r="F23" s="715">
        <v>0</v>
      </c>
      <c r="G23" s="715">
        <v>15</v>
      </c>
      <c r="H23" s="715">
        <v>0</v>
      </c>
      <c r="I23" s="715">
        <v>0</v>
      </c>
      <c r="J23" s="715">
        <v>0</v>
      </c>
      <c r="K23" s="715">
        <v>0</v>
      </c>
      <c r="L23" s="715">
        <v>0</v>
      </c>
      <c r="M23" s="715">
        <v>0</v>
      </c>
      <c r="N23" s="715">
        <v>0</v>
      </c>
      <c r="O23" s="715">
        <v>0</v>
      </c>
      <c r="P23" s="715">
        <v>0</v>
      </c>
      <c r="Q23" s="715">
        <v>0</v>
      </c>
      <c r="R23" s="716">
        <v>45</v>
      </c>
      <c r="S23" s="666" t="s">
        <v>627</v>
      </c>
      <c r="T23" s="717">
        <v>2136.7600000000002</v>
      </c>
      <c r="U23" s="717">
        <v>0</v>
      </c>
      <c r="V23" s="717">
        <v>450</v>
      </c>
      <c r="W23" s="717">
        <v>0</v>
      </c>
      <c r="X23" s="717">
        <v>0</v>
      </c>
      <c r="Y23" s="717">
        <v>0</v>
      </c>
      <c r="Z23" s="717">
        <v>831.68000000000006</v>
      </c>
      <c r="AA23" s="717">
        <v>0</v>
      </c>
      <c r="AB23" s="717">
        <v>0</v>
      </c>
      <c r="AC23" s="717">
        <v>0</v>
      </c>
      <c r="AD23" s="717">
        <v>0</v>
      </c>
      <c r="AE23" s="717">
        <v>0</v>
      </c>
      <c r="AF23" s="717">
        <v>0</v>
      </c>
      <c r="AG23" s="1996">
        <v>1755.08</v>
      </c>
    </row>
    <row r="24" spans="1:33" x14ac:dyDescent="0.2">
      <c r="A24" s="666" t="s">
        <v>1993</v>
      </c>
      <c r="B24" s="666" t="s">
        <v>35</v>
      </c>
      <c r="C24" s="666"/>
      <c r="D24" s="666"/>
      <c r="E24" s="715">
        <v>12</v>
      </c>
      <c r="F24" s="715">
        <v>0</v>
      </c>
      <c r="G24" s="715">
        <v>10</v>
      </c>
      <c r="H24" s="715">
        <v>0</v>
      </c>
      <c r="I24" s="715">
        <v>0</v>
      </c>
      <c r="J24" s="715">
        <v>0</v>
      </c>
      <c r="K24" s="715">
        <v>5</v>
      </c>
      <c r="L24" s="715">
        <v>0</v>
      </c>
      <c r="M24" s="715">
        <v>0</v>
      </c>
      <c r="N24" s="715">
        <v>0</v>
      </c>
      <c r="O24" s="715">
        <v>0</v>
      </c>
      <c r="P24" s="715">
        <v>0</v>
      </c>
      <c r="Q24" s="715">
        <v>0</v>
      </c>
      <c r="R24" s="716">
        <v>17</v>
      </c>
      <c r="S24" s="666" t="s">
        <v>628</v>
      </c>
      <c r="T24" s="717">
        <v>438.64</v>
      </c>
      <c r="U24" s="717">
        <v>0</v>
      </c>
      <c r="V24" s="717">
        <v>300</v>
      </c>
      <c r="W24" s="717">
        <v>0</v>
      </c>
      <c r="X24" s="717">
        <v>0</v>
      </c>
      <c r="Y24" s="717">
        <v>0</v>
      </c>
      <c r="Z24" s="717">
        <v>95.54</v>
      </c>
      <c r="AA24" s="717">
        <v>0</v>
      </c>
      <c r="AB24" s="717">
        <v>0</v>
      </c>
      <c r="AC24" s="717">
        <v>0</v>
      </c>
      <c r="AD24" s="717">
        <v>0</v>
      </c>
      <c r="AE24" s="717">
        <v>0</v>
      </c>
      <c r="AF24" s="717">
        <v>0</v>
      </c>
      <c r="AG24" s="1996">
        <v>643.1</v>
      </c>
    </row>
    <row r="25" spans="1:33" x14ac:dyDescent="0.2">
      <c r="A25" s="666" t="s">
        <v>1994</v>
      </c>
      <c r="B25" s="666" t="s">
        <v>35</v>
      </c>
      <c r="C25" s="666"/>
      <c r="D25" s="666"/>
      <c r="E25" s="715">
        <v>5</v>
      </c>
      <c r="F25" s="715">
        <v>0</v>
      </c>
      <c r="G25" s="715">
        <v>1</v>
      </c>
      <c r="H25" s="715">
        <v>0</v>
      </c>
      <c r="I25" s="715">
        <v>0</v>
      </c>
      <c r="J25" s="715">
        <v>0</v>
      </c>
      <c r="K25" s="715">
        <v>2</v>
      </c>
      <c r="L25" s="715">
        <v>0</v>
      </c>
      <c r="M25" s="715">
        <v>0</v>
      </c>
      <c r="N25" s="715">
        <v>0</v>
      </c>
      <c r="O25" s="715">
        <v>0</v>
      </c>
      <c r="P25" s="715">
        <v>0</v>
      </c>
      <c r="Q25" s="715">
        <v>0</v>
      </c>
      <c r="R25" s="716">
        <v>4</v>
      </c>
      <c r="S25" s="666" t="s">
        <v>641</v>
      </c>
      <c r="T25" s="717">
        <v>218.32</v>
      </c>
      <c r="U25" s="717">
        <v>0</v>
      </c>
      <c r="V25" s="717">
        <v>30</v>
      </c>
      <c r="W25" s="717">
        <v>0</v>
      </c>
      <c r="X25" s="717">
        <v>0</v>
      </c>
      <c r="Y25" s="717">
        <v>0</v>
      </c>
      <c r="Z25" s="717">
        <v>99.66</v>
      </c>
      <c r="AA25" s="717">
        <v>0</v>
      </c>
      <c r="AB25" s="717">
        <v>0</v>
      </c>
      <c r="AC25" s="717">
        <v>0</v>
      </c>
      <c r="AD25" s="717">
        <v>0</v>
      </c>
      <c r="AE25" s="717">
        <v>0</v>
      </c>
      <c r="AF25" s="717">
        <v>0</v>
      </c>
      <c r="AG25" s="1996">
        <v>148.66</v>
      </c>
    </row>
    <row r="26" spans="1:33" x14ac:dyDescent="0.2">
      <c r="A26" s="666" t="s">
        <v>1995</v>
      </c>
      <c r="B26" s="666" t="s">
        <v>35</v>
      </c>
      <c r="C26" s="666"/>
      <c r="D26" s="666"/>
      <c r="E26" s="715">
        <v>27</v>
      </c>
      <c r="F26" s="715">
        <v>0</v>
      </c>
      <c r="G26" s="715">
        <v>15</v>
      </c>
      <c r="H26" s="715">
        <v>0</v>
      </c>
      <c r="I26" s="715">
        <v>0</v>
      </c>
      <c r="J26" s="715">
        <v>0</v>
      </c>
      <c r="K26" s="715">
        <v>27</v>
      </c>
      <c r="L26" s="715">
        <v>0</v>
      </c>
      <c r="M26" s="715">
        <v>0</v>
      </c>
      <c r="N26" s="715">
        <v>0</v>
      </c>
      <c r="O26" s="715">
        <v>0</v>
      </c>
      <c r="P26" s="715">
        <v>0</v>
      </c>
      <c r="Q26" s="715">
        <v>0</v>
      </c>
      <c r="R26" s="716">
        <v>15</v>
      </c>
      <c r="S26" s="666" t="s">
        <v>643</v>
      </c>
      <c r="T26" s="717">
        <v>921.82</v>
      </c>
      <c r="U26" s="717">
        <v>0</v>
      </c>
      <c r="V26" s="717">
        <v>450</v>
      </c>
      <c r="W26" s="717">
        <v>0</v>
      </c>
      <c r="X26" s="717">
        <v>0</v>
      </c>
      <c r="Y26" s="717">
        <v>0</v>
      </c>
      <c r="Z26" s="717">
        <v>404.52</v>
      </c>
      <c r="AA26" s="717">
        <v>0</v>
      </c>
      <c r="AB26" s="717">
        <v>0</v>
      </c>
      <c r="AC26" s="717">
        <v>0</v>
      </c>
      <c r="AD26" s="717">
        <v>0</v>
      </c>
      <c r="AE26" s="717">
        <v>0</v>
      </c>
      <c r="AF26" s="717">
        <v>0</v>
      </c>
      <c r="AG26" s="1996">
        <v>967.30000000000007</v>
      </c>
    </row>
    <row r="27" spans="1:33" x14ac:dyDescent="0.2">
      <c r="A27" s="666" t="s">
        <v>1996</v>
      </c>
      <c r="B27" s="666" t="s">
        <v>35</v>
      </c>
      <c r="C27" s="666"/>
      <c r="D27" s="666"/>
      <c r="E27" s="715">
        <v>190</v>
      </c>
      <c r="F27" s="715">
        <v>0</v>
      </c>
      <c r="G27" s="715">
        <v>0</v>
      </c>
      <c r="H27" s="715">
        <v>0</v>
      </c>
      <c r="I27" s="715">
        <v>0</v>
      </c>
      <c r="J27" s="715">
        <v>0</v>
      </c>
      <c r="K27" s="715">
        <v>70</v>
      </c>
      <c r="L27" s="715">
        <v>0</v>
      </c>
      <c r="M27" s="715">
        <v>0</v>
      </c>
      <c r="N27" s="715">
        <v>0</v>
      </c>
      <c r="O27" s="715">
        <v>0</v>
      </c>
      <c r="P27" s="715">
        <v>0</v>
      </c>
      <c r="Q27" s="715">
        <v>0</v>
      </c>
      <c r="R27" s="716">
        <v>120</v>
      </c>
      <c r="S27" s="666" t="s">
        <v>644</v>
      </c>
      <c r="T27" s="717">
        <v>6715.28</v>
      </c>
      <c r="U27" s="717">
        <v>0</v>
      </c>
      <c r="V27" s="717">
        <v>0</v>
      </c>
      <c r="W27" s="717">
        <v>0</v>
      </c>
      <c r="X27" s="717">
        <v>0</v>
      </c>
      <c r="Y27" s="717">
        <v>0</v>
      </c>
      <c r="Z27" s="717">
        <v>1924.54</v>
      </c>
      <c r="AA27" s="717">
        <v>0</v>
      </c>
      <c r="AB27" s="717">
        <v>0</v>
      </c>
      <c r="AC27" s="717">
        <v>0</v>
      </c>
      <c r="AD27" s="717">
        <v>0</v>
      </c>
      <c r="AE27" s="717">
        <v>0</v>
      </c>
      <c r="AF27" s="717">
        <v>0</v>
      </c>
      <c r="AG27" s="1996">
        <v>4790.74</v>
      </c>
    </row>
    <row r="28" spans="1:33" ht="12.75" customHeight="1" x14ac:dyDescent="0.2">
      <c r="A28" s="666" t="s">
        <v>1997</v>
      </c>
      <c r="B28" s="666" t="s">
        <v>35</v>
      </c>
      <c r="C28" s="666"/>
      <c r="D28" s="666"/>
      <c r="E28" s="715">
        <v>240</v>
      </c>
      <c r="F28" s="715">
        <v>0</v>
      </c>
      <c r="G28" s="715">
        <v>40</v>
      </c>
      <c r="H28" s="715">
        <v>0</v>
      </c>
      <c r="I28" s="715">
        <v>0</v>
      </c>
      <c r="J28" s="715">
        <v>0</v>
      </c>
      <c r="K28" s="715">
        <v>80</v>
      </c>
      <c r="L28" s="715">
        <v>0</v>
      </c>
      <c r="M28" s="715">
        <v>0</v>
      </c>
      <c r="N28" s="715">
        <v>0</v>
      </c>
      <c r="O28" s="715">
        <v>0</v>
      </c>
      <c r="P28" s="715">
        <v>0</v>
      </c>
      <c r="Q28" s="715">
        <v>0</v>
      </c>
      <c r="R28" s="716">
        <v>200</v>
      </c>
      <c r="S28" s="666" t="s">
        <v>921</v>
      </c>
      <c r="T28" s="717">
        <v>7908.16</v>
      </c>
      <c r="U28" s="717">
        <v>0</v>
      </c>
      <c r="V28" s="717">
        <v>1200</v>
      </c>
      <c r="W28" s="717">
        <v>0</v>
      </c>
      <c r="X28" s="717">
        <v>0</v>
      </c>
      <c r="Y28" s="717">
        <v>0</v>
      </c>
      <c r="Z28" s="717">
        <v>2525.12</v>
      </c>
      <c r="AA28" s="717">
        <v>0</v>
      </c>
      <c r="AB28" s="717">
        <v>0</v>
      </c>
      <c r="AC28" s="717">
        <v>0</v>
      </c>
      <c r="AD28" s="717">
        <v>0</v>
      </c>
      <c r="AE28" s="717">
        <v>0</v>
      </c>
      <c r="AF28" s="717">
        <v>0</v>
      </c>
      <c r="AG28" s="1996">
        <v>6583.04</v>
      </c>
    </row>
    <row r="29" spans="1:33" x14ac:dyDescent="0.2">
      <c r="A29" s="666" t="s">
        <v>1998</v>
      </c>
      <c r="B29" s="666" t="s">
        <v>35</v>
      </c>
      <c r="C29" s="666"/>
      <c r="D29" s="666"/>
      <c r="E29" s="715">
        <v>160</v>
      </c>
      <c r="F29" s="715">
        <v>0</v>
      </c>
      <c r="G29" s="715">
        <v>35</v>
      </c>
      <c r="H29" s="715">
        <v>0</v>
      </c>
      <c r="I29" s="715">
        <v>0</v>
      </c>
      <c r="J29" s="715">
        <v>0</v>
      </c>
      <c r="K29" s="715">
        <v>90</v>
      </c>
      <c r="L29" s="715">
        <v>0</v>
      </c>
      <c r="M29" s="715">
        <v>0</v>
      </c>
      <c r="N29" s="715">
        <v>0</v>
      </c>
      <c r="O29" s="715">
        <v>0</v>
      </c>
      <c r="P29" s="715">
        <v>0</v>
      </c>
      <c r="Q29" s="715">
        <v>0</v>
      </c>
      <c r="R29" s="716">
        <v>105</v>
      </c>
      <c r="S29" s="666" t="s">
        <v>645</v>
      </c>
      <c r="T29" s="717">
        <v>4957.42</v>
      </c>
      <c r="U29" s="717">
        <v>0</v>
      </c>
      <c r="V29" s="717">
        <v>1050</v>
      </c>
      <c r="W29" s="717">
        <v>0</v>
      </c>
      <c r="X29" s="717">
        <v>0</v>
      </c>
      <c r="Y29" s="717">
        <v>0</v>
      </c>
      <c r="Z29" s="717">
        <v>1882.24</v>
      </c>
      <c r="AA29" s="717">
        <v>0</v>
      </c>
      <c r="AB29" s="717">
        <v>0</v>
      </c>
      <c r="AC29" s="717">
        <v>0</v>
      </c>
      <c r="AD29" s="717">
        <v>0</v>
      </c>
      <c r="AE29" s="717">
        <v>0</v>
      </c>
      <c r="AF29" s="717">
        <v>0</v>
      </c>
      <c r="AG29" s="1996">
        <v>4125.18</v>
      </c>
    </row>
    <row r="30" spans="1:33" x14ac:dyDescent="0.2">
      <c r="A30" s="666" t="s">
        <v>1999</v>
      </c>
      <c r="B30" s="666" t="s">
        <v>35</v>
      </c>
      <c r="C30" s="666"/>
      <c r="D30" s="666"/>
      <c r="E30" s="715">
        <v>140</v>
      </c>
      <c r="F30" s="715">
        <v>0</v>
      </c>
      <c r="G30" s="715">
        <v>20</v>
      </c>
      <c r="H30" s="715">
        <v>0</v>
      </c>
      <c r="I30" s="715">
        <v>0</v>
      </c>
      <c r="J30" s="715">
        <v>0</v>
      </c>
      <c r="K30" s="715">
        <v>55</v>
      </c>
      <c r="L30" s="715">
        <v>0</v>
      </c>
      <c r="M30" s="715">
        <v>0</v>
      </c>
      <c r="N30" s="715">
        <v>0</v>
      </c>
      <c r="O30" s="715">
        <v>0</v>
      </c>
      <c r="P30" s="715">
        <v>0</v>
      </c>
      <c r="Q30" s="715">
        <v>0</v>
      </c>
      <c r="R30" s="716">
        <v>105</v>
      </c>
      <c r="S30" s="666" t="s">
        <v>646</v>
      </c>
      <c r="T30" s="717">
        <v>5003.88</v>
      </c>
      <c r="U30" s="717">
        <v>0</v>
      </c>
      <c r="V30" s="717">
        <v>600</v>
      </c>
      <c r="W30" s="717">
        <v>0</v>
      </c>
      <c r="X30" s="717">
        <v>0</v>
      </c>
      <c r="Y30" s="717">
        <v>0</v>
      </c>
      <c r="Z30" s="717">
        <v>1465.1000000000001</v>
      </c>
      <c r="AA30" s="717">
        <v>0</v>
      </c>
      <c r="AB30" s="717">
        <v>0</v>
      </c>
      <c r="AC30" s="717">
        <v>0</v>
      </c>
      <c r="AD30" s="717">
        <v>0</v>
      </c>
      <c r="AE30" s="717">
        <v>0</v>
      </c>
      <c r="AF30" s="717">
        <v>0</v>
      </c>
      <c r="AG30" s="1996">
        <v>4138.78</v>
      </c>
    </row>
    <row r="31" spans="1:33" x14ac:dyDescent="0.2">
      <c r="A31" s="666" t="s">
        <v>2000</v>
      </c>
      <c r="B31" s="666" t="s">
        <v>35</v>
      </c>
      <c r="C31" s="666"/>
      <c r="D31" s="666"/>
      <c r="E31" s="715">
        <v>13</v>
      </c>
      <c r="F31" s="715">
        <v>0</v>
      </c>
      <c r="G31" s="715">
        <v>2</v>
      </c>
      <c r="H31" s="715">
        <v>0</v>
      </c>
      <c r="I31" s="715">
        <v>0</v>
      </c>
      <c r="J31" s="715">
        <v>0</v>
      </c>
      <c r="K31" s="715">
        <v>4</v>
      </c>
      <c r="L31" s="715">
        <v>0</v>
      </c>
      <c r="M31" s="715">
        <v>0</v>
      </c>
      <c r="N31" s="715">
        <v>0</v>
      </c>
      <c r="O31" s="715">
        <v>0</v>
      </c>
      <c r="P31" s="715">
        <v>0</v>
      </c>
      <c r="Q31" s="715">
        <v>0</v>
      </c>
      <c r="R31" s="716">
        <v>11</v>
      </c>
      <c r="S31" s="666" t="s">
        <v>647</v>
      </c>
      <c r="T31" s="717">
        <v>537.34</v>
      </c>
      <c r="U31" s="717">
        <v>0</v>
      </c>
      <c r="V31" s="717">
        <v>60</v>
      </c>
      <c r="W31" s="717">
        <v>0</v>
      </c>
      <c r="X31" s="717">
        <v>0</v>
      </c>
      <c r="Y31" s="717">
        <v>0</v>
      </c>
      <c r="Z31" s="717">
        <v>212.22</v>
      </c>
      <c r="AA31" s="717">
        <v>0</v>
      </c>
      <c r="AB31" s="717">
        <v>0</v>
      </c>
      <c r="AC31" s="717">
        <v>0</v>
      </c>
      <c r="AD31" s="717">
        <v>0</v>
      </c>
      <c r="AE31" s="717">
        <v>0</v>
      </c>
      <c r="AF31" s="717">
        <v>0</v>
      </c>
      <c r="AG31" s="1996">
        <v>385.12</v>
      </c>
    </row>
    <row r="32" spans="1:33" x14ac:dyDescent="0.2">
      <c r="A32" s="666" t="s">
        <v>2001</v>
      </c>
      <c r="B32" s="666" t="s">
        <v>35</v>
      </c>
      <c r="C32" s="666"/>
      <c r="D32" s="666"/>
      <c r="E32" s="715">
        <v>1</v>
      </c>
      <c r="F32" s="715">
        <v>0</v>
      </c>
      <c r="G32" s="715">
        <v>3</v>
      </c>
      <c r="H32" s="715">
        <v>0</v>
      </c>
      <c r="I32" s="715">
        <v>0</v>
      </c>
      <c r="J32" s="715">
        <v>0</v>
      </c>
      <c r="K32" s="715">
        <v>0</v>
      </c>
      <c r="L32" s="715">
        <v>0</v>
      </c>
      <c r="M32" s="715">
        <v>0</v>
      </c>
      <c r="N32" s="715">
        <v>0</v>
      </c>
      <c r="O32" s="715">
        <v>0</v>
      </c>
      <c r="P32" s="715">
        <v>0</v>
      </c>
      <c r="Q32" s="715">
        <v>0</v>
      </c>
      <c r="R32" s="716">
        <v>4</v>
      </c>
      <c r="S32" s="666" t="s">
        <v>648</v>
      </c>
      <c r="T32" s="717">
        <v>41.1</v>
      </c>
      <c r="U32" s="717">
        <v>0</v>
      </c>
      <c r="V32" s="717">
        <v>90</v>
      </c>
      <c r="W32" s="717">
        <v>0</v>
      </c>
      <c r="X32" s="717">
        <v>0</v>
      </c>
      <c r="Y32" s="717">
        <v>0</v>
      </c>
      <c r="Z32" s="717">
        <v>0</v>
      </c>
      <c r="AA32" s="717">
        <v>0</v>
      </c>
      <c r="AB32" s="717">
        <v>0</v>
      </c>
      <c r="AC32" s="717">
        <v>0</v>
      </c>
      <c r="AD32" s="717">
        <v>0</v>
      </c>
      <c r="AE32" s="717">
        <v>0</v>
      </c>
      <c r="AF32" s="717">
        <v>0</v>
      </c>
      <c r="AG32" s="1996">
        <v>131.1</v>
      </c>
    </row>
    <row r="33" spans="1:33" ht="12.75" customHeight="1" x14ac:dyDescent="0.2">
      <c r="A33" s="666" t="s">
        <v>2002</v>
      </c>
      <c r="B33" s="666" t="s">
        <v>35</v>
      </c>
      <c r="C33" s="666"/>
      <c r="D33" s="666"/>
      <c r="E33" s="715">
        <v>32</v>
      </c>
      <c r="F33" s="715">
        <v>0</v>
      </c>
      <c r="G33" s="715">
        <v>9</v>
      </c>
      <c r="H33" s="715">
        <v>0</v>
      </c>
      <c r="I33" s="715">
        <v>0</v>
      </c>
      <c r="J33" s="715">
        <v>0</v>
      </c>
      <c r="K33" s="715">
        <v>7</v>
      </c>
      <c r="L33" s="715">
        <v>0</v>
      </c>
      <c r="M33" s="715">
        <v>0</v>
      </c>
      <c r="N33" s="715">
        <v>0</v>
      </c>
      <c r="O33" s="715">
        <v>0</v>
      </c>
      <c r="P33" s="715">
        <v>0</v>
      </c>
      <c r="Q33" s="715">
        <v>0</v>
      </c>
      <c r="R33" s="716">
        <v>34</v>
      </c>
      <c r="S33" s="666" t="s">
        <v>649</v>
      </c>
      <c r="T33" s="717">
        <v>1111.72</v>
      </c>
      <c r="U33" s="717">
        <v>0</v>
      </c>
      <c r="V33" s="717">
        <v>270</v>
      </c>
      <c r="W33" s="717">
        <v>0</v>
      </c>
      <c r="X33" s="717">
        <v>0</v>
      </c>
      <c r="Y33" s="717">
        <v>0</v>
      </c>
      <c r="Z33" s="717">
        <v>321.54000000000002</v>
      </c>
      <c r="AA33" s="717">
        <v>0</v>
      </c>
      <c r="AB33" s="717">
        <v>0</v>
      </c>
      <c r="AC33" s="717">
        <v>0</v>
      </c>
      <c r="AD33" s="717">
        <v>0</v>
      </c>
      <c r="AE33" s="717">
        <v>0</v>
      </c>
      <c r="AF33" s="717">
        <v>0</v>
      </c>
      <c r="AG33" s="1996">
        <v>1060.18</v>
      </c>
    </row>
    <row r="34" spans="1:33" x14ac:dyDescent="0.2">
      <c r="A34" s="666" t="s">
        <v>2003</v>
      </c>
      <c r="B34" s="666" t="s">
        <v>35</v>
      </c>
      <c r="C34" s="666"/>
      <c r="D34" s="666"/>
      <c r="E34" s="715">
        <v>55</v>
      </c>
      <c r="F34" s="715">
        <v>0</v>
      </c>
      <c r="G34" s="715">
        <v>20</v>
      </c>
      <c r="H34" s="715">
        <v>0</v>
      </c>
      <c r="I34" s="715">
        <v>0</v>
      </c>
      <c r="J34" s="715">
        <v>0</v>
      </c>
      <c r="K34" s="715">
        <v>0</v>
      </c>
      <c r="L34" s="715">
        <v>0</v>
      </c>
      <c r="M34" s="715">
        <v>0</v>
      </c>
      <c r="N34" s="715">
        <v>0</v>
      </c>
      <c r="O34" s="715">
        <v>0</v>
      </c>
      <c r="P34" s="715">
        <v>0</v>
      </c>
      <c r="Q34" s="715">
        <v>0</v>
      </c>
      <c r="R34" s="716">
        <v>75</v>
      </c>
      <c r="S34" s="666" t="s">
        <v>650</v>
      </c>
      <c r="T34" s="717">
        <v>2509.58</v>
      </c>
      <c r="U34" s="717">
        <v>0</v>
      </c>
      <c r="V34" s="717">
        <v>600</v>
      </c>
      <c r="W34" s="717">
        <v>0</v>
      </c>
      <c r="X34" s="717">
        <v>0</v>
      </c>
      <c r="Y34" s="717">
        <v>0</v>
      </c>
      <c r="Z34" s="717">
        <v>540.5</v>
      </c>
      <c r="AA34" s="717">
        <v>0</v>
      </c>
      <c r="AB34" s="717">
        <v>0</v>
      </c>
      <c r="AC34" s="717">
        <v>0</v>
      </c>
      <c r="AD34" s="717">
        <v>0</v>
      </c>
      <c r="AE34" s="717">
        <v>0</v>
      </c>
      <c r="AF34" s="717">
        <v>0</v>
      </c>
      <c r="AG34" s="1996">
        <v>2569.08</v>
      </c>
    </row>
    <row r="35" spans="1:33" x14ac:dyDescent="0.2">
      <c r="A35" s="666" t="s">
        <v>2004</v>
      </c>
      <c r="B35" s="666" t="s">
        <v>35</v>
      </c>
      <c r="C35" s="666"/>
      <c r="D35" s="666"/>
      <c r="E35" s="715">
        <v>2</v>
      </c>
      <c r="F35" s="715">
        <v>0</v>
      </c>
      <c r="G35" s="715">
        <v>1</v>
      </c>
      <c r="H35" s="715">
        <v>0</v>
      </c>
      <c r="I35" s="715">
        <v>0</v>
      </c>
      <c r="J35" s="715">
        <v>0</v>
      </c>
      <c r="K35" s="715">
        <v>0</v>
      </c>
      <c r="L35" s="715">
        <v>0</v>
      </c>
      <c r="M35" s="715">
        <v>0</v>
      </c>
      <c r="N35" s="715">
        <v>0</v>
      </c>
      <c r="O35" s="715">
        <v>0</v>
      </c>
      <c r="P35" s="715">
        <v>0</v>
      </c>
      <c r="Q35" s="715">
        <v>0</v>
      </c>
      <c r="R35" s="716">
        <v>3</v>
      </c>
      <c r="S35" s="666" t="s">
        <v>651</v>
      </c>
      <c r="T35" s="717">
        <v>139.65</v>
      </c>
      <c r="U35" s="717">
        <v>0</v>
      </c>
      <c r="V35" s="717">
        <v>30</v>
      </c>
      <c r="W35" s="717">
        <v>0</v>
      </c>
      <c r="X35" s="717">
        <v>0</v>
      </c>
      <c r="Y35" s="717">
        <v>0</v>
      </c>
      <c r="Z35" s="717">
        <v>33.67</v>
      </c>
      <c r="AA35" s="717">
        <v>0</v>
      </c>
      <c r="AB35" s="717">
        <v>0</v>
      </c>
      <c r="AC35" s="717">
        <v>0</v>
      </c>
      <c r="AD35" s="717">
        <v>0</v>
      </c>
      <c r="AE35" s="717">
        <v>0</v>
      </c>
      <c r="AF35" s="717">
        <v>0</v>
      </c>
      <c r="AG35" s="1996">
        <v>135.97999999999999</v>
      </c>
    </row>
    <row r="36" spans="1:33" x14ac:dyDescent="0.2">
      <c r="A36" s="666" t="s">
        <v>2005</v>
      </c>
      <c r="B36" s="716">
        <v>2241</v>
      </c>
      <c r="C36" s="716">
        <v>200</v>
      </c>
      <c r="D36" s="716">
        <v>459</v>
      </c>
      <c r="E36" s="717">
        <v>0</v>
      </c>
      <c r="F36" s="716">
        <v>0</v>
      </c>
      <c r="G36" s="716">
        <v>0</v>
      </c>
      <c r="H36" s="716">
        <v>735</v>
      </c>
      <c r="I36" s="716">
        <v>0</v>
      </c>
      <c r="J36" s="715">
        <v>0</v>
      </c>
      <c r="K36" s="715">
        <v>0</v>
      </c>
      <c r="L36" s="716">
        <v>0</v>
      </c>
      <c r="M36" s="715">
        <v>0</v>
      </c>
      <c r="N36" s="715">
        <v>0</v>
      </c>
      <c r="O36" s="716">
        <v>2165</v>
      </c>
      <c r="P36" s="666" t="s">
        <v>2006</v>
      </c>
      <c r="Q36" s="717">
        <v>71915.58</v>
      </c>
      <c r="R36" s="717">
        <v>5000</v>
      </c>
      <c r="S36" s="717">
        <v>13770</v>
      </c>
      <c r="T36" s="717">
        <v>0</v>
      </c>
      <c r="U36" s="717">
        <v>0</v>
      </c>
      <c r="V36" s="717">
        <v>0</v>
      </c>
      <c r="W36" s="717">
        <v>22462.720000000001</v>
      </c>
      <c r="X36" s="717">
        <v>0</v>
      </c>
      <c r="Y36" s="717">
        <v>0</v>
      </c>
      <c r="Z36" s="717">
        <v>0</v>
      </c>
      <c r="AA36" s="717">
        <v>0</v>
      </c>
      <c r="AB36" s="717">
        <v>0</v>
      </c>
      <c r="AC36" s="717">
        <v>0</v>
      </c>
      <c r="AD36" s="717">
        <v>68222.86</v>
      </c>
      <c r="AE36" s="666"/>
      <c r="AF36" s="666"/>
      <c r="AG36" s="666"/>
    </row>
    <row r="37" spans="1:33" x14ac:dyDescent="0.2">
      <c r="A37" s="715">
        <v>2241</v>
      </c>
      <c r="B37" s="715">
        <v>200</v>
      </c>
      <c r="C37" s="715">
        <v>459</v>
      </c>
      <c r="D37" s="715">
        <v>0</v>
      </c>
      <c r="E37" s="715">
        <v>0</v>
      </c>
      <c r="F37" s="715">
        <v>0</v>
      </c>
      <c r="G37" s="715">
        <v>735</v>
      </c>
      <c r="H37" s="715">
        <v>0</v>
      </c>
      <c r="I37" s="715">
        <v>0</v>
      </c>
      <c r="J37" s="715">
        <v>0</v>
      </c>
      <c r="K37" s="715">
        <v>0</v>
      </c>
      <c r="L37" s="715">
        <v>0</v>
      </c>
      <c r="M37" s="715">
        <v>0</v>
      </c>
      <c r="N37" s="716">
        <v>2165</v>
      </c>
      <c r="O37" s="666" t="s">
        <v>2007</v>
      </c>
      <c r="P37" s="717">
        <v>71915.58</v>
      </c>
      <c r="Q37" s="717">
        <v>5000</v>
      </c>
      <c r="R37" s="717">
        <v>13770</v>
      </c>
      <c r="S37" s="717">
        <v>0</v>
      </c>
      <c r="T37" s="717">
        <v>0</v>
      </c>
      <c r="U37" s="717">
        <v>0</v>
      </c>
      <c r="V37" s="717">
        <v>22462.720000000001</v>
      </c>
      <c r="W37" s="717">
        <v>0</v>
      </c>
      <c r="X37" s="717">
        <v>0</v>
      </c>
      <c r="Y37" s="717">
        <v>0</v>
      </c>
      <c r="Z37" s="717">
        <v>0</v>
      </c>
      <c r="AA37" s="717">
        <v>0</v>
      </c>
      <c r="AB37" s="717">
        <v>0</v>
      </c>
      <c r="AC37" s="717">
        <v>68222.86</v>
      </c>
      <c r="AD37" s="666"/>
      <c r="AE37" s="666"/>
      <c r="AF37" s="666"/>
      <c r="AG37" s="666"/>
    </row>
    <row r="38" spans="1:33" ht="12.75" customHeight="1" x14ac:dyDescent="0.2">
      <c r="A38" s="666"/>
      <c r="B38" s="666"/>
      <c r="C38" s="666"/>
      <c r="D38" s="666"/>
      <c r="E38" s="666"/>
      <c r="F38" s="666"/>
      <c r="G38" s="666"/>
      <c r="H38" s="666"/>
      <c r="I38" s="666"/>
      <c r="J38" s="666"/>
      <c r="K38" s="666"/>
      <c r="L38" s="666"/>
      <c r="M38" s="666"/>
      <c r="N38" s="666"/>
      <c r="O38" s="666"/>
      <c r="P38" s="666"/>
      <c r="Q38" s="666"/>
      <c r="R38" s="666"/>
      <c r="S38" s="666"/>
      <c r="T38" s="666"/>
      <c r="U38" s="666"/>
      <c r="V38" s="666"/>
      <c r="W38" s="666"/>
      <c r="X38" s="666"/>
      <c r="Y38" s="666"/>
      <c r="Z38" s="666"/>
      <c r="AA38" s="666"/>
      <c r="AB38" s="666"/>
      <c r="AC38" s="666"/>
      <c r="AD38" s="666"/>
      <c r="AE38" s="666"/>
      <c r="AF38" s="666"/>
      <c r="AG38" s="666"/>
    </row>
    <row r="39" spans="1:33" x14ac:dyDescent="0.2">
      <c r="A39" s="666"/>
      <c r="B39" s="666"/>
      <c r="C39" s="666"/>
      <c r="D39" s="666"/>
      <c r="E39" s="666"/>
      <c r="F39" s="666"/>
      <c r="G39" s="666"/>
      <c r="H39" s="666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Y39" s="666"/>
      <c r="Z39" s="666"/>
      <c r="AA39" s="666"/>
      <c r="AB39" s="666"/>
      <c r="AC39" s="666"/>
      <c r="AD39" s="666"/>
      <c r="AE39" s="666"/>
      <c r="AF39" s="666"/>
      <c r="AG39" s="666"/>
    </row>
    <row r="40" spans="1:33" x14ac:dyDescent="0.2">
      <c r="A40" s="666"/>
      <c r="B40" s="666"/>
      <c r="C40" s="666"/>
      <c r="D40" s="666"/>
      <c r="E40" s="666"/>
      <c r="F40" s="666"/>
      <c r="G40" s="666"/>
      <c r="H40" s="666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Y40" s="666"/>
      <c r="Z40" s="666"/>
      <c r="AA40" s="666"/>
      <c r="AB40" s="666"/>
      <c r="AC40" s="666"/>
      <c r="AD40" s="666"/>
      <c r="AE40" s="666"/>
      <c r="AF40" s="666"/>
      <c r="AG40" s="666"/>
    </row>
    <row r="41" spans="1:33" x14ac:dyDescent="0.2">
      <c r="A41" s="666"/>
      <c r="B41" s="666"/>
      <c r="C41" s="666"/>
      <c r="D41" s="666"/>
      <c r="E41" s="666"/>
      <c r="F41" s="666"/>
      <c r="G41" s="666"/>
      <c r="H41" s="666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Y41" s="666"/>
      <c r="Z41" s="666"/>
      <c r="AA41" s="666"/>
      <c r="AB41" s="666"/>
      <c r="AC41" s="666"/>
      <c r="AD41" s="666"/>
      <c r="AE41" s="666"/>
      <c r="AF41" s="666"/>
      <c r="AG41" s="666"/>
    </row>
    <row r="42" spans="1:33" x14ac:dyDescent="0.2">
      <c r="A42" s="666"/>
      <c r="B42" s="666"/>
      <c r="C42" s="666"/>
      <c r="D42" s="666"/>
      <c r="E42" s="666"/>
      <c r="F42" s="666"/>
      <c r="G42" s="666"/>
      <c r="H42" s="666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Y42" s="666"/>
      <c r="Z42" s="666"/>
      <c r="AA42" s="666"/>
      <c r="AB42" s="666"/>
      <c r="AC42" s="666"/>
      <c r="AD42" s="666"/>
      <c r="AE42" s="666"/>
      <c r="AF42" s="666"/>
      <c r="AG42" s="666"/>
    </row>
    <row r="43" spans="1:33" ht="12.75" customHeight="1" x14ac:dyDescent="0.2">
      <c r="A43" s="666"/>
      <c r="B43" s="666"/>
      <c r="C43" s="666"/>
      <c r="D43" s="666"/>
      <c r="E43" s="666"/>
      <c r="F43" s="666"/>
      <c r="G43" s="666"/>
      <c r="H43" s="666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Y43" s="666"/>
      <c r="Z43" s="666"/>
      <c r="AA43" s="666"/>
      <c r="AB43" s="666"/>
      <c r="AC43" s="666"/>
      <c r="AD43" s="666"/>
      <c r="AE43" s="666"/>
      <c r="AF43" s="666"/>
      <c r="AG43" s="666"/>
    </row>
    <row r="44" spans="1:33" x14ac:dyDescent="0.2">
      <c r="A44" s="666"/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666"/>
      <c r="AB44" s="666"/>
      <c r="AC44" s="666"/>
      <c r="AD44" s="666"/>
      <c r="AE44" s="666"/>
      <c r="AF44" s="666"/>
      <c r="AG44" s="666"/>
    </row>
    <row r="45" spans="1:33" x14ac:dyDescent="0.2">
      <c r="A45" s="666"/>
      <c r="B45" s="666"/>
      <c r="C45" s="666"/>
      <c r="D45" s="666"/>
      <c r="E45" s="666"/>
      <c r="F45" s="666"/>
      <c r="G45" s="666"/>
      <c r="H45" s="666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Y45" s="666"/>
      <c r="Z45" s="666"/>
      <c r="AA45" s="666"/>
      <c r="AB45" s="666"/>
      <c r="AC45" s="666"/>
      <c r="AD45" s="666"/>
      <c r="AE45" s="666"/>
      <c r="AF45" s="666"/>
      <c r="AG45" s="666"/>
    </row>
    <row r="46" spans="1:33" x14ac:dyDescent="0.2">
      <c r="A46" s="666"/>
      <c r="B46" s="666"/>
      <c r="C46" s="666"/>
      <c r="D46" s="666"/>
      <c r="E46" s="666"/>
      <c r="F46" s="666"/>
      <c r="G46" s="666"/>
      <c r="H46" s="66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Y46" s="666"/>
      <c r="Z46" s="666"/>
      <c r="AA46" s="666"/>
      <c r="AB46" s="666"/>
      <c r="AC46" s="666"/>
      <c r="AD46" s="666"/>
      <c r="AE46" s="666"/>
      <c r="AF46" s="666"/>
      <c r="AG46" s="666"/>
    </row>
    <row r="47" spans="1:33" x14ac:dyDescent="0.2">
      <c r="A47" s="666"/>
      <c r="B47" s="666"/>
      <c r="C47" s="666"/>
      <c r="D47" s="666"/>
      <c r="E47" s="666"/>
      <c r="F47" s="666"/>
      <c r="G47" s="666"/>
      <c r="H47" s="666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Y47" s="666"/>
      <c r="Z47" s="666"/>
      <c r="AA47" s="666"/>
      <c r="AB47" s="666"/>
      <c r="AC47" s="666"/>
      <c r="AD47" s="666"/>
      <c r="AE47" s="666"/>
      <c r="AF47" s="666"/>
      <c r="AG47" s="666"/>
    </row>
    <row r="48" spans="1:33" ht="12.75" customHeight="1" x14ac:dyDescent="0.2">
      <c r="A48" s="666"/>
      <c r="B48" s="666"/>
      <c r="C48" s="666"/>
      <c r="D48" s="666"/>
      <c r="E48" s="666"/>
      <c r="F48" s="666"/>
      <c r="G48" s="666"/>
      <c r="H48" s="666"/>
      <c r="I48" s="666"/>
      <c r="J48" s="666"/>
      <c r="K48" s="666"/>
      <c r="L48" s="666"/>
      <c r="M48" s="666"/>
      <c r="N48" s="666"/>
      <c r="O48" s="666"/>
      <c r="P48" s="666"/>
      <c r="Q48" s="666"/>
      <c r="R48" s="666"/>
      <c r="S48" s="666"/>
      <c r="T48" s="666"/>
      <c r="U48" s="666"/>
      <c r="V48" s="666"/>
      <c r="W48" s="666"/>
      <c r="X48" s="666"/>
      <c r="Y48" s="666"/>
      <c r="Z48" s="666"/>
      <c r="AA48" s="666"/>
      <c r="AB48" s="666"/>
      <c r="AC48" s="666"/>
      <c r="AD48" s="666"/>
      <c r="AE48" s="666"/>
      <c r="AF48" s="666"/>
      <c r="AG48" s="666"/>
    </row>
    <row r="49" spans="1:33" x14ac:dyDescent="0.2">
      <c r="A49" s="666"/>
      <c r="B49" s="666"/>
      <c r="C49" s="666"/>
      <c r="D49" s="666"/>
      <c r="E49" s="666"/>
      <c r="F49" s="666"/>
      <c r="G49" s="666"/>
      <c r="H49" s="666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Y49" s="666"/>
      <c r="Z49" s="666"/>
      <c r="AA49" s="666"/>
      <c r="AB49" s="666"/>
      <c r="AC49" s="666"/>
      <c r="AD49" s="666"/>
      <c r="AE49" s="666"/>
      <c r="AF49" s="666"/>
      <c r="AG49" s="666"/>
    </row>
    <row r="50" spans="1:33" x14ac:dyDescent="0.2">
      <c r="A50" s="666"/>
      <c r="B50" s="666"/>
      <c r="C50" s="666"/>
      <c r="D50" s="666"/>
      <c r="E50" s="666"/>
      <c r="F50" s="666"/>
      <c r="G50" s="666"/>
      <c r="H50" s="666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Y50" s="666"/>
      <c r="Z50" s="666"/>
      <c r="AA50" s="666"/>
      <c r="AB50" s="666"/>
      <c r="AC50" s="666"/>
      <c r="AD50" s="666"/>
      <c r="AE50" s="666"/>
      <c r="AF50" s="666"/>
      <c r="AG50" s="666"/>
    </row>
    <row r="51" spans="1:33" x14ac:dyDescent="0.2">
      <c r="A51" s="666"/>
      <c r="B51" s="666"/>
      <c r="C51" s="666"/>
      <c r="D51" s="666"/>
      <c r="E51" s="666"/>
      <c r="F51" s="666"/>
      <c r="G51" s="666"/>
      <c r="H51" s="666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Y51" s="666"/>
      <c r="Z51" s="666"/>
      <c r="AA51" s="666"/>
      <c r="AB51" s="666"/>
      <c r="AC51" s="666"/>
      <c r="AD51" s="666"/>
      <c r="AE51" s="666"/>
      <c r="AF51" s="666"/>
      <c r="AG51" s="666"/>
    </row>
    <row r="52" spans="1:33" x14ac:dyDescent="0.2">
      <c r="A52" s="666"/>
      <c r="B52" s="666"/>
      <c r="C52" s="666"/>
      <c r="D52" s="666"/>
      <c r="E52" s="666"/>
      <c r="F52" s="666"/>
      <c r="G52" s="666"/>
      <c r="H52" s="666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Y52" s="666"/>
      <c r="Z52" s="666"/>
      <c r="AA52" s="666"/>
      <c r="AB52" s="666"/>
      <c r="AC52" s="666"/>
      <c r="AD52" s="666"/>
      <c r="AE52" s="666"/>
      <c r="AF52" s="666"/>
      <c r="AG52" s="666"/>
    </row>
    <row r="53" spans="1:33" ht="12.75" customHeight="1" x14ac:dyDescent="0.2">
      <c r="A53" s="666"/>
      <c r="B53" s="666"/>
      <c r="C53" s="666"/>
      <c r="D53" s="666"/>
      <c r="E53" s="666"/>
      <c r="F53" s="666"/>
      <c r="G53" s="666"/>
      <c r="H53" s="666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Y53" s="666"/>
      <c r="Z53" s="666"/>
      <c r="AA53" s="666"/>
      <c r="AB53" s="666"/>
      <c r="AC53" s="666"/>
      <c r="AD53" s="666"/>
      <c r="AE53" s="666"/>
      <c r="AF53" s="666"/>
      <c r="AG53" s="666"/>
    </row>
    <row r="54" spans="1:33" x14ac:dyDescent="0.2">
      <c r="A54" s="666"/>
      <c r="B54" s="666"/>
      <c r="C54" s="666"/>
      <c r="D54" s="666"/>
      <c r="E54" s="666"/>
      <c r="F54" s="666"/>
      <c r="G54" s="666"/>
      <c r="H54" s="666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Y54" s="666"/>
      <c r="Z54" s="666"/>
      <c r="AA54" s="666"/>
      <c r="AB54" s="666"/>
      <c r="AC54" s="666"/>
      <c r="AD54" s="666"/>
      <c r="AE54" s="666"/>
      <c r="AF54" s="666"/>
      <c r="AG54" s="666"/>
    </row>
    <row r="55" spans="1:33" x14ac:dyDescent="0.2">
      <c r="A55" s="666"/>
      <c r="B55" s="666"/>
      <c r="C55" s="666"/>
      <c r="D55" s="666"/>
      <c r="E55" s="666"/>
      <c r="F55" s="666"/>
      <c r="G55" s="666"/>
      <c r="H55" s="666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Y55" s="666"/>
      <c r="Z55" s="666"/>
      <c r="AA55" s="666"/>
      <c r="AB55" s="666"/>
      <c r="AC55" s="666"/>
      <c r="AD55" s="666"/>
      <c r="AE55" s="666"/>
      <c r="AF55" s="666"/>
      <c r="AG55" s="666"/>
    </row>
    <row r="56" spans="1:33" x14ac:dyDescent="0.2">
      <c r="A56" s="666"/>
      <c r="B56" s="666"/>
      <c r="C56" s="666"/>
      <c r="D56" s="666"/>
      <c r="E56" s="666"/>
      <c r="F56" s="666"/>
      <c r="G56" s="666"/>
      <c r="H56" s="666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Y56" s="666"/>
      <c r="Z56" s="666"/>
      <c r="AA56" s="666"/>
      <c r="AB56" s="666"/>
      <c r="AC56" s="666"/>
      <c r="AD56" s="666"/>
      <c r="AE56" s="666"/>
      <c r="AF56" s="666"/>
      <c r="AG56" s="666"/>
    </row>
    <row r="57" spans="1:33" x14ac:dyDescent="0.2">
      <c r="A57" s="666"/>
      <c r="B57" s="666"/>
      <c r="C57" s="666"/>
      <c r="D57" s="666"/>
      <c r="E57" s="666"/>
      <c r="F57" s="666"/>
      <c r="G57" s="666"/>
      <c r="H57" s="666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Y57" s="666"/>
      <c r="Z57" s="666"/>
      <c r="AA57" s="666"/>
      <c r="AB57" s="666"/>
      <c r="AC57" s="666"/>
      <c r="AD57" s="666"/>
      <c r="AE57" s="666"/>
      <c r="AF57" s="666"/>
      <c r="AG57" s="666"/>
    </row>
    <row r="58" spans="1:33" ht="12.75" customHeight="1" x14ac:dyDescent="0.2">
      <c r="A58" s="666"/>
      <c r="B58" s="666"/>
      <c r="C58" s="666"/>
      <c r="D58" s="666"/>
      <c r="E58" s="666"/>
      <c r="F58" s="666"/>
      <c r="G58" s="666"/>
      <c r="H58" s="666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Y58" s="666"/>
      <c r="Z58" s="666"/>
      <c r="AA58" s="666"/>
      <c r="AB58" s="666"/>
      <c r="AC58" s="666"/>
      <c r="AD58" s="666"/>
      <c r="AE58" s="666"/>
      <c r="AF58" s="666"/>
      <c r="AG58" s="666"/>
    </row>
    <row r="59" spans="1:33" x14ac:dyDescent="0.2">
      <c r="A59" s="666"/>
      <c r="B59" s="666"/>
      <c r="C59" s="666"/>
      <c r="D59" s="666"/>
      <c r="E59" s="666"/>
      <c r="F59" s="666"/>
      <c r="G59" s="666"/>
      <c r="H59" s="666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Y59" s="666"/>
      <c r="Z59" s="666"/>
      <c r="AA59" s="666"/>
      <c r="AB59" s="666"/>
      <c r="AC59" s="666"/>
      <c r="AD59" s="666"/>
      <c r="AE59" s="666"/>
      <c r="AF59" s="666"/>
      <c r="AG59" s="666"/>
    </row>
    <row r="60" spans="1:33" x14ac:dyDescent="0.2">
      <c r="A60" s="666"/>
      <c r="B60" s="666"/>
      <c r="C60" s="666"/>
      <c r="D60" s="666"/>
      <c r="E60" s="666"/>
      <c r="F60" s="666"/>
      <c r="G60" s="666"/>
      <c r="H60" s="666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Y60" s="666"/>
      <c r="Z60" s="666"/>
      <c r="AA60" s="666"/>
      <c r="AB60" s="666"/>
      <c r="AC60" s="666"/>
      <c r="AD60" s="666"/>
      <c r="AE60" s="666"/>
      <c r="AF60" s="666"/>
      <c r="AG60" s="666"/>
    </row>
    <row r="61" spans="1:33" x14ac:dyDescent="0.2">
      <c r="A61" s="666"/>
      <c r="B61" s="666"/>
      <c r="C61" s="666"/>
      <c r="D61" s="666"/>
      <c r="E61" s="666"/>
      <c r="F61" s="666"/>
      <c r="G61" s="666"/>
      <c r="H61" s="666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Y61" s="666"/>
      <c r="Z61" s="666"/>
      <c r="AA61" s="666"/>
      <c r="AB61" s="666"/>
      <c r="AC61" s="666"/>
      <c r="AD61" s="666"/>
      <c r="AE61" s="666"/>
      <c r="AF61" s="666"/>
      <c r="AG61" s="666"/>
    </row>
    <row r="62" spans="1:33" x14ac:dyDescent="0.2">
      <c r="A62" s="666"/>
      <c r="B62" s="666"/>
      <c r="C62" s="666"/>
      <c r="D62" s="666"/>
      <c r="E62" s="666"/>
      <c r="F62" s="666"/>
      <c r="G62" s="666"/>
      <c r="H62" s="666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Y62" s="666"/>
      <c r="Z62" s="666"/>
      <c r="AA62" s="666"/>
      <c r="AB62" s="666"/>
      <c r="AC62" s="666"/>
      <c r="AD62" s="666"/>
      <c r="AE62" s="666"/>
      <c r="AF62" s="666"/>
      <c r="AG62" s="666"/>
    </row>
    <row r="63" spans="1:33" ht="12.75" customHeight="1" x14ac:dyDescent="0.2">
      <c r="A63" s="666"/>
      <c r="B63" s="666"/>
      <c r="C63" s="666"/>
      <c r="D63" s="666"/>
      <c r="E63" s="666"/>
      <c r="F63" s="666"/>
      <c r="G63" s="666"/>
      <c r="H63" s="666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Y63" s="666"/>
      <c r="Z63" s="666"/>
      <c r="AA63" s="666"/>
      <c r="AB63" s="666"/>
      <c r="AC63" s="666"/>
      <c r="AD63" s="666"/>
      <c r="AE63" s="666"/>
      <c r="AF63" s="666"/>
      <c r="AG63" s="666"/>
    </row>
    <row r="64" spans="1:33" x14ac:dyDescent="0.2">
      <c r="A64" s="666"/>
      <c r="B64" s="666"/>
      <c r="C64" s="666"/>
      <c r="D64" s="666"/>
      <c r="E64" s="666"/>
      <c r="F64" s="666"/>
      <c r="G64" s="666"/>
      <c r="H64" s="666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Y64" s="666"/>
      <c r="Z64" s="666"/>
      <c r="AA64" s="666"/>
      <c r="AB64" s="666"/>
      <c r="AC64" s="666"/>
      <c r="AD64" s="666"/>
      <c r="AE64" s="666"/>
      <c r="AF64" s="666"/>
      <c r="AG64" s="666"/>
    </row>
    <row r="65" spans="1:33" x14ac:dyDescent="0.2">
      <c r="A65" s="763"/>
      <c r="B65" s="666"/>
      <c r="C65" s="666"/>
      <c r="D65" s="666"/>
      <c r="E65" s="666"/>
      <c r="F65" s="666"/>
      <c r="G65" s="666"/>
      <c r="H65" s="666"/>
      <c r="I65" s="666"/>
      <c r="J65" s="666"/>
      <c r="K65" s="666"/>
      <c r="L65" s="666"/>
      <c r="M65" s="666"/>
      <c r="N65" s="666"/>
      <c r="O65" s="666"/>
      <c r="P65" s="666"/>
      <c r="Q65" s="666"/>
      <c r="R65" s="666"/>
      <c r="S65" s="666"/>
      <c r="T65" s="666"/>
      <c r="U65" s="666"/>
      <c r="V65" s="666"/>
      <c r="W65" s="666"/>
      <c r="X65" s="666"/>
      <c r="Y65" s="666"/>
      <c r="Z65" s="666"/>
      <c r="AA65" s="666"/>
      <c r="AB65" s="666"/>
      <c r="AC65" s="666"/>
      <c r="AD65" s="666"/>
      <c r="AE65" s="666"/>
      <c r="AF65" s="666"/>
      <c r="AG65" s="666"/>
    </row>
    <row r="66" spans="1:33" x14ac:dyDescent="0.2">
      <c r="A66" s="666" t="s">
        <v>1971</v>
      </c>
      <c r="B66" s="666" t="s">
        <v>1972</v>
      </c>
      <c r="C66" s="666" t="s">
        <v>1973</v>
      </c>
      <c r="D66" s="666" t="s">
        <v>1974</v>
      </c>
      <c r="E66" s="666" t="s">
        <v>1975</v>
      </c>
      <c r="F66" s="666" t="s">
        <v>1976</v>
      </c>
      <c r="G66" s="666" t="s">
        <v>1977</v>
      </c>
      <c r="H66" s="666" t="s">
        <v>1978</v>
      </c>
      <c r="I66" s="666" t="s">
        <v>1973</v>
      </c>
      <c r="J66" s="666" t="s">
        <v>1974</v>
      </c>
      <c r="K66" s="666" t="s">
        <v>1975</v>
      </c>
      <c r="L66" s="666" t="s">
        <v>1979</v>
      </c>
      <c r="M66" s="666" t="s">
        <v>1976</v>
      </c>
      <c r="N66" s="666"/>
      <c r="O66" s="666"/>
      <c r="P66" s="666"/>
      <c r="Q66" s="666"/>
      <c r="R66" s="666"/>
      <c r="S66" s="666"/>
      <c r="T66" s="666"/>
      <c r="U66" s="666"/>
      <c r="V66" s="666"/>
      <c r="W66" s="666"/>
      <c r="X66" s="666"/>
      <c r="Y66" s="666"/>
      <c r="Z66" s="666"/>
      <c r="AA66" s="666"/>
      <c r="AB66" s="666"/>
      <c r="AC66" s="666"/>
      <c r="AD66" s="666"/>
      <c r="AE66" s="666"/>
      <c r="AF66" s="666"/>
      <c r="AG66" s="666"/>
    </row>
    <row r="67" spans="1:33" x14ac:dyDescent="0.2">
      <c r="A67" s="666" t="s">
        <v>2096</v>
      </c>
      <c r="B67" s="666" t="s">
        <v>35</v>
      </c>
      <c r="C67" s="666"/>
      <c r="D67" s="666"/>
      <c r="E67" s="715">
        <v>22</v>
      </c>
      <c r="F67" s="715">
        <v>0</v>
      </c>
      <c r="G67" s="715">
        <v>0</v>
      </c>
      <c r="H67" s="715">
        <v>0</v>
      </c>
      <c r="I67" s="715">
        <v>0</v>
      </c>
      <c r="J67" s="715">
        <v>0</v>
      </c>
      <c r="K67" s="715">
        <v>2</v>
      </c>
      <c r="L67" s="715">
        <v>0</v>
      </c>
      <c r="M67" s="715">
        <v>0</v>
      </c>
      <c r="N67" s="715">
        <v>0</v>
      </c>
      <c r="O67" s="715">
        <v>0</v>
      </c>
      <c r="P67" s="715">
        <v>0</v>
      </c>
      <c r="Q67" s="715">
        <v>0</v>
      </c>
      <c r="R67" s="716">
        <v>20</v>
      </c>
      <c r="S67" s="666" t="s">
        <v>593</v>
      </c>
      <c r="T67" s="717">
        <v>227.66</v>
      </c>
      <c r="U67" s="717">
        <v>0</v>
      </c>
      <c r="V67" s="717">
        <v>0</v>
      </c>
      <c r="W67" s="717">
        <v>0</v>
      </c>
      <c r="X67" s="717">
        <v>0</v>
      </c>
      <c r="Y67" s="717">
        <v>0</v>
      </c>
      <c r="Z67" s="717">
        <v>28.01</v>
      </c>
      <c r="AA67" s="717">
        <v>0</v>
      </c>
      <c r="AB67" s="717">
        <v>0</v>
      </c>
      <c r="AC67" s="717">
        <v>0</v>
      </c>
      <c r="AD67" s="717">
        <v>0</v>
      </c>
      <c r="AE67" s="717">
        <v>0</v>
      </c>
      <c r="AF67" s="717">
        <v>0</v>
      </c>
      <c r="AG67" s="1996">
        <v>199.65</v>
      </c>
    </row>
    <row r="68" spans="1:33" x14ac:dyDescent="0.2">
      <c r="A68" s="666" t="s">
        <v>2097</v>
      </c>
      <c r="B68" s="666" t="s">
        <v>35</v>
      </c>
      <c r="C68" s="666"/>
      <c r="D68" s="666"/>
      <c r="E68" s="715">
        <v>125</v>
      </c>
      <c r="F68" s="715">
        <v>0</v>
      </c>
      <c r="G68" s="715">
        <v>0</v>
      </c>
      <c r="H68" s="715">
        <v>0</v>
      </c>
      <c r="I68" s="715">
        <v>0</v>
      </c>
      <c r="J68" s="715">
        <v>0</v>
      </c>
      <c r="K68" s="715">
        <v>34</v>
      </c>
      <c r="L68" s="715">
        <v>0</v>
      </c>
      <c r="M68" s="715">
        <v>0</v>
      </c>
      <c r="N68" s="715">
        <v>0</v>
      </c>
      <c r="O68" s="715">
        <v>0</v>
      </c>
      <c r="P68" s="715">
        <v>0</v>
      </c>
      <c r="Q68" s="715">
        <v>0</v>
      </c>
      <c r="R68" s="716">
        <v>91</v>
      </c>
      <c r="S68" s="666" t="s">
        <v>1346</v>
      </c>
      <c r="T68" s="717">
        <v>2679.55</v>
      </c>
      <c r="U68" s="717">
        <v>0</v>
      </c>
      <c r="V68" s="717">
        <v>0</v>
      </c>
      <c r="W68" s="717">
        <v>0</v>
      </c>
      <c r="X68" s="717">
        <v>0</v>
      </c>
      <c r="Y68" s="717">
        <v>0</v>
      </c>
      <c r="Z68" s="717">
        <v>757.2</v>
      </c>
      <c r="AA68" s="717">
        <v>0</v>
      </c>
      <c r="AB68" s="717">
        <v>0</v>
      </c>
      <c r="AC68" s="717">
        <v>0</v>
      </c>
      <c r="AD68" s="717">
        <v>0</v>
      </c>
      <c r="AE68" s="717">
        <v>0</v>
      </c>
      <c r="AF68" s="717">
        <v>0</v>
      </c>
      <c r="AG68" s="1996">
        <v>1922.3500000000001</v>
      </c>
    </row>
    <row r="69" spans="1:33" x14ac:dyDescent="0.2">
      <c r="A69" s="666" t="s">
        <v>2227</v>
      </c>
      <c r="B69" s="666" t="s">
        <v>35</v>
      </c>
      <c r="C69" s="666"/>
      <c r="D69" s="666"/>
      <c r="E69" s="715">
        <v>5</v>
      </c>
      <c r="F69" s="715">
        <v>0</v>
      </c>
      <c r="G69" s="715">
        <v>0</v>
      </c>
      <c r="H69" s="715">
        <v>0</v>
      </c>
      <c r="I69" s="715">
        <v>0</v>
      </c>
      <c r="J69" s="715">
        <v>0</v>
      </c>
      <c r="K69" s="715">
        <v>0</v>
      </c>
      <c r="L69" s="715">
        <v>0</v>
      </c>
      <c r="M69" s="715">
        <v>0</v>
      </c>
      <c r="N69" s="715">
        <v>0</v>
      </c>
      <c r="O69" s="715">
        <v>0</v>
      </c>
      <c r="P69" s="715">
        <v>0</v>
      </c>
      <c r="Q69" s="715">
        <v>0</v>
      </c>
      <c r="R69" s="716">
        <v>5</v>
      </c>
      <c r="S69" s="666" t="s">
        <v>1827</v>
      </c>
      <c r="T69" s="717">
        <v>50</v>
      </c>
      <c r="U69" s="717">
        <v>0</v>
      </c>
      <c r="V69" s="717">
        <v>0</v>
      </c>
      <c r="W69" s="717">
        <v>0</v>
      </c>
      <c r="X69" s="717">
        <v>0</v>
      </c>
      <c r="Y69" s="717">
        <v>0</v>
      </c>
      <c r="Z69" s="717">
        <v>0</v>
      </c>
      <c r="AA69" s="717">
        <v>0</v>
      </c>
      <c r="AB69" s="717">
        <v>0</v>
      </c>
      <c r="AC69" s="717">
        <v>0</v>
      </c>
      <c r="AD69" s="717">
        <v>0</v>
      </c>
      <c r="AE69" s="717">
        <v>0</v>
      </c>
      <c r="AF69" s="717">
        <v>0</v>
      </c>
      <c r="AG69" s="1996">
        <v>50</v>
      </c>
    </row>
    <row r="70" spans="1:33" x14ac:dyDescent="0.2">
      <c r="A70" s="666" t="s">
        <v>2098</v>
      </c>
      <c r="B70" s="666" t="s">
        <v>35</v>
      </c>
      <c r="C70" s="666"/>
      <c r="D70" s="666"/>
      <c r="E70" s="715">
        <v>74</v>
      </c>
      <c r="F70" s="715">
        <v>0</v>
      </c>
      <c r="G70" s="715">
        <v>0</v>
      </c>
      <c r="H70" s="715">
        <v>0</v>
      </c>
      <c r="I70" s="715">
        <v>0</v>
      </c>
      <c r="J70" s="715">
        <v>0</v>
      </c>
      <c r="K70" s="715">
        <v>6</v>
      </c>
      <c r="L70" s="715">
        <v>0</v>
      </c>
      <c r="M70" s="715">
        <v>0</v>
      </c>
      <c r="N70" s="715">
        <v>0</v>
      </c>
      <c r="O70" s="715">
        <v>0</v>
      </c>
      <c r="P70" s="715">
        <v>0</v>
      </c>
      <c r="Q70" s="715">
        <v>0</v>
      </c>
      <c r="R70" s="716">
        <v>68</v>
      </c>
      <c r="S70" s="666" t="s">
        <v>602</v>
      </c>
      <c r="T70" s="717">
        <v>1576.1000000000001</v>
      </c>
      <c r="U70" s="717">
        <v>0</v>
      </c>
      <c r="V70" s="717">
        <v>0</v>
      </c>
      <c r="W70" s="717">
        <v>0</v>
      </c>
      <c r="X70" s="717">
        <v>0</v>
      </c>
      <c r="Y70" s="717">
        <v>0</v>
      </c>
      <c r="Z70" s="717">
        <v>193.20000000000002</v>
      </c>
      <c r="AA70" s="717">
        <v>0</v>
      </c>
      <c r="AB70" s="717">
        <v>0</v>
      </c>
      <c r="AC70" s="717">
        <v>0</v>
      </c>
      <c r="AD70" s="717">
        <v>0</v>
      </c>
      <c r="AE70" s="717">
        <v>0</v>
      </c>
      <c r="AF70" s="717">
        <v>0</v>
      </c>
      <c r="AG70" s="1996">
        <v>1382.9</v>
      </c>
    </row>
    <row r="71" spans="1:33" x14ac:dyDescent="0.2">
      <c r="A71" s="666" t="s">
        <v>2099</v>
      </c>
      <c r="B71" s="666" t="s">
        <v>35</v>
      </c>
      <c r="C71" s="666"/>
      <c r="D71" s="666"/>
      <c r="E71" s="715">
        <v>250</v>
      </c>
      <c r="F71" s="715">
        <v>0</v>
      </c>
      <c r="G71" s="715">
        <v>0</v>
      </c>
      <c r="H71" s="715">
        <v>0</v>
      </c>
      <c r="I71" s="715">
        <v>0</v>
      </c>
      <c r="J71" s="715">
        <v>0</v>
      </c>
      <c r="K71" s="715">
        <v>100</v>
      </c>
      <c r="L71" s="715">
        <v>0</v>
      </c>
      <c r="M71" s="715">
        <v>0</v>
      </c>
      <c r="N71" s="715">
        <v>0</v>
      </c>
      <c r="O71" s="715">
        <v>0</v>
      </c>
      <c r="P71" s="715">
        <v>0</v>
      </c>
      <c r="Q71" s="715">
        <v>0</v>
      </c>
      <c r="R71" s="716">
        <v>150</v>
      </c>
      <c r="S71" s="666" t="s">
        <v>969</v>
      </c>
      <c r="T71" s="717">
        <v>5962.28</v>
      </c>
      <c r="U71" s="717">
        <v>0</v>
      </c>
      <c r="V71" s="717">
        <v>0</v>
      </c>
      <c r="W71" s="717">
        <v>0</v>
      </c>
      <c r="X71" s="717">
        <v>0</v>
      </c>
      <c r="Y71" s="717">
        <v>0</v>
      </c>
      <c r="Z71" s="717">
        <v>2019.98</v>
      </c>
      <c r="AA71" s="717">
        <v>0</v>
      </c>
      <c r="AB71" s="717">
        <v>0</v>
      </c>
      <c r="AC71" s="717">
        <v>0</v>
      </c>
      <c r="AD71" s="717">
        <v>0</v>
      </c>
      <c r="AE71" s="717">
        <v>0</v>
      </c>
      <c r="AF71" s="717">
        <v>0</v>
      </c>
      <c r="AG71" s="1996">
        <v>3942.3</v>
      </c>
    </row>
    <row r="72" spans="1:33" x14ac:dyDescent="0.2">
      <c r="A72" s="666" t="s">
        <v>2100</v>
      </c>
      <c r="B72" s="666" t="s">
        <v>35</v>
      </c>
      <c r="C72" s="666"/>
      <c r="D72" s="666"/>
      <c r="E72" s="715">
        <v>5</v>
      </c>
      <c r="F72" s="715">
        <v>0</v>
      </c>
      <c r="G72" s="715">
        <v>0</v>
      </c>
      <c r="H72" s="715">
        <v>0</v>
      </c>
      <c r="I72" s="715">
        <v>0</v>
      </c>
      <c r="J72" s="715">
        <v>0</v>
      </c>
      <c r="K72" s="715">
        <v>0</v>
      </c>
      <c r="L72" s="715">
        <v>0</v>
      </c>
      <c r="M72" s="715">
        <v>0</v>
      </c>
      <c r="N72" s="715">
        <v>0</v>
      </c>
      <c r="O72" s="715">
        <v>0</v>
      </c>
      <c r="P72" s="715">
        <v>0</v>
      </c>
      <c r="Q72" s="715">
        <v>0</v>
      </c>
      <c r="R72" s="716">
        <v>5</v>
      </c>
      <c r="S72" s="666" t="s">
        <v>1370</v>
      </c>
      <c r="T72" s="717">
        <v>115.64</v>
      </c>
      <c r="U72" s="717">
        <v>0</v>
      </c>
      <c r="V72" s="717">
        <v>0</v>
      </c>
      <c r="W72" s="717">
        <v>0</v>
      </c>
      <c r="X72" s="717">
        <v>0</v>
      </c>
      <c r="Y72" s="717">
        <v>0</v>
      </c>
      <c r="Z72" s="717">
        <v>0</v>
      </c>
      <c r="AA72" s="717">
        <v>0</v>
      </c>
      <c r="AB72" s="717">
        <v>0</v>
      </c>
      <c r="AC72" s="717">
        <v>0</v>
      </c>
      <c r="AD72" s="717">
        <v>0</v>
      </c>
      <c r="AE72" s="717">
        <v>0</v>
      </c>
      <c r="AF72" s="717">
        <v>0</v>
      </c>
      <c r="AG72" s="1996">
        <v>115.64</v>
      </c>
    </row>
    <row r="73" spans="1:33" x14ac:dyDescent="0.2">
      <c r="A73" s="666" t="s">
        <v>2101</v>
      </c>
      <c r="B73" s="666" t="s">
        <v>35</v>
      </c>
      <c r="C73" s="666"/>
      <c r="D73" s="666"/>
      <c r="E73" s="715">
        <v>20</v>
      </c>
      <c r="F73" s="715">
        <v>0</v>
      </c>
      <c r="G73" s="715">
        <v>0</v>
      </c>
      <c r="H73" s="715">
        <v>0</v>
      </c>
      <c r="I73" s="715">
        <v>0</v>
      </c>
      <c r="J73" s="715">
        <v>0</v>
      </c>
      <c r="K73" s="715">
        <v>0</v>
      </c>
      <c r="L73" s="715">
        <v>0</v>
      </c>
      <c r="M73" s="715">
        <v>0</v>
      </c>
      <c r="N73" s="715">
        <v>0</v>
      </c>
      <c r="O73" s="715">
        <v>0</v>
      </c>
      <c r="P73" s="715">
        <v>0</v>
      </c>
      <c r="Q73" s="715">
        <v>0</v>
      </c>
      <c r="R73" s="716">
        <v>20</v>
      </c>
      <c r="S73" s="666" t="s">
        <v>1756</v>
      </c>
      <c r="T73" s="717">
        <v>27.400000000000002</v>
      </c>
      <c r="U73" s="717">
        <v>0</v>
      </c>
      <c r="V73" s="717">
        <v>0</v>
      </c>
      <c r="W73" s="717">
        <v>0</v>
      </c>
      <c r="X73" s="717">
        <v>0</v>
      </c>
      <c r="Y73" s="717">
        <v>0</v>
      </c>
      <c r="Z73" s="717">
        <v>0</v>
      </c>
      <c r="AA73" s="717">
        <v>0</v>
      </c>
      <c r="AB73" s="717">
        <v>0</v>
      </c>
      <c r="AC73" s="717">
        <v>0</v>
      </c>
      <c r="AD73" s="717">
        <v>0</v>
      </c>
      <c r="AE73" s="717">
        <v>0</v>
      </c>
      <c r="AF73" s="717">
        <v>0</v>
      </c>
      <c r="AG73" s="1996">
        <v>27.400000000000002</v>
      </c>
    </row>
    <row r="74" spans="1:33" x14ac:dyDescent="0.2">
      <c r="A74" s="666" t="s">
        <v>2102</v>
      </c>
      <c r="B74" s="666" t="s">
        <v>35</v>
      </c>
      <c r="C74" s="666"/>
      <c r="D74" s="666"/>
      <c r="E74" s="715">
        <v>5</v>
      </c>
      <c r="F74" s="715">
        <v>0</v>
      </c>
      <c r="G74" s="715">
        <v>0</v>
      </c>
      <c r="H74" s="715">
        <v>0</v>
      </c>
      <c r="I74" s="715">
        <v>0</v>
      </c>
      <c r="J74" s="715">
        <v>0</v>
      </c>
      <c r="K74" s="715">
        <v>1</v>
      </c>
      <c r="L74" s="715">
        <v>0</v>
      </c>
      <c r="M74" s="715">
        <v>0</v>
      </c>
      <c r="N74" s="715">
        <v>0</v>
      </c>
      <c r="O74" s="715">
        <v>0</v>
      </c>
      <c r="P74" s="715">
        <v>0</v>
      </c>
      <c r="Q74" s="715">
        <v>0</v>
      </c>
      <c r="R74" s="716">
        <v>4</v>
      </c>
      <c r="S74" s="666" t="s">
        <v>1512</v>
      </c>
      <c r="T74" s="717">
        <v>142.30000000000001</v>
      </c>
      <c r="U74" s="717">
        <v>0</v>
      </c>
      <c r="V74" s="717">
        <v>0</v>
      </c>
      <c r="W74" s="717">
        <v>0</v>
      </c>
      <c r="X74" s="717">
        <v>0</v>
      </c>
      <c r="Y74" s="717">
        <v>0</v>
      </c>
      <c r="Z74" s="717">
        <v>20.16</v>
      </c>
      <c r="AA74" s="717">
        <v>0</v>
      </c>
      <c r="AB74" s="717">
        <v>0</v>
      </c>
      <c r="AC74" s="717">
        <v>0</v>
      </c>
      <c r="AD74" s="717">
        <v>0</v>
      </c>
      <c r="AE74" s="717">
        <v>0</v>
      </c>
      <c r="AF74" s="717">
        <v>0</v>
      </c>
      <c r="AG74" s="1996">
        <v>122.14</v>
      </c>
    </row>
    <row r="75" spans="1:33" x14ac:dyDescent="0.2">
      <c r="A75" s="666" t="s">
        <v>2103</v>
      </c>
      <c r="B75" s="666" t="s">
        <v>35</v>
      </c>
      <c r="C75" s="666"/>
      <c r="D75" s="666"/>
      <c r="E75" s="715">
        <v>3</v>
      </c>
      <c r="F75" s="715">
        <v>0</v>
      </c>
      <c r="G75" s="715">
        <v>0</v>
      </c>
      <c r="H75" s="715">
        <v>0</v>
      </c>
      <c r="I75" s="715">
        <v>0</v>
      </c>
      <c r="J75" s="715">
        <v>0</v>
      </c>
      <c r="K75" s="715">
        <v>1</v>
      </c>
      <c r="L75" s="715">
        <v>0</v>
      </c>
      <c r="M75" s="715">
        <v>0</v>
      </c>
      <c r="N75" s="715">
        <v>0</v>
      </c>
      <c r="O75" s="715">
        <v>0</v>
      </c>
      <c r="P75" s="715">
        <v>0</v>
      </c>
      <c r="Q75" s="715">
        <v>0</v>
      </c>
      <c r="R75" s="716">
        <v>2</v>
      </c>
      <c r="S75" s="666" t="s">
        <v>210</v>
      </c>
      <c r="T75" s="717">
        <v>89.83</v>
      </c>
      <c r="U75" s="717">
        <v>0</v>
      </c>
      <c r="V75" s="717">
        <v>0</v>
      </c>
      <c r="W75" s="717">
        <v>0</v>
      </c>
      <c r="X75" s="717">
        <v>0</v>
      </c>
      <c r="Y75" s="717">
        <v>0</v>
      </c>
      <c r="Z75" s="717">
        <v>7.88</v>
      </c>
      <c r="AA75" s="717">
        <v>0</v>
      </c>
      <c r="AB75" s="717">
        <v>0</v>
      </c>
      <c r="AC75" s="717">
        <v>0</v>
      </c>
      <c r="AD75" s="717">
        <v>0</v>
      </c>
      <c r="AE75" s="717">
        <v>0</v>
      </c>
      <c r="AF75" s="717">
        <v>0</v>
      </c>
      <c r="AG75" s="1996">
        <v>81.95</v>
      </c>
    </row>
    <row r="76" spans="1:33" x14ac:dyDescent="0.2">
      <c r="A76" s="666" t="s">
        <v>2104</v>
      </c>
      <c r="B76" s="666" t="s">
        <v>35</v>
      </c>
      <c r="C76" s="666"/>
      <c r="D76" s="666"/>
      <c r="E76" s="715">
        <v>160</v>
      </c>
      <c r="F76" s="715">
        <v>0</v>
      </c>
      <c r="G76" s="715">
        <v>0</v>
      </c>
      <c r="H76" s="715">
        <v>0</v>
      </c>
      <c r="I76" s="715">
        <v>0</v>
      </c>
      <c r="J76" s="715">
        <v>0</v>
      </c>
      <c r="K76" s="715">
        <v>40</v>
      </c>
      <c r="L76" s="715">
        <v>0</v>
      </c>
      <c r="M76" s="715">
        <v>0</v>
      </c>
      <c r="N76" s="715">
        <v>0</v>
      </c>
      <c r="O76" s="715">
        <v>0</v>
      </c>
      <c r="P76" s="715">
        <v>0</v>
      </c>
      <c r="Q76" s="715">
        <v>0</v>
      </c>
      <c r="R76" s="716">
        <v>120</v>
      </c>
      <c r="S76" s="666" t="s">
        <v>385</v>
      </c>
      <c r="T76" s="717">
        <v>5153.5</v>
      </c>
      <c r="U76" s="717">
        <v>0</v>
      </c>
      <c r="V76" s="717">
        <v>0</v>
      </c>
      <c r="W76" s="717">
        <v>0</v>
      </c>
      <c r="X76" s="717">
        <v>0</v>
      </c>
      <c r="Y76" s="717">
        <v>0</v>
      </c>
      <c r="Z76" s="717">
        <v>1512.8</v>
      </c>
      <c r="AA76" s="717">
        <v>0</v>
      </c>
      <c r="AB76" s="717">
        <v>0</v>
      </c>
      <c r="AC76" s="717">
        <v>0</v>
      </c>
      <c r="AD76" s="717">
        <v>0</v>
      </c>
      <c r="AE76" s="717">
        <v>0</v>
      </c>
      <c r="AF76" s="717">
        <v>0</v>
      </c>
      <c r="AG76" s="1996">
        <v>3640.7000000000003</v>
      </c>
    </row>
    <row r="77" spans="1:33" x14ac:dyDescent="0.2">
      <c r="A77" s="666" t="s">
        <v>2105</v>
      </c>
      <c r="B77" s="666" t="s">
        <v>35</v>
      </c>
      <c r="C77" s="666"/>
      <c r="D77" s="666"/>
      <c r="E77" s="715">
        <v>11</v>
      </c>
      <c r="F77" s="715">
        <v>0</v>
      </c>
      <c r="G77" s="715">
        <v>2</v>
      </c>
      <c r="H77" s="715">
        <v>0</v>
      </c>
      <c r="I77" s="715">
        <v>0</v>
      </c>
      <c r="J77" s="715">
        <v>0</v>
      </c>
      <c r="K77" s="715">
        <v>5</v>
      </c>
      <c r="L77" s="715">
        <v>0</v>
      </c>
      <c r="M77" s="715">
        <v>0</v>
      </c>
      <c r="N77" s="715">
        <v>0</v>
      </c>
      <c r="O77" s="715">
        <v>0</v>
      </c>
      <c r="P77" s="715">
        <v>0</v>
      </c>
      <c r="Q77" s="715">
        <v>0</v>
      </c>
      <c r="R77" s="716">
        <v>8</v>
      </c>
      <c r="S77" s="666" t="s">
        <v>462</v>
      </c>
      <c r="T77" s="717">
        <v>285</v>
      </c>
      <c r="U77" s="717">
        <v>0</v>
      </c>
      <c r="V77" s="717">
        <v>50</v>
      </c>
      <c r="W77" s="717">
        <v>0</v>
      </c>
      <c r="X77" s="717">
        <v>0</v>
      </c>
      <c r="Y77" s="717">
        <v>0</v>
      </c>
      <c r="Z77" s="717">
        <v>105.84</v>
      </c>
      <c r="AA77" s="717">
        <v>0</v>
      </c>
      <c r="AB77" s="717">
        <v>0</v>
      </c>
      <c r="AC77" s="717">
        <v>0</v>
      </c>
      <c r="AD77" s="717">
        <v>0</v>
      </c>
      <c r="AE77" s="717">
        <v>0</v>
      </c>
      <c r="AF77" s="717">
        <v>0</v>
      </c>
      <c r="AG77" s="1996">
        <v>229.16</v>
      </c>
    </row>
    <row r="78" spans="1:33" x14ac:dyDescent="0.2">
      <c r="A78" s="666" t="s">
        <v>2106</v>
      </c>
      <c r="B78" s="666" t="s">
        <v>35</v>
      </c>
      <c r="C78" s="666"/>
      <c r="D78" s="666"/>
      <c r="E78" s="715">
        <v>32</v>
      </c>
      <c r="F78" s="715">
        <v>0</v>
      </c>
      <c r="G78" s="715">
        <v>0</v>
      </c>
      <c r="H78" s="715">
        <v>0</v>
      </c>
      <c r="I78" s="715">
        <v>0</v>
      </c>
      <c r="J78" s="715">
        <v>0</v>
      </c>
      <c r="K78" s="715">
        <v>15</v>
      </c>
      <c r="L78" s="715">
        <v>0</v>
      </c>
      <c r="M78" s="715">
        <v>0</v>
      </c>
      <c r="N78" s="715">
        <v>0</v>
      </c>
      <c r="O78" s="715">
        <v>0</v>
      </c>
      <c r="P78" s="715">
        <v>0</v>
      </c>
      <c r="Q78" s="715">
        <v>0</v>
      </c>
      <c r="R78" s="716">
        <v>17</v>
      </c>
      <c r="S78" s="666" t="s">
        <v>60</v>
      </c>
      <c r="T78" s="717">
        <v>825.58</v>
      </c>
      <c r="U78" s="717">
        <v>0</v>
      </c>
      <c r="V78" s="717">
        <v>0</v>
      </c>
      <c r="W78" s="717">
        <v>0</v>
      </c>
      <c r="X78" s="717">
        <v>0</v>
      </c>
      <c r="Y78" s="717">
        <v>0</v>
      </c>
      <c r="Z78" s="717">
        <v>190.94</v>
      </c>
      <c r="AA78" s="717">
        <v>0</v>
      </c>
      <c r="AB78" s="717">
        <v>0</v>
      </c>
      <c r="AC78" s="717">
        <v>0</v>
      </c>
      <c r="AD78" s="717">
        <v>0</v>
      </c>
      <c r="AE78" s="717">
        <v>0</v>
      </c>
      <c r="AF78" s="717">
        <v>0</v>
      </c>
      <c r="AG78" s="1996">
        <v>634.64</v>
      </c>
    </row>
    <row r="79" spans="1:33" x14ac:dyDescent="0.2">
      <c r="A79" s="666" t="s">
        <v>2107</v>
      </c>
      <c r="B79" s="666" t="s">
        <v>35</v>
      </c>
      <c r="C79" s="666"/>
      <c r="D79" s="666"/>
      <c r="E79" s="715">
        <v>71</v>
      </c>
      <c r="F79" s="715">
        <v>0</v>
      </c>
      <c r="G79" s="715">
        <v>0</v>
      </c>
      <c r="H79" s="715">
        <v>0</v>
      </c>
      <c r="I79" s="715">
        <v>0</v>
      </c>
      <c r="J79" s="715">
        <v>0</v>
      </c>
      <c r="K79" s="715">
        <v>4</v>
      </c>
      <c r="L79" s="715">
        <v>0</v>
      </c>
      <c r="M79" s="715">
        <v>0</v>
      </c>
      <c r="N79" s="715">
        <v>0</v>
      </c>
      <c r="O79" s="715">
        <v>0</v>
      </c>
      <c r="P79" s="715">
        <v>0</v>
      </c>
      <c r="Q79" s="715">
        <v>0</v>
      </c>
      <c r="R79" s="716">
        <v>67</v>
      </c>
      <c r="S79" s="666" t="s">
        <v>675</v>
      </c>
      <c r="T79" s="717">
        <v>1506</v>
      </c>
      <c r="U79" s="717">
        <v>0</v>
      </c>
      <c r="V79" s="717">
        <v>0</v>
      </c>
      <c r="W79" s="717">
        <v>0</v>
      </c>
      <c r="X79" s="717">
        <v>0</v>
      </c>
      <c r="Y79" s="717">
        <v>0</v>
      </c>
      <c r="Z79" s="717">
        <v>48</v>
      </c>
      <c r="AA79" s="717">
        <v>0</v>
      </c>
      <c r="AB79" s="717">
        <v>0</v>
      </c>
      <c r="AC79" s="717">
        <v>0</v>
      </c>
      <c r="AD79" s="717">
        <v>0</v>
      </c>
      <c r="AE79" s="717">
        <v>0</v>
      </c>
      <c r="AF79" s="717">
        <v>0</v>
      </c>
      <c r="AG79" s="1996">
        <v>1458</v>
      </c>
    </row>
    <row r="80" spans="1:33" x14ac:dyDescent="0.2">
      <c r="A80" s="666" t="s">
        <v>2108</v>
      </c>
      <c r="B80" s="666" t="s">
        <v>35</v>
      </c>
      <c r="C80" s="666"/>
      <c r="D80" s="666"/>
      <c r="E80" s="715">
        <v>17</v>
      </c>
      <c r="F80" s="715">
        <v>0</v>
      </c>
      <c r="G80" s="715">
        <v>0</v>
      </c>
      <c r="H80" s="715">
        <v>0</v>
      </c>
      <c r="I80" s="715">
        <v>0</v>
      </c>
      <c r="J80" s="715">
        <v>0</v>
      </c>
      <c r="K80" s="715">
        <v>3</v>
      </c>
      <c r="L80" s="715">
        <v>0</v>
      </c>
      <c r="M80" s="715">
        <v>0</v>
      </c>
      <c r="N80" s="715">
        <v>0</v>
      </c>
      <c r="O80" s="715">
        <v>0</v>
      </c>
      <c r="P80" s="715">
        <v>0</v>
      </c>
      <c r="Q80" s="715">
        <v>0</v>
      </c>
      <c r="R80" s="716">
        <v>14</v>
      </c>
      <c r="S80" s="666" t="s">
        <v>1807</v>
      </c>
      <c r="T80" s="717">
        <v>434.71000000000004</v>
      </c>
      <c r="U80" s="717">
        <v>0</v>
      </c>
      <c r="V80" s="717">
        <v>0</v>
      </c>
      <c r="W80" s="717">
        <v>0</v>
      </c>
      <c r="X80" s="717">
        <v>0</v>
      </c>
      <c r="Y80" s="717">
        <v>0</v>
      </c>
      <c r="Z80" s="717">
        <v>72.8</v>
      </c>
      <c r="AA80" s="717">
        <v>0</v>
      </c>
      <c r="AB80" s="717">
        <v>0</v>
      </c>
      <c r="AC80" s="717">
        <v>0</v>
      </c>
      <c r="AD80" s="717">
        <v>0</v>
      </c>
      <c r="AE80" s="717">
        <v>0</v>
      </c>
      <c r="AF80" s="717">
        <v>0</v>
      </c>
      <c r="AG80" s="1996">
        <v>361.91</v>
      </c>
    </row>
    <row r="81" spans="1:34" x14ac:dyDescent="0.2">
      <c r="A81" s="666" t="s">
        <v>2109</v>
      </c>
      <c r="B81" s="666" t="s">
        <v>35</v>
      </c>
      <c r="C81" s="666"/>
      <c r="D81" s="666"/>
      <c r="E81" s="715">
        <v>0</v>
      </c>
      <c r="F81" s="715">
        <v>1</v>
      </c>
      <c r="G81" s="715">
        <v>0</v>
      </c>
      <c r="H81" s="715">
        <v>0</v>
      </c>
      <c r="I81" s="715">
        <v>0</v>
      </c>
      <c r="J81" s="715">
        <v>0</v>
      </c>
      <c r="K81" s="715">
        <v>1</v>
      </c>
      <c r="L81" s="715">
        <v>0</v>
      </c>
      <c r="M81" s="715">
        <v>0</v>
      </c>
      <c r="N81" s="715">
        <v>0</v>
      </c>
      <c r="O81" s="715">
        <v>0</v>
      </c>
      <c r="P81" s="715">
        <v>0</v>
      </c>
      <c r="Q81" s="715">
        <v>0</v>
      </c>
      <c r="R81" s="716">
        <v>0</v>
      </c>
      <c r="S81" s="666" t="s">
        <v>680</v>
      </c>
      <c r="T81" s="717">
        <v>6.33</v>
      </c>
      <c r="U81" s="717">
        <v>25</v>
      </c>
      <c r="V81" s="717">
        <v>0</v>
      </c>
      <c r="W81" s="717">
        <v>0</v>
      </c>
      <c r="X81" s="717">
        <v>0</v>
      </c>
      <c r="Y81" s="717">
        <v>0</v>
      </c>
      <c r="Z81" s="717">
        <v>6.3</v>
      </c>
      <c r="AA81" s="717">
        <v>0</v>
      </c>
      <c r="AB81" s="717">
        <v>0</v>
      </c>
      <c r="AC81" s="717">
        <v>0</v>
      </c>
      <c r="AD81" s="717">
        <v>0</v>
      </c>
      <c r="AE81" s="717">
        <v>0</v>
      </c>
      <c r="AF81" s="717">
        <v>0</v>
      </c>
      <c r="AG81" s="1996">
        <v>25.03</v>
      </c>
    </row>
    <row r="82" spans="1:34" x14ac:dyDescent="0.2">
      <c r="A82" s="666" t="s">
        <v>2110</v>
      </c>
      <c r="B82" s="666" t="s">
        <v>35</v>
      </c>
      <c r="C82" s="666"/>
      <c r="D82" s="666"/>
      <c r="E82" s="715">
        <v>84</v>
      </c>
      <c r="F82" s="715">
        <v>0</v>
      </c>
      <c r="G82" s="715">
        <v>0</v>
      </c>
      <c r="H82" s="715">
        <v>0</v>
      </c>
      <c r="I82" s="715">
        <v>0</v>
      </c>
      <c r="J82" s="715">
        <v>0</v>
      </c>
      <c r="K82" s="715">
        <v>7</v>
      </c>
      <c r="L82" s="715">
        <v>0</v>
      </c>
      <c r="M82" s="715">
        <v>0</v>
      </c>
      <c r="N82" s="715">
        <v>0</v>
      </c>
      <c r="O82" s="715">
        <v>0</v>
      </c>
      <c r="P82" s="715">
        <v>0</v>
      </c>
      <c r="Q82" s="715">
        <v>0</v>
      </c>
      <c r="R82" s="716">
        <v>77</v>
      </c>
      <c r="S82" s="666" t="s">
        <v>917</v>
      </c>
      <c r="T82" s="717">
        <v>1801.19</v>
      </c>
      <c r="U82" s="717">
        <v>0</v>
      </c>
      <c r="V82" s="717">
        <v>0</v>
      </c>
      <c r="W82" s="717">
        <v>0</v>
      </c>
      <c r="X82" s="717">
        <v>0</v>
      </c>
      <c r="Y82" s="717">
        <v>0</v>
      </c>
      <c r="Z82" s="717">
        <v>144</v>
      </c>
      <c r="AA82" s="717">
        <v>0</v>
      </c>
      <c r="AB82" s="717">
        <v>0</v>
      </c>
      <c r="AC82" s="717">
        <v>0</v>
      </c>
      <c r="AD82" s="717">
        <v>0</v>
      </c>
      <c r="AE82" s="717">
        <v>0</v>
      </c>
      <c r="AF82" s="717">
        <v>0</v>
      </c>
      <c r="AG82" s="1996">
        <v>1657.19</v>
      </c>
    </row>
    <row r="83" spans="1:34" x14ac:dyDescent="0.2">
      <c r="A83" s="666" t="s">
        <v>2111</v>
      </c>
      <c r="B83" s="666" t="s">
        <v>35</v>
      </c>
      <c r="C83" s="666"/>
      <c r="D83" s="666"/>
      <c r="E83" s="715">
        <v>92</v>
      </c>
      <c r="F83" s="715">
        <v>80</v>
      </c>
      <c r="G83" s="715">
        <v>0</v>
      </c>
      <c r="H83" s="715">
        <v>0</v>
      </c>
      <c r="I83" s="715">
        <v>0</v>
      </c>
      <c r="J83" s="715">
        <v>0</v>
      </c>
      <c r="K83" s="715">
        <v>43</v>
      </c>
      <c r="L83" s="715">
        <v>0</v>
      </c>
      <c r="M83" s="715">
        <v>0</v>
      </c>
      <c r="N83" s="715">
        <v>0</v>
      </c>
      <c r="O83" s="715">
        <v>0</v>
      </c>
      <c r="P83" s="715">
        <v>0</v>
      </c>
      <c r="Q83" s="715">
        <v>0</v>
      </c>
      <c r="R83" s="716">
        <v>129</v>
      </c>
      <c r="S83" s="666" t="s">
        <v>1391</v>
      </c>
      <c r="T83" s="717">
        <v>2500.23</v>
      </c>
      <c r="U83" s="717">
        <v>2000</v>
      </c>
      <c r="V83" s="717">
        <v>0</v>
      </c>
      <c r="W83" s="717">
        <v>0</v>
      </c>
      <c r="X83" s="717">
        <v>0</v>
      </c>
      <c r="Y83" s="717">
        <v>0</v>
      </c>
      <c r="Z83" s="717">
        <v>1197.4100000000001</v>
      </c>
      <c r="AA83" s="717">
        <v>0</v>
      </c>
      <c r="AB83" s="717">
        <v>0</v>
      </c>
      <c r="AC83" s="717">
        <v>0</v>
      </c>
      <c r="AD83" s="717">
        <v>0</v>
      </c>
      <c r="AE83" s="717">
        <v>0</v>
      </c>
      <c r="AF83" s="717">
        <v>0</v>
      </c>
      <c r="AG83" s="1996">
        <v>3302.82</v>
      </c>
    </row>
    <row r="84" spans="1:34" x14ac:dyDescent="0.2">
      <c r="A84" s="666" t="s">
        <v>2112</v>
      </c>
      <c r="B84" s="666" t="s">
        <v>35</v>
      </c>
      <c r="C84" s="666"/>
      <c r="D84" s="666"/>
      <c r="E84" s="715">
        <v>5</v>
      </c>
      <c r="F84" s="715">
        <v>0</v>
      </c>
      <c r="G84" s="715">
        <v>0</v>
      </c>
      <c r="H84" s="715">
        <v>0</v>
      </c>
      <c r="I84" s="715">
        <v>0</v>
      </c>
      <c r="J84" s="715">
        <v>0</v>
      </c>
      <c r="K84" s="715">
        <v>0</v>
      </c>
      <c r="L84" s="715">
        <v>0</v>
      </c>
      <c r="M84" s="715">
        <v>0</v>
      </c>
      <c r="N84" s="715">
        <v>0</v>
      </c>
      <c r="O84" s="715">
        <v>0</v>
      </c>
      <c r="P84" s="715">
        <v>0</v>
      </c>
      <c r="Q84" s="715">
        <v>0</v>
      </c>
      <c r="R84" s="716">
        <v>5</v>
      </c>
      <c r="S84" s="666" t="s">
        <v>1593</v>
      </c>
      <c r="T84" s="717">
        <v>134.9</v>
      </c>
      <c r="U84" s="717">
        <v>0</v>
      </c>
      <c r="V84" s="717">
        <v>0</v>
      </c>
      <c r="W84" s="717">
        <v>0</v>
      </c>
      <c r="X84" s="717">
        <v>0</v>
      </c>
      <c r="Y84" s="717">
        <v>0</v>
      </c>
      <c r="Z84" s="717">
        <v>0</v>
      </c>
      <c r="AA84" s="717">
        <v>0</v>
      </c>
      <c r="AB84" s="717">
        <v>0</v>
      </c>
      <c r="AC84" s="717">
        <v>0</v>
      </c>
      <c r="AD84" s="717">
        <v>0</v>
      </c>
      <c r="AE84" s="717">
        <v>0</v>
      </c>
      <c r="AF84" s="717">
        <v>0</v>
      </c>
      <c r="AG84" s="1996">
        <v>134.9</v>
      </c>
    </row>
    <row r="85" spans="1:34" x14ac:dyDescent="0.2">
      <c r="A85" s="666" t="s">
        <v>2113</v>
      </c>
      <c r="B85" s="716">
        <v>981</v>
      </c>
      <c r="C85" s="716">
        <v>81</v>
      </c>
      <c r="D85" s="716">
        <v>2</v>
      </c>
      <c r="E85" s="717">
        <v>0</v>
      </c>
      <c r="F85" s="716">
        <v>0</v>
      </c>
      <c r="G85" s="716">
        <v>0</v>
      </c>
      <c r="H85" s="716">
        <v>262</v>
      </c>
      <c r="I85" s="716">
        <v>0</v>
      </c>
      <c r="J85" s="715">
        <v>0</v>
      </c>
      <c r="K85" s="715">
        <v>0</v>
      </c>
      <c r="L85" s="716">
        <v>0</v>
      </c>
      <c r="M85" s="715">
        <v>0</v>
      </c>
      <c r="N85" s="715">
        <v>0</v>
      </c>
      <c r="O85" s="716">
        <v>802</v>
      </c>
      <c r="P85" s="666" t="s">
        <v>2114</v>
      </c>
      <c r="Q85" s="717">
        <v>23518.2</v>
      </c>
      <c r="R85" s="717">
        <v>2025</v>
      </c>
      <c r="S85" s="717">
        <v>50</v>
      </c>
      <c r="T85" s="717">
        <v>0</v>
      </c>
      <c r="U85" s="717">
        <v>0</v>
      </c>
      <c r="V85" s="717">
        <v>0</v>
      </c>
      <c r="W85" s="717">
        <v>6304.52</v>
      </c>
      <c r="X85" s="717">
        <v>0</v>
      </c>
      <c r="Y85" s="717">
        <v>0</v>
      </c>
      <c r="Z85" s="717">
        <v>0</v>
      </c>
      <c r="AA85" s="717">
        <v>0</v>
      </c>
      <c r="AB85" s="717">
        <v>0</v>
      </c>
      <c r="AC85" s="717">
        <v>0</v>
      </c>
      <c r="AD85" s="717">
        <v>19288.68</v>
      </c>
      <c r="AE85" s="666"/>
      <c r="AF85" s="666"/>
      <c r="AG85" s="666"/>
    </row>
    <row r="86" spans="1:34" x14ac:dyDescent="0.2">
      <c r="A86" s="666" t="s">
        <v>2115</v>
      </c>
      <c r="B86" s="666" t="s">
        <v>35</v>
      </c>
      <c r="C86" s="666"/>
      <c r="D86" s="666"/>
      <c r="E86" s="715">
        <v>18</v>
      </c>
      <c r="F86" s="715">
        <v>0</v>
      </c>
      <c r="G86" s="715">
        <v>0</v>
      </c>
      <c r="H86" s="715">
        <v>0</v>
      </c>
      <c r="I86" s="715">
        <v>0</v>
      </c>
      <c r="J86" s="715">
        <v>0</v>
      </c>
      <c r="K86" s="715">
        <v>6</v>
      </c>
      <c r="L86" s="715">
        <v>0</v>
      </c>
      <c r="M86" s="715">
        <v>0</v>
      </c>
      <c r="N86" s="715">
        <v>0</v>
      </c>
      <c r="O86" s="715">
        <v>0</v>
      </c>
      <c r="P86" s="715">
        <v>0</v>
      </c>
      <c r="Q86" s="715">
        <v>0</v>
      </c>
      <c r="R86" s="716">
        <v>12</v>
      </c>
      <c r="S86" s="666" t="s">
        <v>496</v>
      </c>
      <c r="T86" s="717">
        <v>44848</v>
      </c>
      <c r="U86" s="717">
        <v>0</v>
      </c>
      <c r="V86" s="717">
        <v>0</v>
      </c>
      <c r="W86" s="717">
        <v>0</v>
      </c>
      <c r="X86" s="717">
        <v>0</v>
      </c>
      <c r="Y86" s="717">
        <v>0</v>
      </c>
      <c r="Z86" s="717">
        <v>5594.1</v>
      </c>
      <c r="AA86" s="717">
        <v>0</v>
      </c>
      <c r="AB86" s="717">
        <v>0</v>
      </c>
      <c r="AC86" s="717">
        <v>0</v>
      </c>
      <c r="AD86" s="717">
        <v>0</v>
      </c>
      <c r="AE86" s="717">
        <v>0</v>
      </c>
      <c r="AF86" s="717">
        <v>0</v>
      </c>
      <c r="AG86" s="1996">
        <v>39253.9</v>
      </c>
    </row>
    <row r="87" spans="1:34" x14ac:dyDescent="0.2">
      <c r="A87" s="666" t="s">
        <v>2116</v>
      </c>
      <c r="B87" s="666" t="s">
        <v>35</v>
      </c>
      <c r="C87" s="666"/>
      <c r="D87" s="666"/>
      <c r="E87" s="715">
        <v>370</v>
      </c>
      <c r="F87" s="715">
        <v>520</v>
      </c>
      <c r="G87" s="715">
        <v>0</v>
      </c>
      <c r="H87" s="715">
        <v>0</v>
      </c>
      <c r="I87" s="715">
        <v>0</v>
      </c>
      <c r="J87" s="715">
        <v>0</v>
      </c>
      <c r="K87" s="715">
        <v>50</v>
      </c>
      <c r="L87" s="715">
        <v>0</v>
      </c>
      <c r="M87" s="715">
        <v>0</v>
      </c>
      <c r="N87" s="715">
        <v>0</v>
      </c>
      <c r="O87" s="715">
        <v>0</v>
      </c>
      <c r="P87" s="715">
        <v>0</v>
      </c>
      <c r="Q87" s="715">
        <v>0</v>
      </c>
      <c r="R87" s="716">
        <v>840</v>
      </c>
      <c r="S87" s="666" t="s">
        <v>1632</v>
      </c>
      <c r="T87" s="717">
        <v>10605.33</v>
      </c>
      <c r="U87" s="717">
        <v>13000</v>
      </c>
      <c r="V87" s="717">
        <v>0</v>
      </c>
      <c r="W87" s="717">
        <v>0</v>
      </c>
      <c r="X87" s="717">
        <v>0</v>
      </c>
      <c r="Y87" s="717">
        <v>0</v>
      </c>
      <c r="Z87" s="717">
        <v>2020.64</v>
      </c>
      <c r="AA87" s="717">
        <v>0</v>
      </c>
      <c r="AB87" s="717">
        <v>0</v>
      </c>
      <c r="AC87" s="717">
        <v>0</v>
      </c>
      <c r="AD87" s="717">
        <v>0</v>
      </c>
      <c r="AE87" s="717">
        <v>0</v>
      </c>
      <c r="AF87" s="717">
        <v>0</v>
      </c>
      <c r="AG87" s="1996">
        <v>21584.69</v>
      </c>
    </row>
    <row r="88" spans="1:34" x14ac:dyDescent="0.2">
      <c r="A88" s="666" t="s">
        <v>2117</v>
      </c>
      <c r="B88" s="666" t="s">
        <v>35</v>
      </c>
      <c r="C88" s="666"/>
      <c r="D88" s="666"/>
      <c r="E88" s="715">
        <v>1</v>
      </c>
      <c r="F88" s="715">
        <v>0</v>
      </c>
      <c r="G88" s="715">
        <v>0</v>
      </c>
      <c r="H88" s="715">
        <v>0</v>
      </c>
      <c r="I88" s="715">
        <v>0</v>
      </c>
      <c r="J88" s="715">
        <v>0</v>
      </c>
      <c r="K88" s="715">
        <v>0</v>
      </c>
      <c r="L88" s="715">
        <v>0</v>
      </c>
      <c r="M88" s="715">
        <v>0</v>
      </c>
      <c r="N88" s="715">
        <v>0</v>
      </c>
      <c r="O88" s="715">
        <v>0</v>
      </c>
      <c r="P88" s="715">
        <v>0</v>
      </c>
      <c r="Q88" s="715">
        <v>0</v>
      </c>
      <c r="R88" s="716">
        <v>1</v>
      </c>
      <c r="S88" s="666" t="s">
        <v>367</v>
      </c>
      <c r="T88" s="717">
        <v>37.14</v>
      </c>
      <c r="U88" s="717">
        <v>0</v>
      </c>
      <c r="V88" s="717">
        <v>0</v>
      </c>
      <c r="W88" s="717">
        <v>0</v>
      </c>
      <c r="X88" s="717">
        <v>0</v>
      </c>
      <c r="Y88" s="717">
        <v>0</v>
      </c>
      <c r="Z88" s="717">
        <v>0</v>
      </c>
      <c r="AA88" s="717">
        <v>0</v>
      </c>
      <c r="AB88" s="717">
        <v>0</v>
      </c>
      <c r="AC88" s="717">
        <v>0</v>
      </c>
      <c r="AD88" s="717">
        <v>0</v>
      </c>
      <c r="AE88" s="717">
        <v>0</v>
      </c>
      <c r="AF88" s="717">
        <v>0</v>
      </c>
      <c r="AG88" s="1996">
        <v>37.14</v>
      </c>
    </row>
    <row r="89" spans="1:34" x14ac:dyDescent="0.2">
      <c r="A89" s="666" t="s">
        <v>2118</v>
      </c>
      <c r="B89" s="666" t="s">
        <v>35</v>
      </c>
      <c r="C89" s="666"/>
      <c r="D89" s="666"/>
      <c r="E89" s="715">
        <v>840</v>
      </c>
      <c r="F89" s="715">
        <v>0</v>
      </c>
      <c r="G89" s="715">
        <v>0</v>
      </c>
      <c r="H89" s="715">
        <v>0</v>
      </c>
      <c r="I89" s="715">
        <v>0</v>
      </c>
      <c r="J89" s="715">
        <v>0</v>
      </c>
      <c r="K89" s="715">
        <v>160</v>
      </c>
      <c r="L89" s="715">
        <v>0</v>
      </c>
      <c r="M89" s="715">
        <v>0</v>
      </c>
      <c r="N89" s="715">
        <v>0</v>
      </c>
      <c r="O89" s="715">
        <v>0</v>
      </c>
      <c r="P89" s="715">
        <v>0</v>
      </c>
      <c r="Q89" s="715">
        <v>0</v>
      </c>
      <c r="R89" s="716">
        <v>680</v>
      </c>
      <c r="S89" s="666" t="s">
        <v>1205</v>
      </c>
      <c r="T89" s="717">
        <v>23037.5</v>
      </c>
      <c r="U89" s="717">
        <v>0</v>
      </c>
      <c r="V89" s="717">
        <v>0</v>
      </c>
      <c r="W89" s="717">
        <v>0</v>
      </c>
      <c r="X89" s="717">
        <v>0</v>
      </c>
      <c r="Y89" s="717">
        <v>0</v>
      </c>
      <c r="Z89" s="717">
        <v>4436.08</v>
      </c>
      <c r="AA89" s="717">
        <v>0</v>
      </c>
      <c r="AB89" s="717">
        <v>0</v>
      </c>
      <c r="AC89" s="717">
        <v>0</v>
      </c>
      <c r="AD89" s="717">
        <v>0</v>
      </c>
      <c r="AE89" s="717">
        <v>0</v>
      </c>
      <c r="AF89" s="717">
        <v>0</v>
      </c>
      <c r="AG89" s="1996">
        <v>18601.420000000002</v>
      </c>
    </row>
    <row r="90" spans="1:34" x14ac:dyDescent="0.2">
      <c r="A90" s="666" t="s">
        <v>2119</v>
      </c>
      <c r="B90" s="666" t="s">
        <v>35</v>
      </c>
      <c r="C90" s="666"/>
      <c r="D90" s="666"/>
      <c r="E90" s="715">
        <v>39</v>
      </c>
      <c r="F90" s="715">
        <v>0</v>
      </c>
      <c r="G90" s="715">
        <v>0</v>
      </c>
      <c r="H90" s="715">
        <v>0</v>
      </c>
      <c r="I90" s="715">
        <v>0</v>
      </c>
      <c r="J90" s="715">
        <v>0</v>
      </c>
      <c r="K90" s="715">
        <v>6</v>
      </c>
      <c r="L90" s="715">
        <v>0</v>
      </c>
      <c r="M90" s="715">
        <v>0</v>
      </c>
      <c r="N90" s="715">
        <v>0</v>
      </c>
      <c r="O90" s="715">
        <v>0</v>
      </c>
      <c r="P90" s="715">
        <v>0</v>
      </c>
      <c r="Q90" s="715">
        <v>0</v>
      </c>
      <c r="R90" s="716">
        <v>33</v>
      </c>
      <c r="S90" s="666" t="s">
        <v>1208</v>
      </c>
      <c r="T90" s="717">
        <v>1036.17</v>
      </c>
      <c r="U90" s="717">
        <v>0</v>
      </c>
      <c r="V90" s="717">
        <v>0</v>
      </c>
      <c r="W90" s="717">
        <v>0</v>
      </c>
      <c r="X90" s="717">
        <v>0</v>
      </c>
      <c r="Y90" s="717">
        <v>0</v>
      </c>
      <c r="Z90" s="717">
        <v>146.45000000000002</v>
      </c>
      <c r="AA90" s="717">
        <v>0</v>
      </c>
      <c r="AB90" s="717">
        <v>0</v>
      </c>
      <c r="AC90" s="717">
        <v>0</v>
      </c>
      <c r="AD90" s="717">
        <v>0</v>
      </c>
      <c r="AE90" s="717">
        <v>0</v>
      </c>
      <c r="AF90" s="717">
        <v>0</v>
      </c>
      <c r="AG90" s="1996">
        <v>889.72</v>
      </c>
    </row>
    <row r="91" spans="1:34" x14ac:dyDescent="0.2">
      <c r="A91" s="666" t="s">
        <v>2120</v>
      </c>
      <c r="B91" s="666" t="s">
        <v>35</v>
      </c>
      <c r="C91" s="666"/>
      <c r="D91" s="666"/>
      <c r="E91" s="715">
        <v>400</v>
      </c>
      <c r="F91" s="715">
        <v>0</v>
      </c>
      <c r="G91" s="715">
        <v>0</v>
      </c>
      <c r="H91" s="715">
        <v>0</v>
      </c>
      <c r="I91" s="715">
        <v>0</v>
      </c>
      <c r="J91" s="715">
        <v>0</v>
      </c>
      <c r="K91" s="715">
        <v>120</v>
      </c>
      <c r="L91" s="715">
        <v>0</v>
      </c>
      <c r="M91" s="715">
        <v>0</v>
      </c>
      <c r="N91" s="715">
        <v>0</v>
      </c>
      <c r="O91" s="715">
        <v>0</v>
      </c>
      <c r="P91" s="715">
        <v>0</v>
      </c>
      <c r="Q91" s="715">
        <v>0</v>
      </c>
      <c r="R91" s="716">
        <v>280</v>
      </c>
      <c r="S91" s="666" t="s">
        <v>1206</v>
      </c>
      <c r="T91" s="717">
        <v>11590.14</v>
      </c>
      <c r="U91" s="717">
        <v>0</v>
      </c>
      <c r="V91" s="717">
        <v>0</v>
      </c>
      <c r="W91" s="717">
        <v>0</v>
      </c>
      <c r="X91" s="717">
        <v>0</v>
      </c>
      <c r="Y91" s="717">
        <v>0</v>
      </c>
      <c r="Z91" s="717">
        <v>2857.32</v>
      </c>
      <c r="AA91" s="717">
        <v>0</v>
      </c>
      <c r="AB91" s="717">
        <v>0</v>
      </c>
      <c r="AC91" s="717">
        <v>0</v>
      </c>
      <c r="AD91" s="717">
        <v>0</v>
      </c>
      <c r="AE91" s="717">
        <v>0</v>
      </c>
      <c r="AF91" s="717">
        <v>0</v>
      </c>
      <c r="AG91" s="1996">
        <v>8732.82</v>
      </c>
      <c r="AH91" s="544"/>
    </row>
    <row r="92" spans="1:34" x14ac:dyDescent="0.2">
      <c r="A92" s="666" t="s">
        <v>2121</v>
      </c>
      <c r="B92" s="666" t="s">
        <v>35</v>
      </c>
      <c r="C92" s="666"/>
      <c r="D92" s="666"/>
      <c r="E92" s="715">
        <v>672</v>
      </c>
      <c r="F92" s="715">
        <v>1654</v>
      </c>
      <c r="G92" s="715">
        <v>0</v>
      </c>
      <c r="H92" s="715">
        <v>0</v>
      </c>
      <c r="I92" s="715">
        <v>0</v>
      </c>
      <c r="J92" s="715">
        <v>0</v>
      </c>
      <c r="K92" s="715">
        <v>448</v>
      </c>
      <c r="L92" s="715">
        <v>0</v>
      </c>
      <c r="M92" s="715">
        <v>0</v>
      </c>
      <c r="N92" s="715">
        <v>0</v>
      </c>
      <c r="O92" s="715">
        <v>0</v>
      </c>
      <c r="P92" s="715">
        <v>0</v>
      </c>
      <c r="Q92" s="715">
        <v>0</v>
      </c>
      <c r="R92" s="716">
        <v>1878</v>
      </c>
      <c r="S92" s="666" t="s">
        <v>1791</v>
      </c>
      <c r="T92" s="717">
        <v>46072.53</v>
      </c>
      <c r="U92" s="717">
        <v>65719</v>
      </c>
      <c r="V92" s="717">
        <v>0</v>
      </c>
      <c r="W92" s="717">
        <v>0</v>
      </c>
      <c r="X92" s="717">
        <v>0</v>
      </c>
      <c r="Y92" s="717">
        <v>0</v>
      </c>
      <c r="Z92" s="717">
        <v>17501.5</v>
      </c>
      <c r="AA92" s="717">
        <v>0</v>
      </c>
      <c r="AB92" s="717">
        <v>0</v>
      </c>
      <c r="AC92" s="717">
        <v>0</v>
      </c>
      <c r="AD92" s="717">
        <v>0</v>
      </c>
      <c r="AE92" s="717">
        <v>0</v>
      </c>
      <c r="AF92" s="717">
        <v>0</v>
      </c>
      <c r="AG92" s="1996">
        <v>94290.03</v>
      </c>
    </row>
    <row r="93" spans="1:34" x14ac:dyDescent="0.2">
      <c r="A93" s="666" t="s">
        <v>2122</v>
      </c>
      <c r="B93" s="666" t="s">
        <v>35</v>
      </c>
      <c r="C93" s="666"/>
      <c r="D93" s="666"/>
      <c r="E93" s="715">
        <v>24</v>
      </c>
      <c r="F93" s="715">
        <v>0</v>
      </c>
      <c r="G93" s="715">
        <v>0</v>
      </c>
      <c r="H93" s="715">
        <v>0</v>
      </c>
      <c r="I93" s="715">
        <v>0</v>
      </c>
      <c r="J93" s="715">
        <v>0</v>
      </c>
      <c r="K93" s="715">
        <v>3</v>
      </c>
      <c r="L93" s="715">
        <v>0</v>
      </c>
      <c r="M93" s="715">
        <v>0</v>
      </c>
      <c r="N93" s="715">
        <v>0</v>
      </c>
      <c r="O93" s="715">
        <v>0</v>
      </c>
      <c r="P93" s="715">
        <v>0</v>
      </c>
      <c r="Q93" s="715">
        <v>0</v>
      </c>
      <c r="R93" s="716">
        <v>21</v>
      </c>
      <c r="S93" s="666" t="s">
        <v>678</v>
      </c>
      <c r="T93" s="717">
        <v>21996.52</v>
      </c>
      <c r="U93" s="717">
        <v>0</v>
      </c>
      <c r="V93" s="717">
        <v>0</v>
      </c>
      <c r="W93" s="717">
        <v>0</v>
      </c>
      <c r="X93" s="717">
        <v>0</v>
      </c>
      <c r="Y93" s="717">
        <v>0</v>
      </c>
      <c r="Z93" s="717">
        <v>1821.5</v>
      </c>
      <c r="AA93" s="717">
        <v>0</v>
      </c>
      <c r="AB93" s="717">
        <v>0</v>
      </c>
      <c r="AC93" s="717">
        <v>0</v>
      </c>
      <c r="AD93" s="717">
        <v>0</v>
      </c>
      <c r="AE93" s="717">
        <v>0</v>
      </c>
      <c r="AF93" s="717">
        <v>0</v>
      </c>
      <c r="AG93" s="1996">
        <v>20175.02</v>
      </c>
    </row>
    <row r="94" spans="1:34" x14ac:dyDescent="0.2">
      <c r="A94" s="666" t="s">
        <v>2123</v>
      </c>
      <c r="B94" s="666" t="s">
        <v>35</v>
      </c>
      <c r="C94" s="666"/>
      <c r="D94" s="666"/>
      <c r="E94" s="715">
        <v>40</v>
      </c>
      <c r="F94" s="715">
        <v>0</v>
      </c>
      <c r="G94" s="715">
        <v>120</v>
      </c>
      <c r="H94" s="715">
        <v>0</v>
      </c>
      <c r="I94" s="715">
        <v>0</v>
      </c>
      <c r="J94" s="715">
        <v>0</v>
      </c>
      <c r="K94" s="715">
        <v>80</v>
      </c>
      <c r="L94" s="715">
        <v>0</v>
      </c>
      <c r="M94" s="715">
        <v>0</v>
      </c>
      <c r="N94" s="715">
        <v>0</v>
      </c>
      <c r="O94" s="715">
        <v>0</v>
      </c>
      <c r="P94" s="715">
        <v>0</v>
      </c>
      <c r="Q94" s="715">
        <v>0</v>
      </c>
      <c r="R94" s="716">
        <v>80</v>
      </c>
      <c r="S94" s="666" t="s">
        <v>839</v>
      </c>
      <c r="T94" s="717">
        <v>1132.05</v>
      </c>
      <c r="U94" s="717">
        <v>0</v>
      </c>
      <c r="V94" s="717">
        <v>3000</v>
      </c>
      <c r="W94" s="717">
        <v>0</v>
      </c>
      <c r="X94" s="717">
        <v>0</v>
      </c>
      <c r="Y94" s="717">
        <v>0</v>
      </c>
      <c r="Z94" s="717">
        <v>1683.43</v>
      </c>
      <c r="AA94" s="717">
        <v>0</v>
      </c>
      <c r="AB94" s="717">
        <v>0</v>
      </c>
      <c r="AC94" s="717">
        <v>0</v>
      </c>
      <c r="AD94" s="717">
        <v>0</v>
      </c>
      <c r="AE94" s="717">
        <v>0</v>
      </c>
      <c r="AF94" s="717">
        <v>0</v>
      </c>
      <c r="AG94" s="1996">
        <v>2448.62</v>
      </c>
    </row>
    <row r="95" spans="1:34" x14ac:dyDescent="0.2">
      <c r="A95" s="666" t="s">
        <v>2124</v>
      </c>
      <c r="B95" s="666" t="s">
        <v>35</v>
      </c>
      <c r="C95" s="666"/>
      <c r="D95" s="666"/>
      <c r="E95" s="715">
        <v>19</v>
      </c>
      <c r="F95" s="715">
        <v>0</v>
      </c>
      <c r="G95" s="715">
        <v>20</v>
      </c>
      <c r="H95" s="715">
        <v>0</v>
      </c>
      <c r="I95" s="715">
        <v>0</v>
      </c>
      <c r="J95" s="715">
        <v>0</v>
      </c>
      <c r="K95" s="715">
        <v>13</v>
      </c>
      <c r="L95" s="715">
        <v>0</v>
      </c>
      <c r="M95" s="715">
        <v>0</v>
      </c>
      <c r="N95" s="715">
        <v>0</v>
      </c>
      <c r="O95" s="715">
        <v>0</v>
      </c>
      <c r="P95" s="715">
        <v>0</v>
      </c>
      <c r="Q95" s="715">
        <v>0</v>
      </c>
      <c r="R95" s="716">
        <v>26</v>
      </c>
      <c r="S95" s="666" t="s">
        <v>1802</v>
      </c>
      <c r="T95" s="717">
        <v>568.51</v>
      </c>
      <c r="U95" s="717">
        <v>0</v>
      </c>
      <c r="V95" s="717">
        <v>500</v>
      </c>
      <c r="W95" s="717">
        <v>0</v>
      </c>
      <c r="X95" s="717">
        <v>0</v>
      </c>
      <c r="Y95" s="717">
        <v>0</v>
      </c>
      <c r="Z95" s="717">
        <v>254.24</v>
      </c>
      <c r="AA95" s="717">
        <v>0</v>
      </c>
      <c r="AB95" s="717">
        <v>0</v>
      </c>
      <c r="AC95" s="717">
        <v>0</v>
      </c>
      <c r="AD95" s="717">
        <v>0</v>
      </c>
      <c r="AE95" s="717">
        <v>0</v>
      </c>
      <c r="AF95" s="717">
        <v>0</v>
      </c>
      <c r="AG95" s="1996">
        <v>814.27</v>
      </c>
    </row>
    <row r="96" spans="1:34" x14ac:dyDescent="0.2">
      <c r="A96" s="666" t="s">
        <v>2125</v>
      </c>
      <c r="B96" s="666" t="s">
        <v>35</v>
      </c>
      <c r="C96" s="666"/>
      <c r="D96" s="666"/>
      <c r="E96" s="715">
        <v>0</v>
      </c>
      <c r="F96" s="715">
        <v>0</v>
      </c>
      <c r="G96" s="715">
        <v>0</v>
      </c>
      <c r="H96" s="715">
        <v>0</v>
      </c>
      <c r="I96" s="715">
        <v>0</v>
      </c>
      <c r="J96" s="715">
        <v>0</v>
      </c>
      <c r="K96" s="715">
        <v>0</v>
      </c>
      <c r="L96" s="715">
        <v>0</v>
      </c>
      <c r="M96" s="715">
        <v>0</v>
      </c>
      <c r="N96" s="715">
        <v>0</v>
      </c>
      <c r="O96" s="715">
        <v>0</v>
      </c>
      <c r="P96" s="715">
        <v>0</v>
      </c>
      <c r="Q96" s="715">
        <v>0</v>
      </c>
      <c r="R96" s="716">
        <v>0</v>
      </c>
      <c r="S96" s="666" t="s">
        <v>663</v>
      </c>
      <c r="T96" s="717">
        <v>106633.2</v>
      </c>
      <c r="U96" s="717">
        <v>0</v>
      </c>
      <c r="V96" s="717">
        <v>0</v>
      </c>
      <c r="W96" s="717">
        <v>0</v>
      </c>
      <c r="X96" s="717">
        <v>0</v>
      </c>
      <c r="Y96" s="717">
        <v>0</v>
      </c>
      <c r="Z96" s="717">
        <v>12145.4</v>
      </c>
      <c r="AA96" s="717">
        <v>0</v>
      </c>
      <c r="AB96" s="717">
        <v>0</v>
      </c>
      <c r="AC96" s="717">
        <v>0</v>
      </c>
      <c r="AD96" s="717">
        <v>0</v>
      </c>
      <c r="AE96" s="717">
        <v>0</v>
      </c>
      <c r="AF96" s="717">
        <v>0</v>
      </c>
      <c r="AG96" s="1996">
        <v>94487.8</v>
      </c>
    </row>
    <row r="97" spans="1:33" x14ac:dyDescent="0.2">
      <c r="A97" s="666" t="s">
        <v>2126</v>
      </c>
      <c r="B97" s="666" t="s">
        <v>35</v>
      </c>
      <c r="C97" s="666"/>
      <c r="D97" s="666"/>
      <c r="E97" s="715">
        <v>5950</v>
      </c>
      <c r="F97" s="715">
        <v>1960</v>
      </c>
      <c r="G97" s="715">
        <v>0</v>
      </c>
      <c r="H97" s="715">
        <v>0</v>
      </c>
      <c r="I97" s="715">
        <v>0</v>
      </c>
      <c r="J97" s="715">
        <v>0</v>
      </c>
      <c r="K97" s="715">
        <v>1050</v>
      </c>
      <c r="L97" s="715">
        <v>0</v>
      </c>
      <c r="M97" s="715">
        <v>0</v>
      </c>
      <c r="N97" s="715">
        <v>0</v>
      </c>
      <c r="O97" s="715">
        <v>0</v>
      </c>
      <c r="P97" s="715">
        <v>0</v>
      </c>
      <c r="Q97" s="715">
        <v>0</v>
      </c>
      <c r="R97" s="716">
        <v>6860</v>
      </c>
      <c r="S97" s="666" t="s">
        <v>656</v>
      </c>
      <c r="T97" s="717">
        <v>180145</v>
      </c>
      <c r="U97" s="717">
        <v>49000</v>
      </c>
      <c r="V97" s="717">
        <v>0</v>
      </c>
      <c r="W97" s="717">
        <v>0</v>
      </c>
      <c r="X97" s="717">
        <v>0</v>
      </c>
      <c r="Y97" s="717">
        <v>0</v>
      </c>
      <c r="Z97" s="717">
        <v>24513.5</v>
      </c>
      <c r="AA97" s="717">
        <v>0</v>
      </c>
      <c r="AB97" s="717">
        <v>0</v>
      </c>
      <c r="AC97" s="717">
        <v>0</v>
      </c>
      <c r="AD97" s="717">
        <v>0</v>
      </c>
      <c r="AE97" s="717">
        <v>0</v>
      </c>
      <c r="AF97" s="717">
        <v>0</v>
      </c>
      <c r="AG97" s="1996">
        <v>204631.5</v>
      </c>
    </row>
    <row r="98" spans="1:33" x14ac:dyDescent="0.2">
      <c r="A98" s="666" t="s">
        <v>2127</v>
      </c>
      <c r="B98" s="666" t="s">
        <v>35</v>
      </c>
      <c r="C98" s="666"/>
      <c r="D98" s="666"/>
      <c r="E98" s="715">
        <v>16</v>
      </c>
      <c r="F98" s="715">
        <v>0</v>
      </c>
      <c r="G98" s="715">
        <v>0</v>
      </c>
      <c r="H98" s="715">
        <v>0</v>
      </c>
      <c r="I98" s="715">
        <v>0</v>
      </c>
      <c r="J98" s="715">
        <v>0</v>
      </c>
      <c r="K98" s="715">
        <v>4</v>
      </c>
      <c r="L98" s="715">
        <v>0</v>
      </c>
      <c r="M98" s="715">
        <v>0</v>
      </c>
      <c r="N98" s="715">
        <v>0</v>
      </c>
      <c r="O98" s="715">
        <v>0</v>
      </c>
      <c r="P98" s="715">
        <v>0</v>
      </c>
      <c r="Q98" s="715">
        <v>0</v>
      </c>
      <c r="R98" s="716">
        <v>12</v>
      </c>
      <c r="S98" s="666" t="s">
        <v>1418</v>
      </c>
      <c r="T98" s="717">
        <v>355.66</v>
      </c>
      <c r="U98" s="717">
        <v>0</v>
      </c>
      <c r="V98" s="717">
        <v>0</v>
      </c>
      <c r="W98" s="717">
        <v>0</v>
      </c>
      <c r="X98" s="717">
        <v>0</v>
      </c>
      <c r="Y98" s="717">
        <v>0</v>
      </c>
      <c r="Z98" s="717">
        <v>68.460000000000008</v>
      </c>
      <c r="AA98" s="717">
        <v>0</v>
      </c>
      <c r="AB98" s="717">
        <v>0</v>
      </c>
      <c r="AC98" s="717">
        <v>0</v>
      </c>
      <c r="AD98" s="717">
        <v>0</v>
      </c>
      <c r="AE98" s="717">
        <v>0</v>
      </c>
      <c r="AF98" s="717">
        <v>0</v>
      </c>
      <c r="AG98" s="1996">
        <v>287.2</v>
      </c>
    </row>
    <row r="99" spans="1:33" x14ac:dyDescent="0.2">
      <c r="A99" s="666" t="s">
        <v>2128</v>
      </c>
      <c r="B99" s="666" t="s">
        <v>35</v>
      </c>
      <c r="C99" s="666"/>
      <c r="D99" s="666"/>
      <c r="E99" s="715">
        <v>23</v>
      </c>
      <c r="F99" s="715">
        <v>0</v>
      </c>
      <c r="G99" s="715">
        <v>0</v>
      </c>
      <c r="H99" s="715">
        <v>0</v>
      </c>
      <c r="I99" s="715">
        <v>0</v>
      </c>
      <c r="J99" s="715">
        <v>0</v>
      </c>
      <c r="K99" s="715">
        <v>5</v>
      </c>
      <c r="L99" s="715">
        <v>0</v>
      </c>
      <c r="M99" s="715">
        <v>0</v>
      </c>
      <c r="N99" s="715">
        <v>0</v>
      </c>
      <c r="O99" s="715">
        <v>0</v>
      </c>
      <c r="P99" s="715">
        <v>0</v>
      </c>
      <c r="Q99" s="715">
        <v>0</v>
      </c>
      <c r="R99" s="716">
        <v>18</v>
      </c>
      <c r="S99" s="666" t="s">
        <v>1521</v>
      </c>
      <c r="T99" s="717">
        <v>639.96</v>
      </c>
      <c r="U99" s="717">
        <v>0</v>
      </c>
      <c r="V99" s="717">
        <v>0</v>
      </c>
      <c r="W99" s="717">
        <v>0</v>
      </c>
      <c r="X99" s="717">
        <v>0</v>
      </c>
      <c r="Y99" s="717">
        <v>0</v>
      </c>
      <c r="Z99" s="717">
        <v>112.29</v>
      </c>
      <c r="AA99" s="717">
        <v>0</v>
      </c>
      <c r="AB99" s="717">
        <v>0</v>
      </c>
      <c r="AC99" s="717">
        <v>0</v>
      </c>
      <c r="AD99" s="717">
        <v>0</v>
      </c>
      <c r="AE99" s="717">
        <v>0</v>
      </c>
      <c r="AF99" s="717">
        <v>0</v>
      </c>
      <c r="AG99" s="1996">
        <v>527.66999999999996</v>
      </c>
    </row>
    <row r="100" spans="1:33" x14ac:dyDescent="0.2">
      <c r="A100" s="666" t="s">
        <v>2129</v>
      </c>
      <c r="B100" s="666" t="s">
        <v>35</v>
      </c>
      <c r="C100" s="666"/>
      <c r="D100" s="666"/>
      <c r="E100" s="715">
        <v>0</v>
      </c>
      <c r="F100" s="715">
        <v>0</v>
      </c>
      <c r="G100" s="715">
        <v>0</v>
      </c>
      <c r="H100" s="715">
        <v>0</v>
      </c>
      <c r="I100" s="715">
        <v>0</v>
      </c>
      <c r="J100" s="715">
        <v>0</v>
      </c>
      <c r="K100" s="715">
        <v>0</v>
      </c>
      <c r="L100" s="715">
        <v>0</v>
      </c>
      <c r="M100" s="715">
        <v>0</v>
      </c>
      <c r="N100" s="715">
        <v>0</v>
      </c>
      <c r="O100" s="715">
        <v>0</v>
      </c>
      <c r="P100" s="715">
        <v>0</v>
      </c>
      <c r="Q100" s="715">
        <v>0</v>
      </c>
      <c r="R100" s="716">
        <v>0</v>
      </c>
      <c r="S100" s="666" t="s">
        <v>1246</v>
      </c>
      <c r="T100" s="717">
        <v>32152.27</v>
      </c>
      <c r="U100" s="717">
        <v>24060</v>
      </c>
      <c r="V100" s="717">
        <v>0</v>
      </c>
      <c r="W100" s="717">
        <v>0</v>
      </c>
      <c r="X100" s="717">
        <v>0</v>
      </c>
      <c r="Y100" s="717">
        <v>0</v>
      </c>
      <c r="Z100" s="717">
        <v>6183</v>
      </c>
      <c r="AA100" s="717">
        <v>0</v>
      </c>
      <c r="AB100" s="717">
        <v>0</v>
      </c>
      <c r="AC100" s="717">
        <v>0</v>
      </c>
      <c r="AD100" s="717">
        <v>0</v>
      </c>
      <c r="AE100" s="717">
        <v>0</v>
      </c>
      <c r="AF100" s="717">
        <v>0</v>
      </c>
      <c r="AG100" s="1996">
        <v>50029.270000000004</v>
      </c>
    </row>
    <row r="101" spans="1:33" x14ac:dyDescent="0.2">
      <c r="A101" s="666" t="s">
        <v>2130</v>
      </c>
      <c r="B101" s="666" t="s">
        <v>35</v>
      </c>
      <c r="C101" s="666"/>
      <c r="D101" s="666"/>
      <c r="E101" s="715">
        <v>2</v>
      </c>
      <c r="F101" s="715">
        <v>0</v>
      </c>
      <c r="G101" s="715">
        <v>0</v>
      </c>
      <c r="H101" s="715">
        <v>0</v>
      </c>
      <c r="I101" s="715">
        <v>0</v>
      </c>
      <c r="J101" s="715">
        <v>0</v>
      </c>
      <c r="K101" s="715">
        <v>1</v>
      </c>
      <c r="L101" s="715">
        <v>0</v>
      </c>
      <c r="M101" s="715">
        <v>0</v>
      </c>
      <c r="N101" s="715">
        <v>0</v>
      </c>
      <c r="O101" s="715">
        <v>0</v>
      </c>
      <c r="P101" s="715">
        <v>0</v>
      </c>
      <c r="Q101" s="715">
        <v>0</v>
      </c>
      <c r="R101" s="716">
        <v>1</v>
      </c>
      <c r="S101" s="666" t="s">
        <v>878</v>
      </c>
      <c r="T101" s="717">
        <v>86.66</v>
      </c>
      <c r="U101" s="717">
        <v>0</v>
      </c>
      <c r="V101" s="717">
        <v>0</v>
      </c>
      <c r="W101" s="717">
        <v>0</v>
      </c>
      <c r="X101" s="717">
        <v>0</v>
      </c>
      <c r="Y101" s="717">
        <v>0</v>
      </c>
      <c r="Z101" s="717">
        <v>44.74</v>
      </c>
      <c r="AA101" s="717">
        <v>0</v>
      </c>
      <c r="AB101" s="717">
        <v>0</v>
      </c>
      <c r="AC101" s="717">
        <v>0</v>
      </c>
      <c r="AD101" s="717">
        <v>0</v>
      </c>
      <c r="AE101" s="717">
        <v>0</v>
      </c>
      <c r="AF101" s="717">
        <v>0</v>
      </c>
      <c r="AG101" s="1996">
        <v>41.92</v>
      </c>
    </row>
    <row r="102" spans="1:33" x14ac:dyDescent="0.2">
      <c r="A102" s="666" t="s">
        <v>2131</v>
      </c>
      <c r="B102" s="666" t="s">
        <v>35</v>
      </c>
      <c r="C102" s="666"/>
      <c r="D102" s="666"/>
      <c r="E102" s="715">
        <v>5</v>
      </c>
      <c r="F102" s="715">
        <v>0</v>
      </c>
      <c r="G102" s="715">
        <v>0</v>
      </c>
      <c r="H102" s="715">
        <v>0</v>
      </c>
      <c r="I102" s="715">
        <v>0</v>
      </c>
      <c r="J102" s="715">
        <v>0</v>
      </c>
      <c r="K102" s="715">
        <v>2</v>
      </c>
      <c r="L102" s="715">
        <v>0</v>
      </c>
      <c r="M102" s="715">
        <v>0</v>
      </c>
      <c r="N102" s="715">
        <v>0</v>
      </c>
      <c r="O102" s="715">
        <v>0</v>
      </c>
      <c r="P102" s="715">
        <v>0</v>
      </c>
      <c r="Q102" s="715">
        <v>0</v>
      </c>
      <c r="R102" s="716">
        <v>3</v>
      </c>
      <c r="S102" s="666" t="s">
        <v>1823</v>
      </c>
      <c r="T102" s="717">
        <v>139.75</v>
      </c>
      <c r="U102" s="717">
        <v>0</v>
      </c>
      <c r="V102" s="717">
        <v>0</v>
      </c>
      <c r="W102" s="717">
        <v>0</v>
      </c>
      <c r="X102" s="717">
        <v>0</v>
      </c>
      <c r="Y102" s="717">
        <v>0</v>
      </c>
      <c r="Z102" s="717">
        <v>42.57</v>
      </c>
      <c r="AA102" s="717">
        <v>0</v>
      </c>
      <c r="AB102" s="717">
        <v>0</v>
      </c>
      <c r="AC102" s="717">
        <v>0</v>
      </c>
      <c r="AD102" s="717">
        <v>0</v>
      </c>
      <c r="AE102" s="717">
        <v>0</v>
      </c>
      <c r="AF102" s="717">
        <v>0</v>
      </c>
      <c r="AG102" s="1996">
        <v>97.18</v>
      </c>
    </row>
    <row r="103" spans="1:33" x14ac:dyDescent="0.2">
      <c r="A103" s="666" t="s">
        <v>2132</v>
      </c>
      <c r="B103" s="666" t="s">
        <v>35</v>
      </c>
      <c r="C103" s="666"/>
      <c r="D103" s="666"/>
      <c r="E103" s="715">
        <v>27</v>
      </c>
      <c r="F103" s="715">
        <v>0</v>
      </c>
      <c r="G103" s="715">
        <v>0</v>
      </c>
      <c r="H103" s="715">
        <v>0</v>
      </c>
      <c r="I103" s="715">
        <v>0</v>
      </c>
      <c r="J103" s="715">
        <v>0</v>
      </c>
      <c r="K103" s="715">
        <v>0</v>
      </c>
      <c r="L103" s="715">
        <v>0</v>
      </c>
      <c r="M103" s="715">
        <v>0</v>
      </c>
      <c r="N103" s="715">
        <v>0</v>
      </c>
      <c r="O103" s="715">
        <v>0</v>
      </c>
      <c r="P103" s="715">
        <v>0</v>
      </c>
      <c r="Q103" s="715">
        <v>0</v>
      </c>
      <c r="R103" s="716">
        <v>27</v>
      </c>
      <c r="S103" s="666" t="s">
        <v>1728</v>
      </c>
      <c r="T103" s="717">
        <v>553.72</v>
      </c>
      <c r="U103" s="717">
        <v>0</v>
      </c>
      <c r="V103" s="717">
        <v>0</v>
      </c>
      <c r="W103" s="717">
        <v>0</v>
      </c>
      <c r="X103" s="717">
        <v>0</v>
      </c>
      <c r="Y103" s="717">
        <v>0</v>
      </c>
      <c r="Z103" s="717">
        <v>13</v>
      </c>
      <c r="AA103" s="717">
        <v>0</v>
      </c>
      <c r="AB103" s="717">
        <v>0</v>
      </c>
      <c r="AC103" s="717">
        <v>0</v>
      </c>
      <c r="AD103" s="717">
        <v>0</v>
      </c>
      <c r="AE103" s="717">
        <v>0</v>
      </c>
      <c r="AF103" s="717">
        <v>0</v>
      </c>
      <c r="AG103" s="1996">
        <v>540.72</v>
      </c>
    </row>
    <row r="104" spans="1:33" x14ac:dyDescent="0.2">
      <c r="A104" s="666" t="s">
        <v>2133</v>
      </c>
      <c r="B104" s="666" t="s">
        <v>35</v>
      </c>
      <c r="C104" s="666"/>
      <c r="D104" s="666"/>
      <c r="E104" s="715">
        <v>141</v>
      </c>
      <c r="F104" s="715">
        <v>100</v>
      </c>
      <c r="G104" s="715">
        <v>0</v>
      </c>
      <c r="H104" s="715">
        <v>0</v>
      </c>
      <c r="I104" s="715">
        <v>0</v>
      </c>
      <c r="J104" s="715">
        <v>0</v>
      </c>
      <c r="K104" s="715">
        <v>19</v>
      </c>
      <c r="L104" s="715">
        <v>0</v>
      </c>
      <c r="M104" s="715">
        <v>0</v>
      </c>
      <c r="N104" s="715">
        <v>0</v>
      </c>
      <c r="O104" s="715">
        <v>0</v>
      </c>
      <c r="P104" s="715">
        <v>0</v>
      </c>
      <c r="Q104" s="715">
        <v>0</v>
      </c>
      <c r="R104" s="716">
        <v>222</v>
      </c>
      <c r="S104" s="666" t="s">
        <v>1636</v>
      </c>
      <c r="T104" s="717">
        <v>3599.57</v>
      </c>
      <c r="U104" s="717">
        <v>2500</v>
      </c>
      <c r="V104" s="717">
        <v>0</v>
      </c>
      <c r="W104" s="717">
        <v>0</v>
      </c>
      <c r="X104" s="717">
        <v>0</v>
      </c>
      <c r="Y104" s="717">
        <v>0</v>
      </c>
      <c r="Z104" s="717">
        <v>479.13</v>
      </c>
      <c r="AA104" s="717">
        <v>0</v>
      </c>
      <c r="AB104" s="717">
        <v>0</v>
      </c>
      <c r="AC104" s="717">
        <v>0</v>
      </c>
      <c r="AD104" s="717">
        <v>0</v>
      </c>
      <c r="AE104" s="717">
        <v>0</v>
      </c>
      <c r="AF104" s="717">
        <v>0</v>
      </c>
      <c r="AG104" s="1996">
        <v>5620.4400000000005</v>
      </c>
    </row>
    <row r="105" spans="1:33" x14ac:dyDescent="0.2">
      <c r="A105" s="666" t="s">
        <v>2134</v>
      </c>
      <c r="B105" s="666" t="s">
        <v>35</v>
      </c>
      <c r="C105" s="666"/>
      <c r="D105" s="666"/>
      <c r="E105" s="715">
        <v>78</v>
      </c>
      <c r="F105" s="715">
        <v>0</v>
      </c>
      <c r="G105" s="715">
        <v>0</v>
      </c>
      <c r="H105" s="715">
        <v>0</v>
      </c>
      <c r="I105" s="715">
        <v>0</v>
      </c>
      <c r="J105" s="715">
        <v>0</v>
      </c>
      <c r="K105" s="715">
        <v>4</v>
      </c>
      <c r="L105" s="715">
        <v>0</v>
      </c>
      <c r="M105" s="715">
        <v>0</v>
      </c>
      <c r="N105" s="715">
        <v>0</v>
      </c>
      <c r="O105" s="715">
        <v>0</v>
      </c>
      <c r="P105" s="715">
        <v>0</v>
      </c>
      <c r="Q105" s="715">
        <v>0</v>
      </c>
      <c r="R105" s="716">
        <v>74</v>
      </c>
      <c r="S105" s="666" t="s">
        <v>1736</v>
      </c>
      <c r="T105" s="717">
        <v>1983.55</v>
      </c>
      <c r="U105" s="717">
        <v>0</v>
      </c>
      <c r="V105" s="717">
        <v>0</v>
      </c>
      <c r="W105" s="717">
        <v>0</v>
      </c>
      <c r="X105" s="717">
        <v>0</v>
      </c>
      <c r="Y105" s="717">
        <v>0</v>
      </c>
      <c r="Z105" s="717">
        <v>127.93</v>
      </c>
      <c r="AA105" s="717">
        <v>0</v>
      </c>
      <c r="AB105" s="717">
        <v>0</v>
      </c>
      <c r="AC105" s="717">
        <v>0</v>
      </c>
      <c r="AD105" s="717">
        <v>0</v>
      </c>
      <c r="AE105" s="717">
        <v>0</v>
      </c>
      <c r="AF105" s="717">
        <v>0</v>
      </c>
      <c r="AG105" s="1996">
        <v>1855.6200000000001</v>
      </c>
    </row>
    <row r="106" spans="1:33" x14ac:dyDescent="0.2">
      <c r="A106" s="666" t="s">
        <v>2135</v>
      </c>
      <c r="B106" s="666" t="s">
        <v>35</v>
      </c>
      <c r="C106" s="666"/>
      <c r="D106" s="666"/>
      <c r="E106" s="715">
        <v>0</v>
      </c>
      <c r="F106" s="715">
        <v>0</v>
      </c>
      <c r="G106" s="715">
        <v>0</v>
      </c>
      <c r="H106" s="715">
        <v>0</v>
      </c>
      <c r="I106" s="715">
        <v>0</v>
      </c>
      <c r="J106" s="715">
        <v>0</v>
      </c>
      <c r="K106" s="715">
        <v>0</v>
      </c>
      <c r="L106" s="715">
        <v>0</v>
      </c>
      <c r="M106" s="715">
        <v>0</v>
      </c>
      <c r="N106" s="715">
        <v>0</v>
      </c>
      <c r="O106" s="715">
        <v>0</v>
      </c>
      <c r="P106" s="715">
        <v>0</v>
      </c>
      <c r="Q106" s="715">
        <v>0</v>
      </c>
      <c r="R106" s="716">
        <v>0</v>
      </c>
      <c r="S106" s="666" t="s">
        <v>652</v>
      </c>
      <c r="T106" s="717">
        <v>33064.58</v>
      </c>
      <c r="U106" s="717">
        <v>22370</v>
      </c>
      <c r="V106" s="717">
        <v>0</v>
      </c>
      <c r="W106" s="717">
        <v>0</v>
      </c>
      <c r="X106" s="717">
        <v>0</v>
      </c>
      <c r="Y106" s="717">
        <v>0</v>
      </c>
      <c r="Z106" s="717">
        <v>14652.48</v>
      </c>
      <c r="AA106" s="717">
        <v>0</v>
      </c>
      <c r="AB106" s="717">
        <v>0</v>
      </c>
      <c r="AC106" s="717">
        <v>0</v>
      </c>
      <c r="AD106" s="717">
        <v>0</v>
      </c>
      <c r="AE106" s="717">
        <v>0</v>
      </c>
      <c r="AF106" s="717">
        <v>0</v>
      </c>
      <c r="AG106" s="1996">
        <v>40782.1</v>
      </c>
    </row>
    <row r="107" spans="1:33" x14ac:dyDescent="0.2">
      <c r="A107" s="666" t="s">
        <v>2136</v>
      </c>
      <c r="B107" s="666" t="s">
        <v>35</v>
      </c>
      <c r="C107" s="666"/>
      <c r="D107" s="666"/>
      <c r="E107" s="715">
        <v>760</v>
      </c>
      <c r="F107" s="715">
        <v>0</v>
      </c>
      <c r="G107" s="715">
        <v>0</v>
      </c>
      <c r="H107" s="715">
        <v>0</v>
      </c>
      <c r="I107" s="715">
        <v>0</v>
      </c>
      <c r="J107" s="715">
        <v>0</v>
      </c>
      <c r="K107" s="715">
        <v>200</v>
      </c>
      <c r="L107" s="715">
        <v>0</v>
      </c>
      <c r="M107" s="715">
        <v>0</v>
      </c>
      <c r="N107" s="715">
        <v>0</v>
      </c>
      <c r="O107" s="715">
        <v>0</v>
      </c>
      <c r="P107" s="715">
        <v>0</v>
      </c>
      <c r="Q107" s="715">
        <v>0</v>
      </c>
      <c r="R107" s="716">
        <v>560</v>
      </c>
      <c r="S107" s="666" t="s">
        <v>903</v>
      </c>
      <c r="T107" s="717">
        <v>20585</v>
      </c>
      <c r="U107" s="717">
        <v>0</v>
      </c>
      <c r="V107" s="717">
        <v>0</v>
      </c>
      <c r="W107" s="717">
        <v>0</v>
      </c>
      <c r="X107" s="717">
        <v>0</v>
      </c>
      <c r="Y107" s="717">
        <v>0</v>
      </c>
      <c r="Z107" s="717">
        <v>4870</v>
      </c>
      <c r="AA107" s="717">
        <v>0</v>
      </c>
      <c r="AB107" s="717">
        <v>0</v>
      </c>
      <c r="AC107" s="717">
        <v>0</v>
      </c>
      <c r="AD107" s="717">
        <v>0</v>
      </c>
      <c r="AE107" s="717">
        <v>0</v>
      </c>
      <c r="AF107" s="717">
        <v>0</v>
      </c>
      <c r="AG107" s="1996">
        <v>15715</v>
      </c>
    </row>
    <row r="108" spans="1:33" x14ac:dyDescent="0.2">
      <c r="A108" s="666" t="s">
        <v>2137</v>
      </c>
      <c r="B108" s="666" t="s">
        <v>35</v>
      </c>
      <c r="C108" s="666"/>
      <c r="D108" s="666"/>
      <c r="E108" s="715">
        <v>109</v>
      </c>
      <c r="F108" s="715">
        <v>0</v>
      </c>
      <c r="G108" s="715">
        <v>0</v>
      </c>
      <c r="H108" s="715">
        <v>0</v>
      </c>
      <c r="I108" s="715">
        <v>0</v>
      </c>
      <c r="J108" s="715">
        <v>0</v>
      </c>
      <c r="K108" s="715">
        <v>40</v>
      </c>
      <c r="L108" s="715">
        <v>0</v>
      </c>
      <c r="M108" s="715">
        <v>0</v>
      </c>
      <c r="N108" s="715">
        <v>0</v>
      </c>
      <c r="O108" s="715">
        <v>0</v>
      </c>
      <c r="P108" s="715">
        <v>0</v>
      </c>
      <c r="Q108" s="715">
        <v>0</v>
      </c>
      <c r="R108" s="716">
        <v>69</v>
      </c>
      <c r="S108" s="666" t="s">
        <v>665</v>
      </c>
      <c r="T108" s="717">
        <v>2887.51</v>
      </c>
      <c r="U108" s="717">
        <v>0</v>
      </c>
      <c r="V108" s="717">
        <v>0</v>
      </c>
      <c r="W108" s="717">
        <v>0</v>
      </c>
      <c r="X108" s="717">
        <v>0</v>
      </c>
      <c r="Y108" s="717">
        <v>0</v>
      </c>
      <c r="Z108" s="717">
        <v>921.97</v>
      </c>
      <c r="AA108" s="717">
        <v>0</v>
      </c>
      <c r="AB108" s="717">
        <v>0</v>
      </c>
      <c r="AC108" s="717">
        <v>0</v>
      </c>
      <c r="AD108" s="717">
        <v>0</v>
      </c>
      <c r="AE108" s="717">
        <v>0</v>
      </c>
      <c r="AF108" s="717">
        <v>0</v>
      </c>
      <c r="AG108" s="1996">
        <v>1965.54</v>
      </c>
    </row>
    <row r="109" spans="1:33" x14ac:dyDescent="0.2">
      <c r="A109" s="666" t="s">
        <v>2138</v>
      </c>
      <c r="B109" s="666" t="s">
        <v>35</v>
      </c>
      <c r="C109" s="666"/>
      <c r="D109" s="666"/>
      <c r="E109" s="715">
        <v>0</v>
      </c>
      <c r="F109" s="715">
        <v>0</v>
      </c>
      <c r="G109" s="715">
        <v>0</v>
      </c>
      <c r="H109" s="715">
        <v>0</v>
      </c>
      <c r="I109" s="715">
        <v>0</v>
      </c>
      <c r="J109" s="715">
        <v>0</v>
      </c>
      <c r="K109" s="715">
        <v>0</v>
      </c>
      <c r="L109" s="715">
        <v>0</v>
      </c>
      <c r="M109" s="715">
        <v>0</v>
      </c>
      <c r="N109" s="715">
        <v>0</v>
      </c>
      <c r="O109" s="715">
        <v>0</v>
      </c>
      <c r="P109" s="715">
        <v>0</v>
      </c>
      <c r="Q109" s="715">
        <v>0</v>
      </c>
      <c r="R109" s="716">
        <v>0</v>
      </c>
      <c r="S109" s="666" t="s">
        <v>662</v>
      </c>
      <c r="T109" s="717">
        <v>40.76</v>
      </c>
      <c r="U109" s="717">
        <v>0</v>
      </c>
      <c r="V109" s="717">
        <v>0</v>
      </c>
      <c r="W109" s="717">
        <v>0</v>
      </c>
      <c r="X109" s="717">
        <v>0</v>
      </c>
      <c r="Y109" s="717">
        <v>0</v>
      </c>
      <c r="Z109" s="717">
        <v>0</v>
      </c>
      <c r="AA109" s="717">
        <v>0</v>
      </c>
      <c r="AB109" s="717">
        <v>0</v>
      </c>
      <c r="AC109" s="717">
        <v>0</v>
      </c>
      <c r="AD109" s="717">
        <v>0</v>
      </c>
      <c r="AE109" s="717">
        <v>0</v>
      </c>
      <c r="AF109" s="717">
        <v>0</v>
      </c>
      <c r="AG109" s="1996">
        <v>40.76</v>
      </c>
    </row>
    <row r="110" spans="1:33" x14ac:dyDescent="0.2">
      <c r="A110" s="666" t="s">
        <v>2139</v>
      </c>
      <c r="B110" s="666" t="s">
        <v>35</v>
      </c>
      <c r="C110" s="666"/>
      <c r="D110" s="666"/>
      <c r="E110" s="715">
        <v>220</v>
      </c>
      <c r="F110" s="715">
        <v>0</v>
      </c>
      <c r="G110" s="715">
        <v>0</v>
      </c>
      <c r="H110" s="715">
        <v>0</v>
      </c>
      <c r="I110" s="715">
        <v>0</v>
      </c>
      <c r="J110" s="715">
        <v>0</v>
      </c>
      <c r="K110" s="715">
        <v>60</v>
      </c>
      <c r="L110" s="715">
        <v>0</v>
      </c>
      <c r="M110" s="715">
        <v>0</v>
      </c>
      <c r="N110" s="715">
        <v>0</v>
      </c>
      <c r="O110" s="715">
        <v>0</v>
      </c>
      <c r="P110" s="715">
        <v>0</v>
      </c>
      <c r="Q110" s="715">
        <v>0</v>
      </c>
      <c r="R110" s="716">
        <v>160</v>
      </c>
      <c r="S110" s="666" t="s">
        <v>1705</v>
      </c>
      <c r="T110" s="717">
        <v>5785.28</v>
      </c>
      <c r="U110" s="717">
        <v>0</v>
      </c>
      <c r="V110" s="717">
        <v>0</v>
      </c>
      <c r="W110" s="717">
        <v>0</v>
      </c>
      <c r="X110" s="717">
        <v>0</v>
      </c>
      <c r="Y110" s="717">
        <v>0</v>
      </c>
      <c r="Z110" s="717">
        <v>1387.48</v>
      </c>
      <c r="AA110" s="717">
        <v>0</v>
      </c>
      <c r="AB110" s="717">
        <v>0</v>
      </c>
      <c r="AC110" s="717">
        <v>0</v>
      </c>
      <c r="AD110" s="717">
        <v>0</v>
      </c>
      <c r="AE110" s="717">
        <v>0</v>
      </c>
      <c r="AF110" s="717">
        <v>0</v>
      </c>
      <c r="AG110" s="1996">
        <v>4397.8</v>
      </c>
    </row>
    <row r="111" spans="1:33" x14ac:dyDescent="0.2">
      <c r="A111" s="666" t="s">
        <v>2140</v>
      </c>
      <c r="B111" s="666" t="s">
        <v>35</v>
      </c>
      <c r="C111" s="666"/>
      <c r="D111" s="666"/>
      <c r="E111" s="715">
        <v>100</v>
      </c>
      <c r="F111" s="715">
        <v>0</v>
      </c>
      <c r="G111" s="715">
        <v>0</v>
      </c>
      <c r="H111" s="715">
        <v>0</v>
      </c>
      <c r="I111" s="715">
        <v>0</v>
      </c>
      <c r="J111" s="715">
        <v>0</v>
      </c>
      <c r="K111" s="715">
        <v>0</v>
      </c>
      <c r="L111" s="715">
        <v>0</v>
      </c>
      <c r="M111" s="715">
        <v>0</v>
      </c>
      <c r="N111" s="715">
        <v>0</v>
      </c>
      <c r="O111" s="715">
        <v>0</v>
      </c>
      <c r="P111" s="715">
        <v>0</v>
      </c>
      <c r="Q111" s="715">
        <v>0</v>
      </c>
      <c r="R111" s="716">
        <v>100</v>
      </c>
      <c r="S111" s="666" t="s">
        <v>1595</v>
      </c>
      <c r="T111" s="717">
        <v>2829.96</v>
      </c>
      <c r="U111" s="717">
        <v>0</v>
      </c>
      <c r="V111" s="717">
        <v>0</v>
      </c>
      <c r="W111" s="717">
        <v>0</v>
      </c>
      <c r="X111" s="717">
        <v>0</v>
      </c>
      <c r="Y111" s="717">
        <v>0</v>
      </c>
      <c r="Z111" s="717">
        <v>676.16</v>
      </c>
      <c r="AA111" s="717">
        <v>0</v>
      </c>
      <c r="AB111" s="717">
        <v>0</v>
      </c>
      <c r="AC111" s="717">
        <v>0</v>
      </c>
      <c r="AD111" s="717">
        <v>0</v>
      </c>
      <c r="AE111" s="717">
        <v>0</v>
      </c>
      <c r="AF111" s="717">
        <v>0</v>
      </c>
      <c r="AG111" s="1996">
        <v>2153.8000000000002</v>
      </c>
    </row>
    <row r="112" spans="1:33" x14ac:dyDescent="0.2">
      <c r="A112" s="666" t="s">
        <v>2141</v>
      </c>
      <c r="B112" s="666" t="s">
        <v>35</v>
      </c>
      <c r="C112" s="666"/>
      <c r="D112" s="666"/>
      <c r="E112" s="715">
        <v>155</v>
      </c>
      <c r="F112" s="715">
        <v>0</v>
      </c>
      <c r="G112" s="715">
        <v>0</v>
      </c>
      <c r="H112" s="715">
        <v>0</v>
      </c>
      <c r="I112" s="715">
        <v>0</v>
      </c>
      <c r="J112" s="715">
        <v>0</v>
      </c>
      <c r="K112" s="715">
        <v>0</v>
      </c>
      <c r="L112" s="715">
        <v>60</v>
      </c>
      <c r="M112" s="715">
        <v>0</v>
      </c>
      <c r="N112" s="715">
        <v>0</v>
      </c>
      <c r="O112" s="715">
        <v>0</v>
      </c>
      <c r="P112" s="715">
        <v>0</v>
      </c>
      <c r="Q112" s="715">
        <v>0</v>
      </c>
      <c r="R112" s="716">
        <v>95</v>
      </c>
      <c r="S112" s="666" t="s">
        <v>1683</v>
      </c>
      <c r="T112" s="717">
        <v>3875</v>
      </c>
      <c r="U112" s="717">
        <v>0</v>
      </c>
      <c r="V112" s="717">
        <v>0</v>
      </c>
      <c r="W112" s="717">
        <v>0</v>
      </c>
      <c r="X112" s="717">
        <v>0</v>
      </c>
      <c r="Y112" s="717">
        <v>0</v>
      </c>
      <c r="Z112" s="717">
        <v>0</v>
      </c>
      <c r="AA112" s="717">
        <v>1500</v>
      </c>
      <c r="AB112" s="717">
        <v>0</v>
      </c>
      <c r="AC112" s="717">
        <v>0</v>
      </c>
      <c r="AD112" s="717">
        <v>0</v>
      </c>
      <c r="AE112" s="717">
        <v>0</v>
      </c>
      <c r="AF112" s="717">
        <v>0</v>
      </c>
      <c r="AG112" s="1996">
        <v>2375</v>
      </c>
    </row>
    <row r="113" spans="1:33" x14ac:dyDescent="0.2">
      <c r="A113" s="666" t="s">
        <v>2142</v>
      </c>
      <c r="B113" s="666" t="s">
        <v>35</v>
      </c>
      <c r="C113" s="666"/>
      <c r="D113" s="666"/>
      <c r="E113" s="715">
        <v>25</v>
      </c>
      <c r="F113" s="715">
        <v>0</v>
      </c>
      <c r="G113" s="715">
        <v>0</v>
      </c>
      <c r="H113" s="715">
        <v>0</v>
      </c>
      <c r="I113" s="715">
        <v>0</v>
      </c>
      <c r="J113" s="715">
        <v>0</v>
      </c>
      <c r="K113" s="715">
        <v>2</v>
      </c>
      <c r="L113" s="715">
        <v>0</v>
      </c>
      <c r="M113" s="715">
        <v>0</v>
      </c>
      <c r="N113" s="715">
        <v>0</v>
      </c>
      <c r="O113" s="715">
        <v>0</v>
      </c>
      <c r="P113" s="715">
        <v>0</v>
      </c>
      <c r="Q113" s="715">
        <v>0</v>
      </c>
      <c r="R113" s="716">
        <v>23</v>
      </c>
      <c r="S113" s="666" t="s">
        <v>471</v>
      </c>
      <c r="T113" s="717">
        <v>750.68000000000006</v>
      </c>
      <c r="U113" s="717">
        <v>0</v>
      </c>
      <c r="V113" s="717">
        <v>0</v>
      </c>
      <c r="W113" s="717">
        <v>0</v>
      </c>
      <c r="X113" s="717">
        <v>0</v>
      </c>
      <c r="Y113" s="717">
        <v>0</v>
      </c>
      <c r="Z113" s="717">
        <v>75.52</v>
      </c>
      <c r="AA113" s="717">
        <v>0</v>
      </c>
      <c r="AB113" s="717">
        <v>0</v>
      </c>
      <c r="AC113" s="717">
        <v>0</v>
      </c>
      <c r="AD113" s="717">
        <v>0</v>
      </c>
      <c r="AE113" s="717">
        <v>0</v>
      </c>
      <c r="AF113" s="717">
        <v>0</v>
      </c>
      <c r="AG113" s="1996">
        <v>675.16</v>
      </c>
    </row>
    <row r="114" spans="1:33" x14ac:dyDescent="0.2">
      <c r="A114" s="666" t="s">
        <v>2143</v>
      </c>
      <c r="B114" s="666" t="s">
        <v>35</v>
      </c>
      <c r="C114" s="666"/>
      <c r="D114" s="666"/>
      <c r="E114" s="715">
        <v>190</v>
      </c>
      <c r="F114" s="715">
        <v>0</v>
      </c>
      <c r="G114" s="715">
        <v>0</v>
      </c>
      <c r="H114" s="715">
        <v>0</v>
      </c>
      <c r="I114" s="715">
        <v>0</v>
      </c>
      <c r="J114" s="715">
        <v>0</v>
      </c>
      <c r="K114" s="715">
        <v>47</v>
      </c>
      <c r="L114" s="715">
        <v>0</v>
      </c>
      <c r="M114" s="715">
        <v>0</v>
      </c>
      <c r="N114" s="715">
        <v>0</v>
      </c>
      <c r="O114" s="715">
        <v>0</v>
      </c>
      <c r="P114" s="715">
        <v>0</v>
      </c>
      <c r="Q114" s="715">
        <v>0</v>
      </c>
      <c r="R114" s="716">
        <v>143</v>
      </c>
      <c r="S114" s="666" t="s">
        <v>836</v>
      </c>
      <c r="T114" s="717">
        <v>4870.34</v>
      </c>
      <c r="U114" s="717">
        <v>0</v>
      </c>
      <c r="V114" s="717">
        <v>0</v>
      </c>
      <c r="W114" s="717">
        <v>0</v>
      </c>
      <c r="X114" s="717">
        <v>0</v>
      </c>
      <c r="Y114" s="717">
        <v>0</v>
      </c>
      <c r="Z114" s="717">
        <v>1163.1500000000001</v>
      </c>
      <c r="AA114" s="717">
        <v>0</v>
      </c>
      <c r="AB114" s="717">
        <v>0</v>
      </c>
      <c r="AC114" s="717">
        <v>0</v>
      </c>
      <c r="AD114" s="717">
        <v>0</v>
      </c>
      <c r="AE114" s="717">
        <v>0</v>
      </c>
      <c r="AF114" s="717">
        <v>0</v>
      </c>
      <c r="AG114" s="1996">
        <v>3707.19</v>
      </c>
    </row>
    <row r="115" spans="1:33" x14ac:dyDescent="0.2">
      <c r="A115" s="666" t="s">
        <v>2144</v>
      </c>
      <c r="B115" s="666" t="s">
        <v>35</v>
      </c>
      <c r="C115" s="666"/>
      <c r="D115" s="666"/>
      <c r="E115" s="715">
        <v>249</v>
      </c>
      <c r="F115" s="715">
        <v>160</v>
      </c>
      <c r="G115" s="715">
        <v>0</v>
      </c>
      <c r="H115" s="715">
        <v>0</v>
      </c>
      <c r="I115" s="715">
        <v>0</v>
      </c>
      <c r="J115" s="715">
        <v>0</v>
      </c>
      <c r="K115" s="715">
        <v>45</v>
      </c>
      <c r="L115" s="715">
        <v>0</v>
      </c>
      <c r="M115" s="715">
        <v>0</v>
      </c>
      <c r="N115" s="715">
        <v>0</v>
      </c>
      <c r="O115" s="715">
        <v>0</v>
      </c>
      <c r="P115" s="715">
        <v>0</v>
      </c>
      <c r="Q115" s="715">
        <v>0</v>
      </c>
      <c r="R115" s="716">
        <v>364</v>
      </c>
      <c r="S115" s="666" t="s">
        <v>1637</v>
      </c>
      <c r="T115" s="717">
        <v>6480.92</v>
      </c>
      <c r="U115" s="717">
        <v>4000</v>
      </c>
      <c r="V115" s="717">
        <v>0</v>
      </c>
      <c r="W115" s="717">
        <v>0</v>
      </c>
      <c r="X115" s="717">
        <v>0</v>
      </c>
      <c r="Y115" s="717">
        <v>0</v>
      </c>
      <c r="Z115" s="717">
        <v>1089.8499999999999</v>
      </c>
      <c r="AA115" s="717">
        <v>0</v>
      </c>
      <c r="AB115" s="717">
        <v>0</v>
      </c>
      <c r="AC115" s="717">
        <v>0</v>
      </c>
      <c r="AD115" s="717">
        <v>0</v>
      </c>
      <c r="AE115" s="717">
        <v>0</v>
      </c>
      <c r="AF115" s="717">
        <v>0</v>
      </c>
      <c r="AG115" s="1996">
        <v>9391.07</v>
      </c>
    </row>
    <row r="116" spans="1:33" x14ac:dyDescent="0.2">
      <c r="A116" s="666" t="s">
        <v>2145</v>
      </c>
      <c r="B116" s="666" t="s">
        <v>35</v>
      </c>
      <c r="C116" s="666"/>
      <c r="D116" s="666"/>
      <c r="E116" s="715">
        <v>7</v>
      </c>
      <c r="F116" s="715">
        <v>0</v>
      </c>
      <c r="G116" s="715">
        <v>0</v>
      </c>
      <c r="H116" s="715">
        <v>0</v>
      </c>
      <c r="I116" s="715">
        <v>0</v>
      </c>
      <c r="J116" s="715">
        <v>0</v>
      </c>
      <c r="K116" s="715">
        <v>1</v>
      </c>
      <c r="L116" s="715">
        <v>0</v>
      </c>
      <c r="M116" s="715">
        <v>0</v>
      </c>
      <c r="N116" s="715">
        <v>0</v>
      </c>
      <c r="O116" s="715">
        <v>0</v>
      </c>
      <c r="P116" s="715">
        <v>0</v>
      </c>
      <c r="Q116" s="715">
        <v>0</v>
      </c>
      <c r="R116" s="716">
        <v>6</v>
      </c>
      <c r="S116" s="666" t="s">
        <v>1730</v>
      </c>
      <c r="T116" s="717">
        <v>179.4</v>
      </c>
      <c r="U116" s="717">
        <v>0</v>
      </c>
      <c r="V116" s="717">
        <v>0</v>
      </c>
      <c r="W116" s="717">
        <v>0</v>
      </c>
      <c r="X116" s="717">
        <v>0</v>
      </c>
      <c r="Y116" s="717">
        <v>0</v>
      </c>
      <c r="Z116" s="717">
        <v>17.89</v>
      </c>
      <c r="AA116" s="717">
        <v>0</v>
      </c>
      <c r="AB116" s="717">
        <v>0</v>
      </c>
      <c r="AC116" s="717">
        <v>0</v>
      </c>
      <c r="AD116" s="717">
        <v>0</v>
      </c>
      <c r="AE116" s="717">
        <v>0</v>
      </c>
      <c r="AF116" s="717">
        <v>0</v>
      </c>
      <c r="AG116" s="1996">
        <v>161.51</v>
      </c>
    </row>
    <row r="117" spans="1:33" x14ac:dyDescent="0.2">
      <c r="A117" s="666" t="s">
        <v>2146</v>
      </c>
      <c r="B117" s="666" t="s">
        <v>35</v>
      </c>
      <c r="C117" s="666"/>
      <c r="D117" s="666"/>
      <c r="E117" s="715">
        <v>320</v>
      </c>
      <c r="F117" s="715">
        <v>0</v>
      </c>
      <c r="G117" s="715">
        <v>0</v>
      </c>
      <c r="H117" s="715">
        <v>0</v>
      </c>
      <c r="I117" s="715">
        <v>0</v>
      </c>
      <c r="J117" s="715">
        <v>0</v>
      </c>
      <c r="K117" s="715">
        <v>160</v>
      </c>
      <c r="L117" s="715">
        <v>0</v>
      </c>
      <c r="M117" s="715">
        <v>0</v>
      </c>
      <c r="N117" s="715">
        <v>0</v>
      </c>
      <c r="O117" s="715">
        <v>0</v>
      </c>
      <c r="P117" s="715">
        <v>0</v>
      </c>
      <c r="Q117" s="715">
        <v>0</v>
      </c>
      <c r="R117" s="716">
        <v>160</v>
      </c>
      <c r="S117" s="666" t="s">
        <v>845</v>
      </c>
      <c r="T117" s="717">
        <v>8451.18</v>
      </c>
      <c r="U117" s="717">
        <v>0</v>
      </c>
      <c r="V117" s="717">
        <v>0</v>
      </c>
      <c r="W117" s="717">
        <v>0</v>
      </c>
      <c r="X117" s="717">
        <v>0</v>
      </c>
      <c r="Y117" s="717">
        <v>0</v>
      </c>
      <c r="Z117" s="717">
        <v>2568.92</v>
      </c>
      <c r="AA117" s="717">
        <v>0</v>
      </c>
      <c r="AB117" s="717">
        <v>0</v>
      </c>
      <c r="AC117" s="717">
        <v>0</v>
      </c>
      <c r="AD117" s="717">
        <v>0</v>
      </c>
      <c r="AE117" s="717">
        <v>0</v>
      </c>
      <c r="AF117" s="717">
        <v>0</v>
      </c>
      <c r="AG117" s="1996">
        <v>5882.26</v>
      </c>
    </row>
    <row r="118" spans="1:33" x14ac:dyDescent="0.2">
      <c r="A118" s="666" t="s">
        <v>2147</v>
      </c>
      <c r="B118" s="666" t="s">
        <v>35</v>
      </c>
      <c r="C118" s="666"/>
      <c r="D118" s="666"/>
      <c r="E118" s="715">
        <v>0</v>
      </c>
      <c r="F118" s="715">
        <v>0</v>
      </c>
      <c r="G118" s="715">
        <v>0</v>
      </c>
      <c r="H118" s="715">
        <v>0</v>
      </c>
      <c r="I118" s="715">
        <v>0</v>
      </c>
      <c r="J118" s="715">
        <v>0</v>
      </c>
      <c r="K118" s="715">
        <v>0</v>
      </c>
      <c r="L118" s="715">
        <v>0</v>
      </c>
      <c r="M118" s="715">
        <v>0</v>
      </c>
      <c r="N118" s="715">
        <v>0</v>
      </c>
      <c r="O118" s="715">
        <v>0</v>
      </c>
      <c r="P118" s="715">
        <v>0</v>
      </c>
      <c r="Q118" s="715">
        <v>0</v>
      </c>
      <c r="R118" s="716">
        <v>0</v>
      </c>
      <c r="S118" s="666" t="s">
        <v>1375</v>
      </c>
      <c r="T118" s="717">
        <v>17118.57</v>
      </c>
      <c r="U118" s="717">
        <v>0</v>
      </c>
      <c r="V118" s="717">
        <v>0</v>
      </c>
      <c r="W118" s="717">
        <v>0</v>
      </c>
      <c r="X118" s="717">
        <v>0</v>
      </c>
      <c r="Y118" s="717">
        <v>0</v>
      </c>
      <c r="Z118" s="717">
        <v>6327.55</v>
      </c>
      <c r="AA118" s="717">
        <v>0</v>
      </c>
      <c r="AB118" s="717">
        <v>0</v>
      </c>
      <c r="AC118" s="717">
        <v>0</v>
      </c>
      <c r="AD118" s="717">
        <v>0</v>
      </c>
      <c r="AE118" s="717">
        <v>0</v>
      </c>
      <c r="AF118" s="717">
        <v>0</v>
      </c>
      <c r="AG118" s="1996">
        <v>10791.02</v>
      </c>
    </row>
    <row r="119" spans="1:33" x14ac:dyDescent="0.2">
      <c r="A119" s="666" t="s">
        <v>2148</v>
      </c>
      <c r="B119" s="666" t="s">
        <v>35</v>
      </c>
      <c r="C119" s="666"/>
      <c r="D119" s="666"/>
      <c r="E119" s="715">
        <v>77</v>
      </c>
      <c r="F119" s="715">
        <v>0</v>
      </c>
      <c r="G119" s="715">
        <v>0</v>
      </c>
      <c r="H119" s="715">
        <v>0</v>
      </c>
      <c r="I119" s="715">
        <v>0</v>
      </c>
      <c r="J119" s="715">
        <v>0</v>
      </c>
      <c r="K119" s="715">
        <v>27</v>
      </c>
      <c r="L119" s="715">
        <v>0</v>
      </c>
      <c r="M119" s="715">
        <v>0</v>
      </c>
      <c r="N119" s="715">
        <v>0</v>
      </c>
      <c r="O119" s="715">
        <v>0</v>
      </c>
      <c r="P119" s="715">
        <v>0</v>
      </c>
      <c r="Q119" s="715">
        <v>0</v>
      </c>
      <c r="R119" s="716">
        <v>50</v>
      </c>
      <c r="S119" s="666" t="s">
        <v>879</v>
      </c>
      <c r="T119" s="717">
        <v>2107.2800000000002</v>
      </c>
      <c r="U119" s="717">
        <v>0</v>
      </c>
      <c r="V119" s="717">
        <v>0</v>
      </c>
      <c r="W119" s="717">
        <v>0</v>
      </c>
      <c r="X119" s="717">
        <v>0</v>
      </c>
      <c r="Y119" s="717">
        <v>0</v>
      </c>
      <c r="Z119" s="717">
        <v>743.56000000000006</v>
      </c>
      <c r="AA119" s="717">
        <v>0</v>
      </c>
      <c r="AB119" s="717">
        <v>0</v>
      </c>
      <c r="AC119" s="717">
        <v>0</v>
      </c>
      <c r="AD119" s="717">
        <v>0</v>
      </c>
      <c r="AE119" s="717">
        <v>0</v>
      </c>
      <c r="AF119" s="717">
        <v>0</v>
      </c>
      <c r="AG119" s="1996">
        <v>1363.72</v>
      </c>
    </row>
    <row r="120" spans="1:33" x14ac:dyDescent="0.2">
      <c r="A120" s="666" t="s">
        <v>2149</v>
      </c>
      <c r="B120" s="666" t="s">
        <v>35</v>
      </c>
      <c r="C120" s="666"/>
      <c r="D120" s="666"/>
      <c r="E120" s="715">
        <v>0</v>
      </c>
      <c r="F120" s="715">
        <v>0</v>
      </c>
      <c r="G120" s="715">
        <v>0</v>
      </c>
      <c r="H120" s="715">
        <v>0</v>
      </c>
      <c r="I120" s="715">
        <v>0</v>
      </c>
      <c r="J120" s="715">
        <v>0</v>
      </c>
      <c r="K120" s="715">
        <v>0</v>
      </c>
      <c r="L120" s="715">
        <v>0</v>
      </c>
      <c r="M120" s="715">
        <v>0</v>
      </c>
      <c r="N120" s="715">
        <v>0</v>
      </c>
      <c r="O120" s="715">
        <v>0</v>
      </c>
      <c r="P120" s="715">
        <v>0</v>
      </c>
      <c r="Q120" s="715">
        <v>0</v>
      </c>
      <c r="R120" s="716">
        <v>0</v>
      </c>
      <c r="S120" s="666" t="s">
        <v>1311</v>
      </c>
      <c r="T120" s="717">
        <v>25220</v>
      </c>
      <c r="U120" s="717">
        <v>0</v>
      </c>
      <c r="V120" s="717">
        <v>0</v>
      </c>
      <c r="W120" s="717">
        <v>0</v>
      </c>
      <c r="X120" s="717">
        <v>0</v>
      </c>
      <c r="Y120" s="717">
        <v>0</v>
      </c>
      <c r="Z120" s="717">
        <v>0</v>
      </c>
      <c r="AA120" s="717">
        <v>0</v>
      </c>
      <c r="AB120" s="717">
        <v>0</v>
      </c>
      <c r="AC120" s="717">
        <v>0</v>
      </c>
      <c r="AD120" s="717">
        <v>0</v>
      </c>
      <c r="AE120" s="717">
        <v>0</v>
      </c>
      <c r="AF120" s="717">
        <v>0</v>
      </c>
      <c r="AG120" s="1996">
        <v>25220</v>
      </c>
    </row>
    <row r="121" spans="1:33" x14ac:dyDescent="0.2">
      <c r="A121" s="666" t="s">
        <v>2150</v>
      </c>
      <c r="B121" s="666" t="s">
        <v>35</v>
      </c>
      <c r="C121" s="666"/>
      <c r="D121" s="666"/>
      <c r="E121" s="715">
        <v>3300</v>
      </c>
      <c r="F121" s="715">
        <v>0</v>
      </c>
      <c r="G121" s="715">
        <v>0</v>
      </c>
      <c r="H121" s="715">
        <v>0</v>
      </c>
      <c r="I121" s="715">
        <v>0</v>
      </c>
      <c r="J121" s="715">
        <v>0</v>
      </c>
      <c r="K121" s="715">
        <v>1000</v>
      </c>
      <c r="L121" s="715">
        <v>0</v>
      </c>
      <c r="M121" s="715">
        <v>0</v>
      </c>
      <c r="N121" s="715">
        <v>0</v>
      </c>
      <c r="O121" s="715">
        <v>0</v>
      </c>
      <c r="P121" s="715">
        <v>0</v>
      </c>
      <c r="Q121" s="715">
        <v>0</v>
      </c>
      <c r="R121" s="716">
        <v>2300</v>
      </c>
      <c r="S121" s="666" t="s">
        <v>1317</v>
      </c>
      <c r="T121" s="717">
        <v>90302.59</v>
      </c>
      <c r="U121" s="717">
        <v>0</v>
      </c>
      <c r="V121" s="717">
        <v>0</v>
      </c>
      <c r="W121" s="717">
        <v>0</v>
      </c>
      <c r="X121" s="717">
        <v>0</v>
      </c>
      <c r="Y121" s="717">
        <v>0</v>
      </c>
      <c r="Z121" s="717">
        <v>22023.95</v>
      </c>
      <c r="AA121" s="717">
        <v>0</v>
      </c>
      <c r="AB121" s="717">
        <v>0</v>
      </c>
      <c r="AC121" s="717">
        <v>0</v>
      </c>
      <c r="AD121" s="717">
        <v>0</v>
      </c>
      <c r="AE121" s="717">
        <v>0</v>
      </c>
      <c r="AF121" s="717">
        <v>0</v>
      </c>
      <c r="AG121" s="1996">
        <v>68278.64</v>
      </c>
    </row>
    <row r="122" spans="1:33" x14ac:dyDescent="0.2">
      <c r="A122" s="666" t="s">
        <v>2151</v>
      </c>
      <c r="B122" s="666" t="s">
        <v>35</v>
      </c>
      <c r="C122" s="666"/>
      <c r="D122" s="666"/>
      <c r="E122" s="715">
        <v>361</v>
      </c>
      <c r="F122" s="715">
        <v>0</v>
      </c>
      <c r="G122" s="715">
        <v>100</v>
      </c>
      <c r="H122" s="715">
        <v>0</v>
      </c>
      <c r="I122" s="715">
        <v>0</v>
      </c>
      <c r="J122" s="715">
        <v>0</v>
      </c>
      <c r="K122" s="715">
        <v>161</v>
      </c>
      <c r="L122" s="715">
        <v>0</v>
      </c>
      <c r="M122" s="715">
        <v>0</v>
      </c>
      <c r="N122" s="715">
        <v>0</v>
      </c>
      <c r="O122" s="715">
        <v>0</v>
      </c>
      <c r="P122" s="715">
        <v>0</v>
      </c>
      <c r="Q122" s="715">
        <v>0</v>
      </c>
      <c r="R122" s="716">
        <v>300</v>
      </c>
      <c r="S122" s="666" t="s">
        <v>655</v>
      </c>
      <c r="T122" s="717">
        <v>7563.78</v>
      </c>
      <c r="U122" s="717">
        <v>0</v>
      </c>
      <c r="V122" s="717">
        <v>2000</v>
      </c>
      <c r="W122" s="717">
        <v>0</v>
      </c>
      <c r="X122" s="717">
        <v>0</v>
      </c>
      <c r="Y122" s="717">
        <v>0</v>
      </c>
      <c r="Z122" s="717">
        <v>2738.4500000000003</v>
      </c>
      <c r="AA122" s="717">
        <v>0</v>
      </c>
      <c r="AB122" s="717">
        <v>0</v>
      </c>
      <c r="AC122" s="717">
        <v>0</v>
      </c>
      <c r="AD122" s="717">
        <v>0</v>
      </c>
      <c r="AE122" s="717">
        <v>0</v>
      </c>
      <c r="AF122" s="717">
        <v>0</v>
      </c>
      <c r="AG122" s="1996">
        <v>6825.33</v>
      </c>
    </row>
    <row r="123" spans="1:33" x14ac:dyDescent="0.2">
      <c r="A123" s="666" t="s">
        <v>2152</v>
      </c>
      <c r="B123" s="666" t="s">
        <v>35</v>
      </c>
      <c r="C123" s="666"/>
      <c r="D123" s="666"/>
      <c r="E123" s="715">
        <v>1080</v>
      </c>
      <c r="F123" s="715">
        <v>1360</v>
      </c>
      <c r="G123" s="715">
        <v>0</v>
      </c>
      <c r="H123" s="715">
        <v>0</v>
      </c>
      <c r="I123" s="715">
        <v>0</v>
      </c>
      <c r="J123" s="715">
        <v>0</v>
      </c>
      <c r="K123" s="715">
        <v>480</v>
      </c>
      <c r="L123" s="715">
        <v>0</v>
      </c>
      <c r="M123" s="715">
        <v>0</v>
      </c>
      <c r="N123" s="715">
        <v>0</v>
      </c>
      <c r="O123" s="715">
        <v>0</v>
      </c>
      <c r="P123" s="715">
        <v>0</v>
      </c>
      <c r="Q123" s="715">
        <v>0</v>
      </c>
      <c r="R123" s="716">
        <v>1960</v>
      </c>
      <c r="S123" s="666" t="s">
        <v>359</v>
      </c>
      <c r="T123" s="717">
        <v>29031.64</v>
      </c>
      <c r="U123" s="717">
        <v>34000</v>
      </c>
      <c r="V123" s="717">
        <v>0</v>
      </c>
      <c r="W123" s="717">
        <v>0</v>
      </c>
      <c r="X123" s="717">
        <v>0</v>
      </c>
      <c r="Y123" s="717">
        <v>0</v>
      </c>
      <c r="Z123" s="717">
        <v>11481.97</v>
      </c>
      <c r="AA123" s="717">
        <v>0</v>
      </c>
      <c r="AB123" s="717">
        <v>0</v>
      </c>
      <c r="AC123" s="717">
        <v>0</v>
      </c>
      <c r="AD123" s="717">
        <v>0</v>
      </c>
      <c r="AE123" s="717">
        <v>0</v>
      </c>
      <c r="AF123" s="717">
        <v>0</v>
      </c>
      <c r="AG123" s="1996">
        <v>51549.67</v>
      </c>
    </row>
    <row r="124" spans="1:33" x14ac:dyDescent="0.2">
      <c r="A124" s="666" t="s">
        <v>2153</v>
      </c>
      <c r="B124" s="666" t="s">
        <v>35</v>
      </c>
      <c r="C124" s="666"/>
      <c r="D124" s="666"/>
      <c r="E124" s="715">
        <v>1980</v>
      </c>
      <c r="F124" s="715">
        <v>1120</v>
      </c>
      <c r="G124" s="715">
        <v>0</v>
      </c>
      <c r="H124" s="715">
        <v>0</v>
      </c>
      <c r="I124" s="715">
        <v>0</v>
      </c>
      <c r="J124" s="715">
        <v>0</v>
      </c>
      <c r="K124" s="715">
        <v>1300</v>
      </c>
      <c r="L124" s="715">
        <v>0</v>
      </c>
      <c r="M124" s="715">
        <v>0</v>
      </c>
      <c r="N124" s="715">
        <v>0</v>
      </c>
      <c r="O124" s="715">
        <v>0</v>
      </c>
      <c r="P124" s="715">
        <v>0</v>
      </c>
      <c r="Q124" s="715">
        <v>0</v>
      </c>
      <c r="R124" s="716">
        <v>1800</v>
      </c>
      <c r="S124" s="666" t="s">
        <v>654</v>
      </c>
      <c r="T124" s="717">
        <v>58183.1</v>
      </c>
      <c r="U124" s="717">
        <v>28000</v>
      </c>
      <c r="V124" s="717">
        <v>0</v>
      </c>
      <c r="W124" s="717">
        <v>0</v>
      </c>
      <c r="X124" s="717">
        <v>0</v>
      </c>
      <c r="Y124" s="717">
        <v>0</v>
      </c>
      <c r="Z124" s="717">
        <v>35828.200000000004</v>
      </c>
      <c r="AA124" s="717">
        <v>0</v>
      </c>
      <c r="AB124" s="717">
        <v>0</v>
      </c>
      <c r="AC124" s="717">
        <v>0</v>
      </c>
      <c r="AD124" s="717">
        <v>0</v>
      </c>
      <c r="AE124" s="717">
        <v>0</v>
      </c>
      <c r="AF124" s="717">
        <v>0</v>
      </c>
      <c r="AG124" s="1996">
        <v>50354.9</v>
      </c>
    </row>
    <row r="125" spans="1:33" x14ac:dyDescent="0.2">
      <c r="A125" s="666" t="s">
        <v>2154</v>
      </c>
      <c r="B125" s="666" t="s">
        <v>35</v>
      </c>
      <c r="C125" s="666"/>
      <c r="D125" s="666"/>
      <c r="E125" s="715">
        <v>30</v>
      </c>
      <c r="F125" s="715">
        <v>200</v>
      </c>
      <c r="G125" s="715">
        <v>0</v>
      </c>
      <c r="H125" s="715">
        <v>0</v>
      </c>
      <c r="I125" s="715">
        <v>0</v>
      </c>
      <c r="J125" s="715">
        <v>0</v>
      </c>
      <c r="K125" s="715">
        <v>20</v>
      </c>
      <c r="L125" s="715">
        <v>0</v>
      </c>
      <c r="M125" s="715">
        <v>0</v>
      </c>
      <c r="N125" s="715">
        <v>0</v>
      </c>
      <c r="O125" s="715">
        <v>0</v>
      </c>
      <c r="P125" s="715">
        <v>0</v>
      </c>
      <c r="Q125" s="715">
        <v>0</v>
      </c>
      <c r="R125" s="716">
        <v>210</v>
      </c>
      <c r="S125" s="666" t="s">
        <v>674</v>
      </c>
      <c r="T125" s="717">
        <v>852.80000000000007</v>
      </c>
      <c r="U125" s="717">
        <v>5000</v>
      </c>
      <c r="V125" s="717">
        <v>0</v>
      </c>
      <c r="W125" s="717">
        <v>0</v>
      </c>
      <c r="X125" s="717">
        <v>0</v>
      </c>
      <c r="Y125" s="717">
        <v>0</v>
      </c>
      <c r="Z125" s="717">
        <v>430.5</v>
      </c>
      <c r="AA125" s="717">
        <v>0</v>
      </c>
      <c r="AB125" s="717">
        <v>0</v>
      </c>
      <c r="AC125" s="717">
        <v>0</v>
      </c>
      <c r="AD125" s="717">
        <v>0</v>
      </c>
      <c r="AE125" s="717">
        <v>0</v>
      </c>
      <c r="AF125" s="717">
        <v>0</v>
      </c>
      <c r="AG125" s="1996">
        <v>5422.3</v>
      </c>
    </row>
    <row r="126" spans="1:33" x14ac:dyDescent="0.2">
      <c r="A126" s="666" t="s">
        <v>2155</v>
      </c>
      <c r="B126" s="666" t="s">
        <v>35</v>
      </c>
      <c r="C126" s="666"/>
      <c r="D126" s="666"/>
      <c r="E126" s="715">
        <v>19</v>
      </c>
      <c r="F126" s="715">
        <v>0</v>
      </c>
      <c r="G126" s="715">
        <v>0</v>
      </c>
      <c r="H126" s="715">
        <v>0</v>
      </c>
      <c r="I126" s="715">
        <v>0</v>
      </c>
      <c r="J126" s="715">
        <v>0</v>
      </c>
      <c r="K126" s="715">
        <v>5</v>
      </c>
      <c r="L126" s="715">
        <v>0</v>
      </c>
      <c r="M126" s="715">
        <v>0</v>
      </c>
      <c r="N126" s="715">
        <v>0</v>
      </c>
      <c r="O126" s="715">
        <v>0</v>
      </c>
      <c r="P126" s="715">
        <v>0</v>
      </c>
      <c r="Q126" s="715">
        <v>0</v>
      </c>
      <c r="R126" s="716">
        <v>14</v>
      </c>
      <c r="S126" s="666" t="s">
        <v>1198</v>
      </c>
      <c r="T126" s="717">
        <v>472.17</v>
      </c>
      <c r="U126" s="717">
        <v>0</v>
      </c>
      <c r="V126" s="717">
        <v>0</v>
      </c>
      <c r="W126" s="717">
        <v>0</v>
      </c>
      <c r="X126" s="717">
        <v>0</v>
      </c>
      <c r="Y126" s="717">
        <v>0</v>
      </c>
      <c r="Z126" s="717">
        <v>95.68</v>
      </c>
      <c r="AA126" s="717">
        <v>0</v>
      </c>
      <c r="AB126" s="717">
        <v>0</v>
      </c>
      <c r="AC126" s="717">
        <v>0</v>
      </c>
      <c r="AD126" s="717">
        <v>0</v>
      </c>
      <c r="AE126" s="717">
        <v>0</v>
      </c>
      <c r="AF126" s="717">
        <v>0</v>
      </c>
      <c r="AG126" s="1996">
        <v>376.49</v>
      </c>
    </row>
    <row r="127" spans="1:33" x14ac:dyDescent="0.2">
      <c r="A127" s="666" t="s">
        <v>2156</v>
      </c>
      <c r="B127" s="666" t="s">
        <v>35</v>
      </c>
      <c r="C127" s="666"/>
      <c r="D127" s="666"/>
      <c r="E127" s="715">
        <v>0</v>
      </c>
      <c r="F127" s="715">
        <v>0</v>
      </c>
      <c r="G127" s="715">
        <v>0</v>
      </c>
      <c r="H127" s="715">
        <v>0</v>
      </c>
      <c r="I127" s="715">
        <v>0</v>
      </c>
      <c r="J127" s="715">
        <v>0</v>
      </c>
      <c r="K127" s="715">
        <v>0</v>
      </c>
      <c r="L127" s="715">
        <v>0</v>
      </c>
      <c r="M127" s="715">
        <v>0</v>
      </c>
      <c r="N127" s="715">
        <v>0</v>
      </c>
      <c r="O127" s="715">
        <v>0</v>
      </c>
      <c r="P127" s="715">
        <v>0</v>
      </c>
      <c r="Q127" s="715">
        <v>0</v>
      </c>
      <c r="R127" s="716">
        <v>0</v>
      </c>
      <c r="S127" s="666" t="s">
        <v>1726</v>
      </c>
      <c r="T127" s="717">
        <v>12.96</v>
      </c>
      <c r="U127" s="717">
        <v>0</v>
      </c>
      <c r="V127" s="717">
        <v>0</v>
      </c>
      <c r="W127" s="717">
        <v>0</v>
      </c>
      <c r="X127" s="717">
        <v>0</v>
      </c>
      <c r="Y127" s="717">
        <v>0</v>
      </c>
      <c r="Z127" s="717">
        <v>0</v>
      </c>
      <c r="AA127" s="717">
        <v>0</v>
      </c>
      <c r="AB127" s="717">
        <v>0</v>
      </c>
      <c r="AC127" s="717">
        <v>0</v>
      </c>
      <c r="AD127" s="717">
        <v>0</v>
      </c>
      <c r="AE127" s="717">
        <v>0</v>
      </c>
      <c r="AF127" s="717">
        <v>0</v>
      </c>
      <c r="AG127" s="1996">
        <v>12.96</v>
      </c>
    </row>
    <row r="128" spans="1:33" x14ac:dyDescent="0.2">
      <c r="A128" s="666" t="s">
        <v>2157</v>
      </c>
      <c r="B128" s="666" t="s">
        <v>35</v>
      </c>
      <c r="C128" s="666"/>
      <c r="D128" s="666"/>
      <c r="E128" s="715">
        <v>75</v>
      </c>
      <c r="F128" s="715">
        <v>0</v>
      </c>
      <c r="G128" s="715">
        <v>0</v>
      </c>
      <c r="H128" s="715">
        <v>0</v>
      </c>
      <c r="I128" s="715">
        <v>0</v>
      </c>
      <c r="J128" s="715">
        <v>0</v>
      </c>
      <c r="K128" s="715">
        <v>5</v>
      </c>
      <c r="L128" s="715">
        <v>0</v>
      </c>
      <c r="M128" s="715">
        <v>0</v>
      </c>
      <c r="N128" s="715">
        <v>0</v>
      </c>
      <c r="O128" s="715">
        <v>0</v>
      </c>
      <c r="P128" s="715">
        <v>0</v>
      </c>
      <c r="Q128" s="715">
        <v>0</v>
      </c>
      <c r="R128" s="716">
        <v>70</v>
      </c>
      <c r="S128" s="666" t="s">
        <v>1639</v>
      </c>
      <c r="T128" s="717">
        <v>1918.54</v>
      </c>
      <c r="U128" s="717">
        <v>0</v>
      </c>
      <c r="V128" s="717">
        <v>0</v>
      </c>
      <c r="W128" s="717">
        <v>0</v>
      </c>
      <c r="X128" s="717">
        <v>0</v>
      </c>
      <c r="Y128" s="717">
        <v>0</v>
      </c>
      <c r="Z128" s="717">
        <v>112.14</v>
      </c>
      <c r="AA128" s="717">
        <v>0</v>
      </c>
      <c r="AB128" s="717">
        <v>0</v>
      </c>
      <c r="AC128" s="717">
        <v>0</v>
      </c>
      <c r="AD128" s="717">
        <v>0</v>
      </c>
      <c r="AE128" s="717">
        <v>0</v>
      </c>
      <c r="AF128" s="717">
        <v>0</v>
      </c>
      <c r="AG128" s="1996">
        <v>1806.4</v>
      </c>
    </row>
    <row r="129" spans="1:34" x14ac:dyDescent="0.2">
      <c r="A129" s="666" t="s">
        <v>2158</v>
      </c>
      <c r="B129" s="666" t="s">
        <v>35</v>
      </c>
      <c r="C129" s="666"/>
      <c r="D129" s="666"/>
      <c r="E129" s="715">
        <v>45</v>
      </c>
      <c r="F129" s="715">
        <v>0</v>
      </c>
      <c r="G129" s="715">
        <v>0</v>
      </c>
      <c r="H129" s="715">
        <v>0</v>
      </c>
      <c r="I129" s="715">
        <v>0</v>
      </c>
      <c r="J129" s="715">
        <v>0</v>
      </c>
      <c r="K129" s="715">
        <v>7</v>
      </c>
      <c r="L129" s="715">
        <v>0</v>
      </c>
      <c r="M129" s="715">
        <v>0</v>
      </c>
      <c r="N129" s="715">
        <v>0</v>
      </c>
      <c r="O129" s="715">
        <v>0</v>
      </c>
      <c r="P129" s="715">
        <v>0</v>
      </c>
      <c r="Q129" s="715">
        <v>0</v>
      </c>
      <c r="R129" s="716">
        <v>38</v>
      </c>
      <c r="S129" s="666" t="s">
        <v>838</v>
      </c>
      <c r="T129" s="717">
        <v>1192.96</v>
      </c>
      <c r="U129" s="717">
        <v>0</v>
      </c>
      <c r="V129" s="717">
        <v>0</v>
      </c>
      <c r="W129" s="717">
        <v>0</v>
      </c>
      <c r="X129" s="717">
        <v>0</v>
      </c>
      <c r="Y129" s="717">
        <v>0</v>
      </c>
      <c r="Z129" s="717">
        <v>133.88</v>
      </c>
      <c r="AA129" s="717">
        <v>0</v>
      </c>
      <c r="AB129" s="717">
        <v>0</v>
      </c>
      <c r="AC129" s="717">
        <v>0</v>
      </c>
      <c r="AD129" s="717">
        <v>0</v>
      </c>
      <c r="AE129" s="717">
        <v>0</v>
      </c>
      <c r="AF129" s="717">
        <v>0</v>
      </c>
      <c r="AG129" s="1996">
        <v>1059.08</v>
      </c>
    </row>
    <row r="130" spans="1:34" x14ac:dyDescent="0.2">
      <c r="A130" s="666" t="s">
        <v>2159</v>
      </c>
      <c r="B130" s="666" t="s">
        <v>35</v>
      </c>
      <c r="C130" s="666"/>
      <c r="D130" s="666"/>
      <c r="E130" s="715">
        <v>120</v>
      </c>
      <c r="F130" s="715">
        <v>0</v>
      </c>
      <c r="G130" s="715">
        <v>0</v>
      </c>
      <c r="H130" s="715">
        <v>0</v>
      </c>
      <c r="I130" s="715">
        <v>0</v>
      </c>
      <c r="J130" s="715">
        <v>0</v>
      </c>
      <c r="K130" s="715">
        <v>0</v>
      </c>
      <c r="L130" s="715">
        <v>0</v>
      </c>
      <c r="M130" s="715">
        <v>0</v>
      </c>
      <c r="N130" s="715">
        <v>0</v>
      </c>
      <c r="O130" s="715">
        <v>0</v>
      </c>
      <c r="P130" s="715">
        <v>0</v>
      </c>
      <c r="Q130" s="715">
        <v>0</v>
      </c>
      <c r="R130" s="716">
        <v>120</v>
      </c>
      <c r="S130" s="666" t="s">
        <v>1229</v>
      </c>
      <c r="T130" s="717">
        <v>3839.56</v>
      </c>
      <c r="U130" s="717">
        <v>0</v>
      </c>
      <c r="V130" s="717">
        <v>0</v>
      </c>
      <c r="W130" s="717">
        <v>0</v>
      </c>
      <c r="X130" s="717">
        <v>0</v>
      </c>
      <c r="Y130" s="717">
        <v>0</v>
      </c>
      <c r="Z130" s="717">
        <v>644.91999999999996</v>
      </c>
      <c r="AA130" s="717">
        <v>0</v>
      </c>
      <c r="AB130" s="717">
        <v>0</v>
      </c>
      <c r="AC130" s="717">
        <v>0</v>
      </c>
      <c r="AD130" s="717">
        <v>0</v>
      </c>
      <c r="AE130" s="717">
        <v>0</v>
      </c>
      <c r="AF130" s="717">
        <v>0</v>
      </c>
      <c r="AG130" s="1996">
        <v>3194.64</v>
      </c>
    </row>
    <row r="131" spans="1:34" x14ac:dyDescent="0.2">
      <c r="A131" s="666" t="s">
        <v>2160</v>
      </c>
      <c r="B131" s="666" t="s">
        <v>35</v>
      </c>
      <c r="C131" s="666"/>
      <c r="D131" s="666"/>
      <c r="E131" s="715">
        <v>119</v>
      </c>
      <c r="F131" s="715">
        <v>0</v>
      </c>
      <c r="G131" s="715">
        <v>0</v>
      </c>
      <c r="H131" s="715">
        <v>0</v>
      </c>
      <c r="I131" s="715">
        <v>0</v>
      </c>
      <c r="J131" s="715">
        <v>0</v>
      </c>
      <c r="K131" s="715">
        <v>15</v>
      </c>
      <c r="L131" s="715">
        <v>0</v>
      </c>
      <c r="M131" s="715">
        <v>0</v>
      </c>
      <c r="N131" s="715">
        <v>0</v>
      </c>
      <c r="O131" s="715">
        <v>0</v>
      </c>
      <c r="P131" s="715">
        <v>0</v>
      </c>
      <c r="Q131" s="715">
        <v>0</v>
      </c>
      <c r="R131" s="716">
        <v>104</v>
      </c>
      <c r="S131" s="666" t="s">
        <v>671</v>
      </c>
      <c r="T131" s="717">
        <v>178666.68</v>
      </c>
      <c r="U131" s="717">
        <v>0</v>
      </c>
      <c r="V131" s="717">
        <v>0</v>
      </c>
      <c r="W131" s="717">
        <v>0</v>
      </c>
      <c r="X131" s="717">
        <v>0</v>
      </c>
      <c r="Y131" s="717">
        <v>0</v>
      </c>
      <c r="Z131" s="717">
        <v>18258.95</v>
      </c>
      <c r="AA131" s="717">
        <v>0</v>
      </c>
      <c r="AB131" s="717">
        <v>0</v>
      </c>
      <c r="AC131" s="717">
        <v>0</v>
      </c>
      <c r="AD131" s="717">
        <v>0</v>
      </c>
      <c r="AE131" s="717">
        <v>0</v>
      </c>
      <c r="AF131" s="717">
        <v>0</v>
      </c>
      <c r="AG131" s="1996">
        <v>160407.73000000001</v>
      </c>
    </row>
    <row r="132" spans="1:34" x14ac:dyDescent="0.2">
      <c r="A132" s="666" t="s">
        <v>2161</v>
      </c>
      <c r="B132" s="666" t="s">
        <v>35</v>
      </c>
      <c r="C132" s="666"/>
      <c r="D132" s="666"/>
      <c r="E132" s="715">
        <v>600</v>
      </c>
      <c r="F132" s="715">
        <v>680</v>
      </c>
      <c r="G132" s="715">
        <v>0</v>
      </c>
      <c r="H132" s="715">
        <v>0</v>
      </c>
      <c r="I132" s="715">
        <v>0</v>
      </c>
      <c r="J132" s="715">
        <v>0</v>
      </c>
      <c r="K132" s="715">
        <v>200</v>
      </c>
      <c r="L132" s="715">
        <v>0</v>
      </c>
      <c r="M132" s="715">
        <v>0</v>
      </c>
      <c r="N132" s="715">
        <v>0</v>
      </c>
      <c r="O132" s="715">
        <v>0</v>
      </c>
      <c r="P132" s="715">
        <v>0</v>
      </c>
      <c r="Q132" s="715">
        <v>0</v>
      </c>
      <c r="R132" s="716">
        <v>1080</v>
      </c>
      <c r="S132" s="666" t="s">
        <v>1739</v>
      </c>
      <c r="T132" s="717">
        <v>16464.46</v>
      </c>
      <c r="U132" s="717">
        <v>17000</v>
      </c>
      <c r="V132" s="717">
        <v>0</v>
      </c>
      <c r="W132" s="717">
        <v>0</v>
      </c>
      <c r="X132" s="717">
        <v>0</v>
      </c>
      <c r="Y132" s="717">
        <v>0</v>
      </c>
      <c r="Z132" s="717">
        <v>3986.81</v>
      </c>
      <c r="AA132" s="717">
        <v>0</v>
      </c>
      <c r="AB132" s="717">
        <v>0</v>
      </c>
      <c r="AC132" s="717">
        <v>0</v>
      </c>
      <c r="AD132" s="717">
        <v>0</v>
      </c>
      <c r="AE132" s="717">
        <v>0</v>
      </c>
      <c r="AF132" s="717">
        <v>0</v>
      </c>
      <c r="AG132" s="1996">
        <v>29477.65</v>
      </c>
    </row>
    <row r="133" spans="1:34" x14ac:dyDescent="0.2">
      <c r="A133" s="666" t="s">
        <v>2162</v>
      </c>
      <c r="B133" s="666" t="s">
        <v>35</v>
      </c>
      <c r="C133" s="666"/>
      <c r="D133" s="666"/>
      <c r="E133" s="715">
        <v>20</v>
      </c>
      <c r="F133" s="715">
        <v>0</v>
      </c>
      <c r="G133" s="715">
        <v>20</v>
      </c>
      <c r="H133" s="715">
        <v>0</v>
      </c>
      <c r="I133" s="715">
        <v>0</v>
      </c>
      <c r="J133" s="715">
        <v>0</v>
      </c>
      <c r="K133" s="715">
        <v>4</v>
      </c>
      <c r="L133" s="715">
        <v>0</v>
      </c>
      <c r="M133" s="715">
        <v>0</v>
      </c>
      <c r="N133" s="715">
        <v>0</v>
      </c>
      <c r="O133" s="715">
        <v>0</v>
      </c>
      <c r="P133" s="715">
        <v>0</v>
      </c>
      <c r="Q133" s="715">
        <v>0</v>
      </c>
      <c r="R133" s="716">
        <v>36</v>
      </c>
      <c r="S133" s="666" t="s">
        <v>660</v>
      </c>
      <c r="T133" s="717">
        <v>654.84</v>
      </c>
      <c r="U133" s="717">
        <v>0</v>
      </c>
      <c r="V133" s="717">
        <v>500</v>
      </c>
      <c r="W133" s="717">
        <v>0</v>
      </c>
      <c r="X133" s="717">
        <v>0</v>
      </c>
      <c r="Y133" s="717">
        <v>0</v>
      </c>
      <c r="Z133" s="717">
        <v>135.91</v>
      </c>
      <c r="AA133" s="717">
        <v>0</v>
      </c>
      <c r="AB133" s="717">
        <v>0</v>
      </c>
      <c r="AC133" s="717">
        <v>0</v>
      </c>
      <c r="AD133" s="717">
        <v>0</v>
      </c>
      <c r="AE133" s="717">
        <v>0</v>
      </c>
      <c r="AF133" s="717">
        <v>0</v>
      </c>
      <c r="AG133" s="1996">
        <v>1018.9300000000001</v>
      </c>
    </row>
    <row r="134" spans="1:34" x14ac:dyDescent="0.2">
      <c r="A134" s="666" t="s">
        <v>2163</v>
      </c>
      <c r="B134" s="666" t="s">
        <v>35</v>
      </c>
      <c r="C134" s="666"/>
      <c r="D134" s="666"/>
      <c r="E134" s="715">
        <v>15</v>
      </c>
      <c r="F134" s="715">
        <v>0</v>
      </c>
      <c r="G134" s="715">
        <v>0</v>
      </c>
      <c r="H134" s="715">
        <v>0</v>
      </c>
      <c r="I134" s="715">
        <v>0</v>
      </c>
      <c r="J134" s="715">
        <v>0</v>
      </c>
      <c r="K134" s="715">
        <v>2</v>
      </c>
      <c r="L134" s="715">
        <v>0</v>
      </c>
      <c r="M134" s="715">
        <v>0</v>
      </c>
      <c r="N134" s="715">
        <v>0</v>
      </c>
      <c r="O134" s="715">
        <v>0</v>
      </c>
      <c r="P134" s="715">
        <v>0</v>
      </c>
      <c r="Q134" s="715">
        <v>0</v>
      </c>
      <c r="R134" s="716">
        <v>13</v>
      </c>
      <c r="S134" s="666" t="s">
        <v>545</v>
      </c>
      <c r="T134" s="717">
        <v>453.03000000000003</v>
      </c>
      <c r="U134" s="717">
        <v>0</v>
      </c>
      <c r="V134" s="717">
        <v>0</v>
      </c>
      <c r="W134" s="717">
        <v>0</v>
      </c>
      <c r="X134" s="717">
        <v>0</v>
      </c>
      <c r="Y134" s="717">
        <v>0</v>
      </c>
      <c r="Z134" s="717">
        <v>62.21</v>
      </c>
      <c r="AA134" s="717">
        <v>0</v>
      </c>
      <c r="AB134" s="717">
        <v>0</v>
      </c>
      <c r="AC134" s="717">
        <v>0</v>
      </c>
      <c r="AD134" s="717">
        <v>0</v>
      </c>
      <c r="AE134" s="717">
        <v>0</v>
      </c>
      <c r="AF134" s="717">
        <v>0</v>
      </c>
      <c r="AG134" s="1996">
        <v>390.82</v>
      </c>
    </row>
    <row r="135" spans="1:34" x14ac:dyDescent="0.2">
      <c r="A135" s="666" t="s">
        <v>2164</v>
      </c>
      <c r="B135" s="666" t="s">
        <v>35</v>
      </c>
      <c r="C135" s="666"/>
      <c r="D135" s="666"/>
      <c r="E135" s="715">
        <v>55</v>
      </c>
      <c r="F135" s="715">
        <v>0</v>
      </c>
      <c r="G135" s="715">
        <v>0</v>
      </c>
      <c r="H135" s="715">
        <v>0</v>
      </c>
      <c r="I135" s="715">
        <v>0</v>
      </c>
      <c r="J135" s="715">
        <v>0</v>
      </c>
      <c r="K135" s="715">
        <v>19</v>
      </c>
      <c r="L135" s="715">
        <v>0</v>
      </c>
      <c r="M135" s="715">
        <v>0</v>
      </c>
      <c r="N135" s="715">
        <v>0</v>
      </c>
      <c r="O135" s="715">
        <v>0</v>
      </c>
      <c r="P135" s="715">
        <v>0</v>
      </c>
      <c r="Q135" s="715">
        <v>0</v>
      </c>
      <c r="R135" s="716">
        <v>36</v>
      </c>
      <c r="S135" s="666" t="s">
        <v>670</v>
      </c>
      <c r="T135" s="717">
        <v>1481.6000000000001</v>
      </c>
      <c r="U135" s="717">
        <v>0</v>
      </c>
      <c r="V135" s="717">
        <v>0</v>
      </c>
      <c r="W135" s="717">
        <v>0</v>
      </c>
      <c r="X135" s="717">
        <v>0</v>
      </c>
      <c r="Y135" s="717">
        <v>0</v>
      </c>
      <c r="Z135" s="717">
        <v>416.92</v>
      </c>
      <c r="AA135" s="717">
        <v>0</v>
      </c>
      <c r="AB135" s="717">
        <v>0</v>
      </c>
      <c r="AC135" s="717">
        <v>0</v>
      </c>
      <c r="AD135" s="717">
        <v>0</v>
      </c>
      <c r="AE135" s="717">
        <v>0</v>
      </c>
      <c r="AF135" s="717">
        <v>0</v>
      </c>
      <c r="AG135" s="1996">
        <v>1064.68</v>
      </c>
    </row>
    <row r="136" spans="1:34" x14ac:dyDescent="0.2">
      <c r="A136" s="666" t="s">
        <v>2165</v>
      </c>
      <c r="B136" s="666" t="s">
        <v>35</v>
      </c>
      <c r="C136" s="666"/>
      <c r="D136" s="666"/>
      <c r="E136" s="715">
        <v>16</v>
      </c>
      <c r="F136" s="715">
        <v>0</v>
      </c>
      <c r="G136" s="715">
        <v>0</v>
      </c>
      <c r="H136" s="715">
        <v>0</v>
      </c>
      <c r="I136" s="715">
        <v>0</v>
      </c>
      <c r="J136" s="715">
        <v>0</v>
      </c>
      <c r="K136" s="715">
        <v>1</v>
      </c>
      <c r="L136" s="715">
        <v>0</v>
      </c>
      <c r="M136" s="715">
        <v>0</v>
      </c>
      <c r="N136" s="715">
        <v>0</v>
      </c>
      <c r="O136" s="715">
        <v>0</v>
      </c>
      <c r="P136" s="715">
        <v>0</v>
      </c>
      <c r="Q136" s="715">
        <v>0</v>
      </c>
      <c r="R136" s="716">
        <v>15</v>
      </c>
      <c r="S136" s="666" t="s">
        <v>1817</v>
      </c>
      <c r="T136" s="717">
        <v>22375.4</v>
      </c>
      <c r="U136" s="717">
        <v>0</v>
      </c>
      <c r="V136" s="717">
        <v>0</v>
      </c>
      <c r="W136" s="717">
        <v>0</v>
      </c>
      <c r="X136" s="717">
        <v>0</v>
      </c>
      <c r="Y136" s="717">
        <v>0</v>
      </c>
      <c r="Z136" s="717">
        <v>1790.2</v>
      </c>
      <c r="AA136" s="717">
        <v>0</v>
      </c>
      <c r="AB136" s="717">
        <v>0</v>
      </c>
      <c r="AC136" s="717">
        <v>0</v>
      </c>
      <c r="AD136" s="717">
        <v>0</v>
      </c>
      <c r="AE136" s="717">
        <v>0</v>
      </c>
      <c r="AF136" s="717">
        <v>0</v>
      </c>
      <c r="AG136" s="1996">
        <v>20585.2</v>
      </c>
    </row>
    <row r="137" spans="1:34" x14ac:dyDescent="0.2">
      <c r="A137" s="666" t="s">
        <v>2166</v>
      </c>
      <c r="B137" s="666" t="s">
        <v>35</v>
      </c>
      <c r="C137" s="666"/>
      <c r="D137" s="666"/>
      <c r="E137" s="715">
        <v>52</v>
      </c>
      <c r="F137" s="715">
        <v>0</v>
      </c>
      <c r="G137" s="715">
        <v>0</v>
      </c>
      <c r="H137" s="715">
        <v>0</v>
      </c>
      <c r="I137" s="715">
        <v>0</v>
      </c>
      <c r="J137" s="715">
        <v>0</v>
      </c>
      <c r="K137" s="715">
        <v>13</v>
      </c>
      <c r="L137" s="715">
        <v>0</v>
      </c>
      <c r="M137" s="715">
        <v>0</v>
      </c>
      <c r="N137" s="715">
        <v>0</v>
      </c>
      <c r="O137" s="715">
        <v>0</v>
      </c>
      <c r="P137" s="715">
        <v>0</v>
      </c>
      <c r="Q137" s="715">
        <v>0</v>
      </c>
      <c r="R137" s="716">
        <v>39</v>
      </c>
      <c r="S137" s="666" t="s">
        <v>1654</v>
      </c>
      <c r="T137" s="717">
        <v>1383.03</v>
      </c>
      <c r="U137" s="717">
        <v>0</v>
      </c>
      <c r="V137" s="717">
        <v>0</v>
      </c>
      <c r="W137" s="717">
        <v>0</v>
      </c>
      <c r="X137" s="717">
        <v>0</v>
      </c>
      <c r="Y137" s="717">
        <v>0</v>
      </c>
      <c r="Z137" s="717">
        <v>313.32</v>
      </c>
      <c r="AA137" s="717">
        <v>0</v>
      </c>
      <c r="AB137" s="717">
        <v>0</v>
      </c>
      <c r="AC137" s="717">
        <v>0</v>
      </c>
      <c r="AD137" s="717">
        <v>0</v>
      </c>
      <c r="AE137" s="717">
        <v>0</v>
      </c>
      <c r="AF137" s="717">
        <v>0</v>
      </c>
      <c r="AG137" s="1996">
        <v>1069.71</v>
      </c>
      <c r="AH137" s="544"/>
    </row>
    <row r="138" spans="1:34" x14ac:dyDescent="0.2">
      <c r="A138" s="666" t="s">
        <v>2167</v>
      </c>
      <c r="B138" s="666" t="s">
        <v>35</v>
      </c>
      <c r="C138" s="666"/>
      <c r="D138" s="666"/>
      <c r="E138" s="715">
        <v>100</v>
      </c>
      <c r="F138" s="715">
        <v>0</v>
      </c>
      <c r="G138" s="715">
        <v>0</v>
      </c>
      <c r="H138" s="715">
        <v>0</v>
      </c>
      <c r="I138" s="715">
        <v>0</v>
      </c>
      <c r="J138" s="715">
        <v>0</v>
      </c>
      <c r="K138" s="715">
        <v>25</v>
      </c>
      <c r="L138" s="715">
        <v>0</v>
      </c>
      <c r="M138" s="715">
        <v>0</v>
      </c>
      <c r="N138" s="715">
        <v>0</v>
      </c>
      <c r="O138" s="715">
        <v>0</v>
      </c>
      <c r="P138" s="715">
        <v>0</v>
      </c>
      <c r="Q138" s="715">
        <v>0</v>
      </c>
      <c r="R138" s="716">
        <v>75</v>
      </c>
      <c r="S138" s="666" t="s">
        <v>1667</v>
      </c>
      <c r="T138" s="717">
        <v>2711.26</v>
      </c>
      <c r="U138" s="717">
        <v>0</v>
      </c>
      <c r="V138" s="717">
        <v>0</v>
      </c>
      <c r="W138" s="717">
        <v>0</v>
      </c>
      <c r="X138" s="717">
        <v>0</v>
      </c>
      <c r="Y138" s="717">
        <v>0</v>
      </c>
      <c r="Z138" s="717">
        <v>622.81000000000006</v>
      </c>
      <c r="AA138" s="717">
        <v>0</v>
      </c>
      <c r="AB138" s="717">
        <v>0</v>
      </c>
      <c r="AC138" s="717">
        <v>0</v>
      </c>
      <c r="AD138" s="717">
        <v>0</v>
      </c>
      <c r="AE138" s="717">
        <v>0</v>
      </c>
      <c r="AF138" s="717">
        <v>0</v>
      </c>
      <c r="AG138" s="1996">
        <v>2088.4499999999998</v>
      </c>
    </row>
    <row r="139" spans="1:34" ht="12" customHeight="1" x14ac:dyDescent="0.2">
      <c r="A139" s="666" t="s">
        <v>2168</v>
      </c>
      <c r="B139" s="666" t="s">
        <v>35</v>
      </c>
      <c r="C139" s="666"/>
      <c r="D139" s="666"/>
      <c r="E139" s="715">
        <v>76</v>
      </c>
      <c r="F139" s="715">
        <v>0</v>
      </c>
      <c r="G139" s="715">
        <v>0</v>
      </c>
      <c r="H139" s="715">
        <v>0</v>
      </c>
      <c r="I139" s="715">
        <v>0</v>
      </c>
      <c r="J139" s="715">
        <v>0</v>
      </c>
      <c r="K139" s="715">
        <v>8</v>
      </c>
      <c r="L139" s="715">
        <v>0</v>
      </c>
      <c r="M139" s="715">
        <v>0</v>
      </c>
      <c r="N139" s="715">
        <v>0</v>
      </c>
      <c r="O139" s="715">
        <v>0</v>
      </c>
      <c r="P139" s="715">
        <v>0</v>
      </c>
      <c r="Q139" s="715">
        <v>0</v>
      </c>
      <c r="R139" s="716">
        <v>68</v>
      </c>
      <c r="S139" s="666" t="s">
        <v>1324</v>
      </c>
      <c r="T139" s="717">
        <v>20222.47</v>
      </c>
      <c r="U139" s="717">
        <v>0</v>
      </c>
      <c r="V139" s="717">
        <v>0</v>
      </c>
      <c r="W139" s="717">
        <v>0</v>
      </c>
      <c r="X139" s="717">
        <v>0</v>
      </c>
      <c r="Y139" s="717">
        <v>0</v>
      </c>
      <c r="Z139" s="717">
        <v>1702</v>
      </c>
      <c r="AA139" s="717">
        <v>0</v>
      </c>
      <c r="AB139" s="717">
        <v>0</v>
      </c>
      <c r="AC139" s="717">
        <v>0</v>
      </c>
      <c r="AD139" s="717">
        <v>0</v>
      </c>
      <c r="AE139" s="717">
        <v>0</v>
      </c>
      <c r="AF139" s="717">
        <v>0</v>
      </c>
      <c r="AG139" s="1996">
        <v>18520.47</v>
      </c>
    </row>
    <row r="140" spans="1:34" ht="12" customHeight="1" x14ac:dyDescent="0.2">
      <c r="A140" s="666" t="s">
        <v>2169</v>
      </c>
      <c r="B140" s="666" t="s">
        <v>35</v>
      </c>
      <c r="C140" s="666"/>
      <c r="D140" s="666"/>
      <c r="E140" s="715">
        <v>1500</v>
      </c>
      <c r="F140" s="715">
        <v>0</v>
      </c>
      <c r="G140" s="715">
        <v>0</v>
      </c>
      <c r="H140" s="715">
        <v>0</v>
      </c>
      <c r="I140" s="715">
        <v>0</v>
      </c>
      <c r="J140" s="715">
        <v>0</v>
      </c>
      <c r="K140" s="715">
        <v>100</v>
      </c>
      <c r="L140" s="715">
        <v>0</v>
      </c>
      <c r="M140" s="715">
        <v>0</v>
      </c>
      <c r="N140" s="715">
        <v>0</v>
      </c>
      <c r="O140" s="715">
        <v>0</v>
      </c>
      <c r="P140" s="715">
        <v>0</v>
      </c>
      <c r="Q140" s="715">
        <v>0</v>
      </c>
      <c r="R140" s="716">
        <v>1400</v>
      </c>
      <c r="S140" s="666" t="s">
        <v>1641</v>
      </c>
      <c r="T140" s="717">
        <v>39106.22</v>
      </c>
      <c r="U140" s="717">
        <v>0</v>
      </c>
      <c r="V140" s="717">
        <v>0</v>
      </c>
      <c r="W140" s="717">
        <v>0</v>
      </c>
      <c r="X140" s="717">
        <v>0</v>
      </c>
      <c r="Y140" s="717">
        <v>0</v>
      </c>
      <c r="Z140" s="717">
        <v>2425.4500000000003</v>
      </c>
      <c r="AA140" s="717">
        <v>0</v>
      </c>
      <c r="AB140" s="717">
        <v>0</v>
      </c>
      <c r="AC140" s="717">
        <v>0</v>
      </c>
      <c r="AD140" s="717">
        <v>0</v>
      </c>
      <c r="AE140" s="717">
        <v>0</v>
      </c>
      <c r="AF140" s="717">
        <v>0</v>
      </c>
      <c r="AG140" s="1996">
        <v>36680.770000000004</v>
      </c>
    </row>
    <row r="141" spans="1:34" ht="12" customHeight="1" x14ac:dyDescent="0.2">
      <c r="A141" s="666" t="s">
        <v>2170</v>
      </c>
      <c r="B141" s="666" t="s">
        <v>35</v>
      </c>
      <c r="C141" s="666"/>
      <c r="D141" s="666"/>
      <c r="E141" s="715">
        <v>400</v>
      </c>
      <c r="F141" s="715">
        <v>1880</v>
      </c>
      <c r="G141" s="715">
        <v>0</v>
      </c>
      <c r="H141" s="715">
        <v>0</v>
      </c>
      <c r="I141" s="715">
        <v>0</v>
      </c>
      <c r="J141" s="715">
        <v>0</v>
      </c>
      <c r="K141" s="715">
        <v>680</v>
      </c>
      <c r="L141" s="715">
        <v>0</v>
      </c>
      <c r="M141" s="715">
        <v>0</v>
      </c>
      <c r="N141" s="715">
        <v>0</v>
      </c>
      <c r="O141" s="715">
        <v>0</v>
      </c>
      <c r="P141" s="715">
        <v>0</v>
      </c>
      <c r="Q141" s="715">
        <v>0</v>
      </c>
      <c r="R141" s="716">
        <v>1600</v>
      </c>
      <c r="S141" s="666" t="s">
        <v>1643</v>
      </c>
      <c r="T141" s="717">
        <v>29543</v>
      </c>
      <c r="U141" s="717">
        <v>47000</v>
      </c>
      <c r="V141" s="717">
        <v>0</v>
      </c>
      <c r="W141" s="717">
        <v>0</v>
      </c>
      <c r="X141" s="717">
        <v>0</v>
      </c>
      <c r="Y141" s="717">
        <v>0</v>
      </c>
      <c r="Z141" s="717">
        <v>17244</v>
      </c>
      <c r="AA141" s="717">
        <v>0</v>
      </c>
      <c r="AB141" s="717">
        <v>0</v>
      </c>
      <c r="AC141" s="717">
        <v>0</v>
      </c>
      <c r="AD141" s="717">
        <v>0</v>
      </c>
      <c r="AE141" s="717">
        <v>0</v>
      </c>
      <c r="AF141" s="717">
        <v>0</v>
      </c>
      <c r="AG141" s="1996">
        <v>59299</v>
      </c>
    </row>
    <row r="142" spans="1:34" ht="12" customHeight="1" x14ac:dyDescent="0.2">
      <c r="A142" s="666" t="s">
        <v>2171</v>
      </c>
      <c r="B142" s="666" t="s">
        <v>35</v>
      </c>
      <c r="C142" s="666"/>
      <c r="D142" s="666"/>
      <c r="E142" s="715">
        <v>17</v>
      </c>
      <c r="F142" s="715">
        <v>0</v>
      </c>
      <c r="G142" s="715">
        <v>0</v>
      </c>
      <c r="H142" s="715">
        <v>0</v>
      </c>
      <c r="I142" s="715">
        <v>0</v>
      </c>
      <c r="J142" s="715">
        <v>0</v>
      </c>
      <c r="K142" s="715">
        <v>1</v>
      </c>
      <c r="L142" s="715">
        <v>0</v>
      </c>
      <c r="M142" s="715">
        <v>0</v>
      </c>
      <c r="N142" s="715">
        <v>0</v>
      </c>
      <c r="O142" s="715">
        <v>0</v>
      </c>
      <c r="P142" s="715">
        <v>0</v>
      </c>
      <c r="Q142" s="715">
        <v>0</v>
      </c>
      <c r="R142" s="716">
        <v>16</v>
      </c>
      <c r="S142" s="666" t="s">
        <v>833</v>
      </c>
      <c r="T142" s="717">
        <v>18856.48</v>
      </c>
      <c r="U142" s="717">
        <v>0</v>
      </c>
      <c r="V142" s="717">
        <v>0</v>
      </c>
      <c r="W142" s="717">
        <v>0</v>
      </c>
      <c r="X142" s="717">
        <v>0</v>
      </c>
      <c r="Y142" s="717">
        <v>0</v>
      </c>
      <c r="Z142" s="717">
        <v>423</v>
      </c>
      <c r="AA142" s="717">
        <v>0</v>
      </c>
      <c r="AB142" s="717">
        <v>0</v>
      </c>
      <c r="AC142" s="717">
        <v>0</v>
      </c>
      <c r="AD142" s="717">
        <v>0</v>
      </c>
      <c r="AE142" s="717">
        <v>0</v>
      </c>
      <c r="AF142" s="717">
        <v>0</v>
      </c>
      <c r="AG142" s="1996">
        <v>18433.48</v>
      </c>
    </row>
    <row r="143" spans="1:34" ht="12" customHeight="1" x14ac:dyDescent="0.2">
      <c r="A143" s="666" t="s">
        <v>2172</v>
      </c>
      <c r="B143" s="666" t="s">
        <v>35</v>
      </c>
      <c r="C143" s="666"/>
      <c r="D143" s="666"/>
      <c r="E143" s="715">
        <v>300</v>
      </c>
      <c r="F143" s="715">
        <v>400</v>
      </c>
      <c r="G143" s="715">
        <v>0</v>
      </c>
      <c r="H143" s="715">
        <v>0</v>
      </c>
      <c r="I143" s="715">
        <v>0</v>
      </c>
      <c r="J143" s="715">
        <v>0</v>
      </c>
      <c r="K143" s="715">
        <v>200</v>
      </c>
      <c r="L143" s="715">
        <v>0</v>
      </c>
      <c r="M143" s="715">
        <v>0</v>
      </c>
      <c r="N143" s="715">
        <v>0</v>
      </c>
      <c r="O143" s="715">
        <v>0</v>
      </c>
      <c r="P143" s="715">
        <v>0</v>
      </c>
      <c r="Q143" s="715">
        <v>0</v>
      </c>
      <c r="R143" s="716">
        <v>500</v>
      </c>
      <c r="S143" s="666" t="s">
        <v>664</v>
      </c>
      <c r="T143" s="717">
        <v>8669.91</v>
      </c>
      <c r="U143" s="717">
        <v>10000</v>
      </c>
      <c r="V143" s="717">
        <v>0</v>
      </c>
      <c r="W143" s="717">
        <v>0</v>
      </c>
      <c r="X143" s="717">
        <v>0</v>
      </c>
      <c r="Y143" s="717">
        <v>0</v>
      </c>
      <c r="Z143" s="717">
        <v>3761.9</v>
      </c>
      <c r="AA143" s="717">
        <v>0</v>
      </c>
      <c r="AB143" s="717">
        <v>0</v>
      </c>
      <c r="AC143" s="717">
        <v>0</v>
      </c>
      <c r="AD143" s="717">
        <v>0</v>
      </c>
      <c r="AE143" s="717">
        <v>0</v>
      </c>
      <c r="AF143" s="717">
        <v>0</v>
      </c>
      <c r="AG143" s="1996">
        <v>14908.01</v>
      </c>
    </row>
    <row r="144" spans="1:34" x14ac:dyDescent="0.2">
      <c r="A144" s="666" t="s">
        <v>2173</v>
      </c>
      <c r="B144" s="666" t="s">
        <v>35</v>
      </c>
      <c r="C144" s="666"/>
      <c r="D144" s="666"/>
      <c r="E144" s="715">
        <v>108</v>
      </c>
      <c r="F144" s="715">
        <v>0</v>
      </c>
      <c r="G144" s="715">
        <v>0</v>
      </c>
      <c r="H144" s="715">
        <v>0</v>
      </c>
      <c r="I144" s="715">
        <v>0</v>
      </c>
      <c r="J144" s="715">
        <v>0</v>
      </c>
      <c r="K144" s="715">
        <v>13</v>
      </c>
      <c r="L144" s="715">
        <v>0</v>
      </c>
      <c r="M144" s="715">
        <v>0</v>
      </c>
      <c r="N144" s="715">
        <v>0</v>
      </c>
      <c r="O144" s="715">
        <v>0</v>
      </c>
      <c r="P144" s="715">
        <v>0</v>
      </c>
      <c r="Q144" s="715">
        <v>0</v>
      </c>
      <c r="R144" s="716">
        <v>95</v>
      </c>
      <c r="S144" s="666" t="s">
        <v>1841</v>
      </c>
      <c r="T144" s="717">
        <v>2849.15</v>
      </c>
      <c r="U144" s="717">
        <v>0</v>
      </c>
      <c r="V144" s="717">
        <v>0</v>
      </c>
      <c r="W144" s="717">
        <v>0</v>
      </c>
      <c r="X144" s="717">
        <v>0</v>
      </c>
      <c r="Y144" s="717">
        <v>0</v>
      </c>
      <c r="Z144" s="717">
        <v>338.15000000000003</v>
      </c>
      <c r="AA144" s="717">
        <v>0</v>
      </c>
      <c r="AB144" s="717">
        <v>0</v>
      </c>
      <c r="AC144" s="717">
        <v>0</v>
      </c>
      <c r="AD144" s="717">
        <v>0</v>
      </c>
      <c r="AE144" s="717">
        <v>0</v>
      </c>
      <c r="AF144" s="717">
        <v>0</v>
      </c>
      <c r="AG144" s="1996">
        <v>2511</v>
      </c>
    </row>
    <row r="145" spans="1:33" x14ac:dyDescent="0.2">
      <c r="A145" s="666" t="s">
        <v>2174</v>
      </c>
      <c r="B145" s="666" t="s">
        <v>35</v>
      </c>
      <c r="C145" s="666"/>
      <c r="D145" s="666"/>
      <c r="E145" s="715">
        <v>35</v>
      </c>
      <c r="F145" s="715">
        <v>0</v>
      </c>
      <c r="G145" s="715">
        <v>0</v>
      </c>
      <c r="H145" s="715">
        <v>0</v>
      </c>
      <c r="I145" s="715">
        <v>0</v>
      </c>
      <c r="J145" s="715">
        <v>0</v>
      </c>
      <c r="K145" s="715">
        <v>7</v>
      </c>
      <c r="L145" s="715">
        <v>0</v>
      </c>
      <c r="M145" s="715">
        <v>0</v>
      </c>
      <c r="N145" s="715">
        <v>0</v>
      </c>
      <c r="O145" s="715">
        <v>0</v>
      </c>
      <c r="P145" s="715">
        <v>0</v>
      </c>
      <c r="Q145" s="715">
        <v>0</v>
      </c>
      <c r="R145" s="716">
        <v>28</v>
      </c>
      <c r="S145" s="666" t="s">
        <v>1719</v>
      </c>
      <c r="T145" s="717">
        <v>920.9</v>
      </c>
      <c r="U145" s="717">
        <v>0</v>
      </c>
      <c r="V145" s="717">
        <v>0</v>
      </c>
      <c r="W145" s="717">
        <v>0</v>
      </c>
      <c r="X145" s="717">
        <v>0</v>
      </c>
      <c r="Y145" s="717">
        <v>0</v>
      </c>
      <c r="Z145" s="717">
        <v>170.8</v>
      </c>
      <c r="AA145" s="717">
        <v>0</v>
      </c>
      <c r="AB145" s="717">
        <v>0</v>
      </c>
      <c r="AC145" s="717">
        <v>0</v>
      </c>
      <c r="AD145" s="717">
        <v>0</v>
      </c>
      <c r="AE145" s="717">
        <v>0</v>
      </c>
      <c r="AF145" s="717">
        <v>0</v>
      </c>
      <c r="AG145" s="1996">
        <v>750.1</v>
      </c>
    </row>
    <row r="146" spans="1:33" x14ac:dyDescent="0.2">
      <c r="A146" s="666" t="s">
        <v>2175</v>
      </c>
      <c r="B146" s="666" t="s">
        <v>35</v>
      </c>
      <c r="C146" s="666"/>
      <c r="D146" s="666"/>
      <c r="E146" s="715">
        <v>18</v>
      </c>
      <c r="F146" s="715">
        <v>0</v>
      </c>
      <c r="G146" s="715">
        <v>0</v>
      </c>
      <c r="H146" s="715">
        <v>0</v>
      </c>
      <c r="I146" s="715">
        <v>0</v>
      </c>
      <c r="J146" s="715">
        <v>0</v>
      </c>
      <c r="K146" s="715">
        <v>4</v>
      </c>
      <c r="L146" s="715">
        <v>0</v>
      </c>
      <c r="M146" s="715">
        <v>0</v>
      </c>
      <c r="N146" s="715">
        <v>0</v>
      </c>
      <c r="O146" s="715">
        <v>0</v>
      </c>
      <c r="P146" s="715">
        <v>0</v>
      </c>
      <c r="Q146" s="715">
        <v>0</v>
      </c>
      <c r="R146" s="716">
        <v>14</v>
      </c>
      <c r="S146" s="666" t="s">
        <v>1111</v>
      </c>
      <c r="T146" s="717">
        <v>508.52000000000004</v>
      </c>
      <c r="U146" s="717">
        <v>0</v>
      </c>
      <c r="V146" s="717">
        <v>0</v>
      </c>
      <c r="W146" s="717">
        <v>0</v>
      </c>
      <c r="X146" s="717">
        <v>0</v>
      </c>
      <c r="Y146" s="717">
        <v>0</v>
      </c>
      <c r="Z146" s="717">
        <v>84.84</v>
      </c>
      <c r="AA146" s="717">
        <v>0</v>
      </c>
      <c r="AB146" s="717">
        <v>0</v>
      </c>
      <c r="AC146" s="717">
        <v>0</v>
      </c>
      <c r="AD146" s="717">
        <v>0</v>
      </c>
      <c r="AE146" s="717">
        <v>0</v>
      </c>
      <c r="AF146" s="717">
        <v>0</v>
      </c>
      <c r="AG146" s="1996">
        <v>423.68</v>
      </c>
    </row>
    <row r="147" spans="1:33" x14ac:dyDescent="0.2">
      <c r="A147" s="666" t="s">
        <v>2176</v>
      </c>
      <c r="B147" s="666" t="s">
        <v>35</v>
      </c>
      <c r="C147" s="666"/>
      <c r="D147" s="666"/>
      <c r="E147" s="715">
        <v>11</v>
      </c>
      <c r="F147" s="715">
        <v>8</v>
      </c>
      <c r="G147" s="715">
        <v>0</v>
      </c>
      <c r="H147" s="715">
        <v>0</v>
      </c>
      <c r="I147" s="715">
        <v>0</v>
      </c>
      <c r="J147" s="715">
        <v>0</v>
      </c>
      <c r="K147" s="715">
        <v>1</v>
      </c>
      <c r="L147" s="715">
        <v>0</v>
      </c>
      <c r="M147" s="715">
        <v>0</v>
      </c>
      <c r="N147" s="715">
        <v>0</v>
      </c>
      <c r="O147" s="715">
        <v>0</v>
      </c>
      <c r="P147" s="715">
        <v>0</v>
      </c>
      <c r="Q147" s="715">
        <v>0</v>
      </c>
      <c r="R147" s="716">
        <v>18</v>
      </c>
      <c r="S147" s="666" t="s">
        <v>1843</v>
      </c>
      <c r="T147" s="717">
        <v>274.85000000000002</v>
      </c>
      <c r="U147" s="717">
        <v>200</v>
      </c>
      <c r="V147" s="717">
        <v>0</v>
      </c>
      <c r="W147" s="717">
        <v>0</v>
      </c>
      <c r="X147" s="717">
        <v>0</v>
      </c>
      <c r="Y147" s="717">
        <v>0</v>
      </c>
      <c r="Z147" s="717">
        <v>11.77</v>
      </c>
      <c r="AA147" s="717">
        <v>0</v>
      </c>
      <c r="AB147" s="717">
        <v>0</v>
      </c>
      <c r="AC147" s="717">
        <v>0</v>
      </c>
      <c r="AD147" s="717">
        <v>0</v>
      </c>
      <c r="AE147" s="717">
        <v>0</v>
      </c>
      <c r="AF147" s="717">
        <v>0</v>
      </c>
      <c r="AG147" s="1996">
        <v>463.08</v>
      </c>
    </row>
    <row r="148" spans="1:33" x14ac:dyDescent="0.2">
      <c r="A148" s="666" t="s">
        <v>2177</v>
      </c>
      <c r="B148" s="666" t="s">
        <v>35</v>
      </c>
      <c r="C148" s="666"/>
      <c r="D148" s="666"/>
      <c r="E148" s="715">
        <v>55</v>
      </c>
      <c r="F148" s="715">
        <v>0</v>
      </c>
      <c r="G148" s="715">
        <v>0</v>
      </c>
      <c r="H148" s="715">
        <v>0</v>
      </c>
      <c r="I148" s="715">
        <v>0</v>
      </c>
      <c r="J148" s="715">
        <v>0</v>
      </c>
      <c r="K148" s="715">
        <v>22</v>
      </c>
      <c r="L148" s="715">
        <v>0</v>
      </c>
      <c r="M148" s="715">
        <v>0</v>
      </c>
      <c r="N148" s="715">
        <v>0</v>
      </c>
      <c r="O148" s="715">
        <v>0</v>
      </c>
      <c r="P148" s="715">
        <v>0</v>
      </c>
      <c r="Q148" s="715">
        <v>0</v>
      </c>
      <c r="R148" s="716">
        <v>33</v>
      </c>
      <c r="S148" s="666" t="s">
        <v>1656</v>
      </c>
      <c r="T148" s="717">
        <v>1688.72</v>
      </c>
      <c r="U148" s="717">
        <v>0</v>
      </c>
      <c r="V148" s="717">
        <v>0</v>
      </c>
      <c r="W148" s="717">
        <v>0</v>
      </c>
      <c r="X148" s="717">
        <v>0</v>
      </c>
      <c r="Y148" s="717">
        <v>0</v>
      </c>
      <c r="Z148" s="717">
        <v>573.12</v>
      </c>
      <c r="AA148" s="717">
        <v>0</v>
      </c>
      <c r="AB148" s="717">
        <v>0</v>
      </c>
      <c r="AC148" s="717">
        <v>0</v>
      </c>
      <c r="AD148" s="717">
        <v>0</v>
      </c>
      <c r="AE148" s="717">
        <v>0</v>
      </c>
      <c r="AF148" s="717">
        <v>0</v>
      </c>
      <c r="AG148" s="1996">
        <v>1115.6000000000001</v>
      </c>
    </row>
    <row r="149" spans="1:33" x14ac:dyDescent="0.2">
      <c r="A149" s="666" t="s">
        <v>2178</v>
      </c>
      <c r="B149" s="666" t="s">
        <v>35</v>
      </c>
      <c r="C149" s="666"/>
      <c r="D149" s="666"/>
      <c r="E149" s="715">
        <v>356</v>
      </c>
      <c r="F149" s="715">
        <v>0</v>
      </c>
      <c r="G149" s="715">
        <v>0</v>
      </c>
      <c r="H149" s="715">
        <v>0</v>
      </c>
      <c r="I149" s="715">
        <v>0</v>
      </c>
      <c r="J149" s="715">
        <v>0</v>
      </c>
      <c r="K149" s="715">
        <v>132</v>
      </c>
      <c r="L149" s="715">
        <v>0</v>
      </c>
      <c r="M149" s="715">
        <v>0</v>
      </c>
      <c r="N149" s="715">
        <v>0</v>
      </c>
      <c r="O149" s="715">
        <v>0</v>
      </c>
      <c r="P149" s="715">
        <v>0</v>
      </c>
      <c r="Q149" s="715">
        <v>0</v>
      </c>
      <c r="R149" s="716">
        <v>224</v>
      </c>
      <c r="S149" s="666" t="s">
        <v>657</v>
      </c>
      <c r="T149" s="717">
        <v>22614.7</v>
      </c>
      <c r="U149" s="717">
        <v>0</v>
      </c>
      <c r="V149" s="717">
        <v>0</v>
      </c>
      <c r="W149" s="717">
        <v>0</v>
      </c>
      <c r="X149" s="717">
        <v>0</v>
      </c>
      <c r="Y149" s="717">
        <v>0</v>
      </c>
      <c r="Z149" s="717">
        <v>7801</v>
      </c>
      <c r="AA149" s="717">
        <v>0</v>
      </c>
      <c r="AB149" s="717">
        <v>0</v>
      </c>
      <c r="AC149" s="717">
        <v>0</v>
      </c>
      <c r="AD149" s="717">
        <v>0</v>
      </c>
      <c r="AE149" s="717">
        <v>0</v>
      </c>
      <c r="AF149" s="717">
        <v>0</v>
      </c>
      <c r="AG149" s="1996">
        <v>14813.7</v>
      </c>
    </row>
    <row r="150" spans="1:33" x14ac:dyDescent="0.2">
      <c r="A150" s="666" t="s">
        <v>2179</v>
      </c>
      <c r="B150" s="666" t="s">
        <v>35</v>
      </c>
      <c r="C150" s="666"/>
      <c r="D150" s="666"/>
      <c r="E150" s="715">
        <v>5</v>
      </c>
      <c r="F150" s="715">
        <v>0</v>
      </c>
      <c r="G150" s="715">
        <v>0</v>
      </c>
      <c r="H150" s="715">
        <v>0</v>
      </c>
      <c r="I150" s="715">
        <v>0</v>
      </c>
      <c r="J150" s="715">
        <v>0</v>
      </c>
      <c r="K150" s="715">
        <v>2</v>
      </c>
      <c r="L150" s="715">
        <v>0</v>
      </c>
      <c r="M150" s="715">
        <v>0</v>
      </c>
      <c r="N150" s="715">
        <v>0</v>
      </c>
      <c r="O150" s="715">
        <v>0</v>
      </c>
      <c r="P150" s="715">
        <v>0</v>
      </c>
      <c r="Q150" s="715">
        <v>0</v>
      </c>
      <c r="R150" s="716">
        <v>3</v>
      </c>
      <c r="S150" s="666" t="s">
        <v>846</v>
      </c>
      <c r="T150" s="717">
        <v>159.12</v>
      </c>
      <c r="U150" s="717">
        <v>0</v>
      </c>
      <c r="V150" s="717">
        <v>0</v>
      </c>
      <c r="W150" s="717">
        <v>0</v>
      </c>
      <c r="X150" s="717">
        <v>0</v>
      </c>
      <c r="Y150" s="717">
        <v>0</v>
      </c>
      <c r="Z150" s="717">
        <v>62.33</v>
      </c>
      <c r="AA150" s="717">
        <v>0</v>
      </c>
      <c r="AB150" s="717">
        <v>0</v>
      </c>
      <c r="AC150" s="717">
        <v>0</v>
      </c>
      <c r="AD150" s="717">
        <v>0</v>
      </c>
      <c r="AE150" s="717">
        <v>0</v>
      </c>
      <c r="AF150" s="717">
        <v>0</v>
      </c>
      <c r="AG150" s="1996">
        <v>96.79</v>
      </c>
    </row>
    <row r="151" spans="1:33" x14ac:dyDescent="0.2">
      <c r="A151" s="666" t="s">
        <v>2180</v>
      </c>
      <c r="B151" s="666" t="s">
        <v>35</v>
      </c>
      <c r="C151" s="666"/>
      <c r="D151" s="666"/>
      <c r="E151" s="715">
        <v>320</v>
      </c>
      <c r="F151" s="715">
        <v>0</v>
      </c>
      <c r="G151" s="715">
        <v>0</v>
      </c>
      <c r="H151" s="715">
        <v>0</v>
      </c>
      <c r="I151" s="715">
        <v>0</v>
      </c>
      <c r="J151" s="715">
        <v>0</v>
      </c>
      <c r="K151" s="715">
        <v>220</v>
      </c>
      <c r="L151" s="715">
        <v>0</v>
      </c>
      <c r="M151" s="715">
        <v>0</v>
      </c>
      <c r="N151" s="715">
        <v>0</v>
      </c>
      <c r="O151" s="715">
        <v>0</v>
      </c>
      <c r="P151" s="715">
        <v>0</v>
      </c>
      <c r="Q151" s="715">
        <v>0</v>
      </c>
      <c r="R151" s="716">
        <v>100</v>
      </c>
      <c r="S151" s="666" t="s">
        <v>262</v>
      </c>
      <c r="T151" s="717">
        <v>10687.9</v>
      </c>
      <c r="U151" s="717">
        <v>0</v>
      </c>
      <c r="V151" s="717">
        <v>0</v>
      </c>
      <c r="W151" s="717">
        <v>0</v>
      </c>
      <c r="X151" s="717">
        <v>0</v>
      </c>
      <c r="Y151" s="717">
        <v>0</v>
      </c>
      <c r="Z151" s="717">
        <v>4747.75</v>
      </c>
      <c r="AA151" s="717">
        <v>0</v>
      </c>
      <c r="AB151" s="717">
        <v>0</v>
      </c>
      <c r="AC151" s="717">
        <v>0</v>
      </c>
      <c r="AD151" s="717">
        <v>0</v>
      </c>
      <c r="AE151" s="717">
        <v>0</v>
      </c>
      <c r="AF151" s="717">
        <v>0</v>
      </c>
      <c r="AG151" s="1996">
        <v>5940.1500000000005</v>
      </c>
    </row>
    <row r="152" spans="1:33" x14ac:dyDescent="0.2">
      <c r="A152" s="666" t="s">
        <v>2181</v>
      </c>
      <c r="B152" s="716">
        <v>22065</v>
      </c>
      <c r="C152" s="716">
        <v>10042</v>
      </c>
      <c r="D152" s="716">
        <v>260</v>
      </c>
      <c r="E152" s="717">
        <v>0</v>
      </c>
      <c r="F152" s="716">
        <v>0</v>
      </c>
      <c r="G152" s="716">
        <v>0</v>
      </c>
      <c r="H152" s="716">
        <v>7200</v>
      </c>
      <c r="I152" s="716">
        <v>60</v>
      </c>
      <c r="J152" s="715">
        <v>0</v>
      </c>
      <c r="K152" s="715">
        <v>0</v>
      </c>
      <c r="L152" s="716">
        <v>0</v>
      </c>
      <c r="M152" s="715">
        <v>0</v>
      </c>
      <c r="N152" s="715">
        <v>0</v>
      </c>
      <c r="O152" s="716">
        <v>25107</v>
      </c>
      <c r="P152" s="666" t="s">
        <v>2182</v>
      </c>
      <c r="Q152" s="717">
        <v>1195122.03</v>
      </c>
      <c r="R152" s="717">
        <v>321849</v>
      </c>
      <c r="S152" s="717">
        <v>6000</v>
      </c>
      <c r="T152" s="717">
        <v>0</v>
      </c>
      <c r="U152" s="717">
        <v>0</v>
      </c>
      <c r="V152" s="717">
        <v>0</v>
      </c>
      <c r="W152" s="717">
        <v>252962.74000000002</v>
      </c>
      <c r="X152" s="717">
        <v>1500</v>
      </c>
      <c r="Y152" s="717">
        <v>0</v>
      </c>
      <c r="Z152" s="717">
        <v>0</v>
      </c>
      <c r="AA152" s="717">
        <v>0</v>
      </c>
      <c r="AB152" s="717">
        <v>0</v>
      </c>
      <c r="AC152" s="717">
        <v>0</v>
      </c>
      <c r="AD152" s="717">
        <v>1268508.29</v>
      </c>
      <c r="AE152" s="666"/>
      <c r="AF152" s="666"/>
      <c r="AG152" s="666"/>
    </row>
    <row r="153" spans="1:33" x14ac:dyDescent="0.2">
      <c r="A153" s="715">
        <v>23046</v>
      </c>
      <c r="B153" s="715">
        <v>10123</v>
      </c>
      <c r="C153" s="715">
        <v>262</v>
      </c>
      <c r="D153" s="715">
        <v>0</v>
      </c>
      <c r="E153" s="715">
        <v>0</v>
      </c>
      <c r="F153" s="715">
        <v>0</v>
      </c>
      <c r="G153" s="715">
        <v>7462</v>
      </c>
      <c r="H153" s="715">
        <v>60</v>
      </c>
      <c r="I153" s="715">
        <v>0</v>
      </c>
      <c r="J153" s="715">
        <v>0</v>
      </c>
      <c r="K153" s="715">
        <v>0</v>
      </c>
      <c r="L153" s="715">
        <v>0</v>
      </c>
      <c r="M153" s="715">
        <v>0</v>
      </c>
      <c r="N153" s="716">
        <v>25909</v>
      </c>
      <c r="O153" s="666" t="s">
        <v>2007</v>
      </c>
      <c r="P153" s="717">
        <v>1218640.23</v>
      </c>
      <c r="Q153" s="717">
        <v>323874</v>
      </c>
      <c r="R153" s="717">
        <v>6050</v>
      </c>
      <c r="S153" s="717">
        <v>0</v>
      </c>
      <c r="T153" s="717">
        <v>0</v>
      </c>
      <c r="U153" s="717">
        <v>0</v>
      </c>
      <c r="V153" s="717">
        <v>259267.26</v>
      </c>
      <c r="W153" s="717">
        <v>1500</v>
      </c>
      <c r="X153" s="717">
        <v>0</v>
      </c>
      <c r="Y153" s="717">
        <v>0</v>
      </c>
      <c r="Z153" s="717">
        <v>0</v>
      </c>
      <c r="AA153" s="717">
        <v>0</v>
      </c>
      <c r="AB153" s="717">
        <v>0</v>
      </c>
      <c r="AC153" s="717">
        <v>1287796.97</v>
      </c>
      <c r="AD153" s="666"/>
      <c r="AE153" s="666"/>
      <c r="AF153" s="666"/>
      <c r="AG153" s="666"/>
    </row>
    <row r="154" spans="1:33" x14ac:dyDescent="0.2">
      <c r="A154" s="666"/>
      <c r="B154" s="666"/>
      <c r="C154" s="666"/>
      <c r="D154" s="666"/>
      <c r="E154" s="666"/>
      <c r="F154" s="666"/>
      <c r="G154" s="666"/>
      <c r="H154" s="666"/>
      <c r="I154" s="666"/>
      <c r="J154" s="666"/>
      <c r="K154" s="666"/>
      <c r="L154" s="666"/>
      <c r="M154" s="666"/>
      <c r="N154" s="666"/>
      <c r="O154" s="666"/>
      <c r="P154" s="666"/>
      <c r="Q154" s="666"/>
      <c r="R154" s="666"/>
      <c r="S154" s="666"/>
      <c r="T154" s="666"/>
      <c r="U154" s="666"/>
      <c r="V154" s="666"/>
      <c r="W154" s="666"/>
      <c r="X154" s="666"/>
      <c r="Y154" s="666"/>
      <c r="Z154" s="666"/>
      <c r="AA154" s="666"/>
      <c r="AB154" s="666"/>
      <c r="AC154" s="666"/>
      <c r="AD154" s="666"/>
      <c r="AE154" s="666"/>
      <c r="AF154" s="666"/>
      <c r="AG154" s="666"/>
    </row>
    <row r="155" spans="1:33" x14ac:dyDescent="0.2">
      <c r="A155" s="666"/>
      <c r="B155" s="666"/>
      <c r="C155" s="666"/>
      <c r="D155" s="666"/>
      <c r="E155" s="666"/>
      <c r="F155" s="666"/>
      <c r="G155" s="666"/>
      <c r="H155" s="666"/>
      <c r="I155" s="666"/>
      <c r="J155" s="666"/>
      <c r="K155" s="666"/>
      <c r="L155" s="666"/>
      <c r="M155" s="666"/>
      <c r="N155" s="666"/>
      <c r="O155" s="666"/>
      <c r="P155" s="666"/>
      <c r="Q155" s="666"/>
      <c r="R155" s="666"/>
      <c r="S155" s="666"/>
      <c r="T155" s="666"/>
      <c r="U155" s="666"/>
      <c r="V155" s="666"/>
      <c r="W155" s="666"/>
      <c r="X155" s="666"/>
      <c r="Y155" s="666"/>
      <c r="Z155" s="666"/>
      <c r="AA155" s="666"/>
      <c r="AB155" s="666"/>
      <c r="AC155" s="666"/>
      <c r="AD155" s="666"/>
      <c r="AE155" s="666"/>
      <c r="AF155" s="666"/>
      <c r="AG155" s="666"/>
    </row>
    <row r="156" spans="1:33" x14ac:dyDescent="0.2">
      <c r="A156" s="666"/>
      <c r="B156" s="666"/>
      <c r="C156" s="666"/>
      <c r="D156" s="666"/>
      <c r="E156" s="666"/>
      <c r="F156" s="666"/>
      <c r="G156" s="666"/>
      <c r="H156" s="666"/>
      <c r="I156" s="666"/>
      <c r="J156" s="666"/>
      <c r="K156" s="666"/>
      <c r="L156" s="666"/>
      <c r="M156" s="666"/>
      <c r="N156" s="666"/>
      <c r="O156" s="666"/>
      <c r="P156" s="666"/>
      <c r="Q156" s="666"/>
      <c r="R156" s="666"/>
      <c r="S156" s="666"/>
      <c r="T156" s="666"/>
      <c r="U156" s="666"/>
      <c r="V156" s="666"/>
      <c r="W156" s="666"/>
      <c r="X156" s="666"/>
      <c r="Y156" s="666"/>
      <c r="Z156" s="666"/>
      <c r="AA156" s="666"/>
      <c r="AB156" s="666"/>
      <c r="AC156" s="666"/>
      <c r="AD156" s="666"/>
      <c r="AE156" s="666"/>
      <c r="AF156" s="666"/>
      <c r="AG156" s="666"/>
    </row>
    <row r="157" spans="1:33" x14ac:dyDescent="0.2">
      <c r="A157" s="666"/>
      <c r="B157" s="666"/>
      <c r="C157" s="666"/>
      <c r="D157" s="666"/>
      <c r="E157" s="666"/>
      <c r="F157" s="666"/>
      <c r="G157" s="666"/>
      <c r="H157" s="666"/>
      <c r="I157" s="666"/>
      <c r="J157" s="666"/>
      <c r="K157" s="666"/>
      <c r="L157" s="666"/>
      <c r="M157" s="666"/>
      <c r="N157" s="666"/>
      <c r="O157" s="666"/>
      <c r="P157" s="666"/>
      <c r="Q157" s="666"/>
      <c r="R157" s="666"/>
      <c r="S157" s="666"/>
      <c r="T157" s="666"/>
      <c r="U157" s="666"/>
      <c r="V157" s="666"/>
      <c r="W157" s="666"/>
      <c r="X157" s="666"/>
      <c r="Y157" s="666"/>
      <c r="Z157" s="666"/>
      <c r="AA157" s="666"/>
      <c r="AB157" s="666"/>
      <c r="AC157" s="666"/>
      <c r="AD157" s="666"/>
      <c r="AE157" s="666"/>
      <c r="AF157" s="666"/>
      <c r="AG157" s="666"/>
    </row>
    <row r="158" spans="1:33" x14ac:dyDescent="0.2">
      <c r="A158" s="666"/>
      <c r="B158" s="666"/>
      <c r="C158" s="666"/>
      <c r="D158" s="666"/>
      <c r="E158" s="666"/>
      <c r="F158" s="666"/>
      <c r="G158" s="666"/>
      <c r="H158" s="666"/>
      <c r="I158" s="666"/>
      <c r="J158" s="666"/>
      <c r="K158" s="666"/>
      <c r="L158" s="666"/>
      <c r="M158" s="666"/>
      <c r="N158" s="666"/>
      <c r="O158" s="666"/>
      <c r="P158" s="666"/>
      <c r="Q158" s="666"/>
      <c r="R158" s="666"/>
      <c r="S158" s="666"/>
      <c r="T158" s="666"/>
      <c r="U158" s="666"/>
      <c r="V158" s="666"/>
      <c r="W158" s="666"/>
      <c r="X158" s="666"/>
      <c r="Y158" s="666"/>
      <c r="Z158" s="666"/>
      <c r="AA158" s="666"/>
      <c r="AB158" s="666"/>
      <c r="AC158" s="666"/>
      <c r="AD158" s="666"/>
      <c r="AE158" s="666"/>
      <c r="AF158" s="666"/>
      <c r="AG158" s="666"/>
    </row>
    <row r="159" spans="1:33" x14ac:dyDescent="0.2">
      <c r="A159" s="666"/>
      <c r="B159" s="666"/>
      <c r="C159" s="666"/>
      <c r="D159" s="666"/>
      <c r="E159" s="666"/>
      <c r="F159" s="666"/>
      <c r="G159" s="666"/>
      <c r="H159" s="666"/>
      <c r="I159" s="666"/>
      <c r="J159" s="666"/>
      <c r="K159" s="666"/>
      <c r="L159" s="666"/>
      <c r="M159" s="666"/>
      <c r="N159" s="666"/>
      <c r="O159" s="666"/>
      <c r="P159" s="666"/>
      <c r="Q159" s="666"/>
      <c r="R159" s="666"/>
      <c r="S159" s="666"/>
      <c r="T159" s="666"/>
      <c r="U159" s="666"/>
      <c r="V159" s="666"/>
      <c r="W159" s="666"/>
      <c r="X159" s="666"/>
      <c r="Y159" s="666"/>
      <c r="Z159" s="666"/>
      <c r="AA159" s="666"/>
      <c r="AB159" s="666"/>
      <c r="AC159" s="666"/>
      <c r="AD159" s="666"/>
      <c r="AE159" s="666"/>
      <c r="AF159" s="666"/>
      <c r="AG159" s="666"/>
    </row>
    <row r="160" spans="1:33" x14ac:dyDescent="0.2">
      <c r="A160" s="666"/>
      <c r="B160" s="666"/>
      <c r="C160" s="666"/>
      <c r="D160" s="666"/>
      <c r="E160" s="666"/>
      <c r="F160" s="666"/>
      <c r="G160" s="666"/>
      <c r="H160" s="666"/>
      <c r="I160" s="666"/>
      <c r="J160" s="666"/>
      <c r="K160" s="666"/>
      <c r="L160" s="666"/>
      <c r="M160" s="666"/>
      <c r="N160" s="666"/>
      <c r="O160" s="666"/>
      <c r="P160" s="666"/>
      <c r="Q160" s="666"/>
      <c r="R160" s="666"/>
      <c r="S160" s="666"/>
      <c r="T160" s="666"/>
      <c r="U160" s="666"/>
      <c r="V160" s="666"/>
      <c r="W160" s="666"/>
      <c r="X160" s="666"/>
      <c r="Y160" s="666"/>
      <c r="Z160" s="666"/>
      <c r="AA160" s="666"/>
      <c r="AB160" s="666"/>
      <c r="AC160" s="666"/>
      <c r="AD160" s="666"/>
      <c r="AE160" s="666"/>
      <c r="AF160" s="666"/>
      <c r="AG160" s="666"/>
    </row>
    <row r="161" spans="1:33" x14ac:dyDescent="0.2">
      <c r="A161" s="666"/>
      <c r="B161" s="666"/>
      <c r="C161" s="666"/>
      <c r="D161" s="666"/>
      <c r="E161" s="666"/>
      <c r="F161" s="666"/>
      <c r="G161" s="666"/>
      <c r="H161" s="666"/>
      <c r="I161" s="666"/>
      <c r="J161" s="666"/>
      <c r="K161" s="666"/>
      <c r="L161" s="666"/>
      <c r="M161" s="666"/>
      <c r="N161" s="666"/>
      <c r="O161" s="666"/>
      <c r="P161" s="666"/>
      <c r="Q161" s="666"/>
      <c r="R161" s="666"/>
      <c r="S161" s="666"/>
      <c r="T161" s="666"/>
      <c r="U161" s="666"/>
      <c r="V161" s="666"/>
      <c r="W161" s="666"/>
      <c r="X161" s="666"/>
      <c r="Y161" s="666"/>
      <c r="Z161" s="666"/>
      <c r="AA161" s="666"/>
      <c r="AB161" s="666"/>
      <c r="AC161" s="666"/>
      <c r="AD161" s="666"/>
      <c r="AE161" s="666"/>
      <c r="AF161" s="666"/>
      <c r="AG161" s="666"/>
    </row>
    <row r="162" spans="1:33" x14ac:dyDescent="0.2">
      <c r="A162" s="666"/>
      <c r="B162" s="666"/>
      <c r="C162" s="666"/>
      <c r="D162" s="666"/>
      <c r="E162" s="666"/>
      <c r="F162" s="666"/>
      <c r="G162" s="666"/>
      <c r="H162" s="666"/>
      <c r="I162" s="666"/>
      <c r="J162" s="666"/>
      <c r="K162" s="666"/>
      <c r="L162" s="666"/>
      <c r="M162" s="666"/>
      <c r="N162" s="666"/>
      <c r="O162" s="666"/>
      <c r="P162" s="666"/>
      <c r="Q162" s="666"/>
      <c r="R162" s="666"/>
      <c r="S162" s="666"/>
      <c r="T162" s="666"/>
      <c r="U162" s="666"/>
      <c r="V162" s="666"/>
      <c r="W162" s="666"/>
      <c r="X162" s="666"/>
      <c r="Y162" s="666"/>
      <c r="Z162" s="666"/>
      <c r="AA162" s="666"/>
      <c r="AB162" s="666"/>
      <c r="AC162" s="666"/>
      <c r="AD162" s="666"/>
      <c r="AE162" s="666"/>
      <c r="AF162" s="666"/>
      <c r="AG162" s="666"/>
    </row>
    <row r="163" spans="1:33" x14ac:dyDescent="0.2">
      <c r="A163" s="666"/>
      <c r="B163" s="666"/>
      <c r="C163" s="666"/>
      <c r="D163" s="666"/>
      <c r="E163" s="666"/>
      <c r="F163" s="666"/>
      <c r="G163" s="666"/>
      <c r="H163" s="666"/>
      <c r="I163" s="666"/>
      <c r="J163" s="666"/>
      <c r="K163" s="666"/>
      <c r="L163" s="666"/>
      <c r="M163" s="666"/>
      <c r="N163" s="666"/>
      <c r="O163" s="666"/>
      <c r="P163" s="666"/>
      <c r="Q163" s="666"/>
      <c r="R163" s="666"/>
      <c r="S163" s="666"/>
      <c r="T163" s="666"/>
      <c r="U163" s="666"/>
      <c r="V163" s="666"/>
      <c r="W163" s="666"/>
      <c r="X163" s="666"/>
      <c r="Y163" s="666"/>
      <c r="Z163" s="666"/>
      <c r="AA163" s="666"/>
      <c r="AB163" s="666"/>
      <c r="AC163" s="666"/>
      <c r="AD163" s="666"/>
      <c r="AE163" s="666"/>
      <c r="AF163" s="666"/>
      <c r="AG163" s="666"/>
    </row>
    <row r="164" spans="1:33" x14ac:dyDescent="0.2">
      <c r="A164" s="666"/>
      <c r="B164" s="666"/>
      <c r="C164" s="666"/>
      <c r="D164" s="666"/>
      <c r="E164" s="666"/>
      <c r="F164" s="666"/>
      <c r="G164" s="666"/>
      <c r="H164" s="666"/>
      <c r="I164" s="666"/>
      <c r="J164" s="666"/>
      <c r="K164" s="666"/>
      <c r="L164" s="666"/>
      <c r="M164" s="666"/>
      <c r="N164" s="666"/>
      <c r="O164" s="666"/>
      <c r="P164" s="666"/>
      <c r="Q164" s="666"/>
      <c r="R164" s="666"/>
      <c r="S164" s="666"/>
      <c r="T164" s="666"/>
      <c r="U164" s="666"/>
      <c r="V164" s="666"/>
      <c r="W164" s="666"/>
      <c r="X164" s="666"/>
      <c r="Y164" s="666"/>
      <c r="Z164" s="666"/>
      <c r="AA164" s="666"/>
      <c r="AB164" s="666"/>
      <c r="AC164" s="666"/>
      <c r="AD164" s="666"/>
      <c r="AE164" s="666"/>
      <c r="AF164" s="666"/>
      <c r="AG164" s="666"/>
    </row>
    <row r="165" spans="1:33" x14ac:dyDescent="0.2">
      <c r="A165" s="666"/>
      <c r="B165" s="666"/>
      <c r="C165" s="666"/>
      <c r="D165" s="666"/>
      <c r="E165" s="666"/>
      <c r="F165" s="666"/>
      <c r="G165" s="666"/>
      <c r="H165" s="666"/>
      <c r="I165" s="666"/>
      <c r="J165" s="666"/>
      <c r="K165" s="666"/>
      <c r="L165" s="666"/>
      <c r="M165" s="666"/>
      <c r="N165" s="666"/>
      <c r="O165" s="666"/>
      <c r="P165" s="666"/>
      <c r="Q165" s="666"/>
      <c r="R165" s="666"/>
      <c r="S165" s="666"/>
      <c r="T165" s="666"/>
      <c r="U165" s="666"/>
      <c r="V165" s="666"/>
      <c r="W165" s="666"/>
      <c r="X165" s="666"/>
      <c r="Y165" s="666"/>
      <c r="Z165" s="666"/>
      <c r="AA165" s="666"/>
      <c r="AB165" s="666"/>
      <c r="AC165" s="666"/>
      <c r="AD165" s="666"/>
      <c r="AE165" s="666"/>
      <c r="AF165" s="666"/>
      <c r="AG165" s="666"/>
    </row>
    <row r="166" spans="1:33" x14ac:dyDescent="0.2">
      <c r="A166" s="666"/>
      <c r="B166" s="666"/>
      <c r="C166" s="666"/>
      <c r="D166" s="666"/>
      <c r="E166" s="666"/>
      <c r="F166" s="666"/>
      <c r="G166" s="666"/>
      <c r="H166" s="666"/>
      <c r="I166" s="666"/>
      <c r="J166" s="666"/>
      <c r="K166" s="666"/>
      <c r="L166" s="666"/>
      <c r="M166" s="666"/>
      <c r="N166" s="666"/>
      <c r="O166" s="666"/>
      <c r="P166" s="666"/>
      <c r="Q166" s="666"/>
      <c r="R166" s="666"/>
      <c r="S166" s="666"/>
      <c r="T166" s="666"/>
      <c r="U166" s="666"/>
      <c r="V166" s="666"/>
      <c r="W166" s="666"/>
      <c r="X166" s="666"/>
      <c r="Y166" s="666"/>
      <c r="Z166" s="666"/>
      <c r="AA166" s="666"/>
      <c r="AB166" s="666"/>
      <c r="AC166" s="666"/>
      <c r="AD166" s="666"/>
      <c r="AE166" s="666"/>
      <c r="AF166" s="666"/>
      <c r="AG166" s="666"/>
    </row>
    <row r="167" spans="1:33" x14ac:dyDescent="0.2">
      <c r="A167" s="666"/>
      <c r="B167" s="666"/>
      <c r="C167" s="666"/>
      <c r="D167" s="666"/>
      <c r="E167" s="666"/>
      <c r="F167" s="666"/>
      <c r="G167" s="666"/>
      <c r="H167" s="666"/>
      <c r="I167" s="666"/>
      <c r="J167" s="666"/>
      <c r="K167" s="666"/>
      <c r="L167" s="666"/>
      <c r="M167" s="666"/>
      <c r="N167" s="666"/>
      <c r="O167" s="666"/>
      <c r="P167" s="666"/>
      <c r="Q167" s="666"/>
      <c r="R167" s="666"/>
      <c r="S167" s="666"/>
      <c r="T167" s="666"/>
      <c r="U167" s="666"/>
      <c r="V167" s="666"/>
      <c r="W167" s="666"/>
      <c r="X167" s="666"/>
      <c r="Y167" s="666"/>
      <c r="Z167" s="666"/>
      <c r="AA167" s="666"/>
      <c r="AB167" s="666"/>
      <c r="AC167" s="666"/>
      <c r="AD167" s="666"/>
      <c r="AE167" s="666"/>
      <c r="AF167" s="666"/>
      <c r="AG167" s="666"/>
    </row>
    <row r="168" spans="1:33" x14ac:dyDescent="0.2">
      <c r="A168" s="666"/>
      <c r="B168" s="666"/>
      <c r="C168" s="666"/>
      <c r="D168" s="666"/>
      <c r="E168" s="666"/>
      <c r="F168" s="666"/>
      <c r="G168" s="666"/>
      <c r="H168" s="666"/>
      <c r="I168" s="666"/>
      <c r="J168" s="666"/>
      <c r="K168" s="666"/>
      <c r="L168" s="666"/>
      <c r="M168" s="666"/>
      <c r="N168" s="666"/>
      <c r="O168" s="666"/>
      <c r="P168" s="666"/>
      <c r="Q168" s="666"/>
      <c r="R168" s="666"/>
      <c r="S168" s="666"/>
      <c r="T168" s="666"/>
      <c r="U168" s="666"/>
      <c r="V168" s="666"/>
      <c r="W168" s="666"/>
      <c r="X168" s="666"/>
      <c r="Y168" s="666"/>
      <c r="Z168" s="666"/>
      <c r="AA168" s="666"/>
      <c r="AB168" s="666"/>
      <c r="AC168" s="666"/>
      <c r="AD168" s="666"/>
      <c r="AE168" s="666"/>
      <c r="AF168" s="666"/>
      <c r="AG168" s="666"/>
    </row>
    <row r="169" spans="1:33" x14ac:dyDescent="0.2">
      <c r="A169" s="666"/>
      <c r="B169" s="666"/>
      <c r="C169" s="666"/>
      <c r="D169" s="666"/>
      <c r="E169" s="666"/>
      <c r="F169" s="666"/>
      <c r="G169" s="666"/>
      <c r="H169" s="666"/>
      <c r="I169" s="666"/>
      <c r="J169" s="666"/>
      <c r="K169" s="666"/>
      <c r="L169" s="666"/>
      <c r="M169" s="666"/>
      <c r="N169" s="666"/>
      <c r="O169" s="666"/>
      <c r="P169" s="666"/>
      <c r="Q169" s="666"/>
      <c r="R169" s="666"/>
      <c r="S169" s="666"/>
      <c r="T169" s="666"/>
      <c r="U169" s="666"/>
      <c r="V169" s="666"/>
      <c r="W169" s="666"/>
      <c r="X169" s="666"/>
      <c r="Y169" s="666"/>
      <c r="Z169" s="666"/>
      <c r="AA169" s="666"/>
      <c r="AB169" s="666"/>
      <c r="AC169" s="666"/>
      <c r="AD169" s="666"/>
      <c r="AE169" s="666"/>
      <c r="AF169" s="666"/>
      <c r="AG169" s="666"/>
    </row>
    <row r="170" spans="1:33" x14ac:dyDescent="0.2">
      <c r="A170" s="666"/>
      <c r="B170" s="666"/>
      <c r="C170" s="666"/>
      <c r="D170" s="666"/>
      <c r="E170" s="666"/>
      <c r="F170" s="666"/>
      <c r="G170" s="666"/>
      <c r="H170" s="666"/>
      <c r="I170" s="666"/>
      <c r="J170" s="666"/>
      <c r="K170" s="666"/>
      <c r="L170" s="666"/>
      <c r="M170" s="666"/>
      <c r="N170" s="666"/>
      <c r="O170" s="666"/>
      <c r="P170" s="666"/>
      <c r="Q170" s="666"/>
      <c r="R170" s="666"/>
      <c r="S170" s="666"/>
      <c r="T170" s="666"/>
      <c r="U170" s="666"/>
      <c r="V170" s="666"/>
      <c r="W170" s="666"/>
      <c r="X170" s="666"/>
      <c r="Y170" s="666"/>
      <c r="Z170" s="666"/>
      <c r="AA170" s="666"/>
      <c r="AB170" s="666"/>
      <c r="AC170" s="666"/>
      <c r="AD170" s="666"/>
      <c r="AE170" s="666"/>
      <c r="AF170" s="666"/>
      <c r="AG170" s="666"/>
    </row>
    <row r="171" spans="1:33" x14ac:dyDescent="0.2">
      <c r="A171" s="666"/>
      <c r="B171" s="666"/>
      <c r="C171" s="666"/>
      <c r="D171" s="666"/>
      <c r="E171" s="666"/>
      <c r="F171" s="666"/>
      <c r="G171" s="666"/>
      <c r="H171" s="666"/>
      <c r="I171" s="666"/>
      <c r="J171" s="666"/>
      <c r="K171" s="666"/>
      <c r="L171" s="666"/>
      <c r="M171" s="666"/>
      <c r="N171" s="666"/>
      <c r="O171" s="666"/>
      <c r="P171" s="666"/>
      <c r="Q171" s="666"/>
      <c r="R171" s="666"/>
      <c r="S171" s="666"/>
      <c r="T171" s="666"/>
      <c r="U171" s="666"/>
      <c r="V171" s="666"/>
      <c r="W171" s="666"/>
      <c r="X171" s="666"/>
      <c r="Y171" s="666"/>
      <c r="Z171" s="666"/>
      <c r="AA171" s="666"/>
      <c r="AB171" s="666"/>
      <c r="AC171" s="666"/>
      <c r="AD171" s="666"/>
      <c r="AE171" s="666"/>
      <c r="AF171" s="666"/>
      <c r="AG171" s="666"/>
    </row>
    <row r="172" spans="1:33" x14ac:dyDescent="0.2">
      <c r="A172" s="666"/>
      <c r="B172" s="666"/>
      <c r="C172" s="666"/>
      <c r="D172" s="666"/>
      <c r="E172" s="666"/>
      <c r="F172" s="666"/>
      <c r="G172" s="666"/>
      <c r="H172" s="666"/>
      <c r="I172" s="666"/>
      <c r="J172" s="666"/>
      <c r="K172" s="666"/>
      <c r="L172" s="666"/>
      <c r="M172" s="666"/>
      <c r="N172" s="666"/>
      <c r="O172" s="666"/>
      <c r="P172" s="666"/>
      <c r="Q172" s="666"/>
      <c r="R172" s="666"/>
      <c r="S172" s="666"/>
      <c r="T172" s="666"/>
      <c r="U172" s="666"/>
      <c r="V172" s="666"/>
      <c r="W172" s="666"/>
      <c r="X172" s="666"/>
      <c r="Y172" s="666"/>
      <c r="Z172" s="666"/>
      <c r="AA172" s="666"/>
      <c r="AB172" s="666"/>
      <c r="AC172" s="666"/>
      <c r="AD172" s="666"/>
      <c r="AE172" s="666"/>
      <c r="AF172" s="666"/>
      <c r="AG172" s="666"/>
    </row>
    <row r="173" spans="1:33" x14ac:dyDescent="0.2">
      <c r="A173" s="666"/>
      <c r="B173" s="666"/>
      <c r="C173" s="666"/>
      <c r="D173" s="666"/>
      <c r="E173" s="666"/>
      <c r="F173" s="666"/>
      <c r="G173" s="666"/>
      <c r="H173" s="666"/>
      <c r="I173" s="666"/>
      <c r="J173" s="666"/>
      <c r="K173" s="666"/>
      <c r="L173" s="666"/>
      <c r="M173" s="666"/>
      <c r="N173" s="666"/>
      <c r="O173" s="666"/>
      <c r="P173" s="666"/>
      <c r="Q173" s="666"/>
      <c r="R173" s="666"/>
      <c r="S173" s="666"/>
      <c r="T173" s="666"/>
      <c r="U173" s="666"/>
      <c r="V173" s="666"/>
      <c r="W173" s="666"/>
      <c r="X173" s="666"/>
      <c r="Y173" s="666"/>
      <c r="Z173" s="666"/>
      <c r="AA173" s="666"/>
      <c r="AB173" s="666"/>
      <c r="AC173" s="666"/>
      <c r="AD173" s="666"/>
      <c r="AE173" s="666"/>
      <c r="AF173" s="666"/>
      <c r="AG173" s="666"/>
    </row>
    <row r="174" spans="1:33" x14ac:dyDescent="0.2">
      <c r="A174" s="666"/>
      <c r="B174" s="666"/>
      <c r="C174" s="666"/>
      <c r="D174" s="666"/>
      <c r="E174" s="666"/>
      <c r="F174" s="666"/>
      <c r="G174" s="666"/>
      <c r="H174" s="666"/>
      <c r="I174" s="666"/>
      <c r="J174" s="666"/>
      <c r="K174" s="666"/>
      <c r="L174" s="666"/>
      <c r="M174" s="666"/>
      <c r="N174" s="666"/>
      <c r="O174" s="666"/>
      <c r="P174" s="666"/>
      <c r="Q174" s="666"/>
      <c r="R174" s="666"/>
      <c r="S174" s="666"/>
      <c r="T174" s="666"/>
      <c r="U174" s="666"/>
      <c r="V174" s="666"/>
      <c r="W174" s="666"/>
      <c r="X174" s="666"/>
      <c r="Y174" s="666"/>
      <c r="Z174" s="666"/>
      <c r="AA174" s="666"/>
      <c r="AB174" s="666"/>
      <c r="AC174" s="666"/>
      <c r="AD174" s="666"/>
      <c r="AE174" s="666"/>
      <c r="AF174" s="666"/>
      <c r="AG174" s="666"/>
    </row>
    <row r="175" spans="1:33" x14ac:dyDescent="0.2">
      <c r="A175" s="666"/>
      <c r="B175" s="666"/>
      <c r="C175" s="666"/>
      <c r="D175" s="666"/>
      <c r="E175" s="666"/>
      <c r="F175" s="666"/>
      <c r="G175" s="666"/>
      <c r="H175" s="666"/>
      <c r="I175" s="666"/>
      <c r="J175" s="666"/>
      <c r="K175" s="666"/>
      <c r="L175" s="666"/>
      <c r="M175" s="666"/>
      <c r="N175" s="666"/>
      <c r="O175" s="666"/>
      <c r="P175" s="666"/>
      <c r="Q175" s="666"/>
      <c r="R175" s="666"/>
      <c r="S175" s="666"/>
      <c r="T175" s="666"/>
      <c r="U175" s="666"/>
      <c r="V175" s="666"/>
      <c r="W175" s="666"/>
      <c r="X175" s="666"/>
      <c r="Y175" s="666"/>
      <c r="Z175" s="666"/>
      <c r="AA175" s="666"/>
      <c r="AB175" s="666"/>
      <c r="AC175" s="666"/>
      <c r="AD175" s="666"/>
      <c r="AE175" s="666"/>
      <c r="AF175" s="666"/>
      <c r="AG175" s="666"/>
    </row>
    <row r="176" spans="1:33" x14ac:dyDescent="0.2">
      <c r="A176" s="666"/>
      <c r="B176" s="666"/>
      <c r="C176" s="666"/>
      <c r="D176" s="666"/>
      <c r="E176" s="666"/>
      <c r="F176" s="666"/>
      <c r="G176" s="666"/>
      <c r="H176" s="666"/>
      <c r="I176" s="666"/>
      <c r="J176" s="666"/>
      <c r="K176" s="666"/>
      <c r="L176" s="666"/>
      <c r="M176" s="666"/>
      <c r="N176" s="666"/>
      <c r="O176" s="666"/>
      <c r="P176" s="666"/>
      <c r="Q176" s="666"/>
      <c r="R176" s="666"/>
      <c r="S176" s="666"/>
      <c r="T176" s="666"/>
      <c r="U176" s="666"/>
      <c r="V176" s="666"/>
      <c r="W176" s="666"/>
      <c r="X176" s="666"/>
      <c r="Y176" s="666"/>
      <c r="Z176" s="666"/>
      <c r="AA176" s="666"/>
      <c r="AB176" s="666"/>
      <c r="AC176" s="666"/>
      <c r="AD176" s="666"/>
      <c r="AE176" s="666"/>
      <c r="AF176" s="666"/>
      <c r="AG176" s="666"/>
    </row>
    <row r="177" spans="1:33" x14ac:dyDescent="0.2">
      <c r="A177" s="666"/>
      <c r="B177" s="666"/>
      <c r="C177" s="666"/>
      <c r="D177" s="666"/>
      <c r="E177" s="666"/>
      <c r="F177" s="666"/>
      <c r="G177" s="666"/>
      <c r="H177" s="666"/>
      <c r="I177" s="666"/>
      <c r="J177" s="666"/>
      <c r="K177" s="666"/>
      <c r="L177" s="666"/>
      <c r="M177" s="666"/>
      <c r="N177" s="666"/>
      <c r="O177" s="666"/>
      <c r="P177" s="666"/>
      <c r="Q177" s="666"/>
      <c r="R177" s="666"/>
      <c r="S177" s="666"/>
      <c r="T177" s="666"/>
      <c r="U177" s="666"/>
      <c r="V177" s="666"/>
      <c r="W177" s="666"/>
      <c r="X177" s="666"/>
      <c r="Y177" s="666"/>
      <c r="Z177" s="666"/>
      <c r="AA177" s="666"/>
      <c r="AB177" s="666"/>
      <c r="AC177" s="666"/>
      <c r="AD177" s="666"/>
      <c r="AE177" s="666"/>
      <c r="AF177" s="666"/>
      <c r="AG177" s="666"/>
    </row>
    <row r="178" spans="1:33" x14ac:dyDescent="0.2">
      <c r="A178" s="666"/>
      <c r="B178" s="666"/>
      <c r="C178" s="666"/>
      <c r="D178" s="666"/>
      <c r="E178" s="666"/>
      <c r="F178" s="666"/>
      <c r="G178" s="666"/>
      <c r="H178" s="666"/>
      <c r="I178" s="666"/>
      <c r="J178" s="666"/>
      <c r="K178" s="666"/>
      <c r="L178" s="666"/>
      <c r="M178" s="666"/>
      <c r="N178" s="666"/>
      <c r="O178" s="666"/>
      <c r="P178" s="666"/>
      <c r="Q178" s="666"/>
      <c r="R178" s="666"/>
      <c r="S178" s="666"/>
      <c r="T178" s="666"/>
      <c r="U178" s="666"/>
      <c r="V178" s="666"/>
      <c r="W178" s="666"/>
      <c r="X178" s="666"/>
      <c r="Y178" s="666"/>
      <c r="Z178" s="666"/>
      <c r="AA178" s="666"/>
      <c r="AB178" s="666"/>
      <c r="AC178" s="666"/>
      <c r="AD178" s="666"/>
      <c r="AE178" s="666"/>
      <c r="AF178" s="666"/>
      <c r="AG178" s="666"/>
    </row>
    <row r="179" spans="1:33" ht="12" customHeight="1" x14ac:dyDescent="0.2">
      <c r="A179" s="666"/>
      <c r="B179" s="666"/>
      <c r="C179" s="666"/>
      <c r="D179" s="666"/>
      <c r="E179" s="666"/>
      <c r="F179" s="666"/>
      <c r="G179" s="666"/>
      <c r="H179" s="666"/>
      <c r="I179" s="666"/>
      <c r="J179" s="666"/>
      <c r="K179" s="666"/>
      <c r="L179" s="666"/>
      <c r="M179" s="666"/>
      <c r="N179" s="666"/>
      <c r="O179" s="666"/>
      <c r="P179" s="666"/>
      <c r="Q179" s="666"/>
      <c r="R179" s="666"/>
      <c r="S179" s="666"/>
      <c r="T179" s="666"/>
      <c r="U179" s="666"/>
      <c r="V179" s="666"/>
      <c r="W179" s="666"/>
      <c r="X179" s="666"/>
      <c r="Y179" s="666"/>
      <c r="Z179" s="666"/>
      <c r="AA179" s="666"/>
      <c r="AB179" s="666"/>
      <c r="AC179" s="666"/>
      <c r="AD179" s="666"/>
      <c r="AE179" s="666"/>
      <c r="AF179" s="666"/>
      <c r="AG179" s="666"/>
    </row>
    <row r="180" spans="1:33" ht="12" customHeight="1" x14ac:dyDescent="0.2">
      <c r="A180" s="666"/>
      <c r="B180" s="666"/>
      <c r="C180" s="666"/>
      <c r="D180" s="666"/>
      <c r="E180" s="666"/>
      <c r="F180" s="666"/>
      <c r="G180" s="666"/>
      <c r="H180" s="666"/>
      <c r="I180" s="666"/>
      <c r="J180" s="666"/>
      <c r="K180" s="666"/>
      <c r="L180" s="666"/>
      <c r="M180" s="666"/>
      <c r="N180" s="666"/>
      <c r="O180" s="666"/>
      <c r="P180" s="666"/>
      <c r="Q180" s="666"/>
      <c r="R180" s="666"/>
      <c r="S180" s="666"/>
      <c r="T180" s="666"/>
      <c r="U180" s="666"/>
      <c r="V180" s="666"/>
      <c r="W180" s="666"/>
      <c r="X180" s="666"/>
      <c r="Y180" s="666"/>
      <c r="Z180" s="666"/>
      <c r="AA180" s="666"/>
      <c r="AB180" s="666"/>
      <c r="AC180" s="666"/>
      <c r="AD180" s="666"/>
      <c r="AE180" s="666"/>
      <c r="AF180" s="666"/>
      <c r="AG180" s="666"/>
    </row>
    <row r="181" spans="1:33" ht="12" customHeight="1" x14ac:dyDescent="0.2">
      <c r="A181" s="666"/>
      <c r="B181" s="666"/>
      <c r="C181" s="666"/>
      <c r="D181" s="666"/>
      <c r="E181" s="666"/>
      <c r="F181" s="666"/>
      <c r="G181" s="666"/>
      <c r="H181" s="666"/>
      <c r="I181" s="666"/>
      <c r="J181" s="666"/>
      <c r="K181" s="666"/>
      <c r="L181" s="666"/>
      <c r="M181" s="666"/>
      <c r="N181" s="666"/>
      <c r="O181" s="666"/>
      <c r="P181" s="666"/>
      <c r="Q181" s="666"/>
      <c r="R181" s="666"/>
      <c r="S181" s="666"/>
      <c r="T181" s="666"/>
      <c r="U181" s="666"/>
      <c r="V181" s="666"/>
      <c r="W181" s="666"/>
      <c r="X181" s="666"/>
      <c r="Y181" s="666"/>
      <c r="Z181" s="666"/>
      <c r="AA181" s="666"/>
      <c r="AB181" s="666"/>
      <c r="AC181" s="666"/>
      <c r="AD181" s="666"/>
      <c r="AE181" s="666"/>
      <c r="AF181" s="666"/>
      <c r="AG181" s="666"/>
    </row>
    <row r="182" spans="1:33" ht="12" customHeight="1" x14ac:dyDescent="0.2">
      <c r="A182" s="666"/>
      <c r="B182" s="666"/>
      <c r="C182" s="666"/>
      <c r="D182" s="666"/>
      <c r="E182" s="666"/>
      <c r="F182" s="666"/>
      <c r="G182" s="666"/>
      <c r="H182" s="666"/>
      <c r="I182" s="666"/>
      <c r="J182" s="666"/>
      <c r="K182" s="666"/>
      <c r="L182" s="666"/>
      <c r="M182" s="666"/>
      <c r="N182" s="666"/>
      <c r="O182" s="666"/>
      <c r="P182" s="666"/>
      <c r="Q182" s="666"/>
      <c r="R182" s="666"/>
      <c r="S182" s="666"/>
      <c r="T182" s="666"/>
      <c r="U182" s="666"/>
      <c r="V182" s="666"/>
      <c r="W182" s="666"/>
      <c r="X182" s="666"/>
      <c r="Y182" s="666"/>
      <c r="Z182" s="666"/>
      <c r="AA182" s="666"/>
      <c r="AB182" s="666"/>
      <c r="AC182" s="666"/>
      <c r="AD182" s="666"/>
      <c r="AE182" s="666"/>
      <c r="AF182" s="666"/>
      <c r="AG182" s="666"/>
    </row>
    <row r="183" spans="1:33" x14ac:dyDescent="0.2">
      <c r="A183" s="666"/>
      <c r="B183" s="666"/>
      <c r="C183" s="666"/>
      <c r="D183" s="666"/>
      <c r="E183" s="666"/>
      <c r="F183" s="666"/>
      <c r="G183" s="666"/>
      <c r="H183" s="666"/>
      <c r="I183" s="666"/>
      <c r="J183" s="666"/>
      <c r="K183" s="666"/>
      <c r="L183" s="666"/>
      <c r="M183" s="666"/>
      <c r="N183" s="666"/>
      <c r="O183" s="666"/>
      <c r="P183" s="666"/>
      <c r="Q183" s="666"/>
      <c r="R183" s="666"/>
      <c r="S183" s="666"/>
      <c r="T183" s="666"/>
      <c r="U183" s="666"/>
      <c r="V183" s="666"/>
      <c r="W183" s="666"/>
      <c r="X183" s="666"/>
      <c r="Y183" s="666"/>
      <c r="Z183" s="666"/>
      <c r="AA183" s="666"/>
      <c r="AB183" s="666"/>
      <c r="AC183" s="666"/>
      <c r="AD183" s="666"/>
      <c r="AE183" s="666"/>
      <c r="AF183" s="666"/>
      <c r="AG183" s="666"/>
    </row>
    <row r="184" spans="1:33" x14ac:dyDescent="0.2">
      <c r="A184" s="666"/>
      <c r="B184" s="666"/>
      <c r="C184" s="666"/>
      <c r="D184" s="666"/>
      <c r="E184" s="666"/>
      <c r="F184" s="666"/>
      <c r="G184" s="666"/>
      <c r="H184" s="666"/>
      <c r="I184" s="666"/>
      <c r="J184" s="666"/>
      <c r="K184" s="666"/>
      <c r="L184" s="666"/>
      <c r="M184" s="666"/>
      <c r="N184" s="666"/>
      <c r="O184" s="666"/>
      <c r="P184" s="666"/>
      <c r="Q184" s="666"/>
      <c r="R184" s="666"/>
      <c r="S184" s="666"/>
      <c r="T184" s="666"/>
      <c r="U184" s="666"/>
      <c r="V184" s="666"/>
      <c r="W184" s="666"/>
      <c r="X184" s="666"/>
      <c r="Y184" s="666"/>
      <c r="Z184" s="666"/>
      <c r="AA184" s="666"/>
      <c r="AB184" s="666"/>
      <c r="AC184" s="666"/>
      <c r="AD184" s="666"/>
      <c r="AE184" s="666"/>
      <c r="AF184" s="666"/>
      <c r="AG184" s="666"/>
    </row>
    <row r="185" spans="1:33" x14ac:dyDescent="0.2">
      <c r="A185" s="666"/>
      <c r="B185" s="666"/>
      <c r="C185" s="666"/>
      <c r="D185" s="666"/>
      <c r="E185" s="666"/>
      <c r="F185" s="666"/>
      <c r="G185" s="666"/>
      <c r="H185" s="666"/>
      <c r="I185" s="666"/>
      <c r="J185" s="666"/>
      <c r="K185" s="666"/>
      <c r="L185" s="666"/>
      <c r="M185" s="666"/>
      <c r="N185" s="666"/>
      <c r="O185" s="666"/>
      <c r="P185" s="666"/>
      <c r="Q185" s="666"/>
      <c r="R185" s="666"/>
      <c r="S185" s="666"/>
      <c r="T185" s="666"/>
      <c r="U185" s="666"/>
      <c r="V185" s="666"/>
      <c r="W185" s="666"/>
      <c r="X185" s="666"/>
      <c r="Y185" s="666"/>
      <c r="Z185" s="666"/>
      <c r="AA185" s="666"/>
      <c r="AB185" s="666"/>
      <c r="AC185" s="666"/>
      <c r="AD185" s="666"/>
      <c r="AE185" s="666"/>
      <c r="AF185" s="666"/>
      <c r="AG185" s="666"/>
    </row>
    <row r="186" spans="1:33" x14ac:dyDescent="0.2">
      <c r="A186" s="666"/>
      <c r="B186" s="666"/>
      <c r="C186" s="666"/>
      <c r="D186" s="666"/>
      <c r="E186" s="666"/>
      <c r="F186" s="666"/>
      <c r="G186" s="666"/>
      <c r="H186" s="666"/>
      <c r="I186" s="666"/>
      <c r="J186" s="666"/>
      <c r="K186" s="666"/>
      <c r="L186" s="666"/>
      <c r="M186" s="666"/>
      <c r="N186" s="666"/>
      <c r="O186" s="666"/>
      <c r="P186" s="666"/>
      <c r="Q186" s="666"/>
      <c r="R186" s="666"/>
      <c r="S186" s="666"/>
      <c r="T186" s="666"/>
      <c r="U186" s="666"/>
      <c r="V186" s="666"/>
      <c r="W186" s="666"/>
      <c r="X186" s="666"/>
      <c r="Y186" s="666"/>
      <c r="Z186" s="666"/>
      <c r="AA186" s="666"/>
      <c r="AB186" s="666"/>
      <c r="AC186" s="666"/>
      <c r="AD186" s="666"/>
      <c r="AE186" s="666"/>
      <c r="AF186" s="666"/>
      <c r="AG186" s="666"/>
    </row>
    <row r="187" spans="1:33" x14ac:dyDescent="0.2">
      <c r="A187" s="666"/>
      <c r="B187" s="666"/>
      <c r="C187" s="666"/>
      <c r="D187" s="666"/>
      <c r="E187" s="666"/>
      <c r="F187" s="666"/>
      <c r="G187" s="666"/>
      <c r="H187" s="666"/>
      <c r="I187" s="666"/>
      <c r="J187" s="666"/>
      <c r="K187" s="666"/>
      <c r="L187" s="666"/>
      <c r="M187" s="666"/>
      <c r="N187" s="666"/>
      <c r="O187" s="666"/>
      <c r="P187" s="666"/>
      <c r="Q187" s="666"/>
      <c r="R187" s="666"/>
      <c r="S187" s="666"/>
      <c r="T187" s="666"/>
      <c r="U187" s="666"/>
      <c r="V187" s="666"/>
      <c r="W187" s="666"/>
      <c r="X187" s="666"/>
      <c r="Y187" s="666"/>
      <c r="Z187" s="666"/>
      <c r="AA187" s="666"/>
      <c r="AB187" s="666"/>
      <c r="AC187" s="666"/>
      <c r="AD187" s="666"/>
      <c r="AE187" s="666"/>
      <c r="AF187" s="666"/>
      <c r="AG187" s="666"/>
    </row>
    <row r="188" spans="1:33" ht="12" customHeight="1" x14ac:dyDescent="0.2">
      <c r="A188" s="666"/>
      <c r="B188" s="666"/>
      <c r="C188" s="666"/>
      <c r="D188" s="666"/>
      <c r="E188" s="666"/>
      <c r="F188" s="666"/>
      <c r="G188" s="666"/>
      <c r="H188" s="666"/>
      <c r="I188" s="666"/>
      <c r="J188" s="666"/>
      <c r="K188" s="666"/>
      <c r="L188" s="666"/>
      <c r="M188" s="666"/>
      <c r="N188" s="666"/>
      <c r="O188" s="666"/>
      <c r="P188" s="666"/>
      <c r="Q188" s="666"/>
      <c r="R188" s="666"/>
      <c r="S188" s="666"/>
      <c r="T188" s="666"/>
      <c r="U188" s="666"/>
      <c r="V188" s="666"/>
      <c r="W188" s="666"/>
      <c r="X188" s="666"/>
      <c r="Y188" s="666"/>
      <c r="Z188" s="666"/>
      <c r="AA188" s="666"/>
      <c r="AB188" s="666"/>
      <c r="AC188" s="666"/>
      <c r="AD188" s="666"/>
      <c r="AE188" s="666"/>
      <c r="AF188" s="666"/>
      <c r="AG188" s="666"/>
    </row>
    <row r="189" spans="1:33" ht="12" customHeight="1" x14ac:dyDescent="0.2">
      <c r="A189" s="666"/>
      <c r="B189" s="666"/>
      <c r="C189" s="666"/>
      <c r="D189" s="666"/>
      <c r="E189" s="666"/>
      <c r="F189" s="666"/>
      <c r="G189" s="666"/>
      <c r="H189" s="666"/>
      <c r="I189" s="666"/>
      <c r="J189" s="666"/>
      <c r="K189" s="666"/>
      <c r="L189" s="666"/>
      <c r="M189" s="666"/>
      <c r="N189" s="666"/>
      <c r="O189" s="666"/>
      <c r="P189" s="666"/>
      <c r="Q189" s="666"/>
      <c r="R189" s="666"/>
      <c r="S189" s="666"/>
      <c r="T189" s="666"/>
      <c r="U189" s="666"/>
      <c r="V189" s="666"/>
      <c r="W189" s="666"/>
      <c r="X189" s="666"/>
      <c r="Y189" s="666"/>
      <c r="Z189" s="666"/>
      <c r="AA189" s="666"/>
      <c r="AB189" s="666"/>
      <c r="AC189" s="666"/>
      <c r="AD189" s="666"/>
      <c r="AE189" s="666"/>
      <c r="AF189" s="666"/>
      <c r="AG189" s="666"/>
    </row>
    <row r="190" spans="1:33" ht="12" customHeight="1" x14ac:dyDescent="0.2">
      <c r="A190" s="666"/>
      <c r="B190" s="666"/>
      <c r="C190" s="666"/>
      <c r="D190" s="666"/>
      <c r="E190" s="666"/>
      <c r="F190" s="666"/>
      <c r="G190" s="666"/>
      <c r="H190" s="666"/>
      <c r="I190" s="666"/>
      <c r="J190" s="666"/>
      <c r="K190" s="666"/>
      <c r="L190" s="666"/>
      <c r="M190" s="666"/>
      <c r="N190" s="666"/>
      <c r="O190" s="666"/>
      <c r="P190" s="666"/>
      <c r="Q190" s="666"/>
      <c r="R190" s="666"/>
      <c r="S190" s="666"/>
      <c r="T190" s="666"/>
      <c r="U190" s="666"/>
      <c r="V190" s="666"/>
      <c r="W190" s="666"/>
      <c r="X190" s="666"/>
      <c r="Y190" s="666"/>
      <c r="Z190" s="666"/>
      <c r="AA190" s="666"/>
      <c r="AB190" s="666"/>
      <c r="AC190" s="666"/>
      <c r="AD190" s="666"/>
      <c r="AE190" s="666"/>
      <c r="AF190" s="666"/>
      <c r="AG190" s="666"/>
    </row>
    <row r="191" spans="1:33" ht="12" customHeight="1" x14ac:dyDescent="0.2">
      <c r="A191" s="666"/>
      <c r="B191" s="666"/>
      <c r="C191" s="666"/>
      <c r="D191" s="666"/>
      <c r="E191" s="666"/>
      <c r="F191" s="666"/>
      <c r="G191" s="666"/>
      <c r="H191" s="666"/>
      <c r="I191" s="666"/>
      <c r="J191" s="666"/>
      <c r="K191" s="666"/>
      <c r="L191" s="666"/>
      <c r="M191" s="666"/>
      <c r="N191" s="666"/>
      <c r="O191" s="666"/>
      <c r="P191" s="666"/>
      <c r="Q191" s="666"/>
      <c r="R191" s="666"/>
      <c r="S191" s="666"/>
      <c r="T191" s="666"/>
      <c r="U191" s="666"/>
      <c r="V191" s="666"/>
      <c r="W191" s="666"/>
      <c r="X191" s="666"/>
      <c r="Y191" s="666"/>
      <c r="Z191" s="666"/>
      <c r="AA191" s="666"/>
      <c r="AB191" s="666"/>
      <c r="AC191" s="666"/>
      <c r="AD191" s="666"/>
      <c r="AE191" s="666"/>
      <c r="AF191" s="666"/>
      <c r="AG191" s="666"/>
    </row>
    <row r="192" spans="1:33" x14ac:dyDescent="0.2">
      <c r="A192" s="666"/>
      <c r="B192" s="666"/>
      <c r="C192" s="666"/>
      <c r="D192" s="666"/>
      <c r="E192" s="666"/>
      <c r="F192" s="666"/>
      <c r="G192" s="666"/>
      <c r="H192" s="666"/>
      <c r="I192" s="666"/>
      <c r="J192" s="666"/>
      <c r="K192" s="666"/>
      <c r="L192" s="666"/>
      <c r="M192" s="666"/>
      <c r="N192" s="666"/>
      <c r="O192" s="666"/>
      <c r="P192" s="666"/>
      <c r="Q192" s="666"/>
      <c r="R192" s="666"/>
      <c r="S192" s="666"/>
      <c r="T192" s="666"/>
      <c r="U192" s="666"/>
      <c r="V192" s="666"/>
      <c r="W192" s="666"/>
      <c r="X192" s="666"/>
      <c r="Y192" s="666"/>
      <c r="Z192" s="666"/>
      <c r="AA192" s="666"/>
      <c r="AB192" s="666"/>
      <c r="AC192" s="666"/>
      <c r="AD192" s="666"/>
      <c r="AE192" s="666"/>
      <c r="AF192" s="666"/>
      <c r="AG192" s="666"/>
    </row>
    <row r="193" spans="1:33" x14ac:dyDescent="0.2">
      <c r="A193" s="666"/>
      <c r="B193" s="666"/>
      <c r="C193" s="666"/>
      <c r="D193" s="666"/>
      <c r="E193" s="666"/>
      <c r="F193" s="666"/>
      <c r="G193" s="666"/>
      <c r="H193" s="666"/>
      <c r="I193" s="666"/>
      <c r="J193" s="666"/>
      <c r="K193" s="666"/>
      <c r="L193" s="666"/>
      <c r="M193" s="666"/>
      <c r="N193" s="666"/>
      <c r="O193" s="666"/>
      <c r="P193" s="666"/>
      <c r="Q193" s="666"/>
      <c r="R193" s="666"/>
      <c r="S193" s="666"/>
      <c r="T193" s="666"/>
      <c r="U193" s="666"/>
      <c r="V193" s="666"/>
      <c r="W193" s="666"/>
      <c r="X193" s="666"/>
      <c r="Y193" s="666"/>
      <c r="Z193" s="666"/>
      <c r="AA193" s="666"/>
      <c r="AB193" s="666"/>
      <c r="AC193" s="666"/>
      <c r="AD193" s="666"/>
      <c r="AE193" s="666"/>
      <c r="AF193" s="666"/>
      <c r="AG193" s="666"/>
    </row>
    <row r="194" spans="1:33" x14ac:dyDescent="0.2">
      <c r="A194" s="666"/>
      <c r="B194" s="666"/>
      <c r="C194" s="666"/>
      <c r="D194" s="666"/>
      <c r="E194" s="666"/>
      <c r="F194" s="666"/>
      <c r="G194" s="666"/>
      <c r="H194" s="666"/>
      <c r="I194" s="666"/>
      <c r="J194" s="666"/>
      <c r="K194" s="666"/>
      <c r="L194" s="666"/>
      <c r="M194" s="666"/>
      <c r="N194" s="666"/>
      <c r="O194" s="666"/>
      <c r="P194" s="666"/>
      <c r="Q194" s="666"/>
      <c r="R194" s="666"/>
      <c r="S194" s="666"/>
      <c r="T194" s="666"/>
      <c r="U194" s="666"/>
      <c r="V194" s="666"/>
      <c r="W194" s="666"/>
      <c r="X194" s="666"/>
      <c r="Y194" s="666"/>
      <c r="Z194" s="666"/>
      <c r="AA194" s="666"/>
      <c r="AB194" s="666"/>
      <c r="AC194" s="666"/>
      <c r="AD194" s="666"/>
      <c r="AE194" s="666"/>
      <c r="AF194" s="666"/>
      <c r="AG194" s="666"/>
    </row>
    <row r="195" spans="1:33" x14ac:dyDescent="0.2">
      <c r="A195" s="666"/>
      <c r="B195" s="666"/>
      <c r="C195" s="666"/>
      <c r="D195" s="666"/>
      <c r="E195" s="666"/>
      <c r="F195" s="666"/>
      <c r="G195" s="666"/>
      <c r="H195" s="666"/>
      <c r="I195" s="666"/>
      <c r="J195" s="666"/>
      <c r="K195" s="666"/>
      <c r="L195" s="666"/>
      <c r="M195" s="666"/>
      <c r="N195" s="666"/>
      <c r="O195" s="666"/>
      <c r="P195" s="666"/>
      <c r="Q195" s="666"/>
      <c r="R195" s="666"/>
      <c r="S195" s="666"/>
      <c r="T195" s="666"/>
      <c r="U195" s="666"/>
      <c r="V195" s="666"/>
      <c r="W195" s="666"/>
      <c r="X195" s="666"/>
      <c r="Y195" s="666"/>
      <c r="Z195" s="666"/>
      <c r="AA195" s="666"/>
      <c r="AB195" s="666"/>
      <c r="AC195" s="666"/>
      <c r="AD195" s="666"/>
      <c r="AE195" s="666"/>
      <c r="AF195" s="666"/>
      <c r="AG195" s="666"/>
    </row>
    <row r="196" spans="1:33" x14ac:dyDescent="0.2">
      <c r="A196" s="666"/>
      <c r="B196" s="666"/>
      <c r="C196" s="666"/>
      <c r="D196" s="666"/>
      <c r="E196" s="666"/>
      <c r="F196" s="666"/>
      <c r="G196" s="666"/>
      <c r="H196" s="666"/>
      <c r="I196" s="666"/>
      <c r="J196" s="666"/>
      <c r="K196" s="666"/>
      <c r="L196" s="666"/>
      <c r="M196" s="666"/>
      <c r="N196" s="666"/>
      <c r="O196" s="666"/>
      <c r="P196" s="666"/>
      <c r="Q196" s="666"/>
      <c r="R196" s="666"/>
      <c r="S196" s="666"/>
      <c r="T196" s="666"/>
      <c r="U196" s="666"/>
      <c r="V196" s="666"/>
      <c r="W196" s="666"/>
      <c r="X196" s="666"/>
      <c r="Y196" s="666"/>
      <c r="Z196" s="666"/>
      <c r="AA196" s="666"/>
      <c r="AB196" s="666"/>
      <c r="AC196" s="666"/>
      <c r="AD196" s="666"/>
      <c r="AE196" s="666"/>
      <c r="AF196" s="666"/>
      <c r="AG196" s="666"/>
    </row>
    <row r="197" spans="1:33" x14ac:dyDescent="0.2">
      <c r="A197" s="666"/>
      <c r="B197" s="666"/>
      <c r="C197" s="666"/>
      <c r="D197" s="666"/>
      <c r="E197" s="666"/>
      <c r="F197" s="666"/>
      <c r="G197" s="666"/>
      <c r="H197" s="666"/>
      <c r="I197" s="666"/>
      <c r="J197" s="666"/>
      <c r="K197" s="666"/>
      <c r="L197" s="666"/>
      <c r="M197" s="666"/>
      <c r="N197" s="666"/>
      <c r="O197" s="666"/>
      <c r="P197" s="666"/>
      <c r="Q197" s="666"/>
      <c r="R197" s="666"/>
      <c r="S197" s="666"/>
      <c r="T197" s="666"/>
      <c r="U197" s="666"/>
      <c r="V197" s="666"/>
      <c r="W197" s="666"/>
      <c r="X197" s="666"/>
      <c r="Y197" s="666"/>
      <c r="Z197" s="666"/>
      <c r="AA197" s="666"/>
      <c r="AB197" s="666"/>
      <c r="AC197" s="666"/>
      <c r="AD197" s="666"/>
      <c r="AE197" s="666"/>
      <c r="AF197" s="666"/>
      <c r="AG197" s="666"/>
    </row>
    <row r="198" spans="1:33" x14ac:dyDescent="0.2">
      <c r="A198" s="666"/>
      <c r="B198" s="666"/>
      <c r="C198" s="666"/>
      <c r="D198" s="666"/>
      <c r="E198" s="666"/>
      <c r="F198" s="666"/>
      <c r="G198" s="666"/>
      <c r="H198" s="666"/>
      <c r="I198" s="666"/>
      <c r="J198" s="666"/>
      <c r="K198" s="666"/>
      <c r="L198" s="666"/>
      <c r="M198" s="666"/>
      <c r="N198" s="666"/>
      <c r="O198" s="666"/>
      <c r="P198" s="666"/>
      <c r="Q198" s="666"/>
      <c r="R198" s="666"/>
      <c r="S198" s="666"/>
      <c r="T198" s="666"/>
      <c r="U198" s="666"/>
      <c r="V198" s="666"/>
      <c r="W198" s="666"/>
      <c r="X198" s="666"/>
      <c r="Y198" s="666"/>
      <c r="Z198" s="666"/>
      <c r="AA198" s="666"/>
      <c r="AB198" s="666"/>
      <c r="AC198" s="666"/>
      <c r="AD198" s="666"/>
      <c r="AE198" s="666"/>
      <c r="AF198" s="666"/>
      <c r="AG198" s="666"/>
    </row>
    <row r="199" spans="1:33" x14ac:dyDescent="0.2">
      <c r="A199" s="666"/>
      <c r="B199" s="666"/>
      <c r="C199" s="666"/>
      <c r="D199" s="666"/>
      <c r="E199" s="666"/>
      <c r="F199" s="666"/>
      <c r="G199" s="666"/>
      <c r="H199" s="666"/>
      <c r="I199" s="666"/>
      <c r="J199" s="666"/>
      <c r="K199" s="666"/>
      <c r="L199" s="666"/>
      <c r="M199" s="666"/>
      <c r="N199" s="666"/>
      <c r="O199" s="666"/>
      <c r="P199" s="666"/>
      <c r="Q199" s="666"/>
      <c r="R199" s="666"/>
      <c r="S199" s="666"/>
      <c r="T199" s="666"/>
      <c r="U199" s="666"/>
      <c r="V199" s="666"/>
      <c r="W199" s="666"/>
      <c r="X199" s="666"/>
      <c r="Y199" s="666"/>
      <c r="Z199" s="666"/>
      <c r="AA199" s="666"/>
      <c r="AB199" s="666"/>
      <c r="AC199" s="666"/>
      <c r="AD199" s="666"/>
      <c r="AE199" s="666"/>
      <c r="AF199" s="666"/>
      <c r="AG199" s="666"/>
    </row>
    <row r="200" spans="1:33" x14ac:dyDescent="0.2">
      <c r="A200" s="666"/>
      <c r="B200" s="666"/>
      <c r="C200" s="666"/>
      <c r="D200" s="666"/>
      <c r="E200" s="666"/>
      <c r="F200" s="666"/>
      <c r="G200" s="666"/>
      <c r="H200" s="666"/>
      <c r="I200" s="666"/>
      <c r="J200" s="666"/>
      <c r="K200" s="666"/>
      <c r="L200" s="666"/>
      <c r="M200" s="666"/>
      <c r="N200" s="666"/>
      <c r="O200" s="666"/>
      <c r="P200" s="666"/>
      <c r="Q200" s="666"/>
      <c r="R200" s="666"/>
      <c r="S200" s="666"/>
      <c r="T200" s="666"/>
      <c r="U200" s="666"/>
      <c r="V200" s="666"/>
      <c r="W200" s="666"/>
      <c r="X200" s="666"/>
      <c r="Y200" s="666"/>
      <c r="Z200" s="666"/>
      <c r="AA200" s="666"/>
      <c r="AB200" s="666"/>
      <c r="AC200" s="666"/>
      <c r="AD200" s="666"/>
      <c r="AE200" s="666"/>
      <c r="AF200" s="666"/>
      <c r="AG200" s="666"/>
    </row>
    <row r="201" spans="1:33" x14ac:dyDescent="0.2">
      <c r="A201" s="666"/>
      <c r="B201" s="666"/>
      <c r="C201" s="666"/>
      <c r="D201" s="666"/>
      <c r="E201" s="666"/>
      <c r="F201" s="666"/>
      <c r="G201" s="666"/>
      <c r="H201" s="666"/>
      <c r="I201" s="666"/>
      <c r="J201" s="666"/>
      <c r="K201" s="666"/>
      <c r="L201" s="666"/>
      <c r="M201" s="666"/>
      <c r="N201" s="666"/>
      <c r="O201" s="666"/>
      <c r="P201" s="666"/>
      <c r="Q201" s="666"/>
      <c r="R201" s="666"/>
      <c r="S201" s="666"/>
      <c r="T201" s="666"/>
      <c r="U201" s="666"/>
      <c r="V201" s="666"/>
      <c r="W201" s="666"/>
      <c r="X201" s="666"/>
      <c r="Y201" s="666"/>
      <c r="Z201" s="666"/>
      <c r="AA201" s="666"/>
      <c r="AB201" s="666"/>
      <c r="AC201" s="666"/>
      <c r="AD201" s="666"/>
      <c r="AE201" s="666"/>
      <c r="AF201" s="666"/>
      <c r="AG201" s="666"/>
    </row>
    <row r="202" spans="1:33" x14ac:dyDescent="0.2">
      <c r="A202" s="666"/>
      <c r="B202" s="666"/>
      <c r="C202" s="666"/>
      <c r="D202" s="666"/>
      <c r="E202" s="666"/>
      <c r="F202" s="666"/>
      <c r="G202" s="666"/>
      <c r="H202" s="666"/>
      <c r="I202" s="666"/>
      <c r="J202" s="666"/>
      <c r="K202" s="666"/>
      <c r="L202" s="666"/>
      <c r="M202" s="666"/>
      <c r="N202" s="666"/>
      <c r="O202" s="666"/>
      <c r="P202" s="666"/>
      <c r="Q202" s="666"/>
      <c r="R202" s="666"/>
      <c r="S202" s="666"/>
      <c r="T202" s="666"/>
      <c r="U202" s="666"/>
      <c r="V202" s="666"/>
      <c r="W202" s="666"/>
      <c r="X202" s="666"/>
      <c r="Y202" s="666"/>
      <c r="Z202" s="666"/>
      <c r="AA202" s="666"/>
      <c r="AB202" s="666"/>
      <c r="AC202" s="666"/>
      <c r="AD202" s="666"/>
      <c r="AE202" s="666"/>
      <c r="AF202" s="666"/>
      <c r="AG202" s="666"/>
    </row>
    <row r="203" spans="1:33" x14ac:dyDescent="0.2">
      <c r="A203" s="666"/>
      <c r="B203" s="666"/>
      <c r="C203" s="666"/>
      <c r="D203" s="666"/>
      <c r="E203" s="666"/>
      <c r="F203" s="666"/>
      <c r="G203" s="666"/>
      <c r="H203" s="666"/>
      <c r="I203" s="666"/>
      <c r="J203" s="666"/>
      <c r="K203" s="666"/>
      <c r="L203" s="666"/>
      <c r="M203" s="666"/>
      <c r="N203" s="666"/>
      <c r="O203" s="666"/>
      <c r="P203" s="666"/>
      <c r="Q203" s="666"/>
      <c r="R203" s="666"/>
      <c r="S203" s="666"/>
      <c r="T203" s="666"/>
      <c r="U203" s="666"/>
      <c r="V203" s="666"/>
      <c r="W203" s="666"/>
      <c r="X203" s="666"/>
      <c r="Y203" s="666"/>
      <c r="Z203" s="666"/>
      <c r="AA203" s="666"/>
      <c r="AB203" s="666"/>
      <c r="AC203" s="666"/>
      <c r="AD203" s="666"/>
      <c r="AE203" s="666"/>
      <c r="AF203" s="666"/>
      <c r="AG203" s="666"/>
    </row>
    <row r="204" spans="1:33" x14ac:dyDescent="0.2">
      <c r="A204" s="666"/>
      <c r="B204" s="666"/>
      <c r="C204" s="666"/>
      <c r="D204" s="666"/>
      <c r="E204" s="666"/>
      <c r="F204" s="666"/>
      <c r="G204" s="666"/>
      <c r="H204" s="666"/>
      <c r="I204" s="666"/>
      <c r="J204" s="666"/>
      <c r="K204" s="666"/>
      <c r="L204" s="666"/>
      <c r="M204" s="666"/>
      <c r="N204" s="666"/>
      <c r="O204" s="666"/>
      <c r="P204" s="666"/>
      <c r="Q204" s="666"/>
      <c r="R204" s="666"/>
      <c r="S204" s="666"/>
      <c r="T204" s="666"/>
      <c r="U204" s="666"/>
      <c r="V204" s="666"/>
      <c r="W204" s="666"/>
      <c r="X204" s="666"/>
      <c r="Y204" s="666"/>
      <c r="Z204" s="666"/>
      <c r="AA204" s="666"/>
      <c r="AB204" s="666"/>
      <c r="AC204" s="666"/>
      <c r="AD204" s="666"/>
      <c r="AE204" s="666"/>
      <c r="AF204" s="666"/>
      <c r="AG204" s="666"/>
    </row>
    <row r="205" spans="1:33" x14ac:dyDescent="0.2">
      <c r="A205" s="666"/>
      <c r="B205" s="666"/>
      <c r="C205" s="666"/>
      <c r="D205" s="666"/>
      <c r="E205" s="666"/>
      <c r="F205" s="666"/>
      <c r="G205" s="666"/>
      <c r="H205" s="666"/>
      <c r="I205" s="666"/>
      <c r="J205" s="666"/>
      <c r="K205" s="666"/>
      <c r="L205" s="666"/>
      <c r="M205" s="666"/>
      <c r="N205" s="666"/>
      <c r="O205" s="666"/>
      <c r="P205" s="666"/>
      <c r="Q205" s="666"/>
      <c r="R205" s="666"/>
      <c r="S205" s="666"/>
      <c r="T205" s="666"/>
      <c r="U205" s="666"/>
      <c r="V205" s="666"/>
      <c r="W205" s="666"/>
      <c r="X205" s="666"/>
      <c r="Y205" s="666"/>
      <c r="Z205" s="666"/>
      <c r="AA205" s="666"/>
      <c r="AB205" s="666"/>
      <c r="AC205" s="666"/>
      <c r="AD205" s="666"/>
      <c r="AE205" s="666"/>
      <c r="AF205" s="666"/>
      <c r="AG205" s="666"/>
    </row>
    <row r="206" spans="1:33" x14ac:dyDescent="0.2">
      <c r="A206" s="666"/>
      <c r="B206" s="666"/>
      <c r="C206" s="666"/>
      <c r="D206" s="666"/>
      <c r="E206" s="666"/>
      <c r="F206" s="666"/>
      <c r="G206" s="666"/>
      <c r="H206" s="666"/>
      <c r="I206" s="666"/>
      <c r="J206" s="666"/>
      <c r="K206" s="666"/>
      <c r="L206" s="666"/>
      <c r="M206" s="666"/>
      <c r="N206" s="666"/>
      <c r="O206" s="666"/>
      <c r="P206" s="666"/>
      <c r="Q206" s="666"/>
      <c r="R206" s="666"/>
      <c r="S206" s="666"/>
      <c r="T206" s="666"/>
      <c r="U206" s="666"/>
      <c r="V206" s="666"/>
      <c r="W206" s="666"/>
      <c r="X206" s="666"/>
      <c r="Y206" s="666"/>
      <c r="Z206" s="666"/>
      <c r="AA206" s="666"/>
      <c r="AB206" s="666"/>
      <c r="AC206" s="666"/>
      <c r="AD206" s="666"/>
      <c r="AE206" s="666"/>
      <c r="AF206" s="666"/>
      <c r="AG206" s="666"/>
    </row>
    <row r="207" spans="1:33" x14ac:dyDescent="0.2">
      <c r="A207" s="666"/>
      <c r="B207" s="666"/>
      <c r="C207" s="666"/>
      <c r="D207" s="666"/>
      <c r="E207" s="666"/>
      <c r="F207" s="666"/>
      <c r="G207" s="666"/>
      <c r="H207" s="666"/>
      <c r="I207" s="666"/>
      <c r="J207" s="666"/>
      <c r="K207" s="666"/>
      <c r="L207" s="666"/>
      <c r="M207" s="666"/>
      <c r="N207" s="666"/>
      <c r="O207" s="666"/>
      <c r="P207" s="666"/>
      <c r="Q207" s="666"/>
      <c r="R207" s="666"/>
      <c r="S207" s="666"/>
      <c r="T207" s="666"/>
      <c r="U207" s="666"/>
      <c r="V207" s="666"/>
      <c r="W207" s="666"/>
      <c r="X207" s="666"/>
      <c r="Y207" s="666"/>
      <c r="Z207" s="666"/>
      <c r="AA207" s="666"/>
      <c r="AB207" s="666"/>
      <c r="AC207" s="666"/>
      <c r="AD207" s="666"/>
      <c r="AE207" s="666"/>
      <c r="AF207" s="666"/>
      <c r="AG207" s="666"/>
    </row>
    <row r="208" spans="1:33" ht="12" customHeight="1" x14ac:dyDescent="0.2">
      <c r="A208" s="666"/>
      <c r="B208" s="666"/>
      <c r="C208" s="666"/>
      <c r="D208" s="666"/>
      <c r="E208" s="666"/>
      <c r="F208" s="666"/>
      <c r="G208" s="666"/>
      <c r="H208" s="666"/>
      <c r="I208" s="666"/>
      <c r="J208" s="666"/>
      <c r="K208" s="666"/>
      <c r="L208" s="666"/>
      <c r="M208" s="666"/>
      <c r="N208" s="666"/>
      <c r="O208" s="666"/>
      <c r="P208" s="666"/>
      <c r="Q208" s="666"/>
      <c r="R208" s="666"/>
      <c r="S208" s="666"/>
      <c r="T208" s="666"/>
      <c r="U208" s="666"/>
      <c r="V208" s="666"/>
      <c r="W208" s="666"/>
      <c r="X208" s="666"/>
      <c r="Y208" s="666"/>
      <c r="Z208" s="666"/>
      <c r="AA208" s="666"/>
      <c r="AB208" s="666"/>
      <c r="AC208" s="666"/>
      <c r="AD208" s="666"/>
      <c r="AE208" s="666"/>
      <c r="AF208" s="666"/>
      <c r="AG208" s="666"/>
    </row>
    <row r="209" spans="1:33" ht="12" customHeight="1" x14ac:dyDescent="0.2">
      <c r="A209" s="666"/>
      <c r="B209" s="666"/>
      <c r="C209" s="666"/>
      <c r="D209" s="666"/>
      <c r="E209" s="666"/>
      <c r="F209" s="666"/>
      <c r="G209" s="666"/>
      <c r="H209" s="666"/>
      <c r="I209" s="666"/>
      <c r="J209" s="666"/>
      <c r="K209" s="666"/>
      <c r="L209" s="666"/>
      <c r="M209" s="666"/>
      <c r="N209" s="666"/>
      <c r="O209" s="666"/>
      <c r="P209" s="666"/>
      <c r="Q209" s="666"/>
      <c r="R209" s="666"/>
      <c r="S209" s="666"/>
      <c r="T209" s="666"/>
      <c r="U209" s="666"/>
      <c r="V209" s="666"/>
      <c r="W209" s="666"/>
      <c r="X209" s="666"/>
      <c r="Y209" s="666"/>
      <c r="Z209" s="666"/>
      <c r="AA209" s="666"/>
      <c r="AB209" s="666"/>
      <c r="AC209" s="666"/>
      <c r="AD209" s="666"/>
      <c r="AE209" s="666"/>
      <c r="AF209" s="666"/>
      <c r="AG209" s="666"/>
    </row>
    <row r="210" spans="1:33" ht="12" customHeight="1" x14ac:dyDescent="0.2">
      <c r="A210" s="666"/>
      <c r="B210" s="666"/>
      <c r="C210" s="666"/>
      <c r="D210" s="666"/>
      <c r="E210" s="666"/>
      <c r="F210" s="666"/>
      <c r="G210" s="666"/>
      <c r="H210" s="666"/>
      <c r="I210" s="666"/>
      <c r="J210" s="666"/>
      <c r="K210" s="666"/>
      <c r="L210" s="666"/>
      <c r="M210" s="666"/>
      <c r="N210" s="666"/>
      <c r="O210" s="666"/>
      <c r="P210" s="666"/>
      <c r="Q210" s="666"/>
      <c r="R210" s="666"/>
      <c r="S210" s="666"/>
      <c r="T210" s="666"/>
      <c r="U210" s="666"/>
      <c r="V210" s="666"/>
      <c r="W210" s="666"/>
      <c r="X210" s="666"/>
      <c r="Y210" s="666"/>
      <c r="Z210" s="666"/>
      <c r="AA210" s="666"/>
      <c r="AB210" s="666"/>
      <c r="AC210" s="666"/>
      <c r="AD210" s="666"/>
      <c r="AE210" s="666"/>
      <c r="AF210" s="666"/>
      <c r="AG210" s="666"/>
    </row>
    <row r="211" spans="1:33" ht="12" customHeight="1" x14ac:dyDescent="0.2">
      <c r="A211" s="666"/>
      <c r="B211" s="666"/>
      <c r="C211" s="666"/>
      <c r="D211" s="666"/>
      <c r="E211" s="666"/>
      <c r="F211" s="666"/>
      <c r="G211" s="666"/>
      <c r="H211" s="666"/>
      <c r="I211" s="666"/>
      <c r="J211" s="666"/>
      <c r="K211" s="666"/>
      <c r="L211" s="666"/>
      <c r="M211" s="666"/>
      <c r="N211" s="666"/>
      <c r="O211" s="666"/>
      <c r="P211" s="666"/>
      <c r="Q211" s="666"/>
      <c r="R211" s="666"/>
      <c r="S211" s="666"/>
      <c r="T211" s="666"/>
      <c r="U211" s="666"/>
      <c r="V211" s="666"/>
      <c r="W211" s="666"/>
      <c r="X211" s="666"/>
      <c r="Y211" s="666"/>
      <c r="Z211" s="666"/>
      <c r="AA211" s="666"/>
      <c r="AB211" s="666"/>
      <c r="AC211" s="666"/>
      <c r="AD211" s="666"/>
      <c r="AE211" s="666"/>
      <c r="AF211" s="666"/>
      <c r="AG211" s="666"/>
    </row>
    <row r="212" spans="1:33" x14ac:dyDescent="0.2">
      <c r="A212" s="666"/>
      <c r="B212" s="666"/>
      <c r="C212" s="666"/>
      <c r="D212" s="666"/>
      <c r="E212" s="666"/>
      <c r="F212" s="666"/>
      <c r="G212" s="666"/>
      <c r="H212" s="666"/>
      <c r="I212" s="666"/>
      <c r="J212" s="666"/>
      <c r="K212" s="666"/>
      <c r="L212" s="666"/>
      <c r="M212" s="666"/>
      <c r="N212" s="666"/>
      <c r="O212" s="666"/>
      <c r="P212" s="666"/>
      <c r="Q212" s="666"/>
      <c r="R212" s="666"/>
      <c r="S212" s="666"/>
      <c r="T212" s="666"/>
      <c r="U212" s="666"/>
      <c r="V212" s="666"/>
      <c r="W212" s="666"/>
      <c r="X212" s="666"/>
      <c r="Y212" s="666"/>
      <c r="Z212" s="666"/>
      <c r="AA212" s="666"/>
      <c r="AB212" s="666"/>
      <c r="AC212" s="666"/>
      <c r="AD212" s="666"/>
      <c r="AE212" s="666"/>
      <c r="AF212" s="666"/>
      <c r="AG212" s="666"/>
    </row>
    <row r="213" spans="1:33" x14ac:dyDescent="0.2">
      <c r="A213" s="666"/>
      <c r="B213" s="666"/>
      <c r="C213" s="666"/>
      <c r="D213" s="666"/>
      <c r="E213" s="666"/>
      <c r="F213" s="666"/>
      <c r="G213" s="666"/>
      <c r="H213" s="666"/>
      <c r="I213" s="666"/>
      <c r="J213" s="666"/>
      <c r="K213" s="666"/>
      <c r="L213" s="666"/>
      <c r="M213" s="666"/>
      <c r="N213" s="666"/>
      <c r="O213" s="666"/>
      <c r="P213" s="666"/>
      <c r="Q213" s="666"/>
      <c r="R213" s="666"/>
      <c r="S213" s="666"/>
      <c r="T213" s="666"/>
      <c r="U213" s="666"/>
      <c r="V213" s="666"/>
      <c r="W213" s="666"/>
      <c r="X213" s="666"/>
      <c r="Y213" s="666"/>
      <c r="Z213" s="666"/>
      <c r="AA213" s="666"/>
      <c r="AB213" s="666"/>
      <c r="AC213" s="666"/>
      <c r="AD213" s="666"/>
      <c r="AE213" s="666"/>
      <c r="AF213" s="666"/>
      <c r="AG213" s="666"/>
    </row>
    <row r="214" spans="1:33" x14ac:dyDescent="0.2">
      <c r="A214" s="666"/>
      <c r="B214" s="666"/>
      <c r="C214" s="666"/>
      <c r="D214" s="666"/>
      <c r="E214" s="666"/>
      <c r="F214" s="666"/>
      <c r="G214" s="666"/>
      <c r="H214" s="666"/>
      <c r="I214" s="666"/>
      <c r="J214" s="666"/>
      <c r="K214" s="666"/>
      <c r="L214" s="666"/>
      <c r="M214" s="666"/>
      <c r="N214" s="666"/>
      <c r="O214" s="666"/>
      <c r="P214" s="666"/>
      <c r="Q214" s="666"/>
      <c r="R214" s="666"/>
      <c r="S214" s="666"/>
      <c r="T214" s="666"/>
      <c r="U214" s="666"/>
      <c r="V214" s="666"/>
      <c r="W214" s="666"/>
      <c r="X214" s="666"/>
      <c r="Y214" s="666"/>
      <c r="Z214" s="666"/>
      <c r="AA214" s="666"/>
      <c r="AB214" s="666"/>
      <c r="AC214" s="666"/>
      <c r="AD214" s="666"/>
      <c r="AE214" s="666"/>
      <c r="AF214" s="666"/>
      <c r="AG214" s="666"/>
    </row>
    <row r="215" spans="1:33" x14ac:dyDescent="0.2">
      <c r="A215" s="666"/>
      <c r="B215" s="666"/>
      <c r="C215" s="666"/>
      <c r="D215" s="666"/>
      <c r="E215" s="666"/>
      <c r="F215" s="666"/>
      <c r="G215" s="666"/>
      <c r="H215" s="666"/>
      <c r="I215" s="666"/>
      <c r="J215" s="666"/>
      <c r="K215" s="666"/>
      <c r="L215" s="666"/>
      <c r="M215" s="666"/>
      <c r="N215" s="666"/>
      <c r="O215" s="666"/>
      <c r="P215" s="666"/>
      <c r="Q215" s="666"/>
      <c r="R215" s="666"/>
      <c r="S215" s="666"/>
      <c r="T215" s="666"/>
      <c r="U215" s="666"/>
      <c r="V215" s="666"/>
      <c r="W215" s="666"/>
      <c r="X215" s="666"/>
      <c r="Y215" s="666"/>
      <c r="Z215" s="666"/>
      <c r="AA215" s="666"/>
      <c r="AB215" s="666"/>
      <c r="AC215" s="666"/>
      <c r="AD215" s="666"/>
      <c r="AE215" s="666"/>
      <c r="AF215" s="666"/>
      <c r="AG215" s="666"/>
    </row>
    <row r="216" spans="1:33" x14ac:dyDescent="0.2">
      <c r="A216" s="715"/>
      <c r="B216" s="715"/>
      <c r="C216" s="715"/>
      <c r="D216" s="715"/>
      <c r="E216" s="715"/>
      <c r="F216" s="715"/>
      <c r="G216" s="715"/>
      <c r="H216" s="715"/>
      <c r="I216" s="715"/>
      <c r="J216" s="715"/>
      <c r="K216" s="715"/>
      <c r="L216" s="715"/>
      <c r="M216" s="715"/>
      <c r="N216" s="716"/>
      <c r="O216" s="666"/>
      <c r="P216" s="717"/>
      <c r="Q216" s="717"/>
      <c r="R216" s="717"/>
      <c r="S216" s="717"/>
      <c r="T216" s="717"/>
      <c r="U216" s="717"/>
      <c r="V216" s="717"/>
      <c r="W216" s="717"/>
      <c r="X216" s="717"/>
      <c r="Y216" s="717"/>
      <c r="Z216" s="717"/>
      <c r="AA216" s="717"/>
      <c r="AB216" s="717"/>
      <c r="AC216" s="717"/>
      <c r="AD216" s="666"/>
      <c r="AE216" s="666"/>
      <c r="AF216" s="666"/>
      <c r="AG216" s="666"/>
    </row>
    <row r="217" spans="1:33" x14ac:dyDescent="0.2">
      <c r="A217" s="666"/>
      <c r="B217" s="716"/>
      <c r="C217" s="716"/>
      <c r="D217" s="716"/>
      <c r="E217" s="717"/>
      <c r="F217" s="716"/>
      <c r="G217" s="716"/>
      <c r="H217" s="716"/>
      <c r="I217" s="716"/>
      <c r="J217" s="715"/>
      <c r="K217" s="715"/>
      <c r="L217" s="716"/>
      <c r="M217" s="715"/>
      <c r="N217" s="715"/>
      <c r="O217" s="716"/>
      <c r="P217" s="666"/>
      <c r="Q217" s="717"/>
      <c r="R217" s="717"/>
      <c r="S217" s="717"/>
      <c r="T217" s="717"/>
      <c r="U217" s="717"/>
      <c r="V217" s="717"/>
      <c r="W217" s="717"/>
      <c r="X217" s="717"/>
      <c r="Y217" s="717"/>
      <c r="Z217" s="717"/>
      <c r="AA217" s="717"/>
      <c r="AB217" s="717"/>
      <c r="AC217" s="717"/>
      <c r="AD217" s="717"/>
      <c r="AE217" s="666"/>
      <c r="AF217" s="666"/>
      <c r="AG217" s="666"/>
    </row>
    <row r="218" spans="1:33" x14ac:dyDescent="0.2">
      <c r="A218" s="764"/>
      <c r="B218" s="666"/>
      <c r="C218" s="666"/>
      <c r="D218" s="666"/>
      <c r="E218" s="666"/>
      <c r="F218" s="666"/>
      <c r="G218" s="666"/>
      <c r="H218" s="666"/>
      <c r="I218" s="666"/>
      <c r="J218" s="666"/>
      <c r="K218" s="666"/>
      <c r="L218" s="666"/>
      <c r="M218" s="666"/>
      <c r="N218" s="666"/>
      <c r="O218" s="666"/>
      <c r="P218" s="666"/>
      <c r="Q218" s="666"/>
      <c r="R218" s="666"/>
      <c r="S218" s="666"/>
      <c r="T218" s="666"/>
      <c r="U218" s="666"/>
      <c r="V218" s="666"/>
      <c r="W218" s="666"/>
      <c r="X218" s="666"/>
      <c r="Y218" s="666"/>
      <c r="Z218" s="666"/>
      <c r="AA218" s="666"/>
      <c r="AB218" s="666"/>
      <c r="AC218" s="666"/>
      <c r="AD218" s="666"/>
      <c r="AE218" s="666"/>
      <c r="AF218" s="666"/>
      <c r="AG218" s="666"/>
    </row>
    <row r="219" spans="1:33" ht="18.75" customHeight="1" x14ac:dyDescent="0.2">
      <c r="A219" s="666" t="s">
        <v>1971</v>
      </c>
      <c r="B219" s="666" t="s">
        <v>1972</v>
      </c>
      <c r="C219" s="666" t="s">
        <v>1973</v>
      </c>
      <c r="D219" s="666" t="s">
        <v>1974</v>
      </c>
      <c r="E219" s="666" t="s">
        <v>1975</v>
      </c>
      <c r="F219" s="666" t="s">
        <v>1976</v>
      </c>
      <c r="G219" s="666" t="s">
        <v>1977</v>
      </c>
      <c r="H219" s="666" t="s">
        <v>1978</v>
      </c>
      <c r="I219" s="666" t="s">
        <v>1973</v>
      </c>
      <c r="J219" s="666" t="s">
        <v>1974</v>
      </c>
      <c r="K219" s="666" t="s">
        <v>1975</v>
      </c>
      <c r="L219" s="666" t="s">
        <v>1979</v>
      </c>
      <c r="M219" s="666" t="s">
        <v>1976</v>
      </c>
      <c r="N219" s="666"/>
      <c r="O219" s="666"/>
      <c r="P219" s="666"/>
      <c r="Q219" s="666"/>
      <c r="R219" s="666"/>
      <c r="S219" s="666"/>
      <c r="T219" s="666"/>
      <c r="U219" s="666"/>
      <c r="V219" s="666"/>
      <c r="W219" s="666"/>
      <c r="X219" s="666"/>
      <c r="Y219" s="666"/>
      <c r="Z219" s="666"/>
      <c r="AA219" s="666"/>
      <c r="AB219" s="666"/>
      <c r="AC219" s="666"/>
      <c r="AD219" s="666"/>
      <c r="AE219" s="666"/>
      <c r="AF219" s="666"/>
      <c r="AG219" s="666"/>
    </row>
    <row r="220" spans="1:33" ht="12.75" customHeight="1" x14ac:dyDescent="0.2">
      <c r="A220" s="666" t="s">
        <v>2008</v>
      </c>
      <c r="B220" s="666" t="s">
        <v>35</v>
      </c>
      <c r="C220" s="666"/>
      <c r="D220" s="666"/>
      <c r="E220" s="715">
        <v>1000</v>
      </c>
      <c r="F220" s="715">
        <v>1600</v>
      </c>
      <c r="G220" s="715">
        <v>0</v>
      </c>
      <c r="H220" s="715">
        <v>0</v>
      </c>
      <c r="I220" s="715">
        <v>0</v>
      </c>
      <c r="J220" s="715">
        <v>0</v>
      </c>
      <c r="K220" s="715">
        <v>1400</v>
      </c>
      <c r="L220" s="715">
        <v>0</v>
      </c>
      <c r="M220" s="715">
        <v>0</v>
      </c>
      <c r="N220" s="715">
        <v>0</v>
      </c>
      <c r="O220" s="715">
        <v>0</v>
      </c>
      <c r="P220" s="715">
        <v>0</v>
      </c>
      <c r="Q220" s="715">
        <v>0</v>
      </c>
      <c r="R220" s="716">
        <v>1200</v>
      </c>
      <c r="S220" s="666" t="s">
        <v>36</v>
      </c>
      <c r="T220" s="717">
        <v>40171</v>
      </c>
      <c r="U220" s="717">
        <v>40000</v>
      </c>
      <c r="V220" s="717">
        <v>0</v>
      </c>
      <c r="W220" s="717">
        <v>0</v>
      </c>
      <c r="X220" s="717">
        <v>0</v>
      </c>
      <c r="Y220" s="717">
        <v>0</v>
      </c>
      <c r="Z220" s="717">
        <v>30858</v>
      </c>
      <c r="AA220" s="717">
        <v>0</v>
      </c>
      <c r="AB220" s="717">
        <v>0</v>
      </c>
      <c r="AC220" s="717">
        <v>0</v>
      </c>
      <c r="AD220" s="717">
        <v>0</v>
      </c>
      <c r="AE220" s="717">
        <v>0</v>
      </c>
      <c r="AF220" s="717">
        <v>0</v>
      </c>
      <c r="AG220" s="1996">
        <v>49313</v>
      </c>
    </row>
    <row r="221" spans="1:33" x14ac:dyDescent="0.2">
      <c r="A221" s="666" t="s">
        <v>2009</v>
      </c>
      <c r="B221" s="716">
        <v>1000</v>
      </c>
      <c r="C221" s="716">
        <v>1600</v>
      </c>
      <c r="D221" s="716">
        <v>0</v>
      </c>
      <c r="E221" s="717">
        <v>0</v>
      </c>
      <c r="F221" s="716">
        <v>0</v>
      </c>
      <c r="G221" s="716">
        <v>0</v>
      </c>
      <c r="H221" s="716">
        <v>1400</v>
      </c>
      <c r="I221" s="716">
        <v>0</v>
      </c>
      <c r="J221" s="715">
        <v>0</v>
      </c>
      <c r="K221" s="715">
        <v>0</v>
      </c>
      <c r="L221" s="716">
        <v>0</v>
      </c>
      <c r="M221" s="715">
        <v>0</v>
      </c>
      <c r="N221" s="715">
        <v>0</v>
      </c>
      <c r="O221" s="716">
        <v>1200</v>
      </c>
      <c r="P221" s="666" t="s">
        <v>828</v>
      </c>
      <c r="Q221" s="717">
        <v>40171</v>
      </c>
      <c r="R221" s="717">
        <v>40000</v>
      </c>
      <c r="S221" s="717">
        <v>0</v>
      </c>
      <c r="T221" s="717">
        <v>0</v>
      </c>
      <c r="U221" s="717">
        <v>0</v>
      </c>
      <c r="V221" s="717">
        <v>0</v>
      </c>
      <c r="W221" s="717">
        <v>30858</v>
      </c>
      <c r="X221" s="717">
        <v>0</v>
      </c>
      <c r="Y221" s="717">
        <v>0</v>
      </c>
      <c r="Z221" s="717">
        <v>0</v>
      </c>
      <c r="AA221" s="717">
        <v>0</v>
      </c>
      <c r="AB221" s="717">
        <v>0</v>
      </c>
      <c r="AC221" s="717">
        <v>0</v>
      </c>
      <c r="AD221" s="717">
        <v>49313</v>
      </c>
      <c r="AE221" s="666"/>
      <c r="AF221" s="666"/>
      <c r="AG221" s="666"/>
    </row>
    <row r="222" spans="1:33" ht="18" customHeight="1" x14ac:dyDescent="0.2">
      <c r="A222" s="666" t="s">
        <v>2010</v>
      </c>
      <c r="B222" s="666" t="s">
        <v>35</v>
      </c>
      <c r="C222" s="666"/>
      <c r="D222" s="666"/>
      <c r="E222" s="715">
        <v>80</v>
      </c>
      <c r="F222" s="715">
        <v>0</v>
      </c>
      <c r="G222" s="715">
        <v>0</v>
      </c>
      <c r="H222" s="715">
        <v>0</v>
      </c>
      <c r="I222" s="715">
        <v>0</v>
      </c>
      <c r="J222" s="715">
        <v>0</v>
      </c>
      <c r="K222" s="715">
        <v>16</v>
      </c>
      <c r="L222" s="715">
        <v>0</v>
      </c>
      <c r="M222" s="715">
        <v>0</v>
      </c>
      <c r="N222" s="715">
        <v>0</v>
      </c>
      <c r="O222" s="715">
        <v>0</v>
      </c>
      <c r="P222" s="715">
        <v>0</v>
      </c>
      <c r="Q222" s="715">
        <v>0</v>
      </c>
      <c r="R222" s="716">
        <v>64</v>
      </c>
      <c r="S222" s="666" t="s">
        <v>811</v>
      </c>
      <c r="T222" s="717">
        <v>151512</v>
      </c>
      <c r="U222" s="717">
        <v>98280</v>
      </c>
      <c r="V222" s="717">
        <v>0</v>
      </c>
      <c r="W222" s="717">
        <v>0</v>
      </c>
      <c r="X222" s="717">
        <v>0</v>
      </c>
      <c r="Y222" s="717">
        <v>0</v>
      </c>
      <c r="Z222" s="717">
        <v>137172</v>
      </c>
      <c r="AA222" s="717">
        <v>0</v>
      </c>
      <c r="AB222" s="717">
        <v>0</v>
      </c>
      <c r="AC222" s="717">
        <v>0</v>
      </c>
      <c r="AD222" s="717">
        <v>0</v>
      </c>
      <c r="AE222" s="717">
        <v>0</v>
      </c>
      <c r="AF222" s="717">
        <v>0</v>
      </c>
      <c r="AG222" s="1996">
        <v>112620</v>
      </c>
    </row>
    <row r="223" spans="1:33" ht="12.75" customHeight="1" x14ac:dyDescent="0.2">
      <c r="A223" s="666" t="s">
        <v>2011</v>
      </c>
      <c r="B223" s="666" t="s">
        <v>35</v>
      </c>
      <c r="C223" s="666"/>
      <c r="D223" s="666"/>
      <c r="E223" s="715">
        <v>16</v>
      </c>
      <c r="F223" s="715">
        <v>0</v>
      </c>
      <c r="G223" s="715">
        <v>0</v>
      </c>
      <c r="H223" s="715">
        <v>0</v>
      </c>
      <c r="I223" s="715">
        <v>0</v>
      </c>
      <c r="J223" s="715">
        <v>0</v>
      </c>
      <c r="K223" s="715">
        <v>4</v>
      </c>
      <c r="L223" s="715">
        <v>0</v>
      </c>
      <c r="M223" s="715">
        <v>0</v>
      </c>
      <c r="N223" s="715">
        <v>0</v>
      </c>
      <c r="O223" s="715">
        <v>0</v>
      </c>
      <c r="P223" s="715">
        <v>0</v>
      </c>
      <c r="Q223" s="715">
        <v>0</v>
      </c>
      <c r="R223" s="716">
        <v>12</v>
      </c>
      <c r="S223" s="666" t="s">
        <v>829</v>
      </c>
      <c r="T223" s="717">
        <v>35881</v>
      </c>
      <c r="U223" s="717">
        <v>0</v>
      </c>
      <c r="V223" s="717">
        <v>0</v>
      </c>
      <c r="W223" s="717">
        <v>0</v>
      </c>
      <c r="X223" s="717">
        <v>0</v>
      </c>
      <c r="Y223" s="717">
        <v>0</v>
      </c>
      <c r="Z223" s="717">
        <v>8326</v>
      </c>
      <c r="AA223" s="717">
        <v>0</v>
      </c>
      <c r="AB223" s="717">
        <v>0</v>
      </c>
      <c r="AC223" s="717">
        <v>0</v>
      </c>
      <c r="AD223" s="717">
        <v>0</v>
      </c>
      <c r="AE223" s="717">
        <v>0</v>
      </c>
      <c r="AF223" s="717">
        <v>0</v>
      </c>
      <c r="AG223" s="1996">
        <v>27555</v>
      </c>
    </row>
    <row r="224" spans="1:33" ht="12.75" customHeight="1" x14ac:dyDescent="0.2">
      <c r="A224" s="666" t="s">
        <v>2012</v>
      </c>
      <c r="B224" s="716">
        <v>96</v>
      </c>
      <c r="C224" s="716">
        <v>0</v>
      </c>
      <c r="D224" s="716">
        <v>0</v>
      </c>
      <c r="E224" s="717">
        <v>0</v>
      </c>
      <c r="F224" s="716">
        <v>0</v>
      </c>
      <c r="G224" s="716">
        <v>0</v>
      </c>
      <c r="H224" s="716">
        <v>20</v>
      </c>
      <c r="I224" s="716">
        <v>0</v>
      </c>
      <c r="J224" s="715">
        <v>0</v>
      </c>
      <c r="K224" s="715">
        <v>0</v>
      </c>
      <c r="L224" s="716">
        <v>0</v>
      </c>
      <c r="M224" s="715">
        <v>0</v>
      </c>
      <c r="N224" s="715">
        <v>0</v>
      </c>
      <c r="O224" s="716">
        <v>76</v>
      </c>
      <c r="P224" s="666" t="s">
        <v>2013</v>
      </c>
      <c r="Q224" s="717">
        <v>187393</v>
      </c>
      <c r="R224" s="717">
        <v>98280</v>
      </c>
      <c r="S224" s="717">
        <v>0</v>
      </c>
      <c r="T224" s="717">
        <v>0</v>
      </c>
      <c r="U224" s="717">
        <v>0</v>
      </c>
      <c r="V224" s="717">
        <v>0</v>
      </c>
      <c r="W224" s="717">
        <v>145498</v>
      </c>
      <c r="X224" s="717">
        <v>0</v>
      </c>
      <c r="Y224" s="717">
        <v>0</v>
      </c>
      <c r="Z224" s="717">
        <v>0</v>
      </c>
      <c r="AA224" s="717">
        <v>0</v>
      </c>
      <c r="AB224" s="717">
        <v>0</v>
      </c>
      <c r="AC224" s="717">
        <v>0</v>
      </c>
      <c r="AD224" s="717">
        <v>140175</v>
      </c>
      <c r="AE224" s="666"/>
      <c r="AF224" s="666"/>
      <c r="AG224" s="666"/>
    </row>
    <row r="225" spans="1:33" ht="12.75" customHeight="1" x14ac:dyDescent="0.2">
      <c r="A225" s="666" t="s">
        <v>2014</v>
      </c>
      <c r="B225" s="666" t="s">
        <v>35</v>
      </c>
      <c r="C225" s="666"/>
      <c r="D225" s="666"/>
      <c r="E225" s="715">
        <v>168</v>
      </c>
      <c r="F225" s="715">
        <v>0</v>
      </c>
      <c r="G225" s="715">
        <v>12</v>
      </c>
      <c r="H225" s="715">
        <v>0</v>
      </c>
      <c r="I225" s="715">
        <v>0</v>
      </c>
      <c r="J225" s="715">
        <v>0</v>
      </c>
      <c r="K225" s="715">
        <v>72</v>
      </c>
      <c r="L225" s="715">
        <v>0</v>
      </c>
      <c r="M225" s="715">
        <v>0</v>
      </c>
      <c r="N225" s="715">
        <v>0</v>
      </c>
      <c r="O225" s="715">
        <v>0</v>
      </c>
      <c r="P225" s="715">
        <v>0</v>
      </c>
      <c r="Q225" s="715">
        <v>0</v>
      </c>
      <c r="R225" s="716">
        <v>108</v>
      </c>
      <c r="S225" s="666" t="s">
        <v>1584</v>
      </c>
      <c r="T225" s="717">
        <v>179899</v>
      </c>
      <c r="U225" s="717">
        <v>0</v>
      </c>
      <c r="V225" s="717">
        <v>12000</v>
      </c>
      <c r="W225" s="717">
        <v>0</v>
      </c>
      <c r="X225" s="717">
        <v>0</v>
      </c>
      <c r="Y225" s="717">
        <v>0</v>
      </c>
      <c r="Z225" s="717">
        <v>72742</v>
      </c>
      <c r="AA225" s="717">
        <v>0</v>
      </c>
      <c r="AB225" s="717">
        <v>0</v>
      </c>
      <c r="AC225" s="717">
        <v>0</v>
      </c>
      <c r="AD225" s="717">
        <v>0</v>
      </c>
      <c r="AE225" s="717">
        <v>0</v>
      </c>
      <c r="AF225" s="717">
        <v>0</v>
      </c>
      <c r="AG225" s="1996">
        <v>119157</v>
      </c>
    </row>
    <row r="226" spans="1:33" ht="12.75" customHeight="1" x14ac:dyDescent="0.2">
      <c r="A226" s="666" t="s">
        <v>2015</v>
      </c>
      <c r="B226" s="716">
        <v>168</v>
      </c>
      <c r="C226" s="716">
        <v>0</v>
      </c>
      <c r="D226" s="716">
        <v>12</v>
      </c>
      <c r="E226" s="717">
        <v>0</v>
      </c>
      <c r="F226" s="716">
        <v>0</v>
      </c>
      <c r="G226" s="716">
        <v>0</v>
      </c>
      <c r="H226" s="716">
        <v>72</v>
      </c>
      <c r="I226" s="716">
        <v>0</v>
      </c>
      <c r="J226" s="715">
        <v>0</v>
      </c>
      <c r="K226" s="715">
        <v>0</v>
      </c>
      <c r="L226" s="716">
        <v>0</v>
      </c>
      <c r="M226" s="715">
        <v>0</v>
      </c>
      <c r="N226" s="715">
        <v>0</v>
      </c>
      <c r="O226" s="716">
        <v>108</v>
      </c>
      <c r="P226" s="666" t="s">
        <v>844</v>
      </c>
      <c r="Q226" s="717">
        <v>179899</v>
      </c>
      <c r="R226" s="717">
        <v>0</v>
      </c>
      <c r="S226" s="717">
        <v>12000</v>
      </c>
      <c r="T226" s="717">
        <v>0</v>
      </c>
      <c r="U226" s="717">
        <v>0</v>
      </c>
      <c r="V226" s="717">
        <v>0</v>
      </c>
      <c r="W226" s="717">
        <v>72742</v>
      </c>
      <c r="X226" s="717">
        <v>0</v>
      </c>
      <c r="Y226" s="717">
        <v>0</v>
      </c>
      <c r="Z226" s="717">
        <v>0</v>
      </c>
      <c r="AA226" s="717">
        <v>0</v>
      </c>
      <c r="AB226" s="717">
        <v>0</v>
      </c>
      <c r="AC226" s="717">
        <v>0</v>
      </c>
      <c r="AD226" s="717">
        <v>119157</v>
      </c>
      <c r="AE226" s="666"/>
      <c r="AF226" s="666"/>
      <c r="AG226" s="666"/>
    </row>
    <row r="227" spans="1:33" ht="12.75" customHeight="1" x14ac:dyDescent="0.2">
      <c r="A227" s="666" t="s">
        <v>2016</v>
      </c>
      <c r="B227" s="666" t="s">
        <v>35</v>
      </c>
      <c r="C227" s="666"/>
      <c r="D227" s="666"/>
      <c r="E227" s="715">
        <v>630</v>
      </c>
      <c r="F227" s="715">
        <v>600</v>
      </c>
      <c r="G227" s="715">
        <v>0</v>
      </c>
      <c r="H227" s="715">
        <v>0</v>
      </c>
      <c r="I227" s="715">
        <v>0</v>
      </c>
      <c r="J227" s="715">
        <v>0</v>
      </c>
      <c r="K227" s="715">
        <v>661</v>
      </c>
      <c r="L227" s="715">
        <v>0</v>
      </c>
      <c r="M227" s="715">
        <v>0</v>
      </c>
      <c r="N227" s="715">
        <v>0</v>
      </c>
      <c r="O227" s="715">
        <v>0</v>
      </c>
      <c r="P227" s="715">
        <v>0</v>
      </c>
      <c r="Q227" s="715">
        <v>0</v>
      </c>
      <c r="R227" s="716">
        <v>569</v>
      </c>
      <c r="S227" s="666" t="s">
        <v>1585</v>
      </c>
      <c r="T227" s="717">
        <v>41738</v>
      </c>
      <c r="U227" s="717">
        <v>31800</v>
      </c>
      <c r="V227" s="717">
        <v>0</v>
      </c>
      <c r="W227" s="717">
        <v>0</v>
      </c>
      <c r="X227" s="717">
        <v>0</v>
      </c>
      <c r="Y227" s="717">
        <v>0</v>
      </c>
      <c r="Z227" s="717">
        <v>34606</v>
      </c>
      <c r="AA227" s="717">
        <v>0</v>
      </c>
      <c r="AB227" s="717">
        <v>0</v>
      </c>
      <c r="AC227" s="717">
        <v>0</v>
      </c>
      <c r="AD227" s="717">
        <v>0</v>
      </c>
      <c r="AE227" s="717">
        <v>0</v>
      </c>
      <c r="AF227" s="717">
        <v>0</v>
      </c>
      <c r="AG227" s="1996">
        <v>38932</v>
      </c>
    </row>
    <row r="228" spans="1:33" ht="12.75" customHeight="1" x14ac:dyDescent="0.2">
      <c r="A228" s="666" t="s">
        <v>2017</v>
      </c>
      <c r="B228" s="716">
        <v>630</v>
      </c>
      <c r="C228" s="716">
        <v>600</v>
      </c>
      <c r="D228" s="716">
        <v>0</v>
      </c>
      <c r="E228" s="717">
        <v>0</v>
      </c>
      <c r="F228" s="716">
        <v>0</v>
      </c>
      <c r="G228" s="716">
        <v>0</v>
      </c>
      <c r="H228" s="716">
        <v>661</v>
      </c>
      <c r="I228" s="716">
        <v>0</v>
      </c>
      <c r="J228" s="715">
        <v>0</v>
      </c>
      <c r="K228" s="715">
        <v>0</v>
      </c>
      <c r="L228" s="716">
        <v>0</v>
      </c>
      <c r="M228" s="715">
        <v>0</v>
      </c>
      <c r="N228" s="715">
        <v>0</v>
      </c>
      <c r="O228" s="716">
        <v>569</v>
      </c>
      <c r="P228" s="666" t="s">
        <v>825</v>
      </c>
      <c r="Q228" s="717">
        <v>41738</v>
      </c>
      <c r="R228" s="717">
        <v>31800</v>
      </c>
      <c r="S228" s="717">
        <v>0</v>
      </c>
      <c r="T228" s="717">
        <v>0</v>
      </c>
      <c r="U228" s="717">
        <v>0</v>
      </c>
      <c r="V228" s="717">
        <v>0</v>
      </c>
      <c r="W228" s="717">
        <v>34606</v>
      </c>
      <c r="X228" s="717">
        <v>0</v>
      </c>
      <c r="Y228" s="717">
        <v>0</v>
      </c>
      <c r="Z228" s="717">
        <v>0</v>
      </c>
      <c r="AA228" s="717">
        <v>0</v>
      </c>
      <c r="AB228" s="717">
        <v>0</v>
      </c>
      <c r="AC228" s="717">
        <v>0</v>
      </c>
      <c r="AD228" s="717">
        <v>38932</v>
      </c>
      <c r="AE228" s="666"/>
      <c r="AF228" s="666"/>
      <c r="AG228" s="666"/>
    </row>
    <row r="229" spans="1:33" ht="12.75" customHeight="1" x14ac:dyDescent="0.2">
      <c r="A229" s="666" t="s">
        <v>2018</v>
      </c>
      <c r="B229" s="666" t="s">
        <v>35</v>
      </c>
      <c r="C229" s="666"/>
      <c r="D229" s="666"/>
      <c r="E229" s="715">
        <v>0</v>
      </c>
      <c r="F229" s="715">
        <v>0</v>
      </c>
      <c r="G229" s="715">
        <v>0</v>
      </c>
      <c r="H229" s="715">
        <v>0</v>
      </c>
      <c r="I229" s="715">
        <v>0</v>
      </c>
      <c r="J229" s="715">
        <v>0</v>
      </c>
      <c r="K229" s="715">
        <v>0</v>
      </c>
      <c r="L229" s="715">
        <v>0</v>
      </c>
      <c r="M229" s="715">
        <v>0</v>
      </c>
      <c r="N229" s="715">
        <v>0</v>
      </c>
      <c r="O229" s="715">
        <v>0</v>
      </c>
      <c r="P229" s="715">
        <v>0</v>
      </c>
      <c r="Q229" s="715">
        <v>0</v>
      </c>
      <c r="R229" s="716">
        <v>0</v>
      </c>
      <c r="S229" s="666" t="s">
        <v>130</v>
      </c>
      <c r="T229" s="717">
        <v>9020</v>
      </c>
      <c r="U229" s="717">
        <v>18360</v>
      </c>
      <c r="V229" s="717">
        <v>0</v>
      </c>
      <c r="W229" s="717">
        <v>0</v>
      </c>
      <c r="X229" s="717">
        <v>0</v>
      </c>
      <c r="Y229" s="717">
        <v>0</v>
      </c>
      <c r="Z229" s="717">
        <v>13886</v>
      </c>
      <c r="AA229" s="717">
        <v>0</v>
      </c>
      <c r="AB229" s="717">
        <v>0</v>
      </c>
      <c r="AC229" s="717">
        <v>0</v>
      </c>
      <c r="AD229" s="717">
        <v>0</v>
      </c>
      <c r="AE229" s="717">
        <v>0</v>
      </c>
      <c r="AF229" s="717">
        <v>0</v>
      </c>
      <c r="AG229" s="1996">
        <v>13494</v>
      </c>
    </row>
    <row r="230" spans="1:33" x14ac:dyDescent="0.2">
      <c r="A230" s="666" t="s">
        <v>2019</v>
      </c>
      <c r="B230" s="716">
        <v>0</v>
      </c>
      <c r="C230" s="716">
        <v>0</v>
      </c>
      <c r="D230" s="716">
        <v>0</v>
      </c>
      <c r="E230" s="717">
        <v>0</v>
      </c>
      <c r="F230" s="716">
        <v>0</v>
      </c>
      <c r="G230" s="716">
        <v>0</v>
      </c>
      <c r="H230" s="716">
        <v>0</v>
      </c>
      <c r="I230" s="716">
        <v>0</v>
      </c>
      <c r="J230" s="715">
        <v>0</v>
      </c>
      <c r="K230" s="715">
        <v>0</v>
      </c>
      <c r="L230" s="716">
        <v>0</v>
      </c>
      <c r="M230" s="715">
        <v>0</v>
      </c>
      <c r="N230" s="715">
        <v>0</v>
      </c>
      <c r="O230" s="716">
        <v>0</v>
      </c>
      <c r="P230" s="666" t="s">
        <v>1681</v>
      </c>
      <c r="Q230" s="717">
        <v>9020</v>
      </c>
      <c r="R230" s="717">
        <v>18360</v>
      </c>
      <c r="S230" s="717">
        <v>0</v>
      </c>
      <c r="T230" s="717">
        <v>0</v>
      </c>
      <c r="U230" s="717">
        <v>0</v>
      </c>
      <c r="V230" s="717">
        <v>0</v>
      </c>
      <c r="W230" s="717">
        <v>13886</v>
      </c>
      <c r="X230" s="717">
        <v>0</v>
      </c>
      <c r="Y230" s="717">
        <v>0</v>
      </c>
      <c r="Z230" s="717">
        <v>0</v>
      </c>
      <c r="AA230" s="717">
        <v>0</v>
      </c>
      <c r="AB230" s="717">
        <v>0</v>
      </c>
      <c r="AC230" s="717">
        <v>0</v>
      </c>
      <c r="AD230" s="717">
        <v>13494</v>
      </c>
      <c r="AE230" s="666"/>
      <c r="AF230" s="666"/>
      <c r="AG230" s="666"/>
    </row>
    <row r="231" spans="1:33" x14ac:dyDescent="0.2">
      <c r="A231" s="666" t="s">
        <v>2020</v>
      </c>
      <c r="B231" s="666" t="s">
        <v>35</v>
      </c>
      <c r="C231" s="666"/>
      <c r="D231" s="666"/>
      <c r="E231" s="715">
        <v>0</v>
      </c>
      <c r="F231" s="715">
        <v>0</v>
      </c>
      <c r="G231" s="715">
        <v>0</v>
      </c>
      <c r="H231" s="715">
        <v>0</v>
      </c>
      <c r="I231" s="715">
        <v>0</v>
      </c>
      <c r="J231" s="715">
        <v>0</v>
      </c>
      <c r="K231" s="715">
        <v>0</v>
      </c>
      <c r="L231" s="715">
        <v>0</v>
      </c>
      <c r="M231" s="715">
        <v>0</v>
      </c>
      <c r="N231" s="715">
        <v>0</v>
      </c>
      <c r="O231" s="715">
        <v>0</v>
      </c>
      <c r="P231" s="715">
        <v>0</v>
      </c>
      <c r="Q231" s="715">
        <v>0</v>
      </c>
      <c r="R231" s="716">
        <v>0</v>
      </c>
      <c r="S231" s="666" t="s">
        <v>882</v>
      </c>
      <c r="T231" s="717">
        <v>210043</v>
      </c>
      <c r="U231" s="717">
        <v>64740</v>
      </c>
      <c r="V231" s="717">
        <v>0</v>
      </c>
      <c r="W231" s="717">
        <v>0</v>
      </c>
      <c r="X231" s="717">
        <v>0</v>
      </c>
      <c r="Y231" s="717">
        <v>0</v>
      </c>
      <c r="Z231" s="717">
        <v>40756</v>
      </c>
      <c r="AA231" s="717">
        <v>0</v>
      </c>
      <c r="AB231" s="717">
        <v>0</v>
      </c>
      <c r="AC231" s="717">
        <v>0</v>
      </c>
      <c r="AD231" s="717">
        <v>0</v>
      </c>
      <c r="AE231" s="717">
        <v>0</v>
      </c>
      <c r="AF231" s="717">
        <v>0</v>
      </c>
      <c r="AG231" s="1996">
        <v>234027</v>
      </c>
    </row>
    <row r="232" spans="1:33" ht="12.75" customHeight="1" x14ac:dyDescent="0.2">
      <c r="A232" s="666" t="s">
        <v>2021</v>
      </c>
      <c r="B232" s="716">
        <v>0</v>
      </c>
      <c r="C232" s="716">
        <v>0</v>
      </c>
      <c r="D232" s="716">
        <v>0</v>
      </c>
      <c r="E232" s="717">
        <v>0</v>
      </c>
      <c r="F232" s="716">
        <v>0</v>
      </c>
      <c r="G232" s="716">
        <v>0</v>
      </c>
      <c r="H232" s="716">
        <v>0</v>
      </c>
      <c r="I232" s="716">
        <v>0</v>
      </c>
      <c r="J232" s="715">
        <v>0</v>
      </c>
      <c r="K232" s="715">
        <v>0</v>
      </c>
      <c r="L232" s="716">
        <v>0</v>
      </c>
      <c r="M232" s="715">
        <v>0</v>
      </c>
      <c r="N232" s="715">
        <v>0</v>
      </c>
      <c r="O232" s="716">
        <v>0</v>
      </c>
      <c r="P232" s="666" t="s">
        <v>1690</v>
      </c>
      <c r="Q232" s="717">
        <v>210043</v>
      </c>
      <c r="R232" s="717">
        <v>64740</v>
      </c>
      <c r="S232" s="717">
        <v>0</v>
      </c>
      <c r="T232" s="717">
        <v>0</v>
      </c>
      <c r="U232" s="717">
        <v>0</v>
      </c>
      <c r="V232" s="717">
        <v>0</v>
      </c>
      <c r="W232" s="717">
        <v>40756</v>
      </c>
      <c r="X232" s="717">
        <v>0</v>
      </c>
      <c r="Y232" s="717">
        <v>0</v>
      </c>
      <c r="Z232" s="717">
        <v>0</v>
      </c>
      <c r="AA232" s="717">
        <v>0</v>
      </c>
      <c r="AB232" s="717">
        <v>0</v>
      </c>
      <c r="AC232" s="717">
        <v>0</v>
      </c>
      <c r="AD232" s="717">
        <v>234027</v>
      </c>
      <c r="AE232" s="666"/>
      <c r="AF232" s="666"/>
      <c r="AG232" s="666"/>
    </row>
    <row r="233" spans="1:33" x14ac:dyDescent="0.2">
      <c r="A233" s="666" t="s">
        <v>2022</v>
      </c>
      <c r="B233" s="666" t="s">
        <v>35</v>
      </c>
      <c r="C233" s="666"/>
      <c r="D233" s="666"/>
      <c r="E233" s="715">
        <v>0</v>
      </c>
      <c r="F233" s="715">
        <v>0</v>
      </c>
      <c r="G233" s="715">
        <v>0</v>
      </c>
      <c r="H233" s="715">
        <v>0</v>
      </c>
      <c r="I233" s="715">
        <v>0</v>
      </c>
      <c r="J233" s="715">
        <v>0</v>
      </c>
      <c r="K233" s="715">
        <v>0</v>
      </c>
      <c r="L233" s="715">
        <v>0</v>
      </c>
      <c r="M233" s="715">
        <v>0</v>
      </c>
      <c r="N233" s="715">
        <v>0</v>
      </c>
      <c r="O233" s="715">
        <v>0</v>
      </c>
      <c r="P233" s="715">
        <v>0</v>
      </c>
      <c r="Q233" s="715">
        <v>0</v>
      </c>
      <c r="R233" s="716">
        <v>0</v>
      </c>
      <c r="S233" s="666" t="s">
        <v>2023</v>
      </c>
      <c r="T233" s="717">
        <v>482114</v>
      </c>
      <c r="U233" s="717">
        <v>165410</v>
      </c>
      <c r="V233" s="717">
        <v>0</v>
      </c>
      <c r="W233" s="717">
        <v>0</v>
      </c>
      <c r="X233" s="717">
        <v>0</v>
      </c>
      <c r="Y233" s="717">
        <v>0</v>
      </c>
      <c r="Z233" s="717">
        <v>343907</v>
      </c>
      <c r="AA233" s="717">
        <v>0</v>
      </c>
      <c r="AB233" s="717">
        <v>0</v>
      </c>
      <c r="AC233" s="717">
        <v>0</v>
      </c>
      <c r="AD233" s="717">
        <v>0</v>
      </c>
      <c r="AE233" s="717">
        <v>0</v>
      </c>
      <c r="AF233" s="717">
        <v>0</v>
      </c>
      <c r="AG233" s="1996">
        <v>303617</v>
      </c>
    </row>
    <row r="234" spans="1:33" x14ac:dyDescent="0.2">
      <c r="A234" s="666" t="s">
        <v>2024</v>
      </c>
      <c r="B234" s="716">
        <v>0</v>
      </c>
      <c r="C234" s="716">
        <v>0</v>
      </c>
      <c r="D234" s="716">
        <v>0</v>
      </c>
      <c r="E234" s="717">
        <v>0</v>
      </c>
      <c r="F234" s="716">
        <v>0</v>
      </c>
      <c r="G234" s="716">
        <v>0</v>
      </c>
      <c r="H234" s="716">
        <v>0</v>
      </c>
      <c r="I234" s="716">
        <v>0</v>
      </c>
      <c r="J234" s="715">
        <v>0</v>
      </c>
      <c r="K234" s="715">
        <v>0</v>
      </c>
      <c r="L234" s="716">
        <v>0</v>
      </c>
      <c r="M234" s="715">
        <v>0</v>
      </c>
      <c r="N234" s="715">
        <v>0</v>
      </c>
      <c r="O234" s="716">
        <v>0</v>
      </c>
      <c r="P234" s="666" t="s">
        <v>806</v>
      </c>
      <c r="Q234" s="717">
        <v>482114</v>
      </c>
      <c r="R234" s="717">
        <v>165410</v>
      </c>
      <c r="S234" s="717">
        <v>0</v>
      </c>
      <c r="T234" s="717">
        <v>0</v>
      </c>
      <c r="U234" s="717">
        <v>0</v>
      </c>
      <c r="V234" s="717">
        <v>0</v>
      </c>
      <c r="W234" s="717">
        <v>343907</v>
      </c>
      <c r="X234" s="717">
        <v>0</v>
      </c>
      <c r="Y234" s="717">
        <v>0</v>
      </c>
      <c r="Z234" s="717">
        <v>0</v>
      </c>
      <c r="AA234" s="717">
        <v>0</v>
      </c>
      <c r="AB234" s="717">
        <v>0</v>
      </c>
      <c r="AC234" s="717">
        <v>0</v>
      </c>
      <c r="AD234" s="717">
        <v>303617</v>
      </c>
      <c r="AE234" s="666"/>
      <c r="AF234" s="666"/>
      <c r="AG234" s="666"/>
    </row>
    <row r="235" spans="1:33" x14ac:dyDescent="0.2">
      <c r="A235" s="666" t="s">
        <v>2025</v>
      </c>
      <c r="B235" s="666" t="s">
        <v>35</v>
      </c>
      <c r="C235" s="666"/>
      <c r="D235" s="666"/>
      <c r="E235" s="715">
        <v>22</v>
      </c>
      <c r="F235" s="715">
        <v>0</v>
      </c>
      <c r="G235" s="715">
        <v>0</v>
      </c>
      <c r="H235" s="715">
        <v>0</v>
      </c>
      <c r="I235" s="715">
        <v>0</v>
      </c>
      <c r="J235" s="715">
        <v>0</v>
      </c>
      <c r="K235" s="715">
        <v>6</v>
      </c>
      <c r="L235" s="715">
        <v>0</v>
      </c>
      <c r="M235" s="715">
        <v>0</v>
      </c>
      <c r="N235" s="715">
        <v>0</v>
      </c>
      <c r="O235" s="715">
        <v>0</v>
      </c>
      <c r="P235" s="715">
        <v>0</v>
      </c>
      <c r="Q235" s="715">
        <v>0</v>
      </c>
      <c r="R235" s="716">
        <v>16</v>
      </c>
      <c r="S235" s="666" t="s">
        <v>1586</v>
      </c>
      <c r="T235" s="717">
        <v>52072</v>
      </c>
      <c r="U235" s="717">
        <v>0</v>
      </c>
      <c r="V235" s="717">
        <v>0</v>
      </c>
      <c r="W235" s="717">
        <v>0</v>
      </c>
      <c r="X235" s="717">
        <v>0</v>
      </c>
      <c r="Y235" s="717">
        <v>0</v>
      </c>
      <c r="Z235" s="717">
        <v>9683</v>
      </c>
      <c r="AA235" s="717">
        <v>0</v>
      </c>
      <c r="AB235" s="717">
        <v>0</v>
      </c>
      <c r="AC235" s="717">
        <v>0</v>
      </c>
      <c r="AD235" s="717">
        <v>0</v>
      </c>
      <c r="AE235" s="717">
        <v>0</v>
      </c>
      <c r="AF235" s="717">
        <v>0</v>
      </c>
      <c r="AG235" s="1996">
        <v>42389</v>
      </c>
    </row>
    <row r="236" spans="1:33" ht="12.75" customHeight="1" x14ac:dyDescent="0.2">
      <c r="A236" s="666" t="s">
        <v>2026</v>
      </c>
      <c r="B236" s="716">
        <v>22</v>
      </c>
      <c r="C236" s="716">
        <v>0</v>
      </c>
      <c r="D236" s="716">
        <v>0</v>
      </c>
      <c r="E236" s="717">
        <v>0</v>
      </c>
      <c r="F236" s="716">
        <v>0</v>
      </c>
      <c r="G236" s="716">
        <v>0</v>
      </c>
      <c r="H236" s="716">
        <v>6</v>
      </c>
      <c r="I236" s="716">
        <v>0</v>
      </c>
      <c r="J236" s="715">
        <v>0</v>
      </c>
      <c r="K236" s="715">
        <v>0</v>
      </c>
      <c r="L236" s="716">
        <v>0</v>
      </c>
      <c r="M236" s="715">
        <v>0</v>
      </c>
      <c r="N236" s="715">
        <v>0</v>
      </c>
      <c r="O236" s="716">
        <v>16</v>
      </c>
      <c r="P236" s="666" t="s">
        <v>823</v>
      </c>
      <c r="Q236" s="717">
        <v>52072</v>
      </c>
      <c r="R236" s="717">
        <v>0</v>
      </c>
      <c r="S236" s="717">
        <v>0</v>
      </c>
      <c r="T236" s="717">
        <v>0</v>
      </c>
      <c r="U236" s="717">
        <v>0</v>
      </c>
      <c r="V236" s="717">
        <v>0</v>
      </c>
      <c r="W236" s="717">
        <v>9683</v>
      </c>
      <c r="X236" s="717">
        <v>0</v>
      </c>
      <c r="Y236" s="717">
        <v>0</v>
      </c>
      <c r="Z236" s="717">
        <v>0</v>
      </c>
      <c r="AA236" s="717">
        <v>0</v>
      </c>
      <c r="AB236" s="717">
        <v>0</v>
      </c>
      <c r="AC236" s="717">
        <v>0</v>
      </c>
      <c r="AD236" s="717">
        <v>42389</v>
      </c>
      <c r="AE236" s="666"/>
      <c r="AF236" s="666"/>
      <c r="AG236" s="666"/>
    </row>
    <row r="237" spans="1:33" ht="12.75" customHeight="1" x14ac:dyDescent="0.2">
      <c r="A237" s="666" t="s">
        <v>2027</v>
      </c>
      <c r="B237" s="666" t="s">
        <v>35</v>
      </c>
      <c r="C237" s="666"/>
      <c r="D237" s="666"/>
      <c r="E237" s="715">
        <v>0</v>
      </c>
      <c r="F237" s="715">
        <v>0</v>
      </c>
      <c r="G237" s="715">
        <v>0</v>
      </c>
      <c r="H237" s="715">
        <v>0</v>
      </c>
      <c r="I237" s="715">
        <v>0</v>
      </c>
      <c r="J237" s="715">
        <v>0</v>
      </c>
      <c r="K237" s="715">
        <v>0</v>
      </c>
      <c r="L237" s="715">
        <v>0</v>
      </c>
      <c r="M237" s="715">
        <v>0</v>
      </c>
      <c r="N237" s="715">
        <v>0</v>
      </c>
      <c r="O237" s="715">
        <v>0</v>
      </c>
      <c r="P237" s="715">
        <v>0</v>
      </c>
      <c r="Q237" s="715">
        <v>0</v>
      </c>
      <c r="R237" s="716">
        <v>0</v>
      </c>
      <c r="S237" s="666" t="s">
        <v>2028</v>
      </c>
      <c r="T237" s="717">
        <v>386520</v>
      </c>
      <c r="U237" s="717">
        <v>193530</v>
      </c>
      <c r="V237" s="717">
        <v>0</v>
      </c>
      <c r="W237" s="717">
        <v>0</v>
      </c>
      <c r="X237" s="717">
        <v>0</v>
      </c>
      <c r="Y237" s="717">
        <v>0</v>
      </c>
      <c r="Z237" s="717">
        <v>165181</v>
      </c>
      <c r="AA237" s="717">
        <v>0</v>
      </c>
      <c r="AB237" s="717">
        <v>0</v>
      </c>
      <c r="AC237" s="717">
        <v>0</v>
      </c>
      <c r="AD237" s="717">
        <v>0</v>
      </c>
      <c r="AE237" s="717">
        <v>0</v>
      </c>
      <c r="AF237" s="717">
        <v>0</v>
      </c>
      <c r="AG237" s="1996">
        <v>414869</v>
      </c>
    </row>
    <row r="238" spans="1:33" x14ac:dyDescent="0.2">
      <c r="A238" s="666" t="s">
        <v>2029</v>
      </c>
      <c r="B238" s="716">
        <v>0</v>
      </c>
      <c r="C238" s="716">
        <v>0</v>
      </c>
      <c r="D238" s="716">
        <v>0</v>
      </c>
      <c r="E238" s="717">
        <v>0</v>
      </c>
      <c r="F238" s="716">
        <v>0</v>
      </c>
      <c r="G238" s="716">
        <v>0</v>
      </c>
      <c r="H238" s="716">
        <v>0</v>
      </c>
      <c r="I238" s="716">
        <v>0</v>
      </c>
      <c r="J238" s="715">
        <v>0</v>
      </c>
      <c r="K238" s="715">
        <v>0</v>
      </c>
      <c r="L238" s="716">
        <v>0</v>
      </c>
      <c r="M238" s="715">
        <v>0</v>
      </c>
      <c r="N238" s="715">
        <v>0</v>
      </c>
      <c r="O238" s="716">
        <v>0</v>
      </c>
      <c r="P238" s="666" t="s">
        <v>816</v>
      </c>
      <c r="Q238" s="717">
        <v>386520</v>
      </c>
      <c r="R238" s="717">
        <v>193530</v>
      </c>
      <c r="S238" s="717">
        <v>0</v>
      </c>
      <c r="T238" s="717">
        <v>0</v>
      </c>
      <c r="U238" s="717">
        <v>0</v>
      </c>
      <c r="V238" s="717">
        <v>0</v>
      </c>
      <c r="W238" s="717">
        <v>165181</v>
      </c>
      <c r="X238" s="717">
        <v>0</v>
      </c>
      <c r="Y238" s="717">
        <v>0</v>
      </c>
      <c r="Z238" s="717">
        <v>0</v>
      </c>
      <c r="AA238" s="717">
        <v>0</v>
      </c>
      <c r="AB238" s="717">
        <v>0</v>
      </c>
      <c r="AC238" s="717">
        <v>0</v>
      </c>
      <c r="AD238" s="717">
        <v>414869</v>
      </c>
      <c r="AE238" s="666"/>
      <c r="AF238" s="666"/>
      <c r="AG238" s="666"/>
    </row>
    <row r="239" spans="1:33" x14ac:dyDescent="0.2">
      <c r="A239" s="666" t="s">
        <v>2030</v>
      </c>
      <c r="B239" s="666" t="s">
        <v>35</v>
      </c>
      <c r="C239" s="666"/>
      <c r="D239" s="666"/>
      <c r="E239" s="715">
        <v>0</v>
      </c>
      <c r="F239" s="715">
        <v>0</v>
      </c>
      <c r="G239" s="715">
        <v>0</v>
      </c>
      <c r="H239" s="715">
        <v>0</v>
      </c>
      <c r="I239" s="715">
        <v>0</v>
      </c>
      <c r="J239" s="715">
        <v>0</v>
      </c>
      <c r="K239" s="715">
        <v>0</v>
      </c>
      <c r="L239" s="715">
        <v>0</v>
      </c>
      <c r="M239" s="715">
        <v>0</v>
      </c>
      <c r="N239" s="715">
        <v>0</v>
      </c>
      <c r="O239" s="715">
        <v>0</v>
      </c>
      <c r="P239" s="715">
        <v>0</v>
      </c>
      <c r="Q239" s="715">
        <v>0</v>
      </c>
      <c r="R239" s="716">
        <v>0</v>
      </c>
      <c r="S239" s="666" t="s">
        <v>2031</v>
      </c>
      <c r="T239" s="717">
        <v>161208</v>
      </c>
      <c r="U239" s="717">
        <v>96450</v>
      </c>
      <c r="V239" s="717">
        <v>0</v>
      </c>
      <c r="W239" s="717">
        <v>0</v>
      </c>
      <c r="X239" s="717">
        <v>0</v>
      </c>
      <c r="Y239" s="717">
        <v>0</v>
      </c>
      <c r="Z239" s="717">
        <v>141210</v>
      </c>
      <c r="AA239" s="717">
        <v>0</v>
      </c>
      <c r="AB239" s="717">
        <v>0</v>
      </c>
      <c r="AC239" s="717">
        <v>0</v>
      </c>
      <c r="AD239" s="717">
        <v>0</v>
      </c>
      <c r="AE239" s="717">
        <v>0</v>
      </c>
      <c r="AF239" s="717">
        <v>0</v>
      </c>
      <c r="AG239" s="1996">
        <v>116448</v>
      </c>
    </row>
    <row r="240" spans="1:33" s="1844" customFormat="1" x14ac:dyDescent="0.2">
      <c r="A240" s="666" t="s">
        <v>2032</v>
      </c>
      <c r="B240" s="716">
        <v>0</v>
      </c>
      <c r="C240" s="716">
        <v>0</v>
      </c>
      <c r="D240" s="716">
        <v>0</v>
      </c>
      <c r="E240" s="717">
        <v>0</v>
      </c>
      <c r="F240" s="716">
        <v>0</v>
      </c>
      <c r="G240" s="716">
        <v>0</v>
      </c>
      <c r="H240" s="716">
        <v>0</v>
      </c>
      <c r="I240" s="716">
        <v>0</v>
      </c>
      <c r="J240" s="715">
        <v>0</v>
      </c>
      <c r="K240" s="715">
        <v>0</v>
      </c>
      <c r="L240" s="716">
        <v>0</v>
      </c>
      <c r="M240" s="715">
        <v>0</v>
      </c>
      <c r="N240" s="715">
        <v>0</v>
      </c>
      <c r="O240" s="716">
        <v>0</v>
      </c>
      <c r="P240" s="666" t="s">
        <v>813</v>
      </c>
      <c r="Q240" s="717">
        <v>161208</v>
      </c>
      <c r="R240" s="717">
        <v>96450</v>
      </c>
      <c r="S240" s="717">
        <v>0</v>
      </c>
      <c r="T240" s="717">
        <v>0</v>
      </c>
      <c r="U240" s="717">
        <v>0</v>
      </c>
      <c r="V240" s="717">
        <v>0</v>
      </c>
      <c r="W240" s="717">
        <v>141210</v>
      </c>
      <c r="X240" s="717">
        <v>0</v>
      </c>
      <c r="Y240" s="717">
        <v>0</v>
      </c>
      <c r="Z240" s="717">
        <v>0</v>
      </c>
      <c r="AA240" s="717">
        <v>0</v>
      </c>
      <c r="AB240" s="717">
        <v>0</v>
      </c>
      <c r="AC240" s="717">
        <v>0</v>
      </c>
      <c r="AD240" s="717">
        <v>116448</v>
      </c>
      <c r="AE240" s="666"/>
      <c r="AF240" s="666"/>
      <c r="AG240" s="666"/>
    </row>
    <row r="241" spans="1:33" s="1844" customFormat="1" x14ac:dyDescent="0.2">
      <c r="A241" s="666" t="s">
        <v>2033</v>
      </c>
      <c r="B241" s="666" t="s">
        <v>35</v>
      </c>
      <c r="C241" s="666"/>
      <c r="D241" s="666"/>
      <c r="E241" s="715">
        <v>0</v>
      </c>
      <c r="F241" s="715">
        <v>0</v>
      </c>
      <c r="G241" s="715">
        <v>0</v>
      </c>
      <c r="H241" s="715">
        <v>0</v>
      </c>
      <c r="I241" s="715">
        <v>0</v>
      </c>
      <c r="J241" s="715">
        <v>0</v>
      </c>
      <c r="K241" s="715">
        <v>0</v>
      </c>
      <c r="L241" s="715">
        <v>0</v>
      </c>
      <c r="M241" s="715">
        <v>0</v>
      </c>
      <c r="N241" s="715">
        <v>0</v>
      </c>
      <c r="O241" s="715">
        <v>0</v>
      </c>
      <c r="P241" s="715">
        <v>0</v>
      </c>
      <c r="Q241" s="715">
        <v>0</v>
      </c>
      <c r="R241" s="716">
        <v>0</v>
      </c>
      <c r="S241" s="666" t="s">
        <v>884</v>
      </c>
      <c r="T241" s="717">
        <v>4277090</v>
      </c>
      <c r="U241" s="717">
        <v>0</v>
      </c>
      <c r="V241" s="717">
        <v>11172390</v>
      </c>
      <c r="W241" s="717">
        <v>0</v>
      </c>
      <c r="X241" s="717">
        <v>0</v>
      </c>
      <c r="Y241" s="717">
        <v>0</v>
      </c>
      <c r="Z241" s="717">
        <v>982478</v>
      </c>
      <c r="AA241" s="717">
        <v>0</v>
      </c>
      <c r="AB241" s="717">
        <v>0</v>
      </c>
      <c r="AC241" s="717">
        <v>0</v>
      </c>
      <c r="AD241" s="717">
        <v>319364</v>
      </c>
      <c r="AE241" s="717">
        <v>0</v>
      </c>
      <c r="AF241" s="717">
        <v>0</v>
      </c>
      <c r="AG241" s="1996">
        <v>14147638</v>
      </c>
    </row>
    <row r="242" spans="1:33" s="1844" customFormat="1" ht="12.75" customHeight="1" x14ac:dyDescent="0.2">
      <c r="A242" s="666" t="s">
        <v>2034</v>
      </c>
      <c r="B242" s="666" t="s">
        <v>35</v>
      </c>
      <c r="C242" s="666"/>
      <c r="D242" s="666"/>
      <c r="E242" s="715">
        <v>0</v>
      </c>
      <c r="F242" s="715">
        <v>0</v>
      </c>
      <c r="G242" s="715">
        <v>0</v>
      </c>
      <c r="H242" s="715">
        <v>0</v>
      </c>
      <c r="I242" s="715">
        <v>0</v>
      </c>
      <c r="J242" s="715">
        <v>0</v>
      </c>
      <c r="K242" s="715">
        <v>0</v>
      </c>
      <c r="L242" s="715">
        <v>0</v>
      </c>
      <c r="M242" s="715">
        <v>0</v>
      </c>
      <c r="N242" s="715">
        <v>0</v>
      </c>
      <c r="O242" s="715">
        <v>0</v>
      </c>
      <c r="P242" s="715">
        <v>0</v>
      </c>
      <c r="Q242" s="715">
        <v>0</v>
      </c>
      <c r="R242" s="716">
        <v>0</v>
      </c>
      <c r="S242" s="666" t="s">
        <v>1562</v>
      </c>
      <c r="T242" s="717">
        <v>12968371</v>
      </c>
      <c r="U242" s="717">
        <v>0</v>
      </c>
      <c r="V242" s="717">
        <v>0</v>
      </c>
      <c r="W242" s="717">
        <v>0</v>
      </c>
      <c r="X242" s="717">
        <v>0</v>
      </c>
      <c r="Y242" s="717">
        <v>0</v>
      </c>
      <c r="Z242" s="717">
        <v>5094812</v>
      </c>
      <c r="AA242" s="717">
        <v>0</v>
      </c>
      <c r="AB242" s="717">
        <v>0</v>
      </c>
      <c r="AC242" s="717">
        <v>0</v>
      </c>
      <c r="AD242" s="717">
        <v>149413</v>
      </c>
      <c r="AE242" s="717">
        <v>0</v>
      </c>
      <c r="AF242" s="717">
        <v>0</v>
      </c>
      <c r="AG242" s="1996">
        <v>7724146</v>
      </c>
    </row>
    <row r="243" spans="1:33" s="1844" customFormat="1" x14ac:dyDescent="0.2">
      <c r="A243" s="666" t="s">
        <v>2035</v>
      </c>
      <c r="B243" s="666" t="s">
        <v>35</v>
      </c>
      <c r="C243" s="666"/>
      <c r="D243" s="666"/>
      <c r="E243" s="715">
        <v>0</v>
      </c>
      <c r="F243" s="715">
        <v>0</v>
      </c>
      <c r="G243" s="715">
        <v>0</v>
      </c>
      <c r="H243" s="715">
        <v>0</v>
      </c>
      <c r="I243" s="715">
        <v>0</v>
      </c>
      <c r="J243" s="715">
        <v>0</v>
      </c>
      <c r="K243" s="715">
        <v>0</v>
      </c>
      <c r="L243" s="715">
        <v>0</v>
      </c>
      <c r="M243" s="715">
        <v>0</v>
      </c>
      <c r="N243" s="715">
        <v>0</v>
      </c>
      <c r="O243" s="715">
        <v>0</v>
      </c>
      <c r="P243" s="715">
        <v>0</v>
      </c>
      <c r="Q243" s="715">
        <v>0</v>
      </c>
      <c r="R243" s="716">
        <v>0</v>
      </c>
      <c r="S243" s="666" t="s">
        <v>84</v>
      </c>
      <c r="T243" s="717">
        <v>44237</v>
      </c>
      <c r="U243" s="717">
        <v>0</v>
      </c>
      <c r="V243" s="717">
        <v>0</v>
      </c>
      <c r="W243" s="717">
        <v>0</v>
      </c>
      <c r="X243" s="717">
        <v>468777</v>
      </c>
      <c r="Y243" s="717">
        <v>0</v>
      </c>
      <c r="Z243" s="717">
        <v>431824</v>
      </c>
      <c r="AA243" s="717">
        <v>0</v>
      </c>
      <c r="AB243" s="717">
        <v>0</v>
      </c>
      <c r="AC243" s="717">
        <v>0</v>
      </c>
      <c r="AD243" s="717">
        <v>0</v>
      </c>
      <c r="AE243" s="717">
        <v>0</v>
      </c>
      <c r="AF243" s="717">
        <v>0</v>
      </c>
      <c r="AG243" s="1996">
        <v>81190</v>
      </c>
    </row>
    <row r="244" spans="1:33" x14ac:dyDescent="0.2">
      <c r="A244" s="666" t="s">
        <v>2036</v>
      </c>
      <c r="B244" s="716">
        <v>0</v>
      </c>
      <c r="C244" s="716">
        <v>0</v>
      </c>
      <c r="D244" s="716">
        <v>0</v>
      </c>
      <c r="E244" s="717">
        <v>0</v>
      </c>
      <c r="F244" s="716">
        <v>0</v>
      </c>
      <c r="G244" s="716">
        <v>0</v>
      </c>
      <c r="H244" s="716">
        <v>0</v>
      </c>
      <c r="I244" s="716">
        <v>0</v>
      </c>
      <c r="J244" s="715">
        <v>0</v>
      </c>
      <c r="K244" s="715">
        <v>0</v>
      </c>
      <c r="L244" s="716">
        <v>0</v>
      </c>
      <c r="M244" s="715">
        <v>0</v>
      </c>
      <c r="N244" s="715">
        <v>0</v>
      </c>
      <c r="O244" s="716">
        <v>0</v>
      </c>
      <c r="P244" s="666" t="s">
        <v>804</v>
      </c>
      <c r="Q244" s="717">
        <v>17289698</v>
      </c>
      <c r="R244" s="717">
        <v>0</v>
      </c>
      <c r="S244" s="717">
        <v>11172390</v>
      </c>
      <c r="T244" s="717">
        <v>0</v>
      </c>
      <c r="U244" s="717">
        <v>468777</v>
      </c>
      <c r="V244" s="717">
        <v>0</v>
      </c>
      <c r="W244" s="717">
        <v>6509114</v>
      </c>
      <c r="X244" s="717">
        <v>0</v>
      </c>
      <c r="Y244" s="717">
        <v>0</v>
      </c>
      <c r="Z244" s="717">
        <v>0</v>
      </c>
      <c r="AA244" s="717">
        <v>468777</v>
      </c>
      <c r="AB244" s="717">
        <v>0</v>
      </c>
      <c r="AC244" s="717">
        <v>0</v>
      </c>
      <c r="AD244" s="717">
        <v>21952974</v>
      </c>
      <c r="AE244" s="666"/>
      <c r="AF244" s="666"/>
      <c r="AG244" s="666"/>
    </row>
    <row r="245" spans="1:33" x14ac:dyDescent="0.2">
      <c r="A245" s="666" t="s">
        <v>2037</v>
      </c>
      <c r="B245" s="666" t="s">
        <v>35</v>
      </c>
      <c r="C245" s="666"/>
      <c r="D245" s="666"/>
      <c r="E245" s="715">
        <v>0</v>
      </c>
      <c r="F245" s="715">
        <v>0</v>
      </c>
      <c r="G245" s="715">
        <v>0</v>
      </c>
      <c r="H245" s="715">
        <v>0</v>
      </c>
      <c r="I245" s="715">
        <v>0</v>
      </c>
      <c r="J245" s="715">
        <v>0</v>
      </c>
      <c r="K245" s="715">
        <v>0</v>
      </c>
      <c r="L245" s="715">
        <v>0</v>
      </c>
      <c r="M245" s="715">
        <v>0</v>
      </c>
      <c r="N245" s="715">
        <v>0</v>
      </c>
      <c r="O245" s="715">
        <v>0</v>
      </c>
      <c r="P245" s="715">
        <v>0</v>
      </c>
      <c r="Q245" s="715">
        <v>0</v>
      </c>
      <c r="R245" s="716">
        <v>0</v>
      </c>
      <c r="S245" s="666" t="s">
        <v>2038</v>
      </c>
      <c r="T245" s="717">
        <v>0</v>
      </c>
      <c r="U245" s="717">
        <v>61830</v>
      </c>
      <c r="V245" s="717">
        <v>0</v>
      </c>
      <c r="W245" s="717">
        <v>0</v>
      </c>
      <c r="X245" s="717">
        <v>0</v>
      </c>
      <c r="Y245" s="717">
        <v>0</v>
      </c>
      <c r="Z245" s="717">
        <v>0</v>
      </c>
      <c r="AA245" s="717">
        <v>0</v>
      </c>
      <c r="AB245" s="717">
        <v>0</v>
      </c>
      <c r="AC245" s="717">
        <v>0</v>
      </c>
      <c r="AD245" s="717">
        <v>61830</v>
      </c>
      <c r="AE245" s="717">
        <v>0</v>
      </c>
      <c r="AF245" s="717">
        <v>0</v>
      </c>
      <c r="AG245" s="1996">
        <v>0</v>
      </c>
    </row>
    <row r="246" spans="1:33" x14ac:dyDescent="0.2">
      <c r="A246" s="666" t="s">
        <v>2039</v>
      </c>
      <c r="B246" s="666" t="s">
        <v>35</v>
      </c>
      <c r="C246" s="666"/>
      <c r="D246" s="666"/>
      <c r="E246" s="715">
        <v>0</v>
      </c>
      <c r="F246" s="715">
        <v>0</v>
      </c>
      <c r="G246" s="715">
        <v>0</v>
      </c>
      <c r="H246" s="715">
        <v>0</v>
      </c>
      <c r="I246" s="715">
        <v>0</v>
      </c>
      <c r="J246" s="715">
        <v>0</v>
      </c>
      <c r="K246" s="715">
        <v>0</v>
      </c>
      <c r="L246" s="715">
        <v>0</v>
      </c>
      <c r="M246" s="715">
        <v>0</v>
      </c>
      <c r="N246" s="715">
        <v>0</v>
      </c>
      <c r="O246" s="715">
        <v>0</v>
      </c>
      <c r="P246" s="715">
        <v>0</v>
      </c>
      <c r="Q246" s="715">
        <v>0</v>
      </c>
      <c r="R246" s="716">
        <v>0</v>
      </c>
      <c r="S246" s="666" t="s">
        <v>2040</v>
      </c>
      <c r="T246" s="717">
        <v>155096</v>
      </c>
      <c r="U246" s="717">
        <v>0</v>
      </c>
      <c r="V246" s="717">
        <v>0</v>
      </c>
      <c r="W246" s="717">
        <v>0</v>
      </c>
      <c r="X246" s="717">
        <v>61830</v>
      </c>
      <c r="Y246" s="717">
        <v>0</v>
      </c>
      <c r="Z246" s="717">
        <v>102822</v>
      </c>
      <c r="AA246" s="717">
        <v>0</v>
      </c>
      <c r="AB246" s="717">
        <v>0</v>
      </c>
      <c r="AC246" s="717">
        <v>0</v>
      </c>
      <c r="AD246" s="717">
        <v>0</v>
      </c>
      <c r="AE246" s="717">
        <v>0</v>
      </c>
      <c r="AF246" s="717">
        <v>0</v>
      </c>
      <c r="AG246" s="1996">
        <v>114104</v>
      </c>
    </row>
    <row r="247" spans="1:33" ht="12.75" customHeight="1" x14ac:dyDescent="0.2">
      <c r="A247" s="666" t="s">
        <v>2041</v>
      </c>
      <c r="B247" s="716">
        <v>0</v>
      </c>
      <c r="C247" s="716">
        <v>0</v>
      </c>
      <c r="D247" s="716">
        <v>0</v>
      </c>
      <c r="E247" s="717">
        <v>0</v>
      </c>
      <c r="F247" s="716">
        <v>0</v>
      </c>
      <c r="G247" s="716">
        <v>0</v>
      </c>
      <c r="H247" s="716">
        <v>0</v>
      </c>
      <c r="I247" s="716">
        <v>0</v>
      </c>
      <c r="J247" s="715">
        <v>0</v>
      </c>
      <c r="K247" s="715">
        <v>0</v>
      </c>
      <c r="L247" s="716">
        <v>0</v>
      </c>
      <c r="M247" s="715">
        <v>0</v>
      </c>
      <c r="N247" s="715">
        <v>0</v>
      </c>
      <c r="O247" s="716">
        <v>0</v>
      </c>
      <c r="P247" s="666" t="s">
        <v>815</v>
      </c>
      <c r="Q247" s="717">
        <v>155096</v>
      </c>
      <c r="R247" s="717">
        <v>61830</v>
      </c>
      <c r="S247" s="717">
        <v>0</v>
      </c>
      <c r="T247" s="717">
        <v>0</v>
      </c>
      <c r="U247" s="717">
        <v>61830</v>
      </c>
      <c r="V247" s="717">
        <v>0</v>
      </c>
      <c r="W247" s="717">
        <v>102822</v>
      </c>
      <c r="X247" s="717">
        <v>0</v>
      </c>
      <c r="Y247" s="717">
        <v>0</v>
      </c>
      <c r="Z247" s="717">
        <v>0</v>
      </c>
      <c r="AA247" s="717">
        <v>61830</v>
      </c>
      <c r="AB247" s="717">
        <v>0</v>
      </c>
      <c r="AC247" s="717">
        <v>0</v>
      </c>
      <c r="AD247" s="717">
        <v>114104</v>
      </c>
      <c r="AE247" s="666"/>
      <c r="AF247" s="666"/>
      <c r="AG247" s="666"/>
    </row>
    <row r="248" spans="1:33" x14ac:dyDescent="0.2">
      <c r="A248" s="666" t="s">
        <v>2042</v>
      </c>
      <c r="B248" s="666" t="s">
        <v>35</v>
      </c>
      <c r="C248" s="666"/>
      <c r="D248" s="666"/>
      <c r="E248" s="715">
        <v>0</v>
      </c>
      <c r="F248" s="715">
        <v>0</v>
      </c>
      <c r="G248" s="715">
        <v>0</v>
      </c>
      <c r="H248" s="715">
        <v>0</v>
      </c>
      <c r="I248" s="715">
        <v>0</v>
      </c>
      <c r="J248" s="715">
        <v>0</v>
      </c>
      <c r="K248" s="715">
        <v>0</v>
      </c>
      <c r="L248" s="715">
        <v>0</v>
      </c>
      <c r="M248" s="715">
        <v>0</v>
      </c>
      <c r="N248" s="715">
        <v>0</v>
      </c>
      <c r="O248" s="715">
        <v>0</v>
      </c>
      <c r="P248" s="715">
        <v>0</v>
      </c>
      <c r="Q248" s="715">
        <v>0</v>
      </c>
      <c r="R248" s="716">
        <v>0</v>
      </c>
      <c r="S248" s="666" t="s">
        <v>2043</v>
      </c>
      <c r="T248" s="717">
        <v>41131</v>
      </c>
      <c r="U248" s="717">
        <v>0</v>
      </c>
      <c r="V248" s="717">
        <v>0</v>
      </c>
      <c r="W248" s="717">
        <v>0</v>
      </c>
      <c r="X248" s="717">
        <v>0</v>
      </c>
      <c r="Y248" s="717">
        <v>0</v>
      </c>
      <c r="Z248" s="717">
        <v>26883</v>
      </c>
      <c r="AA248" s="717">
        <v>0</v>
      </c>
      <c r="AB248" s="717">
        <v>0</v>
      </c>
      <c r="AC248" s="717">
        <v>0</v>
      </c>
      <c r="AD248" s="717">
        <v>0</v>
      </c>
      <c r="AE248" s="717">
        <v>0</v>
      </c>
      <c r="AF248" s="717">
        <v>0</v>
      </c>
      <c r="AG248" s="1996">
        <v>14248</v>
      </c>
    </row>
    <row r="249" spans="1:33" x14ac:dyDescent="0.2">
      <c r="A249" s="666" t="s">
        <v>2044</v>
      </c>
      <c r="B249" s="716">
        <v>0</v>
      </c>
      <c r="C249" s="716">
        <v>0</v>
      </c>
      <c r="D249" s="716">
        <v>0</v>
      </c>
      <c r="E249" s="717">
        <v>0</v>
      </c>
      <c r="F249" s="716">
        <v>0</v>
      </c>
      <c r="G249" s="716">
        <v>0</v>
      </c>
      <c r="H249" s="716">
        <v>0</v>
      </c>
      <c r="I249" s="716">
        <v>0</v>
      </c>
      <c r="J249" s="715">
        <v>0</v>
      </c>
      <c r="K249" s="715">
        <v>0</v>
      </c>
      <c r="L249" s="716">
        <v>0</v>
      </c>
      <c r="M249" s="715">
        <v>0</v>
      </c>
      <c r="N249" s="715">
        <v>0</v>
      </c>
      <c r="O249" s="716">
        <v>0</v>
      </c>
      <c r="P249" s="666" t="s">
        <v>1437</v>
      </c>
      <c r="Q249" s="717">
        <v>41131</v>
      </c>
      <c r="R249" s="717">
        <v>0</v>
      </c>
      <c r="S249" s="717">
        <v>0</v>
      </c>
      <c r="T249" s="717">
        <v>0</v>
      </c>
      <c r="U249" s="717">
        <v>0</v>
      </c>
      <c r="V249" s="717">
        <v>0</v>
      </c>
      <c r="W249" s="717">
        <v>26883</v>
      </c>
      <c r="X249" s="717">
        <v>0</v>
      </c>
      <c r="Y249" s="717">
        <v>0</v>
      </c>
      <c r="Z249" s="717">
        <v>0</v>
      </c>
      <c r="AA249" s="717">
        <v>0</v>
      </c>
      <c r="AB249" s="717">
        <v>0</v>
      </c>
      <c r="AC249" s="717">
        <v>0</v>
      </c>
      <c r="AD249" s="717">
        <v>14248</v>
      </c>
      <c r="AE249" s="666"/>
      <c r="AF249" s="666"/>
      <c r="AG249" s="666"/>
    </row>
    <row r="250" spans="1:33" x14ac:dyDescent="0.2">
      <c r="A250" s="666" t="s">
        <v>2045</v>
      </c>
      <c r="B250" s="666" t="s">
        <v>35</v>
      </c>
      <c r="C250" s="666"/>
      <c r="D250" s="666"/>
      <c r="E250" s="715">
        <v>0</v>
      </c>
      <c r="F250" s="715">
        <v>0</v>
      </c>
      <c r="G250" s="715">
        <v>0</v>
      </c>
      <c r="H250" s="715">
        <v>0</v>
      </c>
      <c r="I250" s="715">
        <v>0</v>
      </c>
      <c r="J250" s="715">
        <v>0</v>
      </c>
      <c r="K250" s="715">
        <v>0</v>
      </c>
      <c r="L250" s="715">
        <v>0</v>
      </c>
      <c r="M250" s="715">
        <v>0</v>
      </c>
      <c r="N250" s="715">
        <v>0</v>
      </c>
      <c r="O250" s="715">
        <v>0</v>
      </c>
      <c r="P250" s="715">
        <v>0</v>
      </c>
      <c r="Q250" s="715">
        <v>0</v>
      </c>
      <c r="R250" s="716">
        <v>0</v>
      </c>
      <c r="S250" s="666" t="s">
        <v>2046</v>
      </c>
      <c r="T250" s="717">
        <v>1538291</v>
      </c>
      <c r="U250" s="717">
        <v>700120</v>
      </c>
      <c r="V250" s="717">
        <v>0</v>
      </c>
      <c r="W250" s="717">
        <v>0</v>
      </c>
      <c r="X250" s="717">
        <v>0</v>
      </c>
      <c r="Y250" s="717">
        <v>0</v>
      </c>
      <c r="Z250" s="717">
        <v>351392</v>
      </c>
      <c r="AA250" s="717">
        <v>0</v>
      </c>
      <c r="AB250" s="717">
        <v>0</v>
      </c>
      <c r="AC250" s="717">
        <v>0</v>
      </c>
      <c r="AD250" s="717">
        <v>0</v>
      </c>
      <c r="AE250" s="717">
        <v>0</v>
      </c>
      <c r="AF250" s="717">
        <v>0</v>
      </c>
      <c r="AG250" s="1996">
        <v>1887019</v>
      </c>
    </row>
    <row r="251" spans="1:33" ht="12.75" customHeight="1" x14ac:dyDescent="0.2">
      <c r="A251" s="666" t="s">
        <v>2047</v>
      </c>
      <c r="B251" s="716">
        <v>0</v>
      </c>
      <c r="C251" s="716">
        <v>0</v>
      </c>
      <c r="D251" s="716">
        <v>0</v>
      </c>
      <c r="E251" s="717">
        <v>0</v>
      </c>
      <c r="F251" s="716">
        <v>0</v>
      </c>
      <c r="G251" s="716">
        <v>0</v>
      </c>
      <c r="H251" s="716">
        <v>0</v>
      </c>
      <c r="I251" s="716">
        <v>0</v>
      </c>
      <c r="J251" s="715">
        <v>0</v>
      </c>
      <c r="K251" s="715">
        <v>0</v>
      </c>
      <c r="L251" s="716">
        <v>0</v>
      </c>
      <c r="M251" s="715">
        <v>0</v>
      </c>
      <c r="N251" s="715">
        <v>0</v>
      </c>
      <c r="O251" s="716">
        <v>0</v>
      </c>
      <c r="P251" s="666" t="s">
        <v>808</v>
      </c>
      <c r="Q251" s="717">
        <v>1538291</v>
      </c>
      <c r="R251" s="717">
        <v>700120</v>
      </c>
      <c r="S251" s="717">
        <v>0</v>
      </c>
      <c r="T251" s="717">
        <v>0</v>
      </c>
      <c r="U251" s="717">
        <v>0</v>
      </c>
      <c r="V251" s="717">
        <v>0</v>
      </c>
      <c r="W251" s="717">
        <v>351392</v>
      </c>
      <c r="X251" s="717">
        <v>0</v>
      </c>
      <c r="Y251" s="717">
        <v>0</v>
      </c>
      <c r="Z251" s="717">
        <v>0</v>
      </c>
      <c r="AA251" s="717">
        <v>0</v>
      </c>
      <c r="AB251" s="717">
        <v>0</v>
      </c>
      <c r="AC251" s="717">
        <v>0</v>
      </c>
      <c r="AD251" s="717">
        <v>1887019</v>
      </c>
      <c r="AE251" s="666"/>
      <c r="AF251" s="666"/>
      <c r="AG251" s="666"/>
    </row>
    <row r="252" spans="1:33" ht="12.75" customHeight="1" x14ac:dyDescent="0.2">
      <c r="A252" s="666" t="s">
        <v>2048</v>
      </c>
      <c r="B252" s="666" t="s">
        <v>35</v>
      </c>
      <c r="C252" s="666"/>
      <c r="D252" s="666"/>
      <c r="E252" s="715">
        <v>0</v>
      </c>
      <c r="F252" s="715">
        <v>0</v>
      </c>
      <c r="G252" s="715">
        <v>0</v>
      </c>
      <c r="H252" s="715">
        <v>0</v>
      </c>
      <c r="I252" s="715">
        <v>0</v>
      </c>
      <c r="J252" s="715">
        <v>0</v>
      </c>
      <c r="K252" s="715">
        <v>0</v>
      </c>
      <c r="L252" s="715">
        <v>0</v>
      </c>
      <c r="M252" s="715">
        <v>0</v>
      </c>
      <c r="N252" s="715">
        <v>0</v>
      </c>
      <c r="O252" s="715">
        <v>0</v>
      </c>
      <c r="P252" s="715">
        <v>0</v>
      </c>
      <c r="Q252" s="715">
        <v>0</v>
      </c>
      <c r="R252" s="716">
        <v>0</v>
      </c>
      <c r="S252" s="666" t="s">
        <v>2049</v>
      </c>
      <c r="T252" s="717">
        <v>508593</v>
      </c>
      <c r="U252" s="717">
        <v>486191</v>
      </c>
      <c r="V252" s="717">
        <v>0</v>
      </c>
      <c r="W252" s="717">
        <v>0</v>
      </c>
      <c r="X252" s="717">
        <v>0</v>
      </c>
      <c r="Y252" s="717">
        <v>0</v>
      </c>
      <c r="Z252" s="717">
        <v>619080</v>
      </c>
      <c r="AA252" s="717">
        <v>0</v>
      </c>
      <c r="AB252" s="717">
        <v>0</v>
      </c>
      <c r="AC252" s="717">
        <v>0</v>
      </c>
      <c r="AD252" s="717">
        <v>0</v>
      </c>
      <c r="AE252" s="717">
        <v>0</v>
      </c>
      <c r="AF252" s="717">
        <v>0</v>
      </c>
      <c r="AG252" s="1996">
        <v>375704</v>
      </c>
    </row>
    <row r="253" spans="1:33" x14ac:dyDescent="0.2">
      <c r="A253" s="666" t="s">
        <v>2050</v>
      </c>
      <c r="B253" s="716">
        <v>0</v>
      </c>
      <c r="C253" s="716">
        <v>0</v>
      </c>
      <c r="D253" s="716">
        <v>0</v>
      </c>
      <c r="E253" s="717">
        <v>0</v>
      </c>
      <c r="F253" s="716">
        <v>0</v>
      </c>
      <c r="G253" s="716">
        <v>0</v>
      </c>
      <c r="H253" s="716">
        <v>0</v>
      </c>
      <c r="I253" s="716">
        <v>0</v>
      </c>
      <c r="J253" s="715">
        <v>0</v>
      </c>
      <c r="K253" s="715">
        <v>0</v>
      </c>
      <c r="L253" s="716">
        <v>0</v>
      </c>
      <c r="M253" s="715">
        <v>0</v>
      </c>
      <c r="N253" s="715">
        <v>0</v>
      </c>
      <c r="O253" s="716">
        <v>0</v>
      </c>
      <c r="P253" s="666" t="s">
        <v>1379</v>
      </c>
      <c r="Q253" s="717">
        <v>508593</v>
      </c>
      <c r="R253" s="717">
        <v>486191</v>
      </c>
      <c r="S253" s="717">
        <v>0</v>
      </c>
      <c r="T253" s="717">
        <v>0</v>
      </c>
      <c r="U253" s="717">
        <v>0</v>
      </c>
      <c r="V253" s="717">
        <v>0</v>
      </c>
      <c r="W253" s="717">
        <v>619080</v>
      </c>
      <c r="X253" s="717">
        <v>0</v>
      </c>
      <c r="Y253" s="717">
        <v>0</v>
      </c>
      <c r="Z253" s="717">
        <v>0</v>
      </c>
      <c r="AA253" s="717">
        <v>0</v>
      </c>
      <c r="AB253" s="717">
        <v>0</v>
      </c>
      <c r="AC253" s="717">
        <v>0</v>
      </c>
      <c r="AD253" s="717">
        <v>375704</v>
      </c>
      <c r="AE253" s="666"/>
      <c r="AF253" s="666"/>
      <c r="AG253" s="666"/>
    </row>
    <row r="254" spans="1:33" x14ac:dyDescent="0.2">
      <c r="A254" s="666" t="s">
        <v>2051</v>
      </c>
      <c r="B254" s="666" t="s">
        <v>35</v>
      </c>
      <c r="C254" s="666"/>
      <c r="D254" s="666"/>
      <c r="E254" s="715">
        <v>0</v>
      </c>
      <c r="F254" s="715">
        <v>0</v>
      </c>
      <c r="G254" s="715">
        <v>0</v>
      </c>
      <c r="H254" s="715">
        <v>0</v>
      </c>
      <c r="I254" s="715">
        <v>0</v>
      </c>
      <c r="J254" s="715">
        <v>0</v>
      </c>
      <c r="K254" s="715">
        <v>0</v>
      </c>
      <c r="L254" s="715">
        <v>0</v>
      </c>
      <c r="M254" s="715">
        <v>0</v>
      </c>
      <c r="N254" s="715">
        <v>0</v>
      </c>
      <c r="O254" s="715">
        <v>0</v>
      </c>
      <c r="P254" s="715">
        <v>0</v>
      </c>
      <c r="Q254" s="715">
        <v>0</v>
      </c>
      <c r="R254" s="716">
        <v>0</v>
      </c>
      <c r="S254" s="666" t="s">
        <v>55</v>
      </c>
      <c r="T254" s="717">
        <v>13891</v>
      </c>
      <c r="U254" s="717">
        <v>12870</v>
      </c>
      <c r="V254" s="717">
        <v>0</v>
      </c>
      <c r="W254" s="717">
        <v>0</v>
      </c>
      <c r="X254" s="717">
        <v>0</v>
      </c>
      <c r="Y254" s="717">
        <v>0</v>
      </c>
      <c r="Z254" s="717">
        <v>10208</v>
      </c>
      <c r="AA254" s="717">
        <v>0</v>
      </c>
      <c r="AB254" s="717">
        <v>0</v>
      </c>
      <c r="AC254" s="717">
        <v>0</v>
      </c>
      <c r="AD254" s="717">
        <v>0</v>
      </c>
      <c r="AE254" s="717">
        <v>0</v>
      </c>
      <c r="AF254" s="717">
        <v>0</v>
      </c>
      <c r="AG254" s="1996">
        <v>16553</v>
      </c>
    </row>
    <row r="255" spans="1:33" x14ac:dyDescent="0.2">
      <c r="A255" s="666" t="s">
        <v>2052</v>
      </c>
      <c r="B255" s="716">
        <v>0</v>
      </c>
      <c r="C255" s="716">
        <v>0</v>
      </c>
      <c r="D255" s="716">
        <v>0</v>
      </c>
      <c r="E255" s="717">
        <v>0</v>
      </c>
      <c r="F255" s="716">
        <v>0</v>
      </c>
      <c r="G255" s="716">
        <v>0</v>
      </c>
      <c r="H255" s="716">
        <v>0</v>
      </c>
      <c r="I255" s="716">
        <v>0</v>
      </c>
      <c r="J255" s="715">
        <v>0</v>
      </c>
      <c r="K255" s="715">
        <v>0</v>
      </c>
      <c r="L255" s="716">
        <v>0</v>
      </c>
      <c r="M255" s="715">
        <v>0</v>
      </c>
      <c r="N255" s="715">
        <v>0</v>
      </c>
      <c r="O255" s="716">
        <v>0</v>
      </c>
      <c r="P255" s="666" t="s">
        <v>830</v>
      </c>
      <c r="Q255" s="717">
        <v>13891</v>
      </c>
      <c r="R255" s="717">
        <v>12870</v>
      </c>
      <c r="S255" s="717">
        <v>0</v>
      </c>
      <c r="T255" s="717">
        <v>0</v>
      </c>
      <c r="U255" s="717">
        <v>0</v>
      </c>
      <c r="V255" s="717">
        <v>0</v>
      </c>
      <c r="W255" s="717">
        <v>10208</v>
      </c>
      <c r="X255" s="717">
        <v>0</v>
      </c>
      <c r="Y255" s="717">
        <v>0</v>
      </c>
      <c r="Z255" s="717">
        <v>0</v>
      </c>
      <c r="AA255" s="717">
        <v>0</v>
      </c>
      <c r="AB255" s="717">
        <v>0</v>
      </c>
      <c r="AC255" s="717">
        <v>0</v>
      </c>
      <c r="AD255" s="717">
        <v>16553</v>
      </c>
      <c r="AE255" s="666"/>
      <c r="AF255" s="666"/>
      <c r="AG255" s="666"/>
    </row>
    <row r="256" spans="1:33" x14ac:dyDescent="0.2">
      <c r="A256" s="666" t="s">
        <v>2225</v>
      </c>
      <c r="B256" s="666" t="s">
        <v>35</v>
      </c>
      <c r="C256" s="666"/>
      <c r="D256" s="666"/>
      <c r="E256" s="715">
        <v>0</v>
      </c>
      <c r="F256" s="715">
        <v>0</v>
      </c>
      <c r="G256" s="715">
        <v>0</v>
      </c>
      <c r="H256" s="715">
        <v>0</v>
      </c>
      <c r="I256" s="715">
        <v>0</v>
      </c>
      <c r="J256" s="715">
        <v>0</v>
      </c>
      <c r="K256" s="715">
        <v>0</v>
      </c>
      <c r="L256" s="715">
        <v>0</v>
      </c>
      <c r="M256" s="715">
        <v>0</v>
      </c>
      <c r="N256" s="715">
        <v>0</v>
      </c>
      <c r="O256" s="715">
        <v>0</v>
      </c>
      <c r="P256" s="715">
        <v>0</v>
      </c>
      <c r="Q256" s="715">
        <v>0</v>
      </c>
      <c r="R256" s="716">
        <v>0</v>
      </c>
      <c r="S256" s="666" t="s">
        <v>2226</v>
      </c>
      <c r="T256" s="717">
        <v>0</v>
      </c>
      <c r="U256" s="717">
        <v>132460</v>
      </c>
      <c r="V256" s="717">
        <v>0</v>
      </c>
      <c r="W256" s="717">
        <v>0</v>
      </c>
      <c r="X256" s="717">
        <v>0</v>
      </c>
      <c r="Y256" s="717">
        <v>0</v>
      </c>
      <c r="Z256" s="717">
        <v>0</v>
      </c>
      <c r="AA256" s="717">
        <v>0</v>
      </c>
      <c r="AB256" s="717">
        <v>0</v>
      </c>
      <c r="AC256" s="717">
        <v>0</v>
      </c>
      <c r="AD256" s="717">
        <v>132460</v>
      </c>
      <c r="AE256" s="717">
        <v>0</v>
      </c>
      <c r="AF256" s="717">
        <v>0</v>
      </c>
      <c r="AG256" s="1996">
        <v>0</v>
      </c>
    </row>
    <row r="257" spans="1:33" ht="12.75" customHeight="1" x14ac:dyDescent="0.2">
      <c r="A257" s="666" t="s">
        <v>2053</v>
      </c>
      <c r="B257" s="666" t="s">
        <v>35</v>
      </c>
      <c r="C257" s="666"/>
      <c r="D257" s="666"/>
      <c r="E257" s="715">
        <v>0</v>
      </c>
      <c r="F257" s="715">
        <v>0</v>
      </c>
      <c r="G257" s="715">
        <v>0</v>
      </c>
      <c r="H257" s="715">
        <v>0</v>
      </c>
      <c r="I257" s="715">
        <v>0</v>
      </c>
      <c r="J257" s="715">
        <v>0</v>
      </c>
      <c r="K257" s="715">
        <v>0</v>
      </c>
      <c r="L257" s="715">
        <v>0</v>
      </c>
      <c r="M257" s="715">
        <v>0</v>
      </c>
      <c r="N257" s="715">
        <v>0</v>
      </c>
      <c r="O257" s="715">
        <v>0</v>
      </c>
      <c r="P257" s="715">
        <v>0</v>
      </c>
      <c r="Q257" s="715">
        <v>0</v>
      </c>
      <c r="R257" s="716">
        <v>0</v>
      </c>
      <c r="S257" s="666" t="s">
        <v>2054</v>
      </c>
      <c r="T257" s="717">
        <v>178932</v>
      </c>
      <c r="U257" s="717">
        <v>0</v>
      </c>
      <c r="V257" s="717">
        <v>0</v>
      </c>
      <c r="W257" s="717">
        <v>0</v>
      </c>
      <c r="X257" s="717">
        <v>132460</v>
      </c>
      <c r="Y257" s="717">
        <v>0</v>
      </c>
      <c r="Z257" s="717">
        <v>87045</v>
      </c>
      <c r="AA257" s="717">
        <v>0</v>
      </c>
      <c r="AB257" s="717">
        <v>0</v>
      </c>
      <c r="AC257" s="717">
        <v>0</v>
      </c>
      <c r="AD257" s="717">
        <v>0</v>
      </c>
      <c r="AE257" s="717">
        <v>0</v>
      </c>
      <c r="AF257" s="717">
        <v>0</v>
      </c>
      <c r="AG257" s="1996">
        <v>224347</v>
      </c>
    </row>
    <row r="258" spans="1:33" x14ac:dyDescent="0.2">
      <c r="A258" s="666" t="s">
        <v>2055</v>
      </c>
      <c r="B258" s="716">
        <v>0</v>
      </c>
      <c r="C258" s="716">
        <v>0</v>
      </c>
      <c r="D258" s="716">
        <v>0</v>
      </c>
      <c r="E258" s="717">
        <v>0</v>
      </c>
      <c r="F258" s="716">
        <v>0</v>
      </c>
      <c r="G258" s="716">
        <v>0</v>
      </c>
      <c r="H258" s="716">
        <v>0</v>
      </c>
      <c r="I258" s="716">
        <v>0</v>
      </c>
      <c r="J258" s="715">
        <v>0</v>
      </c>
      <c r="K258" s="715">
        <v>0</v>
      </c>
      <c r="L258" s="716">
        <v>0</v>
      </c>
      <c r="M258" s="715">
        <v>0</v>
      </c>
      <c r="N258" s="715">
        <v>0</v>
      </c>
      <c r="O258" s="716">
        <v>0</v>
      </c>
      <c r="P258" s="666" t="s">
        <v>810</v>
      </c>
      <c r="Q258" s="717">
        <v>178932</v>
      </c>
      <c r="R258" s="717">
        <v>132460</v>
      </c>
      <c r="S258" s="717">
        <v>0</v>
      </c>
      <c r="T258" s="717">
        <v>0</v>
      </c>
      <c r="U258" s="717">
        <v>132460</v>
      </c>
      <c r="V258" s="717">
        <v>0</v>
      </c>
      <c r="W258" s="717">
        <v>87045</v>
      </c>
      <c r="X258" s="717">
        <v>0</v>
      </c>
      <c r="Y258" s="717">
        <v>0</v>
      </c>
      <c r="Z258" s="717">
        <v>0</v>
      </c>
      <c r="AA258" s="717">
        <v>132460</v>
      </c>
      <c r="AB258" s="717">
        <v>0</v>
      </c>
      <c r="AC258" s="717">
        <v>0</v>
      </c>
      <c r="AD258" s="717">
        <v>224347</v>
      </c>
      <c r="AE258" s="666"/>
      <c r="AF258" s="666"/>
      <c r="AG258" s="666"/>
    </row>
    <row r="259" spans="1:33" x14ac:dyDescent="0.2">
      <c r="A259" s="666" t="s">
        <v>2056</v>
      </c>
      <c r="B259" s="666" t="s">
        <v>35</v>
      </c>
      <c r="C259" s="666"/>
      <c r="D259" s="666"/>
      <c r="E259" s="715">
        <v>0</v>
      </c>
      <c r="F259" s="715">
        <v>0</v>
      </c>
      <c r="G259" s="715">
        <v>0</v>
      </c>
      <c r="H259" s="715">
        <v>0</v>
      </c>
      <c r="I259" s="715">
        <v>0</v>
      </c>
      <c r="J259" s="715">
        <v>0</v>
      </c>
      <c r="K259" s="715">
        <v>0</v>
      </c>
      <c r="L259" s="715">
        <v>0</v>
      </c>
      <c r="M259" s="715">
        <v>0</v>
      </c>
      <c r="N259" s="715">
        <v>0</v>
      </c>
      <c r="O259" s="715">
        <v>0</v>
      </c>
      <c r="P259" s="715">
        <v>0</v>
      </c>
      <c r="Q259" s="715">
        <v>0</v>
      </c>
      <c r="R259" s="716">
        <v>0</v>
      </c>
      <c r="S259" s="666" t="s">
        <v>2057</v>
      </c>
      <c r="T259" s="717">
        <v>121869</v>
      </c>
      <c r="U259" s="717">
        <v>71460</v>
      </c>
      <c r="V259" s="717">
        <v>0</v>
      </c>
      <c r="W259" s="717">
        <v>0</v>
      </c>
      <c r="X259" s="717">
        <v>0</v>
      </c>
      <c r="Y259" s="717">
        <v>0</v>
      </c>
      <c r="Z259" s="717">
        <v>158609</v>
      </c>
      <c r="AA259" s="717">
        <v>0</v>
      </c>
      <c r="AB259" s="717">
        <v>0</v>
      </c>
      <c r="AC259" s="717">
        <v>0</v>
      </c>
      <c r="AD259" s="717">
        <v>0</v>
      </c>
      <c r="AE259" s="717">
        <v>0</v>
      </c>
      <c r="AF259" s="717">
        <v>0</v>
      </c>
      <c r="AG259" s="1996">
        <v>34720</v>
      </c>
    </row>
    <row r="260" spans="1:33" x14ac:dyDescent="0.2">
      <c r="A260" s="666" t="s">
        <v>2058</v>
      </c>
      <c r="B260" s="666" t="s">
        <v>35</v>
      </c>
      <c r="C260" s="666"/>
      <c r="D260" s="666"/>
      <c r="E260" s="715">
        <v>0</v>
      </c>
      <c r="F260" s="715">
        <v>0</v>
      </c>
      <c r="G260" s="715">
        <v>0</v>
      </c>
      <c r="H260" s="715">
        <v>0</v>
      </c>
      <c r="I260" s="715">
        <v>0</v>
      </c>
      <c r="J260" s="715">
        <v>0</v>
      </c>
      <c r="K260" s="715">
        <v>0</v>
      </c>
      <c r="L260" s="715">
        <v>0</v>
      </c>
      <c r="M260" s="715">
        <v>0</v>
      </c>
      <c r="N260" s="715">
        <v>0</v>
      </c>
      <c r="O260" s="715">
        <v>0</v>
      </c>
      <c r="P260" s="715">
        <v>0</v>
      </c>
      <c r="Q260" s="715">
        <v>0</v>
      </c>
      <c r="R260" s="716">
        <v>0</v>
      </c>
      <c r="S260" s="666" t="s">
        <v>2059</v>
      </c>
      <c r="T260" s="717">
        <v>494550</v>
      </c>
      <c r="U260" s="717">
        <v>133200</v>
      </c>
      <c r="V260" s="717">
        <v>0</v>
      </c>
      <c r="W260" s="717">
        <v>0</v>
      </c>
      <c r="X260" s="717">
        <v>0</v>
      </c>
      <c r="Y260" s="717">
        <v>0</v>
      </c>
      <c r="Z260" s="717">
        <v>241002</v>
      </c>
      <c r="AA260" s="717">
        <v>0</v>
      </c>
      <c r="AB260" s="717">
        <v>0</v>
      </c>
      <c r="AC260" s="717">
        <v>0</v>
      </c>
      <c r="AD260" s="717">
        <v>0</v>
      </c>
      <c r="AE260" s="717">
        <v>0</v>
      </c>
      <c r="AF260" s="717">
        <v>0</v>
      </c>
      <c r="AG260" s="1996">
        <v>386748</v>
      </c>
    </row>
    <row r="261" spans="1:33" ht="12.75" customHeight="1" x14ac:dyDescent="0.2">
      <c r="A261" s="666" t="s">
        <v>2060</v>
      </c>
      <c r="B261" s="716">
        <v>0</v>
      </c>
      <c r="C261" s="716">
        <v>0</v>
      </c>
      <c r="D261" s="716">
        <v>0</v>
      </c>
      <c r="E261" s="717">
        <v>0</v>
      </c>
      <c r="F261" s="716">
        <v>0</v>
      </c>
      <c r="G261" s="716">
        <v>0</v>
      </c>
      <c r="H261" s="716">
        <v>0</v>
      </c>
      <c r="I261" s="716">
        <v>0</v>
      </c>
      <c r="J261" s="715">
        <v>0</v>
      </c>
      <c r="K261" s="715">
        <v>0</v>
      </c>
      <c r="L261" s="716">
        <v>0</v>
      </c>
      <c r="M261" s="715">
        <v>0</v>
      </c>
      <c r="N261" s="715">
        <v>0</v>
      </c>
      <c r="O261" s="716">
        <v>0</v>
      </c>
      <c r="P261" s="666" t="s">
        <v>809</v>
      </c>
      <c r="Q261" s="717">
        <v>616419</v>
      </c>
      <c r="R261" s="717">
        <v>204660</v>
      </c>
      <c r="S261" s="717">
        <v>0</v>
      </c>
      <c r="T261" s="717">
        <v>0</v>
      </c>
      <c r="U261" s="717">
        <v>0</v>
      </c>
      <c r="V261" s="717">
        <v>0</v>
      </c>
      <c r="W261" s="717">
        <v>399611</v>
      </c>
      <c r="X261" s="717">
        <v>0</v>
      </c>
      <c r="Y261" s="717">
        <v>0</v>
      </c>
      <c r="Z261" s="717">
        <v>0</v>
      </c>
      <c r="AA261" s="717">
        <v>0</v>
      </c>
      <c r="AB261" s="717">
        <v>0</v>
      </c>
      <c r="AC261" s="717">
        <v>0</v>
      </c>
      <c r="AD261" s="717">
        <v>421468</v>
      </c>
      <c r="AE261" s="666"/>
      <c r="AF261" s="666"/>
      <c r="AG261" s="666"/>
    </row>
    <row r="262" spans="1:33" ht="12.75" customHeight="1" x14ac:dyDescent="0.2">
      <c r="A262" s="666" t="s">
        <v>2061</v>
      </c>
      <c r="B262" s="666" t="s">
        <v>35</v>
      </c>
      <c r="C262" s="666"/>
      <c r="D262" s="666"/>
      <c r="E262" s="715">
        <v>0</v>
      </c>
      <c r="F262" s="715">
        <v>0</v>
      </c>
      <c r="G262" s="715">
        <v>0</v>
      </c>
      <c r="H262" s="715">
        <v>0</v>
      </c>
      <c r="I262" s="715">
        <v>0</v>
      </c>
      <c r="J262" s="715">
        <v>0</v>
      </c>
      <c r="K262" s="715">
        <v>0</v>
      </c>
      <c r="L262" s="715">
        <v>0</v>
      </c>
      <c r="M262" s="715">
        <v>0</v>
      </c>
      <c r="N262" s="715">
        <v>0</v>
      </c>
      <c r="O262" s="715">
        <v>0</v>
      </c>
      <c r="P262" s="715">
        <v>0</v>
      </c>
      <c r="Q262" s="715">
        <v>0</v>
      </c>
      <c r="R262" s="716">
        <v>0</v>
      </c>
      <c r="S262" s="666" t="s">
        <v>2062</v>
      </c>
      <c r="T262" s="717">
        <v>109847</v>
      </c>
      <c r="U262" s="717">
        <v>31960</v>
      </c>
      <c r="V262" s="717">
        <v>0</v>
      </c>
      <c r="W262" s="717">
        <v>0</v>
      </c>
      <c r="X262" s="717">
        <v>0</v>
      </c>
      <c r="Y262" s="717">
        <v>0</v>
      </c>
      <c r="Z262" s="717">
        <v>49606</v>
      </c>
      <c r="AA262" s="717">
        <v>0</v>
      </c>
      <c r="AB262" s="717">
        <v>0</v>
      </c>
      <c r="AC262" s="717">
        <v>0</v>
      </c>
      <c r="AD262" s="717">
        <v>0</v>
      </c>
      <c r="AE262" s="717">
        <v>0</v>
      </c>
      <c r="AF262" s="717">
        <v>0</v>
      </c>
      <c r="AG262" s="1996">
        <v>92201</v>
      </c>
    </row>
    <row r="263" spans="1:33" x14ac:dyDescent="0.2">
      <c r="A263" s="666" t="s">
        <v>2063</v>
      </c>
      <c r="B263" s="716">
        <v>0</v>
      </c>
      <c r="C263" s="716">
        <v>0</v>
      </c>
      <c r="D263" s="716">
        <v>0</v>
      </c>
      <c r="E263" s="717">
        <v>0</v>
      </c>
      <c r="F263" s="716">
        <v>0</v>
      </c>
      <c r="G263" s="716">
        <v>0</v>
      </c>
      <c r="H263" s="716">
        <v>0</v>
      </c>
      <c r="I263" s="716">
        <v>0</v>
      </c>
      <c r="J263" s="715">
        <v>0</v>
      </c>
      <c r="K263" s="715">
        <v>0</v>
      </c>
      <c r="L263" s="716">
        <v>0</v>
      </c>
      <c r="M263" s="715">
        <v>0</v>
      </c>
      <c r="N263" s="715">
        <v>0</v>
      </c>
      <c r="O263" s="716">
        <v>0</v>
      </c>
      <c r="P263" s="666" t="s">
        <v>814</v>
      </c>
      <c r="Q263" s="717">
        <v>109847</v>
      </c>
      <c r="R263" s="717">
        <v>31960</v>
      </c>
      <c r="S263" s="717">
        <v>0</v>
      </c>
      <c r="T263" s="717">
        <v>0</v>
      </c>
      <c r="U263" s="717">
        <v>0</v>
      </c>
      <c r="V263" s="717">
        <v>0</v>
      </c>
      <c r="W263" s="717">
        <v>49606</v>
      </c>
      <c r="X263" s="717">
        <v>0</v>
      </c>
      <c r="Y263" s="717">
        <v>0</v>
      </c>
      <c r="Z263" s="717">
        <v>0</v>
      </c>
      <c r="AA263" s="717">
        <v>0</v>
      </c>
      <c r="AB263" s="717">
        <v>0</v>
      </c>
      <c r="AC263" s="717">
        <v>0</v>
      </c>
      <c r="AD263" s="717">
        <v>92201</v>
      </c>
      <c r="AE263" s="666"/>
      <c r="AF263" s="666"/>
      <c r="AG263" s="666"/>
    </row>
    <row r="264" spans="1:33" x14ac:dyDescent="0.2">
      <c r="A264" s="666" t="s">
        <v>2064</v>
      </c>
      <c r="B264" s="666" t="s">
        <v>35</v>
      </c>
      <c r="C264" s="666"/>
      <c r="D264" s="666"/>
      <c r="E264" s="715">
        <v>0</v>
      </c>
      <c r="F264" s="715">
        <v>0</v>
      </c>
      <c r="G264" s="715">
        <v>0</v>
      </c>
      <c r="H264" s="715">
        <v>0</v>
      </c>
      <c r="I264" s="715">
        <v>0</v>
      </c>
      <c r="J264" s="715">
        <v>0</v>
      </c>
      <c r="K264" s="715">
        <v>0</v>
      </c>
      <c r="L264" s="715">
        <v>0</v>
      </c>
      <c r="M264" s="715">
        <v>0</v>
      </c>
      <c r="N264" s="715">
        <v>0</v>
      </c>
      <c r="O264" s="715">
        <v>0</v>
      </c>
      <c r="P264" s="715">
        <v>0</v>
      </c>
      <c r="Q264" s="715">
        <v>0</v>
      </c>
      <c r="R264" s="716">
        <v>0</v>
      </c>
      <c r="S264" s="666" t="s">
        <v>2065</v>
      </c>
      <c r="T264" s="717">
        <v>470158</v>
      </c>
      <c r="U264" s="717">
        <v>462620</v>
      </c>
      <c r="V264" s="717">
        <v>194260</v>
      </c>
      <c r="W264" s="717">
        <v>0</v>
      </c>
      <c r="X264" s="717">
        <v>0</v>
      </c>
      <c r="Y264" s="717">
        <v>0</v>
      </c>
      <c r="Z264" s="717">
        <v>664295</v>
      </c>
      <c r="AA264" s="717">
        <v>0</v>
      </c>
      <c r="AB264" s="717">
        <v>0</v>
      </c>
      <c r="AC264" s="717">
        <v>0</v>
      </c>
      <c r="AD264" s="717">
        <v>0</v>
      </c>
      <c r="AE264" s="717">
        <v>0</v>
      </c>
      <c r="AF264" s="717">
        <v>0</v>
      </c>
      <c r="AG264" s="1996">
        <v>462743</v>
      </c>
    </row>
    <row r="265" spans="1:33" x14ac:dyDescent="0.2">
      <c r="A265" s="666" t="s">
        <v>2066</v>
      </c>
      <c r="B265" s="716">
        <v>0</v>
      </c>
      <c r="C265" s="716">
        <v>0</v>
      </c>
      <c r="D265" s="716">
        <v>0</v>
      </c>
      <c r="E265" s="717">
        <v>0</v>
      </c>
      <c r="F265" s="716">
        <v>0</v>
      </c>
      <c r="G265" s="716">
        <v>0</v>
      </c>
      <c r="H265" s="716">
        <v>0</v>
      </c>
      <c r="I265" s="716">
        <v>0</v>
      </c>
      <c r="J265" s="715">
        <v>0</v>
      </c>
      <c r="K265" s="715">
        <v>0</v>
      </c>
      <c r="L265" s="716">
        <v>0</v>
      </c>
      <c r="M265" s="715">
        <v>0</v>
      </c>
      <c r="N265" s="715">
        <v>0</v>
      </c>
      <c r="O265" s="716">
        <v>0</v>
      </c>
      <c r="P265" s="666" t="s">
        <v>807</v>
      </c>
      <c r="Q265" s="717">
        <v>470158</v>
      </c>
      <c r="R265" s="717">
        <v>462620</v>
      </c>
      <c r="S265" s="717">
        <v>194260</v>
      </c>
      <c r="T265" s="717">
        <v>0</v>
      </c>
      <c r="U265" s="717">
        <v>0</v>
      </c>
      <c r="V265" s="717">
        <v>0</v>
      </c>
      <c r="W265" s="717">
        <v>664295</v>
      </c>
      <c r="X265" s="717">
        <v>0</v>
      </c>
      <c r="Y265" s="717">
        <v>0</v>
      </c>
      <c r="Z265" s="717">
        <v>0</v>
      </c>
      <c r="AA265" s="717">
        <v>0</v>
      </c>
      <c r="AB265" s="717">
        <v>0</v>
      </c>
      <c r="AC265" s="717">
        <v>0</v>
      </c>
      <c r="AD265" s="717">
        <v>462743</v>
      </c>
      <c r="AE265" s="666"/>
      <c r="AF265" s="666"/>
      <c r="AG265" s="666"/>
    </row>
    <row r="266" spans="1:33" x14ac:dyDescent="0.2">
      <c r="A266" s="666" t="s">
        <v>2067</v>
      </c>
      <c r="B266" s="666" t="s">
        <v>35</v>
      </c>
      <c r="C266" s="666"/>
      <c r="D266" s="666"/>
      <c r="E266" s="715">
        <v>0</v>
      </c>
      <c r="F266" s="715">
        <v>0</v>
      </c>
      <c r="G266" s="715">
        <v>0</v>
      </c>
      <c r="H266" s="715">
        <v>0</v>
      </c>
      <c r="I266" s="715">
        <v>0</v>
      </c>
      <c r="J266" s="715">
        <v>0</v>
      </c>
      <c r="K266" s="715">
        <v>0</v>
      </c>
      <c r="L266" s="715">
        <v>0</v>
      </c>
      <c r="M266" s="715">
        <v>0</v>
      </c>
      <c r="N266" s="715">
        <v>0</v>
      </c>
      <c r="O266" s="715">
        <v>0</v>
      </c>
      <c r="P266" s="715">
        <v>0</v>
      </c>
      <c r="Q266" s="715">
        <v>0</v>
      </c>
      <c r="R266" s="716">
        <v>0</v>
      </c>
      <c r="S266" s="666" t="s">
        <v>1781</v>
      </c>
      <c r="T266" s="717">
        <v>10287</v>
      </c>
      <c r="U266" s="717">
        <v>0</v>
      </c>
      <c r="V266" s="717">
        <v>0</v>
      </c>
      <c r="W266" s="717">
        <v>0</v>
      </c>
      <c r="X266" s="717">
        <v>0</v>
      </c>
      <c r="Y266" s="717">
        <v>0</v>
      </c>
      <c r="Z266" s="717">
        <v>2887</v>
      </c>
      <c r="AA266" s="717">
        <v>0</v>
      </c>
      <c r="AB266" s="717">
        <v>0</v>
      </c>
      <c r="AC266" s="717">
        <v>0</v>
      </c>
      <c r="AD266" s="717">
        <v>0</v>
      </c>
      <c r="AE266" s="717">
        <v>0</v>
      </c>
      <c r="AF266" s="717">
        <v>0</v>
      </c>
      <c r="AG266" s="1996">
        <v>7400</v>
      </c>
    </row>
    <row r="267" spans="1:33" ht="12.75" customHeight="1" x14ac:dyDescent="0.2">
      <c r="A267" s="666" t="s">
        <v>2068</v>
      </c>
      <c r="B267" s="716">
        <v>0</v>
      </c>
      <c r="C267" s="716">
        <v>0</v>
      </c>
      <c r="D267" s="716">
        <v>0</v>
      </c>
      <c r="E267" s="717">
        <v>0</v>
      </c>
      <c r="F267" s="716">
        <v>0</v>
      </c>
      <c r="G267" s="716">
        <v>0</v>
      </c>
      <c r="H267" s="716">
        <v>0</v>
      </c>
      <c r="I267" s="716">
        <v>0</v>
      </c>
      <c r="J267" s="715">
        <v>0</v>
      </c>
      <c r="K267" s="715">
        <v>0</v>
      </c>
      <c r="L267" s="716">
        <v>0</v>
      </c>
      <c r="M267" s="715">
        <v>0</v>
      </c>
      <c r="N267" s="715">
        <v>0</v>
      </c>
      <c r="O267" s="716">
        <v>0</v>
      </c>
      <c r="P267" s="666" t="s">
        <v>1787</v>
      </c>
      <c r="Q267" s="717">
        <v>10287</v>
      </c>
      <c r="R267" s="717">
        <v>0</v>
      </c>
      <c r="S267" s="717">
        <v>0</v>
      </c>
      <c r="T267" s="717">
        <v>0</v>
      </c>
      <c r="U267" s="717">
        <v>0</v>
      </c>
      <c r="V267" s="717">
        <v>0</v>
      </c>
      <c r="W267" s="717">
        <v>2887</v>
      </c>
      <c r="X267" s="717">
        <v>0</v>
      </c>
      <c r="Y267" s="717">
        <v>0</v>
      </c>
      <c r="Z267" s="717">
        <v>0</v>
      </c>
      <c r="AA267" s="717">
        <v>0</v>
      </c>
      <c r="AB267" s="717">
        <v>0</v>
      </c>
      <c r="AC267" s="717">
        <v>0</v>
      </c>
      <c r="AD267" s="717">
        <v>7400</v>
      </c>
      <c r="AE267" s="666"/>
      <c r="AF267" s="666"/>
      <c r="AG267" s="666"/>
    </row>
    <row r="268" spans="1:33" x14ac:dyDescent="0.2">
      <c r="A268" s="666" t="s">
        <v>2069</v>
      </c>
      <c r="B268" s="666" t="s">
        <v>35</v>
      </c>
      <c r="C268" s="666"/>
      <c r="D268" s="666"/>
      <c r="E268" s="715">
        <v>0</v>
      </c>
      <c r="F268" s="715">
        <v>0</v>
      </c>
      <c r="G268" s="715">
        <v>0</v>
      </c>
      <c r="H268" s="715">
        <v>0</v>
      </c>
      <c r="I268" s="715">
        <v>0</v>
      </c>
      <c r="J268" s="715">
        <v>0</v>
      </c>
      <c r="K268" s="715">
        <v>0</v>
      </c>
      <c r="L268" s="715">
        <v>0</v>
      </c>
      <c r="M268" s="715">
        <v>0</v>
      </c>
      <c r="N268" s="715">
        <v>0</v>
      </c>
      <c r="O268" s="715">
        <v>0</v>
      </c>
      <c r="P268" s="715">
        <v>0</v>
      </c>
      <c r="Q268" s="715">
        <v>0</v>
      </c>
      <c r="R268" s="716">
        <v>0</v>
      </c>
      <c r="S268" s="666" t="s">
        <v>841</v>
      </c>
      <c r="T268" s="717">
        <v>5351705</v>
      </c>
      <c r="U268" s="717">
        <v>0</v>
      </c>
      <c r="V268" s="717">
        <v>0</v>
      </c>
      <c r="W268" s="717">
        <v>0</v>
      </c>
      <c r="X268" s="717">
        <v>0</v>
      </c>
      <c r="Y268" s="717">
        <v>0</v>
      </c>
      <c r="Z268" s="717">
        <v>2004769</v>
      </c>
      <c r="AA268" s="717">
        <v>0</v>
      </c>
      <c r="AB268" s="717">
        <v>0</v>
      </c>
      <c r="AC268" s="717">
        <v>0</v>
      </c>
      <c r="AD268" s="717">
        <v>0</v>
      </c>
      <c r="AE268" s="717">
        <v>0</v>
      </c>
      <c r="AF268" s="717">
        <v>0</v>
      </c>
      <c r="AG268" s="1996">
        <v>3346936</v>
      </c>
    </row>
    <row r="269" spans="1:33" x14ac:dyDescent="0.2">
      <c r="A269" s="666" t="s">
        <v>2070</v>
      </c>
      <c r="B269" s="666" t="s">
        <v>35</v>
      </c>
      <c r="C269" s="666"/>
      <c r="D269" s="666"/>
      <c r="E269" s="715">
        <v>0</v>
      </c>
      <c r="F269" s="715">
        <v>0</v>
      </c>
      <c r="G269" s="715">
        <v>0</v>
      </c>
      <c r="H269" s="715">
        <v>0</v>
      </c>
      <c r="I269" s="715">
        <v>0</v>
      </c>
      <c r="J269" s="715">
        <v>0</v>
      </c>
      <c r="K269" s="715">
        <v>0</v>
      </c>
      <c r="L269" s="715">
        <v>0</v>
      </c>
      <c r="M269" s="715">
        <v>0</v>
      </c>
      <c r="N269" s="715">
        <v>0</v>
      </c>
      <c r="O269" s="715">
        <v>0</v>
      </c>
      <c r="P269" s="715">
        <v>0</v>
      </c>
      <c r="Q269" s="715">
        <v>0</v>
      </c>
      <c r="R269" s="716">
        <v>0</v>
      </c>
      <c r="S269" s="666" t="s">
        <v>1706</v>
      </c>
      <c r="T269" s="717">
        <v>0</v>
      </c>
      <c r="U269" s="717">
        <v>403490</v>
      </c>
      <c r="V269" s="717">
        <v>0</v>
      </c>
      <c r="W269" s="717">
        <v>0</v>
      </c>
      <c r="X269" s="717">
        <v>0</v>
      </c>
      <c r="Y269" s="717">
        <v>0</v>
      </c>
      <c r="Z269" s="717">
        <v>0</v>
      </c>
      <c r="AA269" s="717">
        <v>0</v>
      </c>
      <c r="AB269" s="717">
        <v>0</v>
      </c>
      <c r="AC269" s="717">
        <v>0</v>
      </c>
      <c r="AD269" s="717">
        <v>0</v>
      </c>
      <c r="AE269" s="717">
        <v>0</v>
      </c>
      <c r="AF269" s="717">
        <v>0</v>
      </c>
      <c r="AG269" s="1996">
        <v>403490</v>
      </c>
    </row>
    <row r="270" spans="1:33" x14ac:dyDescent="0.2">
      <c r="A270" s="666" t="s">
        <v>2071</v>
      </c>
      <c r="B270" s="716">
        <v>0</v>
      </c>
      <c r="C270" s="716">
        <v>0</v>
      </c>
      <c r="D270" s="716">
        <v>0</v>
      </c>
      <c r="E270" s="717">
        <v>0</v>
      </c>
      <c r="F270" s="716">
        <v>0</v>
      </c>
      <c r="G270" s="716">
        <v>0</v>
      </c>
      <c r="H270" s="716">
        <v>0</v>
      </c>
      <c r="I270" s="716">
        <v>0</v>
      </c>
      <c r="J270" s="715">
        <v>0</v>
      </c>
      <c r="K270" s="715">
        <v>0</v>
      </c>
      <c r="L270" s="716">
        <v>0</v>
      </c>
      <c r="M270" s="715">
        <v>0</v>
      </c>
      <c r="N270" s="715">
        <v>0</v>
      </c>
      <c r="O270" s="716">
        <v>0</v>
      </c>
      <c r="P270" s="666" t="s">
        <v>842</v>
      </c>
      <c r="Q270" s="717">
        <v>5351705</v>
      </c>
      <c r="R270" s="717">
        <v>403490</v>
      </c>
      <c r="S270" s="717">
        <v>0</v>
      </c>
      <c r="T270" s="717">
        <v>0</v>
      </c>
      <c r="U270" s="717">
        <v>0</v>
      </c>
      <c r="V270" s="717">
        <v>0</v>
      </c>
      <c r="W270" s="717">
        <v>2004769</v>
      </c>
      <c r="X270" s="717">
        <v>0</v>
      </c>
      <c r="Y270" s="717">
        <v>0</v>
      </c>
      <c r="Z270" s="717">
        <v>0</v>
      </c>
      <c r="AA270" s="717">
        <v>0</v>
      </c>
      <c r="AB270" s="717">
        <v>0</v>
      </c>
      <c r="AC270" s="717">
        <v>0</v>
      </c>
      <c r="AD270" s="717">
        <v>3750426</v>
      </c>
      <c r="AE270" s="666"/>
      <c r="AF270" s="666"/>
      <c r="AG270" s="666"/>
    </row>
    <row r="271" spans="1:33" ht="12.75" customHeight="1" x14ac:dyDescent="0.2">
      <c r="A271" s="666" t="s">
        <v>2072</v>
      </c>
      <c r="B271" s="666" t="s">
        <v>35</v>
      </c>
      <c r="C271" s="666"/>
      <c r="D271" s="666"/>
      <c r="E271" s="715">
        <v>0</v>
      </c>
      <c r="F271" s="715">
        <v>0</v>
      </c>
      <c r="G271" s="715">
        <v>0</v>
      </c>
      <c r="H271" s="715">
        <v>0</v>
      </c>
      <c r="I271" s="715">
        <v>0</v>
      </c>
      <c r="J271" s="715">
        <v>0</v>
      </c>
      <c r="K271" s="715">
        <v>0</v>
      </c>
      <c r="L271" s="715">
        <v>0</v>
      </c>
      <c r="M271" s="715">
        <v>0</v>
      </c>
      <c r="N271" s="715">
        <v>0</v>
      </c>
      <c r="O271" s="715">
        <v>0</v>
      </c>
      <c r="P271" s="715">
        <v>0</v>
      </c>
      <c r="Q271" s="715">
        <v>0</v>
      </c>
      <c r="R271" s="716">
        <v>0</v>
      </c>
      <c r="S271" s="666" t="s">
        <v>2073</v>
      </c>
      <c r="T271" s="717">
        <v>72150</v>
      </c>
      <c r="U271" s="717">
        <v>0</v>
      </c>
      <c r="V271" s="717">
        <v>463500</v>
      </c>
      <c r="W271" s="717">
        <v>0</v>
      </c>
      <c r="X271" s="717">
        <v>0</v>
      </c>
      <c r="Y271" s="717">
        <v>0</v>
      </c>
      <c r="Z271" s="717">
        <v>0</v>
      </c>
      <c r="AA271" s="717">
        <v>0</v>
      </c>
      <c r="AB271" s="717">
        <v>0</v>
      </c>
      <c r="AC271" s="717">
        <v>0</v>
      </c>
      <c r="AD271" s="717">
        <v>154070</v>
      </c>
      <c r="AE271" s="717">
        <v>0</v>
      </c>
      <c r="AF271" s="717">
        <v>0</v>
      </c>
      <c r="AG271" s="1996">
        <v>381580</v>
      </c>
    </row>
    <row r="272" spans="1:33" ht="12.75" customHeight="1" x14ac:dyDescent="0.2">
      <c r="A272" s="666" t="s">
        <v>2074</v>
      </c>
      <c r="B272" s="666" t="s">
        <v>35</v>
      </c>
      <c r="C272" s="666"/>
      <c r="D272" s="666"/>
      <c r="E272" s="715">
        <v>0</v>
      </c>
      <c r="F272" s="715">
        <v>0</v>
      </c>
      <c r="G272" s="715">
        <v>0</v>
      </c>
      <c r="H272" s="715">
        <v>0</v>
      </c>
      <c r="I272" s="715">
        <v>0</v>
      </c>
      <c r="J272" s="715">
        <v>0</v>
      </c>
      <c r="K272" s="715">
        <v>0</v>
      </c>
      <c r="L272" s="715">
        <v>0</v>
      </c>
      <c r="M272" s="715">
        <v>0</v>
      </c>
      <c r="N272" s="715">
        <v>0</v>
      </c>
      <c r="O272" s="715">
        <v>0</v>
      </c>
      <c r="P272" s="715">
        <v>0</v>
      </c>
      <c r="Q272" s="715">
        <v>0</v>
      </c>
      <c r="R272" s="716">
        <v>0</v>
      </c>
      <c r="S272" s="666" t="s">
        <v>2075</v>
      </c>
      <c r="T272" s="717">
        <v>14295</v>
      </c>
      <c r="U272" s="717">
        <v>0</v>
      </c>
      <c r="V272" s="717">
        <v>0</v>
      </c>
      <c r="W272" s="717">
        <v>0</v>
      </c>
      <c r="X272" s="717">
        <v>154070</v>
      </c>
      <c r="Y272" s="717">
        <v>0</v>
      </c>
      <c r="Z272" s="717">
        <v>156870</v>
      </c>
      <c r="AA272" s="717">
        <v>0</v>
      </c>
      <c r="AB272" s="717">
        <v>0</v>
      </c>
      <c r="AC272" s="717">
        <v>0</v>
      </c>
      <c r="AD272" s="717">
        <v>0</v>
      </c>
      <c r="AE272" s="717">
        <v>0</v>
      </c>
      <c r="AF272" s="717">
        <v>0</v>
      </c>
      <c r="AG272" s="1996">
        <v>11495</v>
      </c>
    </row>
    <row r="273" spans="1:33" x14ac:dyDescent="0.2">
      <c r="A273" s="666" t="s">
        <v>2076</v>
      </c>
      <c r="B273" s="716">
        <v>0</v>
      </c>
      <c r="C273" s="716">
        <v>0</v>
      </c>
      <c r="D273" s="716">
        <v>0</v>
      </c>
      <c r="E273" s="717">
        <v>0</v>
      </c>
      <c r="F273" s="716">
        <v>0</v>
      </c>
      <c r="G273" s="716">
        <v>0</v>
      </c>
      <c r="H273" s="716">
        <v>0</v>
      </c>
      <c r="I273" s="716">
        <v>0</v>
      </c>
      <c r="J273" s="715">
        <v>0</v>
      </c>
      <c r="K273" s="715">
        <v>0</v>
      </c>
      <c r="L273" s="716">
        <v>0</v>
      </c>
      <c r="M273" s="715">
        <v>0</v>
      </c>
      <c r="N273" s="715">
        <v>0</v>
      </c>
      <c r="O273" s="716">
        <v>0</v>
      </c>
      <c r="P273" s="666" t="s">
        <v>812</v>
      </c>
      <c r="Q273" s="717">
        <v>86445</v>
      </c>
      <c r="R273" s="717">
        <v>0</v>
      </c>
      <c r="S273" s="717">
        <v>463500</v>
      </c>
      <c r="T273" s="717">
        <v>0</v>
      </c>
      <c r="U273" s="717">
        <v>154070</v>
      </c>
      <c r="V273" s="717">
        <v>0</v>
      </c>
      <c r="W273" s="717">
        <v>156870</v>
      </c>
      <c r="X273" s="717">
        <v>0</v>
      </c>
      <c r="Y273" s="717">
        <v>0</v>
      </c>
      <c r="Z273" s="717">
        <v>0</v>
      </c>
      <c r="AA273" s="717">
        <v>154070</v>
      </c>
      <c r="AB273" s="717">
        <v>0</v>
      </c>
      <c r="AC273" s="717">
        <v>0</v>
      </c>
      <c r="AD273" s="717">
        <v>393075</v>
      </c>
      <c r="AE273" s="666"/>
      <c r="AF273" s="666"/>
      <c r="AG273" s="666"/>
    </row>
    <row r="274" spans="1:33" x14ac:dyDescent="0.2">
      <c r="A274" s="666" t="s">
        <v>2077</v>
      </c>
      <c r="B274" s="666" t="s">
        <v>35</v>
      </c>
      <c r="C274" s="666"/>
      <c r="D274" s="666"/>
      <c r="E274" s="715">
        <v>0</v>
      </c>
      <c r="F274" s="715">
        <v>0</v>
      </c>
      <c r="G274" s="715">
        <v>0</v>
      </c>
      <c r="H274" s="715">
        <v>0</v>
      </c>
      <c r="I274" s="715">
        <v>0</v>
      </c>
      <c r="J274" s="715">
        <v>0</v>
      </c>
      <c r="K274" s="715">
        <v>0</v>
      </c>
      <c r="L274" s="715">
        <v>0</v>
      </c>
      <c r="M274" s="715">
        <v>0</v>
      </c>
      <c r="N274" s="715">
        <v>0</v>
      </c>
      <c r="O274" s="715">
        <v>0</v>
      </c>
      <c r="P274" s="715">
        <v>0</v>
      </c>
      <c r="Q274" s="715">
        <v>0</v>
      </c>
      <c r="R274" s="716">
        <v>0</v>
      </c>
      <c r="S274" s="666" t="s">
        <v>2078</v>
      </c>
      <c r="T274" s="717">
        <v>120821</v>
      </c>
      <c r="U274" s="717">
        <v>0</v>
      </c>
      <c r="V274" s="717">
        <v>0</v>
      </c>
      <c r="W274" s="717">
        <v>0</v>
      </c>
      <c r="X274" s="717">
        <v>0</v>
      </c>
      <c r="Y274" s="717">
        <v>0</v>
      </c>
      <c r="Z274" s="717">
        <v>32358</v>
      </c>
      <c r="AA274" s="717">
        <v>0</v>
      </c>
      <c r="AB274" s="717">
        <v>0</v>
      </c>
      <c r="AC274" s="717">
        <v>0</v>
      </c>
      <c r="AD274" s="717">
        <v>0</v>
      </c>
      <c r="AE274" s="717">
        <v>0</v>
      </c>
      <c r="AF274" s="717">
        <v>0</v>
      </c>
      <c r="AG274" s="1996">
        <v>88463</v>
      </c>
    </row>
    <row r="275" spans="1:33" x14ac:dyDescent="0.2">
      <c r="A275" s="666" t="s">
        <v>2079</v>
      </c>
      <c r="B275" s="716">
        <v>0</v>
      </c>
      <c r="C275" s="716">
        <v>0</v>
      </c>
      <c r="D275" s="716">
        <v>0</v>
      </c>
      <c r="E275" s="717">
        <v>0</v>
      </c>
      <c r="F275" s="716">
        <v>0</v>
      </c>
      <c r="G275" s="716">
        <v>0</v>
      </c>
      <c r="H275" s="716">
        <v>0</v>
      </c>
      <c r="I275" s="716">
        <v>0</v>
      </c>
      <c r="J275" s="715">
        <v>0</v>
      </c>
      <c r="K275" s="715">
        <v>0</v>
      </c>
      <c r="L275" s="716">
        <v>0</v>
      </c>
      <c r="M275" s="715">
        <v>0</v>
      </c>
      <c r="N275" s="715">
        <v>0</v>
      </c>
      <c r="O275" s="716">
        <v>0</v>
      </c>
      <c r="P275" s="666" t="s">
        <v>1652</v>
      </c>
      <c r="Q275" s="717">
        <v>120821</v>
      </c>
      <c r="R275" s="717">
        <v>0</v>
      </c>
      <c r="S275" s="717">
        <v>0</v>
      </c>
      <c r="T275" s="717">
        <v>0</v>
      </c>
      <c r="U275" s="717">
        <v>0</v>
      </c>
      <c r="V275" s="717">
        <v>0</v>
      </c>
      <c r="W275" s="717">
        <v>32358</v>
      </c>
      <c r="X275" s="717">
        <v>0</v>
      </c>
      <c r="Y275" s="717">
        <v>0</v>
      </c>
      <c r="Z275" s="717">
        <v>0</v>
      </c>
      <c r="AA275" s="717">
        <v>0</v>
      </c>
      <c r="AB275" s="717">
        <v>0</v>
      </c>
      <c r="AC275" s="717">
        <v>0</v>
      </c>
      <c r="AD275" s="717">
        <v>88463</v>
      </c>
      <c r="AE275" s="666"/>
      <c r="AF275" s="666"/>
      <c r="AG275" s="666"/>
    </row>
    <row r="276" spans="1:33" x14ac:dyDescent="0.2">
      <c r="A276" s="666" t="s">
        <v>2080</v>
      </c>
      <c r="B276" s="666" t="s">
        <v>35</v>
      </c>
      <c r="C276" s="666"/>
      <c r="D276" s="666"/>
      <c r="E276" s="715">
        <v>8100</v>
      </c>
      <c r="F276" s="715">
        <v>0</v>
      </c>
      <c r="G276" s="715">
        <v>0</v>
      </c>
      <c r="H276" s="715">
        <v>0</v>
      </c>
      <c r="I276" s="715">
        <v>0</v>
      </c>
      <c r="J276" s="715">
        <v>0</v>
      </c>
      <c r="K276" s="715">
        <v>2800</v>
      </c>
      <c r="L276" s="715">
        <v>0</v>
      </c>
      <c r="M276" s="715">
        <v>0</v>
      </c>
      <c r="N276" s="715">
        <v>0</v>
      </c>
      <c r="O276" s="715">
        <v>0</v>
      </c>
      <c r="P276" s="715">
        <v>0</v>
      </c>
      <c r="Q276" s="715">
        <v>0</v>
      </c>
      <c r="R276" s="716">
        <v>5300</v>
      </c>
      <c r="S276" s="666" t="s">
        <v>1234</v>
      </c>
      <c r="T276" s="717">
        <v>206367</v>
      </c>
      <c r="U276" s="717">
        <v>0</v>
      </c>
      <c r="V276" s="717">
        <v>0</v>
      </c>
      <c r="W276" s="717">
        <v>0</v>
      </c>
      <c r="X276" s="717">
        <v>0</v>
      </c>
      <c r="Y276" s="717">
        <v>0</v>
      </c>
      <c r="Z276" s="717">
        <v>63261</v>
      </c>
      <c r="AA276" s="717">
        <v>0</v>
      </c>
      <c r="AB276" s="717">
        <v>0</v>
      </c>
      <c r="AC276" s="717">
        <v>0</v>
      </c>
      <c r="AD276" s="717">
        <v>0</v>
      </c>
      <c r="AE276" s="717">
        <v>0</v>
      </c>
      <c r="AF276" s="717">
        <v>0</v>
      </c>
      <c r="AG276" s="1996">
        <v>143106</v>
      </c>
    </row>
    <row r="277" spans="1:33" x14ac:dyDescent="0.2">
      <c r="A277" s="666" t="s">
        <v>2081</v>
      </c>
      <c r="B277" s="666" t="s">
        <v>35</v>
      </c>
      <c r="C277" s="666"/>
      <c r="D277" s="666"/>
      <c r="E277" s="715">
        <v>0</v>
      </c>
      <c r="F277" s="715">
        <v>0</v>
      </c>
      <c r="G277" s="715">
        <v>0</v>
      </c>
      <c r="H277" s="715">
        <v>0</v>
      </c>
      <c r="I277" s="715">
        <v>0</v>
      </c>
      <c r="J277" s="715">
        <v>0</v>
      </c>
      <c r="K277" s="715">
        <v>0</v>
      </c>
      <c r="L277" s="715">
        <v>0</v>
      </c>
      <c r="M277" s="715">
        <v>0</v>
      </c>
      <c r="N277" s="715">
        <v>0</v>
      </c>
      <c r="O277" s="715">
        <v>0</v>
      </c>
      <c r="P277" s="715">
        <v>0</v>
      </c>
      <c r="Q277" s="715">
        <v>0</v>
      </c>
      <c r="R277" s="716">
        <v>0</v>
      </c>
      <c r="S277" s="666" t="s">
        <v>1943</v>
      </c>
      <c r="T277" s="717">
        <v>36137</v>
      </c>
      <c r="U277" s="717">
        <v>0</v>
      </c>
      <c r="V277" s="717">
        <v>0</v>
      </c>
      <c r="W277" s="717">
        <v>0</v>
      </c>
      <c r="X277" s="717">
        <v>0</v>
      </c>
      <c r="Y277" s="717">
        <v>0</v>
      </c>
      <c r="Z277" s="717">
        <v>18988</v>
      </c>
      <c r="AA277" s="717">
        <v>0</v>
      </c>
      <c r="AB277" s="717">
        <v>0</v>
      </c>
      <c r="AC277" s="717">
        <v>0</v>
      </c>
      <c r="AD277" s="717">
        <v>0</v>
      </c>
      <c r="AE277" s="717">
        <v>0</v>
      </c>
      <c r="AF277" s="717">
        <v>0</v>
      </c>
      <c r="AG277" s="1996">
        <v>17149</v>
      </c>
    </row>
    <row r="278" spans="1:33" ht="12.75" customHeight="1" x14ac:dyDescent="0.2">
      <c r="A278" s="666" t="s">
        <v>2258</v>
      </c>
      <c r="B278" s="666" t="s">
        <v>35</v>
      </c>
      <c r="C278" s="666"/>
      <c r="D278" s="666"/>
      <c r="E278" s="715">
        <v>0</v>
      </c>
      <c r="F278" s="715">
        <v>1200</v>
      </c>
      <c r="G278" s="715">
        <v>0</v>
      </c>
      <c r="H278" s="715">
        <v>0</v>
      </c>
      <c r="I278" s="715">
        <v>0</v>
      </c>
      <c r="J278" s="715">
        <v>0</v>
      </c>
      <c r="K278" s="715">
        <v>0</v>
      </c>
      <c r="L278" s="715">
        <v>0</v>
      </c>
      <c r="M278" s="715">
        <v>0</v>
      </c>
      <c r="N278" s="715">
        <v>0</v>
      </c>
      <c r="O278" s="715">
        <v>0</v>
      </c>
      <c r="P278" s="715">
        <v>0</v>
      </c>
      <c r="Q278" s="715">
        <v>0</v>
      </c>
      <c r="R278" s="716">
        <v>1200</v>
      </c>
      <c r="S278" s="666" t="s">
        <v>2259</v>
      </c>
      <c r="T278" s="717">
        <v>0</v>
      </c>
      <c r="U278" s="717">
        <v>29960</v>
      </c>
      <c r="V278" s="717">
        <v>0</v>
      </c>
      <c r="W278" s="717">
        <v>0</v>
      </c>
      <c r="X278" s="717">
        <v>0</v>
      </c>
      <c r="Y278" s="717">
        <v>0</v>
      </c>
      <c r="Z278" s="717">
        <v>0</v>
      </c>
      <c r="AA278" s="717">
        <v>0</v>
      </c>
      <c r="AB278" s="717">
        <v>0</v>
      </c>
      <c r="AC278" s="717">
        <v>0</v>
      </c>
      <c r="AD278" s="717">
        <v>0</v>
      </c>
      <c r="AE278" s="717">
        <v>0</v>
      </c>
      <c r="AF278" s="717">
        <v>0</v>
      </c>
      <c r="AG278" s="1996">
        <v>29960</v>
      </c>
    </row>
    <row r="279" spans="1:33" ht="12.75" customHeight="1" x14ac:dyDescent="0.2">
      <c r="A279" s="666" t="s">
        <v>2082</v>
      </c>
      <c r="B279" s="716">
        <v>8100</v>
      </c>
      <c r="C279" s="716">
        <v>1200</v>
      </c>
      <c r="D279" s="716">
        <v>0</v>
      </c>
      <c r="E279" s="717">
        <v>0</v>
      </c>
      <c r="F279" s="716">
        <v>0</v>
      </c>
      <c r="G279" s="716">
        <v>0</v>
      </c>
      <c r="H279" s="716">
        <v>2800</v>
      </c>
      <c r="I279" s="716">
        <v>0</v>
      </c>
      <c r="J279" s="715">
        <v>0</v>
      </c>
      <c r="K279" s="715">
        <v>0</v>
      </c>
      <c r="L279" s="716">
        <v>0</v>
      </c>
      <c r="M279" s="715">
        <v>0</v>
      </c>
      <c r="N279" s="715">
        <v>0</v>
      </c>
      <c r="O279" s="716">
        <v>6500</v>
      </c>
      <c r="P279" s="666" t="s">
        <v>1244</v>
      </c>
      <c r="Q279" s="717">
        <v>242504</v>
      </c>
      <c r="R279" s="717">
        <v>29960</v>
      </c>
      <c r="S279" s="717">
        <v>0</v>
      </c>
      <c r="T279" s="717">
        <v>0</v>
      </c>
      <c r="U279" s="717">
        <v>0</v>
      </c>
      <c r="V279" s="717">
        <v>0</v>
      </c>
      <c r="W279" s="717">
        <v>82249</v>
      </c>
      <c r="X279" s="717">
        <v>0</v>
      </c>
      <c r="Y279" s="717">
        <v>0</v>
      </c>
      <c r="Z279" s="717">
        <v>0</v>
      </c>
      <c r="AA279" s="717">
        <v>0</v>
      </c>
      <c r="AB279" s="717">
        <v>0</v>
      </c>
      <c r="AC279" s="717">
        <v>0</v>
      </c>
      <c r="AD279" s="717">
        <v>190215</v>
      </c>
      <c r="AE279" s="666"/>
      <c r="AF279" s="666"/>
      <c r="AG279" s="666"/>
    </row>
    <row r="280" spans="1:33" ht="12.75" customHeight="1" x14ac:dyDescent="0.2">
      <c r="A280" s="666" t="s">
        <v>2083</v>
      </c>
      <c r="B280" s="666" t="s">
        <v>35</v>
      </c>
      <c r="C280" s="666"/>
      <c r="D280" s="666"/>
      <c r="E280" s="715">
        <v>59</v>
      </c>
      <c r="F280" s="715">
        <v>0</v>
      </c>
      <c r="G280" s="715">
        <v>0</v>
      </c>
      <c r="H280" s="715">
        <v>0</v>
      </c>
      <c r="I280" s="715">
        <v>0</v>
      </c>
      <c r="J280" s="715">
        <v>0</v>
      </c>
      <c r="K280" s="715">
        <v>0</v>
      </c>
      <c r="L280" s="715">
        <v>0</v>
      </c>
      <c r="M280" s="715">
        <v>0</v>
      </c>
      <c r="N280" s="715">
        <v>0</v>
      </c>
      <c r="O280" s="715">
        <v>59</v>
      </c>
      <c r="P280" s="715">
        <v>0</v>
      </c>
      <c r="Q280" s="715">
        <v>0</v>
      </c>
      <c r="R280" s="716">
        <v>0</v>
      </c>
      <c r="S280" s="666" t="s">
        <v>2084</v>
      </c>
      <c r="T280" s="717">
        <v>74733</v>
      </c>
      <c r="U280" s="717">
        <v>0</v>
      </c>
      <c r="V280" s="717">
        <v>0</v>
      </c>
      <c r="W280" s="717">
        <v>0</v>
      </c>
      <c r="X280" s="717">
        <v>0</v>
      </c>
      <c r="Y280" s="717">
        <v>0</v>
      </c>
      <c r="Z280" s="717">
        <v>0</v>
      </c>
      <c r="AA280" s="717">
        <v>0</v>
      </c>
      <c r="AB280" s="717">
        <v>0</v>
      </c>
      <c r="AC280" s="717">
        <v>0</v>
      </c>
      <c r="AD280" s="717">
        <v>74733</v>
      </c>
      <c r="AE280" s="717">
        <v>0</v>
      </c>
      <c r="AF280" s="717">
        <v>0</v>
      </c>
      <c r="AG280" s="1996">
        <v>0</v>
      </c>
    </row>
    <row r="281" spans="1:33" x14ac:dyDescent="0.2">
      <c r="A281" s="666" t="s">
        <v>2260</v>
      </c>
      <c r="B281" s="666" t="s">
        <v>35</v>
      </c>
      <c r="C281" s="666"/>
      <c r="D281" s="666"/>
      <c r="E281" s="715">
        <v>0</v>
      </c>
      <c r="F281" s="715">
        <v>0</v>
      </c>
      <c r="G281" s="715">
        <v>0</v>
      </c>
      <c r="H281" s="715">
        <v>0</v>
      </c>
      <c r="I281" s="715">
        <v>19</v>
      </c>
      <c r="J281" s="715">
        <v>0</v>
      </c>
      <c r="K281" s="715">
        <v>6</v>
      </c>
      <c r="L281" s="715">
        <v>0</v>
      </c>
      <c r="M281" s="715">
        <v>0</v>
      </c>
      <c r="N281" s="715">
        <v>0</v>
      </c>
      <c r="O281" s="715">
        <v>0</v>
      </c>
      <c r="P281" s="715">
        <v>0</v>
      </c>
      <c r="Q281" s="715">
        <v>0</v>
      </c>
      <c r="R281" s="716">
        <v>13</v>
      </c>
      <c r="S281" s="666" t="s">
        <v>1901</v>
      </c>
      <c r="T281" s="717">
        <v>0</v>
      </c>
      <c r="U281" s="717">
        <v>0</v>
      </c>
      <c r="V281" s="717">
        <v>0</v>
      </c>
      <c r="W281" s="717">
        <v>0</v>
      </c>
      <c r="X281" s="717">
        <v>25333</v>
      </c>
      <c r="Y281" s="717">
        <v>0</v>
      </c>
      <c r="Z281" s="717">
        <v>0</v>
      </c>
      <c r="AA281" s="717">
        <v>0</v>
      </c>
      <c r="AB281" s="717">
        <v>0</v>
      </c>
      <c r="AC281" s="717">
        <v>0</v>
      </c>
      <c r="AD281" s="717">
        <v>0</v>
      </c>
      <c r="AE281" s="717">
        <v>0</v>
      </c>
      <c r="AF281" s="717">
        <v>0</v>
      </c>
      <c r="AG281" s="1996">
        <v>25333</v>
      </c>
    </row>
    <row r="282" spans="1:33" x14ac:dyDescent="0.2">
      <c r="A282" s="666" t="s">
        <v>2085</v>
      </c>
      <c r="B282" s="666" t="s">
        <v>35</v>
      </c>
      <c r="C282" s="666"/>
      <c r="D282" s="666"/>
      <c r="E282" s="715">
        <v>15</v>
      </c>
      <c r="F282" s="715">
        <v>0</v>
      </c>
      <c r="G282" s="715">
        <v>0</v>
      </c>
      <c r="H282" s="715">
        <v>0</v>
      </c>
      <c r="I282" s="715">
        <v>40</v>
      </c>
      <c r="J282" s="715">
        <v>0</v>
      </c>
      <c r="K282" s="715">
        <v>15</v>
      </c>
      <c r="L282" s="715">
        <v>0</v>
      </c>
      <c r="M282" s="715">
        <v>0</v>
      </c>
      <c r="N282" s="715">
        <v>0</v>
      </c>
      <c r="O282" s="715">
        <v>0</v>
      </c>
      <c r="P282" s="715">
        <v>0</v>
      </c>
      <c r="Q282" s="715">
        <v>0</v>
      </c>
      <c r="R282" s="716">
        <v>40</v>
      </c>
      <c r="S282" s="666" t="s">
        <v>1653</v>
      </c>
      <c r="T282" s="717">
        <v>41386</v>
      </c>
      <c r="U282" s="717">
        <v>0</v>
      </c>
      <c r="V282" s="717">
        <v>0</v>
      </c>
      <c r="W282" s="717">
        <v>0</v>
      </c>
      <c r="X282" s="717">
        <v>49400</v>
      </c>
      <c r="Y282" s="717">
        <v>0</v>
      </c>
      <c r="Z282" s="717">
        <v>25698</v>
      </c>
      <c r="AA282" s="717">
        <v>0</v>
      </c>
      <c r="AB282" s="717">
        <v>0</v>
      </c>
      <c r="AC282" s="717">
        <v>0</v>
      </c>
      <c r="AD282" s="717">
        <v>0</v>
      </c>
      <c r="AE282" s="717">
        <v>0</v>
      </c>
      <c r="AF282" s="717">
        <v>0</v>
      </c>
      <c r="AG282" s="1996">
        <v>65088</v>
      </c>
    </row>
    <row r="283" spans="1:33" x14ac:dyDescent="0.2">
      <c r="A283" s="666" t="s">
        <v>2086</v>
      </c>
      <c r="B283" s="716">
        <v>74</v>
      </c>
      <c r="C283" s="716">
        <v>0</v>
      </c>
      <c r="D283" s="716">
        <v>0</v>
      </c>
      <c r="E283" s="717">
        <v>0</v>
      </c>
      <c r="F283" s="716">
        <v>59</v>
      </c>
      <c r="G283" s="716">
        <v>0</v>
      </c>
      <c r="H283" s="716">
        <v>21</v>
      </c>
      <c r="I283" s="716">
        <v>0</v>
      </c>
      <c r="J283" s="715">
        <v>0</v>
      </c>
      <c r="K283" s="715">
        <v>0</v>
      </c>
      <c r="L283" s="716">
        <v>59</v>
      </c>
      <c r="M283" s="715">
        <v>0</v>
      </c>
      <c r="N283" s="715">
        <v>0</v>
      </c>
      <c r="O283" s="716">
        <v>53</v>
      </c>
      <c r="P283" s="666" t="s">
        <v>820</v>
      </c>
      <c r="Q283" s="717">
        <v>116119</v>
      </c>
      <c r="R283" s="717">
        <v>0</v>
      </c>
      <c r="S283" s="717">
        <v>0</v>
      </c>
      <c r="T283" s="717">
        <v>0</v>
      </c>
      <c r="U283" s="717">
        <v>74733</v>
      </c>
      <c r="V283" s="717">
        <v>0</v>
      </c>
      <c r="W283" s="717">
        <v>25698</v>
      </c>
      <c r="X283" s="717">
        <v>0</v>
      </c>
      <c r="Y283" s="717">
        <v>0</v>
      </c>
      <c r="Z283" s="717">
        <v>0</v>
      </c>
      <c r="AA283" s="717">
        <v>74733</v>
      </c>
      <c r="AB283" s="717">
        <v>0</v>
      </c>
      <c r="AC283" s="717">
        <v>0</v>
      </c>
      <c r="AD283" s="717">
        <v>90421</v>
      </c>
      <c r="AE283" s="666"/>
      <c r="AF283" s="666"/>
      <c r="AG283" s="666"/>
    </row>
    <row r="284" spans="1:33" x14ac:dyDescent="0.2">
      <c r="A284" s="666" t="s">
        <v>2087</v>
      </c>
      <c r="B284" s="666" t="s">
        <v>35</v>
      </c>
      <c r="C284" s="666"/>
      <c r="D284" s="666"/>
      <c r="E284" s="715">
        <v>6115</v>
      </c>
      <c r="F284" s="715">
        <v>0</v>
      </c>
      <c r="G284" s="715">
        <v>0</v>
      </c>
      <c r="H284" s="715">
        <v>0</v>
      </c>
      <c r="I284" s="715">
        <v>0</v>
      </c>
      <c r="J284" s="715">
        <v>0</v>
      </c>
      <c r="K284" s="715">
        <v>0</v>
      </c>
      <c r="L284" s="715">
        <v>0</v>
      </c>
      <c r="M284" s="715">
        <v>0</v>
      </c>
      <c r="N284" s="715">
        <v>0</v>
      </c>
      <c r="O284" s="715">
        <v>0</v>
      </c>
      <c r="P284" s="715">
        <v>0</v>
      </c>
      <c r="Q284" s="715">
        <v>0</v>
      </c>
      <c r="R284" s="716">
        <v>6115</v>
      </c>
      <c r="S284" s="666" t="s">
        <v>1880</v>
      </c>
      <c r="T284" s="717">
        <v>163794</v>
      </c>
      <c r="U284" s="717">
        <v>0</v>
      </c>
      <c r="V284" s="717">
        <v>0</v>
      </c>
      <c r="W284" s="717">
        <v>0</v>
      </c>
      <c r="X284" s="717">
        <v>0</v>
      </c>
      <c r="Y284" s="717">
        <v>0</v>
      </c>
      <c r="Z284" s="717">
        <v>10919</v>
      </c>
      <c r="AA284" s="717">
        <v>0</v>
      </c>
      <c r="AB284" s="717">
        <v>0</v>
      </c>
      <c r="AC284" s="717">
        <v>0</v>
      </c>
      <c r="AD284" s="717">
        <v>0</v>
      </c>
      <c r="AE284" s="717">
        <v>0</v>
      </c>
      <c r="AF284" s="717">
        <v>0</v>
      </c>
      <c r="AG284" s="1996">
        <v>152875</v>
      </c>
    </row>
    <row r="285" spans="1:33" x14ac:dyDescent="0.2">
      <c r="A285" s="666" t="s">
        <v>2088</v>
      </c>
      <c r="B285" s="666" t="s">
        <v>35</v>
      </c>
      <c r="C285" s="666"/>
      <c r="D285" s="666"/>
      <c r="E285" s="715">
        <v>3840</v>
      </c>
      <c r="F285" s="715">
        <v>0</v>
      </c>
      <c r="G285" s="715">
        <v>0</v>
      </c>
      <c r="H285" s="715">
        <v>0</v>
      </c>
      <c r="I285" s="715">
        <v>0</v>
      </c>
      <c r="J285" s="715">
        <v>0</v>
      </c>
      <c r="K285" s="715">
        <v>300</v>
      </c>
      <c r="L285" s="715">
        <v>0</v>
      </c>
      <c r="M285" s="715">
        <v>0</v>
      </c>
      <c r="N285" s="715">
        <v>0</v>
      </c>
      <c r="O285" s="715">
        <v>0</v>
      </c>
      <c r="P285" s="715">
        <v>0</v>
      </c>
      <c r="Q285" s="715">
        <v>0</v>
      </c>
      <c r="R285" s="716">
        <v>3540</v>
      </c>
      <c r="S285" s="666" t="s">
        <v>1697</v>
      </c>
      <c r="T285" s="717">
        <v>96000</v>
      </c>
      <c r="U285" s="717">
        <v>0</v>
      </c>
      <c r="V285" s="717">
        <v>0</v>
      </c>
      <c r="W285" s="717">
        <v>0</v>
      </c>
      <c r="X285" s="717">
        <v>0</v>
      </c>
      <c r="Y285" s="717">
        <v>0</v>
      </c>
      <c r="Z285" s="717">
        <v>0</v>
      </c>
      <c r="AA285" s="717">
        <v>0</v>
      </c>
      <c r="AB285" s="717">
        <v>0</v>
      </c>
      <c r="AC285" s="717">
        <v>0</v>
      </c>
      <c r="AD285" s="717">
        <v>0</v>
      </c>
      <c r="AE285" s="717">
        <v>0</v>
      </c>
      <c r="AF285" s="717">
        <v>0</v>
      </c>
      <c r="AG285" s="1996">
        <v>96000</v>
      </c>
    </row>
    <row r="286" spans="1:33" ht="12.75" customHeight="1" x14ac:dyDescent="0.2">
      <c r="A286" s="666" t="s">
        <v>2089</v>
      </c>
      <c r="B286" s="666" t="s">
        <v>35</v>
      </c>
      <c r="C286" s="666"/>
      <c r="D286" s="666"/>
      <c r="E286" s="715">
        <v>3240</v>
      </c>
      <c r="F286" s="715">
        <v>0</v>
      </c>
      <c r="G286" s="715">
        <v>0</v>
      </c>
      <c r="H286" s="715">
        <v>0</v>
      </c>
      <c r="I286" s="715">
        <v>0</v>
      </c>
      <c r="J286" s="715">
        <v>0</v>
      </c>
      <c r="K286" s="715">
        <v>3240</v>
      </c>
      <c r="L286" s="715">
        <v>0</v>
      </c>
      <c r="M286" s="715">
        <v>0</v>
      </c>
      <c r="N286" s="715">
        <v>0</v>
      </c>
      <c r="O286" s="715">
        <v>0</v>
      </c>
      <c r="P286" s="715">
        <v>0</v>
      </c>
      <c r="Q286" s="715">
        <v>0</v>
      </c>
      <c r="R286" s="716">
        <v>0</v>
      </c>
      <c r="S286" s="666" t="s">
        <v>1780</v>
      </c>
      <c r="T286" s="717">
        <v>89905</v>
      </c>
      <c r="U286" s="717">
        <v>0</v>
      </c>
      <c r="V286" s="717">
        <v>0</v>
      </c>
      <c r="W286" s="717">
        <v>0</v>
      </c>
      <c r="X286" s="717">
        <v>0</v>
      </c>
      <c r="Y286" s="717">
        <v>0</v>
      </c>
      <c r="Z286" s="717">
        <v>87058</v>
      </c>
      <c r="AA286" s="717">
        <v>0</v>
      </c>
      <c r="AB286" s="717">
        <v>0</v>
      </c>
      <c r="AC286" s="717">
        <v>0</v>
      </c>
      <c r="AD286" s="717">
        <v>0</v>
      </c>
      <c r="AE286" s="717">
        <v>0</v>
      </c>
      <c r="AF286" s="717">
        <v>0</v>
      </c>
      <c r="AG286" s="1996">
        <v>2847</v>
      </c>
    </row>
    <row r="287" spans="1:33" ht="12.75" customHeight="1" x14ac:dyDescent="0.2">
      <c r="A287" s="666" t="s">
        <v>2090</v>
      </c>
      <c r="B287" s="666" t="s">
        <v>35</v>
      </c>
      <c r="C287" s="666"/>
      <c r="D287" s="666"/>
      <c r="E287" s="715">
        <v>4100</v>
      </c>
      <c r="F287" s="715">
        <v>2400</v>
      </c>
      <c r="G287" s="715">
        <v>0</v>
      </c>
      <c r="H287" s="715">
        <v>0</v>
      </c>
      <c r="I287" s="715">
        <v>0</v>
      </c>
      <c r="J287" s="715">
        <v>0</v>
      </c>
      <c r="K287" s="715">
        <v>2600</v>
      </c>
      <c r="L287" s="715">
        <v>0</v>
      </c>
      <c r="M287" s="715">
        <v>0</v>
      </c>
      <c r="N287" s="715">
        <v>0</v>
      </c>
      <c r="O287" s="715">
        <v>0</v>
      </c>
      <c r="P287" s="715">
        <v>0</v>
      </c>
      <c r="Q287" s="715">
        <v>0</v>
      </c>
      <c r="R287" s="716">
        <v>3900</v>
      </c>
      <c r="S287" s="666" t="s">
        <v>39</v>
      </c>
      <c r="T287" s="717">
        <v>141933</v>
      </c>
      <c r="U287" s="717">
        <v>60000</v>
      </c>
      <c r="V287" s="717">
        <v>0</v>
      </c>
      <c r="W287" s="717">
        <v>0</v>
      </c>
      <c r="X287" s="717">
        <v>0</v>
      </c>
      <c r="Y287" s="717">
        <v>0</v>
      </c>
      <c r="Z287" s="717">
        <v>52382</v>
      </c>
      <c r="AA287" s="717">
        <v>0</v>
      </c>
      <c r="AB287" s="717">
        <v>0</v>
      </c>
      <c r="AC287" s="717">
        <v>0</v>
      </c>
      <c r="AD287" s="717">
        <v>0</v>
      </c>
      <c r="AE287" s="717">
        <v>0</v>
      </c>
      <c r="AF287" s="717">
        <v>0</v>
      </c>
      <c r="AG287" s="1996">
        <v>149551</v>
      </c>
    </row>
    <row r="288" spans="1:33" ht="12.75" customHeight="1" x14ac:dyDescent="0.2">
      <c r="A288" s="666" t="s">
        <v>2091</v>
      </c>
      <c r="B288" s="716">
        <v>17295</v>
      </c>
      <c r="C288" s="716">
        <v>2400</v>
      </c>
      <c r="D288" s="716">
        <v>0</v>
      </c>
      <c r="E288" s="717">
        <v>0</v>
      </c>
      <c r="F288" s="716">
        <v>0</v>
      </c>
      <c r="G288" s="716">
        <v>0</v>
      </c>
      <c r="H288" s="716">
        <v>6140</v>
      </c>
      <c r="I288" s="716">
        <v>0</v>
      </c>
      <c r="J288" s="715">
        <v>0</v>
      </c>
      <c r="K288" s="715">
        <v>0</v>
      </c>
      <c r="L288" s="716">
        <v>0</v>
      </c>
      <c r="M288" s="715">
        <v>0</v>
      </c>
      <c r="N288" s="715">
        <v>0</v>
      </c>
      <c r="O288" s="716">
        <v>13555</v>
      </c>
      <c r="P288" s="666" t="s">
        <v>826</v>
      </c>
      <c r="Q288" s="717">
        <v>491632</v>
      </c>
      <c r="R288" s="717">
        <v>60000</v>
      </c>
      <c r="S288" s="717">
        <v>0</v>
      </c>
      <c r="T288" s="717">
        <v>0</v>
      </c>
      <c r="U288" s="717">
        <v>0</v>
      </c>
      <c r="V288" s="717">
        <v>0</v>
      </c>
      <c r="W288" s="717">
        <v>150359</v>
      </c>
      <c r="X288" s="717">
        <v>0</v>
      </c>
      <c r="Y288" s="717">
        <v>0</v>
      </c>
      <c r="Z288" s="717">
        <v>0</v>
      </c>
      <c r="AA288" s="717">
        <v>0</v>
      </c>
      <c r="AB288" s="717">
        <v>0</v>
      </c>
      <c r="AC288" s="717">
        <v>0</v>
      </c>
      <c r="AD288" s="717">
        <v>401273</v>
      </c>
      <c r="AE288" s="666"/>
      <c r="AF288" s="666"/>
      <c r="AG288" s="666"/>
    </row>
    <row r="289" spans="1:35" x14ac:dyDescent="0.2">
      <c r="A289" s="666" t="s">
        <v>2092</v>
      </c>
      <c r="B289" s="666" t="s">
        <v>35</v>
      </c>
      <c r="C289" s="666"/>
      <c r="D289" s="666"/>
      <c r="E289" s="715">
        <v>40</v>
      </c>
      <c r="F289" s="715">
        <v>39</v>
      </c>
      <c r="G289" s="715">
        <v>0</v>
      </c>
      <c r="H289" s="715">
        <v>0</v>
      </c>
      <c r="I289" s="715">
        <v>0</v>
      </c>
      <c r="J289" s="715">
        <v>0</v>
      </c>
      <c r="K289" s="715">
        <v>0</v>
      </c>
      <c r="L289" s="715">
        <v>0</v>
      </c>
      <c r="M289" s="715">
        <v>0</v>
      </c>
      <c r="N289" s="715">
        <v>0</v>
      </c>
      <c r="O289" s="715">
        <v>59</v>
      </c>
      <c r="P289" s="715">
        <v>0</v>
      </c>
      <c r="Q289" s="715">
        <v>0</v>
      </c>
      <c r="R289" s="716">
        <v>20</v>
      </c>
      <c r="S289" s="666" t="s">
        <v>2093</v>
      </c>
      <c r="T289" s="717">
        <v>58710</v>
      </c>
      <c r="U289" s="717">
        <v>66733</v>
      </c>
      <c r="V289" s="717">
        <v>0</v>
      </c>
      <c r="W289" s="717">
        <v>0</v>
      </c>
      <c r="X289" s="717">
        <v>0</v>
      </c>
      <c r="Y289" s="717">
        <v>0</v>
      </c>
      <c r="Z289" s="717">
        <v>0</v>
      </c>
      <c r="AA289" s="717">
        <v>0</v>
      </c>
      <c r="AB289" s="717">
        <v>0</v>
      </c>
      <c r="AC289" s="717">
        <v>0</v>
      </c>
      <c r="AD289" s="717">
        <v>91643</v>
      </c>
      <c r="AE289" s="717">
        <v>0</v>
      </c>
      <c r="AF289" s="717">
        <v>0</v>
      </c>
      <c r="AG289" s="1996">
        <v>33800</v>
      </c>
    </row>
    <row r="290" spans="1:35" x14ac:dyDescent="0.2">
      <c r="A290" s="666" t="s">
        <v>2261</v>
      </c>
      <c r="B290" s="666" t="s">
        <v>35</v>
      </c>
      <c r="C290" s="666"/>
      <c r="D290" s="666"/>
      <c r="E290" s="715">
        <v>0</v>
      </c>
      <c r="F290" s="715">
        <v>0</v>
      </c>
      <c r="G290" s="715">
        <v>0</v>
      </c>
      <c r="H290" s="715">
        <v>0</v>
      </c>
      <c r="I290" s="715">
        <v>19</v>
      </c>
      <c r="J290" s="715">
        <v>0</v>
      </c>
      <c r="K290" s="715">
        <v>0</v>
      </c>
      <c r="L290" s="715">
        <v>0</v>
      </c>
      <c r="M290" s="715">
        <v>0</v>
      </c>
      <c r="N290" s="715">
        <v>0</v>
      </c>
      <c r="O290" s="715">
        <v>0</v>
      </c>
      <c r="P290" s="715">
        <v>0</v>
      </c>
      <c r="Q290" s="715">
        <v>0</v>
      </c>
      <c r="R290" s="716">
        <v>19</v>
      </c>
      <c r="S290" s="666" t="s">
        <v>1702</v>
      </c>
      <c r="T290" s="717">
        <v>0</v>
      </c>
      <c r="U290" s="717">
        <v>0</v>
      </c>
      <c r="V290" s="717">
        <v>0</v>
      </c>
      <c r="W290" s="717">
        <v>0</v>
      </c>
      <c r="X290" s="717">
        <v>32933</v>
      </c>
      <c r="Y290" s="717">
        <v>0</v>
      </c>
      <c r="Z290" s="717">
        <v>0</v>
      </c>
      <c r="AA290" s="717">
        <v>0</v>
      </c>
      <c r="AB290" s="717">
        <v>0</v>
      </c>
      <c r="AC290" s="717">
        <v>0</v>
      </c>
      <c r="AD290" s="717">
        <v>0</v>
      </c>
      <c r="AE290" s="717">
        <v>0</v>
      </c>
      <c r="AF290" s="717">
        <v>0</v>
      </c>
      <c r="AG290" s="1996">
        <v>32933</v>
      </c>
    </row>
    <row r="291" spans="1:35" x14ac:dyDescent="0.2">
      <c r="A291" s="666" t="s">
        <v>2094</v>
      </c>
      <c r="B291" s="666" t="s">
        <v>35</v>
      </c>
      <c r="C291" s="666"/>
      <c r="D291" s="666"/>
      <c r="E291" s="715">
        <v>60</v>
      </c>
      <c r="F291" s="715">
        <v>0</v>
      </c>
      <c r="G291" s="715">
        <v>0</v>
      </c>
      <c r="H291" s="715">
        <v>0</v>
      </c>
      <c r="I291" s="715">
        <v>40</v>
      </c>
      <c r="J291" s="715">
        <v>0</v>
      </c>
      <c r="K291" s="715">
        <v>60</v>
      </c>
      <c r="L291" s="715">
        <v>0</v>
      </c>
      <c r="M291" s="715">
        <v>0</v>
      </c>
      <c r="N291" s="715">
        <v>0</v>
      </c>
      <c r="O291" s="715">
        <v>0</v>
      </c>
      <c r="P291" s="715">
        <v>0</v>
      </c>
      <c r="Q291" s="715">
        <v>0</v>
      </c>
      <c r="R291" s="716">
        <v>40</v>
      </c>
      <c r="S291" s="666" t="s">
        <v>1589</v>
      </c>
      <c r="T291" s="717">
        <v>91631</v>
      </c>
      <c r="U291" s="717">
        <v>0</v>
      </c>
      <c r="V291" s="717">
        <v>0</v>
      </c>
      <c r="W291" s="717">
        <v>0</v>
      </c>
      <c r="X291" s="717">
        <v>58710</v>
      </c>
      <c r="Y291" s="717">
        <v>0</v>
      </c>
      <c r="Z291" s="717">
        <v>95607</v>
      </c>
      <c r="AA291" s="717">
        <v>0</v>
      </c>
      <c r="AB291" s="717">
        <v>0</v>
      </c>
      <c r="AC291" s="717">
        <v>0</v>
      </c>
      <c r="AD291" s="717">
        <v>0</v>
      </c>
      <c r="AE291" s="717">
        <v>0</v>
      </c>
      <c r="AF291" s="717">
        <v>0</v>
      </c>
      <c r="AG291" s="1996">
        <v>54734</v>
      </c>
      <c r="AI291" s="544"/>
    </row>
    <row r="292" spans="1:35" x14ac:dyDescent="0.2">
      <c r="A292" s="666" t="s">
        <v>2095</v>
      </c>
      <c r="B292" s="716">
        <v>100</v>
      </c>
      <c r="C292" s="716">
        <v>39</v>
      </c>
      <c r="D292" s="716">
        <v>0</v>
      </c>
      <c r="E292" s="717">
        <v>0</v>
      </c>
      <c r="F292" s="716">
        <v>59</v>
      </c>
      <c r="G292" s="716">
        <v>0</v>
      </c>
      <c r="H292" s="716">
        <v>60</v>
      </c>
      <c r="I292" s="716">
        <v>0</v>
      </c>
      <c r="J292" s="715">
        <v>0</v>
      </c>
      <c r="K292" s="715">
        <v>0</v>
      </c>
      <c r="L292" s="716">
        <v>59</v>
      </c>
      <c r="M292" s="715">
        <v>0</v>
      </c>
      <c r="N292" s="715">
        <v>0</v>
      </c>
      <c r="O292" s="716">
        <v>79</v>
      </c>
      <c r="P292" s="666" t="s">
        <v>1202</v>
      </c>
      <c r="Q292" s="717">
        <v>150341</v>
      </c>
      <c r="R292" s="717">
        <v>66733</v>
      </c>
      <c r="S292" s="717">
        <v>0</v>
      </c>
      <c r="T292" s="717">
        <v>0</v>
      </c>
      <c r="U292" s="717">
        <v>91643</v>
      </c>
      <c r="V292" s="717">
        <v>0</v>
      </c>
      <c r="W292" s="717">
        <v>95607</v>
      </c>
      <c r="X292" s="717">
        <v>0</v>
      </c>
      <c r="Y292" s="717">
        <v>0</v>
      </c>
      <c r="Z292" s="717">
        <v>0</v>
      </c>
      <c r="AA292" s="717">
        <v>91643</v>
      </c>
      <c r="AB292" s="717">
        <v>0</v>
      </c>
      <c r="AC292" s="717">
        <v>0</v>
      </c>
      <c r="AD292" s="717">
        <v>121467</v>
      </c>
      <c r="AE292" s="666"/>
      <c r="AF292" s="666"/>
      <c r="AG292" s="666"/>
    </row>
    <row r="293" spans="1:35" ht="12.75" customHeight="1" x14ac:dyDescent="0.2">
      <c r="A293" s="715">
        <v>27485</v>
      </c>
      <c r="B293" s="715">
        <v>5839</v>
      </c>
      <c r="C293" s="715">
        <v>12</v>
      </c>
      <c r="D293" s="715">
        <v>0</v>
      </c>
      <c r="E293" s="715">
        <v>118</v>
      </c>
      <c r="F293" s="715">
        <v>0</v>
      </c>
      <c r="G293" s="715">
        <v>11180</v>
      </c>
      <c r="H293" s="715">
        <v>0</v>
      </c>
      <c r="I293" s="715">
        <v>0</v>
      </c>
      <c r="J293" s="715">
        <v>0</v>
      </c>
      <c r="K293" s="715">
        <v>118</v>
      </c>
      <c r="L293" s="715">
        <v>0</v>
      </c>
      <c r="M293" s="715">
        <v>0</v>
      </c>
      <c r="N293" s="716">
        <v>22156</v>
      </c>
      <c r="O293" s="666" t="s">
        <v>2007</v>
      </c>
      <c r="P293" s="717">
        <v>29242088</v>
      </c>
      <c r="Q293" s="717">
        <v>3361464</v>
      </c>
      <c r="R293" s="717">
        <v>11842150</v>
      </c>
      <c r="S293" s="717">
        <v>0</v>
      </c>
      <c r="T293" s="717">
        <v>983513</v>
      </c>
      <c r="U293" s="717">
        <v>0</v>
      </c>
      <c r="V293" s="717">
        <v>12369180</v>
      </c>
      <c r="W293" s="717">
        <v>0</v>
      </c>
      <c r="X293" s="717">
        <v>0</v>
      </c>
      <c r="Y293" s="717">
        <v>0</v>
      </c>
      <c r="Z293" s="717">
        <v>983513</v>
      </c>
      <c r="AA293" s="717">
        <v>0</v>
      </c>
      <c r="AB293" s="717">
        <v>0</v>
      </c>
      <c r="AC293" s="717">
        <v>32076522</v>
      </c>
      <c r="AD293" s="666"/>
      <c r="AE293" s="666"/>
      <c r="AF293" s="666"/>
      <c r="AG293" s="666"/>
    </row>
    <row r="294" spans="1:35" x14ac:dyDescent="0.2">
      <c r="A294" s="666"/>
      <c r="B294" s="666"/>
      <c r="C294" s="666"/>
      <c r="D294" s="666"/>
      <c r="E294" s="666"/>
      <c r="F294" s="666"/>
      <c r="G294" s="666"/>
      <c r="H294" s="666"/>
      <c r="I294" s="666"/>
      <c r="J294" s="666"/>
      <c r="K294" s="666"/>
      <c r="L294" s="666"/>
      <c r="M294" s="666"/>
      <c r="N294" s="666"/>
      <c r="O294" s="666"/>
      <c r="P294" s="666"/>
      <c r="Q294" s="666"/>
      <c r="R294" s="666"/>
      <c r="S294" s="666"/>
      <c r="T294" s="666"/>
      <c r="U294" s="666"/>
      <c r="V294" s="666"/>
      <c r="W294" s="666"/>
      <c r="X294" s="666"/>
      <c r="Y294" s="666"/>
      <c r="Z294" s="666"/>
      <c r="AA294" s="666"/>
      <c r="AB294" s="666"/>
      <c r="AC294" s="666"/>
      <c r="AD294" s="666"/>
      <c r="AE294" s="666"/>
      <c r="AF294" s="666"/>
      <c r="AG294" s="666"/>
    </row>
    <row r="295" spans="1:35" x14ac:dyDescent="0.2">
      <c r="A295" s="666"/>
      <c r="B295" s="666"/>
      <c r="C295" s="666"/>
      <c r="D295" s="666"/>
      <c r="E295" s="666"/>
      <c r="F295" s="666"/>
      <c r="G295" s="666"/>
      <c r="H295" s="666"/>
      <c r="I295" s="666"/>
      <c r="J295" s="666"/>
      <c r="K295" s="666"/>
      <c r="L295" s="666"/>
      <c r="M295" s="666"/>
      <c r="N295" s="666"/>
      <c r="O295" s="666"/>
      <c r="P295" s="666"/>
      <c r="Q295" s="666"/>
      <c r="R295" s="666"/>
      <c r="S295" s="666"/>
      <c r="T295" s="666"/>
      <c r="U295" s="666"/>
      <c r="V295" s="666"/>
      <c r="W295" s="666"/>
      <c r="X295" s="666"/>
      <c r="Y295" s="666"/>
      <c r="Z295" s="666"/>
      <c r="AA295" s="666"/>
      <c r="AB295" s="666"/>
      <c r="AC295" s="666"/>
      <c r="AD295" s="666"/>
      <c r="AE295" s="666"/>
      <c r="AF295" s="666"/>
      <c r="AG295" s="666"/>
    </row>
    <row r="296" spans="1:35" x14ac:dyDescent="0.2">
      <c r="A296" s="666"/>
      <c r="B296" s="666"/>
      <c r="C296" s="666"/>
      <c r="D296" s="666"/>
      <c r="E296" s="666"/>
      <c r="F296" s="666"/>
      <c r="G296" s="666"/>
      <c r="H296" s="666"/>
      <c r="I296" s="666"/>
      <c r="J296" s="666"/>
      <c r="K296" s="666"/>
      <c r="L296" s="666"/>
      <c r="M296" s="666"/>
      <c r="N296" s="666"/>
      <c r="O296" s="666"/>
      <c r="P296" s="666"/>
      <c r="Q296" s="666"/>
      <c r="R296" s="666"/>
      <c r="S296" s="666"/>
      <c r="T296" s="666"/>
      <c r="U296" s="666"/>
      <c r="V296" s="666"/>
      <c r="W296" s="666"/>
      <c r="X296" s="666"/>
      <c r="Y296" s="666"/>
      <c r="Z296" s="666"/>
      <c r="AA296" s="666"/>
      <c r="AB296" s="666"/>
      <c r="AC296" s="666"/>
      <c r="AD296" s="666"/>
      <c r="AE296" s="666"/>
      <c r="AF296" s="666"/>
      <c r="AG296" s="666"/>
    </row>
    <row r="297" spans="1:35" ht="12.75" customHeight="1" x14ac:dyDescent="0.2">
      <c r="A297" s="666"/>
      <c r="B297" s="666"/>
      <c r="C297" s="666"/>
      <c r="D297" s="666"/>
      <c r="E297" s="666"/>
      <c r="F297" s="666"/>
      <c r="G297" s="666"/>
      <c r="H297" s="666"/>
      <c r="I297" s="666"/>
      <c r="J297" s="666"/>
      <c r="K297" s="666"/>
      <c r="L297" s="666"/>
      <c r="M297" s="666"/>
      <c r="N297" s="666"/>
      <c r="O297" s="666"/>
      <c r="P297" s="666"/>
      <c r="Q297" s="666"/>
      <c r="R297" s="666"/>
      <c r="S297" s="666"/>
      <c r="T297" s="666"/>
      <c r="U297" s="666"/>
      <c r="V297" s="666"/>
      <c r="W297" s="666"/>
      <c r="X297" s="666"/>
      <c r="Y297" s="666"/>
      <c r="Z297" s="666"/>
      <c r="AA297" s="666"/>
      <c r="AB297" s="666"/>
      <c r="AC297" s="666"/>
      <c r="AD297" s="666"/>
      <c r="AE297" s="666"/>
      <c r="AF297" s="666"/>
      <c r="AG297" s="666"/>
    </row>
    <row r="298" spans="1:35" ht="12.75" customHeight="1" x14ac:dyDescent="0.2">
      <c r="A298" s="666"/>
      <c r="B298" s="666"/>
      <c r="C298" s="666"/>
      <c r="D298" s="666"/>
      <c r="E298" s="666"/>
      <c r="F298" s="666"/>
      <c r="G298" s="666"/>
      <c r="H298" s="666"/>
      <c r="I298" s="666"/>
      <c r="J298" s="666"/>
      <c r="K298" s="666"/>
      <c r="L298" s="666"/>
      <c r="M298" s="666"/>
      <c r="N298" s="666"/>
      <c r="O298" s="666"/>
      <c r="P298" s="666"/>
      <c r="Q298" s="666"/>
      <c r="R298" s="666"/>
      <c r="S298" s="666"/>
      <c r="T298" s="666"/>
      <c r="U298" s="666"/>
      <c r="V298" s="666"/>
      <c r="W298" s="666"/>
      <c r="X298" s="666"/>
      <c r="Y298" s="666"/>
      <c r="Z298" s="666"/>
      <c r="AA298" s="666"/>
      <c r="AB298" s="666"/>
      <c r="AC298" s="666"/>
      <c r="AD298" s="666"/>
      <c r="AE298" s="666"/>
      <c r="AF298" s="666"/>
      <c r="AG298" s="666"/>
    </row>
    <row r="299" spans="1:35" x14ac:dyDescent="0.2">
      <c r="A299" s="666"/>
      <c r="B299" s="666"/>
      <c r="C299" s="666"/>
      <c r="D299" s="666"/>
      <c r="E299" s="666"/>
      <c r="F299" s="666"/>
      <c r="G299" s="666"/>
      <c r="H299" s="666"/>
      <c r="I299" s="666"/>
      <c r="J299" s="666"/>
      <c r="K299" s="666"/>
      <c r="L299" s="666"/>
      <c r="M299" s="666"/>
      <c r="N299" s="666"/>
      <c r="O299" s="666"/>
      <c r="P299" s="666"/>
      <c r="Q299" s="666"/>
      <c r="R299" s="666"/>
      <c r="S299" s="666"/>
      <c r="T299" s="666"/>
      <c r="U299" s="666"/>
      <c r="V299" s="666"/>
      <c r="W299" s="666"/>
      <c r="X299" s="666"/>
      <c r="Y299" s="666"/>
      <c r="Z299" s="666"/>
      <c r="AA299" s="666"/>
      <c r="AB299" s="666"/>
      <c r="AC299" s="666"/>
      <c r="AD299" s="666"/>
      <c r="AE299" s="666"/>
      <c r="AF299" s="666"/>
      <c r="AG299" s="666"/>
    </row>
    <row r="300" spans="1:35" x14ac:dyDescent="0.2">
      <c r="A300" s="666"/>
      <c r="B300" s="666"/>
      <c r="C300" s="666"/>
      <c r="D300" s="666"/>
      <c r="E300" s="666"/>
      <c r="F300" s="666"/>
      <c r="G300" s="666"/>
      <c r="H300" s="666"/>
      <c r="I300" s="666"/>
      <c r="J300" s="666"/>
      <c r="K300" s="666"/>
      <c r="L300" s="666"/>
      <c r="M300" s="666"/>
      <c r="N300" s="666"/>
      <c r="O300" s="666"/>
      <c r="P300" s="666"/>
      <c r="Q300" s="666"/>
      <c r="R300" s="666"/>
      <c r="S300" s="666"/>
      <c r="T300" s="666"/>
      <c r="U300" s="666"/>
      <c r="V300" s="666"/>
      <c r="W300" s="666"/>
      <c r="X300" s="666"/>
      <c r="Y300" s="666"/>
      <c r="Z300" s="666"/>
      <c r="AA300" s="666"/>
      <c r="AB300" s="666"/>
      <c r="AC300" s="666"/>
      <c r="AD300" s="666"/>
      <c r="AE300" s="666"/>
      <c r="AF300" s="666"/>
      <c r="AG300" s="666"/>
    </row>
    <row r="301" spans="1:35" x14ac:dyDescent="0.2">
      <c r="A301" s="666"/>
      <c r="B301" s="666"/>
      <c r="C301" s="666"/>
      <c r="D301" s="666"/>
      <c r="E301" s="666"/>
      <c r="F301" s="666"/>
      <c r="G301" s="666"/>
      <c r="H301" s="666"/>
      <c r="I301" s="666"/>
      <c r="J301" s="666"/>
      <c r="K301" s="666"/>
      <c r="L301" s="666"/>
      <c r="M301" s="666"/>
      <c r="N301" s="666"/>
      <c r="O301" s="666"/>
      <c r="P301" s="666"/>
      <c r="Q301" s="666"/>
      <c r="R301" s="666"/>
      <c r="S301" s="666"/>
      <c r="T301" s="666"/>
      <c r="U301" s="666"/>
      <c r="V301" s="666"/>
      <c r="W301" s="666"/>
      <c r="X301" s="666"/>
      <c r="Y301" s="666"/>
      <c r="Z301" s="666"/>
      <c r="AA301" s="666"/>
      <c r="AB301" s="666"/>
      <c r="AC301" s="666"/>
      <c r="AD301" s="666"/>
      <c r="AE301" s="666"/>
      <c r="AF301" s="666"/>
      <c r="AG301" s="666"/>
    </row>
    <row r="302" spans="1:35" x14ac:dyDescent="0.2">
      <c r="A302" s="666"/>
      <c r="B302" s="666"/>
      <c r="C302" s="666"/>
      <c r="D302" s="666"/>
      <c r="E302" s="666"/>
      <c r="F302" s="666"/>
      <c r="G302" s="666"/>
      <c r="H302" s="666"/>
      <c r="I302" s="666"/>
      <c r="J302" s="666"/>
      <c r="K302" s="666"/>
      <c r="L302" s="666"/>
      <c r="M302" s="666"/>
      <c r="N302" s="666"/>
      <c r="O302" s="666"/>
      <c r="P302" s="666"/>
      <c r="Q302" s="666"/>
      <c r="R302" s="666"/>
      <c r="S302" s="666"/>
      <c r="T302" s="666"/>
      <c r="U302" s="666"/>
      <c r="V302" s="666"/>
      <c r="W302" s="666"/>
      <c r="X302" s="666"/>
      <c r="Y302" s="666"/>
      <c r="Z302" s="666"/>
      <c r="AA302" s="666"/>
      <c r="AB302" s="666"/>
      <c r="AC302" s="666"/>
      <c r="AD302" s="666"/>
      <c r="AE302" s="666"/>
      <c r="AF302" s="666"/>
      <c r="AG302" s="666"/>
    </row>
    <row r="303" spans="1:35" x14ac:dyDescent="0.2">
      <c r="A303" s="666"/>
      <c r="B303" s="666"/>
      <c r="C303" s="666"/>
      <c r="D303" s="666"/>
      <c r="E303" s="666"/>
      <c r="F303" s="666"/>
      <c r="G303" s="666"/>
      <c r="H303" s="666"/>
      <c r="I303" s="666"/>
      <c r="J303" s="666"/>
      <c r="K303" s="666"/>
      <c r="L303" s="666"/>
      <c r="M303" s="666"/>
      <c r="N303" s="666"/>
      <c r="O303" s="666"/>
      <c r="P303" s="666"/>
      <c r="Q303" s="666"/>
      <c r="R303" s="666"/>
      <c r="S303" s="666"/>
      <c r="T303" s="666"/>
      <c r="U303" s="666"/>
      <c r="V303" s="666"/>
      <c r="W303" s="666"/>
      <c r="X303" s="666"/>
      <c r="Y303" s="666"/>
      <c r="Z303" s="666"/>
      <c r="AA303" s="666"/>
      <c r="AB303" s="666"/>
      <c r="AC303" s="666"/>
      <c r="AD303" s="666"/>
      <c r="AE303" s="666"/>
      <c r="AF303" s="666"/>
      <c r="AG303" s="666"/>
    </row>
    <row r="304" spans="1:35" ht="18.75" customHeight="1" x14ac:dyDescent="0.2">
      <c r="A304" s="666"/>
      <c r="B304" s="666"/>
      <c r="C304" s="666"/>
      <c r="D304" s="666"/>
      <c r="E304" s="666"/>
      <c r="F304" s="666"/>
      <c r="G304" s="666"/>
      <c r="H304" s="666"/>
      <c r="I304" s="666"/>
      <c r="J304" s="666"/>
      <c r="K304" s="666"/>
      <c r="L304" s="666"/>
      <c r="M304" s="666"/>
      <c r="N304" s="666"/>
      <c r="O304" s="666"/>
      <c r="P304" s="666"/>
      <c r="Q304" s="666"/>
      <c r="R304" s="666"/>
      <c r="S304" s="666"/>
      <c r="T304" s="666"/>
      <c r="U304" s="666"/>
      <c r="V304" s="666"/>
      <c r="W304" s="666"/>
      <c r="X304" s="666"/>
      <c r="Y304" s="666"/>
      <c r="Z304" s="666"/>
      <c r="AA304" s="666"/>
      <c r="AB304" s="666"/>
      <c r="AC304" s="666"/>
      <c r="AD304" s="666"/>
      <c r="AE304" s="666"/>
      <c r="AF304" s="666"/>
      <c r="AG304" s="666"/>
    </row>
    <row r="305" spans="1:33" ht="12.75" customHeight="1" x14ac:dyDescent="0.2">
      <c r="A305" s="666"/>
      <c r="B305" s="666"/>
      <c r="C305" s="666"/>
      <c r="D305" s="666"/>
      <c r="E305" s="666"/>
      <c r="F305" s="666"/>
      <c r="G305" s="666"/>
      <c r="H305" s="666"/>
      <c r="I305" s="666"/>
      <c r="J305" s="666"/>
      <c r="K305" s="666"/>
      <c r="L305" s="666"/>
      <c r="M305" s="666"/>
      <c r="N305" s="666"/>
      <c r="O305" s="666"/>
      <c r="P305" s="666"/>
      <c r="Q305" s="666"/>
      <c r="R305" s="666"/>
      <c r="S305" s="666"/>
      <c r="T305" s="666"/>
      <c r="U305" s="666"/>
      <c r="V305" s="666"/>
      <c r="W305" s="666"/>
      <c r="X305" s="666"/>
      <c r="Y305" s="666"/>
      <c r="Z305" s="666"/>
      <c r="AA305" s="666"/>
      <c r="AB305" s="666"/>
      <c r="AC305" s="666"/>
      <c r="AD305" s="666"/>
      <c r="AE305" s="666"/>
      <c r="AF305" s="666"/>
      <c r="AG305" s="666"/>
    </row>
    <row r="306" spans="1:33" x14ac:dyDescent="0.2">
      <c r="A306" s="666"/>
      <c r="B306" s="666"/>
      <c r="C306" s="666"/>
      <c r="D306" s="666"/>
      <c r="E306" s="666"/>
      <c r="F306" s="666"/>
      <c r="G306" s="666"/>
      <c r="H306" s="666"/>
      <c r="I306" s="666"/>
      <c r="J306" s="666"/>
      <c r="K306" s="666"/>
      <c r="L306" s="666"/>
      <c r="M306" s="666"/>
      <c r="N306" s="666"/>
      <c r="O306" s="666"/>
      <c r="P306" s="666"/>
      <c r="Q306" s="666"/>
      <c r="R306" s="666"/>
      <c r="S306" s="666"/>
      <c r="T306" s="666"/>
      <c r="U306" s="666"/>
      <c r="V306" s="666"/>
      <c r="W306" s="666"/>
      <c r="X306" s="666"/>
      <c r="Y306" s="666"/>
      <c r="Z306" s="666"/>
      <c r="AA306" s="666"/>
      <c r="AB306" s="666"/>
      <c r="AC306" s="666"/>
      <c r="AD306" s="666"/>
      <c r="AE306" s="666"/>
      <c r="AF306" s="666"/>
      <c r="AG306" s="666"/>
    </row>
    <row r="307" spans="1:33" ht="18" customHeight="1" x14ac:dyDescent="0.2">
      <c r="A307" s="666"/>
      <c r="B307" s="666"/>
      <c r="C307" s="666"/>
      <c r="D307" s="666"/>
      <c r="E307" s="666"/>
      <c r="F307" s="666"/>
      <c r="G307" s="666"/>
      <c r="H307" s="666"/>
      <c r="I307" s="666"/>
      <c r="J307" s="666"/>
      <c r="K307" s="666"/>
      <c r="L307" s="666"/>
      <c r="M307" s="666"/>
      <c r="N307" s="666"/>
      <c r="O307" s="666"/>
      <c r="P307" s="666"/>
      <c r="Q307" s="666"/>
      <c r="R307" s="666"/>
      <c r="S307" s="666"/>
      <c r="T307" s="666"/>
      <c r="U307" s="666"/>
      <c r="V307" s="666"/>
      <c r="W307" s="666"/>
      <c r="X307" s="666"/>
      <c r="Y307" s="666"/>
      <c r="Z307" s="666"/>
      <c r="AA307" s="666"/>
      <c r="AB307" s="666"/>
      <c r="AC307" s="666"/>
      <c r="AD307" s="666"/>
      <c r="AE307" s="666"/>
      <c r="AF307" s="666"/>
      <c r="AG307" s="666"/>
    </row>
    <row r="308" spans="1:33" ht="12.75" customHeight="1" x14ac:dyDescent="0.2">
      <c r="A308" s="666"/>
      <c r="B308" s="666"/>
      <c r="C308" s="666"/>
      <c r="D308" s="666"/>
      <c r="E308" s="666"/>
      <c r="F308" s="666"/>
      <c r="G308" s="666"/>
      <c r="H308" s="666"/>
      <c r="I308" s="666"/>
      <c r="J308" s="666"/>
      <c r="K308" s="666"/>
      <c r="L308" s="666"/>
      <c r="M308" s="666"/>
      <c r="N308" s="666"/>
      <c r="O308" s="666"/>
      <c r="P308" s="666"/>
      <c r="Q308" s="666"/>
      <c r="R308" s="666"/>
      <c r="S308" s="666"/>
      <c r="T308" s="666"/>
      <c r="U308" s="666"/>
      <c r="V308" s="666"/>
      <c r="W308" s="666"/>
      <c r="X308" s="666"/>
      <c r="Y308" s="666"/>
      <c r="Z308" s="666"/>
      <c r="AA308" s="666"/>
      <c r="AB308" s="666"/>
      <c r="AC308" s="666"/>
      <c r="AD308" s="666"/>
      <c r="AE308" s="666"/>
      <c r="AF308" s="666"/>
      <c r="AG308" s="666"/>
    </row>
    <row r="309" spans="1:33" ht="12.75" customHeight="1" x14ac:dyDescent="0.2">
      <c r="A309" s="666"/>
      <c r="B309" s="666"/>
      <c r="C309" s="666"/>
      <c r="D309" s="666"/>
      <c r="E309" s="666"/>
      <c r="F309" s="666"/>
      <c r="G309" s="666"/>
      <c r="H309" s="666"/>
      <c r="I309" s="666"/>
      <c r="J309" s="666"/>
      <c r="K309" s="666"/>
      <c r="L309" s="666"/>
      <c r="M309" s="666"/>
      <c r="N309" s="666"/>
      <c r="O309" s="666"/>
      <c r="P309" s="666"/>
      <c r="Q309" s="666"/>
      <c r="R309" s="666"/>
      <c r="S309" s="666"/>
      <c r="T309" s="666"/>
      <c r="U309" s="666"/>
      <c r="V309" s="666"/>
      <c r="W309" s="666"/>
      <c r="X309" s="666"/>
      <c r="Y309" s="666"/>
      <c r="Z309" s="666"/>
      <c r="AA309" s="666"/>
      <c r="AB309" s="666"/>
      <c r="AC309" s="666"/>
      <c r="AD309" s="666"/>
      <c r="AE309" s="666"/>
      <c r="AF309" s="666"/>
      <c r="AG309" s="666"/>
    </row>
    <row r="310" spans="1:33" ht="12.75" customHeight="1" x14ac:dyDescent="0.2">
      <c r="A310" s="666"/>
      <c r="B310" s="666"/>
      <c r="C310" s="666"/>
      <c r="D310" s="666"/>
      <c r="E310" s="666"/>
      <c r="F310" s="666"/>
      <c r="G310" s="666"/>
      <c r="H310" s="666"/>
      <c r="I310" s="666"/>
      <c r="J310" s="666"/>
      <c r="K310" s="666"/>
      <c r="L310" s="666"/>
      <c r="M310" s="666"/>
      <c r="N310" s="666"/>
      <c r="O310" s="666"/>
      <c r="P310" s="666"/>
      <c r="Q310" s="666"/>
      <c r="R310" s="666"/>
      <c r="S310" s="666"/>
      <c r="T310" s="666"/>
      <c r="U310" s="666"/>
      <c r="V310" s="666"/>
      <c r="W310" s="666"/>
      <c r="X310" s="666"/>
      <c r="Y310" s="666"/>
      <c r="Z310" s="666"/>
      <c r="AA310" s="666"/>
      <c r="AB310" s="666"/>
      <c r="AC310" s="666"/>
      <c r="AD310" s="666"/>
      <c r="AE310" s="666"/>
      <c r="AF310" s="666"/>
      <c r="AG310" s="666"/>
    </row>
    <row r="311" spans="1:33" ht="12.75" customHeight="1" x14ac:dyDescent="0.2">
      <c r="A311" s="666"/>
      <c r="B311" s="666"/>
      <c r="C311" s="666"/>
      <c r="D311" s="666"/>
      <c r="E311" s="666"/>
      <c r="F311" s="666"/>
      <c r="G311" s="666"/>
      <c r="H311" s="666"/>
      <c r="I311" s="666"/>
      <c r="J311" s="666"/>
      <c r="K311" s="666"/>
      <c r="L311" s="666"/>
      <c r="M311" s="666"/>
      <c r="N311" s="666"/>
      <c r="O311" s="666"/>
      <c r="P311" s="666"/>
      <c r="Q311" s="666"/>
      <c r="R311" s="666"/>
      <c r="S311" s="666"/>
      <c r="T311" s="666"/>
      <c r="U311" s="666"/>
      <c r="V311" s="666"/>
      <c r="W311" s="666"/>
      <c r="X311" s="666"/>
      <c r="Y311" s="666"/>
      <c r="Z311" s="666"/>
      <c r="AA311" s="666"/>
      <c r="AB311" s="666"/>
      <c r="AC311" s="666"/>
      <c r="AD311" s="666"/>
      <c r="AE311" s="666"/>
      <c r="AF311" s="666"/>
      <c r="AG311" s="666"/>
    </row>
    <row r="312" spans="1:33" ht="12.75" customHeight="1" x14ac:dyDescent="0.2">
      <c r="A312" s="666"/>
      <c r="B312" s="666"/>
      <c r="C312" s="666"/>
      <c r="D312" s="666"/>
      <c r="E312" s="666"/>
      <c r="F312" s="666"/>
      <c r="G312" s="666"/>
      <c r="H312" s="666"/>
      <c r="I312" s="666"/>
      <c r="J312" s="666"/>
      <c r="K312" s="666"/>
      <c r="L312" s="666"/>
      <c r="M312" s="666"/>
      <c r="N312" s="666"/>
      <c r="O312" s="666"/>
      <c r="P312" s="666"/>
      <c r="Q312" s="666"/>
      <c r="R312" s="666"/>
      <c r="S312" s="666"/>
      <c r="T312" s="666"/>
      <c r="U312" s="666"/>
      <c r="V312" s="666"/>
      <c r="W312" s="666"/>
      <c r="X312" s="666"/>
      <c r="Y312" s="666"/>
      <c r="Z312" s="666"/>
      <c r="AA312" s="666"/>
      <c r="AB312" s="666"/>
      <c r="AC312" s="666"/>
      <c r="AD312" s="666"/>
      <c r="AE312" s="666"/>
      <c r="AF312" s="666"/>
      <c r="AG312" s="666"/>
    </row>
    <row r="313" spans="1:33" ht="12.75" customHeight="1" x14ac:dyDescent="0.2">
      <c r="A313" s="666"/>
      <c r="B313" s="666"/>
      <c r="C313" s="666"/>
      <c r="D313" s="666"/>
      <c r="E313" s="666"/>
      <c r="F313" s="666"/>
      <c r="G313" s="666"/>
      <c r="H313" s="666"/>
      <c r="I313" s="666"/>
      <c r="J313" s="666"/>
      <c r="K313" s="666"/>
      <c r="L313" s="666"/>
      <c r="M313" s="666"/>
      <c r="N313" s="666"/>
      <c r="O313" s="666"/>
      <c r="P313" s="666"/>
      <c r="Q313" s="666"/>
      <c r="R313" s="666"/>
      <c r="S313" s="666"/>
      <c r="T313" s="666"/>
      <c r="U313" s="666"/>
      <c r="V313" s="666"/>
      <c r="W313" s="666"/>
      <c r="X313" s="666"/>
      <c r="Y313" s="666"/>
      <c r="Z313" s="666"/>
      <c r="AA313" s="666"/>
      <c r="AB313" s="666"/>
      <c r="AC313" s="666"/>
      <c r="AD313" s="666"/>
      <c r="AE313" s="666"/>
      <c r="AF313" s="666"/>
      <c r="AG313" s="666"/>
    </row>
    <row r="314" spans="1:33" ht="12.75" customHeight="1" x14ac:dyDescent="0.2">
      <c r="A314" s="666"/>
      <c r="B314" s="666"/>
      <c r="C314" s="666"/>
      <c r="D314" s="666"/>
      <c r="E314" s="666"/>
      <c r="F314" s="666"/>
      <c r="G314" s="666"/>
      <c r="H314" s="666"/>
      <c r="I314" s="666"/>
      <c r="J314" s="666"/>
      <c r="K314" s="666"/>
      <c r="L314" s="666"/>
      <c r="M314" s="666"/>
      <c r="N314" s="666"/>
      <c r="O314" s="666"/>
      <c r="P314" s="666"/>
      <c r="Q314" s="666"/>
      <c r="R314" s="666"/>
      <c r="S314" s="666"/>
      <c r="T314" s="666"/>
      <c r="U314" s="666"/>
      <c r="V314" s="666"/>
      <c r="W314" s="666"/>
      <c r="X314" s="666"/>
      <c r="Y314" s="666"/>
      <c r="Z314" s="666"/>
      <c r="AA314" s="666"/>
      <c r="AB314" s="666"/>
      <c r="AC314" s="666"/>
      <c r="AD314" s="666"/>
      <c r="AE314" s="666"/>
      <c r="AF314" s="666"/>
      <c r="AG314" s="666"/>
    </row>
    <row r="315" spans="1:33" x14ac:dyDescent="0.2">
      <c r="A315" s="666"/>
      <c r="B315" s="666"/>
      <c r="C315" s="666"/>
      <c r="D315" s="666"/>
      <c r="E315" s="666"/>
      <c r="F315" s="666"/>
      <c r="G315" s="666"/>
      <c r="H315" s="666"/>
      <c r="I315" s="666"/>
      <c r="J315" s="666"/>
      <c r="K315" s="666"/>
      <c r="L315" s="666"/>
      <c r="M315" s="666"/>
      <c r="N315" s="666"/>
      <c r="O315" s="666"/>
      <c r="P315" s="666"/>
      <c r="Q315" s="666"/>
      <c r="R315" s="666"/>
      <c r="S315" s="666"/>
      <c r="T315" s="666"/>
      <c r="U315" s="666"/>
      <c r="V315" s="666"/>
      <c r="W315" s="666"/>
      <c r="X315" s="666"/>
      <c r="Y315" s="666"/>
      <c r="Z315" s="666"/>
      <c r="AA315" s="666"/>
      <c r="AB315" s="666"/>
      <c r="AC315" s="666"/>
      <c r="AD315" s="666"/>
      <c r="AE315" s="666"/>
      <c r="AF315" s="666"/>
      <c r="AG315" s="666"/>
    </row>
    <row r="316" spans="1:33" x14ac:dyDescent="0.2">
      <c r="A316" s="666"/>
      <c r="B316" s="666"/>
      <c r="C316" s="666"/>
      <c r="D316" s="666"/>
      <c r="E316" s="666"/>
      <c r="F316" s="666"/>
      <c r="G316" s="666"/>
      <c r="H316" s="666"/>
      <c r="I316" s="666"/>
      <c r="J316" s="666"/>
      <c r="K316" s="666"/>
      <c r="L316" s="666"/>
      <c r="M316" s="666"/>
      <c r="N316" s="666"/>
      <c r="O316" s="666"/>
      <c r="P316" s="666"/>
      <c r="Q316" s="666"/>
      <c r="R316" s="666"/>
      <c r="S316" s="666"/>
      <c r="T316" s="666"/>
      <c r="U316" s="666"/>
      <c r="V316" s="666"/>
      <c r="W316" s="666"/>
      <c r="X316" s="666"/>
      <c r="Y316" s="666"/>
      <c r="Z316" s="666"/>
      <c r="AA316" s="666"/>
      <c r="AB316" s="666"/>
      <c r="AC316" s="666"/>
      <c r="AD316" s="666"/>
      <c r="AE316" s="666"/>
      <c r="AF316" s="666"/>
      <c r="AG316" s="666"/>
    </row>
    <row r="317" spans="1:33" x14ac:dyDescent="0.2">
      <c r="A317" s="666"/>
      <c r="B317" s="666"/>
      <c r="C317" s="666"/>
      <c r="D317" s="666"/>
      <c r="E317" s="666"/>
      <c r="F317" s="666"/>
      <c r="G317" s="666"/>
      <c r="H317" s="666"/>
      <c r="I317" s="666"/>
      <c r="J317" s="666"/>
      <c r="K317" s="666"/>
      <c r="L317" s="666"/>
      <c r="M317" s="666"/>
      <c r="N317" s="666"/>
      <c r="O317" s="666"/>
      <c r="P317" s="666"/>
      <c r="Q317" s="666"/>
      <c r="R317" s="666"/>
      <c r="S317" s="666"/>
      <c r="T317" s="666"/>
      <c r="U317" s="666"/>
      <c r="V317" s="666"/>
      <c r="W317" s="666"/>
      <c r="X317" s="666"/>
      <c r="Y317" s="666"/>
      <c r="Z317" s="666"/>
      <c r="AA317" s="666"/>
      <c r="AB317" s="666"/>
      <c r="AC317" s="666"/>
      <c r="AD317" s="666"/>
      <c r="AE317" s="666"/>
      <c r="AF317" s="666"/>
      <c r="AG317" s="666"/>
    </row>
    <row r="318" spans="1:33" ht="12.75" customHeight="1" x14ac:dyDescent="0.2">
      <c r="A318" s="666"/>
      <c r="B318" s="666"/>
      <c r="C318" s="666"/>
      <c r="D318" s="666"/>
      <c r="E318" s="666"/>
      <c r="F318" s="666"/>
      <c r="G318" s="666"/>
      <c r="H318" s="666"/>
      <c r="I318" s="666"/>
      <c r="J318" s="666"/>
      <c r="K318" s="666"/>
      <c r="L318" s="666"/>
      <c r="M318" s="666"/>
      <c r="N318" s="666"/>
      <c r="O318" s="666"/>
      <c r="P318" s="666"/>
      <c r="Q318" s="666"/>
      <c r="R318" s="666"/>
      <c r="S318" s="666"/>
      <c r="T318" s="666"/>
      <c r="U318" s="666"/>
      <c r="V318" s="666"/>
      <c r="W318" s="666"/>
      <c r="X318" s="666"/>
      <c r="Y318" s="666"/>
      <c r="Z318" s="666"/>
      <c r="AA318" s="666"/>
      <c r="AB318" s="666"/>
      <c r="AC318" s="666"/>
      <c r="AD318" s="666"/>
      <c r="AE318" s="666"/>
      <c r="AF318" s="666"/>
      <c r="AG318" s="666"/>
    </row>
    <row r="319" spans="1:33" ht="12.75" customHeight="1" x14ac:dyDescent="0.2">
      <c r="A319" s="666"/>
      <c r="B319" s="666"/>
      <c r="C319" s="666"/>
      <c r="D319" s="666"/>
      <c r="E319" s="666"/>
      <c r="F319" s="666"/>
      <c r="G319" s="666"/>
      <c r="H319" s="666"/>
      <c r="I319" s="666"/>
      <c r="J319" s="666"/>
      <c r="K319" s="666"/>
      <c r="L319" s="666"/>
      <c r="M319" s="666"/>
      <c r="N319" s="666"/>
      <c r="O319" s="666"/>
      <c r="P319" s="666"/>
      <c r="Q319" s="666"/>
      <c r="R319" s="666"/>
      <c r="S319" s="666"/>
      <c r="T319" s="666"/>
      <c r="U319" s="666"/>
      <c r="V319" s="666"/>
      <c r="W319" s="666"/>
      <c r="X319" s="666"/>
      <c r="Y319" s="666"/>
      <c r="Z319" s="666"/>
      <c r="AA319" s="666"/>
      <c r="AB319" s="666"/>
      <c r="AC319" s="666"/>
      <c r="AD319" s="666"/>
      <c r="AE319" s="666"/>
      <c r="AF319" s="666"/>
      <c r="AG319" s="666"/>
    </row>
    <row r="320" spans="1:33" ht="12.75" customHeight="1" x14ac:dyDescent="0.2">
      <c r="A320" s="666"/>
      <c r="B320" s="666"/>
      <c r="C320" s="666"/>
      <c r="D320" s="666"/>
      <c r="E320" s="666"/>
      <c r="F320" s="666"/>
      <c r="G320" s="666"/>
      <c r="H320" s="666"/>
      <c r="I320" s="666"/>
      <c r="J320" s="666"/>
      <c r="K320" s="666"/>
      <c r="L320" s="666"/>
      <c r="M320" s="666"/>
      <c r="N320" s="666"/>
      <c r="O320" s="666"/>
      <c r="P320" s="666"/>
      <c r="Q320" s="666"/>
      <c r="R320" s="666"/>
      <c r="S320" s="666"/>
      <c r="T320" s="666"/>
      <c r="U320" s="666"/>
      <c r="V320" s="666"/>
      <c r="W320" s="666"/>
      <c r="X320" s="666"/>
      <c r="Y320" s="666"/>
      <c r="Z320" s="666"/>
      <c r="AA320" s="666"/>
      <c r="AB320" s="666"/>
      <c r="AC320" s="666"/>
      <c r="AD320" s="666"/>
      <c r="AE320" s="666"/>
      <c r="AF320" s="666"/>
      <c r="AG320" s="666"/>
    </row>
    <row r="321" spans="1:33" x14ac:dyDescent="0.2">
      <c r="A321" s="666"/>
      <c r="B321" s="666"/>
      <c r="C321" s="666"/>
      <c r="D321" s="666"/>
      <c r="E321" s="666"/>
      <c r="F321" s="666"/>
      <c r="G321" s="666"/>
      <c r="H321" s="666"/>
      <c r="I321" s="666"/>
      <c r="J321" s="666"/>
      <c r="K321" s="666"/>
      <c r="L321" s="666"/>
      <c r="M321" s="666"/>
      <c r="N321" s="666"/>
      <c r="O321" s="666"/>
      <c r="P321" s="666"/>
      <c r="Q321" s="666"/>
      <c r="R321" s="666"/>
      <c r="S321" s="666"/>
      <c r="T321" s="666"/>
      <c r="U321" s="666"/>
      <c r="V321" s="666"/>
      <c r="W321" s="666"/>
      <c r="X321" s="666"/>
      <c r="Y321" s="666"/>
      <c r="Z321" s="666"/>
      <c r="AA321" s="666"/>
      <c r="AB321" s="666"/>
      <c r="AC321" s="666"/>
      <c r="AD321" s="666"/>
      <c r="AE321" s="666"/>
      <c r="AF321" s="666"/>
      <c r="AG321" s="666"/>
    </row>
    <row r="322" spans="1:33" x14ac:dyDescent="0.2">
      <c r="A322" s="666"/>
      <c r="B322" s="666"/>
      <c r="C322" s="666"/>
      <c r="D322" s="666"/>
      <c r="E322" s="666"/>
      <c r="F322" s="666"/>
      <c r="G322" s="666"/>
      <c r="H322" s="666"/>
      <c r="I322" s="666"/>
      <c r="J322" s="666"/>
      <c r="K322" s="666"/>
      <c r="L322" s="666"/>
      <c r="M322" s="666"/>
      <c r="N322" s="666"/>
      <c r="O322" s="666"/>
      <c r="P322" s="666"/>
      <c r="Q322" s="666"/>
      <c r="R322" s="666"/>
      <c r="S322" s="666"/>
      <c r="T322" s="666"/>
      <c r="U322" s="666"/>
      <c r="V322" s="666"/>
      <c r="W322" s="666"/>
      <c r="X322" s="666"/>
      <c r="Y322" s="666"/>
      <c r="Z322" s="666"/>
      <c r="AA322" s="666"/>
      <c r="AB322" s="666"/>
      <c r="AC322" s="666"/>
      <c r="AD322" s="666"/>
      <c r="AE322" s="666"/>
      <c r="AF322" s="666"/>
      <c r="AG322" s="666"/>
    </row>
    <row r="323" spans="1:33" x14ac:dyDescent="0.2">
      <c r="A323" s="666"/>
      <c r="B323" s="666"/>
      <c r="C323" s="666"/>
      <c r="D323" s="666"/>
      <c r="E323" s="666"/>
      <c r="F323" s="666"/>
      <c r="G323" s="666"/>
      <c r="H323" s="666"/>
      <c r="I323" s="666"/>
      <c r="J323" s="666"/>
      <c r="K323" s="666"/>
      <c r="L323" s="666"/>
      <c r="M323" s="666"/>
      <c r="N323" s="666"/>
      <c r="O323" s="666"/>
      <c r="P323" s="666"/>
      <c r="Q323" s="666"/>
      <c r="R323" s="666"/>
      <c r="S323" s="666"/>
      <c r="T323" s="666"/>
      <c r="U323" s="666"/>
      <c r="V323" s="666"/>
      <c r="W323" s="666"/>
      <c r="X323" s="666"/>
      <c r="Y323" s="666"/>
      <c r="Z323" s="666"/>
      <c r="AA323" s="666"/>
      <c r="AB323" s="666"/>
      <c r="AC323" s="666"/>
      <c r="AD323" s="666"/>
      <c r="AE323" s="666"/>
      <c r="AF323" s="666"/>
      <c r="AG323" s="666"/>
    </row>
    <row r="324" spans="1:33" x14ac:dyDescent="0.2">
      <c r="A324" s="666"/>
      <c r="B324" s="666"/>
      <c r="C324" s="666"/>
      <c r="D324" s="666"/>
      <c r="E324" s="666"/>
      <c r="F324" s="666"/>
      <c r="G324" s="666"/>
      <c r="H324" s="666"/>
      <c r="I324" s="666"/>
      <c r="J324" s="666"/>
      <c r="K324" s="666"/>
      <c r="L324" s="666"/>
      <c r="M324" s="666"/>
      <c r="N324" s="666"/>
      <c r="O324" s="666"/>
      <c r="P324" s="666"/>
      <c r="Q324" s="666"/>
      <c r="R324" s="666"/>
      <c r="S324" s="666"/>
      <c r="T324" s="666"/>
      <c r="U324" s="666"/>
      <c r="V324" s="666"/>
      <c r="W324" s="666"/>
      <c r="X324" s="666"/>
      <c r="Y324" s="666"/>
      <c r="Z324" s="666"/>
      <c r="AA324" s="666"/>
      <c r="AB324" s="666"/>
      <c r="AC324" s="666"/>
      <c r="AD324" s="666"/>
      <c r="AE324" s="666"/>
      <c r="AF324" s="666"/>
      <c r="AG324" s="666"/>
    </row>
    <row r="325" spans="1:33" x14ac:dyDescent="0.2">
      <c r="A325" s="666"/>
      <c r="B325" s="666"/>
      <c r="C325" s="666"/>
      <c r="D325" s="666"/>
      <c r="E325" s="666"/>
      <c r="F325" s="666"/>
      <c r="G325" s="666"/>
      <c r="H325" s="666"/>
      <c r="I325" s="666"/>
      <c r="J325" s="666"/>
      <c r="K325" s="666"/>
      <c r="L325" s="666"/>
      <c r="M325" s="666"/>
      <c r="N325" s="666"/>
      <c r="O325" s="666"/>
      <c r="P325" s="666"/>
      <c r="Q325" s="666"/>
      <c r="R325" s="666"/>
      <c r="S325" s="666"/>
      <c r="T325" s="666"/>
      <c r="U325" s="666"/>
      <c r="V325" s="666"/>
      <c r="W325" s="666"/>
      <c r="X325" s="666"/>
      <c r="Y325" s="666"/>
      <c r="Z325" s="666"/>
      <c r="AA325" s="666"/>
      <c r="AB325" s="666"/>
      <c r="AC325" s="666"/>
      <c r="AD325" s="666"/>
      <c r="AE325" s="666"/>
      <c r="AF325" s="666"/>
      <c r="AG325" s="666"/>
    </row>
    <row r="326" spans="1:33" ht="12.75" customHeight="1" x14ac:dyDescent="0.2">
      <c r="A326" s="666"/>
      <c r="B326" s="666"/>
      <c r="C326" s="666"/>
      <c r="D326" s="666"/>
      <c r="E326" s="666"/>
      <c r="F326" s="666"/>
      <c r="G326" s="666"/>
      <c r="H326" s="666"/>
      <c r="I326" s="666"/>
      <c r="J326" s="666"/>
      <c r="K326" s="666"/>
      <c r="L326" s="666"/>
      <c r="M326" s="666"/>
      <c r="N326" s="666"/>
      <c r="O326" s="666"/>
      <c r="P326" s="666"/>
      <c r="Q326" s="666"/>
      <c r="R326" s="666"/>
      <c r="S326" s="666"/>
      <c r="T326" s="666"/>
      <c r="U326" s="666"/>
      <c r="V326" s="666"/>
      <c r="W326" s="666"/>
      <c r="X326" s="666"/>
      <c r="Y326" s="666"/>
      <c r="Z326" s="666"/>
      <c r="AA326" s="666"/>
      <c r="AB326" s="666"/>
      <c r="AC326" s="666"/>
      <c r="AD326" s="666"/>
      <c r="AE326" s="666"/>
      <c r="AF326" s="666"/>
      <c r="AG326" s="666"/>
    </row>
    <row r="327" spans="1:33" ht="12.75" customHeight="1" x14ac:dyDescent="0.2">
      <c r="A327" s="666"/>
      <c r="B327" s="666"/>
      <c r="C327" s="666"/>
      <c r="D327" s="666"/>
      <c r="E327" s="666"/>
      <c r="F327" s="666"/>
      <c r="G327" s="666"/>
      <c r="H327" s="666"/>
      <c r="I327" s="666"/>
      <c r="J327" s="666"/>
      <c r="K327" s="666"/>
      <c r="L327" s="666"/>
      <c r="M327" s="666"/>
      <c r="N327" s="666"/>
      <c r="O327" s="666"/>
      <c r="P327" s="666"/>
      <c r="Q327" s="666"/>
      <c r="R327" s="666"/>
      <c r="S327" s="666"/>
      <c r="T327" s="666"/>
      <c r="U327" s="666"/>
      <c r="V327" s="666"/>
      <c r="W327" s="666"/>
      <c r="X327" s="666"/>
      <c r="Y327" s="666"/>
      <c r="Z327" s="666"/>
      <c r="AA327" s="666"/>
      <c r="AB327" s="666"/>
      <c r="AC327" s="666"/>
      <c r="AD327" s="666"/>
      <c r="AE327" s="666"/>
      <c r="AF327" s="666"/>
      <c r="AG327" s="666"/>
    </row>
    <row r="328" spans="1:33" ht="12.75" customHeight="1" x14ac:dyDescent="0.2">
      <c r="A328" s="666"/>
      <c r="B328" s="666"/>
      <c r="C328" s="666"/>
      <c r="D328" s="666"/>
      <c r="E328" s="666"/>
      <c r="F328" s="666"/>
      <c r="G328" s="666"/>
      <c r="H328" s="666"/>
      <c r="I328" s="666"/>
      <c r="J328" s="666"/>
      <c r="K328" s="666"/>
      <c r="L328" s="666"/>
      <c r="M328" s="666"/>
      <c r="N328" s="666"/>
      <c r="O328" s="666"/>
      <c r="P328" s="666"/>
      <c r="Q328" s="666"/>
      <c r="R328" s="666"/>
      <c r="S328" s="666"/>
      <c r="T328" s="666"/>
      <c r="U328" s="666"/>
      <c r="V328" s="666"/>
      <c r="W328" s="666"/>
      <c r="X328" s="666"/>
      <c r="Y328" s="666"/>
      <c r="Z328" s="666"/>
      <c r="AA328" s="666"/>
      <c r="AB328" s="666"/>
      <c r="AC328" s="666"/>
      <c r="AD328" s="666"/>
      <c r="AE328" s="666"/>
      <c r="AF328" s="666"/>
      <c r="AG328" s="666"/>
    </row>
    <row r="329" spans="1:33" x14ac:dyDescent="0.2">
      <c r="A329" s="666"/>
      <c r="B329" s="666"/>
      <c r="C329" s="666"/>
      <c r="D329" s="666"/>
      <c r="E329" s="666"/>
      <c r="F329" s="666"/>
      <c r="G329" s="666"/>
      <c r="H329" s="666"/>
      <c r="I329" s="666"/>
      <c r="J329" s="666"/>
      <c r="K329" s="666"/>
      <c r="L329" s="666"/>
      <c r="M329" s="666"/>
      <c r="N329" s="666"/>
      <c r="O329" s="666"/>
      <c r="P329" s="666"/>
      <c r="Q329" s="666"/>
      <c r="R329" s="666"/>
      <c r="S329" s="666"/>
      <c r="T329" s="666"/>
      <c r="U329" s="666"/>
      <c r="V329" s="666"/>
      <c r="W329" s="666"/>
      <c r="X329" s="666"/>
      <c r="Y329" s="666"/>
      <c r="Z329" s="666"/>
      <c r="AA329" s="666"/>
      <c r="AB329" s="666"/>
      <c r="AC329" s="666"/>
      <c r="AD329" s="666"/>
      <c r="AE329" s="666"/>
      <c r="AF329" s="666"/>
      <c r="AG329" s="666"/>
    </row>
    <row r="330" spans="1:33" x14ac:dyDescent="0.2">
      <c r="A330" s="666"/>
      <c r="B330" s="666"/>
      <c r="C330" s="666"/>
      <c r="D330" s="666"/>
      <c r="E330" s="666"/>
      <c r="F330" s="666"/>
      <c r="G330" s="666"/>
      <c r="H330" s="666"/>
      <c r="I330" s="666"/>
      <c r="J330" s="666"/>
      <c r="K330" s="666"/>
      <c r="L330" s="666"/>
      <c r="M330" s="666"/>
      <c r="N330" s="666"/>
      <c r="O330" s="666"/>
      <c r="P330" s="666"/>
      <c r="Q330" s="666"/>
      <c r="R330" s="666"/>
      <c r="S330" s="666"/>
      <c r="T330" s="666"/>
      <c r="U330" s="666"/>
      <c r="V330" s="666"/>
      <c r="W330" s="666"/>
      <c r="X330" s="666"/>
      <c r="Y330" s="666"/>
      <c r="Z330" s="666"/>
      <c r="AA330" s="666"/>
      <c r="AB330" s="666"/>
      <c r="AC330" s="666"/>
      <c r="AD330" s="666"/>
      <c r="AE330" s="666"/>
      <c r="AF330" s="666"/>
      <c r="AG330" s="666"/>
    </row>
    <row r="331" spans="1:33" x14ac:dyDescent="0.2">
      <c r="A331" s="666"/>
      <c r="B331" s="666"/>
      <c r="C331" s="666"/>
      <c r="D331" s="666"/>
      <c r="E331" s="666"/>
      <c r="F331" s="666"/>
      <c r="G331" s="666"/>
      <c r="H331" s="666"/>
      <c r="I331" s="666"/>
      <c r="J331" s="666"/>
      <c r="K331" s="666"/>
      <c r="L331" s="666"/>
      <c r="M331" s="666"/>
      <c r="N331" s="666"/>
      <c r="O331" s="666"/>
      <c r="P331" s="666"/>
      <c r="Q331" s="666"/>
      <c r="R331" s="666"/>
      <c r="S331" s="666"/>
      <c r="T331" s="666"/>
      <c r="U331" s="666"/>
      <c r="V331" s="666"/>
      <c r="W331" s="666"/>
      <c r="X331" s="666"/>
      <c r="Y331" s="666"/>
      <c r="Z331" s="666"/>
      <c r="AA331" s="666"/>
      <c r="AB331" s="666"/>
      <c r="AC331" s="666"/>
      <c r="AD331" s="666"/>
      <c r="AE331" s="666"/>
      <c r="AF331" s="666"/>
      <c r="AG331" s="666"/>
    </row>
    <row r="332" spans="1:33" x14ac:dyDescent="0.2">
      <c r="A332" s="666"/>
      <c r="B332" s="666"/>
      <c r="C332" s="666"/>
      <c r="D332" s="666"/>
      <c r="E332" s="666"/>
      <c r="F332" s="666"/>
      <c r="G332" s="666"/>
      <c r="H332" s="666"/>
      <c r="I332" s="666"/>
      <c r="J332" s="666"/>
      <c r="K332" s="666"/>
      <c r="L332" s="666"/>
      <c r="M332" s="666"/>
      <c r="N332" s="666"/>
      <c r="O332" s="666"/>
      <c r="P332" s="666"/>
      <c r="Q332" s="666"/>
      <c r="R332" s="666"/>
      <c r="S332" s="666"/>
      <c r="T332" s="666"/>
      <c r="U332" s="666"/>
      <c r="V332" s="666"/>
      <c r="W332" s="666"/>
      <c r="X332" s="666"/>
      <c r="Y332" s="666"/>
      <c r="Z332" s="666"/>
      <c r="AA332" s="666"/>
      <c r="AB332" s="666"/>
      <c r="AC332" s="666"/>
      <c r="AD332" s="666"/>
      <c r="AE332" s="666"/>
      <c r="AF332" s="666"/>
      <c r="AG332" s="666"/>
    </row>
    <row r="333" spans="1:33" x14ac:dyDescent="0.2">
      <c r="A333" s="666"/>
      <c r="B333" s="666"/>
      <c r="C333" s="666"/>
      <c r="D333" s="666"/>
      <c r="E333" s="666"/>
      <c r="F333" s="666"/>
      <c r="G333" s="666"/>
      <c r="H333" s="666"/>
      <c r="I333" s="666"/>
      <c r="J333" s="666"/>
      <c r="K333" s="666"/>
      <c r="L333" s="666"/>
      <c r="M333" s="666"/>
      <c r="N333" s="666"/>
      <c r="O333" s="666"/>
      <c r="P333" s="666"/>
      <c r="Q333" s="666"/>
      <c r="R333" s="666"/>
      <c r="S333" s="666"/>
      <c r="T333" s="666"/>
      <c r="U333" s="666"/>
      <c r="V333" s="666"/>
      <c r="W333" s="666"/>
      <c r="X333" s="666"/>
      <c r="Y333" s="666"/>
      <c r="Z333" s="666"/>
      <c r="AA333" s="666"/>
      <c r="AB333" s="666"/>
      <c r="AC333" s="666"/>
      <c r="AD333" s="666"/>
      <c r="AE333" s="666"/>
      <c r="AF333" s="666"/>
      <c r="AG333" s="666"/>
    </row>
    <row r="334" spans="1:33" ht="12.75" customHeight="1" x14ac:dyDescent="0.2">
      <c r="A334" s="666"/>
      <c r="B334" s="666"/>
      <c r="C334" s="666"/>
      <c r="D334" s="666"/>
      <c r="E334" s="666"/>
      <c r="F334" s="666"/>
      <c r="G334" s="666"/>
      <c r="H334" s="666"/>
      <c r="I334" s="666"/>
      <c r="J334" s="666"/>
      <c r="K334" s="666"/>
      <c r="L334" s="666"/>
      <c r="M334" s="666"/>
      <c r="N334" s="666"/>
      <c r="O334" s="666"/>
      <c r="P334" s="666"/>
      <c r="Q334" s="666"/>
      <c r="R334" s="666"/>
      <c r="S334" s="666"/>
      <c r="T334" s="666"/>
      <c r="U334" s="666"/>
      <c r="V334" s="666"/>
      <c r="W334" s="666"/>
      <c r="X334" s="666"/>
      <c r="Y334" s="666"/>
      <c r="Z334" s="666"/>
      <c r="AA334" s="666"/>
      <c r="AB334" s="666"/>
      <c r="AC334" s="666"/>
      <c r="AD334" s="666"/>
      <c r="AE334" s="666"/>
      <c r="AF334" s="666"/>
      <c r="AG334" s="666"/>
    </row>
    <row r="335" spans="1:33" x14ac:dyDescent="0.2">
      <c r="A335" s="666"/>
      <c r="B335" s="666"/>
      <c r="C335" s="666"/>
      <c r="D335" s="666"/>
      <c r="E335" s="666"/>
      <c r="F335" s="666"/>
      <c r="G335" s="666"/>
      <c r="H335" s="666"/>
      <c r="I335" s="666"/>
      <c r="J335" s="666"/>
      <c r="K335" s="666"/>
      <c r="L335" s="666"/>
      <c r="M335" s="666"/>
      <c r="N335" s="666"/>
      <c r="O335" s="666"/>
      <c r="P335" s="666"/>
      <c r="Q335" s="666"/>
      <c r="R335" s="666"/>
      <c r="S335" s="666"/>
      <c r="T335" s="666"/>
      <c r="U335" s="666"/>
      <c r="V335" s="666"/>
      <c r="W335" s="666"/>
      <c r="X335" s="666"/>
      <c r="Y335" s="666"/>
      <c r="Z335" s="666"/>
      <c r="AA335" s="666"/>
      <c r="AB335" s="666"/>
      <c r="AC335" s="666"/>
      <c r="AD335" s="666"/>
      <c r="AE335" s="666"/>
      <c r="AF335" s="666"/>
      <c r="AG335" s="666"/>
    </row>
    <row r="336" spans="1:33" x14ac:dyDescent="0.2">
      <c r="A336" s="666"/>
      <c r="B336" s="666"/>
      <c r="C336" s="666"/>
      <c r="D336" s="666"/>
      <c r="E336" s="666"/>
      <c r="F336" s="666"/>
      <c r="G336" s="666"/>
      <c r="H336" s="666"/>
      <c r="I336" s="666"/>
      <c r="J336" s="666"/>
      <c r="K336" s="666"/>
      <c r="L336" s="666"/>
      <c r="M336" s="666"/>
      <c r="N336" s="666"/>
      <c r="O336" s="666"/>
      <c r="P336" s="666"/>
      <c r="Q336" s="666"/>
      <c r="R336" s="666"/>
      <c r="S336" s="666"/>
      <c r="T336" s="666"/>
      <c r="U336" s="666"/>
      <c r="V336" s="666"/>
      <c r="W336" s="666"/>
      <c r="X336" s="666"/>
      <c r="Y336" s="666"/>
      <c r="Z336" s="666"/>
      <c r="AA336" s="666"/>
      <c r="AB336" s="666"/>
      <c r="AC336" s="666"/>
      <c r="AD336" s="666"/>
      <c r="AE336" s="666"/>
      <c r="AF336" s="666"/>
      <c r="AG336" s="666"/>
    </row>
    <row r="337" spans="1:33" ht="12.75" customHeight="1" x14ac:dyDescent="0.2">
      <c r="A337" s="666"/>
      <c r="B337" s="666"/>
      <c r="C337" s="666"/>
      <c r="D337" s="666"/>
      <c r="E337" s="666"/>
      <c r="F337" s="666"/>
      <c r="G337" s="666"/>
      <c r="H337" s="666"/>
      <c r="I337" s="666"/>
      <c r="J337" s="666"/>
      <c r="K337" s="666"/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66"/>
      <c r="AB337" s="666"/>
      <c r="AC337" s="666"/>
      <c r="AD337" s="666"/>
      <c r="AE337" s="666"/>
      <c r="AF337" s="666"/>
      <c r="AG337" s="666"/>
    </row>
    <row r="338" spans="1:33" x14ac:dyDescent="0.2">
      <c r="A338" s="666"/>
      <c r="B338" s="666"/>
      <c r="C338" s="666"/>
      <c r="D338" s="666"/>
      <c r="E338" s="666"/>
      <c r="F338" s="666"/>
      <c r="G338" s="666"/>
      <c r="H338" s="666"/>
      <c r="I338" s="666"/>
      <c r="J338" s="666"/>
      <c r="K338" s="666"/>
      <c r="L338" s="666"/>
      <c r="M338" s="666"/>
      <c r="N338" s="666"/>
      <c r="O338" s="666"/>
      <c r="P338" s="666"/>
      <c r="Q338" s="666"/>
      <c r="R338" s="666"/>
      <c r="S338" s="666"/>
      <c r="T338" s="666"/>
      <c r="U338" s="666"/>
      <c r="V338" s="666"/>
      <c r="W338" s="666"/>
      <c r="X338" s="666"/>
      <c r="Y338" s="666"/>
      <c r="Z338" s="666"/>
      <c r="AA338" s="666"/>
      <c r="AB338" s="666"/>
      <c r="AC338" s="666"/>
      <c r="AD338" s="666"/>
      <c r="AE338" s="666"/>
      <c r="AF338" s="666"/>
      <c r="AG338" s="666"/>
    </row>
    <row r="339" spans="1:33" x14ac:dyDescent="0.2">
      <c r="A339" s="666"/>
      <c r="B339" s="666"/>
      <c r="C339" s="666"/>
      <c r="D339" s="666"/>
      <c r="E339" s="666"/>
      <c r="F339" s="666"/>
      <c r="G339" s="666"/>
      <c r="H339" s="666"/>
      <c r="I339" s="666"/>
      <c r="J339" s="666"/>
      <c r="K339" s="666"/>
      <c r="L339" s="666"/>
      <c r="M339" s="666"/>
      <c r="N339" s="666"/>
      <c r="O339" s="666"/>
      <c r="P339" s="666"/>
      <c r="Q339" s="666"/>
      <c r="R339" s="666"/>
      <c r="S339" s="666"/>
      <c r="T339" s="666"/>
      <c r="U339" s="666"/>
      <c r="V339" s="666"/>
      <c r="W339" s="666"/>
      <c r="X339" s="666"/>
      <c r="Y339" s="666"/>
      <c r="Z339" s="666"/>
      <c r="AA339" s="666"/>
      <c r="AB339" s="666"/>
      <c r="AC339" s="666"/>
      <c r="AD339" s="666"/>
      <c r="AE339" s="666"/>
      <c r="AF339" s="666"/>
      <c r="AG339" s="666"/>
    </row>
    <row r="340" spans="1:33" ht="12.75" customHeight="1" x14ac:dyDescent="0.2">
      <c r="A340" s="666"/>
      <c r="B340" s="666"/>
      <c r="C340" s="666"/>
      <c r="D340" s="666"/>
      <c r="E340" s="666"/>
      <c r="F340" s="666"/>
      <c r="G340" s="666"/>
      <c r="H340" s="666"/>
      <c r="I340" s="666"/>
      <c r="J340" s="666"/>
      <c r="K340" s="666"/>
      <c r="L340" s="666"/>
      <c r="M340" s="666"/>
      <c r="N340" s="666"/>
      <c r="O340" s="666"/>
      <c r="P340" s="666"/>
      <c r="Q340" s="666"/>
      <c r="R340" s="666"/>
      <c r="S340" s="666"/>
      <c r="T340" s="666"/>
      <c r="U340" s="666"/>
      <c r="V340" s="666"/>
      <c r="W340" s="666"/>
      <c r="X340" s="666"/>
      <c r="Y340" s="666"/>
      <c r="Z340" s="666"/>
      <c r="AA340" s="666"/>
      <c r="AB340" s="666"/>
      <c r="AC340" s="666"/>
      <c r="AD340" s="666"/>
      <c r="AE340" s="666"/>
      <c r="AF340" s="666"/>
      <c r="AG340" s="666"/>
    </row>
    <row r="341" spans="1:33" x14ac:dyDescent="0.2">
      <c r="A341" s="666"/>
      <c r="B341" s="666"/>
      <c r="C341" s="666"/>
      <c r="D341" s="666"/>
      <c r="E341" s="666"/>
      <c r="F341" s="666"/>
      <c r="G341" s="666"/>
      <c r="H341" s="666"/>
      <c r="I341" s="666"/>
      <c r="J341" s="666"/>
      <c r="K341" s="666"/>
      <c r="L341" s="666"/>
      <c r="M341" s="666"/>
      <c r="N341" s="666"/>
      <c r="O341" s="666"/>
      <c r="P341" s="666"/>
      <c r="Q341" s="666"/>
      <c r="R341" s="666"/>
      <c r="S341" s="666"/>
      <c r="T341" s="666"/>
      <c r="U341" s="666"/>
      <c r="V341" s="666"/>
      <c r="W341" s="666"/>
      <c r="X341" s="666"/>
      <c r="Y341" s="666"/>
      <c r="Z341" s="666"/>
      <c r="AA341" s="666"/>
      <c r="AB341" s="666"/>
      <c r="AC341" s="666"/>
      <c r="AD341" s="666"/>
      <c r="AE341" s="666"/>
      <c r="AF341" s="666"/>
      <c r="AG341" s="666"/>
    </row>
    <row r="342" spans="1:33" x14ac:dyDescent="0.2">
      <c r="A342" s="666"/>
      <c r="B342" s="666"/>
      <c r="C342" s="666"/>
      <c r="D342" s="666"/>
      <c r="E342" s="666"/>
      <c r="F342" s="666"/>
      <c r="G342" s="666"/>
      <c r="H342" s="666"/>
      <c r="I342" s="666"/>
      <c r="J342" s="666"/>
      <c r="K342" s="666"/>
      <c r="L342" s="666"/>
      <c r="M342" s="666"/>
      <c r="N342" s="666"/>
      <c r="O342" s="666"/>
      <c r="P342" s="666"/>
      <c r="Q342" s="666"/>
      <c r="R342" s="666"/>
      <c r="S342" s="666"/>
      <c r="T342" s="666"/>
      <c r="U342" s="666"/>
      <c r="V342" s="666"/>
      <c r="W342" s="666"/>
      <c r="X342" s="666"/>
      <c r="Y342" s="666"/>
      <c r="Z342" s="666"/>
      <c r="AA342" s="666"/>
      <c r="AB342" s="666"/>
      <c r="AC342" s="666"/>
      <c r="AD342" s="666"/>
      <c r="AE342" s="666"/>
      <c r="AF342" s="666"/>
      <c r="AG342" s="666"/>
    </row>
    <row r="343" spans="1:33" ht="12.75" customHeight="1" x14ac:dyDescent="0.2">
      <c r="A343" s="666"/>
      <c r="B343" s="666"/>
      <c r="C343" s="666"/>
      <c r="D343" s="666"/>
      <c r="E343" s="666"/>
      <c r="F343" s="666"/>
      <c r="G343" s="666"/>
      <c r="H343" s="666"/>
      <c r="I343" s="666"/>
      <c r="J343" s="666"/>
      <c r="K343" s="666"/>
      <c r="L343" s="666"/>
      <c r="M343" s="666"/>
      <c r="N343" s="666"/>
      <c r="O343" s="666"/>
      <c r="P343" s="666"/>
      <c r="Q343" s="666"/>
      <c r="R343" s="666"/>
      <c r="S343" s="666"/>
      <c r="T343" s="666"/>
      <c r="U343" s="666"/>
      <c r="V343" s="666"/>
      <c r="W343" s="666"/>
      <c r="X343" s="666"/>
      <c r="Y343" s="666"/>
      <c r="Z343" s="666"/>
      <c r="AA343" s="666"/>
      <c r="AB343" s="666"/>
      <c r="AC343" s="666"/>
      <c r="AD343" s="666"/>
      <c r="AE343" s="666"/>
      <c r="AF343" s="666"/>
      <c r="AG343" s="666"/>
    </row>
    <row r="344" spans="1:33" ht="12.75" customHeight="1" x14ac:dyDescent="0.2">
      <c r="A344" s="666"/>
      <c r="B344" s="666"/>
      <c r="C344" s="666"/>
      <c r="D344" s="666"/>
      <c r="E344" s="666"/>
      <c r="F344" s="666"/>
      <c r="G344" s="666"/>
      <c r="H344" s="666"/>
      <c r="I344" s="666"/>
      <c r="J344" s="666"/>
      <c r="K344" s="666"/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66"/>
      <c r="AB344" s="666"/>
      <c r="AC344" s="666"/>
      <c r="AD344" s="666"/>
      <c r="AE344" s="666"/>
      <c r="AF344" s="666"/>
      <c r="AG344" s="666"/>
    </row>
    <row r="345" spans="1:33" ht="12.75" customHeight="1" x14ac:dyDescent="0.2">
      <c r="A345" s="666"/>
      <c r="B345" s="666"/>
      <c r="C345" s="666"/>
      <c r="D345" s="666"/>
      <c r="E345" s="666"/>
      <c r="F345" s="666"/>
      <c r="G345" s="666"/>
      <c r="H345" s="666"/>
      <c r="I345" s="666"/>
      <c r="J345" s="666"/>
      <c r="K345" s="666"/>
      <c r="L345" s="666"/>
      <c r="M345" s="666"/>
      <c r="N345" s="666"/>
      <c r="O345" s="666"/>
      <c r="P345" s="666"/>
      <c r="Q345" s="666"/>
      <c r="R345" s="666"/>
      <c r="S345" s="666"/>
      <c r="T345" s="666"/>
      <c r="U345" s="666"/>
      <c r="V345" s="666"/>
      <c r="W345" s="666"/>
      <c r="X345" s="666"/>
      <c r="Y345" s="666"/>
      <c r="Z345" s="666"/>
      <c r="AA345" s="666"/>
      <c r="AB345" s="666"/>
      <c r="AC345" s="666"/>
      <c r="AD345" s="666"/>
      <c r="AE345" s="666"/>
      <c r="AF345" s="666"/>
      <c r="AG345" s="666"/>
    </row>
    <row r="346" spans="1:33" x14ac:dyDescent="0.2">
      <c r="A346" s="666"/>
      <c r="B346" s="666"/>
      <c r="C346" s="666"/>
      <c r="D346" s="666"/>
      <c r="E346" s="666"/>
      <c r="F346" s="666"/>
      <c r="G346" s="666"/>
      <c r="H346" s="666"/>
      <c r="I346" s="666"/>
      <c r="J346" s="666"/>
      <c r="K346" s="666"/>
      <c r="L346" s="666"/>
      <c r="M346" s="666"/>
      <c r="N346" s="666"/>
      <c r="O346" s="666"/>
      <c r="P346" s="666"/>
      <c r="Q346" s="666"/>
      <c r="R346" s="666"/>
      <c r="S346" s="666"/>
      <c r="T346" s="666"/>
      <c r="U346" s="666"/>
      <c r="V346" s="666"/>
      <c r="W346" s="666"/>
      <c r="X346" s="666"/>
      <c r="Y346" s="666"/>
      <c r="Z346" s="666"/>
      <c r="AA346" s="666"/>
      <c r="AB346" s="666"/>
      <c r="AC346" s="666"/>
      <c r="AD346" s="666"/>
      <c r="AE346" s="666"/>
      <c r="AF346" s="666"/>
      <c r="AG346" s="666"/>
    </row>
    <row r="347" spans="1:33" x14ac:dyDescent="0.2">
      <c r="A347" s="666"/>
      <c r="B347" s="666"/>
      <c r="C347" s="666"/>
      <c r="D347" s="666"/>
      <c r="E347" s="666"/>
      <c r="F347" s="666"/>
      <c r="G347" s="666"/>
      <c r="H347" s="666"/>
      <c r="I347" s="666"/>
      <c r="J347" s="666"/>
      <c r="K347" s="666"/>
      <c r="L347" s="666"/>
      <c r="M347" s="666"/>
      <c r="N347" s="666"/>
      <c r="O347" s="666"/>
      <c r="P347" s="666"/>
      <c r="Q347" s="666"/>
      <c r="R347" s="666"/>
      <c r="S347" s="666"/>
      <c r="T347" s="666"/>
      <c r="U347" s="666"/>
      <c r="V347" s="666"/>
      <c r="W347" s="666"/>
      <c r="X347" s="666"/>
      <c r="Y347" s="666"/>
      <c r="Z347" s="666"/>
      <c r="AA347" s="666"/>
      <c r="AB347" s="666"/>
      <c r="AC347" s="666"/>
      <c r="AD347" s="666"/>
      <c r="AE347" s="666"/>
      <c r="AF347" s="666"/>
      <c r="AG347" s="666"/>
    </row>
    <row r="348" spans="1:33" x14ac:dyDescent="0.2">
      <c r="A348" s="666"/>
      <c r="B348" s="666"/>
      <c r="C348" s="666"/>
      <c r="D348" s="666"/>
      <c r="E348" s="666"/>
      <c r="F348" s="666"/>
      <c r="G348" s="666"/>
      <c r="H348" s="666"/>
      <c r="I348" s="666"/>
      <c r="J348" s="666"/>
      <c r="K348" s="666"/>
      <c r="L348" s="666"/>
      <c r="M348" s="666"/>
      <c r="N348" s="666"/>
      <c r="O348" s="666"/>
      <c r="P348" s="666"/>
      <c r="Q348" s="666"/>
      <c r="R348" s="666"/>
      <c r="S348" s="666"/>
      <c r="T348" s="666"/>
      <c r="U348" s="666"/>
      <c r="V348" s="666"/>
      <c r="W348" s="666"/>
      <c r="X348" s="666"/>
      <c r="Y348" s="666"/>
      <c r="Z348" s="666"/>
      <c r="AA348" s="666"/>
      <c r="AB348" s="666"/>
      <c r="AC348" s="666"/>
      <c r="AD348" s="666"/>
      <c r="AE348" s="666"/>
      <c r="AF348" s="666"/>
      <c r="AG348" s="666"/>
    </row>
    <row r="349" spans="1:33" x14ac:dyDescent="0.2">
      <c r="A349" s="666"/>
      <c r="B349" s="666"/>
      <c r="C349" s="666"/>
      <c r="D349" s="666"/>
      <c r="E349" s="666"/>
      <c r="F349" s="666"/>
      <c r="G349" s="666"/>
      <c r="H349" s="666"/>
      <c r="I349" s="666"/>
      <c r="J349" s="666"/>
      <c r="K349" s="666"/>
      <c r="L349" s="666"/>
      <c r="M349" s="666"/>
      <c r="N349" s="666"/>
      <c r="O349" s="666"/>
      <c r="P349" s="666"/>
      <c r="Q349" s="666"/>
      <c r="R349" s="666"/>
      <c r="S349" s="666"/>
      <c r="T349" s="666"/>
      <c r="U349" s="666"/>
      <c r="V349" s="666"/>
      <c r="W349" s="666"/>
      <c r="X349" s="666"/>
      <c r="Y349" s="666"/>
      <c r="Z349" s="666"/>
      <c r="AA349" s="666"/>
      <c r="AB349" s="666"/>
      <c r="AC349" s="666"/>
      <c r="AD349" s="666"/>
      <c r="AE349" s="666"/>
      <c r="AF349" s="666"/>
      <c r="AG349" s="666"/>
    </row>
    <row r="350" spans="1:33" ht="12.75" customHeight="1" x14ac:dyDescent="0.2">
      <c r="A350" s="666"/>
      <c r="B350" s="666"/>
      <c r="C350" s="666"/>
      <c r="D350" s="666"/>
      <c r="E350" s="666"/>
      <c r="F350" s="666"/>
      <c r="G350" s="666"/>
      <c r="H350" s="666"/>
      <c r="I350" s="666"/>
      <c r="J350" s="666"/>
      <c r="K350" s="666"/>
      <c r="L350" s="666"/>
      <c r="M350" s="666"/>
      <c r="N350" s="666"/>
      <c r="O350" s="666"/>
      <c r="P350" s="666"/>
      <c r="Q350" s="666"/>
      <c r="R350" s="666"/>
      <c r="S350" s="666"/>
      <c r="T350" s="666"/>
      <c r="U350" s="666"/>
      <c r="V350" s="666"/>
      <c r="W350" s="666"/>
      <c r="X350" s="666"/>
      <c r="Y350" s="666"/>
      <c r="Z350" s="666"/>
      <c r="AA350" s="666"/>
      <c r="AB350" s="666"/>
      <c r="AC350" s="666"/>
      <c r="AD350" s="666"/>
      <c r="AE350" s="666"/>
      <c r="AF350" s="666"/>
      <c r="AG350" s="666"/>
    </row>
    <row r="351" spans="1:33" x14ac:dyDescent="0.2">
      <c r="A351" s="666"/>
      <c r="B351" s="666"/>
      <c r="C351" s="666"/>
      <c r="D351" s="666"/>
      <c r="E351" s="666"/>
      <c r="F351" s="666"/>
      <c r="G351" s="666"/>
      <c r="H351" s="666"/>
      <c r="I351" s="666"/>
      <c r="J351" s="666"/>
      <c r="K351" s="666"/>
      <c r="L351" s="666"/>
      <c r="M351" s="666"/>
      <c r="N351" s="666"/>
      <c r="O351" s="666"/>
      <c r="P351" s="666"/>
      <c r="Q351" s="666"/>
      <c r="R351" s="666"/>
      <c r="S351" s="666"/>
      <c r="T351" s="666"/>
      <c r="U351" s="666"/>
      <c r="V351" s="666"/>
      <c r="W351" s="666"/>
      <c r="X351" s="666"/>
      <c r="Y351" s="666"/>
      <c r="Z351" s="666"/>
      <c r="AA351" s="666"/>
      <c r="AB351" s="666"/>
      <c r="AC351" s="666"/>
      <c r="AD351" s="666"/>
      <c r="AE351" s="666"/>
      <c r="AF351" s="666"/>
      <c r="AG351" s="666"/>
    </row>
    <row r="352" spans="1:33" x14ac:dyDescent="0.2">
      <c r="A352" s="666"/>
      <c r="B352" s="666"/>
      <c r="C352" s="666"/>
      <c r="D352" s="666"/>
      <c r="E352" s="666"/>
      <c r="F352" s="666"/>
      <c r="G352" s="666"/>
      <c r="H352" s="666"/>
      <c r="I352" s="666"/>
      <c r="J352" s="666"/>
      <c r="K352" s="666"/>
      <c r="L352" s="666"/>
      <c r="M352" s="666"/>
      <c r="N352" s="666"/>
      <c r="O352" s="666"/>
      <c r="P352" s="666"/>
      <c r="Q352" s="666"/>
      <c r="R352" s="666"/>
      <c r="S352" s="666"/>
      <c r="T352" s="666"/>
      <c r="U352" s="666"/>
      <c r="V352" s="666"/>
      <c r="W352" s="666"/>
      <c r="X352" s="666"/>
      <c r="Y352" s="666"/>
      <c r="Z352" s="666"/>
      <c r="AA352" s="666"/>
      <c r="AB352" s="666"/>
      <c r="AC352" s="666"/>
      <c r="AD352" s="666"/>
      <c r="AE352" s="666"/>
      <c r="AF352" s="666"/>
      <c r="AG352" s="666"/>
    </row>
    <row r="353" spans="1:33" x14ac:dyDescent="0.2">
      <c r="A353" s="666"/>
      <c r="B353" s="666"/>
      <c r="C353" s="666"/>
      <c r="D353" s="666"/>
      <c r="E353" s="666"/>
      <c r="F353" s="666"/>
      <c r="G353" s="666"/>
      <c r="H353" s="666"/>
      <c r="I353" s="666"/>
      <c r="J353" s="666"/>
      <c r="K353" s="666"/>
      <c r="L353" s="666"/>
      <c r="M353" s="666"/>
      <c r="N353" s="666"/>
      <c r="O353" s="666"/>
      <c r="P353" s="666"/>
      <c r="Q353" s="666"/>
      <c r="R353" s="666"/>
      <c r="S353" s="666"/>
      <c r="T353" s="666"/>
      <c r="U353" s="666"/>
      <c r="V353" s="666"/>
      <c r="W353" s="666"/>
      <c r="X353" s="666"/>
      <c r="Y353" s="666"/>
      <c r="Z353" s="666"/>
      <c r="AA353" s="666"/>
      <c r="AB353" s="666"/>
      <c r="AC353" s="666"/>
      <c r="AD353" s="666"/>
      <c r="AE353" s="666"/>
      <c r="AF353" s="666"/>
      <c r="AG353" s="666"/>
    </row>
    <row r="354" spans="1:33" x14ac:dyDescent="0.2">
      <c r="A354" s="666"/>
      <c r="B354" s="666"/>
      <c r="C354" s="666"/>
      <c r="D354" s="666"/>
      <c r="E354" s="666"/>
      <c r="F354" s="666"/>
      <c r="G354" s="666"/>
      <c r="H354" s="666"/>
      <c r="I354" s="666"/>
      <c r="J354" s="666"/>
      <c r="K354" s="666"/>
      <c r="L354" s="666"/>
      <c r="M354" s="666"/>
      <c r="N354" s="666"/>
      <c r="O354" s="666"/>
      <c r="P354" s="666"/>
      <c r="Q354" s="666"/>
      <c r="R354" s="666"/>
      <c r="S354" s="666"/>
      <c r="T354" s="666"/>
      <c r="U354" s="666"/>
      <c r="V354" s="666"/>
      <c r="W354" s="666"/>
      <c r="X354" s="666"/>
      <c r="Y354" s="666"/>
      <c r="Z354" s="666"/>
      <c r="AA354" s="666"/>
      <c r="AB354" s="666"/>
      <c r="AC354" s="666"/>
      <c r="AD354" s="666"/>
      <c r="AE354" s="666"/>
      <c r="AF354" s="666"/>
      <c r="AG354" s="666"/>
    </row>
    <row r="355" spans="1:33" ht="12.75" customHeight="1" x14ac:dyDescent="0.2">
      <c r="A355" s="666"/>
      <c r="B355" s="666"/>
      <c r="C355" s="666"/>
      <c r="D355" s="666"/>
      <c r="E355" s="666"/>
      <c r="F355" s="666"/>
      <c r="G355" s="666"/>
      <c r="H355" s="666"/>
      <c r="I355" s="666"/>
      <c r="J355" s="666"/>
      <c r="K355" s="666"/>
      <c r="L355" s="666"/>
      <c r="M355" s="666"/>
      <c r="N355" s="666"/>
      <c r="O355" s="666"/>
      <c r="P355" s="666"/>
      <c r="Q355" s="666"/>
      <c r="R355" s="666"/>
      <c r="S355" s="666"/>
      <c r="T355" s="666"/>
      <c r="U355" s="666"/>
      <c r="V355" s="666"/>
      <c r="W355" s="666"/>
      <c r="X355" s="666"/>
      <c r="Y355" s="666"/>
      <c r="Z355" s="666"/>
      <c r="AA355" s="666"/>
      <c r="AB355" s="666"/>
      <c r="AC355" s="666"/>
      <c r="AD355" s="666"/>
      <c r="AE355" s="666"/>
      <c r="AF355" s="666"/>
      <c r="AG355" s="666"/>
    </row>
    <row r="356" spans="1:33" x14ac:dyDescent="0.2">
      <c r="A356" s="666"/>
      <c r="B356" s="666"/>
      <c r="C356" s="666"/>
      <c r="D356" s="666"/>
      <c r="E356" s="666"/>
      <c r="F356" s="666"/>
      <c r="G356" s="666"/>
      <c r="H356" s="666"/>
      <c r="I356" s="666"/>
      <c r="J356" s="666"/>
      <c r="K356" s="666"/>
      <c r="L356" s="666"/>
      <c r="M356" s="666"/>
      <c r="N356" s="666"/>
      <c r="O356" s="666"/>
      <c r="P356" s="666"/>
      <c r="Q356" s="666"/>
      <c r="R356" s="666"/>
      <c r="S356" s="666"/>
      <c r="T356" s="666"/>
      <c r="U356" s="666"/>
      <c r="V356" s="666"/>
      <c r="W356" s="666"/>
      <c r="X356" s="666"/>
      <c r="Y356" s="666"/>
      <c r="Z356" s="666"/>
      <c r="AA356" s="666"/>
      <c r="AB356" s="666"/>
      <c r="AC356" s="666"/>
      <c r="AD356" s="666"/>
      <c r="AE356" s="666"/>
      <c r="AF356" s="666"/>
      <c r="AG356" s="666"/>
    </row>
    <row r="357" spans="1:33" x14ac:dyDescent="0.2">
      <c r="A357" s="666"/>
      <c r="B357" s="666"/>
      <c r="C357" s="666"/>
      <c r="D357" s="666"/>
      <c r="E357" s="666"/>
      <c r="F357" s="666"/>
      <c r="G357" s="666"/>
      <c r="H357" s="666"/>
      <c r="I357" s="666"/>
      <c r="J357" s="666"/>
      <c r="K357" s="666"/>
      <c r="L357" s="666"/>
      <c r="M357" s="666"/>
      <c r="N357" s="666"/>
      <c r="O357" s="666"/>
      <c r="P357" s="666"/>
      <c r="Q357" s="666"/>
      <c r="R357" s="666"/>
      <c r="S357" s="666"/>
      <c r="T357" s="666"/>
      <c r="U357" s="666"/>
      <c r="V357" s="666"/>
      <c r="W357" s="666"/>
      <c r="X357" s="666"/>
      <c r="Y357" s="666"/>
      <c r="Z357" s="666"/>
      <c r="AA357" s="666"/>
      <c r="AB357" s="666"/>
      <c r="AC357" s="666"/>
      <c r="AD357" s="666"/>
      <c r="AE357" s="666"/>
      <c r="AF357" s="666"/>
      <c r="AG357" s="666"/>
    </row>
    <row r="358" spans="1:33" x14ac:dyDescent="0.2">
      <c r="A358" s="666"/>
      <c r="B358" s="666"/>
      <c r="C358" s="666"/>
      <c r="D358" s="666"/>
      <c r="E358" s="666"/>
      <c r="F358" s="666"/>
      <c r="G358" s="666"/>
      <c r="H358" s="666"/>
      <c r="I358" s="666"/>
      <c r="J358" s="666"/>
      <c r="K358" s="666"/>
      <c r="L358" s="666"/>
      <c r="M358" s="666"/>
      <c r="N358" s="666"/>
      <c r="O358" s="666"/>
      <c r="P358" s="666"/>
      <c r="Q358" s="666"/>
      <c r="R358" s="666"/>
      <c r="S358" s="666"/>
      <c r="T358" s="666"/>
      <c r="U358" s="666"/>
      <c r="V358" s="666"/>
      <c r="W358" s="666"/>
      <c r="X358" s="666"/>
      <c r="Y358" s="666"/>
      <c r="Z358" s="666"/>
      <c r="AA358" s="666"/>
      <c r="AB358" s="666"/>
      <c r="AC358" s="666"/>
      <c r="AD358" s="666"/>
      <c r="AE358" s="666"/>
      <c r="AF358" s="666"/>
      <c r="AG358" s="666"/>
    </row>
    <row r="359" spans="1:33" ht="12.75" customHeight="1" x14ac:dyDescent="0.2">
      <c r="A359" s="666"/>
      <c r="B359" s="666"/>
      <c r="C359" s="666"/>
      <c r="D359" s="666"/>
      <c r="E359" s="666"/>
      <c r="F359" s="666"/>
      <c r="G359" s="666"/>
      <c r="H359" s="666"/>
      <c r="I359" s="666"/>
      <c r="J359" s="666"/>
      <c r="K359" s="666"/>
      <c r="L359" s="666"/>
      <c r="M359" s="666"/>
      <c r="N359" s="666"/>
      <c r="O359" s="666"/>
      <c r="P359" s="666"/>
      <c r="Q359" s="666"/>
      <c r="R359" s="666"/>
      <c r="S359" s="666"/>
      <c r="T359" s="666"/>
      <c r="U359" s="666"/>
      <c r="V359" s="666"/>
      <c r="W359" s="666"/>
      <c r="X359" s="666"/>
      <c r="Y359" s="666"/>
      <c r="Z359" s="666"/>
      <c r="AA359" s="666"/>
      <c r="AB359" s="666"/>
      <c r="AC359" s="666"/>
      <c r="AD359" s="666"/>
      <c r="AE359" s="666"/>
      <c r="AF359" s="666"/>
      <c r="AG359" s="666"/>
    </row>
    <row r="360" spans="1:33" ht="12.75" customHeight="1" x14ac:dyDescent="0.2">
      <c r="A360" s="666"/>
      <c r="B360" s="666"/>
      <c r="C360" s="666"/>
      <c r="D360" s="666"/>
      <c r="E360" s="666"/>
      <c r="F360" s="666"/>
      <c r="G360" s="666"/>
      <c r="H360" s="666"/>
      <c r="I360" s="666"/>
      <c r="J360" s="666"/>
      <c r="K360" s="666"/>
      <c r="L360" s="666"/>
      <c r="M360" s="666"/>
      <c r="N360" s="666"/>
      <c r="O360" s="666"/>
      <c r="P360" s="666"/>
      <c r="Q360" s="666"/>
      <c r="R360" s="666"/>
      <c r="S360" s="666"/>
      <c r="T360" s="666"/>
      <c r="U360" s="666"/>
      <c r="V360" s="666"/>
      <c r="W360" s="666"/>
      <c r="X360" s="666"/>
      <c r="Y360" s="666"/>
      <c r="Z360" s="666"/>
      <c r="AA360" s="666"/>
      <c r="AB360" s="666"/>
      <c r="AC360" s="666"/>
      <c r="AD360" s="666"/>
      <c r="AE360" s="666"/>
      <c r="AF360" s="666"/>
      <c r="AG360" s="666"/>
    </row>
    <row r="361" spans="1:33" x14ac:dyDescent="0.2">
      <c r="A361" s="666"/>
      <c r="B361" s="666"/>
      <c r="C361" s="666"/>
      <c r="D361" s="666"/>
      <c r="E361" s="666"/>
      <c r="F361" s="666"/>
      <c r="G361" s="666"/>
      <c r="H361" s="666"/>
      <c r="I361" s="666"/>
      <c r="J361" s="666"/>
      <c r="K361" s="666"/>
      <c r="L361" s="666"/>
      <c r="M361" s="666"/>
      <c r="N361" s="666"/>
      <c r="O361" s="666"/>
      <c r="P361" s="666"/>
      <c r="Q361" s="666"/>
      <c r="R361" s="666"/>
      <c r="S361" s="666"/>
      <c r="T361" s="666"/>
      <c r="U361" s="666"/>
      <c r="V361" s="666"/>
      <c r="W361" s="666"/>
      <c r="X361" s="666"/>
      <c r="Y361" s="666"/>
      <c r="Z361" s="666"/>
      <c r="AA361" s="666"/>
      <c r="AB361" s="666"/>
      <c r="AC361" s="666"/>
      <c r="AD361" s="666"/>
      <c r="AE361" s="666"/>
      <c r="AF361" s="666"/>
      <c r="AG361" s="666"/>
    </row>
    <row r="362" spans="1:33" x14ac:dyDescent="0.2">
      <c r="A362" s="666"/>
      <c r="B362" s="666"/>
      <c r="C362" s="666"/>
      <c r="D362" s="666"/>
      <c r="E362" s="666"/>
      <c r="F362" s="666"/>
      <c r="G362" s="666"/>
      <c r="H362" s="666"/>
      <c r="I362" s="666"/>
      <c r="J362" s="666"/>
      <c r="K362" s="666"/>
      <c r="L362" s="666"/>
      <c r="M362" s="666"/>
      <c r="N362" s="666"/>
      <c r="O362" s="666"/>
      <c r="P362" s="666"/>
      <c r="Q362" s="666"/>
      <c r="R362" s="666"/>
      <c r="S362" s="666"/>
      <c r="T362" s="666"/>
      <c r="U362" s="666"/>
      <c r="V362" s="666"/>
      <c r="W362" s="666"/>
      <c r="X362" s="666"/>
      <c r="Y362" s="666"/>
      <c r="Z362" s="666"/>
      <c r="AA362" s="666"/>
      <c r="AB362" s="666"/>
      <c r="AC362" s="666"/>
      <c r="AD362" s="666"/>
      <c r="AE362" s="666"/>
      <c r="AF362" s="666"/>
      <c r="AG362" s="666"/>
    </row>
    <row r="363" spans="1:33" x14ac:dyDescent="0.2">
      <c r="A363" s="666"/>
      <c r="B363" s="666"/>
      <c r="C363" s="666"/>
      <c r="D363" s="666"/>
      <c r="E363" s="666"/>
      <c r="F363" s="666"/>
      <c r="G363" s="666"/>
      <c r="H363" s="666"/>
      <c r="I363" s="666"/>
      <c r="J363" s="666"/>
      <c r="K363" s="666"/>
      <c r="L363" s="666"/>
      <c r="M363" s="666"/>
      <c r="N363" s="666"/>
      <c r="O363" s="666"/>
      <c r="P363" s="666"/>
      <c r="Q363" s="666"/>
      <c r="R363" s="666"/>
      <c r="S363" s="666"/>
      <c r="T363" s="666"/>
      <c r="U363" s="666"/>
      <c r="V363" s="666"/>
      <c r="W363" s="666"/>
      <c r="X363" s="666"/>
      <c r="Y363" s="666"/>
      <c r="Z363" s="666"/>
      <c r="AA363" s="666"/>
      <c r="AB363" s="666"/>
      <c r="AC363" s="666"/>
      <c r="AD363" s="666"/>
      <c r="AE363" s="666"/>
      <c r="AF363" s="666"/>
      <c r="AG363" s="666"/>
    </row>
    <row r="364" spans="1:33" x14ac:dyDescent="0.2">
      <c r="A364" s="666"/>
      <c r="B364" s="666"/>
      <c r="C364" s="666"/>
      <c r="D364" s="666"/>
      <c r="E364" s="666"/>
      <c r="F364" s="666"/>
      <c r="G364" s="666"/>
      <c r="H364" s="666"/>
      <c r="I364" s="666"/>
      <c r="J364" s="666"/>
      <c r="K364" s="666"/>
      <c r="L364" s="666"/>
      <c r="M364" s="666"/>
      <c r="N364" s="666"/>
      <c r="O364" s="666"/>
      <c r="P364" s="666"/>
      <c r="Q364" s="666"/>
      <c r="R364" s="666"/>
      <c r="S364" s="666"/>
      <c r="T364" s="666"/>
      <c r="U364" s="666"/>
      <c r="V364" s="666"/>
      <c r="W364" s="666"/>
      <c r="X364" s="666"/>
      <c r="Y364" s="666"/>
      <c r="Z364" s="666"/>
      <c r="AA364" s="666"/>
      <c r="AB364" s="666"/>
      <c r="AC364" s="666"/>
      <c r="AD364" s="666"/>
      <c r="AE364" s="666"/>
      <c r="AF364" s="666"/>
      <c r="AG364" s="666"/>
    </row>
    <row r="365" spans="1:33" x14ac:dyDescent="0.2">
      <c r="A365" s="666"/>
      <c r="B365" s="666"/>
      <c r="C365" s="666"/>
      <c r="D365" s="666"/>
      <c r="E365" s="666"/>
      <c r="F365" s="666"/>
      <c r="G365" s="666"/>
      <c r="H365" s="666"/>
      <c r="I365" s="666"/>
      <c r="J365" s="666"/>
      <c r="K365" s="666"/>
      <c r="L365" s="666"/>
      <c r="M365" s="666"/>
      <c r="N365" s="666"/>
      <c r="O365" s="666"/>
      <c r="P365" s="666"/>
      <c r="Q365" s="666"/>
      <c r="R365" s="666"/>
      <c r="S365" s="666"/>
      <c r="T365" s="666"/>
      <c r="U365" s="666"/>
      <c r="V365" s="666"/>
      <c r="W365" s="666"/>
      <c r="X365" s="666"/>
      <c r="Y365" s="666"/>
      <c r="Z365" s="666"/>
      <c r="AA365" s="666"/>
      <c r="AB365" s="666"/>
      <c r="AC365" s="666"/>
      <c r="AD365" s="666"/>
      <c r="AE365" s="666"/>
      <c r="AF365" s="666"/>
      <c r="AG365" s="666"/>
    </row>
    <row r="366" spans="1:33" ht="12.75" customHeight="1" x14ac:dyDescent="0.2">
      <c r="A366" s="666"/>
      <c r="B366" s="666"/>
      <c r="C366" s="666"/>
      <c r="D366" s="666"/>
      <c r="E366" s="666"/>
      <c r="F366" s="666"/>
      <c r="G366" s="666"/>
      <c r="H366" s="666"/>
      <c r="I366" s="666"/>
      <c r="J366" s="666"/>
      <c r="K366" s="666"/>
      <c r="L366" s="666"/>
      <c r="M366" s="666"/>
      <c r="N366" s="666"/>
      <c r="O366" s="666"/>
      <c r="P366" s="666"/>
      <c r="Q366" s="666"/>
      <c r="R366" s="666"/>
      <c r="S366" s="666"/>
      <c r="T366" s="666"/>
      <c r="U366" s="666"/>
      <c r="V366" s="666"/>
      <c r="W366" s="666"/>
      <c r="X366" s="666"/>
      <c r="Y366" s="666"/>
      <c r="Z366" s="666"/>
      <c r="AA366" s="666"/>
      <c r="AB366" s="666"/>
      <c r="AC366" s="666"/>
      <c r="AD366" s="666"/>
      <c r="AE366" s="666"/>
      <c r="AF366" s="666"/>
      <c r="AG366" s="666"/>
    </row>
    <row r="367" spans="1:33" x14ac:dyDescent="0.2">
      <c r="A367" s="666"/>
      <c r="B367" s="666"/>
      <c r="C367" s="666"/>
      <c r="D367" s="666"/>
      <c r="E367" s="666"/>
      <c r="F367" s="666"/>
      <c r="G367" s="666"/>
      <c r="H367" s="666"/>
      <c r="I367" s="666"/>
      <c r="J367" s="666"/>
      <c r="K367" s="666"/>
      <c r="L367" s="666"/>
      <c r="M367" s="666"/>
      <c r="N367" s="666"/>
      <c r="O367" s="666"/>
      <c r="P367" s="666"/>
      <c r="Q367" s="666"/>
      <c r="R367" s="666"/>
      <c r="S367" s="666"/>
      <c r="T367" s="666"/>
      <c r="U367" s="666"/>
      <c r="V367" s="666"/>
      <c r="W367" s="666"/>
      <c r="X367" s="666"/>
      <c r="Y367" s="666"/>
      <c r="Z367" s="666"/>
      <c r="AA367" s="666"/>
      <c r="AB367" s="666"/>
      <c r="AC367" s="666"/>
      <c r="AD367" s="666"/>
      <c r="AE367" s="666"/>
      <c r="AF367" s="666"/>
      <c r="AG367" s="666"/>
    </row>
    <row r="368" spans="1:33" x14ac:dyDescent="0.2">
      <c r="A368" s="666"/>
      <c r="B368" s="666"/>
      <c r="C368" s="666"/>
      <c r="D368" s="666"/>
      <c r="E368" s="666"/>
      <c r="F368" s="666"/>
      <c r="G368" s="666"/>
      <c r="H368" s="666"/>
      <c r="I368" s="666"/>
      <c r="J368" s="666"/>
      <c r="K368" s="666"/>
      <c r="L368" s="666"/>
      <c r="M368" s="666"/>
      <c r="N368" s="666"/>
      <c r="O368" s="666"/>
      <c r="P368" s="666"/>
      <c r="Q368" s="666"/>
      <c r="R368" s="666"/>
      <c r="S368" s="666"/>
      <c r="T368" s="666"/>
      <c r="U368" s="666"/>
      <c r="V368" s="666"/>
      <c r="W368" s="666"/>
      <c r="X368" s="666"/>
      <c r="Y368" s="666"/>
      <c r="Z368" s="666"/>
      <c r="AA368" s="666"/>
      <c r="AB368" s="666"/>
      <c r="AC368" s="666"/>
      <c r="AD368" s="666"/>
      <c r="AE368" s="666"/>
      <c r="AF368" s="666"/>
      <c r="AG368" s="666"/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/>
  <dimension ref="A3:F431"/>
  <sheetViews>
    <sheetView topLeftCell="A270" zoomScale="98" zoomScaleNormal="98" workbookViewId="0">
      <selection activeCell="C288" sqref="C288"/>
    </sheetView>
  </sheetViews>
  <sheetFormatPr defaultColWidth="9.140625" defaultRowHeight="12.75" x14ac:dyDescent="0.2"/>
  <cols>
    <col min="1" max="1" width="9.140625" style="1067"/>
    <col min="2" max="2" width="31.85546875" style="1067" customWidth="1"/>
    <col min="3" max="3" width="32.42578125" style="1067" bestFit="1" customWidth="1"/>
    <col min="4" max="16384" width="9.140625" style="1067"/>
  </cols>
  <sheetData>
    <row r="3" spans="2:3" x14ac:dyDescent="0.2">
      <c r="B3" s="1223" t="s">
        <v>681</v>
      </c>
      <c r="C3" s="1067" t="s">
        <v>804</v>
      </c>
    </row>
    <row r="4" spans="2:3" x14ac:dyDescent="0.2">
      <c r="B4" s="1223" t="s">
        <v>682</v>
      </c>
      <c r="C4" s="1067" t="s">
        <v>805</v>
      </c>
    </row>
    <row r="5" spans="2:3" x14ac:dyDescent="0.2">
      <c r="B5" s="1223" t="s">
        <v>683</v>
      </c>
      <c r="C5" s="1067" t="s">
        <v>804</v>
      </c>
    </row>
    <row r="6" spans="2:3" x14ac:dyDescent="0.2">
      <c r="B6" s="1223" t="s">
        <v>684</v>
      </c>
      <c r="C6" s="1067" t="s">
        <v>806</v>
      </c>
    </row>
    <row r="7" spans="2:3" x14ac:dyDescent="0.2">
      <c r="B7" s="1223" t="s">
        <v>685</v>
      </c>
      <c r="C7" s="1067" t="s">
        <v>234</v>
      </c>
    </row>
    <row r="8" spans="2:3" x14ac:dyDescent="0.2">
      <c r="B8" s="1223" t="s">
        <v>686</v>
      </c>
      <c r="C8" s="1067" t="s">
        <v>807</v>
      </c>
    </row>
    <row r="9" spans="2:3" x14ac:dyDescent="0.2">
      <c r="B9" s="1223" t="s">
        <v>687</v>
      </c>
      <c r="C9" s="1067" t="s">
        <v>805</v>
      </c>
    </row>
    <row r="10" spans="2:3" x14ac:dyDescent="0.2">
      <c r="B10" s="1223" t="s">
        <v>688</v>
      </c>
      <c r="C10" s="1067" t="s">
        <v>808</v>
      </c>
    </row>
    <row r="11" spans="2:3" x14ac:dyDescent="0.2">
      <c r="B11" s="1223" t="s">
        <v>689</v>
      </c>
      <c r="C11" s="1067" t="s">
        <v>84</v>
      </c>
    </row>
    <row r="12" spans="2:3" x14ac:dyDescent="0.2">
      <c r="B12" s="1223" t="s">
        <v>690</v>
      </c>
      <c r="C12" s="1067" t="s">
        <v>809</v>
      </c>
    </row>
    <row r="13" spans="2:3" x14ac:dyDescent="0.2">
      <c r="B13" s="1223" t="s">
        <v>691</v>
      </c>
      <c r="C13" s="1067" t="s">
        <v>810</v>
      </c>
    </row>
    <row r="14" spans="2:3" x14ac:dyDescent="0.2">
      <c r="B14" s="1223" t="s">
        <v>692</v>
      </c>
      <c r="C14" s="1067" t="s">
        <v>804</v>
      </c>
    </row>
    <row r="15" spans="2:3" x14ac:dyDescent="0.2">
      <c r="B15" s="1223" t="s">
        <v>693</v>
      </c>
      <c r="C15" s="1067" t="s">
        <v>811</v>
      </c>
    </row>
    <row r="16" spans="2:3" x14ac:dyDescent="0.2">
      <c r="B16" s="1223" t="s">
        <v>694</v>
      </c>
      <c r="C16" s="1067" t="s">
        <v>804</v>
      </c>
    </row>
    <row r="17" spans="2:6" x14ac:dyDescent="0.2">
      <c r="B17" s="1223" t="s">
        <v>695</v>
      </c>
      <c r="C17" s="1067" t="s">
        <v>804</v>
      </c>
    </row>
    <row r="18" spans="2:6" x14ac:dyDescent="0.2">
      <c r="B18" s="1223" t="s">
        <v>696</v>
      </c>
      <c r="C18" s="1067" t="s">
        <v>812</v>
      </c>
    </row>
    <row r="19" spans="2:6" x14ac:dyDescent="0.2">
      <c r="B19" s="1223" t="s">
        <v>697</v>
      </c>
      <c r="C19" s="1067" t="s">
        <v>813</v>
      </c>
    </row>
    <row r="20" spans="2:6" x14ac:dyDescent="0.2">
      <c r="B20" s="1223" t="s">
        <v>698</v>
      </c>
      <c r="C20" s="1067" t="s">
        <v>814</v>
      </c>
    </row>
    <row r="21" spans="2:6" x14ac:dyDescent="0.2">
      <c r="B21" s="1223" t="s">
        <v>699</v>
      </c>
      <c r="C21" s="1067" t="s">
        <v>804</v>
      </c>
    </row>
    <row r="22" spans="2:6" x14ac:dyDescent="0.2">
      <c r="B22" s="1223" t="s">
        <v>700</v>
      </c>
      <c r="C22" s="1067" t="s">
        <v>815</v>
      </c>
    </row>
    <row r="23" spans="2:6" x14ac:dyDescent="0.2">
      <c r="B23" s="1223" t="s">
        <v>701</v>
      </c>
      <c r="C23" s="1067" t="s">
        <v>816</v>
      </c>
    </row>
    <row r="24" spans="2:6" x14ac:dyDescent="0.2">
      <c r="B24" s="1223" t="s">
        <v>702</v>
      </c>
      <c r="C24" s="1067" t="s">
        <v>817</v>
      </c>
    </row>
    <row r="25" spans="2:6" x14ac:dyDescent="0.2">
      <c r="B25" s="1223" t="s">
        <v>703</v>
      </c>
      <c r="C25" s="1067" t="s">
        <v>818</v>
      </c>
    </row>
    <row r="26" spans="2:6" x14ac:dyDescent="0.2">
      <c r="B26" s="1223" t="s">
        <v>704</v>
      </c>
    </row>
    <row r="27" spans="2:6" x14ac:dyDescent="0.2">
      <c r="B27" s="1223" t="s">
        <v>705</v>
      </c>
      <c r="C27" s="1067" t="s">
        <v>819</v>
      </c>
    </row>
    <row r="28" spans="2:6" x14ac:dyDescent="0.2">
      <c r="B28" s="1223" t="s">
        <v>706</v>
      </c>
      <c r="C28" s="1067" t="s">
        <v>806</v>
      </c>
    </row>
    <row r="29" spans="2:6" x14ac:dyDescent="0.2">
      <c r="B29" s="1223" t="s">
        <v>707</v>
      </c>
      <c r="C29" s="1067" t="s">
        <v>820</v>
      </c>
    </row>
    <row r="30" spans="2:6" x14ac:dyDescent="0.2">
      <c r="B30" s="1223" t="s">
        <v>708</v>
      </c>
      <c r="C30" s="1067" t="s">
        <v>39</v>
      </c>
      <c r="F30" s="1220"/>
    </row>
    <row r="31" spans="2:6" x14ac:dyDescent="0.2">
      <c r="B31" s="1223" t="s">
        <v>709</v>
      </c>
      <c r="C31" s="1067" t="s">
        <v>821</v>
      </c>
    </row>
    <row r="32" spans="2:6" x14ac:dyDescent="0.2">
      <c r="B32" s="1223" t="s">
        <v>710</v>
      </c>
      <c r="C32" s="1067" t="s">
        <v>822</v>
      </c>
    </row>
    <row r="33" spans="2:3" x14ac:dyDescent="0.2">
      <c r="B33" s="1223" t="s">
        <v>711</v>
      </c>
      <c r="C33" s="1067" t="s">
        <v>823</v>
      </c>
    </row>
    <row r="34" spans="2:3" x14ac:dyDescent="0.2">
      <c r="B34" s="1223" t="s">
        <v>712</v>
      </c>
      <c r="C34" s="1067" t="s">
        <v>824</v>
      </c>
    </row>
    <row r="35" spans="2:3" x14ac:dyDescent="0.2">
      <c r="B35" s="1223" t="s">
        <v>713</v>
      </c>
      <c r="C35" s="1067" t="s">
        <v>656</v>
      </c>
    </row>
    <row r="36" spans="2:3" x14ac:dyDescent="0.2">
      <c r="B36" s="1223" t="s">
        <v>714</v>
      </c>
      <c r="C36" s="1067" t="s">
        <v>825</v>
      </c>
    </row>
    <row r="37" spans="2:3" x14ac:dyDescent="0.2">
      <c r="B37" s="1223" t="s">
        <v>715</v>
      </c>
      <c r="C37" s="1067" t="s">
        <v>819</v>
      </c>
    </row>
    <row r="38" spans="2:3" x14ac:dyDescent="0.2">
      <c r="B38" s="1223" t="s">
        <v>716</v>
      </c>
      <c r="C38" s="1067" t="s">
        <v>826</v>
      </c>
    </row>
    <row r="39" spans="2:3" x14ac:dyDescent="0.2">
      <c r="B39" s="1223" t="s">
        <v>717</v>
      </c>
      <c r="C39" s="1248" t="s">
        <v>841</v>
      </c>
    </row>
    <row r="40" spans="2:3" x14ac:dyDescent="0.2">
      <c r="B40" s="1223" t="s">
        <v>718</v>
      </c>
      <c r="C40" s="1067" t="s">
        <v>653</v>
      </c>
    </row>
    <row r="41" spans="2:3" x14ac:dyDescent="0.2">
      <c r="B41" s="1223" t="s">
        <v>719</v>
      </c>
      <c r="C41" s="1067" t="s">
        <v>652</v>
      </c>
    </row>
    <row r="42" spans="2:3" x14ac:dyDescent="0.2">
      <c r="B42" s="1223" t="s">
        <v>720</v>
      </c>
      <c r="C42" s="1067" t="s">
        <v>827</v>
      </c>
    </row>
    <row r="43" spans="2:3" x14ac:dyDescent="0.2">
      <c r="B43" s="1223" t="s">
        <v>721</v>
      </c>
      <c r="C43" s="1067" t="s">
        <v>828</v>
      </c>
    </row>
    <row r="44" spans="2:3" x14ac:dyDescent="0.2">
      <c r="B44" s="1223" t="s">
        <v>722</v>
      </c>
      <c r="C44" s="1067" t="s">
        <v>654</v>
      </c>
    </row>
    <row r="45" spans="2:3" x14ac:dyDescent="0.2">
      <c r="B45" s="1223" t="s">
        <v>723</v>
      </c>
      <c r="C45" s="1067" t="s">
        <v>810</v>
      </c>
    </row>
    <row r="46" spans="2:3" x14ac:dyDescent="0.2">
      <c r="B46" s="1223" t="s">
        <v>724</v>
      </c>
      <c r="C46" s="1067" t="s">
        <v>657</v>
      </c>
    </row>
    <row r="47" spans="2:3" x14ac:dyDescent="0.2">
      <c r="B47" s="1223" t="s">
        <v>725</v>
      </c>
      <c r="C47" s="1067" t="s">
        <v>671</v>
      </c>
    </row>
    <row r="48" spans="2:3" x14ac:dyDescent="0.2">
      <c r="B48" s="1223" t="s">
        <v>726</v>
      </c>
      <c r="C48" s="1067" t="s">
        <v>359</v>
      </c>
    </row>
    <row r="49" spans="2:3" x14ac:dyDescent="0.2">
      <c r="B49" s="1223" t="s">
        <v>727</v>
      </c>
      <c r="C49" s="1067" t="s">
        <v>829</v>
      </c>
    </row>
    <row r="50" spans="2:3" x14ac:dyDescent="0.2">
      <c r="B50" s="1223" t="s">
        <v>728</v>
      </c>
      <c r="C50" s="1067" t="s">
        <v>659</v>
      </c>
    </row>
    <row r="51" spans="2:3" x14ac:dyDescent="0.2">
      <c r="B51" s="1223" t="s">
        <v>729</v>
      </c>
      <c r="C51" s="1067" t="s">
        <v>663</v>
      </c>
    </row>
    <row r="52" spans="2:3" x14ac:dyDescent="0.2">
      <c r="B52" s="1223" t="s">
        <v>730</v>
      </c>
      <c r="C52" s="1067" t="s">
        <v>496</v>
      </c>
    </row>
    <row r="53" spans="2:3" x14ac:dyDescent="0.2">
      <c r="B53" s="1223" t="s">
        <v>731</v>
      </c>
      <c r="C53" s="1067" t="s">
        <v>830</v>
      </c>
    </row>
    <row r="54" spans="2:3" x14ac:dyDescent="0.2">
      <c r="B54" s="1223" t="s">
        <v>732</v>
      </c>
      <c r="C54" s="1067" t="s">
        <v>633</v>
      </c>
    </row>
    <row r="55" spans="2:3" x14ac:dyDescent="0.2">
      <c r="B55" s="1223" t="s">
        <v>733</v>
      </c>
      <c r="C55" s="1067" t="s">
        <v>676</v>
      </c>
    </row>
    <row r="56" spans="2:3" x14ac:dyDescent="0.2">
      <c r="B56" s="1223" t="s">
        <v>734</v>
      </c>
      <c r="C56" s="1067" t="s">
        <v>668</v>
      </c>
    </row>
    <row r="57" spans="2:3" x14ac:dyDescent="0.2">
      <c r="B57" s="1223" t="s">
        <v>735</v>
      </c>
      <c r="C57" s="1067" t="s">
        <v>631</v>
      </c>
    </row>
    <row r="58" spans="2:3" x14ac:dyDescent="0.2">
      <c r="B58" s="1223" t="s">
        <v>736</v>
      </c>
      <c r="C58" s="1067" t="s">
        <v>96</v>
      </c>
    </row>
    <row r="59" spans="2:3" x14ac:dyDescent="0.2">
      <c r="B59" s="1223" t="s">
        <v>737</v>
      </c>
      <c r="C59" s="1067" t="s">
        <v>831</v>
      </c>
    </row>
    <row r="60" spans="2:3" x14ac:dyDescent="0.2">
      <c r="B60" s="1223" t="s">
        <v>738</v>
      </c>
      <c r="C60" s="1067" t="s">
        <v>832</v>
      </c>
    </row>
    <row r="61" spans="2:3" x14ac:dyDescent="0.2">
      <c r="B61" s="1223" t="s">
        <v>739</v>
      </c>
      <c r="C61" s="1067" t="s">
        <v>228</v>
      </c>
    </row>
    <row r="62" spans="2:3" x14ac:dyDescent="0.2">
      <c r="B62" s="1223" t="s">
        <v>740</v>
      </c>
      <c r="C62" s="1067" t="s">
        <v>678</v>
      </c>
    </row>
    <row r="63" spans="2:3" x14ac:dyDescent="0.2">
      <c r="B63" s="1223" t="s">
        <v>741</v>
      </c>
      <c r="C63" s="1067" t="s">
        <v>644</v>
      </c>
    </row>
    <row r="64" spans="2:3" x14ac:dyDescent="0.2">
      <c r="B64" s="1223" t="s">
        <v>742</v>
      </c>
      <c r="C64" s="1067" t="s">
        <v>646</v>
      </c>
    </row>
    <row r="65" spans="2:3" x14ac:dyDescent="0.2">
      <c r="B65" s="1223" t="s">
        <v>743</v>
      </c>
      <c r="C65" s="1067" t="s">
        <v>662</v>
      </c>
    </row>
    <row r="66" spans="2:3" x14ac:dyDescent="0.2">
      <c r="B66" s="1223" t="s">
        <v>744</v>
      </c>
      <c r="C66" s="1067" t="s">
        <v>262</v>
      </c>
    </row>
    <row r="67" spans="2:3" x14ac:dyDescent="0.2">
      <c r="B67" s="1223" t="s">
        <v>745</v>
      </c>
      <c r="C67" s="1067" t="s">
        <v>626</v>
      </c>
    </row>
    <row r="68" spans="2:3" x14ac:dyDescent="0.2">
      <c r="B68" s="1223" t="s">
        <v>746</v>
      </c>
      <c r="C68" s="1067" t="s">
        <v>669</v>
      </c>
    </row>
    <row r="69" spans="2:3" x14ac:dyDescent="0.2">
      <c r="B69" s="1223" t="s">
        <v>747</v>
      </c>
      <c r="C69" s="1067" t="s">
        <v>632</v>
      </c>
    </row>
    <row r="70" spans="2:3" x14ac:dyDescent="0.2">
      <c r="B70" s="1223" t="s">
        <v>748</v>
      </c>
      <c r="C70" s="1067" t="s">
        <v>666</v>
      </c>
    </row>
    <row r="71" spans="2:3" x14ac:dyDescent="0.2">
      <c r="B71" s="1223" t="s">
        <v>749</v>
      </c>
      <c r="C71" s="1067" t="s">
        <v>645</v>
      </c>
    </row>
    <row r="72" spans="2:3" x14ac:dyDescent="0.2">
      <c r="B72" s="1223" t="s">
        <v>750</v>
      </c>
      <c r="C72" s="1067" t="s">
        <v>655</v>
      </c>
    </row>
    <row r="73" spans="2:3" x14ac:dyDescent="0.2">
      <c r="B73" s="1223" t="s">
        <v>751</v>
      </c>
      <c r="C73" s="1067" t="s">
        <v>638</v>
      </c>
    </row>
    <row r="74" spans="2:3" x14ac:dyDescent="0.2">
      <c r="B74" s="1223" t="s">
        <v>752</v>
      </c>
      <c r="C74" s="1067" t="s">
        <v>627</v>
      </c>
    </row>
    <row r="75" spans="2:3" x14ac:dyDescent="0.2">
      <c r="B75" s="1223" t="s">
        <v>753</v>
      </c>
      <c r="C75" s="1067" t="s">
        <v>674</v>
      </c>
    </row>
    <row r="76" spans="2:3" x14ac:dyDescent="0.2">
      <c r="B76" s="1223" t="s">
        <v>754</v>
      </c>
      <c r="C76" s="1067" t="s">
        <v>672</v>
      </c>
    </row>
    <row r="77" spans="2:3" x14ac:dyDescent="0.2">
      <c r="B77" s="1223" t="s">
        <v>755</v>
      </c>
      <c r="C77" s="1067" t="s">
        <v>833</v>
      </c>
    </row>
    <row r="78" spans="2:3" x14ac:dyDescent="0.2">
      <c r="B78" s="1223" t="s">
        <v>756</v>
      </c>
      <c r="C78" s="1067" t="s">
        <v>385</v>
      </c>
    </row>
    <row r="79" spans="2:3" ht="15.75" x14ac:dyDescent="0.25">
      <c r="B79" s="1223" t="s">
        <v>757</v>
      </c>
      <c r="C79" s="795" t="s">
        <v>1593</v>
      </c>
    </row>
    <row r="80" spans="2:3" x14ac:dyDescent="0.2">
      <c r="B80" s="1223" t="s">
        <v>758</v>
      </c>
      <c r="C80" s="1067" t="s">
        <v>834</v>
      </c>
    </row>
    <row r="81" spans="2:3" x14ac:dyDescent="0.2">
      <c r="B81" s="1223" t="s">
        <v>759</v>
      </c>
      <c r="C81" s="1067" t="s">
        <v>63</v>
      </c>
    </row>
    <row r="82" spans="2:3" x14ac:dyDescent="0.2">
      <c r="B82" s="1223" t="s">
        <v>760</v>
      </c>
      <c r="C82" s="1067" t="s">
        <v>60</v>
      </c>
    </row>
    <row r="83" spans="2:3" x14ac:dyDescent="0.2">
      <c r="B83" s="1223" t="s">
        <v>761</v>
      </c>
      <c r="C83" s="1067" t="s">
        <v>665</v>
      </c>
    </row>
    <row r="84" spans="2:3" x14ac:dyDescent="0.2">
      <c r="B84" s="1223" t="s">
        <v>762</v>
      </c>
      <c r="C84" s="1067" t="s">
        <v>836</v>
      </c>
    </row>
    <row r="85" spans="2:3" x14ac:dyDescent="0.2">
      <c r="B85" s="1223" t="s">
        <v>763</v>
      </c>
      <c r="C85" s="1067" t="s">
        <v>837</v>
      </c>
    </row>
    <row r="86" spans="2:3" x14ac:dyDescent="0.2">
      <c r="B86" s="1223" t="s">
        <v>764</v>
      </c>
      <c r="C86" s="1067" t="s">
        <v>639</v>
      </c>
    </row>
    <row r="87" spans="2:3" x14ac:dyDescent="0.2">
      <c r="B87" s="1223" t="s">
        <v>765</v>
      </c>
      <c r="C87" s="1067" t="s">
        <v>673</v>
      </c>
    </row>
    <row r="88" spans="2:3" x14ac:dyDescent="0.2">
      <c r="B88" s="1223" t="s">
        <v>766</v>
      </c>
      <c r="C88" s="1067" t="s">
        <v>97</v>
      </c>
    </row>
    <row r="89" spans="2:3" x14ac:dyDescent="0.2">
      <c r="B89" s="1223" t="s">
        <v>767</v>
      </c>
      <c r="C89" s="1067" t="s">
        <v>643</v>
      </c>
    </row>
    <row r="90" spans="2:3" x14ac:dyDescent="0.2">
      <c r="B90" s="1223" t="s">
        <v>768</v>
      </c>
      <c r="C90" s="1067" t="s">
        <v>838</v>
      </c>
    </row>
    <row r="91" spans="2:3" x14ac:dyDescent="0.2">
      <c r="B91" s="1223" t="s">
        <v>769</v>
      </c>
      <c r="C91" s="1067" t="s">
        <v>367</v>
      </c>
    </row>
    <row r="92" spans="2:3" x14ac:dyDescent="0.2">
      <c r="B92" s="1223" t="s">
        <v>770</v>
      </c>
      <c r="C92" s="1067" t="s">
        <v>675</v>
      </c>
    </row>
    <row r="93" spans="2:3" x14ac:dyDescent="0.2">
      <c r="B93" s="1223" t="s">
        <v>771</v>
      </c>
      <c r="C93" s="1067" t="s">
        <v>650</v>
      </c>
    </row>
    <row r="94" spans="2:3" x14ac:dyDescent="0.2">
      <c r="B94" s="1223" t="s">
        <v>772</v>
      </c>
      <c r="C94" s="1067" t="s">
        <v>667</v>
      </c>
    </row>
    <row r="95" spans="2:3" x14ac:dyDescent="0.2">
      <c r="B95" s="1223" t="s">
        <v>773</v>
      </c>
      <c r="C95" s="1067" t="s">
        <v>670</v>
      </c>
    </row>
    <row r="96" spans="2:3" x14ac:dyDescent="0.2">
      <c r="B96" s="1223" t="s">
        <v>774</v>
      </c>
      <c r="C96" s="1067" t="s">
        <v>628</v>
      </c>
    </row>
    <row r="97" spans="2:3" x14ac:dyDescent="0.2">
      <c r="B97" s="1223" t="s">
        <v>775</v>
      </c>
      <c r="C97" s="1067" t="s">
        <v>323</v>
      </c>
    </row>
    <row r="98" spans="2:3" x14ac:dyDescent="0.2">
      <c r="B98" s="1223" t="s">
        <v>776</v>
      </c>
      <c r="C98" s="1067" t="s">
        <v>636</v>
      </c>
    </row>
    <row r="99" spans="2:3" x14ac:dyDescent="0.2">
      <c r="B99" s="1223" t="s">
        <v>777</v>
      </c>
      <c r="C99" s="1067" t="s">
        <v>471</v>
      </c>
    </row>
    <row r="100" spans="2:3" x14ac:dyDescent="0.2">
      <c r="B100" s="1223" t="s">
        <v>778</v>
      </c>
      <c r="C100" s="1067" t="s">
        <v>520</v>
      </c>
    </row>
    <row r="101" spans="2:3" x14ac:dyDescent="0.2">
      <c r="B101" s="1223" t="s">
        <v>779</v>
      </c>
      <c r="C101" s="1067" t="s">
        <v>637</v>
      </c>
    </row>
    <row r="102" spans="2:3" x14ac:dyDescent="0.2">
      <c r="B102" s="1223" t="s">
        <v>780</v>
      </c>
      <c r="C102" s="1067" t="s">
        <v>374</v>
      </c>
    </row>
    <row r="103" spans="2:3" x14ac:dyDescent="0.2">
      <c r="B103" s="1223" t="s">
        <v>781</v>
      </c>
      <c r="C103" s="1067" t="s">
        <v>820</v>
      </c>
    </row>
    <row r="104" spans="2:3" x14ac:dyDescent="0.2">
      <c r="B104" s="1223" t="s">
        <v>782</v>
      </c>
      <c r="C104" s="1067" t="s">
        <v>60</v>
      </c>
    </row>
    <row r="105" spans="2:3" x14ac:dyDescent="0.2">
      <c r="B105" s="1223" t="s">
        <v>783</v>
      </c>
      <c r="C105" s="1067" t="s">
        <v>545</v>
      </c>
    </row>
    <row r="106" spans="2:3" x14ac:dyDescent="0.2">
      <c r="B106" s="1223" t="s">
        <v>784</v>
      </c>
      <c r="C106" s="1067" t="s">
        <v>660</v>
      </c>
    </row>
    <row r="107" spans="2:3" x14ac:dyDescent="0.2">
      <c r="B107" s="1223" t="s">
        <v>785</v>
      </c>
      <c r="C107" s="1067" t="s">
        <v>677</v>
      </c>
    </row>
    <row r="108" spans="2:3" x14ac:dyDescent="0.2">
      <c r="B108" s="1223" t="s">
        <v>786</v>
      </c>
      <c r="C108" s="1067" t="s">
        <v>629</v>
      </c>
    </row>
    <row r="109" spans="2:3" x14ac:dyDescent="0.2">
      <c r="B109" s="1223" t="s">
        <v>787</v>
      </c>
      <c r="C109" s="1067" t="s">
        <v>649</v>
      </c>
    </row>
    <row r="110" spans="2:3" x14ac:dyDescent="0.2">
      <c r="B110" s="1223" t="s">
        <v>788</v>
      </c>
      <c r="C110" s="1067" t="s">
        <v>640</v>
      </c>
    </row>
    <row r="111" spans="2:3" x14ac:dyDescent="0.2">
      <c r="B111" s="1223" t="s">
        <v>789</v>
      </c>
      <c r="C111" s="1067" t="s">
        <v>839</v>
      </c>
    </row>
    <row r="112" spans="2:3" x14ac:dyDescent="0.2">
      <c r="B112" s="1223" t="s">
        <v>790</v>
      </c>
      <c r="C112" s="1067" t="s">
        <v>647</v>
      </c>
    </row>
    <row r="113" spans="2:3" x14ac:dyDescent="0.2">
      <c r="B113" s="1223" t="s">
        <v>791</v>
      </c>
      <c r="C113" s="1067" t="s">
        <v>342</v>
      </c>
    </row>
    <row r="114" spans="2:3" x14ac:dyDescent="0.2">
      <c r="B114" s="1223" t="s">
        <v>792</v>
      </c>
      <c r="C114" s="1067" t="s">
        <v>635</v>
      </c>
    </row>
    <row r="115" spans="2:3" x14ac:dyDescent="0.2">
      <c r="B115" s="1223" t="s">
        <v>793</v>
      </c>
      <c r="C115" s="1067" t="s">
        <v>630</v>
      </c>
    </row>
    <row r="116" spans="2:3" x14ac:dyDescent="0.2">
      <c r="B116" s="1223" t="s">
        <v>794</v>
      </c>
      <c r="C116" s="1067" t="s">
        <v>680</v>
      </c>
    </row>
    <row r="117" spans="2:3" x14ac:dyDescent="0.2">
      <c r="B117" s="1223" t="s">
        <v>795</v>
      </c>
      <c r="C117" s="1067" t="s">
        <v>462</v>
      </c>
    </row>
    <row r="118" spans="2:3" x14ac:dyDescent="0.2">
      <c r="B118" s="1223" t="s">
        <v>796</v>
      </c>
      <c r="C118" s="1067" t="s">
        <v>651</v>
      </c>
    </row>
    <row r="119" spans="2:3" x14ac:dyDescent="0.2">
      <c r="B119" s="1223" t="s">
        <v>797</v>
      </c>
      <c r="C119" s="1067" t="s">
        <v>642</v>
      </c>
    </row>
    <row r="120" spans="2:3" x14ac:dyDescent="0.2">
      <c r="B120" s="1223" t="s">
        <v>798</v>
      </c>
      <c r="C120" s="1067" t="s">
        <v>641</v>
      </c>
    </row>
    <row r="121" spans="2:3" x14ac:dyDescent="0.2">
      <c r="B121" s="1223" t="s">
        <v>799</v>
      </c>
      <c r="C121" s="1067" t="s">
        <v>210</v>
      </c>
    </row>
    <row r="122" spans="2:3" x14ac:dyDescent="0.2">
      <c r="B122" s="1223" t="s">
        <v>800</v>
      </c>
      <c r="C122" s="1067" t="s">
        <v>634</v>
      </c>
    </row>
    <row r="123" spans="2:3" x14ac:dyDescent="0.2">
      <c r="B123" s="1223" t="s">
        <v>801</v>
      </c>
      <c r="C123" s="1067" t="s">
        <v>648</v>
      </c>
    </row>
    <row r="124" spans="2:3" x14ac:dyDescent="0.2">
      <c r="B124" s="1223" t="s">
        <v>802</v>
      </c>
      <c r="C124" s="1067" t="s">
        <v>679</v>
      </c>
    </row>
    <row r="125" spans="2:3" x14ac:dyDescent="0.2">
      <c r="B125" s="1223" t="s">
        <v>803</v>
      </c>
      <c r="C125" s="1067" t="s">
        <v>658</v>
      </c>
    </row>
    <row r="126" spans="2:3" x14ac:dyDescent="0.2">
      <c r="B126" s="1223" t="s">
        <v>855</v>
      </c>
      <c r="C126" s="1067" t="s">
        <v>661</v>
      </c>
    </row>
    <row r="127" spans="2:3" x14ac:dyDescent="0.2">
      <c r="B127" s="1223" t="s">
        <v>854</v>
      </c>
      <c r="C127" s="1067" t="s">
        <v>676</v>
      </c>
    </row>
    <row r="128" spans="2:3" x14ac:dyDescent="0.2">
      <c r="B128" s="1223" t="s">
        <v>853</v>
      </c>
      <c r="C128" s="1067" t="s">
        <v>822</v>
      </c>
    </row>
    <row r="129" spans="2:3" x14ac:dyDescent="0.2">
      <c r="B129" s="1067" t="s">
        <v>860</v>
      </c>
      <c r="C129" s="1067" t="s">
        <v>841</v>
      </c>
    </row>
    <row r="130" spans="2:3" x14ac:dyDescent="0.2">
      <c r="B130" s="1067" t="s">
        <v>861</v>
      </c>
      <c r="C130" s="1067" t="s">
        <v>673</v>
      </c>
    </row>
    <row r="131" spans="2:3" x14ac:dyDescent="0.2">
      <c r="B131" s="1067" t="s">
        <v>864</v>
      </c>
      <c r="C131" s="1067" t="s">
        <v>841</v>
      </c>
    </row>
    <row r="132" spans="2:3" x14ac:dyDescent="0.2">
      <c r="B132" s="1067" t="s">
        <v>888</v>
      </c>
      <c r="C132" s="1067" t="s">
        <v>878</v>
      </c>
    </row>
    <row r="133" spans="2:3" x14ac:dyDescent="0.2">
      <c r="C133" s="1067" t="s">
        <v>875</v>
      </c>
    </row>
    <row r="134" spans="2:3" x14ac:dyDescent="0.2">
      <c r="C134" s="1070"/>
    </row>
    <row r="135" spans="2:3" x14ac:dyDescent="0.2">
      <c r="C135" s="1070"/>
    </row>
    <row r="136" spans="2:3" ht="15.75" x14ac:dyDescent="0.2">
      <c r="B136" s="1223" t="s">
        <v>931</v>
      </c>
      <c r="C136" s="826" t="s">
        <v>921</v>
      </c>
    </row>
    <row r="137" spans="2:3" x14ac:dyDescent="0.2">
      <c r="B137" s="1223" t="s">
        <v>930</v>
      </c>
      <c r="C137" s="1067" t="s">
        <v>808</v>
      </c>
    </row>
    <row r="138" spans="2:3" ht="15.75" x14ac:dyDescent="0.2">
      <c r="B138" s="1223" t="s">
        <v>946</v>
      </c>
      <c r="C138" s="843" t="s">
        <v>173</v>
      </c>
    </row>
    <row r="139" spans="2:3" x14ac:dyDescent="0.2">
      <c r="B139" s="1223" t="s">
        <v>947</v>
      </c>
      <c r="C139" s="1067" t="s">
        <v>834</v>
      </c>
    </row>
    <row r="140" spans="2:3" x14ac:dyDescent="0.2">
      <c r="B140" s="1223" t="s">
        <v>957</v>
      </c>
      <c r="C140" s="1067" t="s">
        <v>808</v>
      </c>
    </row>
    <row r="141" spans="2:3" x14ac:dyDescent="0.2">
      <c r="B141" s="1223" t="s">
        <v>979</v>
      </c>
      <c r="C141" s="1067" t="s">
        <v>808</v>
      </c>
    </row>
    <row r="142" spans="2:3" x14ac:dyDescent="0.2">
      <c r="B142" s="1223" t="s">
        <v>980</v>
      </c>
      <c r="C142" s="1067" t="s">
        <v>807</v>
      </c>
    </row>
    <row r="143" spans="2:3" x14ac:dyDescent="0.2">
      <c r="B143" s="1223" t="s">
        <v>985</v>
      </c>
      <c r="C143" s="1067" t="s">
        <v>808</v>
      </c>
    </row>
    <row r="144" spans="2:3" x14ac:dyDescent="0.2">
      <c r="B144" s="1067" t="s">
        <v>986</v>
      </c>
      <c r="C144" s="1067" t="s">
        <v>808</v>
      </c>
    </row>
    <row r="145" spans="1:3" ht="15.75" x14ac:dyDescent="0.2">
      <c r="B145" s="1223" t="s">
        <v>992</v>
      </c>
      <c r="C145" s="826" t="s">
        <v>921</v>
      </c>
    </row>
    <row r="146" spans="1:3" x14ac:dyDescent="0.2">
      <c r="B146" s="1067" t="s">
        <v>1315</v>
      </c>
      <c r="C146" s="1067" t="s">
        <v>1311</v>
      </c>
    </row>
    <row r="147" spans="1:3" x14ac:dyDescent="0.2">
      <c r="B147" s="1223"/>
    </row>
    <row r="154" spans="1:3" x14ac:dyDescent="0.2">
      <c r="A154" s="1221"/>
    </row>
    <row r="155" spans="1:3" x14ac:dyDescent="0.2">
      <c r="A155" s="1221"/>
      <c r="B155" s="1067" t="s">
        <v>1003</v>
      </c>
      <c r="C155" s="1067" t="s">
        <v>804</v>
      </c>
    </row>
    <row r="156" spans="1:3" x14ac:dyDescent="0.2">
      <c r="B156" s="1067" t="s">
        <v>1004</v>
      </c>
      <c r="C156" s="1067" t="s">
        <v>821</v>
      </c>
    </row>
    <row r="157" spans="1:3" x14ac:dyDescent="0.2">
      <c r="B157" s="1067" t="s">
        <v>997</v>
      </c>
      <c r="C157" s="1067" t="s">
        <v>234</v>
      </c>
    </row>
    <row r="158" spans="1:3" x14ac:dyDescent="0.2">
      <c r="B158" s="1067" t="s">
        <v>1005</v>
      </c>
      <c r="C158" s="1067" t="s">
        <v>804</v>
      </c>
    </row>
    <row r="159" spans="1:3" x14ac:dyDescent="0.2">
      <c r="B159" s="1067" t="s">
        <v>1006</v>
      </c>
      <c r="C159" s="1067" t="s">
        <v>807</v>
      </c>
    </row>
    <row r="160" spans="1:3" x14ac:dyDescent="0.2">
      <c r="B160" s="1067" t="s">
        <v>1007</v>
      </c>
      <c r="C160" s="1067" t="s">
        <v>804</v>
      </c>
    </row>
    <row r="161" spans="2:3" x14ac:dyDescent="0.2">
      <c r="B161" s="1067" t="s">
        <v>1008</v>
      </c>
      <c r="C161" s="1067" t="s">
        <v>813</v>
      </c>
    </row>
    <row r="162" spans="2:3" x14ac:dyDescent="0.2">
      <c r="B162" s="1067" t="s">
        <v>1009</v>
      </c>
      <c r="C162" s="1067" t="s">
        <v>808</v>
      </c>
    </row>
    <row r="163" spans="2:3" x14ac:dyDescent="0.2">
      <c r="B163" s="1067" t="s">
        <v>1010</v>
      </c>
      <c r="C163" s="1067" t="s">
        <v>804</v>
      </c>
    </row>
    <row r="164" spans="2:3" x14ac:dyDescent="0.2">
      <c r="B164" s="1067" t="s">
        <v>1011</v>
      </c>
      <c r="C164" s="1067" t="s">
        <v>804</v>
      </c>
    </row>
    <row r="165" spans="2:3" x14ac:dyDescent="0.2">
      <c r="B165" s="1067" t="s">
        <v>1012</v>
      </c>
      <c r="C165" s="1067" t="s">
        <v>809</v>
      </c>
    </row>
    <row r="166" spans="2:3" x14ac:dyDescent="0.2">
      <c r="B166" s="1067" t="s">
        <v>1013</v>
      </c>
      <c r="C166" s="666" t="s">
        <v>1445</v>
      </c>
    </row>
    <row r="167" spans="2:3" x14ac:dyDescent="0.2">
      <c r="B167" s="1067" t="s">
        <v>1014</v>
      </c>
      <c r="C167" s="1067" t="s">
        <v>84</v>
      </c>
    </row>
    <row r="168" spans="2:3" x14ac:dyDescent="0.2">
      <c r="B168" s="1067" t="s">
        <v>996</v>
      </c>
      <c r="C168" s="1067" t="s">
        <v>812</v>
      </c>
    </row>
    <row r="169" spans="2:3" x14ac:dyDescent="0.2">
      <c r="B169" s="1067" t="s">
        <v>1015</v>
      </c>
      <c r="C169" s="1067" t="s">
        <v>815</v>
      </c>
    </row>
    <row r="170" spans="2:3" x14ac:dyDescent="0.2">
      <c r="B170" s="1067" t="s">
        <v>1016</v>
      </c>
      <c r="C170" s="1067" t="s">
        <v>808</v>
      </c>
    </row>
    <row r="171" spans="2:3" x14ac:dyDescent="0.2">
      <c r="B171" s="1067" t="s">
        <v>1017</v>
      </c>
      <c r="C171" s="1067" t="s">
        <v>811</v>
      </c>
    </row>
    <row r="172" spans="2:3" x14ac:dyDescent="0.2">
      <c r="B172" s="1067" t="s">
        <v>1018</v>
      </c>
      <c r="C172" s="1067" t="s">
        <v>810</v>
      </c>
    </row>
    <row r="173" spans="2:3" x14ac:dyDescent="0.2">
      <c r="B173" s="1067" t="s">
        <v>1019</v>
      </c>
      <c r="C173" s="1067" t="s">
        <v>821</v>
      </c>
    </row>
    <row r="174" spans="2:3" x14ac:dyDescent="0.2">
      <c r="B174" s="1067" t="s">
        <v>1020</v>
      </c>
      <c r="C174" s="1067" t="s">
        <v>814</v>
      </c>
    </row>
    <row r="175" spans="2:3" x14ac:dyDescent="0.2">
      <c r="B175" s="1067" t="s">
        <v>1021</v>
      </c>
      <c r="C175" s="1067" t="s">
        <v>816</v>
      </c>
    </row>
    <row r="176" spans="2:3" x14ac:dyDescent="0.2">
      <c r="B176" s="1248" t="s">
        <v>1022</v>
      </c>
      <c r="C176" s="666" t="s">
        <v>1445</v>
      </c>
    </row>
    <row r="177" spans="2:3" x14ac:dyDescent="0.2">
      <c r="B177" s="1067" t="s">
        <v>1023</v>
      </c>
      <c r="C177" s="1067" t="s">
        <v>806</v>
      </c>
    </row>
    <row r="178" spans="2:3" x14ac:dyDescent="0.2">
      <c r="B178" s="1067" t="s">
        <v>1024</v>
      </c>
      <c r="C178" s="666" t="s">
        <v>1690</v>
      </c>
    </row>
    <row r="179" spans="2:3" x14ac:dyDescent="0.2">
      <c r="B179" s="1067" t="s">
        <v>1025</v>
      </c>
      <c r="C179" s="1067" t="s">
        <v>807</v>
      </c>
    </row>
    <row r="180" spans="2:3" x14ac:dyDescent="0.2">
      <c r="B180" s="1223" t="s">
        <v>1026</v>
      </c>
    </row>
    <row r="181" spans="2:3" x14ac:dyDescent="0.2">
      <c r="B181" s="1067" t="s">
        <v>1027</v>
      </c>
      <c r="C181" s="1067" t="s">
        <v>808</v>
      </c>
    </row>
    <row r="182" spans="2:3" x14ac:dyDescent="0.2">
      <c r="B182" s="1067" t="s">
        <v>1028</v>
      </c>
      <c r="C182" s="1067" t="s">
        <v>822</v>
      </c>
    </row>
    <row r="183" spans="2:3" x14ac:dyDescent="0.2">
      <c r="B183" s="1067" t="s">
        <v>1029</v>
      </c>
      <c r="C183" s="1067" t="s">
        <v>39</v>
      </c>
    </row>
    <row r="184" spans="2:3" x14ac:dyDescent="0.2">
      <c r="B184" s="1067" t="s">
        <v>1030</v>
      </c>
      <c r="C184" s="1067" t="s">
        <v>819</v>
      </c>
    </row>
    <row r="185" spans="2:3" x14ac:dyDescent="0.2">
      <c r="B185" s="1067" t="s">
        <v>1031</v>
      </c>
      <c r="C185" s="1067" t="s">
        <v>823</v>
      </c>
    </row>
    <row r="186" spans="2:3" x14ac:dyDescent="0.2">
      <c r="B186" s="1067" t="s">
        <v>1032</v>
      </c>
      <c r="C186" s="1067" t="s">
        <v>826</v>
      </c>
    </row>
    <row r="187" spans="2:3" x14ac:dyDescent="0.2">
      <c r="B187" s="1067" t="s">
        <v>1033</v>
      </c>
      <c r="C187" s="1067" t="s">
        <v>820</v>
      </c>
    </row>
    <row r="188" spans="2:3" x14ac:dyDescent="0.2">
      <c r="B188" s="1067" t="s">
        <v>999</v>
      </c>
      <c r="C188" s="1067" t="s">
        <v>656</v>
      </c>
    </row>
    <row r="189" spans="2:3" x14ac:dyDescent="0.2">
      <c r="B189" s="1067" t="s">
        <v>1034</v>
      </c>
      <c r="C189" s="1067" t="s">
        <v>818</v>
      </c>
    </row>
    <row r="190" spans="2:3" x14ac:dyDescent="0.2">
      <c r="B190" s="1067" t="s">
        <v>995</v>
      </c>
      <c r="C190" s="1067" t="s">
        <v>824</v>
      </c>
    </row>
    <row r="191" spans="2:3" x14ac:dyDescent="0.2">
      <c r="B191" s="1067" t="s">
        <v>1035</v>
      </c>
      <c r="C191" s="1067" t="s">
        <v>819</v>
      </c>
    </row>
    <row r="192" spans="2:3" x14ac:dyDescent="0.2">
      <c r="B192" s="1067" t="s">
        <v>1036</v>
      </c>
      <c r="C192" s="1067" t="s">
        <v>825</v>
      </c>
    </row>
    <row r="193" spans="2:3" x14ac:dyDescent="0.2">
      <c r="B193" s="1067" t="s">
        <v>1037</v>
      </c>
      <c r="C193" s="1067" t="s">
        <v>653</v>
      </c>
    </row>
    <row r="194" spans="2:3" x14ac:dyDescent="0.2">
      <c r="B194" s="1067" t="s">
        <v>828</v>
      </c>
      <c r="C194" s="1067" t="s">
        <v>828</v>
      </c>
    </row>
    <row r="195" spans="2:3" x14ac:dyDescent="0.2">
      <c r="B195" s="1067" t="s">
        <v>1038</v>
      </c>
      <c r="C195" s="1067" t="s">
        <v>654</v>
      </c>
    </row>
    <row r="196" spans="2:3" x14ac:dyDescent="0.2">
      <c r="B196" s="1067" t="s">
        <v>1039</v>
      </c>
      <c r="C196" s="1067" t="s">
        <v>652</v>
      </c>
    </row>
    <row r="197" spans="2:3" x14ac:dyDescent="0.2">
      <c r="B197" s="1067" t="s">
        <v>1040</v>
      </c>
      <c r="C197" s="1067" t="s">
        <v>359</v>
      </c>
    </row>
    <row r="198" spans="2:3" x14ac:dyDescent="0.2">
      <c r="B198" s="1067" t="s">
        <v>1041</v>
      </c>
      <c r="C198" s="1067" t="s">
        <v>671</v>
      </c>
    </row>
    <row r="199" spans="2:3" x14ac:dyDescent="0.2">
      <c r="B199" s="1067" t="s">
        <v>1042</v>
      </c>
      <c r="C199" s="1067" t="s">
        <v>829</v>
      </c>
    </row>
    <row r="200" spans="2:3" x14ac:dyDescent="0.2">
      <c r="B200" s="1067" t="s">
        <v>1043</v>
      </c>
      <c r="C200" s="1067" t="s">
        <v>663</v>
      </c>
    </row>
    <row r="201" spans="2:3" x14ac:dyDescent="0.2">
      <c r="B201" s="1067" t="s">
        <v>1000</v>
      </c>
      <c r="C201" s="1067" t="s">
        <v>657</v>
      </c>
    </row>
    <row r="202" spans="2:3" x14ac:dyDescent="0.2">
      <c r="B202" s="1067" t="s">
        <v>998</v>
      </c>
      <c r="C202" s="1067" t="s">
        <v>810</v>
      </c>
    </row>
    <row r="203" spans="2:3" x14ac:dyDescent="0.2">
      <c r="B203" s="1067" t="s">
        <v>1044</v>
      </c>
      <c r="C203" s="1067" t="s">
        <v>830</v>
      </c>
    </row>
    <row r="204" spans="2:3" x14ac:dyDescent="0.2">
      <c r="B204" s="1067" t="s">
        <v>1045</v>
      </c>
      <c r="C204" s="1067" t="s">
        <v>659</v>
      </c>
    </row>
    <row r="205" spans="2:3" x14ac:dyDescent="0.2">
      <c r="B205" s="1067" t="s">
        <v>1046</v>
      </c>
      <c r="C205" s="1067" t="s">
        <v>496</v>
      </c>
    </row>
    <row r="206" spans="2:3" x14ac:dyDescent="0.2">
      <c r="B206" s="1067" t="s">
        <v>1047</v>
      </c>
      <c r="C206" s="1067" t="s">
        <v>806</v>
      </c>
    </row>
    <row r="207" spans="2:3" x14ac:dyDescent="0.2">
      <c r="B207" s="1067" t="s">
        <v>1048</v>
      </c>
      <c r="C207" s="1067" t="s">
        <v>668</v>
      </c>
    </row>
    <row r="208" spans="2:3" ht="15.75" x14ac:dyDescent="0.2">
      <c r="B208" s="1067" t="s">
        <v>1049</v>
      </c>
      <c r="C208" s="826" t="s">
        <v>921</v>
      </c>
    </row>
    <row r="209" spans="2:3" x14ac:dyDescent="0.2">
      <c r="B209" s="1067" t="s">
        <v>1050</v>
      </c>
      <c r="C209" s="1067" t="s">
        <v>633</v>
      </c>
    </row>
    <row r="210" spans="2:3" x14ac:dyDescent="0.2">
      <c r="B210" s="1067" t="s">
        <v>1051</v>
      </c>
      <c r="C210" s="1067" t="s">
        <v>96</v>
      </c>
    </row>
    <row r="211" spans="2:3" x14ac:dyDescent="0.2">
      <c r="B211" s="1067" t="s">
        <v>1002</v>
      </c>
      <c r="C211" s="1067" t="s">
        <v>631</v>
      </c>
    </row>
    <row r="212" spans="2:3" x14ac:dyDescent="0.2">
      <c r="B212" s="1067" t="s">
        <v>1052</v>
      </c>
      <c r="C212" s="1067" t="s">
        <v>669</v>
      </c>
    </row>
    <row r="213" spans="2:3" x14ac:dyDescent="0.2">
      <c r="B213" s="1223" t="s">
        <v>1053</v>
      </c>
      <c r="C213" s="1067" t="s">
        <v>262</v>
      </c>
    </row>
    <row r="214" spans="2:3" x14ac:dyDescent="0.2">
      <c r="B214" s="1223" t="s">
        <v>1054</v>
      </c>
      <c r="C214" s="1067" t="s">
        <v>655</v>
      </c>
    </row>
    <row r="215" spans="2:3" x14ac:dyDescent="0.2">
      <c r="B215" s="1223" t="s">
        <v>1055</v>
      </c>
      <c r="C215" s="1067" t="s">
        <v>678</v>
      </c>
    </row>
    <row r="216" spans="2:3" x14ac:dyDescent="0.2">
      <c r="B216" s="1223" t="s">
        <v>1056</v>
      </c>
      <c r="C216" s="1067" t="s">
        <v>644</v>
      </c>
    </row>
    <row r="217" spans="2:3" x14ac:dyDescent="0.2">
      <c r="B217" s="1223" t="s">
        <v>1057</v>
      </c>
      <c r="C217" s="1067" t="s">
        <v>646</v>
      </c>
    </row>
    <row r="218" spans="2:3" x14ac:dyDescent="0.2">
      <c r="B218" s="1223" t="s">
        <v>1058</v>
      </c>
      <c r="C218" s="1067" t="s">
        <v>626</v>
      </c>
    </row>
    <row r="219" spans="2:3" x14ac:dyDescent="0.2">
      <c r="B219" s="1223" t="s">
        <v>1059</v>
      </c>
      <c r="C219" s="1067" t="s">
        <v>632</v>
      </c>
    </row>
    <row r="220" spans="2:3" x14ac:dyDescent="0.2">
      <c r="B220" s="1223" t="s">
        <v>1060</v>
      </c>
      <c r="C220" s="1067" t="s">
        <v>662</v>
      </c>
    </row>
    <row r="221" spans="2:3" ht="15.75" x14ac:dyDescent="0.2">
      <c r="B221" s="1223" t="s">
        <v>1061</v>
      </c>
      <c r="C221" s="814" t="s">
        <v>673</v>
      </c>
    </row>
    <row r="222" spans="2:3" x14ac:dyDescent="0.2">
      <c r="B222" s="1223" t="s">
        <v>1062</v>
      </c>
      <c r="C222" s="1067" t="s">
        <v>228</v>
      </c>
    </row>
    <row r="223" spans="2:3" x14ac:dyDescent="0.2">
      <c r="B223" s="1223" t="s">
        <v>1063</v>
      </c>
      <c r="C223" s="1067" t="s">
        <v>833</v>
      </c>
    </row>
    <row r="224" spans="2:3" x14ac:dyDescent="0.2">
      <c r="B224" s="1223" t="s">
        <v>1064</v>
      </c>
      <c r="C224" s="1067" t="s">
        <v>645</v>
      </c>
    </row>
    <row r="225" spans="2:3" x14ac:dyDescent="0.2">
      <c r="B225" s="1223" t="s">
        <v>1065</v>
      </c>
      <c r="C225" s="1067" t="s">
        <v>672</v>
      </c>
    </row>
    <row r="226" spans="2:3" x14ac:dyDescent="0.2">
      <c r="B226" s="1223" t="s">
        <v>51</v>
      </c>
      <c r="C226" s="1067" t="s">
        <v>385</v>
      </c>
    </row>
    <row r="227" spans="2:3" x14ac:dyDescent="0.2">
      <c r="B227" s="1223" t="s">
        <v>1066</v>
      </c>
      <c r="C227" s="1067" t="s">
        <v>674</v>
      </c>
    </row>
    <row r="228" spans="2:3" x14ac:dyDescent="0.2">
      <c r="B228" s="1223" t="s">
        <v>1067</v>
      </c>
      <c r="C228" s="1067" t="s">
        <v>627</v>
      </c>
    </row>
    <row r="229" spans="2:3" x14ac:dyDescent="0.2">
      <c r="B229" s="1223" t="s">
        <v>1068</v>
      </c>
      <c r="C229" s="1067" t="s">
        <v>63</v>
      </c>
    </row>
    <row r="230" spans="2:3" x14ac:dyDescent="0.2">
      <c r="B230" s="1223" t="s">
        <v>407</v>
      </c>
      <c r="C230" s="1067" t="s">
        <v>97</v>
      </c>
    </row>
    <row r="231" spans="2:3" x14ac:dyDescent="0.2">
      <c r="B231" s="1223" t="s">
        <v>1069</v>
      </c>
      <c r="C231" s="1067" t="s">
        <v>839</v>
      </c>
    </row>
    <row r="232" spans="2:3" x14ac:dyDescent="0.2">
      <c r="B232" s="1223" t="s">
        <v>1070</v>
      </c>
      <c r="C232" s="1067" t="s">
        <v>638</v>
      </c>
    </row>
    <row r="233" spans="2:3" x14ac:dyDescent="0.2">
      <c r="B233" s="1223" t="s">
        <v>1071</v>
      </c>
      <c r="C233" s="1067" t="s">
        <v>837</v>
      </c>
    </row>
    <row r="234" spans="2:3" x14ac:dyDescent="0.2">
      <c r="B234" s="1223" t="s">
        <v>1072</v>
      </c>
      <c r="C234" s="1067" t="s">
        <v>673</v>
      </c>
    </row>
    <row r="235" spans="2:3" x14ac:dyDescent="0.2">
      <c r="B235" s="1223" t="s">
        <v>1073</v>
      </c>
      <c r="C235" s="1067" t="s">
        <v>665</v>
      </c>
    </row>
    <row r="236" spans="2:3" x14ac:dyDescent="0.2">
      <c r="B236" s="1223" t="s">
        <v>1074</v>
      </c>
      <c r="C236" s="1067" t="s">
        <v>836</v>
      </c>
    </row>
    <row r="237" spans="2:3" x14ac:dyDescent="0.2">
      <c r="B237" s="1223" t="s">
        <v>1075</v>
      </c>
      <c r="C237" s="1067" t="s">
        <v>675</v>
      </c>
    </row>
    <row r="238" spans="2:3" x14ac:dyDescent="0.2">
      <c r="B238" s="1223" t="s">
        <v>1076</v>
      </c>
      <c r="C238" s="1067" t="s">
        <v>367</v>
      </c>
    </row>
    <row r="239" spans="2:3" x14ac:dyDescent="0.2">
      <c r="B239" s="1223" t="s">
        <v>1077</v>
      </c>
      <c r="C239" s="1067" t="s">
        <v>832</v>
      </c>
    </row>
    <row r="240" spans="2:3" x14ac:dyDescent="0.2">
      <c r="B240" s="1223" t="s">
        <v>1078</v>
      </c>
      <c r="C240" s="1067" t="s">
        <v>631</v>
      </c>
    </row>
    <row r="241" spans="2:3" x14ac:dyDescent="0.2">
      <c r="B241" s="1223" t="s">
        <v>1079</v>
      </c>
      <c r="C241" s="1067" t="s">
        <v>639</v>
      </c>
    </row>
    <row r="242" spans="2:3" x14ac:dyDescent="0.2">
      <c r="B242" s="1223" t="s">
        <v>1080</v>
      </c>
      <c r="C242" s="1067" t="s">
        <v>650</v>
      </c>
    </row>
    <row r="243" spans="2:3" x14ac:dyDescent="0.2">
      <c r="B243" s="1223" t="s">
        <v>1081</v>
      </c>
      <c r="C243" s="1067" t="s">
        <v>667</v>
      </c>
    </row>
    <row r="244" spans="2:3" x14ac:dyDescent="0.2">
      <c r="B244" s="1223" t="s">
        <v>1082</v>
      </c>
      <c r="C244" s="1067" t="s">
        <v>628</v>
      </c>
    </row>
    <row r="245" spans="2:3" x14ac:dyDescent="0.2">
      <c r="B245" s="1223" t="s">
        <v>1083</v>
      </c>
      <c r="C245" s="1067" t="s">
        <v>838</v>
      </c>
    </row>
    <row r="246" spans="2:3" x14ac:dyDescent="0.2">
      <c r="B246" s="1223" t="s">
        <v>773</v>
      </c>
      <c r="C246" s="1067" t="s">
        <v>670</v>
      </c>
    </row>
    <row r="247" spans="2:3" x14ac:dyDescent="0.2">
      <c r="B247" s="1223" t="s">
        <v>1084</v>
      </c>
      <c r="C247" s="1067" t="s">
        <v>643</v>
      </c>
    </row>
    <row r="248" spans="2:3" x14ac:dyDescent="0.2">
      <c r="B248" s="1223" t="s">
        <v>1085</v>
      </c>
      <c r="C248" s="1067" t="s">
        <v>323</v>
      </c>
    </row>
    <row r="249" spans="2:3" x14ac:dyDescent="0.2">
      <c r="B249" s="1223" t="s">
        <v>1086</v>
      </c>
      <c r="C249" s="1067" t="s">
        <v>834</v>
      </c>
    </row>
    <row r="250" spans="2:3" x14ac:dyDescent="0.2">
      <c r="B250" s="1223" t="s">
        <v>1087</v>
      </c>
      <c r="C250" s="1067" t="s">
        <v>471</v>
      </c>
    </row>
    <row r="251" spans="2:3" x14ac:dyDescent="0.2">
      <c r="B251" s="1223" t="s">
        <v>1088</v>
      </c>
      <c r="C251" s="1067" t="s">
        <v>677</v>
      </c>
    </row>
    <row r="252" spans="2:3" x14ac:dyDescent="0.2">
      <c r="B252" s="1223" t="s">
        <v>1089</v>
      </c>
      <c r="C252" s="1067" t="s">
        <v>520</v>
      </c>
    </row>
    <row r="253" spans="2:3" x14ac:dyDescent="0.2">
      <c r="B253" s="1223" t="s">
        <v>1090</v>
      </c>
      <c r="C253" s="1067" t="s">
        <v>636</v>
      </c>
    </row>
    <row r="254" spans="2:3" x14ac:dyDescent="0.2">
      <c r="B254" s="1223" t="s">
        <v>1091</v>
      </c>
      <c r="C254" s="1067" t="s">
        <v>649</v>
      </c>
    </row>
    <row r="255" spans="2:3" x14ac:dyDescent="0.2">
      <c r="B255" s="1223" t="s">
        <v>1092</v>
      </c>
      <c r="C255" s="1067" t="s">
        <v>637</v>
      </c>
    </row>
    <row r="256" spans="2:3" x14ac:dyDescent="0.2">
      <c r="B256" s="1223" t="s">
        <v>1093</v>
      </c>
      <c r="C256" s="1067" t="s">
        <v>374</v>
      </c>
    </row>
    <row r="257" spans="2:3" x14ac:dyDescent="0.2">
      <c r="B257" s="1223" t="s">
        <v>1094</v>
      </c>
      <c r="C257" s="1067" t="s">
        <v>660</v>
      </c>
    </row>
    <row r="258" spans="2:3" x14ac:dyDescent="0.2">
      <c r="B258" s="1223" t="s">
        <v>1095</v>
      </c>
      <c r="C258" s="1067" t="s">
        <v>545</v>
      </c>
    </row>
    <row r="259" spans="2:3" x14ac:dyDescent="0.2">
      <c r="B259" s="1223" t="s">
        <v>1096</v>
      </c>
      <c r="C259" s="1067" t="s">
        <v>60</v>
      </c>
    </row>
    <row r="260" spans="2:3" x14ac:dyDescent="0.2">
      <c r="B260" s="1223" t="s">
        <v>679</v>
      </c>
      <c r="C260" s="1067" t="s">
        <v>679</v>
      </c>
    </row>
    <row r="261" spans="2:3" x14ac:dyDescent="0.2">
      <c r="B261" s="1223" t="s">
        <v>1097</v>
      </c>
      <c r="C261" s="1067" t="s">
        <v>648</v>
      </c>
    </row>
    <row r="262" spans="2:3" x14ac:dyDescent="0.2">
      <c r="B262" s="1223" t="s">
        <v>1098</v>
      </c>
      <c r="C262" s="1067" t="s">
        <v>647</v>
      </c>
    </row>
    <row r="263" spans="2:3" x14ac:dyDescent="0.2">
      <c r="B263" s="1223" t="s">
        <v>1099</v>
      </c>
      <c r="C263" s="1067" t="s">
        <v>651</v>
      </c>
    </row>
    <row r="264" spans="2:3" x14ac:dyDescent="0.2">
      <c r="B264" s="1223" t="s">
        <v>1100</v>
      </c>
      <c r="C264" s="1067" t="s">
        <v>342</v>
      </c>
    </row>
    <row r="265" spans="2:3" x14ac:dyDescent="0.2">
      <c r="B265" s="1223" t="s">
        <v>1001</v>
      </c>
      <c r="C265" s="1067" t="s">
        <v>630</v>
      </c>
    </row>
    <row r="266" spans="2:3" x14ac:dyDescent="0.2">
      <c r="B266" s="1223" t="s">
        <v>1101</v>
      </c>
      <c r="C266" s="1067" t="s">
        <v>629</v>
      </c>
    </row>
    <row r="267" spans="2:3" x14ac:dyDescent="0.2">
      <c r="B267" s="1223" t="s">
        <v>1102</v>
      </c>
      <c r="C267" s="1067" t="s">
        <v>642</v>
      </c>
    </row>
    <row r="268" spans="2:3" x14ac:dyDescent="0.2">
      <c r="B268" s="1223" t="s">
        <v>1103</v>
      </c>
      <c r="C268" s="1067" t="s">
        <v>634</v>
      </c>
    </row>
    <row r="269" spans="2:3" x14ac:dyDescent="0.2">
      <c r="B269" s="1223" t="s">
        <v>1104</v>
      </c>
      <c r="C269" s="1067" t="s">
        <v>680</v>
      </c>
    </row>
    <row r="270" spans="2:3" x14ac:dyDescent="0.2">
      <c r="B270" s="1223" t="s">
        <v>1105</v>
      </c>
      <c r="C270" s="1067" t="s">
        <v>641</v>
      </c>
    </row>
    <row r="271" spans="2:3" x14ac:dyDescent="0.2">
      <c r="B271" s="1223" t="s">
        <v>1106</v>
      </c>
      <c r="C271" s="1067" t="s">
        <v>635</v>
      </c>
    </row>
    <row r="272" spans="2:3" x14ac:dyDescent="0.2">
      <c r="B272" s="1223" t="s">
        <v>1107</v>
      </c>
      <c r="C272" s="1067" t="s">
        <v>640</v>
      </c>
    </row>
    <row r="273" spans="2:3" ht="15.75" x14ac:dyDescent="0.25">
      <c r="B273" s="1223" t="s">
        <v>1108</v>
      </c>
      <c r="C273" s="795" t="s">
        <v>1593</v>
      </c>
    </row>
    <row r="274" spans="2:3" ht="15.75" x14ac:dyDescent="0.25">
      <c r="B274" s="1223" t="s">
        <v>1114</v>
      </c>
      <c r="C274" s="1177" t="s">
        <v>1111</v>
      </c>
    </row>
    <row r="275" spans="2:3" x14ac:dyDescent="0.2">
      <c r="B275" s="1223" t="s">
        <v>1117</v>
      </c>
      <c r="C275" s="1067" t="s">
        <v>676</v>
      </c>
    </row>
    <row r="276" spans="2:3" x14ac:dyDescent="0.2">
      <c r="B276" s="1223" t="s">
        <v>1119</v>
      </c>
      <c r="C276" s="1067" t="s">
        <v>822</v>
      </c>
    </row>
    <row r="277" spans="2:3" x14ac:dyDescent="0.2">
      <c r="B277" s="1223" t="s">
        <v>1120</v>
      </c>
      <c r="C277" s="1067" t="s">
        <v>462</v>
      </c>
    </row>
    <row r="278" spans="2:3" ht="15.75" x14ac:dyDescent="0.2">
      <c r="B278" s="1223" t="s">
        <v>1131</v>
      </c>
      <c r="C278" s="843" t="s">
        <v>664</v>
      </c>
    </row>
    <row r="279" spans="2:3" ht="15.75" x14ac:dyDescent="0.25">
      <c r="B279" s="1223" t="s">
        <v>1135</v>
      </c>
      <c r="C279" s="1224" t="s">
        <v>923</v>
      </c>
    </row>
    <row r="280" spans="2:3" ht="15.75" x14ac:dyDescent="0.25">
      <c r="B280" s="1223" t="s">
        <v>1134</v>
      </c>
      <c r="C280" s="1224" t="s">
        <v>1136</v>
      </c>
    </row>
    <row r="281" spans="2:3" x14ac:dyDescent="0.2">
      <c r="B281" s="1223" t="s">
        <v>1144</v>
      </c>
      <c r="C281" s="1067" t="s">
        <v>210</v>
      </c>
    </row>
    <row r="282" spans="2:3" x14ac:dyDescent="0.2">
      <c r="B282" s="1223" t="s">
        <v>1147</v>
      </c>
      <c r="C282" s="1067" t="s">
        <v>658</v>
      </c>
    </row>
    <row r="283" spans="2:3" x14ac:dyDescent="0.2">
      <c r="B283" s="1223"/>
    </row>
    <row r="284" spans="2:3" x14ac:dyDescent="0.2">
      <c r="B284" s="1067" t="s">
        <v>1149</v>
      </c>
      <c r="C284" s="1067" t="s">
        <v>903</v>
      </c>
    </row>
    <row r="285" spans="2:3" x14ac:dyDescent="0.2">
      <c r="B285" s="1223" t="s">
        <v>1151</v>
      </c>
      <c r="C285" s="1067" t="s">
        <v>840</v>
      </c>
    </row>
    <row r="286" spans="2:3" ht="15.75" x14ac:dyDescent="0.25">
      <c r="B286" s="1223" t="s">
        <v>1164</v>
      </c>
      <c r="C286" s="1225" t="s">
        <v>1152</v>
      </c>
    </row>
    <row r="287" spans="2:3" x14ac:dyDescent="0.2">
      <c r="B287" s="1223" t="s">
        <v>1165</v>
      </c>
      <c r="C287" s="1067" t="s">
        <v>483</v>
      </c>
    </row>
    <row r="288" spans="2:3" ht="15.75" x14ac:dyDescent="0.2">
      <c r="B288" s="1223" t="s">
        <v>1166</v>
      </c>
      <c r="C288" s="814" t="s">
        <v>593</v>
      </c>
    </row>
    <row r="289" spans="2:3" x14ac:dyDescent="0.2">
      <c r="B289" s="1223" t="s">
        <v>1173</v>
      </c>
      <c r="C289" s="1222" t="s">
        <v>1172</v>
      </c>
    </row>
    <row r="290" spans="2:3" x14ac:dyDescent="0.2">
      <c r="B290" s="1223" t="s">
        <v>1175</v>
      </c>
      <c r="C290" s="1222" t="s">
        <v>1169</v>
      </c>
    </row>
    <row r="291" spans="2:3" ht="15.75" x14ac:dyDescent="0.25">
      <c r="B291" s="1223" t="s">
        <v>1191</v>
      </c>
      <c r="C291" s="1224" t="s">
        <v>1136</v>
      </c>
    </row>
    <row r="292" spans="2:3" x14ac:dyDescent="0.2">
      <c r="B292" s="1067" t="s">
        <v>1200</v>
      </c>
      <c r="C292" s="1067" t="s">
        <v>1202</v>
      </c>
    </row>
    <row r="293" spans="2:3" x14ac:dyDescent="0.2">
      <c r="B293" s="1067" t="s">
        <v>1201</v>
      </c>
      <c r="C293" s="1067" t="s">
        <v>804</v>
      </c>
    </row>
    <row r="294" spans="2:3" ht="15.75" x14ac:dyDescent="0.25">
      <c r="B294" s="1204" t="s">
        <v>1210</v>
      </c>
      <c r="C294" s="1224" t="s">
        <v>1136</v>
      </c>
    </row>
    <row r="295" spans="2:3" x14ac:dyDescent="0.2">
      <c r="B295" s="1788" t="s">
        <v>1220</v>
      </c>
      <c r="C295" s="1067" t="s">
        <v>841</v>
      </c>
    </row>
    <row r="296" spans="2:3" x14ac:dyDescent="0.2">
      <c r="B296" s="1204" t="s">
        <v>1221</v>
      </c>
      <c r="C296" s="1067" t="s">
        <v>841</v>
      </c>
    </row>
    <row r="297" spans="2:3" x14ac:dyDescent="0.2">
      <c r="B297" s="1067" t="s">
        <v>1222</v>
      </c>
      <c r="C297" s="1067" t="s">
        <v>804</v>
      </c>
    </row>
    <row r="298" spans="2:3" ht="15.75" x14ac:dyDescent="0.25">
      <c r="B298" s="1204" t="s">
        <v>1223</v>
      </c>
      <c r="C298" s="795" t="s">
        <v>964</v>
      </c>
    </row>
    <row r="299" spans="2:3" ht="15.75" x14ac:dyDescent="0.2">
      <c r="B299" s="1204"/>
      <c r="C299" s="814"/>
    </row>
    <row r="300" spans="2:3" x14ac:dyDescent="0.2">
      <c r="B300" s="1204" t="s">
        <v>1240</v>
      </c>
      <c r="C300" s="666" t="s">
        <v>1445</v>
      </c>
    </row>
    <row r="301" spans="2:3" x14ac:dyDescent="0.2">
      <c r="B301" s="1204" t="s">
        <v>1241</v>
      </c>
      <c r="C301" s="1067" t="s">
        <v>808</v>
      </c>
    </row>
    <row r="302" spans="2:3" x14ac:dyDescent="0.2">
      <c r="B302" s="1204" t="s">
        <v>1242</v>
      </c>
      <c r="C302" s="1067" t="s">
        <v>821</v>
      </c>
    </row>
    <row r="303" spans="2:3" ht="15.75" x14ac:dyDescent="0.25">
      <c r="B303" s="1204" t="s">
        <v>1243</v>
      </c>
      <c r="C303" s="795" t="s">
        <v>1244</v>
      </c>
    </row>
    <row r="304" spans="2:3" x14ac:dyDescent="0.2">
      <c r="B304" s="1067" t="s">
        <v>1250</v>
      </c>
      <c r="C304" s="1067" t="s">
        <v>1198</v>
      </c>
    </row>
    <row r="305" spans="2:3" x14ac:dyDescent="0.2">
      <c r="B305" s="1204" t="s">
        <v>1258</v>
      </c>
      <c r="C305" s="1067" t="s">
        <v>84</v>
      </c>
    </row>
    <row r="306" spans="2:3" ht="15.75" x14ac:dyDescent="0.25">
      <c r="B306" s="1204" t="s">
        <v>1263</v>
      </c>
      <c r="C306" s="795" t="s">
        <v>879</v>
      </c>
    </row>
    <row r="307" spans="2:3" ht="15.75" x14ac:dyDescent="0.25">
      <c r="B307" s="1204" t="s">
        <v>1264</v>
      </c>
      <c r="C307" s="795" t="s">
        <v>845</v>
      </c>
    </row>
    <row r="308" spans="2:3" x14ac:dyDescent="0.2">
      <c r="B308" s="1204" t="s">
        <v>1278</v>
      </c>
      <c r="C308" s="1067" t="s">
        <v>804</v>
      </c>
    </row>
    <row r="309" spans="2:3" x14ac:dyDescent="0.2">
      <c r="B309" s="1204" t="s">
        <v>1287</v>
      </c>
      <c r="C309" s="1067" t="s">
        <v>84</v>
      </c>
    </row>
    <row r="310" spans="2:3" x14ac:dyDescent="0.2">
      <c r="B310" s="1204" t="s">
        <v>1242</v>
      </c>
      <c r="C310" s="1070" t="s">
        <v>841</v>
      </c>
    </row>
    <row r="311" spans="2:3" x14ac:dyDescent="0.2">
      <c r="B311" s="1204" t="s">
        <v>1299</v>
      </c>
      <c r="C311" s="1067" t="s">
        <v>234</v>
      </c>
    </row>
    <row r="312" spans="2:3" ht="15.75" x14ac:dyDescent="0.25">
      <c r="B312" s="1204" t="s">
        <v>1304</v>
      </c>
      <c r="C312" s="1225" t="s">
        <v>1152</v>
      </c>
    </row>
    <row r="313" spans="2:3" x14ac:dyDescent="0.2">
      <c r="B313" s="1204" t="s">
        <v>1328</v>
      </c>
      <c r="C313" s="1067" t="s">
        <v>806</v>
      </c>
    </row>
    <row r="314" spans="2:3" x14ac:dyDescent="0.2">
      <c r="B314" s="1204" t="s">
        <v>1331</v>
      </c>
      <c r="C314" s="1067" t="s">
        <v>807</v>
      </c>
    </row>
    <row r="315" spans="2:3" x14ac:dyDescent="0.2">
      <c r="B315" s="1204" t="s">
        <v>1332</v>
      </c>
      <c r="C315" s="1067" t="s">
        <v>819</v>
      </c>
    </row>
    <row r="316" spans="2:3" x14ac:dyDescent="0.2">
      <c r="B316" s="667" t="s">
        <v>1338</v>
      </c>
      <c r="C316" s="1067" t="s">
        <v>1330</v>
      </c>
    </row>
    <row r="317" spans="2:3" x14ac:dyDescent="0.2">
      <c r="B317" s="667" t="s">
        <v>1347</v>
      </c>
      <c r="C317" s="1067" t="s">
        <v>1346</v>
      </c>
    </row>
    <row r="318" spans="2:3" x14ac:dyDescent="0.2">
      <c r="B318" s="667" t="s">
        <v>1351</v>
      </c>
      <c r="C318" s="1067" t="s">
        <v>808</v>
      </c>
    </row>
    <row r="319" spans="2:3" x14ac:dyDescent="0.2">
      <c r="B319" s="667" t="s">
        <v>1350</v>
      </c>
      <c r="C319" s="1067" t="s">
        <v>672</v>
      </c>
    </row>
    <row r="320" spans="2:3" x14ac:dyDescent="0.2">
      <c r="B320" s="667" t="s">
        <v>1354</v>
      </c>
      <c r="C320" s="666" t="s">
        <v>1283</v>
      </c>
    </row>
    <row r="321" spans="2:3" ht="15.75" x14ac:dyDescent="0.25">
      <c r="B321" s="667" t="s">
        <v>1355</v>
      </c>
      <c r="C321" s="795" t="s">
        <v>1203</v>
      </c>
    </row>
    <row r="322" spans="2:3" ht="15.75" x14ac:dyDescent="0.25">
      <c r="B322" s="667" t="s">
        <v>1356</v>
      </c>
      <c r="C322" s="795" t="s">
        <v>1288</v>
      </c>
    </row>
    <row r="323" spans="2:3" ht="15.75" x14ac:dyDescent="0.2">
      <c r="B323" s="667"/>
      <c r="C323" s="814"/>
    </row>
    <row r="324" spans="2:3" ht="15.75" x14ac:dyDescent="0.25">
      <c r="B324" s="667" t="s">
        <v>1364</v>
      </c>
      <c r="C324" s="795" t="s">
        <v>1361</v>
      </c>
    </row>
    <row r="325" spans="2:3" x14ac:dyDescent="0.2">
      <c r="B325" s="1204" t="s">
        <v>1289</v>
      </c>
      <c r="C325" s="1067" t="s">
        <v>1259</v>
      </c>
    </row>
    <row r="326" spans="2:3" x14ac:dyDescent="0.2">
      <c r="B326" s="667" t="s">
        <v>1381</v>
      </c>
      <c r="C326" s="1067" t="s">
        <v>811</v>
      </c>
    </row>
    <row r="327" spans="2:3" x14ac:dyDescent="0.2">
      <c r="B327" s="667" t="s">
        <v>1380</v>
      </c>
      <c r="C327" s="1067" t="s">
        <v>1282</v>
      </c>
    </row>
    <row r="328" spans="2:3" x14ac:dyDescent="0.2">
      <c r="B328" s="667" t="s">
        <v>1387</v>
      </c>
      <c r="C328" s="1067" t="s">
        <v>1370</v>
      </c>
    </row>
    <row r="329" spans="2:3" x14ac:dyDescent="0.2">
      <c r="B329" s="667" t="s">
        <v>1388</v>
      </c>
      <c r="C329" s="1067" t="s">
        <v>234</v>
      </c>
    </row>
    <row r="330" spans="2:3" x14ac:dyDescent="0.2">
      <c r="B330" s="667" t="s">
        <v>1389</v>
      </c>
      <c r="C330" s="1067" t="s">
        <v>823</v>
      </c>
    </row>
    <row r="331" spans="2:3" x14ac:dyDescent="0.2">
      <c r="B331" s="667" t="s">
        <v>1398</v>
      </c>
      <c r="C331" s="666" t="s">
        <v>1394</v>
      </c>
    </row>
    <row r="332" spans="2:3" x14ac:dyDescent="0.2">
      <c r="B332" s="667" t="s">
        <v>1401</v>
      </c>
      <c r="C332" s="666" t="s">
        <v>1402</v>
      </c>
    </row>
    <row r="333" spans="2:3" x14ac:dyDescent="0.2">
      <c r="B333" s="1204" t="s">
        <v>1013</v>
      </c>
      <c r="C333" s="666" t="s">
        <v>1445</v>
      </c>
    </row>
    <row r="334" spans="2:3" x14ac:dyDescent="0.2">
      <c r="B334" s="667" t="s">
        <v>1407</v>
      </c>
      <c r="C334" s="666" t="s">
        <v>1403</v>
      </c>
    </row>
    <row r="335" spans="2:3" x14ac:dyDescent="0.2">
      <c r="B335" s="1204" t="s">
        <v>1414</v>
      </c>
      <c r="C335" s="1067" t="s">
        <v>804</v>
      </c>
    </row>
    <row r="336" spans="2:3" x14ac:dyDescent="0.2">
      <c r="B336" s="1204" t="s">
        <v>1416</v>
      </c>
      <c r="C336" s="1067" t="s">
        <v>804</v>
      </c>
    </row>
    <row r="337" spans="2:3" ht="15.75" x14ac:dyDescent="0.25">
      <c r="B337" s="667" t="s">
        <v>1427</v>
      </c>
      <c r="C337" s="795" t="s">
        <v>805</v>
      </c>
    </row>
    <row r="338" spans="2:3" x14ac:dyDescent="0.2">
      <c r="B338" s="667" t="s">
        <v>1433</v>
      </c>
      <c r="C338" s="1067" t="s">
        <v>323</v>
      </c>
    </row>
    <row r="339" spans="2:3" x14ac:dyDescent="0.2">
      <c r="B339" s="667" t="s">
        <v>1240</v>
      </c>
      <c r="C339" s="1067" t="s">
        <v>841</v>
      </c>
    </row>
    <row r="340" spans="2:3" ht="15.75" x14ac:dyDescent="0.2">
      <c r="B340" s="667" t="s">
        <v>1434</v>
      </c>
      <c r="C340" s="814" t="s">
        <v>1429</v>
      </c>
    </row>
    <row r="341" spans="2:3" ht="15.75" x14ac:dyDescent="0.25">
      <c r="B341" s="1204" t="s">
        <v>1442</v>
      </c>
      <c r="C341" s="795" t="s">
        <v>1439</v>
      </c>
    </row>
    <row r="342" spans="2:3" x14ac:dyDescent="0.2">
      <c r="B342" s="1204" t="s">
        <v>1443</v>
      </c>
      <c r="C342" s="1067" t="s">
        <v>806</v>
      </c>
    </row>
    <row r="343" spans="2:3" ht="15.75" x14ac:dyDescent="0.25">
      <c r="B343" s="1204" t="s">
        <v>1201</v>
      </c>
      <c r="C343" s="1496" t="s">
        <v>804</v>
      </c>
    </row>
    <row r="344" spans="2:3" x14ac:dyDescent="0.2">
      <c r="B344" s="1204" t="s">
        <v>1022</v>
      </c>
      <c r="C344" s="666" t="s">
        <v>1445</v>
      </c>
    </row>
    <row r="345" spans="2:3" x14ac:dyDescent="0.2">
      <c r="B345" s="1204" t="s">
        <v>1490</v>
      </c>
      <c r="C345" s="1204" t="s">
        <v>673</v>
      </c>
    </row>
    <row r="346" spans="2:3" x14ac:dyDescent="0.2">
      <c r="B346" s="1204" t="s">
        <v>1489</v>
      </c>
      <c r="C346" s="1222" t="s">
        <v>1172</v>
      </c>
    </row>
    <row r="347" spans="2:3" x14ac:dyDescent="0.2">
      <c r="B347" s="667" t="s">
        <v>1492</v>
      </c>
      <c r="C347" s="1067" t="s">
        <v>814</v>
      </c>
    </row>
    <row r="348" spans="2:3" x14ac:dyDescent="0.2">
      <c r="B348" s="1204" t="s">
        <v>1498</v>
      </c>
      <c r="C348" s="1067" t="s">
        <v>1198</v>
      </c>
    </row>
    <row r="349" spans="2:3" x14ac:dyDescent="0.2">
      <c r="B349" s="1721" t="s">
        <v>1497</v>
      </c>
      <c r="C349" s="666" t="s">
        <v>1499</v>
      </c>
    </row>
    <row r="350" spans="2:3" x14ac:dyDescent="0.2">
      <c r="B350" s="1204" t="s">
        <v>1500</v>
      </c>
      <c r="C350" s="1067" t="s">
        <v>809</v>
      </c>
    </row>
    <row r="351" spans="2:3" x14ac:dyDescent="0.2">
      <c r="B351" s="667" t="s">
        <v>1515</v>
      </c>
      <c r="C351" s="1067" t="s">
        <v>1516</v>
      </c>
    </row>
    <row r="352" spans="2:3" x14ac:dyDescent="0.2">
      <c r="B352" s="667" t="s">
        <v>1523</v>
      </c>
      <c r="C352" s="1067" t="s">
        <v>1521</v>
      </c>
    </row>
    <row r="353" spans="2:3" x14ac:dyDescent="0.2">
      <c r="B353" s="667" t="s">
        <v>1524</v>
      </c>
      <c r="C353" s="1067" t="s">
        <v>1507</v>
      </c>
    </row>
    <row r="354" spans="2:3" x14ac:dyDescent="0.2">
      <c r="B354" s="667" t="s">
        <v>1525</v>
      </c>
      <c r="C354" s="1067" t="s">
        <v>1506</v>
      </c>
    </row>
    <row r="355" spans="2:3" x14ac:dyDescent="0.2">
      <c r="B355" s="667" t="s">
        <v>1529</v>
      </c>
      <c r="C355" s="1067" t="s">
        <v>809</v>
      </c>
    </row>
    <row r="356" spans="2:3" x14ac:dyDescent="0.2">
      <c r="B356" s="667" t="s">
        <v>1530</v>
      </c>
      <c r="C356" s="1067" t="s">
        <v>1512</v>
      </c>
    </row>
    <row r="357" spans="2:3" x14ac:dyDescent="0.2">
      <c r="B357" s="667" t="s">
        <v>1531</v>
      </c>
      <c r="C357" s="666" t="s">
        <v>1535</v>
      </c>
    </row>
    <row r="358" spans="2:3" x14ac:dyDescent="0.2">
      <c r="B358" s="667" t="s">
        <v>1537</v>
      </c>
      <c r="C358" s="1067" t="s">
        <v>1516</v>
      </c>
    </row>
    <row r="359" spans="2:3" x14ac:dyDescent="0.2">
      <c r="B359" s="667" t="s">
        <v>1539</v>
      </c>
      <c r="C359" s="666" t="s">
        <v>1403</v>
      </c>
    </row>
    <row r="360" spans="2:3" x14ac:dyDescent="0.2">
      <c r="B360" s="667" t="s">
        <v>1546</v>
      </c>
      <c r="C360" s="1067" t="s">
        <v>810</v>
      </c>
    </row>
    <row r="361" spans="2:3" x14ac:dyDescent="0.2">
      <c r="B361" s="667" t="s">
        <v>1547</v>
      </c>
      <c r="C361" s="1067" t="s">
        <v>810</v>
      </c>
    </row>
    <row r="362" spans="2:3" x14ac:dyDescent="0.2">
      <c r="B362" s="667" t="s">
        <v>1552</v>
      </c>
      <c r="C362" s="1067" t="s">
        <v>807</v>
      </c>
    </row>
    <row r="363" spans="2:3" x14ac:dyDescent="0.2">
      <c r="B363" s="667" t="s">
        <v>1553</v>
      </c>
      <c r="C363" s="1067" t="s">
        <v>262</v>
      </c>
    </row>
    <row r="364" spans="2:3" x14ac:dyDescent="0.2">
      <c r="B364" s="1787" t="s">
        <v>1220</v>
      </c>
      <c r="C364" s="1070" t="s">
        <v>841</v>
      </c>
    </row>
    <row r="365" spans="2:3" x14ac:dyDescent="0.2">
      <c r="B365" s="667" t="s">
        <v>1565</v>
      </c>
      <c r="C365" s="1070" t="s">
        <v>841</v>
      </c>
    </row>
    <row r="366" spans="2:3" x14ac:dyDescent="0.2">
      <c r="B366" s="667" t="s">
        <v>1566</v>
      </c>
      <c r="C366" s="1070" t="s">
        <v>841</v>
      </c>
    </row>
    <row r="367" spans="2:3" ht="15.75" x14ac:dyDescent="0.25">
      <c r="B367" s="1204" t="s">
        <v>1569</v>
      </c>
      <c r="C367" s="795" t="s">
        <v>1562</v>
      </c>
    </row>
    <row r="368" spans="2:3" ht="15.75" x14ac:dyDescent="0.25">
      <c r="B368" s="1204" t="s">
        <v>1568</v>
      </c>
      <c r="C368" s="795" t="s">
        <v>1562</v>
      </c>
    </row>
    <row r="369" spans="2:3" x14ac:dyDescent="0.2">
      <c r="B369" s="1067" t="s">
        <v>1570</v>
      </c>
      <c r="C369" s="1067" t="s">
        <v>545</v>
      </c>
    </row>
    <row r="370" spans="2:3" x14ac:dyDescent="0.2">
      <c r="B370" s="667" t="s">
        <v>1571</v>
      </c>
      <c r="C370" s="1067" t="s">
        <v>808</v>
      </c>
    </row>
    <row r="371" spans="2:3" x14ac:dyDescent="0.2">
      <c r="B371" s="667" t="s">
        <v>1596</v>
      </c>
      <c r="C371" s="1067" t="s">
        <v>654</v>
      </c>
    </row>
    <row r="372" spans="2:3" ht="15.75" x14ac:dyDescent="0.2">
      <c r="B372" s="814"/>
      <c r="C372" s="667"/>
    </row>
    <row r="373" spans="2:3" ht="15.75" x14ac:dyDescent="0.2">
      <c r="B373" s="667" t="s">
        <v>1363</v>
      </c>
      <c r="C373" s="814" t="s">
        <v>1577</v>
      </c>
    </row>
    <row r="374" spans="2:3" ht="15.75" x14ac:dyDescent="0.2">
      <c r="B374" s="667" t="s">
        <v>934</v>
      </c>
      <c r="C374" s="814" t="s">
        <v>917</v>
      </c>
    </row>
    <row r="375" spans="2:3" x14ac:dyDescent="0.2">
      <c r="B375" s="667" t="s">
        <v>1615</v>
      </c>
      <c r="C375" s="666" t="s">
        <v>1595</v>
      </c>
    </row>
    <row r="376" spans="2:3" ht="15.75" x14ac:dyDescent="0.25">
      <c r="B376" s="667" t="s">
        <v>1616</v>
      </c>
      <c r="C376" s="809" t="s">
        <v>1600</v>
      </c>
    </row>
    <row r="377" spans="2:3" x14ac:dyDescent="0.2">
      <c r="B377" s="667" t="s">
        <v>1617</v>
      </c>
      <c r="C377" s="1067" t="s">
        <v>1521</v>
      </c>
    </row>
    <row r="378" spans="2:3" x14ac:dyDescent="0.2">
      <c r="B378" s="667" t="s">
        <v>1618</v>
      </c>
      <c r="C378" s="1067" t="s">
        <v>545</v>
      </c>
    </row>
    <row r="379" spans="2:3" x14ac:dyDescent="0.2">
      <c r="B379" s="1204" t="s">
        <v>1620</v>
      </c>
      <c r="C379" s="1067" t="s">
        <v>807</v>
      </c>
    </row>
    <row r="380" spans="2:3" x14ac:dyDescent="0.2">
      <c r="B380" s="1204" t="s">
        <v>1629</v>
      </c>
      <c r="C380" s="1067" t="s">
        <v>808</v>
      </c>
    </row>
    <row r="381" spans="2:3" ht="15.75" x14ac:dyDescent="0.25">
      <c r="B381" s="1204" t="s">
        <v>1630</v>
      </c>
      <c r="C381" s="809" t="s">
        <v>1192</v>
      </c>
    </row>
    <row r="382" spans="2:3" x14ac:dyDescent="0.2">
      <c r="B382" s="667" t="s">
        <v>1662</v>
      </c>
      <c r="C382" s="666" t="s">
        <v>1654</v>
      </c>
    </row>
    <row r="383" spans="2:3" ht="15.75" x14ac:dyDescent="0.25">
      <c r="B383" s="667" t="s">
        <v>1671</v>
      </c>
      <c r="C383" s="809" t="s">
        <v>1659</v>
      </c>
    </row>
    <row r="384" spans="2:3" x14ac:dyDescent="0.2">
      <c r="B384" s="667" t="s">
        <v>1672</v>
      </c>
      <c r="C384" s="666" t="s">
        <v>1667</v>
      </c>
    </row>
    <row r="385" spans="2:3" x14ac:dyDescent="0.2">
      <c r="B385" s="667" t="s">
        <v>1673</v>
      </c>
      <c r="C385" s="1067" t="s">
        <v>1346</v>
      </c>
    </row>
    <row r="386" spans="2:3" ht="15.75" x14ac:dyDescent="0.25">
      <c r="B386" s="667" t="s">
        <v>1676</v>
      </c>
      <c r="C386" s="795" t="s">
        <v>805</v>
      </c>
    </row>
    <row r="387" spans="2:3" x14ac:dyDescent="0.2">
      <c r="B387" s="667" t="s">
        <v>1677</v>
      </c>
      <c r="C387" s="666" t="s">
        <v>1681</v>
      </c>
    </row>
    <row r="388" spans="2:3" ht="15.75" x14ac:dyDescent="0.25">
      <c r="B388" s="667" t="s">
        <v>1680</v>
      </c>
      <c r="C388" s="784" t="s">
        <v>1674</v>
      </c>
    </row>
    <row r="389" spans="2:3" ht="15.75" x14ac:dyDescent="0.2">
      <c r="B389" s="667" t="s">
        <v>1682</v>
      </c>
      <c r="C389" s="814" t="s">
        <v>659</v>
      </c>
    </row>
    <row r="390" spans="2:3" ht="15.75" x14ac:dyDescent="0.25">
      <c r="B390" s="667" t="s">
        <v>1689</v>
      </c>
      <c r="C390" s="809" t="s">
        <v>1683</v>
      </c>
    </row>
    <row r="391" spans="2:3" x14ac:dyDescent="0.2">
      <c r="B391" s="667" t="s">
        <v>1693</v>
      </c>
      <c r="C391" s="666" t="s">
        <v>1652</v>
      </c>
    </row>
    <row r="392" spans="2:3" ht="15.75" x14ac:dyDescent="0.25">
      <c r="B392" s="667" t="s">
        <v>1695</v>
      </c>
      <c r="C392" s="795" t="s">
        <v>813</v>
      </c>
    </row>
    <row r="393" spans="2:3" ht="15.75" x14ac:dyDescent="0.25">
      <c r="B393" s="667" t="s">
        <v>1700</v>
      </c>
      <c r="C393" s="809" t="s">
        <v>1685</v>
      </c>
    </row>
    <row r="394" spans="2:3" x14ac:dyDescent="0.2">
      <c r="B394" s="667" t="s">
        <v>1699</v>
      </c>
      <c r="C394" s="1067" t="s">
        <v>804</v>
      </c>
    </row>
    <row r="395" spans="2:3" ht="15.75" x14ac:dyDescent="0.25">
      <c r="B395" s="667" t="s">
        <v>1709</v>
      </c>
      <c r="C395" s="809" t="s">
        <v>1705</v>
      </c>
    </row>
    <row r="396" spans="2:3" x14ac:dyDescent="0.2">
      <c r="B396" s="667" t="s">
        <v>1723</v>
      </c>
      <c r="C396" s="1067" t="s">
        <v>1714</v>
      </c>
    </row>
    <row r="397" spans="2:3" x14ac:dyDescent="0.2">
      <c r="B397" s="667" t="s">
        <v>1724</v>
      </c>
      <c r="C397" s="666" t="s">
        <v>1718</v>
      </c>
    </row>
    <row r="398" spans="2:3" ht="15.75" x14ac:dyDescent="0.25">
      <c r="B398" s="667" t="s">
        <v>1725</v>
      </c>
      <c r="C398" s="795" t="s">
        <v>323</v>
      </c>
    </row>
    <row r="399" spans="2:3" ht="15.75" x14ac:dyDescent="0.25">
      <c r="B399" s="667" t="s">
        <v>1738</v>
      </c>
      <c r="C399" s="809" t="s">
        <v>1705</v>
      </c>
    </row>
    <row r="400" spans="2:3" x14ac:dyDescent="0.2">
      <c r="B400" s="667" t="s">
        <v>1750</v>
      </c>
      <c r="C400" s="1067" t="s">
        <v>804</v>
      </c>
    </row>
    <row r="401" spans="2:3" ht="15.75" x14ac:dyDescent="0.25">
      <c r="B401" s="667" t="s">
        <v>1769</v>
      </c>
      <c r="C401" s="795" t="s">
        <v>846</v>
      </c>
    </row>
    <row r="402" spans="2:3" ht="15.75" x14ac:dyDescent="0.25">
      <c r="B402" s="667" t="s">
        <v>1768</v>
      </c>
      <c r="C402" s="809" t="s">
        <v>1637</v>
      </c>
    </row>
    <row r="403" spans="2:3" x14ac:dyDescent="0.2">
      <c r="B403" s="667" t="s">
        <v>1767</v>
      </c>
      <c r="C403" s="666" t="s">
        <v>1728</v>
      </c>
    </row>
    <row r="404" spans="2:3" ht="15.75" x14ac:dyDescent="0.25">
      <c r="B404" s="667" t="s">
        <v>1766</v>
      </c>
      <c r="C404" s="809" t="s">
        <v>1636</v>
      </c>
    </row>
    <row r="405" spans="2:3" x14ac:dyDescent="0.2">
      <c r="B405" s="667" t="s">
        <v>1765</v>
      </c>
      <c r="C405" s="666" t="s">
        <v>1736</v>
      </c>
    </row>
    <row r="406" spans="2:3" ht="15.75" x14ac:dyDescent="0.25">
      <c r="B406" s="667" t="s">
        <v>1764</v>
      </c>
      <c r="C406" s="809" t="s">
        <v>1641</v>
      </c>
    </row>
    <row r="407" spans="2:3" ht="15.75" x14ac:dyDescent="0.25">
      <c r="B407" s="667" t="s">
        <v>1763</v>
      </c>
      <c r="C407" s="809" t="s">
        <v>808</v>
      </c>
    </row>
    <row r="408" spans="2:3" ht="15.75" x14ac:dyDescent="0.25">
      <c r="B408" s="667" t="s">
        <v>1762</v>
      </c>
      <c r="C408" s="809" t="s">
        <v>1643</v>
      </c>
    </row>
    <row r="409" spans="2:3" ht="15.75" x14ac:dyDescent="0.25">
      <c r="B409" s="667" t="s">
        <v>1770</v>
      </c>
      <c r="C409" s="809" t="s">
        <v>1732</v>
      </c>
    </row>
    <row r="410" spans="2:3" x14ac:dyDescent="0.2">
      <c r="B410" s="667" t="s">
        <v>1776</v>
      </c>
      <c r="C410" s="666" t="s">
        <v>1787</v>
      </c>
    </row>
    <row r="411" spans="2:3" ht="15.75" x14ac:dyDescent="0.25">
      <c r="B411" s="667" t="s">
        <v>1775</v>
      </c>
      <c r="C411" s="795" t="s">
        <v>1244</v>
      </c>
    </row>
    <row r="412" spans="2:3" ht="15.75" x14ac:dyDescent="0.25">
      <c r="B412" s="667" t="s">
        <v>1777</v>
      </c>
      <c r="C412" s="809" t="s">
        <v>808</v>
      </c>
    </row>
    <row r="413" spans="2:3" ht="15.75" x14ac:dyDescent="0.25">
      <c r="B413" s="667" t="s">
        <v>1778</v>
      </c>
      <c r="C413" s="809" t="s">
        <v>1632</v>
      </c>
    </row>
    <row r="414" spans="2:3" ht="15.75" x14ac:dyDescent="0.25">
      <c r="B414" s="667" t="s">
        <v>1779</v>
      </c>
      <c r="C414" s="809" t="s">
        <v>1756</v>
      </c>
    </row>
    <row r="415" spans="2:3" ht="15.75" x14ac:dyDescent="0.25">
      <c r="B415" s="667" t="s">
        <v>1784</v>
      </c>
      <c r="C415" s="795" t="s">
        <v>1202</v>
      </c>
    </row>
    <row r="416" spans="2:3" x14ac:dyDescent="0.2">
      <c r="B416" s="667" t="s">
        <v>1785</v>
      </c>
      <c r="C416" s="666" t="s">
        <v>1739</v>
      </c>
    </row>
    <row r="417" spans="2:3" x14ac:dyDescent="0.2">
      <c r="B417" s="667" t="s">
        <v>1786</v>
      </c>
      <c r="C417" s="666" t="s">
        <v>1730</v>
      </c>
    </row>
    <row r="418" spans="2:3" x14ac:dyDescent="0.2">
      <c r="B418" s="667" t="s">
        <v>1806</v>
      </c>
      <c r="C418" s="1067" t="s">
        <v>804</v>
      </c>
    </row>
    <row r="419" spans="2:3" ht="15.75" x14ac:dyDescent="0.25">
      <c r="B419" s="667" t="s">
        <v>1814</v>
      </c>
      <c r="C419" s="795" t="s">
        <v>323</v>
      </c>
    </row>
    <row r="420" spans="2:3" ht="15.75" x14ac:dyDescent="0.2">
      <c r="B420" s="667" t="s">
        <v>1813</v>
      </c>
      <c r="C420" s="814" t="s">
        <v>1802</v>
      </c>
    </row>
    <row r="421" spans="2:3" ht="15.75" x14ac:dyDescent="0.2">
      <c r="B421" s="667" t="s">
        <v>1825</v>
      </c>
      <c r="C421" s="814" t="s">
        <v>1817</v>
      </c>
    </row>
    <row r="422" spans="2:3" x14ac:dyDescent="0.2">
      <c r="B422" s="667" t="s">
        <v>1850</v>
      </c>
      <c r="C422" s="1163" t="s">
        <v>1791</v>
      </c>
    </row>
    <row r="423" spans="2:3" x14ac:dyDescent="0.2">
      <c r="B423" s="667" t="s">
        <v>1860</v>
      </c>
      <c r="C423" s="1163" t="s">
        <v>1841</v>
      </c>
    </row>
    <row r="424" spans="2:3" ht="15.75" x14ac:dyDescent="0.25">
      <c r="B424" s="667" t="s">
        <v>1861</v>
      </c>
      <c r="C424" s="809" t="s">
        <v>1639</v>
      </c>
    </row>
    <row r="425" spans="2:3" x14ac:dyDescent="0.2">
      <c r="B425" s="667" t="s">
        <v>1862</v>
      </c>
      <c r="C425" s="1163" t="s">
        <v>1843</v>
      </c>
    </row>
    <row r="426" spans="2:3" x14ac:dyDescent="0.2">
      <c r="B426" s="667" t="s">
        <v>1866</v>
      </c>
      <c r="C426" s="666" t="s">
        <v>1787</v>
      </c>
    </row>
    <row r="427" spans="2:3" x14ac:dyDescent="0.2">
      <c r="B427" s="667" t="s">
        <v>1878</v>
      </c>
      <c r="C427" s="1067" t="s">
        <v>813</v>
      </c>
    </row>
    <row r="428" spans="2:3" ht="15.75" x14ac:dyDescent="0.25">
      <c r="B428" s="667" t="s">
        <v>1879</v>
      </c>
      <c r="C428" s="818" t="s">
        <v>834</v>
      </c>
    </row>
    <row r="429" spans="2:3" ht="15.75" x14ac:dyDescent="0.2">
      <c r="B429" s="667" t="s">
        <v>1891</v>
      </c>
      <c r="C429" s="814" t="s">
        <v>1864</v>
      </c>
    </row>
    <row r="430" spans="2:3" x14ac:dyDescent="0.2">
      <c r="B430" s="667" t="s">
        <v>1921</v>
      </c>
      <c r="C430" s="1067" t="s">
        <v>807</v>
      </c>
    </row>
    <row r="431" spans="2:3" ht="15.75" x14ac:dyDescent="0.25">
      <c r="B431" s="667" t="s">
        <v>1920</v>
      </c>
      <c r="C431" s="795" t="s">
        <v>1943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Stock Rawmaterial</vt:lpstr>
      <vt:lpstr>usage</vt:lpstr>
      <vt:lpstr>Thuoc khang sinh</vt:lpstr>
      <vt:lpstr>Liquid</vt:lpstr>
      <vt:lpstr>Thuoc thi nghiem</vt:lpstr>
      <vt:lpstr>sdmixer</vt:lpstr>
      <vt:lpstr>INTAKE</vt:lpstr>
      <vt:lpstr>ETM</vt:lpstr>
      <vt:lpstr>391</vt:lpstr>
      <vt:lpstr>Tên NL</vt:lpstr>
      <vt:lpstr>Liquid!Print_Area</vt:lpstr>
      <vt:lpstr>'Stock Rawmaterial'!Print_Area</vt:lpstr>
      <vt:lpstr>'Thuoc khang sinh'!Print_Area</vt:lpstr>
      <vt:lpstr>'Thuoc thi nghiem'!Print_Area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2023-07-24T06:26:11Z</dcterms:created>
  <dcterms:modified xsi:type="dcterms:W3CDTF">2026-09-22T02:49:48Z</dcterms:modified>
</cp:coreProperties>
</file>